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https://apragovau0.sharepoint.com/sites/im-team-cdo/Shared Documents/External Data Reporting/Publications/PHI/QPHIS - Quarterly PHI Statistics/December 2024/Working/"/>
    </mc:Choice>
  </mc:AlternateContent>
  <xr:revisionPtr revIDLastSave="0" documentId="8_{98702425-63D5-4C1C-A321-B1DBAE33031A}" xr6:coauthVersionLast="47" xr6:coauthVersionMax="47" xr10:uidLastSave="{00000000-0000-0000-0000-000000000000}"/>
  <bookViews>
    <workbookView xWindow="43080" yWindow="-120" windowWidth="29040" windowHeight="15840" xr2:uid="{00000000-000D-0000-FFFF-FFFF00000000}"/>
  </bookViews>
  <sheets>
    <sheet name="Cover" sheetId="2" r:id="rId1"/>
    <sheet name="Selection" sheetId="29" r:id="rId2"/>
    <sheet name="Contents" sheetId="31" r:id="rId3"/>
    <sheet name="Notes" sheetId="4" r:id="rId4"/>
    <sheet name="TA" sheetId="9" r:id="rId5"/>
    <sheet name="TB" sheetId="10" r:id="rId6"/>
    <sheet name="T1" sheetId="11" r:id="rId7"/>
    <sheet name="T2" sheetId="12" r:id="rId8"/>
    <sheet name="T3" sheetId="13" r:id="rId9"/>
    <sheet name="T4" sheetId="14" r:id="rId10"/>
    <sheet name="T5" sheetId="15" r:id="rId11"/>
    <sheet name="T6" sheetId="16" r:id="rId12"/>
    <sheet name="T7" sheetId="17" r:id="rId13"/>
    <sheet name="T8" sheetId="18" r:id="rId14"/>
    <sheet name="T9" sheetId="19" r:id="rId15"/>
    <sheet name="T10 &amp; T11" sheetId="20" r:id="rId16"/>
    <sheet name="T12 &amp; T13" sheetId="21" r:id="rId17"/>
    <sheet name="T14 &amp; T15" sheetId="22" r:id="rId18"/>
    <sheet name="T16 &amp; T17" sheetId="23" r:id="rId19"/>
    <sheet name="T18" sheetId="24" r:id="rId20"/>
    <sheet name="Notes on Statistics" sheetId="25" r:id="rId21"/>
    <sheet name="Definitions and Abbreviations" sheetId="26" r:id="rId22"/>
    <sheet name="RelatedPublications" sheetId="27" r:id="rId23"/>
    <sheet name="Data" sheetId="28" state="hidden" r:id="rId24"/>
  </sheets>
  <definedNames>
    <definedName name="a" localSheetId="2" hidden="1">{"'Table 7'!$B$4:$H$28"}</definedName>
    <definedName name="a" localSheetId="23" hidden="1">{"'Table 7'!$B$4:$H$28"}</definedName>
    <definedName name="a" localSheetId="21" hidden="1">{"'Table 7'!$B$4:$H$28"}</definedName>
    <definedName name="a" localSheetId="20" hidden="1">{"'Table 7'!$B$4:$H$28"}</definedName>
    <definedName name="a" localSheetId="22" hidden="1">{"'Table 7'!$B$4:$H$28"}</definedName>
    <definedName name="a" localSheetId="6" hidden="1">{"'Table 7'!$B$4:$H$28"}</definedName>
    <definedName name="a" localSheetId="15" hidden="1">{"'Table 7'!$B$4:$H$28"}</definedName>
    <definedName name="a" localSheetId="16" hidden="1">{"'Table 7'!$B$4:$H$28"}</definedName>
    <definedName name="a" localSheetId="17" hidden="1">{"'Table 7'!$B$4:$H$28"}</definedName>
    <definedName name="a" localSheetId="18" hidden="1">{"'Table 7'!$B$4:$H$28"}</definedName>
    <definedName name="a" localSheetId="19" hidden="1">{"'Table 7'!$B$4:$H$28"}</definedName>
    <definedName name="a" localSheetId="7" hidden="1">{"'Table 7'!$B$4:$H$28"}</definedName>
    <definedName name="a" localSheetId="8" hidden="1">{"'Table 7'!$B$4:$H$28"}</definedName>
    <definedName name="a" localSheetId="9" hidden="1">{"'Table 7'!$B$4:$H$28"}</definedName>
    <definedName name="a" localSheetId="10" hidden="1">{"'Table 7'!$B$4:$H$28"}</definedName>
    <definedName name="a" localSheetId="11" hidden="1">{"'Table 7'!$B$4:$H$28"}</definedName>
    <definedName name="a" localSheetId="12" hidden="1">{"'Table 7'!$B$4:$H$28"}</definedName>
    <definedName name="a" localSheetId="13" hidden="1">{"'Table 7'!$B$4:$H$28"}</definedName>
    <definedName name="a" localSheetId="14" hidden="1">{"'Table 7'!$B$4:$H$28"}</definedName>
    <definedName name="a" localSheetId="5" hidden="1">{"'Table 7'!$B$4:$H$28"}</definedName>
    <definedName name="a" hidden="1">{"'Table 7'!$B$4:$H$28"}</definedName>
    <definedName name="AA" localSheetId="2" hidden="1">{"'Table 7'!$B$4:$H$28"}</definedName>
    <definedName name="AA" localSheetId="23" hidden="1">{"'Table 7'!$B$4:$H$28"}</definedName>
    <definedName name="AA" localSheetId="21" hidden="1">{"'Table 7'!$B$4:$H$28"}</definedName>
    <definedName name="AA" localSheetId="20" hidden="1">{"'Table 7'!$B$4:$H$28"}</definedName>
    <definedName name="AA" localSheetId="22" hidden="1">{"'Table 7'!$B$4:$H$28"}</definedName>
    <definedName name="AA" localSheetId="6" hidden="1">{"'Table 7'!$B$4:$H$28"}</definedName>
    <definedName name="AA" localSheetId="15" hidden="1">{"'Table 7'!$B$4:$H$28"}</definedName>
    <definedName name="AA" localSheetId="16" hidden="1">{"'Table 7'!$B$4:$H$28"}</definedName>
    <definedName name="AA" localSheetId="17" hidden="1">{"'Table 7'!$B$4:$H$28"}</definedName>
    <definedName name="AA" localSheetId="18" hidden="1">{"'Table 7'!$B$4:$H$28"}</definedName>
    <definedName name="AA" localSheetId="19" hidden="1">{"'Table 7'!$B$4:$H$28"}</definedName>
    <definedName name="AA" localSheetId="7" hidden="1">{"'Table 7'!$B$4:$H$28"}</definedName>
    <definedName name="AA" localSheetId="8" hidden="1">{"'Table 7'!$B$4:$H$28"}</definedName>
    <definedName name="AA" localSheetId="9" hidden="1">{"'Table 7'!$B$4:$H$28"}</definedName>
    <definedName name="AA" localSheetId="10" hidden="1">{"'Table 7'!$B$4:$H$28"}</definedName>
    <definedName name="AA" localSheetId="11" hidden="1">{"'Table 7'!$B$4:$H$28"}</definedName>
    <definedName name="AA" localSheetId="12" hidden="1">{"'Table 7'!$B$4:$H$28"}</definedName>
    <definedName name="AA" localSheetId="13" hidden="1">{"'Table 7'!$B$4:$H$28"}</definedName>
    <definedName name="AA" localSheetId="14" hidden="1">{"'Table 7'!$B$4:$H$28"}</definedName>
    <definedName name="AA" localSheetId="5" hidden="1">{"'Table 7'!$B$4:$H$28"}</definedName>
    <definedName name="AA" hidden="1">{"'Table 7'!$B$4:$H$28"}</definedName>
    <definedName name="AverageAgeAll" localSheetId="2" hidden="1">{"'Table 7'!$B$4:$H$28"}</definedName>
    <definedName name="AverageAgeAll" localSheetId="23" hidden="1">{"'Table 7'!$B$4:$H$28"}</definedName>
    <definedName name="AverageAgeAll" localSheetId="21" hidden="1">{"'Table 7'!$B$4:$H$28"}</definedName>
    <definedName name="AverageAgeAll" localSheetId="20" hidden="1">{"'Table 7'!$B$4:$H$28"}</definedName>
    <definedName name="AverageAgeAll" localSheetId="22" hidden="1">{"'Table 7'!$B$4:$H$28"}</definedName>
    <definedName name="AverageAgeAll" localSheetId="6" hidden="1">{"'Table 7'!$B$4:$H$28"}</definedName>
    <definedName name="AverageAgeAll" localSheetId="15" hidden="1">{"'Table 7'!$B$4:$H$28"}</definedName>
    <definedName name="AverageAgeAll" localSheetId="16" hidden="1">{"'Table 7'!$B$4:$H$28"}</definedName>
    <definedName name="AverageAgeAll" localSheetId="17" hidden="1">{"'Table 7'!$B$4:$H$28"}</definedName>
    <definedName name="AverageAgeAll" localSheetId="18" hidden="1">{"'Table 7'!$B$4:$H$28"}</definedName>
    <definedName name="AverageAgeAll" localSheetId="19" hidden="1">{"'Table 7'!$B$4:$H$28"}</definedName>
    <definedName name="AverageAgeAll" localSheetId="7" hidden="1">{"'Table 7'!$B$4:$H$28"}</definedName>
    <definedName name="AverageAgeAll" localSheetId="8" hidden="1">{"'Table 7'!$B$4:$H$28"}</definedName>
    <definedName name="AverageAgeAll" localSheetId="9" hidden="1">{"'Table 7'!$B$4:$H$28"}</definedName>
    <definedName name="AverageAgeAll" localSheetId="10" hidden="1">{"'Table 7'!$B$4:$H$28"}</definedName>
    <definedName name="AverageAgeAll" localSheetId="11" hidden="1">{"'Table 7'!$B$4:$H$28"}</definedName>
    <definedName name="AverageAgeAll" localSheetId="12" hidden="1">{"'Table 7'!$B$4:$H$28"}</definedName>
    <definedName name="AverageAgeAll" localSheetId="13" hidden="1">{"'Table 7'!$B$4:$H$28"}</definedName>
    <definedName name="AverageAgeAll" localSheetId="14" hidden="1">{"'Table 7'!$B$4:$H$28"}</definedName>
    <definedName name="AverageAgeAll" localSheetId="5" hidden="1">{"'Table 7'!$B$4:$H$28"}</definedName>
    <definedName name="AverageAgeAll" hidden="1">{"'Table 7'!$B$4:$H$28"}</definedName>
    <definedName name="AverageAgeAllNew" localSheetId="2" hidden="1">{"'Table 7'!$B$4:$H$28"}</definedName>
    <definedName name="AverageAgeAllNew" localSheetId="23" hidden="1">{"'Table 7'!$B$4:$H$28"}</definedName>
    <definedName name="AverageAgeAllNew" localSheetId="21" hidden="1">{"'Table 7'!$B$4:$H$28"}</definedName>
    <definedName name="AverageAgeAllNew" localSheetId="20" hidden="1">{"'Table 7'!$B$4:$H$28"}</definedName>
    <definedName name="AverageAgeAllNew" localSheetId="22" hidden="1">{"'Table 7'!$B$4:$H$28"}</definedName>
    <definedName name="AverageAgeAllNew" localSheetId="6" hidden="1">{"'Table 7'!$B$4:$H$28"}</definedName>
    <definedName name="AverageAgeAllNew" localSheetId="15" hidden="1">{"'Table 7'!$B$4:$H$28"}</definedName>
    <definedName name="AverageAgeAllNew" localSheetId="16" hidden="1">{"'Table 7'!$B$4:$H$28"}</definedName>
    <definedName name="AverageAgeAllNew" localSheetId="17" hidden="1">{"'Table 7'!$B$4:$H$28"}</definedName>
    <definedName name="AverageAgeAllNew" localSheetId="18" hidden="1">{"'Table 7'!$B$4:$H$28"}</definedName>
    <definedName name="AverageAgeAllNew" localSheetId="19" hidden="1">{"'Table 7'!$B$4:$H$28"}</definedName>
    <definedName name="AverageAgeAllNew" localSheetId="7" hidden="1">{"'Table 7'!$B$4:$H$28"}</definedName>
    <definedName name="AverageAgeAllNew" localSheetId="8" hidden="1">{"'Table 7'!$B$4:$H$28"}</definedName>
    <definedName name="AverageAgeAllNew" localSheetId="9" hidden="1">{"'Table 7'!$B$4:$H$28"}</definedName>
    <definedName name="AverageAgeAllNew" localSheetId="10" hidden="1">{"'Table 7'!$B$4:$H$28"}</definedName>
    <definedName name="AverageAgeAllNew" localSheetId="11" hidden="1">{"'Table 7'!$B$4:$H$28"}</definedName>
    <definedName name="AverageAgeAllNew" localSheetId="12" hidden="1">{"'Table 7'!$B$4:$H$28"}</definedName>
    <definedName name="AverageAgeAllNew" localSheetId="13" hidden="1">{"'Table 7'!$B$4:$H$28"}</definedName>
    <definedName name="AverageAgeAllNew" localSheetId="14" hidden="1">{"'Table 7'!$B$4:$H$28"}</definedName>
    <definedName name="AverageAgeAllNew" localSheetId="5" hidden="1">{"'Table 7'!$B$4:$H$28"}</definedName>
    <definedName name="AverageAgeAllNew" hidden="1">{"'Table 7'!$B$4:$H$28"}</definedName>
    <definedName name="Data">Data!$A$2:$I$13078</definedName>
    <definedName name="HTML_CodePage" hidden="1">1252</definedName>
    <definedName name="HTML_Control" localSheetId="2" hidden="1">{"'Table 7'!$B$4:$H$28"}</definedName>
    <definedName name="HTML_Control" localSheetId="23" hidden="1">{"'Table 7'!$B$4:$H$28"}</definedName>
    <definedName name="HTML_Control" localSheetId="21" hidden="1">{"'Table 7'!$B$4:$H$28"}</definedName>
    <definedName name="HTML_Control" localSheetId="20" hidden="1">{"'Table 7'!$B$4:$H$28"}</definedName>
    <definedName name="HTML_Control" localSheetId="22" hidden="1">{"'Table 7'!$B$4:$H$28"}</definedName>
    <definedName name="HTML_Control" localSheetId="6" hidden="1">{"'Table 7'!$B$4:$H$28"}</definedName>
    <definedName name="HTML_Control" localSheetId="15" hidden="1">{"'Table 7'!$B$4:$H$28"}</definedName>
    <definedName name="HTML_Control" localSheetId="16" hidden="1">{"'Table 7'!$B$4:$H$28"}</definedName>
    <definedName name="HTML_Control" localSheetId="17" hidden="1">{"'Table 7'!$B$4:$H$28"}</definedName>
    <definedName name="HTML_Control" localSheetId="18" hidden="1">{"'Table 7'!$B$4:$H$28"}</definedName>
    <definedName name="HTML_Control" localSheetId="19" hidden="1">{"'Table 7'!$B$4:$H$28"}</definedName>
    <definedName name="HTML_Control" localSheetId="7" hidden="1">{"'Table 7'!$B$4:$H$28"}</definedName>
    <definedName name="HTML_Control" localSheetId="8" hidden="1">{"'Table 7'!$B$4:$H$28"}</definedName>
    <definedName name="HTML_Control" localSheetId="9" hidden="1">{"'Table 7'!$B$4:$H$28"}</definedName>
    <definedName name="HTML_Control" localSheetId="10" hidden="1">{"'Table 7'!$B$4:$H$28"}</definedName>
    <definedName name="HTML_Control" localSheetId="11" hidden="1">{"'Table 7'!$B$4:$H$28"}</definedName>
    <definedName name="HTML_Control" localSheetId="12" hidden="1">{"'Table 7'!$B$4:$H$28"}</definedName>
    <definedName name="HTML_Control" localSheetId="13" hidden="1">{"'Table 7'!$B$4:$H$28"}</definedName>
    <definedName name="HTML_Control" localSheetId="14" hidden="1">{"'Table 7'!$B$4:$H$28"}</definedName>
    <definedName name="HTML_Control" localSheetId="5" hidden="1">{"'Table 7'!$B$4:$H$28"}</definedName>
    <definedName name="HTML_Control" hidden="1">{"'Table 7'!$B$4:$H$28"}</definedName>
    <definedName name="HTML_ControlNew" localSheetId="2" hidden="1">{"'Table 7'!$B$4:$H$28"}</definedName>
    <definedName name="HTML_ControlNew" localSheetId="23" hidden="1">{"'Table 7'!$B$4:$H$28"}</definedName>
    <definedName name="HTML_ControlNew" localSheetId="21" hidden="1">{"'Table 7'!$B$4:$H$28"}</definedName>
    <definedName name="HTML_ControlNew" localSheetId="20" hidden="1">{"'Table 7'!$B$4:$H$28"}</definedName>
    <definedName name="HTML_ControlNew" localSheetId="22" hidden="1">{"'Table 7'!$B$4:$H$28"}</definedName>
    <definedName name="HTML_ControlNew" localSheetId="6" hidden="1">{"'Table 7'!$B$4:$H$28"}</definedName>
    <definedName name="HTML_ControlNew" localSheetId="15" hidden="1">{"'Table 7'!$B$4:$H$28"}</definedName>
    <definedName name="HTML_ControlNew" localSheetId="16" hidden="1">{"'Table 7'!$B$4:$H$28"}</definedName>
    <definedName name="HTML_ControlNew" localSheetId="17" hidden="1">{"'Table 7'!$B$4:$H$28"}</definedName>
    <definedName name="HTML_ControlNew" localSheetId="18" hidden="1">{"'Table 7'!$B$4:$H$28"}</definedName>
    <definedName name="HTML_ControlNew" localSheetId="19" hidden="1">{"'Table 7'!$B$4:$H$28"}</definedName>
    <definedName name="HTML_ControlNew" localSheetId="7" hidden="1">{"'Table 7'!$B$4:$H$28"}</definedName>
    <definedName name="HTML_ControlNew" localSheetId="8" hidden="1">{"'Table 7'!$B$4:$H$28"}</definedName>
    <definedName name="HTML_ControlNew" localSheetId="9" hidden="1">{"'Table 7'!$B$4:$H$28"}</definedName>
    <definedName name="HTML_ControlNew" localSheetId="10" hidden="1">{"'Table 7'!$B$4:$H$28"}</definedName>
    <definedName name="HTML_ControlNew" localSheetId="11" hidden="1">{"'Table 7'!$B$4:$H$28"}</definedName>
    <definedName name="HTML_ControlNew" localSheetId="12" hidden="1">{"'Table 7'!$B$4:$H$28"}</definedName>
    <definedName name="HTML_ControlNew" localSheetId="13" hidden="1">{"'Table 7'!$B$4:$H$28"}</definedName>
    <definedName name="HTML_ControlNew" localSheetId="14" hidden="1">{"'Table 7'!$B$4:$H$28"}</definedName>
    <definedName name="HTML_ControlNew" localSheetId="5" hidden="1">{"'Table 7'!$B$4:$H$28"}</definedName>
    <definedName name="HTML_ControlNew"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phiac_sql_ReturnsDB_vw_MedicalGapAgreements" localSheetId="23">Data!$A$1:$I$17206</definedName>
    <definedName name="_xlnm.Print_Area" localSheetId="20">'Notes on Statistics'!$A$1:$J$20</definedName>
    <definedName name="_xlnm.Print_Area" localSheetId="22">RelatedPublications!$A$1:$N$66</definedName>
    <definedName name="_xlnm.Print_Area" localSheetId="1">Selection!$A$1:$N$69</definedName>
    <definedName name="_xlnm.Print_Area" localSheetId="15">'T10 &amp; T11'!$A$1:$L$61</definedName>
    <definedName name="_xlnm.Print_Area" localSheetId="4">TA!$A$1:$K$26</definedName>
    <definedName name="_xlnm.Print_Area" localSheetId="5">TB!$A$1:$K$29</definedName>
  </definedNames>
  <calcPr calcId="191029"/>
  <pivotCaches>
    <pivotCache cacheId="0"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5" i="21" l="1"/>
  <c r="F55" i="21"/>
  <c r="E55" i="21"/>
  <c r="D55" i="21"/>
  <c r="H54" i="21"/>
  <c r="G58" i="14" s="1"/>
  <c r="F54" i="21"/>
  <c r="E58" i="14" s="1"/>
  <c r="E54" i="21"/>
  <c r="D58" i="14" s="1"/>
  <c r="D54" i="21"/>
  <c r="C58" i="14" s="1"/>
  <c r="H53" i="21"/>
  <c r="G57" i="14" s="1"/>
  <c r="F53" i="21"/>
  <c r="E57" i="14" s="1"/>
  <c r="E53" i="21"/>
  <c r="D57" i="14" s="1"/>
  <c r="D53" i="21"/>
  <c r="C57" i="14" s="1"/>
  <c r="H52" i="21"/>
  <c r="F52" i="21"/>
  <c r="E52" i="21"/>
  <c r="D52" i="21"/>
  <c r="H51" i="21"/>
  <c r="F51" i="21"/>
  <c r="E51" i="21"/>
  <c r="D51" i="21"/>
  <c r="H47" i="21"/>
  <c r="G35" i="14" s="1"/>
  <c r="F47" i="21"/>
  <c r="E35" i="14" s="1"/>
  <c r="E47" i="21"/>
  <c r="D35" i="14" s="1"/>
  <c r="D47" i="21"/>
  <c r="H46" i="21"/>
  <c r="F46" i="21"/>
  <c r="E46" i="21"/>
  <c r="D46" i="21"/>
  <c r="C34" i="14" s="1"/>
  <c r="H45" i="21"/>
  <c r="F45" i="21"/>
  <c r="E33" i="14" s="1"/>
  <c r="E45" i="21"/>
  <c r="D45" i="21"/>
  <c r="C33" i="14" s="1"/>
  <c r="H44" i="21"/>
  <c r="G15" i="14" s="1"/>
  <c r="F44" i="21"/>
  <c r="E15" i="14" s="1"/>
  <c r="E44" i="21"/>
  <c r="D44" i="21"/>
  <c r="C15" i="14" s="1"/>
  <c r="H41" i="21"/>
  <c r="F41" i="21"/>
  <c r="E41" i="21"/>
  <c r="D41" i="21"/>
  <c r="H40" i="21"/>
  <c r="F40" i="21"/>
  <c r="E42" i="14" s="1"/>
  <c r="E40" i="21"/>
  <c r="D42" i="14" s="1"/>
  <c r="D40" i="21"/>
  <c r="H39" i="21"/>
  <c r="F39" i="21"/>
  <c r="E8" i="14" s="1"/>
  <c r="E39" i="21"/>
  <c r="D49" i="14" s="1"/>
  <c r="D39" i="21"/>
  <c r="H38" i="21"/>
  <c r="G7" i="14" s="1"/>
  <c r="F38" i="21"/>
  <c r="E38" i="21"/>
  <c r="D38" i="21"/>
  <c r="C7" i="14" s="1"/>
  <c r="H37" i="21"/>
  <c r="F37" i="21"/>
  <c r="E47" i="14" s="1"/>
  <c r="E37" i="21"/>
  <c r="D37" i="21"/>
  <c r="C39" i="14" s="1"/>
  <c r="B15" i="9"/>
  <c r="A15" i="9"/>
  <c r="H55" i="20"/>
  <c r="F55" i="20"/>
  <c r="E59" i="12" s="1"/>
  <c r="E55" i="20"/>
  <c r="D59" i="12" s="1"/>
  <c r="D55" i="20"/>
  <c r="H54" i="20"/>
  <c r="G58" i="12" s="1"/>
  <c r="F54" i="20"/>
  <c r="E58" i="12" s="1"/>
  <c r="E54" i="20"/>
  <c r="D58" i="12" s="1"/>
  <c r="D54" i="20"/>
  <c r="H53" i="20"/>
  <c r="G57" i="12" s="1"/>
  <c r="F53" i="20"/>
  <c r="E57" i="12" s="1"/>
  <c r="E53" i="20"/>
  <c r="D53" i="20"/>
  <c r="C57" i="12" s="1"/>
  <c r="H52" i="20"/>
  <c r="G56" i="12" s="1"/>
  <c r="F52" i="20"/>
  <c r="E56" i="12" s="1"/>
  <c r="E52" i="20"/>
  <c r="D56" i="12" s="1"/>
  <c r="D52" i="20"/>
  <c r="C56" i="12" s="1"/>
  <c r="H51" i="20"/>
  <c r="F51" i="20"/>
  <c r="E51" i="20"/>
  <c r="D51" i="20"/>
  <c r="H47" i="20"/>
  <c r="G35" i="12" s="1"/>
  <c r="F47" i="20"/>
  <c r="E35" i="12" s="1"/>
  <c r="E47" i="20"/>
  <c r="D47" i="20"/>
  <c r="C35" i="12" s="1"/>
  <c r="H46" i="20"/>
  <c r="G34" i="12" s="1"/>
  <c r="F46" i="20"/>
  <c r="E34" i="12" s="1"/>
  <c r="E46" i="20"/>
  <c r="D46" i="20"/>
  <c r="H45" i="20"/>
  <c r="F45" i="20"/>
  <c r="E33" i="12" s="1"/>
  <c r="E45" i="20"/>
  <c r="D33" i="12" s="1"/>
  <c r="D45" i="20"/>
  <c r="C33" i="12" s="1"/>
  <c r="H44" i="20"/>
  <c r="F44" i="20"/>
  <c r="E32" i="12" s="1"/>
  <c r="E44" i="20"/>
  <c r="D44" i="20"/>
  <c r="C32" i="12" s="1"/>
  <c r="H41" i="20"/>
  <c r="G10" i="12" s="1"/>
  <c r="F41" i="20"/>
  <c r="E41" i="20"/>
  <c r="D10" i="12" s="1"/>
  <c r="D41" i="20"/>
  <c r="C10" i="12" s="1"/>
  <c r="H40" i="20"/>
  <c r="F40" i="20"/>
  <c r="E40" i="20"/>
  <c r="D40" i="20"/>
  <c r="H39" i="20"/>
  <c r="F39" i="20"/>
  <c r="E39" i="20"/>
  <c r="D39" i="20"/>
  <c r="H38" i="20"/>
  <c r="G7" i="12" s="1"/>
  <c r="F38" i="20"/>
  <c r="E7" i="12" s="1"/>
  <c r="E38" i="20"/>
  <c r="D7" i="12" s="1"/>
  <c r="D38" i="20"/>
  <c r="C7" i="12" s="1"/>
  <c r="H37" i="20"/>
  <c r="G39" i="12" s="1"/>
  <c r="F37" i="20"/>
  <c r="E22" i="12" s="1"/>
  <c r="E37" i="20"/>
  <c r="D39" i="12" s="1"/>
  <c r="D37" i="20"/>
  <c r="C6" i="12" s="1"/>
  <c r="H25" i="24"/>
  <c r="G59" i="19" s="1"/>
  <c r="F25" i="24"/>
  <c r="E59" i="19" s="1"/>
  <c r="E25" i="24"/>
  <c r="D59" i="19" s="1"/>
  <c r="D25" i="24"/>
  <c r="C59" i="19" s="1"/>
  <c r="H24" i="24"/>
  <c r="G58" i="19" s="1"/>
  <c r="F24" i="24"/>
  <c r="E58" i="19" s="1"/>
  <c r="E24" i="24"/>
  <c r="D58" i="19" s="1"/>
  <c r="D24" i="24"/>
  <c r="C58" i="19" s="1"/>
  <c r="H23" i="24"/>
  <c r="F23" i="24"/>
  <c r="E57" i="19" s="1"/>
  <c r="E23" i="24"/>
  <c r="D16" i="19" s="1"/>
  <c r="D23" i="24"/>
  <c r="C57" i="19" s="1"/>
  <c r="H22" i="24"/>
  <c r="F22" i="24"/>
  <c r="E56" i="19" s="1"/>
  <c r="E22" i="24"/>
  <c r="D56" i="19" s="1"/>
  <c r="D22" i="24"/>
  <c r="C56" i="19" s="1"/>
  <c r="H21" i="24"/>
  <c r="F21" i="24"/>
  <c r="E21" i="24"/>
  <c r="D21" i="24"/>
  <c r="H17" i="24"/>
  <c r="G35" i="19" s="1"/>
  <c r="F17" i="24"/>
  <c r="E35" i="19" s="1"/>
  <c r="E17" i="24"/>
  <c r="D17" i="24"/>
  <c r="H16" i="24"/>
  <c r="G34" i="19" s="1"/>
  <c r="F16" i="24"/>
  <c r="E16" i="24"/>
  <c r="D34" i="19" s="1"/>
  <c r="D16" i="24"/>
  <c r="C34" i="19" s="1"/>
  <c r="H15" i="24"/>
  <c r="G33" i="19" s="1"/>
  <c r="F15" i="24"/>
  <c r="E15" i="24"/>
  <c r="D15" i="24"/>
  <c r="C33" i="19" s="1"/>
  <c r="H14" i="24"/>
  <c r="G32" i="19" s="1"/>
  <c r="F14" i="24"/>
  <c r="E32" i="19" s="1"/>
  <c r="E14" i="24"/>
  <c r="D14" i="24"/>
  <c r="H11" i="24"/>
  <c r="F11" i="24"/>
  <c r="E11" i="24"/>
  <c r="D10" i="19" s="1"/>
  <c r="D11" i="24"/>
  <c r="H10" i="24"/>
  <c r="F10" i="24"/>
  <c r="E9" i="19" s="1"/>
  <c r="E10" i="24"/>
  <c r="D10" i="24"/>
  <c r="H9" i="24"/>
  <c r="F9" i="24"/>
  <c r="E9" i="24"/>
  <c r="D9" i="24"/>
  <c r="C8" i="19" s="1"/>
  <c r="H8" i="24"/>
  <c r="G7" i="19" s="1"/>
  <c r="F8" i="24"/>
  <c r="E8" i="24"/>
  <c r="D8" i="24"/>
  <c r="H7" i="24"/>
  <c r="G39" i="19" s="1"/>
  <c r="F7" i="24"/>
  <c r="E47" i="19" s="1"/>
  <c r="E7" i="24"/>
  <c r="D47" i="19" s="1"/>
  <c r="D7" i="24"/>
  <c r="C39" i="19" s="1"/>
  <c r="J3" i="24"/>
  <c r="H55" i="22"/>
  <c r="G59" i="16" s="1"/>
  <c r="F55" i="22"/>
  <c r="E59" i="16" s="1"/>
  <c r="E55" i="22"/>
  <c r="D59" i="16" s="1"/>
  <c r="D55" i="22"/>
  <c r="C59" i="16" s="1"/>
  <c r="H54" i="22"/>
  <c r="G58" i="16" s="1"/>
  <c r="F54" i="22"/>
  <c r="E58" i="16" s="1"/>
  <c r="E54" i="22"/>
  <c r="D54" i="22"/>
  <c r="H53" i="22"/>
  <c r="F53" i="22"/>
  <c r="E57" i="16" s="1"/>
  <c r="E53" i="22"/>
  <c r="D57" i="16" s="1"/>
  <c r="D53" i="22"/>
  <c r="C57" i="16" s="1"/>
  <c r="H52" i="22"/>
  <c r="G56" i="16" s="1"/>
  <c r="F52" i="22"/>
  <c r="E56" i="16" s="1"/>
  <c r="E52" i="22"/>
  <c r="D56" i="16" s="1"/>
  <c r="D52" i="22"/>
  <c r="C56" i="16" s="1"/>
  <c r="H51" i="22"/>
  <c r="F51" i="22"/>
  <c r="E51" i="22"/>
  <c r="D51" i="22"/>
  <c r="H47" i="22"/>
  <c r="F47" i="22"/>
  <c r="E47" i="22"/>
  <c r="D35" i="16" s="1"/>
  <c r="D47" i="22"/>
  <c r="H46" i="22"/>
  <c r="F46" i="22"/>
  <c r="E46" i="22"/>
  <c r="D34" i="16" s="1"/>
  <c r="D46" i="22"/>
  <c r="C34" i="16" s="1"/>
  <c r="H45" i="22"/>
  <c r="G33" i="16" s="1"/>
  <c r="F45" i="22"/>
  <c r="E33" i="16" s="1"/>
  <c r="E45" i="22"/>
  <c r="D33" i="16" s="1"/>
  <c r="D45" i="22"/>
  <c r="C33" i="16" s="1"/>
  <c r="H44" i="22"/>
  <c r="F44" i="22"/>
  <c r="E44" i="22"/>
  <c r="D44" i="22"/>
  <c r="H41" i="22"/>
  <c r="F41" i="22"/>
  <c r="E10" i="16" s="1"/>
  <c r="E41" i="22"/>
  <c r="D10" i="16" s="1"/>
  <c r="D41" i="22"/>
  <c r="C10" i="16" s="1"/>
  <c r="H40" i="22"/>
  <c r="F40" i="22"/>
  <c r="E40" i="22"/>
  <c r="D40" i="22"/>
  <c r="H39" i="22"/>
  <c r="F39" i="22"/>
  <c r="E39" i="22"/>
  <c r="D39" i="22"/>
  <c r="C49" i="16" s="1"/>
  <c r="H38" i="22"/>
  <c r="G7" i="16" s="1"/>
  <c r="F38" i="22"/>
  <c r="E7" i="16" s="1"/>
  <c r="E38" i="22"/>
  <c r="D7" i="16" s="1"/>
  <c r="D38" i="22"/>
  <c r="H37" i="22"/>
  <c r="G6" i="16" s="1"/>
  <c r="F37" i="22"/>
  <c r="E47" i="16" s="1"/>
  <c r="E37" i="22"/>
  <c r="D39" i="16" s="1"/>
  <c r="D37" i="22"/>
  <c r="C47" i="16" s="1"/>
  <c r="H25" i="22"/>
  <c r="G59" i="15" s="1"/>
  <c r="F25" i="22"/>
  <c r="E59" i="15" s="1"/>
  <c r="E25" i="22"/>
  <c r="D25" i="22"/>
  <c r="C59" i="15" s="1"/>
  <c r="H24" i="22"/>
  <c r="G58" i="15" s="1"/>
  <c r="F24" i="22"/>
  <c r="E58" i="15" s="1"/>
  <c r="E24" i="22"/>
  <c r="D58" i="15" s="1"/>
  <c r="D24" i="22"/>
  <c r="C58" i="15" s="1"/>
  <c r="H23" i="22"/>
  <c r="G57" i="15" s="1"/>
  <c r="F23" i="22"/>
  <c r="E23" i="22"/>
  <c r="D23" i="22"/>
  <c r="C57" i="15" s="1"/>
  <c r="H22" i="22"/>
  <c r="G56" i="15" s="1"/>
  <c r="F22" i="22"/>
  <c r="E56" i="15" s="1"/>
  <c r="E22" i="22"/>
  <c r="D56" i="15" s="1"/>
  <c r="D22" i="22"/>
  <c r="C56" i="15" s="1"/>
  <c r="H21" i="22"/>
  <c r="F21" i="22"/>
  <c r="E21" i="22"/>
  <c r="D21" i="22"/>
  <c r="H17" i="22"/>
  <c r="F17" i="22"/>
  <c r="E35" i="15" s="1"/>
  <c r="E17" i="22"/>
  <c r="D17" i="22"/>
  <c r="C35" i="15" s="1"/>
  <c r="H16" i="22"/>
  <c r="G34" i="15" s="1"/>
  <c r="F16" i="22"/>
  <c r="E16" i="22"/>
  <c r="D16" i="22"/>
  <c r="H15" i="22"/>
  <c r="G33" i="15" s="1"/>
  <c r="F15" i="22"/>
  <c r="E15" i="22"/>
  <c r="D15" i="22"/>
  <c r="H14" i="22"/>
  <c r="G32" i="15" s="1"/>
  <c r="F14" i="22"/>
  <c r="E32" i="15" s="1"/>
  <c r="E14" i="22"/>
  <c r="D32" i="15" s="1"/>
  <c r="D14" i="22"/>
  <c r="C32" i="15" s="1"/>
  <c r="H11" i="22"/>
  <c r="F11" i="22"/>
  <c r="E11" i="22"/>
  <c r="D11" i="22"/>
  <c r="C51" i="15" s="1"/>
  <c r="H10" i="22"/>
  <c r="F10" i="22"/>
  <c r="E9" i="15" s="1"/>
  <c r="E10" i="22"/>
  <c r="D9" i="15" s="1"/>
  <c r="D10" i="22"/>
  <c r="C9" i="15" s="1"/>
  <c r="H9" i="22"/>
  <c r="F9" i="22"/>
  <c r="E9" i="22"/>
  <c r="D9" i="22"/>
  <c r="H8" i="22"/>
  <c r="G7" i="15" s="1"/>
  <c r="F8" i="22"/>
  <c r="E8" i="22"/>
  <c r="D8" i="22"/>
  <c r="C48" i="15" s="1"/>
  <c r="H7" i="22"/>
  <c r="G39" i="15" s="1"/>
  <c r="F7" i="22"/>
  <c r="E39" i="15" s="1"/>
  <c r="E7" i="22"/>
  <c r="D22" i="15" s="1"/>
  <c r="D7" i="22"/>
  <c r="J3" i="22"/>
  <c r="A2" i="22"/>
  <c r="H55" i="23"/>
  <c r="G59" i="18" s="1"/>
  <c r="F55" i="23"/>
  <c r="E59" i="18" s="1"/>
  <c r="E55" i="23"/>
  <c r="D59" i="18" s="1"/>
  <c r="D55" i="23"/>
  <c r="C59" i="18" s="1"/>
  <c r="H54" i="23"/>
  <c r="F54" i="23"/>
  <c r="E58" i="18" s="1"/>
  <c r="E54" i="23"/>
  <c r="D58" i="18" s="1"/>
  <c r="D54" i="23"/>
  <c r="H53" i="23"/>
  <c r="G57" i="18" s="1"/>
  <c r="F53" i="23"/>
  <c r="E57" i="18" s="1"/>
  <c r="E53" i="23"/>
  <c r="D57" i="18" s="1"/>
  <c r="D53" i="23"/>
  <c r="H52" i="23"/>
  <c r="G56" i="18" s="1"/>
  <c r="F52" i="23"/>
  <c r="E56" i="18" s="1"/>
  <c r="E52" i="23"/>
  <c r="D56" i="18" s="1"/>
  <c r="D52" i="23"/>
  <c r="C56" i="18" s="1"/>
  <c r="H51" i="23"/>
  <c r="F51" i="23"/>
  <c r="E51" i="23"/>
  <c r="D51" i="23"/>
  <c r="H47" i="23"/>
  <c r="G35" i="18" s="1"/>
  <c r="F47" i="23"/>
  <c r="E47" i="23"/>
  <c r="D47" i="23"/>
  <c r="H46" i="23"/>
  <c r="G34" i="18" s="1"/>
  <c r="F46" i="23"/>
  <c r="E34" i="18" s="1"/>
  <c r="E46" i="23"/>
  <c r="D34" i="18" s="1"/>
  <c r="D46" i="23"/>
  <c r="H45" i="23"/>
  <c r="F45" i="23"/>
  <c r="E33" i="18" s="1"/>
  <c r="E45" i="23"/>
  <c r="D33" i="18" s="1"/>
  <c r="D45" i="23"/>
  <c r="C33" i="18" s="1"/>
  <c r="H44" i="23"/>
  <c r="G32" i="18" s="1"/>
  <c r="F44" i="23"/>
  <c r="E44" i="23"/>
  <c r="D44" i="23"/>
  <c r="H41" i="23"/>
  <c r="G10" i="18" s="1"/>
  <c r="F41" i="23"/>
  <c r="E41" i="23"/>
  <c r="D10" i="18" s="1"/>
  <c r="D41" i="23"/>
  <c r="C10" i="18" s="1"/>
  <c r="H40" i="23"/>
  <c r="G9" i="18" s="1"/>
  <c r="F40" i="23"/>
  <c r="E9" i="18" s="1"/>
  <c r="E40" i="23"/>
  <c r="D9" i="18" s="1"/>
  <c r="D40" i="23"/>
  <c r="C9" i="18" s="1"/>
  <c r="H39" i="23"/>
  <c r="F39" i="23"/>
  <c r="E39" i="23"/>
  <c r="D39" i="23"/>
  <c r="H38" i="23"/>
  <c r="G7" i="18" s="1"/>
  <c r="F38" i="23"/>
  <c r="E7" i="18" s="1"/>
  <c r="E38" i="23"/>
  <c r="D7" i="18" s="1"/>
  <c r="D38" i="23"/>
  <c r="C7" i="18" s="1"/>
  <c r="H37" i="23"/>
  <c r="G39" i="18" s="1"/>
  <c r="F37" i="23"/>
  <c r="E22" i="18" s="1"/>
  <c r="E37" i="23"/>
  <c r="D22" i="18" s="1"/>
  <c r="D37" i="23"/>
  <c r="C39" i="18" s="1"/>
  <c r="H25" i="23"/>
  <c r="G59" i="17" s="1"/>
  <c r="F25" i="23"/>
  <c r="E59" i="17" s="1"/>
  <c r="E25" i="23"/>
  <c r="D59" i="17" s="1"/>
  <c r="D25" i="23"/>
  <c r="C59" i="17" s="1"/>
  <c r="H24" i="23"/>
  <c r="G58" i="17" s="1"/>
  <c r="F24" i="23"/>
  <c r="E58" i="17" s="1"/>
  <c r="E24" i="23"/>
  <c r="D58" i="17" s="1"/>
  <c r="D24" i="23"/>
  <c r="C58" i="17" s="1"/>
  <c r="H23" i="23"/>
  <c r="G57" i="17" s="1"/>
  <c r="F23" i="23"/>
  <c r="E57" i="17" s="1"/>
  <c r="E23" i="23"/>
  <c r="D57" i="17" s="1"/>
  <c r="D23" i="23"/>
  <c r="C57" i="17" s="1"/>
  <c r="H22" i="23"/>
  <c r="G56" i="17" s="1"/>
  <c r="F22" i="23"/>
  <c r="E56" i="17" s="1"/>
  <c r="E22" i="23"/>
  <c r="D22" i="23"/>
  <c r="C56" i="17" s="1"/>
  <c r="H21" i="23"/>
  <c r="F21" i="23"/>
  <c r="E21" i="23"/>
  <c r="D21" i="23"/>
  <c r="H17" i="23"/>
  <c r="G35" i="17" s="1"/>
  <c r="F17" i="23"/>
  <c r="E35" i="17" s="1"/>
  <c r="E17" i="23"/>
  <c r="D35" i="17" s="1"/>
  <c r="D17" i="23"/>
  <c r="C35" i="17" s="1"/>
  <c r="H16" i="23"/>
  <c r="F16" i="23"/>
  <c r="E16" i="23"/>
  <c r="D16" i="23"/>
  <c r="H15" i="23"/>
  <c r="F15" i="23"/>
  <c r="E15" i="23"/>
  <c r="D15" i="23"/>
  <c r="C33" i="17" s="1"/>
  <c r="H14" i="23"/>
  <c r="G32" i="17" s="1"/>
  <c r="F14" i="23"/>
  <c r="E32" i="17" s="1"/>
  <c r="E14" i="23"/>
  <c r="D32" i="17" s="1"/>
  <c r="D14" i="23"/>
  <c r="C32" i="17" s="1"/>
  <c r="H11" i="23"/>
  <c r="F11" i="23"/>
  <c r="E11" i="23"/>
  <c r="D11" i="23"/>
  <c r="H10" i="23"/>
  <c r="G9" i="17" s="1"/>
  <c r="F10" i="23"/>
  <c r="E10" i="23"/>
  <c r="D10" i="23"/>
  <c r="C9" i="17" s="1"/>
  <c r="H9" i="23"/>
  <c r="G8" i="17" s="1"/>
  <c r="F9" i="23"/>
  <c r="E8" i="17" s="1"/>
  <c r="E9" i="23"/>
  <c r="D8" i="17" s="1"/>
  <c r="D9" i="23"/>
  <c r="C41" i="17" s="1"/>
  <c r="H8" i="23"/>
  <c r="F8" i="23"/>
  <c r="E8" i="23"/>
  <c r="D8" i="23"/>
  <c r="H7" i="23"/>
  <c r="G47" i="17" s="1"/>
  <c r="F7" i="23"/>
  <c r="E7" i="23"/>
  <c r="D22" i="17" s="1"/>
  <c r="D7" i="23"/>
  <c r="C22" i="17" s="1"/>
  <c r="J3" i="23"/>
  <c r="A2" i="23"/>
  <c r="G59" i="14"/>
  <c r="D59" i="14"/>
  <c r="C59" i="14"/>
  <c r="C56" i="14"/>
  <c r="E10" i="14"/>
  <c r="C10" i="14"/>
  <c r="G47" i="14"/>
  <c r="D56" i="14"/>
  <c r="H25" i="21"/>
  <c r="G59" i="13" s="1"/>
  <c r="F25" i="21"/>
  <c r="E59" i="13" s="1"/>
  <c r="E25" i="21"/>
  <c r="D59" i="13" s="1"/>
  <c r="D25" i="21"/>
  <c r="C59" i="13" s="1"/>
  <c r="H24" i="21"/>
  <c r="G58" i="13" s="1"/>
  <c r="F24" i="21"/>
  <c r="E58" i="13" s="1"/>
  <c r="E24" i="21"/>
  <c r="D58" i="13" s="1"/>
  <c r="D24" i="21"/>
  <c r="C58" i="13" s="1"/>
  <c r="H23" i="21"/>
  <c r="G57" i="13" s="1"/>
  <c r="F23" i="21"/>
  <c r="E57" i="13" s="1"/>
  <c r="E23" i="21"/>
  <c r="D57" i="13" s="1"/>
  <c r="D23" i="21"/>
  <c r="H22" i="21"/>
  <c r="G56" i="13" s="1"/>
  <c r="F22" i="21"/>
  <c r="E56" i="13" s="1"/>
  <c r="E22" i="21"/>
  <c r="D56" i="13" s="1"/>
  <c r="D22" i="21"/>
  <c r="C56" i="13" s="1"/>
  <c r="H21" i="21"/>
  <c r="F21" i="21"/>
  <c r="E21" i="21"/>
  <c r="D21" i="21"/>
  <c r="H17" i="21"/>
  <c r="F17" i="21"/>
  <c r="E35" i="13" s="1"/>
  <c r="E17" i="21"/>
  <c r="D35" i="13" s="1"/>
  <c r="D17" i="21"/>
  <c r="C35" i="13" s="1"/>
  <c r="H16" i="21"/>
  <c r="F16" i="21"/>
  <c r="E16" i="21"/>
  <c r="D34" i="13" s="1"/>
  <c r="D16" i="21"/>
  <c r="C34" i="13" s="1"/>
  <c r="H15" i="21"/>
  <c r="F15" i="21"/>
  <c r="E33" i="13" s="1"/>
  <c r="E15" i="21"/>
  <c r="D33" i="13" s="1"/>
  <c r="D15" i="21"/>
  <c r="H14" i="21"/>
  <c r="G32" i="13" s="1"/>
  <c r="F14" i="21"/>
  <c r="E32" i="13" s="1"/>
  <c r="E14" i="21"/>
  <c r="D32" i="13" s="1"/>
  <c r="D14" i="21"/>
  <c r="C32" i="13" s="1"/>
  <c r="H11" i="21"/>
  <c r="F11" i="21"/>
  <c r="E11" i="21"/>
  <c r="D11" i="21"/>
  <c r="H10" i="21"/>
  <c r="G9" i="13" s="1"/>
  <c r="F10" i="21"/>
  <c r="E10" i="21"/>
  <c r="D10" i="21"/>
  <c r="H9" i="21"/>
  <c r="G8" i="13" s="1"/>
  <c r="F9" i="21"/>
  <c r="E9" i="21"/>
  <c r="D9" i="21"/>
  <c r="H8" i="21"/>
  <c r="F8" i="21"/>
  <c r="E8" i="21"/>
  <c r="D8" i="21"/>
  <c r="H7" i="21"/>
  <c r="G47" i="13" s="1"/>
  <c r="F7" i="21"/>
  <c r="E47" i="13" s="1"/>
  <c r="E7" i="21"/>
  <c r="D39" i="13" s="1"/>
  <c r="D7" i="21"/>
  <c r="C39" i="13" s="1"/>
  <c r="J3" i="21"/>
  <c r="A2" i="21"/>
  <c r="C34" i="12"/>
  <c r="J3" i="20"/>
  <c r="A2" i="20"/>
  <c r="G57" i="19"/>
  <c r="D33" i="19"/>
  <c r="J3" i="19"/>
  <c r="A2" i="19"/>
  <c r="E10" i="18"/>
  <c r="J3" i="18"/>
  <c r="A2" i="18"/>
  <c r="E22" i="17"/>
  <c r="E9" i="17"/>
  <c r="E6" i="17"/>
  <c r="J3" i="17"/>
  <c r="A2" i="17"/>
  <c r="J3" i="16"/>
  <c r="A2" i="16"/>
  <c r="E34" i="15"/>
  <c r="J3" i="15"/>
  <c r="A2" i="15"/>
  <c r="E59" i="14"/>
  <c r="G56" i="14"/>
  <c r="E56" i="14"/>
  <c r="E34" i="14"/>
  <c r="G22" i="14"/>
  <c r="G9" i="14"/>
  <c r="G6" i="14"/>
  <c r="J3" i="14"/>
  <c r="A2" i="14"/>
  <c r="G7" i="13"/>
  <c r="J3" i="13"/>
  <c r="A2" i="13"/>
  <c r="G59" i="12"/>
  <c r="C59" i="12"/>
  <c r="G9" i="12"/>
  <c r="J3" i="12"/>
  <c r="J3" i="11"/>
  <c r="A2" i="11"/>
  <c r="D15" i="9"/>
  <c r="K24" i="10" l="1"/>
  <c r="G41" i="14"/>
  <c r="E39" i="16"/>
  <c r="E41" i="15"/>
  <c r="E42" i="16"/>
  <c r="C50" i="14"/>
  <c r="G17" i="13"/>
  <c r="C15" i="19"/>
  <c r="C51" i="19"/>
  <c r="C39" i="15"/>
  <c r="F39" i="15" s="1"/>
  <c r="G39" i="16"/>
  <c r="E39" i="13"/>
  <c r="F39" i="13" s="1"/>
  <c r="K46" i="23"/>
  <c r="C42" i="19"/>
  <c r="E39" i="19"/>
  <c r="D42" i="17"/>
  <c r="G26" i="15"/>
  <c r="G41" i="16"/>
  <c r="G16" i="16"/>
  <c r="G17" i="14"/>
  <c r="D41" i="13"/>
  <c r="E41" i="13"/>
  <c r="D47" i="18"/>
  <c r="E26" i="10"/>
  <c r="E15" i="19"/>
  <c r="D18" i="15"/>
  <c r="G21" i="24"/>
  <c r="F26" i="10"/>
  <c r="H27" i="10"/>
  <c r="D22" i="14"/>
  <c r="E39" i="17"/>
  <c r="G16" i="13"/>
  <c r="E39" i="12"/>
  <c r="D40" i="13"/>
  <c r="D43" i="13"/>
  <c r="E26" i="16"/>
  <c r="G22" i="12"/>
  <c r="G47" i="12"/>
  <c r="C41" i="15"/>
  <c r="G40" i="13"/>
  <c r="D41" i="15"/>
  <c r="F41" i="15" s="1"/>
  <c r="E15" i="9"/>
  <c r="I27" i="10"/>
  <c r="G15" i="9"/>
  <c r="D33" i="15"/>
  <c r="H23" i="10"/>
  <c r="I23" i="10"/>
  <c r="J45" i="23"/>
  <c r="D39" i="18"/>
  <c r="D6" i="18"/>
  <c r="G56" i="19"/>
  <c r="J56" i="19" s="1"/>
  <c r="K22" i="24"/>
  <c r="J23" i="10"/>
  <c r="D6" i="15"/>
  <c r="D39" i="15"/>
  <c r="D47" i="15"/>
  <c r="F15" i="9"/>
  <c r="A23" i="10"/>
  <c r="B14" i="9"/>
  <c r="C58" i="18"/>
  <c r="I58" i="18" s="1"/>
  <c r="G54" i="23"/>
  <c r="E17" i="19"/>
  <c r="E42" i="19"/>
  <c r="G27" i="10"/>
  <c r="D26" i="10"/>
  <c r="J24" i="10"/>
  <c r="G23" i="10"/>
  <c r="C15" i="9"/>
  <c r="F27" i="10"/>
  <c r="C26" i="10"/>
  <c r="I24" i="10"/>
  <c r="F23" i="10"/>
  <c r="J26" i="10"/>
  <c r="G25" i="10"/>
  <c r="D24" i="10"/>
  <c r="H15" i="9"/>
  <c r="E27" i="10"/>
  <c r="K25" i="10"/>
  <c r="H24" i="10"/>
  <c r="E23" i="10"/>
  <c r="D27" i="10"/>
  <c r="J25" i="10"/>
  <c r="G24" i="10"/>
  <c r="D23" i="10"/>
  <c r="K26" i="10"/>
  <c r="H25" i="10"/>
  <c r="E24" i="10"/>
  <c r="K15" i="9"/>
  <c r="J27" i="10"/>
  <c r="G26" i="10"/>
  <c r="D25" i="10"/>
  <c r="C27" i="10"/>
  <c r="I25" i="10"/>
  <c r="F24" i="10"/>
  <c r="C23" i="10"/>
  <c r="J15" i="9"/>
  <c r="I26" i="10"/>
  <c r="F25" i="10"/>
  <c r="C24" i="10"/>
  <c r="I15" i="9"/>
  <c r="K27" i="10"/>
  <c r="H26" i="10"/>
  <c r="E25" i="10"/>
  <c r="K23" i="10"/>
  <c r="C25" i="10"/>
  <c r="G16" i="18"/>
  <c r="D17" i="15"/>
  <c r="G43" i="16"/>
  <c r="G49" i="14"/>
  <c r="G42" i="12"/>
  <c r="G16" i="14"/>
  <c r="D24" i="17"/>
  <c r="K38" i="21"/>
  <c r="C42" i="13"/>
  <c r="C41" i="13"/>
  <c r="I41" i="13" s="1"/>
  <c r="D49" i="15"/>
  <c r="D42" i="16"/>
  <c r="D17" i="16"/>
  <c r="D42" i="19"/>
  <c r="I42" i="19" s="1"/>
  <c r="D16" i="15"/>
  <c r="E6" i="12"/>
  <c r="E50" i="14"/>
  <c r="D15" i="17"/>
  <c r="G49" i="15"/>
  <c r="G42" i="16"/>
  <c r="K54" i="22"/>
  <c r="G50" i="19"/>
  <c r="E51" i="12"/>
  <c r="I58" i="15"/>
  <c r="C48" i="16"/>
  <c r="K52" i="22"/>
  <c r="G33" i="13"/>
  <c r="G47" i="16"/>
  <c r="J47" i="16" s="1"/>
  <c r="C33" i="13"/>
  <c r="I33" i="13" s="1"/>
  <c r="C24" i="13"/>
  <c r="J32" i="13"/>
  <c r="G23" i="21"/>
  <c r="L23" i="21" s="1"/>
  <c r="I59" i="14"/>
  <c r="K54" i="23"/>
  <c r="E40" i="19"/>
  <c r="E43" i="19"/>
  <c r="C49" i="14"/>
  <c r="C43" i="14"/>
  <c r="J17" i="23"/>
  <c r="J59" i="14"/>
  <c r="D40" i="14"/>
  <c r="D35" i="15"/>
  <c r="E17" i="12"/>
  <c r="E6" i="15"/>
  <c r="G51" i="23"/>
  <c r="L51" i="23" s="1"/>
  <c r="J37" i="23"/>
  <c r="E17" i="16"/>
  <c r="G22" i="17"/>
  <c r="C51" i="12"/>
  <c r="D48" i="15"/>
  <c r="I48" i="15" s="1"/>
  <c r="C17" i="16"/>
  <c r="G6" i="13"/>
  <c r="G41" i="13"/>
  <c r="E22" i="15"/>
  <c r="G22" i="16"/>
  <c r="G15" i="13"/>
  <c r="G51" i="13"/>
  <c r="G48" i="15"/>
  <c r="J48" i="15" s="1"/>
  <c r="E51" i="18"/>
  <c r="E17" i="18"/>
  <c r="D15" i="19"/>
  <c r="I15" i="19" s="1"/>
  <c r="D18" i="19"/>
  <c r="C50" i="12"/>
  <c r="J50" i="12" s="1"/>
  <c r="K9" i="24"/>
  <c r="E49" i="13"/>
  <c r="E33" i="15"/>
  <c r="G15" i="18"/>
  <c r="C51" i="17"/>
  <c r="E49" i="15"/>
  <c r="E16" i="15"/>
  <c r="E50" i="16"/>
  <c r="E16" i="19"/>
  <c r="E25" i="12"/>
  <c r="E16" i="13"/>
  <c r="G49" i="13"/>
  <c r="C22" i="18"/>
  <c r="F22" i="18" s="1"/>
  <c r="C47" i="18"/>
  <c r="G18" i="15"/>
  <c r="G16" i="12"/>
  <c r="I41" i="15"/>
  <c r="G22" i="13"/>
  <c r="G35" i="15"/>
  <c r="J35" i="15" s="1"/>
  <c r="E34" i="16"/>
  <c r="F34" i="16" s="1"/>
  <c r="E10" i="19"/>
  <c r="J37" i="22"/>
  <c r="E49" i="19"/>
  <c r="D17" i="12"/>
  <c r="J10" i="22"/>
  <c r="C47" i="15"/>
  <c r="G9" i="16"/>
  <c r="C6" i="18"/>
  <c r="E40" i="13"/>
  <c r="E26" i="13"/>
  <c r="E17" i="13"/>
  <c r="J54" i="23"/>
  <c r="D43" i="14"/>
  <c r="C24" i="14"/>
  <c r="C8" i="14"/>
  <c r="C11" i="14" s="1"/>
  <c r="E25" i="14"/>
  <c r="D8" i="14"/>
  <c r="G8" i="14"/>
  <c r="G43" i="14"/>
  <c r="C6" i="14"/>
  <c r="J6" i="14" s="1"/>
  <c r="E8" i="13"/>
  <c r="E17" i="14"/>
  <c r="G10" i="15"/>
  <c r="G43" i="15"/>
  <c r="D32" i="19"/>
  <c r="D36" i="19" s="1"/>
  <c r="C41" i="12"/>
  <c r="J14" i="21"/>
  <c r="C40" i="13"/>
  <c r="C43" i="13"/>
  <c r="E40" i="14"/>
  <c r="D49" i="17"/>
  <c r="G42" i="15"/>
  <c r="G48" i="16"/>
  <c r="G51" i="16"/>
  <c r="G17" i="16"/>
  <c r="E41" i="12"/>
  <c r="D43" i="15"/>
  <c r="D24" i="16"/>
  <c r="D24" i="19"/>
  <c r="G37" i="20"/>
  <c r="L37" i="20" s="1"/>
  <c r="G51" i="20"/>
  <c r="L51" i="20" s="1"/>
  <c r="E9" i="12"/>
  <c r="E42" i="12"/>
  <c r="C25" i="14"/>
  <c r="C33" i="15"/>
  <c r="J33" i="15" s="1"/>
  <c r="E47" i="15"/>
  <c r="E24" i="17"/>
  <c r="E33" i="19"/>
  <c r="E36" i="19" s="1"/>
  <c r="J34" i="12"/>
  <c r="G48" i="13"/>
  <c r="G26" i="13"/>
  <c r="G42" i="13"/>
  <c r="D24" i="14"/>
  <c r="E48" i="15"/>
  <c r="E47" i="18"/>
  <c r="F58" i="17"/>
  <c r="K58" i="17" s="1"/>
  <c r="C25" i="18"/>
  <c r="J59" i="18"/>
  <c r="E51" i="15"/>
  <c r="E49" i="16"/>
  <c r="E40" i="16"/>
  <c r="E43" i="16"/>
  <c r="D39" i="19"/>
  <c r="I39" i="19" s="1"/>
  <c r="C17" i="19"/>
  <c r="J17" i="19" s="1"/>
  <c r="D42" i="12"/>
  <c r="F35" i="13"/>
  <c r="E50" i="18"/>
  <c r="C18" i="19"/>
  <c r="G33" i="14"/>
  <c r="J33" i="14" s="1"/>
  <c r="E57" i="15"/>
  <c r="E60" i="15" s="1"/>
  <c r="D47" i="16"/>
  <c r="I47" i="16" s="1"/>
  <c r="E39" i="18"/>
  <c r="F39" i="18" s="1"/>
  <c r="C35" i="19"/>
  <c r="J35" i="19" s="1"/>
  <c r="D49" i="13"/>
  <c r="D48" i="18"/>
  <c r="E49" i="17"/>
  <c r="C49" i="15"/>
  <c r="C50" i="16"/>
  <c r="J51" i="22"/>
  <c r="G50" i="12"/>
  <c r="G17" i="12"/>
  <c r="G51" i="12"/>
  <c r="E42" i="18"/>
  <c r="C40" i="19"/>
  <c r="K52" i="20"/>
  <c r="G55" i="20"/>
  <c r="L55" i="20" s="1"/>
  <c r="G6" i="17"/>
  <c r="E6" i="18"/>
  <c r="G43" i="19"/>
  <c r="E7" i="13"/>
  <c r="C9" i="14"/>
  <c r="G39" i="14"/>
  <c r="J39" i="14" s="1"/>
  <c r="G39" i="17"/>
  <c r="D25" i="18"/>
  <c r="I25" i="18" s="1"/>
  <c r="J59" i="19"/>
  <c r="D47" i="17"/>
  <c r="E25" i="18"/>
  <c r="D42" i="13"/>
  <c r="C48" i="19"/>
  <c r="C43" i="19"/>
  <c r="J34" i="19"/>
  <c r="G48" i="12"/>
  <c r="C8" i="13"/>
  <c r="J8" i="13" s="1"/>
  <c r="C57" i="13"/>
  <c r="I57" i="13" s="1"/>
  <c r="G10" i="14"/>
  <c r="J10" i="14" s="1"/>
  <c r="D9" i="17"/>
  <c r="I9" i="17" s="1"/>
  <c r="E47" i="17"/>
  <c r="F15" i="20"/>
  <c r="C42" i="14"/>
  <c r="F42" i="14" s="1"/>
  <c r="G24" i="18"/>
  <c r="D48" i="19"/>
  <c r="D34" i="12"/>
  <c r="F34" i="12" s="1"/>
  <c r="K34" i="12" s="1"/>
  <c r="D8" i="13"/>
  <c r="G35" i="13"/>
  <c r="J35" i="13" s="1"/>
  <c r="E43" i="15"/>
  <c r="C32" i="19"/>
  <c r="J32" i="19" s="1"/>
  <c r="G24" i="13"/>
  <c r="J24" i="13" s="1"/>
  <c r="D17" i="14"/>
  <c r="E50" i="19"/>
  <c r="D48" i="12"/>
  <c r="D51" i="12"/>
  <c r="G25" i="12"/>
  <c r="E10" i="12"/>
  <c r="F10" i="12" s="1"/>
  <c r="K10" i="12" s="1"/>
  <c r="G33" i="12"/>
  <c r="E48" i="12"/>
  <c r="E16" i="12"/>
  <c r="G6" i="12"/>
  <c r="K10" i="24"/>
  <c r="G16" i="24"/>
  <c r="L16" i="24" s="1"/>
  <c r="C7" i="19"/>
  <c r="J7" i="19" s="1"/>
  <c r="G42" i="19"/>
  <c r="J42" i="19" s="1"/>
  <c r="G16" i="19"/>
  <c r="E18" i="19"/>
  <c r="E19" i="19" s="1"/>
  <c r="E48" i="19"/>
  <c r="D17" i="19"/>
  <c r="C23" i="19"/>
  <c r="G17" i="19"/>
  <c r="D9" i="19"/>
  <c r="D25" i="19"/>
  <c r="E34" i="19"/>
  <c r="F34" i="19" s="1"/>
  <c r="K34" i="19" s="1"/>
  <c r="G47" i="19"/>
  <c r="J33" i="19"/>
  <c r="G9" i="19"/>
  <c r="G25" i="19"/>
  <c r="D50" i="19"/>
  <c r="G41" i="19"/>
  <c r="E25" i="19"/>
  <c r="D51" i="19"/>
  <c r="I51" i="19" s="1"/>
  <c r="C10" i="19"/>
  <c r="I10" i="19" s="1"/>
  <c r="C26" i="19"/>
  <c r="D35" i="19"/>
  <c r="D7" i="19"/>
  <c r="H21" i="20"/>
  <c r="D41" i="19"/>
  <c r="D57" i="19"/>
  <c r="D60" i="19" s="1"/>
  <c r="J24" i="24"/>
  <c r="E6" i="19"/>
  <c r="E22" i="19"/>
  <c r="E51" i="19"/>
  <c r="G6" i="19"/>
  <c r="G22" i="19"/>
  <c r="G48" i="19"/>
  <c r="G51" i="19"/>
  <c r="J51" i="19" s="1"/>
  <c r="C49" i="19"/>
  <c r="E21" i="20"/>
  <c r="D23" i="19"/>
  <c r="D26" i="19"/>
  <c r="D40" i="19"/>
  <c r="F40" i="19" s="1"/>
  <c r="D43" i="19"/>
  <c r="D49" i="19"/>
  <c r="G10" i="19"/>
  <c r="G23" i="19"/>
  <c r="G26" i="19"/>
  <c r="G40" i="19"/>
  <c r="G49" i="19"/>
  <c r="J7" i="24"/>
  <c r="C24" i="19"/>
  <c r="C41" i="19"/>
  <c r="C47" i="19"/>
  <c r="I47" i="19" s="1"/>
  <c r="C50" i="19"/>
  <c r="D8" i="19"/>
  <c r="I8" i="19" s="1"/>
  <c r="E8" i="19"/>
  <c r="E24" i="19"/>
  <c r="E41" i="19"/>
  <c r="G8" i="19"/>
  <c r="J8" i="19" s="1"/>
  <c r="G15" i="19"/>
  <c r="J15" i="19" s="1"/>
  <c r="G18" i="19"/>
  <c r="G24" i="19"/>
  <c r="C6" i="19"/>
  <c r="C9" i="19"/>
  <c r="F9" i="19" s="1"/>
  <c r="C16" i="19"/>
  <c r="C22" i="19"/>
  <c r="C25" i="19"/>
  <c r="E7" i="19"/>
  <c r="E23" i="19"/>
  <c r="E26" i="19"/>
  <c r="D6" i="19"/>
  <c r="D22" i="19"/>
  <c r="D21" i="20"/>
  <c r="J49" i="16"/>
  <c r="K38" i="22"/>
  <c r="J56" i="16"/>
  <c r="G10" i="16"/>
  <c r="G34" i="16"/>
  <c r="J34" i="16" s="1"/>
  <c r="G41" i="15"/>
  <c r="J41" i="15" s="1"/>
  <c r="H15" i="20"/>
  <c r="G9" i="15"/>
  <c r="J9" i="15" s="1"/>
  <c r="G26" i="16"/>
  <c r="G16" i="15"/>
  <c r="I10" i="16"/>
  <c r="G49" i="16"/>
  <c r="H10" i="20"/>
  <c r="G6" i="15"/>
  <c r="G23" i="15"/>
  <c r="D50" i="16"/>
  <c r="D51" i="15"/>
  <c r="G15" i="15"/>
  <c r="D49" i="16"/>
  <c r="G23" i="16"/>
  <c r="G40" i="15"/>
  <c r="G40" i="16"/>
  <c r="G50" i="16"/>
  <c r="G51" i="15"/>
  <c r="J51" i="15" s="1"/>
  <c r="C42" i="16"/>
  <c r="G17" i="15"/>
  <c r="G22" i="15"/>
  <c r="J59" i="16"/>
  <c r="C16" i="15"/>
  <c r="G25" i="16"/>
  <c r="C39" i="17"/>
  <c r="G6" i="18"/>
  <c r="J15" i="23"/>
  <c r="C6" i="17"/>
  <c r="E15" i="17"/>
  <c r="G24" i="17"/>
  <c r="D39" i="17"/>
  <c r="C42" i="18"/>
  <c r="D50" i="17"/>
  <c r="D6" i="17"/>
  <c r="G15" i="17"/>
  <c r="G17" i="18"/>
  <c r="D42" i="18"/>
  <c r="J39" i="18"/>
  <c r="C16" i="17"/>
  <c r="G33" i="18"/>
  <c r="J33" i="18" s="1"/>
  <c r="G58" i="18"/>
  <c r="G58" i="11" s="1"/>
  <c r="D16" i="17"/>
  <c r="D41" i="17"/>
  <c r="I41" i="17" s="1"/>
  <c r="C34" i="18"/>
  <c r="F34" i="18" s="1"/>
  <c r="K34" i="18" s="1"/>
  <c r="G42" i="18"/>
  <c r="J42" i="18" s="1"/>
  <c r="H7" i="20"/>
  <c r="J56" i="17"/>
  <c r="G49" i="18"/>
  <c r="G16" i="17"/>
  <c r="D33" i="17"/>
  <c r="G41" i="17"/>
  <c r="J41" i="17" s="1"/>
  <c r="G22" i="18"/>
  <c r="D50" i="18"/>
  <c r="D17" i="18"/>
  <c r="I6" i="18"/>
  <c r="H24" i="20"/>
  <c r="G25" i="18"/>
  <c r="J25" i="18" s="1"/>
  <c r="E16" i="17"/>
  <c r="E41" i="17"/>
  <c r="G47" i="18"/>
  <c r="C47" i="17"/>
  <c r="I47" i="17" s="1"/>
  <c r="D56" i="17"/>
  <c r="D56" i="11" s="1"/>
  <c r="C50" i="18"/>
  <c r="G49" i="17"/>
  <c r="G50" i="18"/>
  <c r="K37" i="23"/>
  <c r="E33" i="17"/>
  <c r="C42" i="17"/>
  <c r="J46" i="23"/>
  <c r="G33" i="17"/>
  <c r="J33" i="17" s="1"/>
  <c r="C40" i="17"/>
  <c r="C23" i="17"/>
  <c r="C7" i="17"/>
  <c r="C34" i="17"/>
  <c r="J34" i="17" s="1"/>
  <c r="C17" i="17"/>
  <c r="C32" i="18"/>
  <c r="J32" i="18" s="1"/>
  <c r="C15" i="18"/>
  <c r="C40" i="18"/>
  <c r="C23" i="18"/>
  <c r="K53" i="23"/>
  <c r="C57" i="18"/>
  <c r="J57" i="18" s="1"/>
  <c r="D43" i="17"/>
  <c r="D26" i="17"/>
  <c r="D10" i="17"/>
  <c r="D41" i="18"/>
  <c r="D8" i="18"/>
  <c r="D11" i="18" s="1"/>
  <c r="D24" i="18"/>
  <c r="D49" i="18"/>
  <c r="D35" i="18"/>
  <c r="D18" i="18"/>
  <c r="D43" i="18"/>
  <c r="D26" i="18"/>
  <c r="E40" i="17"/>
  <c r="E23" i="17"/>
  <c r="E7" i="17"/>
  <c r="E48" i="17"/>
  <c r="E34" i="17"/>
  <c r="E17" i="17"/>
  <c r="E42" i="17"/>
  <c r="E25" i="17"/>
  <c r="E32" i="18"/>
  <c r="E15" i="18"/>
  <c r="E40" i="18"/>
  <c r="E23" i="18"/>
  <c r="C16" i="18"/>
  <c r="G43" i="17"/>
  <c r="G26" i="17"/>
  <c r="G10" i="17"/>
  <c r="G51" i="17"/>
  <c r="J51" i="17" s="1"/>
  <c r="G34" i="17"/>
  <c r="G17" i="17"/>
  <c r="G42" i="17"/>
  <c r="G25" i="17"/>
  <c r="I58" i="17"/>
  <c r="E48" i="18"/>
  <c r="K25" i="23"/>
  <c r="C25" i="17"/>
  <c r="C48" i="17"/>
  <c r="G8" i="18"/>
  <c r="E16" i="18"/>
  <c r="D25" i="17"/>
  <c r="D18" i="17"/>
  <c r="E50" i="17"/>
  <c r="D51" i="18"/>
  <c r="C43" i="17"/>
  <c r="C26" i="17"/>
  <c r="C10" i="17"/>
  <c r="C41" i="18"/>
  <c r="C24" i="18"/>
  <c r="C8" i="18"/>
  <c r="C11" i="18" s="1"/>
  <c r="C49" i="18"/>
  <c r="K47" i="23"/>
  <c r="C35" i="18"/>
  <c r="C18" i="18"/>
  <c r="C43" i="18"/>
  <c r="C26" i="18"/>
  <c r="D40" i="17"/>
  <c r="D23" i="17"/>
  <c r="D7" i="17"/>
  <c r="E12" i="23"/>
  <c r="E29" i="23" s="1"/>
  <c r="D34" i="17"/>
  <c r="D17" i="17"/>
  <c r="D32" i="18"/>
  <c r="D15" i="18"/>
  <c r="D40" i="18"/>
  <c r="D23" i="18"/>
  <c r="C48" i="18"/>
  <c r="I48" i="18" s="1"/>
  <c r="E43" i="17"/>
  <c r="E26" i="17"/>
  <c r="E10" i="17"/>
  <c r="E51" i="17"/>
  <c r="E41" i="18"/>
  <c r="E24" i="18"/>
  <c r="E8" i="18"/>
  <c r="E49" i="18"/>
  <c r="E35" i="18"/>
  <c r="E18" i="18"/>
  <c r="E43" i="18"/>
  <c r="E26" i="18"/>
  <c r="G23" i="17"/>
  <c r="G7" i="17"/>
  <c r="G40" i="17"/>
  <c r="G48" i="17"/>
  <c r="G40" i="18"/>
  <c r="J40" i="18" s="1"/>
  <c r="G23" i="18"/>
  <c r="G43" i="18"/>
  <c r="G26" i="18"/>
  <c r="G51" i="18"/>
  <c r="G22" i="23"/>
  <c r="L22" i="23" s="1"/>
  <c r="D16" i="18"/>
  <c r="G48" i="18"/>
  <c r="D48" i="17"/>
  <c r="C51" i="18"/>
  <c r="E18" i="17"/>
  <c r="G18" i="18"/>
  <c r="G41" i="18"/>
  <c r="C50" i="17"/>
  <c r="G18" i="17"/>
  <c r="G50" i="17"/>
  <c r="D51" i="17"/>
  <c r="C17" i="18"/>
  <c r="I10" i="18"/>
  <c r="G9" i="23"/>
  <c r="L9" i="23" s="1"/>
  <c r="J9" i="23"/>
  <c r="F21" i="20"/>
  <c r="F22" i="20"/>
  <c r="C49" i="17"/>
  <c r="C8" i="17"/>
  <c r="J8" i="17" s="1"/>
  <c r="C15" i="17"/>
  <c r="C18" i="17"/>
  <c r="J18" i="17" s="1"/>
  <c r="C24" i="17"/>
  <c r="C42" i="15"/>
  <c r="C25" i="15"/>
  <c r="C50" i="15"/>
  <c r="D43" i="16"/>
  <c r="D26" i="16"/>
  <c r="D51" i="16"/>
  <c r="E42" i="15"/>
  <c r="E25" i="15"/>
  <c r="E50" i="15"/>
  <c r="E48" i="16"/>
  <c r="E32" i="16"/>
  <c r="E15" i="16"/>
  <c r="C41" i="16"/>
  <c r="C7" i="15"/>
  <c r="C26" i="15"/>
  <c r="E41" i="16"/>
  <c r="E24" i="16"/>
  <c r="E8" i="16"/>
  <c r="E17" i="15"/>
  <c r="D41" i="16"/>
  <c r="C43" i="16"/>
  <c r="C26" i="16"/>
  <c r="C51" i="16"/>
  <c r="D42" i="15"/>
  <c r="D25" i="15"/>
  <c r="D50" i="15"/>
  <c r="G53" i="22"/>
  <c r="L53" i="22" s="1"/>
  <c r="D7" i="15"/>
  <c r="C17" i="15"/>
  <c r="D26" i="15"/>
  <c r="C15" i="16"/>
  <c r="E7" i="15"/>
  <c r="E26" i="15"/>
  <c r="C18" i="16"/>
  <c r="C40" i="15"/>
  <c r="C8" i="16"/>
  <c r="D18" i="16"/>
  <c r="D40" i="15"/>
  <c r="D8" i="16"/>
  <c r="C40" i="16"/>
  <c r="C10" i="15"/>
  <c r="C23" i="15"/>
  <c r="E40" i="15"/>
  <c r="E44" i="15" s="1"/>
  <c r="E23" i="16"/>
  <c r="D10" i="15"/>
  <c r="D23" i="15"/>
  <c r="C34" i="15"/>
  <c r="D59" i="15"/>
  <c r="F59" i="15" s="1"/>
  <c r="K59" i="15" s="1"/>
  <c r="D40" i="16"/>
  <c r="D23" i="16"/>
  <c r="D48" i="16"/>
  <c r="E51" i="16"/>
  <c r="E35" i="16"/>
  <c r="E18" i="16"/>
  <c r="D15" i="16"/>
  <c r="C32" i="16"/>
  <c r="D32" i="16"/>
  <c r="D36" i="16" s="1"/>
  <c r="E10" i="15"/>
  <c r="E23" i="15"/>
  <c r="D34" i="15"/>
  <c r="C43" i="15"/>
  <c r="C24" i="16"/>
  <c r="C35" i="16"/>
  <c r="I35" i="16" s="1"/>
  <c r="C8" i="15"/>
  <c r="C15" i="15"/>
  <c r="C18" i="15"/>
  <c r="I18" i="15" s="1"/>
  <c r="C24" i="15"/>
  <c r="J23" i="22"/>
  <c r="E8" i="15"/>
  <c r="E15" i="15"/>
  <c r="E18" i="15"/>
  <c r="E24" i="15"/>
  <c r="C6" i="16"/>
  <c r="J6" i="16" s="1"/>
  <c r="C9" i="16"/>
  <c r="C16" i="16"/>
  <c r="C22" i="16"/>
  <c r="C25" i="16"/>
  <c r="C39" i="16"/>
  <c r="I39" i="16" s="1"/>
  <c r="C58" i="16"/>
  <c r="D8" i="15"/>
  <c r="D15" i="15"/>
  <c r="D24" i="15"/>
  <c r="D57" i="15"/>
  <c r="G8" i="16"/>
  <c r="G15" i="16"/>
  <c r="G18" i="16"/>
  <c r="G24" i="16"/>
  <c r="G32" i="16"/>
  <c r="G35" i="16"/>
  <c r="G57" i="16"/>
  <c r="G60" i="16" s="1"/>
  <c r="F10" i="16"/>
  <c r="K23" i="22"/>
  <c r="G8" i="15"/>
  <c r="G24" i="15"/>
  <c r="G47" i="15"/>
  <c r="G50" i="15"/>
  <c r="D6" i="16"/>
  <c r="D9" i="16"/>
  <c r="D16" i="16"/>
  <c r="D22" i="16"/>
  <c r="D25" i="16"/>
  <c r="D58" i="16"/>
  <c r="D60" i="16" s="1"/>
  <c r="C6" i="15"/>
  <c r="C22" i="15"/>
  <c r="E6" i="16"/>
  <c r="E9" i="16"/>
  <c r="E16" i="16"/>
  <c r="E22" i="16"/>
  <c r="E25" i="16"/>
  <c r="C7" i="16"/>
  <c r="F7" i="16" s="1"/>
  <c r="K7" i="16" s="1"/>
  <c r="C23" i="16"/>
  <c r="G25" i="15"/>
  <c r="D9" i="14"/>
  <c r="I9" i="14" s="1"/>
  <c r="D34" i="14"/>
  <c r="I34" i="14" s="1"/>
  <c r="D50" i="14"/>
  <c r="F11" i="20"/>
  <c r="E49" i="14"/>
  <c r="D48" i="14"/>
  <c r="E16" i="14"/>
  <c r="J40" i="21"/>
  <c r="E6" i="14"/>
  <c r="G56" i="11"/>
  <c r="D33" i="14"/>
  <c r="F33" i="14" s="1"/>
  <c r="D47" i="14"/>
  <c r="E22" i="14"/>
  <c r="E9" i="14"/>
  <c r="G34" i="14"/>
  <c r="J34" i="14" s="1"/>
  <c r="G50" i="14"/>
  <c r="G48" i="14"/>
  <c r="C17" i="14"/>
  <c r="J17" i="14" s="1"/>
  <c r="E24" i="14"/>
  <c r="D39" i="14"/>
  <c r="F7" i="20"/>
  <c r="F10" i="20"/>
  <c r="F24" i="20"/>
  <c r="E43" i="14"/>
  <c r="G24" i="14"/>
  <c r="E39" i="14"/>
  <c r="G46" i="21"/>
  <c r="L46" i="21" s="1"/>
  <c r="D6" i="14"/>
  <c r="G25" i="14"/>
  <c r="G42" i="14"/>
  <c r="E15" i="20"/>
  <c r="G23" i="13"/>
  <c r="C41" i="14"/>
  <c r="J41" i="14" s="1"/>
  <c r="E48" i="13"/>
  <c r="C16" i="14"/>
  <c r="D24" i="13"/>
  <c r="G34" i="13"/>
  <c r="E43" i="13"/>
  <c r="D18" i="14"/>
  <c r="E41" i="14"/>
  <c r="D15" i="20"/>
  <c r="C49" i="13"/>
  <c r="K44" i="21"/>
  <c r="E24" i="13"/>
  <c r="G43" i="13"/>
  <c r="D7" i="14"/>
  <c r="I7" i="14" s="1"/>
  <c r="D10" i="14"/>
  <c r="E18" i="14"/>
  <c r="F25" i="20"/>
  <c r="E10" i="13"/>
  <c r="C47" i="13"/>
  <c r="J47" i="13" s="1"/>
  <c r="E7" i="14"/>
  <c r="G18" i="14"/>
  <c r="G19" i="14" s="1"/>
  <c r="C32" i="14"/>
  <c r="C35" i="14"/>
  <c r="F35" i="14" s="1"/>
  <c r="K35" i="14" s="1"/>
  <c r="F16" i="20"/>
  <c r="H25" i="20"/>
  <c r="E23" i="13"/>
  <c r="E34" i="13"/>
  <c r="C18" i="14"/>
  <c r="D41" i="14"/>
  <c r="H11" i="20"/>
  <c r="D51" i="14"/>
  <c r="D16" i="14"/>
  <c r="G10" i="13"/>
  <c r="D47" i="13"/>
  <c r="C22" i="14"/>
  <c r="J22" i="14" s="1"/>
  <c r="D32" i="14"/>
  <c r="J37" i="21"/>
  <c r="G40" i="14"/>
  <c r="G45" i="21"/>
  <c r="L45" i="21" s="1"/>
  <c r="G39" i="13"/>
  <c r="D15" i="14"/>
  <c r="G32" i="14"/>
  <c r="C47" i="14"/>
  <c r="J47" i="14" s="1"/>
  <c r="E48" i="14"/>
  <c r="E32" i="14"/>
  <c r="E42" i="13"/>
  <c r="J59" i="13"/>
  <c r="I59" i="13"/>
  <c r="C59" i="11"/>
  <c r="J9" i="21"/>
  <c r="J53" i="21"/>
  <c r="E15" i="13"/>
  <c r="E18" i="13"/>
  <c r="E50" i="13"/>
  <c r="C48" i="14"/>
  <c r="C51" i="14"/>
  <c r="H22" i="20"/>
  <c r="K10" i="21"/>
  <c r="C6" i="13"/>
  <c r="C9" i="13"/>
  <c r="C16" i="13"/>
  <c r="C22" i="13"/>
  <c r="C25" i="13"/>
  <c r="C48" i="13"/>
  <c r="C51" i="13"/>
  <c r="E51" i="14"/>
  <c r="F8" i="20"/>
  <c r="D25" i="20"/>
  <c r="D6" i="13"/>
  <c r="D9" i="13"/>
  <c r="D16" i="13"/>
  <c r="D22" i="13"/>
  <c r="D25" i="13"/>
  <c r="D48" i="13"/>
  <c r="D51" i="13"/>
  <c r="G51" i="14"/>
  <c r="H8" i="20"/>
  <c r="H16" i="20"/>
  <c r="E25" i="20"/>
  <c r="E9" i="20"/>
  <c r="E14" i="20"/>
  <c r="E17" i="20"/>
  <c r="E23" i="20"/>
  <c r="K9" i="21"/>
  <c r="G18" i="13"/>
  <c r="G50" i="13"/>
  <c r="D25" i="14"/>
  <c r="I58" i="14"/>
  <c r="E8" i="20"/>
  <c r="E16" i="20"/>
  <c r="J22" i="21"/>
  <c r="E6" i="13"/>
  <c r="E9" i="13"/>
  <c r="E22" i="13"/>
  <c r="E25" i="13"/>
  <c r="E51" i="13"/>
  <c r="C23" i="14"/>
  <c r="C26" i="14"/>
  <c r="C40" i="14"/>
  <c r="I40" i="14" s="1"/>
  <c r="F17" i="20"/>
  <c r="E59" i="11"/>
  <c r="C15" i="13"/>
  <c r="C18" i="13"/>
  <c r="C50" i="13"/>
  <c r="D22" i="20"/>
  <c r="D8" i="20"/>
  <c r="D12" i="21"/>
  <c r="D29" i="21" s="1"/>
  <c r="G59" i="11"/>
  <c r="D15" i="13"/>
  <c r="D18" i="13"/>
  <c r="D50" i="13"/>
  <c r="E22" i="20"/>
  <c r="G25" i="13"/>
  <c r="D23" i="14"/>
  <c r="D26" i="14"/>
  <c r="D11" i="20"/>
  <c r="H17" i="20"/>
  <c r="H9" i="20"/>
  <c r="H14" i="20"/>
  <c r="C7" i="13"/>
  <c r="C10" i="13"/>
  <c r="C17" i="13"/>
  <c r="C23" i="13"/>
  <c r="C26" i="13"/>
  <c r="E23" i="14"/>
  <c r="E26" i="14"/>
  <c r="E11" i="20"/>
  <c r="D24" i="20"/>
  <c r="D7" i="13"/>
  <c r="D10" i="13"/>
  <c r="D17" i="13"/>
  <c r="D23" i="13"/>
  <c r="D26" i="13"/>
  <c r="G23" i="14"/>
  <c r="G26" i="14"/>
  <c r="E26" i="12"/>
  <c r="E40" i="12"/>
  <c r="E56" i="11"/>
  <c r="D8" i="12"/>
  <c r="D15" i="12"/>
  <c r="D18" i="12"/>
  <c r="D24" i="12"/>
  <c r="D32" i="12"/>
  <c r="I32" i="12" s="1"/>
  <c r="D35" i="12"/>
  <c r="F35" i="12" s="1"/>
  <c r="K35" i="12" s="1"/>
  <c r="D41" i="12"/>
  <c r="D47" i="12"/>
  <c r="D50" i="12"/>
  <c r="D57" i="12"/>
  <c r="D60" i="12" s="1"/>
  <c r="E7" i="20"/>
  <c r="D14" i="20"/>
  <c r="E24" i="20"/>
  <c r="D23" i="20"/>
  <c r="D23" i="12"/>
  <c r="D26" i="12"/>
  <c r="D40" i="12"/>
  <c r="D43" i="12"/>
  <c r="D49" i="12"/>
  <c r="F23" i="20"/>
  <c r="E23" i="12"/>
  <c r="E43" i="12"/>
  <c r="E49" i="12"/>
  <c r="D9" i="20"/>
  <c r="G23" i="12"/>
  <c r="G26" i="12"/>
  <c r="G40" i="12"/>
  <c r="G43" i="12"/>
  <c r="G49" i="12"/>
  <c r="D16" i="20"/>
  <c r="H23" i="20"/>
  <c r="J41" i="20"/>
  <c r="G8" i="12"/>
  <c r="G15" i="12"/>
  <c r="G18" i="12"/>
  <c r="G24" i="12"/>
  <c r="G32" i="12"/>
  <c r="G41" i="12"/>
  <c r="D10" i="20"/>
  <c r="F14" i="20"/>
  <c r="J45" i="20"/>
  <c r="C9" i="12"/>
  <c r="J9" i="12" s="1"/>
  <c r="C16" i="12"/>
  <c r="C22" i="12"/>
  <c r="C25" i="12"/>
  <c r="C39" i="12"/>
  <c r="J39" i="12" s="1"/>
  <c r="C42" i="12"/>
  <c r="C48" i="12"/>
  <c r="C58" i="12"/>
  <c r="I58" i="12" s="1"/>
  <c r="E10" i="20"/>
  <c r="D17" i="20"/>
  <c r="C17" i="12"/>
  <c r="C23" i="12"/>
  <c r="C26" i="12"/>
  <c r="C40" i="12"/>
  <c r="C43" i="12"/>
  <c r="C49" i="12"/>
  <c r="C8" i="12"/>
  <c r="C15" i="12"/>
  <c r="C18" i="12"/>
  <c r="C24" i="12"/>
  <c r="C47" i="12"/>
  <c r="D7" i="20"/>
  <c r="F9" i="20"/>
  <c r="E8" i="12"/>
  <c r="E15" i="12"/>
  <c r="E18" i="12"/>
  <c r="E24" i="12"/>
  <c r="E47" i="12"/>
  <c r="E50" i="12"/>
  <c r="D6" i="12"/>
  <c r="D9" i="12"/>
  <c r="D16" i="12"/>
  <c r="D22" i="12"/>
  <c r="D25" i="12"/>
  <c r="C56" i="11"/>
  <c r="E58" i="11"/>
  <c r="F32" i="13"/>
  <c r="K32" i="13" s="1"/>
  <c r="J40" i="23"/>
  <c r="G40" i="22"/>
  <c r="L40" i="22" s="1"/>
  <c r="J39" i="19"/>
  <c r="F12" i="21"/>
  <c r="F29" i="21" s="1"/>
  <c r="K15" i="21"/>
  <c r="K23" i="21"/>
  <c r="K37" i="21"/>
  <c r="K54" i="21"/>
  <c r="E26" i="22"/>
  <c r="E31" i="22" s="1"/>
  <c r="K37" i="22"/>
  <c r="F12" i="23"/>
  <c r="F29" i="23" s="1"/>
  <c r="K40" i="23"/>
  <c r="G45" i="23"/>
  <c r="L45" i="23" s="1"/>
  <c r="D36" i="13"/>
  <c r="J7" i="14"/>
  <c r="J57" i="17"/>
  <c r="E60" i="18"/>
  <c r="F59" i="18"/>
  <c r="K59" i="18" s="1"/>
  <c r="E56" i="20"/>
  <c r="E61" i="20" s="1"/>
  <c r="F26" i="22"/>
  <c r="F31" i="22" s="1"/>
  <c r="K24" i="22"/>
  <c r="J54" i="22"/>
  <c r="J10" i="24"/>
  <c r="F58" i="15"/>
  <c r="K58" i="15" s="1"/>
  <c r="F10" i="18"/>
  <c r="K10" i="18" s="1"/>
  <c r="G8" i="21"/>
  <c r="L8" i="21" s="1"/>
  <c r="F56" i="21"/>
  <c r="F61" i="21" s="1"/>
  <c r="G8" i="22"/>
  <c r="L8" i="22" s="1"/>
  <c r="G41" i="22"/>
  <c r="L41" i="22" s="1"/>
  <c r="K51" i="22"/>
  <c r="G8" i="23"/>
  <c r="L8" i="23" s="1"/>
  <c r="K24" i="23"/>
  <c r="E42" i="23"/>
  <c r="E59" i="23" s="1"/>
  <c r="J10" i="18"/>
  <c r="J45" i="21"/>
  <c r="E60" i="13"/>
  <c r="I59" i="16"/>
  <c r="F58" i="19"/>
  <c r="K58" i="19" s="1"/>
  <c r="J46" i="22"/>
  <c r="J56" i="12"/>
  <c r="J33" i="16"/>
  <c r="F42" i="16"/>
  <c r="K25" i="21"/>
  <c r="K25" i="22"/>
  <c r="K39" i="23"/>
  <c r="E56" i="23"/>
  <c r="E61" i="23" s="1"/>
  <c r="I59" i="19"/>
  <c r="K39" i="21"/>
  <c r="J8" i="22"/>
  <c r="K41" i="22"/>
  <c r="K46" i="22"/>
  <c r="F56" i="23"/>
  <c r="F61" i="23" s="1"/>
  <c r="F12" i="24"/>
  <c r="F29" i="24" s="1"/>
  <c r="F42" i="23"/>
  <c r="F59" i="23" s="1"/>
  <c r="J56" i="14"/>
  <c r="K47" i="22"/>
  <c r="D18" i="23"/>
  <c r="F48" i="23"/>
  <c r="J38" i="23"/>
  <c r="K38" i="23"/>
  <c r="J59" i="15"/>
  <c r="J45" i="22"/>
  <c r="G45" i="22"/>
  <c r="L45" i="22" s="1"/>
  <c r="J15" i="24"/>
  <c r="J10" i="23"/>
  <c r="K10" i="23"/>
  <c r="D12" i="22"/>
  <c r="D29" i="22" s="1"/>
  <c r="F18" i="22"/>
  <c r="I32" i="13"/>
  <c r="F59" i="13"/>
  <c r="K59" i="13" s="1"/>
  <c r="E36" i="15"/>
  <c r="J56" i="15"/>
  <c r="F9" i="18"/>
  <c r="K9" i="18" s="1"/>
  <c r="D60" i="18"/>
  <c r="E56" i="21"/>
  <c r="E61" i="21" s="1"/>
  <c r="F12" i="22"/>
  <c r="F29" i="22" s="1"/>
  <c r="F42" i="22"/>
  <c r="F59" i="22" s="1"/>
  <c r="J40" i="22"/>
  <c r="F48" i="22"/>
  <c r="F56" i="22"/>
  <c r="F61" i="22" s="1"/>
  <c r="G55" i="22"/>
  <c r="L55" i="22" s="1"/>
  <c r="K55" i="22"/>
  <c r="J55" i="22"/>
  <c r="G40" i="23"/>
  <c r="L40" i="23" s="1"/>
  <c r="G41" i="23"/>
  <c r="L41" i="23" s="1"/>
  <c r="K41" i="23"/>
  <c r="J41" i="23"/>
  <c r="E60" i="17"/>
  <c r="F59" i="17"/>
  <c r="K59" i="17" s="1"/>
  <c r="J59" i="17"/>
  <c r="I59" i="17"/>
  <c r="J7" i="18"/>
  <c r="I7" i="18"/>
  <c r="I59" i="18"/>
  <c r="G14" i="21"/>
  <c r="L14" i="21" s="1"/>
  <c r="K14" i="21"/>
  <c r="G22" i="21"/>
  <c r="L22" i="21" s="1"/>
  <c r="G16" i="22"/>
  <c r="L16" i="22" s="1"/>
  <c r="J22" i="22"/>
  <c r="G22" i="22"/>
  <c r="L22" i="22" s="1"/>
  <c r="E18" i="23"/>
  <c r="K15" i="24"/>
  <c r="F7" i="12"/>
  <c r="K7" i="12" s="1"/>
  <c r="J7" i="12"/>
  <c r="E18" i="21"/>
  <c r="J17" i="21"/>
  <c r="G17" i="21"/>
  <c r="L17" i="21" s="1"/>
  <c r="H26" i="21"/>
  <c r="H31" i="21" s="1"/>
  <c r="F18" i="23"/>
  <c r="G17" i="23"/>
  <c r="L17" i="23" s="1"/>
  <c r="K52" i="23"/>
  <c r="J8" i="24"/>
  <c r="K8" i="24"/>
  <c r="G11" i="24"/>
  <c r="L11" i="24" s="1"/>
  <c r="J11" i="24"/>
  <c r="J21" i="24"/>
  <c r="G41" i="21"/>
  <c r="L41" i="21" s="1"/>
  <c r="K41" i="21"/>
  <c r="I10" i="12"/>
  <c r="F58" i="14"/>
  <c r="K58" i="14" s="1"/>
  <c r="G41" i="20"/>
  <c r="F18" i="21"/>
  <c r="D12" i="23"/>
  <c r="G14" i="23"/>
  <c r="L14" i="23" s="1"/>
  <c r="G23" i="23"/>
  <c r="L23" i="23" s="1"/>
  <c r="K23" i="23"/>
  <c r="J23" i="23"/>
  <c r="E12" i="24"/>
  <c r="E29" i="24" s="1"/>
  <c r="J16" i="24"/>
  <c r="K21" i="24"/>
  <c r="G24" i="24"/>
  <c r="L24" i="24" s="1"/>
  <c r="J22" i="23"/>
  <c r="K54" i="20"/>
  <c r="J54" i="20"/>
  <c r="I7" i="12"/>
  <c r="E60" i="12"/>
  <c r="F59" i="12"/>
  <c r="K59" i="12" s="1"/>
  <c r="J59" i="12"/>
  <c r="I59" i="12"/>
  <c r="K45" i="20"/>
  <c r="G14" i="22"/>
  <c r="L14" i="22" s="1"/>
  <c r="G54" i="22"/>
  <c r="L54" i="22" s="1"/>
  <c r="G9" i="22"/>
  <c r="L9" i="22" s="1"/>
  <c r="K9" i="22"/>
  <c r="D18" i="22"/>
  <c r="K14" i="22"/>
  <c r="J14" i="22"/>
  <c r="G46" i="20"/>
  <c r="J51" i="20"/>
  <c r="G54" i="20"/>
  <c r="E12" i="21"/>
  <c r="E29" i="21" s="1"/>
  <c r="G55" i="23"/>
  <c r="L55" i="23" s="1"/>
  <c r="K55" i="23"/>
  <c r="J55" i="23"/>
  <c r="J58" i="13"/>
  <c r="I58" i="13"/>
  <c r="F58" i="13"/>
  <c r="K58" i="13" s="1"/>
  <c r="J17" i="22"/>
  <c r="G17" i="22"/>
  <c r="L17" i="22" s="1"/>
  <c r="J14" i="23"/>
  <c r="I35" i="13"/>
  <c r="F32" i="15"/>
  <c r="K32" i="15" s="1"/>
  <c r="J32" i="15"/>
  <c r="I32" i="15"/>
  <c r="I35" i="15"/>
  <c r="F35" i="15"/>
  <c r="D48" i="22"/>
  <c r="F32" i="17"/>
  <c r="K32" i="17" s="1"/>
  <c r="J32" i="17"/>
  <c r="I32" i="17"/>
  <c r="I35" i="17"/>
  <c r="F35" i="17"/>
  <c r="K35" i="17" s="1"/>
  <c r="I58" i="19"/>
  <c r="K24" i="21"/>
  <c r="G51" i="21"/>
  <c r="L51" i="21" s="1"/>
  <c r="K51" i="21"/>
  <c r="K53" i="21"/>
  <c r="E12" i="22"/>
  <c r="E29" i="22" s="1"/>
  <c r="J9" i="22"/>
  <c r="E48" i="22"/>
  <c r="E56" i="22"/>
  <c r="E61" i="22" s="1"/>
  <c r="J8" i="23"/>
  <c r="F7" i="18"/>
  <c r="K7" i="18" s="1"/>
  <c r="E60" i="19"/>
  <c r="J8" i="21"/>
  <c r="E26" i="24"/>
  <c r="E31" i="24" s="1"/>
  <c r="H18" i="22"/>
  <c r="E42" i="22"/>
  <c r="E59" i="22" s="1"/>
  <c r="K45" i="23"/>
  <c r="K24" i="24"/>
  <c r="J10" i="12"/>
  <c r="E36" i="12"/>
  <c r="J57" i="12"/>
  <c r="D60" i="14"/>
  <c r="F59" i="19"/>
  <c r="K59" i="19" s="1"/>
  <c r="K52" i="21"/>
  <c r="G11" i="23"/>
  <c r="L11" i="23" s="1"/>
  <c r="D26" i="23"/>
  <c r="D31" i="23" s="1"/>
  <c r="G37" i="23"/>
  <c r="L37" i="23" s="1"/>
  <c r="G46" i="23"/>
  <c r="L46" i="23" s="1"/>
  <c r="J14" i="24"/>
  <c r="K17" i="24"/>
  <c r="F26" i="24"/>
  <c r="F31" i="24" s="1"/>
  <c r="G25" i="24"/>
  <c r="L25" i="24" s="1"/>
  <c r="J46" i="20"/>
  <c r="E60" i="14"/>
  <c r="F59" i="14"/>
  <c r="K59" i="14" s="1"/>
  <c r="F9" i="15"/>
  <c r="E60" i="16"/>
  <c r="F59" i="16"/>
  <c r="K59" i="16" s="1"/>
  <c r="J9" i="17"/>
  <c r="G40" i="20"/>
  <c r="G44" i="20"/>
  <c r="K11" i="21"/>
  <c r="D26" i="21"/>
  <c r="D31" i="21" s="1"/>
  <c r="G37" i="21"/>
  <c r="L37" i="21" s="1"/>
  <c r="D48" i="21"/>
  <c r="G55" i="21"/>
  <c r="L55" i="21" s="1"/>
  <c r="J15" i="22"/>
  <c r="K17" i="22"/>
  <c r="G23" i="22"/>
  <c r="L23" i="22" s="1"/>
  <c r="K39" i="22"/>
  <c r="K45" i="22"/>
  <c r="G51" i="22"/>
  <c r="L51" i="22" s="1"/>
  <c r="E26" i="23"/>
  <c r="E31" i="23" s="1"/>
  <c r="G7" i="24"/>
  <c r="L7" i="24" s="1"/>
  <c r="E18" i="24"/>
  <c r="I34" i="13"/>
  <c r="I56" i="13"/>
  <c r="J15" i="14"/>
  <c r="J35" i="17"/>
  <c r="H48" i="20"/>
  <c r="K53" i="20"/>
  <c r="E26" i="21"/>
  <c r="E31" i="21" s="1"/>
  <c r="E42" i="21"/>
  <c r="E59" i="21" s="1"/>
  <c r="G44" i="21"/>
  <c r="L44" i="21" s="1"/>
  <c r="K46" i="21"/>
  <c r="K15" i="23"/>
  <c r="F26" i="23"/>
  <c r="F31" i="23" s="1"/>
  <c r="K44" i="23"/>
  <c r="J51" i="23"/>
  <c r="F18" i="24"/>
  <c r="K23" i="24"/>
  <c r="D60" i="13"/>
  <c r="J39" i="15"/>
  <c r="J56" i="18"/>
  <c r="J37" i="20"/>
  <c r="J55" i="20"/>
  <c r="G9" i="21"/>
  <c r="L9" i="21" s="1"/>
  <c r="K16" i="21"/>
  <c r="F26" i="21"/>
  <c r="F31" i="21" s="1"/>
  <c r="J23" i="21"/>
  <c r="F42" i="21"/>
  <c r="F59" i="21" s="1"/>
  <c r="G40" i="21"/>
  <c r="L40" i="21" s="1"/>
  <c r="F48" i="21"/>
  <c r="K47" i="21"/>
  <c r="G11" i="22"/>
  <c r="L11" i="22" s="1"/>
  <c r="G21" i="22"/>
  <c r="L21" i="22" s="1"/>
  <c r="G37" i="22"/>
  <c r="L37" i="22" s="1"/>
  <c r="J41" i="22"/>
  <c r="G46" i="22"/>
  <c r="L46" i="22" s="1"/>
  <c r="K16" i="23"/>
  <c r="J24" i="23"/>
  <c r="E48" i="23"/>
  <c r="K51" i="23"/>
  <c r="L54" i="23"/>
  <c r="J25" i="24"/>
  <c r="K25" i="24"/>
  <c r="L21" i="24"/>
  <c r="K11" i="24"/>
  <c r="G15" i="24"/>
  <c r="L15" i="24" s="1"/>
  <c r="D18" i="24"/>
  <c r="G22" i="24"/>
  <c r="L22" i="24" s="1"/>
  <c r="J23" i="24"/>
  <c r="G10" i="24"/>
  <c r="L10" i="24" s="1"/>
  <c r="K16" i="24"/>
  <c r="G9" i="24"/>
  <c r="L9" i="24" s="1"/>
  <c r="D12" i="24"/>
  <c r="G14" i="24"/>
  <c r="G23" i="24"/>
  <c r="L23" i="24" s="1"/>
  <c r="D26" i="24"/>
  <c r="H18" i="24"/>
  <c r="G8" i="24"/>
  <c r="L8" i="24" s="1"/>
  <c r="J9" i="24"/>
  <c r="H12" i="24"/>
  <c r="K14" i="24"/>
  <c r="H26" i="24"/>
  <c r="K7" i="24"/>
  <c r="G17" i="24"/>
  <c r="L17" i="24" s="1"/>
  <c r="J17" i="24"/>
  <c r="J22" i="24"/>
  <c r="D48" i="23"/>
  <c r="G16" i="23"/>
  <c r="L16" i="23" s="1"/>
  <c r="G21" i="23"/>
  <c r="G25" i="23"/>
  <c r="L25" i="23" s="1"/>
  <c r="K8" i="23"/>
  <c r="K22" i="23"/>
  <c r="H48" i="23"/>
  <c r="J7" i="23"/>
  <c r="G10" i="23"/>
  <c r="L10" i="23" s="1"/>
  <c r="J11" i="23"/>
  <c r="G15" i="23"/>
  <c r="L15" i="23" s="1"/>
  <c r="J16" i="23"/>
  <c r="J21" i="23"/>
  <c r="G24" i="23"/>
  <c r="L24" i="23" s="1"/>
  <c r="J25" i="23"/>
  <c r="G38" i="23"/>
  <c r="L38" i="23" s="1"/>
  <c r="J39" i="23"/>
  <c r="J44" i="23"/>
  <c r="G47" i="23"/>
  <c r="L47" i="23" s="1"/>
  <c r="G52" i="23"/>
  <c r="L52" i="23" s="1"/>
  <c r="J53" i="23"/>
  <c r="K9" i="23"/>
  <c r="H26" i="23"/>
  <c r="G7" i="23"/>
  <c r="L7" i="23" s="1"/>
  <c r="G39" i="23"/>
  <c r="L39" i="23" s="1"/>
  <c r="D42" i="23"/>
  <c r="G44" i="23"/>
  <c r="G53" i="23"/>
  <c r="L53" i="23" s="1"/>
  <c r="D56" i="23"/>
  <c r="K17" i="23"/>
  <c r="K7" i="23"/>
  <c r="K11" i="23"/>
  <c r="K21" i="23"/>
  <c r="H42" i="23"/>
  <c r="H56" i="23"/>
  <c r="H12" i="23"/>
  <c r="K14" i="23"/>
  <c r="J47" i="23"/>
  <c r="J52" i="23"/>
  <c r="H18" i="23"/>
  <c r="G25" i="22"/>
  <c r="L25" i="22" s="1"/>
  <c r="K40" i="22"/>
  <c r="J7" i="22"/>
  <c r="G10" i="22"/>
  <c r="L10" i="22" s="1"/>
  <c r="J11" i="22"/>
  <c r="G15" i="22"/>
  <c r="L15" i="22" s="1"/>
  <c r="J16" i="22"/>
  <c r="J21" i="22"/>
  <c r="G24" i="22"/>
  <c r="L24" i="22" s="1"/>
  <c r="J25" i="22"/>
  <c r="G38" i="22"/>
  <c r="L38" i="22" s="1"/>
  <c r="J39" i="22"/>
  <c r="J44" i="22"/>
  <c r="G47" i="22"/>
  <c r="L47" i="22" s="1"/>
  <c r="G52" i="22"/>
  <c r="L52" i="22" s="1"/>
  <c r="J53" i="22"/>
  <c r="G7" i="22"/>
  <c r="L7" i="22" s="1"/>
  <c r="G39" i="22"/>
  <c r="L39" i="22" s="1"/>
  <c r="D42" i="22"/>
  <c r="G44" i="22"/>
  <c r="K8" i="22"/>
  <c r="K11" i="22"/>
  <c r="K16" i="22"/>
  <c r="E18" i="22"/>
  <c r="K21" i="22"/>
  <c r="H42" i="22"/>
  <c r="K44" i="22"/>
  <c r="K53" i="22"/>
  <c r="H56" i="22"/>
  <c r="H12" i="22"/>
  <c r="H26" i="22"/>
  <c r="D56" i="22"/>
  <c r="K22" i="22"/>
  <c r="H48" i="22"/>
  <c r="J24" i="22"/>
  <c r="D26" i="22"/>
  <c r="J38" i="22"/>
  <c r="J47" i="22"/>
  <c r="J52" i="22"/>
  <c r="K7" i="22"/>
  <c r="K10" i="22"/>
  <c r="K15" i="22"/>
  <c r="J41" i="21"/>
  <c r="J46" i="21"/>
  <c r="J51" i="21"/>
  <c r="G54" i="21"/>
  <c r="L54" i="21" s="1"/>
  <c r="J55" i="21"/>
  <c r="K55" i="21"/>
  <c r="G53" i="21"/>
  <c r="L53" i="21" s="1"/>
  <c r="J54" i="21"/>
  <c r="D56" i="21"/>
  <c r="H48" i="21"/>
  <c r="E48" i="21"/>
  <c r="G25" i="21"/>
  <c r="L25" i="21" s="1"/>
  <c r="K17" i="21"/>
  <c r="K45" i="21"/>
  <c r="G11" i="21"/>
  <c r="L11" i="21" s="1"/>
  <c r="K8" i="21"/>
  <c r="K22" i="21"/>
  <c r="K40" i="21"/>
  <c r="J7" i="21"/>
  <c r="G10" i="21"/>
  <c r="L10" i="21" s="1"/>
  <c r="J11" i="21"/>
  <c r="G15" i="21"/>
  <c r="L15" i="21" s="1"/>
  <c r="J16" i="21"/>
  <c r="D18" i="21"/>
  <c r="J21" i="21"/>
  <c r="G24" i="21"/>
  <c r="L24" i="21" s="1"/>
  <c r="J25" i="21"/>
  <c r="G38" i="21"/>
  <c r="L38" i="21" s="1"/>
  <c r="J39" i="21"/>
  <c r="J44" i="21"/>
  <c r="G47" i="21"/>
  <c r="L47" i="21" s="1"/>
  <c r="G52" i="21"/>
  <c r="L52" i="21" s="1"/>
  <c r="H56" i="21"/>
  <c r="G16" i="21"/>
  <c r="L16" i="21" s="1"/>
  <c r="G21" i="21"/>
  <c r="K7" i="21"/>
  <c r="K21" i="21"/>
  <c r="H42" i="21"/>
  <c r="H12" i="21"/>
  <c r="G7" i="21"/>
  <c r="L7" i="21" s="1"/>
  <c r="G39" i="21"/>
  <c r="L39" i="21" s="1"/>
  <c r="D42" i="21"/>
  <c r="J10" i="21"/>
  <c r="J15" i="21"/>
  <c r="J24" i="21"/>
  <c r="J38" i="21"/>
  <c r="J47" i="21"/>
  <c r="J52" i="21"/>
  <c r="H18" i="21"/>
  <c r="K47" i="20"/>
  <c r="J47" i="20"/>
  <c r="G47" i="20"/>
  <c r="K39" i="20"/>
  <c r="J39" i="20"/>
  <c r="J38" i="20"/>
  <c r="G38" i="20"/>
  <c r="K38" i="20"/>
  <c r="J40" i="20"/>
  <c r="D42" i="20"/>
  <c r="E42" i="20"/>
  <c r="E59" i="20" s="1"/>
  <c r="G45" i="20"/>
  <c r="H42" i="20"/>
  <c r="G39" i="20"/>
  <c r="K40" i="20"/>
  <c r="K37" i="20"/>
  <c r="K41" i="20"/>
  <c r="D48" i="20"/>
  <c r="K46" i="20"/>
  <c r="E48" i="20"/>
  <c r="K51" i="20"/>
  <c r="K55" i="20"/>
  <c r="F48" i="20"/>
  <c r="G53" i="20"/>
  <c r="D56" i="20"/>
  <c r="F42" i="20"/>
  <c r="F59" i="20" s="1"/>
  <c r="F56" i="20"/>
  <c r="F61" i="20" s="1"/>
  <c r="J44" i="20"/>
  <c r="G52" i="20"/>
  <c r="J53" i="20"/>
  <c r="H56" i="20"/>
  <c r="K44" i="20"/>
  <c r="J52" i="20"/>
  <c r="C60" i="19"/>
  <c r="J58" i="19"/>
  <c r="I34" i="19"/>
  <c r="F56" i="19"/>
  <c r="J57" i="19"/>
  <c r="G60" i="19"/>
  <c r="I33" i="19"/>
  <c r="I56" i="19"/>
  <c r="G36" i="19"/>
  <c r="I9" i="18"/>
  <c r="I22" i="18"/>
  <c r="F33" i="18"/>
  <c r="F56" i="18"/>
  <c r="J9" i="18"/>
  <c r="J22" i="18"/>
  <c r="G60" i="18"/>
  <c r="I33" i="18"/>
  <c r="I39" i="18"/>
  <c r="I56" i="18"/>
  <c r="F57" i="17"/>
  <c r="K57" i="17" s="1"/>
  <c r="J58" i="17"/>
  <c r="I22" i="17"/>
  <c r="I57" i="17"/>
  <c r="F22" i="17"/>
  <c r="C60" i="17"/>
  <c r="G60" i="17"/>
  <c r="J22" i="17"/>
  <c r="F57" i="16"/>
  <c r="F33" i="16"/>
  <c r="K33" i="16" s="1"/>
  <c r="I34" i="16"/>
  <c r="F56" i="16"/>
  <c r="I57" i="16"/>
  <c r="I33" i="16"/>
  <c r="I56" i="16"/>
  <c r="I9" i="15"/>
  <c r="F56" i="15"/>
  <c r="I57" i="15"/>
  <c r="J58" i="15"/>
  <c r="J57" i="15"/>
  <c r="G60" i="15"/>
  <c r="C60" i="15"/>
  <c r="I56" i="15"/>
  <c r="G60" i="14"/>
  <c r="J57" i="14"/>
  <c r="F57" i="14"/>
  <c r="K57" i="14" s="1"/>
  <c r="I57" i="14"/>
  <c r="J9" i="14"/>
  <c r="J58" i="14"/>
  <c r="C60" i="14"/>
  <c r="F56" i="14"/>
  <c r="I56" i="14"/>
  <c r="C60" i="13"/>
  <c r="J57" i="13"/>
  <c r="G60" i="13"/>
  <c r="F56" i="13"/>
  <c r="I39" i="13"/>
  <c r="J56" i="13"/>
  <c r="J35" i="12"/>
  <c r="F33" i="12"/>
  <c r="K33" i="12" s="1"/>
  <c r="C36" i="12"/>
  <c r="F56" i="12"/>
  <c r="I33" i="12"/>
  <c r="I56" i="12"/>
  <c r="G60" i="12"/>
  <c r="A14" i="9"/>
  <c r="J58" i="18" l="1"/>
  <c r="I40" i="16"/>
  <c r="J47" i="18"/>
  <c r="F43" i="19"/>
  <c r="K43" i="19" s="1"/>
  <c r="F39" i="12"/>
  <c r="J23" i="13"/>
  <c r="F32" i="18"/>
  <c r="K32" i="18" s="1"/>
  <c r="I49" i="18"/>
  <c r="I16" i="15"/>
  <c r="I40" i="19"/>
  <c r="F58" i="18"/>
  <c r="K58" i="18" s="1"/>
  <c r="J41" i="16"/>
  <c r="C36" i="13"/>
  <c r="F33" i="13"/>
  <c r="K33" i="13" s="1"/>
  <c r="I40" i="15"/>
  <c r="I26" i="19"/>
  <c r="J17" i="16"/>
  <c r="I39" i="15"/>
  <c r="F17" i="16"/>
  <c r="K17" i="16" s="1"/>
  <c r="J49" i="13"/>
  <c r="J26" i="16"/>
  <c r="F41" i="19"/>
  <c r="J48" i="18"/>
  <c r="G11" i="13"/>
  <c r="J43" i="16"/>
  <c r="D44" i="13"/>
  <c r="G36" i="18"/>
  <c r="J7" i="16"/>
  <c r="J50" i="14"/>
  <c r="I43" i="18"/>
  <c r="J15" i="18"/>
  <c r="F57" i="13"/>
  <c r="K57" i="13" s="1"/>
  <c r="J33" i="13"/>
  <c r="F50" i="14"/>
  <c r="I58" i="16"/>
  <c r="F47" i="18"/>
  <c r="K47" i="18" s="1"/>
  <c r="I47" i="18"/>
  <c r="J43" i="19"/>
  <c r="I43" i="13"/>
  <c r="F42" i="19"/>
  <c r="G11" i="18"/>
  <c r="I50" i="19"/>
  <c r="K34" i="16"/>
  <c r="J41" i="13"/>
  <c r="E39" i="11"/>
  <c r="I17" i="16"/>
  <c r="F25" i="15"/>
  <c r="K25" i="15" s="1"/>
  <c r="I7" i="17"/>
  <c r="F48" i="18"/>
  <c r="K48" i="18" s="1"/>
  <c r="E33" i="11"/>
  <c r="I42" i="16"/>
  <c r="I18" i="19"/>
  <c r="J6" i="18"/>
  <c r="J49" i="15"/>
  <c r="F39" i="19"/>
  <c r="I40" i="18"/>
  <c r="J43" i="14"/>
  <c r="I34" i="12"/>
  <c r="K33" i="18"/>
  <c r="I32" i="19"/>
  <c r="G11" i="12"/>
  <c r="I50" i="12"/>
  <c r="F48" i="15"/>
  <c r="K48" i="15" s="1"/>
  <c r="J8" i="14"/>
  <c r="I47" i="15"/>
  <c r="I56" i="17"/>
  <c r="I59" i="15"/>
  <c r="D59" i="11"/>
  <c r="I59" i="11" s="1"/>
  <c r="G52" i="15"/>
  <c r="J52" i="15" s="1"/>
  <c r="I34" i="15"/>
  <c r="F25" i="19"/>
  <c r="K25" i="19" s="1"/>
  <c r="F43" i="15"/>
  <c r="K43" i="15" s="1"/>
  <c r="I43" i="14"/>
  <c r="F42" i="13"/>
  <c r="K42" i="13" s="1"/>
  <c r="D19" i="15"/>
  <c r="G11" i="16"/>
  <c r="F16" i="19"/>
  <c r="K16" i="19" s="1"/>
  <c r="J47" i="17"/>
  <c r="D36" i="17"/>
  <c r="J16" i="18"/>
  <c r="F47" i="15"/>
  <c r="K47" i="15" s="1"/>
  <c r="J51" i="16"/>
  <c r="F9" i="12"/>
  <c r="K9" i="12" s="1"/>
  <c r="K10" i="16"/>
  <c r="D19" i="16"/>
  <c r="J15" i="16"/>
  <c r="I42" i="18"/>
  <c r="F25" i="18"/>
  <c r="J48" i="16"/>
  <c r="F33" i="19"/>
  <c r="K33" i="19" s="1"/>
  <c r="J23" i="16"/>
  <c r="I48" i="16"/>
  <c r="D11" i="16"/>
  <c r="C52" i="15"/>
  <c r="F8" i="14"/>
  <c r="K8" i="14" s="1"/>
  <c r="J16" i="13"/>
  <c r="F17" i="19"/>
  <c r="K17" i="19" s="1"/>
  <c r="I40" i="13"/>
  <c r="C44" i="13"/>
  <c r="I44" i="13" s="1"/>
  <c r="F32" i="19"/>
  <c r="K32" i="19" s="1"/>
  <c r="F25" i="14"/>
  <c r="J17" i="15"/>
  <c r="J18" i="19"/>
  <c r="E44" i="12"/>
  <c r="F49" i="21"/>
  <c r="F60" i="21" s="1"/>
  <c r="F43" i="12"/>
  <c r="I6" i="14"/>
  <c r="G39" i="11"/>
  <c r="I24" i="13"/>
  <c r="F51" i="18"/>
  <c r="K51" i="18" s="1"/>
  <c r="C33" i="11"/>
  <c r="J16" i="12"/>
  <c r="J16" i="14"/>
  <c r="G44" i="16"/>
  <c r="G19" i="13"/>
  <c r="E14" i="9"/>
  <c r="A18" i="10"/>
  <c r="I8" i="14"/>
  <c r="I33" i="15"/>
  <c r="I42" i="14"/>
  <c r="G49" i="11"/>
  <c r="I9" i="13"/>
  <c r="J43" i="15"/>
  <c r="F50" i="15"/>
  <c r="K50" i="15" s="1"/>
  <c r="I34" i="17"/>
  <c r="D22" i="10"/>
  <c r="J20" i="10"/>
  <c r="G19" i="10"/>
  <c r="D18" i="10"/>
  <c r="C22" i="10"/>
  <c r="I20" i="10"/>
  <c r="F19" i="10"/>
  <c r="C18" i="10"/>
  <c r="J22" i="10"/>
  <c r="G21" i="10"/>
  <c r="D20" i="10"/>
  <c r="J18" i="10"/>
  <c r="K21" i="10"/>
  <c r="H20" i="10"/>
  <c r="E19" i="10"/>
  <c r="J21" i="10"/>
  <c r="G20" i="10"/>
  <c r="D19" i="10"/>
  <c r="K22" i="10"/>
  <c r="H21" i="10"/>
  <c r="E20" i="10"/>
  <c r="K18" i="10"/>
  <c r="G22" i="10"/>
  <c r="D21" i="10"/>
  <c r="J19" i="10"/>
  <c r="I21" i="10"/>
  <c r="F20" i="10"/>
  <c r="C19" i="10"/>
  <c r="I22" i="10"/>
  <c r="F21" i="10"/>
  <c r="C20" i="10"/>
  <c r="I18" i="10"/>
  <c r="H22" i="10"/>
  <c r="E21" i="10"/>
  <c r="K19" i="10"/>
  <c r="H18" i="10"/>
  <c r="F18" i="10"/>
  <c r="E18" i="10"/>
  <c r="I19" i="10"/>
  <c r="H19" i="10"/>
  <c r="G18" i="10"/>
  <c r="F22" i="10"/>
  <c r="E22" i="10"/>
  <c r="C21" i="10"/>
  <c r="K20" i="10"/>
  <c r="F6" i="15"/>
  <c r="K6" i="15" s="1"/>
  <c r="E52" i="15"/>
  <c r="J41" i="18"/>
  <c r="D27" i="18"/>
  <c r="C36" i="15"/>
  <c r="J9" i="16"/>
  <c r="D52" i="15"/>
  <c r="I52" i="15" s="1"/>
  <c r="J42" i="13"/>
  <c r="I8" i="13"/>
  <c r="J47" i="15"/>
  <c r="F33" i="15"/>
  <c r="K33" i="15" s="1"/>
  <c r="F9" i="17"/>
  <c r="K9" i="17" s="1"/>
  <c r="J17" i="12"/>
  <c r="D36" i="15"/>
  <c r="F39" i="17"/>
  <c r="F49" i="16"/>
  <c r="K49" i="16" s="1"/>
  <c r="F8" i="19"/>
  <c r="I41" i="12"/>
  <c r="I51" i="12"/>
  <c r="F49" i="14"/>
  <c r="K49" i="14" s="1"/>
  <c r="F41" i="13"/>
  <c r="K41" i="13" s="1"/>
  <c r="G19" i="15"/>
  <c r="F50" i="19"/>
  <c r="K50" i="19" s="1"/>
  <c r="K42" i="14"/>
  <c r="K42" i="16"/>
  <c r="F26" i="13"/>
  <c r="K26" i="13" s="1"/>
  <c r="J51" i="13"/>
  <c r="J42" i="16"/>
  <c r="F24" i="17"/>
  <c r="K24" i="17" s="1"/>
  <c r="F41" i="17"/>
  <c r="J50" i="19"/>
  <c r="I49" i="13"/>
  <c r="F47" i="19"/>
  <c r="K47" i="19" s="1"/>
  <c r="J49" i="14"/>
  <c r="F47" i="13"/>
  <c r="K47" i="13" s="1"/>
  <c r="D11" i="12"/>
  <c r="F57" i="12"/>
  <c r="K57" i="12" s="1"/>
  <c r="E57" i="11"/>
  <c r="E60" i="11" s="1"/>
  <c r="J15" i="13"/>
  <c r="F51" i="15"/>
  <c r="K51" i="15" s="1"/>
  <c r="G36" i="15"/>
  <c r="K42" i="19"/>
  <c r="F47" i="16"/>
  <c r="K47" i="16" s="1"/>
  <c r="F51" i="12"/>
  <c r="K51" i="12" s="1"/>
  <c r="J24" i="14"/>
  <c r="E11" i="17"/>
  <c r="D44" i="17"/>
  <c r="J24" i="19"/>
  <c r="I49" i="14"/>
  <c r="I26" i="14"/>
  <c r="F43" i="14"/>
  <c r="K43" i="14" s="1"/>
  <c r="F40" i="16"/>
  <c r="K40" i="16" s="1"/>
  <c r="G11" i="17"/>
  <c r="K9" i="19"/>
  <c r="D27" i="19"/>
  <c r="C36" i="19"/>
  <c r="J36" i="19" s="1"/>
  <c r="D27" i="13"/>
  <c r="G52" i="13"/>
  <c r="J22" i="13"/>
  <c r="D52" i="17"/>
  <c r="J10" i="17"/>
  <c r="K35" i="15"/>
  <c r="F35" i="19"/>
  <c r="K35" i="19" s="1"/>
  <c r="C11" i="16"/>
  <c r="J11" i="16" s="1"/>
  <c r="J24" i="16"/>
  <c r="D44" i="15"/>
  <c r="E44" i="16"/>
  <c r="E19" i="12"/>
  <c r="G52" i="12"/>
  <c r="I50" i="16"/>
  <c r="F8" i="13"/>
  <c r="K8" i="13" s="1"/>
  <c r="F49" i="15"/>
  <c r="K49" i="15" s="1"/>
  <c r="D42" i="11"/>
  <c r="I24" i="14"/>
  <c r="G19" i="18"/>
  <c r="F17" i="14"/>
  <c r="K17" i="14" s="1"/>
  <c r="J51" i="12"/>
  <c r="F15" i="19"/>
  <c r="K15" i="19" s="1"/>
  <c r="C52" i="12"/>
  <c r="J41" i="12"/>
  <c r="I18" i="12"/>
  <c r="F6" i="13"/>
  <c r="K6" i="13" s="1"/>
  <c r="J17" i="18"/>
  <c r="E44" i="19"/>
  <c r="J23" i="19"/>
  <c r="I43" i="19"/>
  <c r="F6" i="18"/>
  <c r="K6" i="18" s="1"/>
  <c r="K41" i="19"/>
  <c r="K48" i="22"/>
  <c r="I24" i="12"/>
  <c r="I15" i="12"/>
  <c r="D60" i="15"/>
  <c r="I60" i="15" s="1"/>
  <c r="F34" i="15"/>
  <c r="K34" i="15" s="1"/>
  <c r="I51" i="17"/>
  <c r="F51" i="19"/>
  <c r="K51" i="19" s="1"/>
  <c r="I17" i="19"/>
  <c r="D52" i="19"/>
  <c r="I48" i="19"/>
  <c r="D44" i="19"/>
  <c r="K50" i="14"/>
  <c r="D17" i="11"/>
  <c r="I17" i="14"/>
  <c r="J26" i="14"/>
  <c r="J25" i="14"/>
  <c r="E17" i="11"/>
  <c r="K33" i="14"/>
  <c r="G11" i="14"/>
  <c r="J11" i="14" s="1"/>
  <c r="I48" i="14"/>
  <c r="F47" i="14"/>
  <c r="K47" i="14" s="1"/>
  <c r="F51" i="17"/>
  <c r="K51" i="17" s="1"/>
  <c r="F18" i="15"/>
  <c r="K18" i="15" s="1"/>
  <c r="E42" i="11"/>
  <c r="F26" i="17"/>
  <c r="K26" i="17" s="1"/>
  <c r="F16" i="15"/>
  <c r="K16" i="15" s="1"/>
  <c r="G36" i="17"/>
  <c r="I40" i="17"/>
  <c r="C44" i="17"/>
  <c r="K25" i="18"/>
  <c r="E44" i="17"/>
  <c r="F23" i="18"/>
  <c r="K23" i="18" s="1"/>
  <c r="C52" i="16"/>
  <c r="G44" i="12"/>
  <c r="F49" i="17"/>
  <c r="K49" i="17" s="1"/>
  <c r="F23" i="17"/>
  <c r="K23" i="17" s="1"/>
  <c r="I22" i="13"/>
  <c r="I50" i="14"/>
  <c r="I16" i="13"/>
  <c r="F34" i="14"/>
  <c r="K34" i="14" s="1"/>
  <c r="F32" i="12"/>
  <c r="K32" i="12" s="1"/>
  <c r="F57" i="19"/>
  <c r="K57" i="19" s="1"/>
  <c r="I17" i="12"/>
  <c r="E11" i="18"/>
  <c r="D19" i="19"/>
  <c r="K39" i="13"/>
  <c r="I42" i="13"/>
  <c r="F39" i="14"/>
  <c r="K39" i="14" s="1"/>
  <c r="E11" i="14"/>
  <c r="D58" i="11"/>
  <c r="J25" i="16"/>
  <c r="C60" i="18"/>
  <c r="I60" i="18" s="1"/>
  <c r="J43" i="17"/>
  <c r="F50" i="16"/>
  <c r="K50" i="16" s="1"/>
  <c r="E19" i="23"/>
  <c r="E28" i="23" s="1"/>
  <c r="J48" i="12"/>
  <c r="J43" i="13"/>
  <c r="F35" i="16"/>
  <c r="K35" i="16" s="1"/>
  <c r="I39" i="17"/>
  <c r="F48" i="19"/>
  <c r="K48" i="19" s="1"/>
  <c r="F17" i="12"/>
  <c r="K17" i="12" s="1"/>
  <c r="C19" i="12"/>
  <c r="J41" i="19"/>
  <c r="C60" i="12"/>
  <c r="I60" i="12" s="1"/>
  <c r="J40" i="13"/>
  <c r="J34" i="15"/>
  <c r="I8" i="17"/>
  <c r="I16" i="19"/>
  <c r="F50" i="12"/>
  <c r="K50" i="12" s="1"/>
  <c r="F9" i="14"/>
  <c r="K9" i="14" s="1"/>
  <c r="J10" i="16"/>
  <c r="F57" i="18"/>
  <c r="K57" i="18" s="1"/>
  <c r="F7" i="17"/>
  <c r="K7" i="17" s="1"/>
  <c r="F6" i="14"/>
  <c r="K6" i="14" s="1"/>
  <c r="E47" i="11"/>
  <c r="F49" i="12"/>
  <c r="K49" i="12" s="1"/>
  <c r="F25" i="12"/>
  <c r="K25" i="12" s="1"/>
  <c r="J18" i="13"/>
  <c r="I51" i="14"/>
  <c r="I32" i="14"/>
  <c r="F49" i="13"/>
  <c r="K49" i="13" s="1"/>
  <c r="F24" i="14"/>
  <c r="K24" i="14" s="1"/>
  <c r="J50" i="15"/>
  <c r="I35" i="18"/>
  <c r="J49" i="19"/>
  <c r="G47" i="11"/>
  <c r="D19" i="18"/>
  <c r="F50" i="18"/>
  <c r="K50" i="18" s="1"/>
  <c r="C19" i="17"/>
  <c r="I6" i="17"/>
  <c r="J50" i="16"/>
  <c r="I22" i="19"/>
  <c r="I23" i="13"/>
  <c r="K35" i="13"/>
  <c r="D52" i="14"/>
  <c r="G35" i="11"/>
  <c r="J15" i="15"/>
  <c r="I49" i="16"/>
  <c r="J16" i="19"/>
  <c r="J34" i="18"/>
  <c r="F18" i="19"/>
  <c r="J58" i="12"/>
  <c r="K43" i="12"/>
  <c r="G27" i="13"/>
  <c r="H47" i="13" s="1"/>
  <c r="C44" i="19"/>
  <c r="I51" i="18"/>
  <c r="J39" i="17"/>
  <c r="F16" i="14"/>
  <c r="K16" i="14" s="1"/>
  <c r="E44" i="14"/>
  <c r="E19" i="15"/>
  <c r="D36" i="18"/>
  <c r="D27" i="17"/>
  <c r="F33" i="17"/>
  <c r="K33" i="17" s="1"/>
  <c r="J16" i="15"/>
  <c r="I6" i="19"/>
  <c r="G44" i="19"/>
  <c r="J48" i="19"/>
  <c r="I35" i="19"/>
  <c r="F22" i="12"/>
  <c r="K22" i="12" s="1"/>
  <c r="J42" i="14"/>
  <c r="C44" i="15"/>
  <c r="I44" i="15" s="1"/>
  <c r="F40" i="13"/>
  <c r="K40" i="13" s="1"/>
  <c r="I49" i="15"/>
  <c r="J23" i="18"/>
  <c r="I57" i="19"/>
  <c r="J12" i="22"/>
  <c r="I24" i="16"/>
  <c r="I51" i="15"/>
  <c r="F41" i="12"/>
  <c r="K41" i="12" s="1"/>
  <c r="G7" i="11"/>
  <c r="I18" i="14"/>
  <c r="F6" i="16"/>
  <c r="K6" i="16" s="1"/>
  <c r="G11" i="15"/>
  <c r="G43" i="11"/>
  <c r="D19" i="17"/>
  <c r="D60" i="17"/>
  <c r="I60" i="17" s="1"/>
  <c r="F47" i="17"/>
  <c r="K47" i="17" s="1"/>
  <c r="G44" i="15"/>
  <c r="J40" i="17"/>
  <c r="G33" i="11"/>
  <c r="G36" i="12"/>
  <c r="J36" i="12" s="1"/>
  <c r="C19" i="19"/>
  <c r="J19" i="19" s="1"/>
  <c r="J47" i="12"/>
  <c r="F26" i="19"/>
  <c r="K26" i="19" s="1"/>
  <c r="I9" i="19"/>
  <c r="J48" i="22"/>
  <c r="D52" i="16"/>
  <c r="F16" i="13"/>
  <c r="K16" i="13" s="1"/>
  <c r="J35" i="16"/>
  <c r="K25" i="14"/>
  <c r="G52" i="14"/>
  <c r="J48" i="13"/>
  <c r="E19" i="13"/>
  <c r="G36" i="14"/>
  <c r="E44" i="13"/>
  <c r="J22" i="15"/>
  <c r="F8" i="15"/>
  <c r="K8" i="15" s="1"/>
  <c r="F7" i="15"/>
  <c r="K7" i="15" s="1"/>
  <c r="D44" i="16"/>
  <c r="F48" i="16"/>
  <c r="K48" i="16" s="1"/>
  <c r="D34" i="11"/>
  <c r="J24" i="18"/>
  <c r="J23" i="17"/>
  <c r="G14" i="9"/>
  <c r="F14" i="9"/>
  <c r="H14" i="9"/>
  <c r="J14" i="9"/>
  <c r="K14" i="9"/>
  <c r="I14" i="9"/>
  <c r="I24" i="9" s="1"/>
  <c r="D14" i="9"/>
  <c r="C14" i="9"/>
  <c r="D27" i="12"/>
  <c r="J43" i="12"/>
  <c r="F8" i="12"/>
  <c r="K8" i="12" s="1"/>
  <c r="G19" i="12"/>
  <c r="I57" i="12"/>
  <c r="I22" i="12"/>
  <c r="J21" i="20"/>
  <c r="D52" i="12"/>
  <c r="F58" i="12"/>
  <c r="K58" i="12" s="1"/>
  <c r="J40" i="12"/>
  <c r="I49" i="12"/>
  <c r="J33" i="12"/>
  <c r="J26" i="12"/>
  <c r="I9" i="12"/>
  <c r="I43" i="12"/>
  <c r="I40" i="12"/>
  <c r="J22" i="12"/>
  <c r="F40" i="12"/>
  <c r="K40" i="12" s="1"/>
  <c r="C52" i="19"/>
  <c r="J52" i="19" s="1"/>
  <c r="G11" i="19"/>
  <c r="K10" i="20"/>
  <c r="I24" i="19"/>
  <c r="F10" i="19"/>
  <c r="K10" i="19" s="1"/>
  <c r="I41" i="19"/>
  <c r="C27" i="19"/>
  <c r="E11" i="19"/>
  <c r="F24" i="19"/>
  <c r="K24" i="19" s="1"/>
  <c r="F7" i="19"/>
  <c r="K7" i="19" s="1"/>
  <c r="J10" i="19"/>
  <c r="I49" i="19"/>
  <c r="I7" i="19"/>
  <c r="D49" i="11"/>
  <c r="J47" i="19"/>
  <c r="E27" i="19"/>
  <c r="F49" i="19"/>
  <c r="K49" i="19" s="1"/>
  <c r="C11" i="19"/>
  <c r="K18" i="19"/>
  <c r="J26" i="19"/>
  <c r="J22" i="19"/>
  <c r="G52" i="19"/>
  <c r="F19" i="24"/>
  <c r="F28" i="24" s="1"/>
  <c r="G22" i="11"/>
  <c r="J40" i="19"/>
  <c r="G27" i="19"/>
  <c r="H25" i="19" s="1"/>
  <c r="G6" i="11"/>
  <c r="K40" i="19"/>
  <c r="G48" i="11"/>
  <c r="J6" i="19"/>
  <c r="E52" i="19"/>
  <c r="G19" i="19"/>
  <c r="F23" i="19"/>
  <c r="K23" i="19" s="1"/>
  <c r="D11" i="19"/>
  <c r="J25" i="19"/>
  <c r="D57" i="11"/>
  <c r="F22" i="19"/>
  <c r="K8" i="19"/>
  <c r="F6" i="19"/>
  <c r="K6" i="19" s="1"/>
  <c r="I25" i="19"/>
  <c r="J9" i="19"/>
  <c r="C47" i="11"/>
  <c r="I23" i="19"/>
  <c r="G24" i="11"/>
  <c r="I26" i="16"/>
  <c r="D48" i="11"/>
  <c r="G16" i="11"/>
  <c r="I10" i="15"/>
  <c r="H19" i="22"/>
  <c r="H30" i="22" s="1"/>
  <c r="K41" i="15"/>
  <c r="G27" i="15"/>
  <c r="H48" i="15" s="1"/>
  <c r="D27" i="16"/>
  <c r="G36" i="16"/>
  <c r="I22" i="16"/>
  <c r="J8" i="15"/>
  <c r="J40" i="16"/>
  <c r="D11" i="15"/>
  <c r="E11" i="16"/>
  <c r="F51" i="16"/>
  <c r="K51" i="16" s="1"/>
  <c r="I43" i="16"/>
  <c r="I32" i="16"/>
  <c r="G9" i="11"/>
  <c r="G27" i="16"/>
  <c r="H7" i="16" s="1"/>
  <c r="D50" i="11"/>
  <c r="J18" i="16"/>
  <c r="F43" i="16"/>
  <c r="K43" i="16" s="1"/>
  <c r="F17" i="15"/>
  <c r="K17" i="15" s="1"/>
  <c r="K7" i="20"/>
  <c r="F18" i="16"/>
  <c r="K18" i="16" s="1"/>
  <c r="D27" i="15"/>
  <c r="I26" i="15"/>
  <c r="J40" i="15"/>
  <c r="F41" i="16"/>
  <c r="K41" i="16" s="1"/>
  <c r="F23" i="15"/>
  <c r="K23" i="15" s="1"/>
  <c r="I22" i="15"/>
  <c r="I16" i="16"/>
  <c r="I11" i="16"/>
  <c r="F9" i="16"/>
  <c r="K9" i="16" s="1"/>
  <c r="F22" i="15"/>
  <c r="D24" i="11"/>
  <c r="K15" i="20"/>
  <c r="E27" i="16"/>
  <c r="J8" i="16"/>
  <c r="I50" i="15"/>
  <c r="C42" i="11"/>
  <c r="E9" i="11"/>
  <c r="J24" i="15"/>
  <c r="F26" i="16"/>
  <c r="K26" i="16" s="1"/>
  <c r="K9" i="15"/>
  <c r="I42" i="15"/>
  <c r="C44" i="16"/>
  <c r="F26" i="15"/>
  <c r="K26" i="15" s="1"/>
  <c r="J42" i="15"/>
  <c r="G52" i="16"/>
  <c r="F39" i="16"/>
  <c r="K39" i="16" s="1"/>
  <c r="I7" i="16"/>
  <c r="G17" i="11"/>
  <c r="K41" i="17"/>
  <c r="F18" i="20"/>
  <c r="I42" i="17"/>
  <c r="C10" i="11"/>
  <c r="F48" i="17"/>
  <c r="K48" i="17" s="1"/>
  <c r="J16" i="17"/>
  <c r="J6" i="17"/>
  <c r="C44" i="18"/>
  <c r="I44" i="18" s="1"/>
  <c r="D11" i="17"/>
  <c r="F6" i="17"/>
  <c r="K6" i="17" s="1"/>
  <c r="I23" i="18"/>
  <c r="I18" i="18"/>
  <c r="F42" i="18"/>
  <c r="K42" i="18" s="1"/>
  <c r="E27" i="18"/>
  <c r="F26" i="18"/>
  <c r="K26" i="18" s="1"/>
  <c r="I16" i="17"/>
  <c r="I10" i="17"/>
  <c r="D44" i="18"/>
  <c r="I33" i="17"/>
  <c r="J18" i="18"/>
  <c r="F10" i="17"/>
  <c r="K10" i="17" s="1"/>
  <c r="G52" i="17"/>
  <c r="J26" i="17"/>
  <c r="G19" i="17"/>
  <c r="J19" i="17" s="1"/>
  <c r="J8" i="18"/>
  <c r="E52" i="17"/>
  <c r="G42" i="11"/>
  <c r="E27" i="17"/>
  <c r="D52" i="18"/>
  <c r="E19" i="18"/>
  <c r="F56" i="17"/>
  <c r="K56" i="17" s="1"/>
  <c r="I50" i="18"/>
  <c r="J51" i="18"/>
  <c r="G27" i="17"/>
  <c r="H10" i="17" s="1"/>
  <c r="E36" i="18"/>
  <c r="F40" i="18"/>
  <c r="K40" i="18" s="1"/>
  <c r="G9" i="20"/>
  <c r="L9" i="20" s="1"/>
  <c r="C34" i="11"/>
  <c r="E26" i="11"/>
  <c r="E34" i="11"/>
  <c r="J15" i="17"/>
  <c r="G27" i="18"/>
  <c r="H18" i="18" s="1"/>
  <c r="E36" i="17"/>
  <c r="F42" i="17"/>
  <c r="K42" i="17" s="1"/>
  <c r="J50" i="18"/>
  <c r="F43" i="18"/>
  <c r="K43" i="18" s="1"/>
  <c r="K24" i="20"/>
  <c r="F49" i="18"/>
  <c r="K49" i="18" s="1"/>
  <c r="I26" i="17"/>
  <c r="I34" i="18"/>
  <c r="F16" i="17"/>
  <c r="K16" i="17" s="1"/>
  <c r="J49" i="17"/>
  <c r="G41" i="11"/>
  <c r="G44" i="18"/>
  <c r="H44" i="18" s="1"/>
  <c r="E41" i="11"/>
  <c r="I41" i="18"/>
  <c r="E19" i="17"/>
  <c r="J11" i="18"/>
  <c r="G10" i="11"/>
  <c r="G52" i="18"/>
  <c r="H52" i="18" s="1"/>
  <c r="J25" i="17"/>
  <c r="F40" i="17"/>
  <c r="K40" i="17" s="1"/>
  <c r="I43" i="17"/>
  <c r="H10" i="18"/>
  <c r="J35" i="18"/>
  <c r="F49" i="23"/>
  <c r="F58" i="23" s="1"/>
  <c r="C27" i="17"/>
  <c r="J18" i="23"/>
  <c r="E35" i="11"/>
  <c r="F15" i="17"/>
  <c r="K15" i="17" s="1"/>
  <c r="I26" i="18"/>
  <c r="J49" i="18"/>
  <c r="C19" i="18"/>
  <c r="I49" i="17"/>
  <c r="I24" i="17"/>
  <c r="F43" i="17"/>
  <c r="K43" i="17" s="1"/>
  <c r="J17" i="17"/>
  <c r="J42" i="17"/>
  <c r="E32" i="11"/>
  <c r="F17" i="17"/>
  <c r="K17" i="17" s="1"/>
  <c r="I16" i="18"/>
  <c r="F18" i="17"/>
  <c r="K18" i="17" s="1"/>
  <c r="F41" i="18"/>
  <c r="K41" i="18" s="1"/>
  <c r="J24" i="17"/>
  <c r="D7" i="11"/>
  <c r="D8" i="11"/>
  <c r="F34" i="17"/>
  <c r="K34" i="17" s="1"/>
  <c r="I8" i="18"/>
  <c r="I48" i="17"/>
  <c r="C11" i="17"/>
  <c r="F25" i="17"/>
  <c r="K25" i="17" s="1"/>
  <c r="F16" i="18"/>
  <c r="K16" i="18" s="1"/>
  <c r="D43" i="11"/>
  <c r="J50" i="17"/>
  <c r="C52" i="17"/>
  <c r="C57" i="11"/>
  <c r="I50" i="17"/>
  <c r="E52" i="18"/>
  <c r="C52" i="18"/>
  <c r="E44" i="18"/>
  <c r="C36" i="18"/>
  <c r="G44" i="17"/>
  <c r="K23" i="20"/>
  <c r="I32" i="18"/>
  <c r="F50" i="17"/>
  <c r="K50" i="17" s="1"/>
  <c r="F8" i="17"/>
  <c r="K8" i="17" s="1"/>
  <c r="C27" i="18"/>
  <c r="I27" i="18" s="1"/>
  <c r="F24" i="18"/>
  <c r="K24" i="18" s="1"/>
  <c r="I18" i="17"/>
  <c r="I15" i="18"/>
  <c r="I57" i="18"/>
  <c r="I17" i="17"/>
  <c r="F18" i="18"/>
  <c r="K18" i="18" s="1"/>
  <c r="E49" i="11"/>
  <c r="F15" i="18"/>
  <c r="K15" i="18" s="1"/>
  <c r="I23" i="17"/>
  <c r="K14" i="20"/>
  <c r="J7" i="17"/>
  <c r="I25" i="17"/>
  <c r="C36" i="17"/>
  <c r="K12" i="23"/>
  <c r="E49" i="23"/>
  <c r="E60" i="23" s="1"/>
  <c r="J48" i="17"/>
  <c r="F35" i="18"/>
  <c r="K35" i="18" s="1"/>
  <c r="I24" i="18"/>
  <c r="E10" i="11"/>
  <c r="E16" i="11"/>
  <c r="F17" i="18"/>
  <c r="K17" i="18" s="1"/>
  <c r="I17" i="18"/>
  <c r="J26" i="18"/>
  <c r="I15" i="17"/>
  <c r="F8" i="18"/>
  <c r="K8" i="18" s="1"/>
  <c r="J43" i="18"/>
  <c r="J57" i="16"/>
  <c r="I6" i="15"/>
  <c r="C19" i="16"/>
  <c r="J19" i="16" s="1"/>
  <c r="J58" i="16"/>
  <c r="I15" i="15"/>
  <c r="F15" i="15"/>
  <c r="I9" i="16"/>
  <c r="I8" i="15"/>
  <c r="J26" i="15"/>
  <c r="F8" i="16"/>
  <c r="K8" i="16" s="1"/>
  <c r="G12" i="22"/>
  <c r="G29" i="22" s="1"/>
  <c r="J22" i="16"/>
  <c r="E11" i="15"/>
  <c r="G19" i="16"/>
  <c r="F57" i="15"/>
  <c r="K57" i="15" s="1"/>
  <c r="F10" i="15"/>
  <c r="K10" i="15" s="1"/>
  <c r="G57" i="11"/>
  <c r="G60" i="11" s="1"/>
  <c r="C50" i="11"/>
  <c r="D9" i="11"/>
  <c r="G11" i="20"/>
  <c r="L11" i="20" s="1"/>
  <c r="E52" i="16"/>
  <c r="K57" i="16"/>
  <c r="I25" i="16"/>
  <c r="I23" i="15"/>
  <c r="F23" i="16"/>
  <c r="K23" i="16" s="1"/>
  <c r="J6" i="15"/>
  <c r="F22" i="16"/>
  <c r="K22" i="16" s="1"/>
  <c r="I15" i="16"/>
  <c r="G21" i="20"/>
  <c r="L21" i="20" s="1"/>
  <c r="J23" i="15"/>
  <c r="F58" i="16"/>
  <c r="K58" i="16" s="1"/>
  <c r="J16" i="16"/>
  <c r="C24" i="11"/>
  <c r="C43" i="11"/>
  <c r="E24" i="11"/>
  <c r="E40" i="11"/>
  <c r="E7" i="11"/>
  <c r="E50" i="11"/>
  <c r="I43" i="15"/>
  <c r="I8" i="16"/>
  <c r="F25" i="16"/>
  <c r="K25" i="16" s="1"/>
  <c r="E36" i="16"/>
  <c r="C19" i="15"/>
  <c r="F40" i="15"/>
  <c r="K40" i="15" s="1"/>
  <c r="J10" i="15"/>
  <c r="C58" i="11"/>
  <c r="D51" i="11"/>
  <c r="I6" i="16"/>
  <c r="F24" i="16"/>
  <c r="K24" i="16" s="1"/>
  <c r="C60" i="16"/>
  <c r="I60" i="16" s="1"/>
  <c r="C11" i="15"/>
  <c r="K25" i="20"/>
  <c r="G8" i="20"/>
  <c r="I24" i="15"/>
  <c r="E27" i="15"/>
  <c r="I51" i="16"/>
  <c r="F24" i="15"/>
  <c r="K24" i="15" s="1"/>
  <c r="E8" i="11"/>
  <c r="I7" i="15"/>
  <c r="J7" i="15"/>
  <c r="I25" i="15"/>
  <c r="F15" i="16"/>
  <c r="K15" i="16" s="1"/>
  <c r="F16" i="16"/>
  <c r="K16" i="16" s="1"/>
  <c r="D19" i="22"/>
  <c r="I17" i="15"/>
  <c r="I23" i="16"/>
  <c r="E25" i="11"/>
  <c r="D22" i="11"/>
  <c r="I41" i="16"/>
  <c r="J25" i="15"/>
  <c r="C36" i="16"/>
  <c r="J39" i="16"/>
  <c r="C27" i="16"/>
  <c r="J18" i="15"/>
  <c r="I18" i="16"/>
  <c r="E19" i="22"/>
  <c r="E30" i="22" s="1"/>
  <c r="F32" i="16"/>
  <c r="K32" i="16" s="1"/>
  <c r="C27" i="15"/>
  <c r="J32" i="16"/>
  <c r="E19" i="16"/>
  <c r="F42" i="15"/>
  <c r="K42" i="15" s="1"/>
  <c r="J51" i="14"/>
  <c r="C44" i="14"/>
  <c r="F22" i="14"/>
  <c r="K22" i="14" s="1"/>
  <c r="I39" i="14"/>
  <c r="I47" i="14"/>
  <c r="I33" i="14"/>
  <c r="D36" i="14"/>
  <c r="J14" i="20"/>
  <c r="D39" i="11"/>
  <c r="E51" i="11"/>
  <c r="I16" i="14"/>
  <c r="I35" i="14"/>
  <c r="D33" i="11"/>
  <c r="K11" i="20"/>
  <c r="D19" i="14"/>
  <c r="I41" i="14"/>
  <c r="F26" i="20"/>
  <c r="F31" i="20" s="1"/>
  <c r="G44" i="14"/>
  <c r="J35" i="14"/>
  <c r="C32" i="11"/>
  <c r="D47" i="11"/>
  <c r="F18" i="14"/>
  <c r="K18" i="14" s="1"/>
  <c r="E19" i="14"/>
  <c r="G34" i="11"/>
  <c r="C36" i="14"/>
  <c r="J36" i="14" s="1"/>
  <c r="E36" i="14"/>
  <c r="G27" i="14"/>
  <c r="H6" i="14" s="1"/>
  <c r="E27" i="14"/>
  <c r="D27" i="14"/>
  <c r="J59" i="11"/>
  <c r="D11" i="14"/>
  <c r="I11" i="14" s="1"/>
  <c r="C51" i="11"/>
  <c r="C41" i="11"/>
  <c r="F26" i="14"/>
  <c r="K26" i="14" s="1"/>
  <c r="F32" i="14"/>
  <c r="E6" i="11"/>
  <c r="E18" i="20"/>
  <c r="C35" i="11"/>
  <c r="G40" i="11"/>
  <c r="C23" i="11"/>
  <c r="G25" i="20"/>
  <c r="L25" i="20" s="1"/>
  <c r="D6" i="11"/>
  <c r="J7" i="20"/>
  <c r="I56" i="11"/>
  <c r="G26" i="11"/>
  <c r="C17" i="11"/>
  <c r="E48" i="11"/>
  <c r="F9" i="13"/>
  <c r="K9" i="13" s="1"/>
  <c r="F43" i="13"/>
  <c r="K43" i="13" s="1"/>
  <c r="F41" i="14"/>
  <c r="K41" i="14" s="1"/>
  <c r="J39" i="13"/>
  <c r="G44" i="13"/>
  <c r="D41" i="11"/>
  <c r="E43" i="11"/>
  <c r="I25" i="14"/>
  <c r="F40" i="14"/>
  <c r="K40" i="14" s="1"/>
  <c r="G23" i="20"/>
  <c r="L23" i="20" s="1"/>
  <c r="C40" i="11"/>
  <c r="D10" i="11"/>
  <c r="I15" i="14"/>
  <c r="F10" i="14"/>
  <c r="K10" i="14" s="1"/>
  <c r="D11" i="13"/>
  <c r="J9" i="13"/>
  <c r="J40" i="14"/>
  <c r="D44" i="14"/>
  <c r="E36" i="13"/>
  <c r="I10" i="14"/>
  <c r="J32" i="14"/>
  <c r="E52" i="14"/>
  <c r="F15" i="14"/>
  <c r="K15" i="14" s="1"/>
  <c r="G36" i="13"/>
  <c r="J36" i="13" s="1"/>
  <c r="F7" i="14"/>
  <c r="K7" i="14" s="1"/>
  <c r="I6" i="13"/>
  <c r="F12" i="20"/>
  <c r="F29" i="20" s="1"/>
  <c r="I23" i="14"/>
  <c r="J34" i="13"/>
  <c r="F24" i="13"/>
  <c r="K24" i="13" s="1"/>
  <c r="C19" i="14"/>
  <c r="J19" i="14" s="1"/>
  <c r="C52" i="14"/>
  <c r="I22" i="14"/>
  <c r="C11" i="13"/>
  <c r="J18" i="14"/>
  <c r="J48" i="14"/>
  <c r="C15" i="11"/>
  <c r="E12" i="20"/>
  <c r="E29" i="20" s="1"/>
  <c r="D25" i="11"/>
  <c r="J25" i="13"/>
  <c r="G14" i="20"/>
  <c r="L14" i="20" s="1"/>
  <c r="J56" i="11"/>
  <c r="D23" i="11"/>
  <c r="F18" i="13"/>
  <c r="K18" i="13" s="1"/>
  <c r="J6" i="13"/>
  <c r="D52" i="13"/>
  <c r="F34" i="13"/>
  <c r="K34" i="13" s="1"/>
  <c r="F48" i="14"/>
  <c r="K48" i="14" s="1"/>
  <c r="F23" i="13"/>
  <c r="K23" i="13" s="1"/>
  <c r="F19" i="21"/>
  <c r="F28" i="21" s="1"/>
  <c r="E27" i="13"/>
  <c r="F22" i="13"/>
  <c r="K22" i="13" s="1"/>
  <c r="I47" i="13"/>
  <c r="H42" i="13"/>
  <c r="G50" i="11"/>
  <c r="F15" i="13"/>
  <c r="K15" i="13" s="1"/>
  <c r="D16" i="11"/>
  <c r="E52" i="13"/>
  <c r="I48" i="13"/>
  <c r="F51" i="13"/>
  <c r="K51" i="13" s="1"/>
  <c r="E11" i="13"/>
  <c r="I7" i="13"/>
  <c r="J7" i="13"/>
  <c r="G25" i="11"/>
  <c r="J50" i="13"/>
  <c r="F7" i="13"/>
  <c r="K7" i="13" s="1"/>
  <c r="I51" i="13"/>
  <c r="E23" i="11"/>
  <c r="C27" i="14"/>
  <c r="F51" i="14"/>
  <c r="K51" i="14" s="1"/>
  <c r="G18" i="11"/>
  <c r="G17" i="20"/>
  <c r="L17" i="20" s="1"/>
  <c r="I50" i="13"/>
  <c r="E22" i="11"/>
  <c r="F50" i="13"/>
  <c r="K50" i="13" s="1"/>
  <c r="D19" i="13"/>
  <c r="J11" i="20"/>
  <c r="I18" i="13"/>
  <c r="C52" i="13"/>
  <c r="F25" i="13"/>
  <c r="K25" i="13" s="1"/>
  <c r="C7" i="11"/>
  <c r="G23" i="11"/>
  <c r="D12" i="20"/>
  <c r="D26" i="11"/>
  <c r="G51" i="11"/>
  <c r="E18" i="11"/>
  <c r="I26" i="13"/>
  <c r="G15" i="20"/>
  <c r="L15" i="20" s="1"/>
  <c r="G10" i="20"/>
  <c r="L10" i="20" s="1"/>
  <c r="C27" i="13"/>
  <c r="E15" i="11"/>
  <c r="F17" i="13"/>
  <c r="K17" i="13" s="1"/>
  <c r="I25" i="13"/>
  <c r="I17" i="13"/>
  <c r="E26" i="20"/>
  <c r="E31" i="20" s="1"/>
  <c r="I10" i="13"/>
  <c r="F10" i="13"/>
  <c r="K10" i="13" s="1"/>
  <c r="G22" i="20"/>
  <c r="L22" i="20" s="1"/>
  <c r="F48" i="13"/>
  <c r="K48" i="13" s="1"/>
  <c r="F23" i="14"/>
  <c r="K23" i="14" s="1"/>
  <c r="I15" i="13"/>
  <c r="J26" i="13"/>
  <c r="C19" i="13"/>
  <c r="J10" i="13"/>
  <c r="J23" i="14"/>
  <c r="J17" i="13"/>
  <c r="C18" i="11"/>
  <c r="G7" i="20"/>
  <c r="L7" i="20" s="1"/>
  <c r="E52" i="12"/>
  <c r="E11" i="12"/>
  <c r="G15" i="11"/>
  <c r="I6" i="12"/>
  <c r="F6" i="12"/>
  <c r="K6" i="12" s="1"/>
  <c r="I8" i="12"/>
  <c r="I16" i="12"/>
  <c r="J8" i="12"/>
  <c r="J42" i="12"/>
  <c r="F47" i="12"/>
  <c r="K47" i="12" s="1"/>
  <c r="F18" i="12"/>
  <c r="K18" i="12" s="1"/>
  <c r="G8" i="11"/>
  <c r="C22" i="11"/>
  <c r="I39" i="12"/>
  <c r="F16" i="12"/>
  <c r="K16" i="12" s="1"/>
  <c r="I48" i="12"/>
  <c r="I42" i="12"/>
  <c r="F59" i="11"/>
  <c r="K59" i="11" s="1"/>
  <c r="C49" i="11"/>
  <c r="C25" i="11"/>
  <c r="I23" i="12"/>
  <c r="F15" i="12"/>
  <c r="K15" i="12" s="1"/>
  <c r="C11" i="12"/>
  <c r="F42" i="12"/>
  <c r="K42" i="12" s="1"/>
  <c r="L46" i="20"/>
  <c r="G16" i="20"/>
  <c r="L16" i="20" s="1"/>
  <c r="F23" i="12"/>
  <c r="K23" i="12" s="1"/>
  <c r="C16" i="11"/>
  <c r="D40" i="11"/>
  <c r="J32" i="12"/>
  <c r="F26" i="12"/>
  <c r="K26" i="12" s="1"/>
  <c r="F48" i="12"/>
  <c r="K48" i="12" s="1"/>
  <c r="J24" i="12"/>
  <c r="J25" i="12"/>
  <c r="J23" i="20"/>
  <c r="F24" i="12"/>
  <c r="K24" i="12" s="1"/>
  <c r="G32" i="11"/>
  <c r="C27" i="12"/>
  <c r="I26" i="12"/>
  <c r="J15" i="12"/>
  <c r="D44" i="12"/>
  <c r="E27" i="12"/>
  <c r="J23" i="12"/>
  <c r="C9" i="11"/>
  <c r="J18" i="12"/>
  <c r="C26" i="11"/>
  <c r="D35" i="11"/>
  <c r="D32" i="11"/>
  <c r="C8" i="11"/>
  <c r="J49" i="12"/>
  <c r="D18" i="11"/>
  <c r="C48" i="11"/>
  <c r="D19" i="12"/>
  <c r="D15" i="11"/>
  <c r="I25" i="12"/>
  <c r="D36" i="12"/>
  <c r="I36" i="12" s="1"/>
  <c r="I35" i="12"/>
  <c r="L54" i="20"/>
  <c r="G24" i="20"/>
  <c r="L24" i="20" s="1"/>
  <c r="C44" i="12"/>
  <c r="J6" i="12"/>
  <c r="I47" i="12"/>
  <c r="G27" i="12"/>
  <c r="C39" i="11"/>
  <c r="C6" i="11"/>
  <c r="F56" i="11"/>
  <c r="K56" i="11" s="1"/>
  <c r="F60" i="23"/>
  <c r="L40" i="20"/>
  <c r="F19" i="23"/>
  <c r="F30" i="23" s="1"/>
  <c r="J12" i="21"/>
  <c r="D18" i="20"/>
  <c r="F49" i="22"/>
  <c r="F60" i="22" s="1"/>
  <c r="F19" i="22"/>
  <c r="F30" i="22" s="1"/>
  <c r="H23" i="18"/>
  <c r="L44" i="20"/>
  <c r="G12" i="21"/>
  <c r="G29" i="21" s="1"/>
  <c r="K21" i="20"/>
  <c r="D19" i="23"/>
  <c r="D28" i="23" s="1"/>
  <c r="H19" i="18"/>
  <c r="H33" i="18"/>
  <c r="J25" i="20"/>
  <c r="K18" i="23"/>
  <c r="E19" i="24"/>
  <c r="E28" i="24" s="1"/>
  <c r="E19" i="21"/>
  <c r="E28" i="21" s="1"/>
  <c r="H32" i="18"/>
  <c r="D49" i="22"/>
  <c r="D60" i="22" s="1"/>
  <c r="K16" i="20"/>
  <c r="J26" i="21"/>
  <c r="L41" i="20"/>
  <c r="E49" i="21"/>
  <c r="E60" i="21" s="1"/>
  <c r="K26" i="21"/>
  <c r="G18" i="22"/>
  <c r="L18" i="22" s="1"/>
  <c r="K26" i="23"/>
  <c r="J26" i="23"/>
  <c r="D29" i="23"/>
  <c r="J29" i="23" s="1"/>
  <c r="E49" i="22"/>
  <c r="J24" i="20"/>
  <c r="F49" i="20"/>
  <c r="F60" i="20" s="1"/>
  <c r="J16" i="20"/>
  <c r="G18" i="21"/>
  <c r="G42" i="20"/>
  <c r="K18" i="22"/>
  <c r="G12" i="23"/>
  <c r="G29" i="23" s="1"/>
  <c r="I11" i="18"/>
  <c r="J12" i="23"/>
  <c r="E49" i="20"/>
  <c r="E60" i="20" s="1"/>
  <c r="H9" i="18"/>
  <c r="H51" i="18"/>
  <c r="H39" i="18"/>
  <c r="H25" i="18"/>
  <c r="H41" i="18"/>
  <c r="H19" i="13"/>
  <c r="D19" i="24"/>
  <c r="J18" i="24"/>
  <c r="K18" i="24"/>
  <c r="H29" i="24"/>
  <c r="H19" i="24"/>
  <c r="K26" i="24"/>
  <c r="J26" i="24"/>
  <c r="D31" i="24"/>
  <c r="L14" i="24"/>
  <c r="G18" i="24"/>
  <c r="K12" i="24"/>
  <c r="D29" i="24"/>
  <c r="J12" i="24"/>
  <c r="G12" i="24"/>
  <c r="H31" i="24"/>
  <c r="G26" i="24"/>
  <c r="H61" i="23"/>
  <c r="H59" i="23"/>
  <c r="D49" i="23"/>
  <c r="K48" i="23"/>
  <c r="J48" i="23"/>
  <c r="G18" i="23"/>
  <c r="H31" i="23"/>
  <c r="K31" i="23" s="1"/>
  <c r="L44" i="23"/>
  <c r="G48" i="23"/>
  <c r="K42" i="23"/>
  <c r="D59" i="23"/>
  <c r="J42" i="23"/>
  <c r="G42" i="23"/>
  <c r="G26" i="23"/>
  <c r="L21" i="23"/>
  <c r="G56" i="23"/>
  <c r="J31" i="23"/>
  <c r="H19" i="23"/>
  <c r="K56" i="23"/>
  <c r="J56" i="23"/>
  <c r="D61" i="23"/>
  <c r="H49" i="23"/>
  <c r="H29" i="23"/>
  <c r="J26" i="22"/>
  <c r="D31" i="22"/>
  <c r="K26" i="22"/>
  <c r="H49" i="22"/>
  <c r="H31" i="22"/>
  <c r="K42" i="22"/>
  <c r="D59" i="22"/>
  <c r="J42" i="22"/>
  <c r="G42" i="22"/>
  <c r="J29" i="22"/>
  <c r="K56" i="22"/>
  <c r="J56" i="22"/>
  <c r="D61" i="22"/>
  <c r="H29" i="22"/>
  <c r="K29" i="22" s="1"/>
  <c r="K12" i="22"/>
  <c r="G26" i="22"/>
  <c r="J18" i="22"/>
  <c r="G48" i="22"/>
  <c r="L44" i="22"/>
  <c r="H61" i="22"/>
  <c r="G56" i="22"/>
  <c r="H59" i="22"/>
  <c r="G56" i="21"/>
  <c r="H29" i="21"/>
  <c r="K29" i="21" s="1"/>
  <c r="H61" i="21"/>
  <c r="H49" i="21"/>
  <c r="K31" i="21"/>
  <c r="J31" i="21"/>
  <c r="K42" i="21"/>
  <c r="D59" i="21"/>
  <c r="J42" i="21"/>
  <c r="G42" i="21"/>
  <c r="H59" i="21"/>
  <c r="H19" i="21"/>
  <c r="G48" i="21"/>
  <c r="D19" i="21"/>
  <c r="K18" i="21"/>
  <c r="J18" i="21"/>
  <c r="J29" i="21"/>
  <c r="J48" i="21"/>
  <c r="L21" i="21"/>
  <c r="G26" i="21"/>
  <c r="K48" i="21"/>
  <c r="F58" i="21"/>
  <c r="K56" i="21"/>
  <c r="J56" i="21"/>
  <c r="D61" i="21"/>
  <c r="K12" i="21"/>
  <c r="D49" i="21"/>
  <c r="D59" i="20"/>
  <c r="J42" i="20"/>
  <c r="K42" i="20"/>
  <c r="H59" i="20"/>
  <c r="H49" i="20"/>
  <c r="J15" i="20"/>
  <c r="K17" i="20"/>
  <c r="J17" i="20"/>
  <c r="H61" i="20"/>
  <c r="L39" i="20"/>
  <c r="L38" i="20"/>
  <c r="L52" i="20"/>
  <c r="D49" i="20"/>
  <c r="K48" i="20"/>
  <c r="J48" i="20"/>
  <c r="J8" i="20"/>
  <c r="K8" i="20"/>
  <c r="J9" i="20"/>
  <c r="K9" i="20"/>
  <c r="G56" i="20"/>
  <c r="L47" i="20"/>
  <c r="K56" i="20"/>
  <c r="J56" i="20"/>
  <c r="D61" i="20"/>
  <c r="L45" i="20"/>
  <c r="K22" i="20"/>
  <c r="J22" i="20"/>
  <c r="L53" i="20"/>
  <c r="H12" i="20"/>
  <c r="H26" i="20"/>
  <c r="G48" i="20"/>
  <c r="J10" i="20"/>
  <c r="D26" i="20"/>
  <c r="H18" i="20"/>
  <c r="K39" i="19"/>
  <c r="F44" i="19"/>
  <c r="K44" i="19" s="1"/>
  <c r="J60" i="19"/>
  <c r="I60" i="19"/>
  <c r="K56" i="19"/>
  <c r="K39" i="18"/>
  <c r="K22" i="18"/>
  <c r="K56" i="18"/>
  <c r="F60" i="18"/>
  <c r="K60" i="18" s="1"/>
  <c r="H17" i="18"/>
  <c r="K22" i="17"/>
  <c r="J60" i="17"/>
  <c r="K39" i="17"/>
  <c r="J44" i="16"/>
  <c r="K56" i="16"/>
  <c r="J60" i="15"/>
  <c r="I36" i="15"/>
  <c r="J36" i="15"/>
  <c r="K22" i="15"/>
  <c r="K56" i="15"/>
  <c r="K39" i="15"/>
  <c r="J60" i="14"/>
  <c r="I60" i="14"/>
  <c r="K56" i="14"/>
  <c r="F60" i="14"/>
  <c r="K60" i="14" s="1"/>
  <c r="K56" i="13"/>
  <c r="F60" i="13"/>
  <c r="K60" i="13" s="1"/>
  <c r="I36" i="13"/>
  <c r="J60" i="13"/>
  <c r="I60" i="13"/>
  <c r="H9" i="13"/>
  <c r="K39" i="12"/>
  <c r="K56" i="12"/>
  <c r="B13" i="9"/>
  <c r="A13" i="9"/>
  <c r="A24" i="9"/>
  <c r="J52" i="12" l="1"/>
  <c r="H7" i="18"/>
  <c r="J44" i="12"/>
  <c r="I36" i="19"/>
  <c r="H42" i="19"/>
  <c r="A13" i="10"/>
  <c r="H47" i="18"/>
  <c r="I33" i="11"/>
  <c r="I58" i="11"/>
  <c r="I52" i="17"/>
  <c r="D60" i="11"/>
  <c r="J60" i="18"/>
  <c r="J44" i="13"/>
  <c r="J33" i="11"/>
  <c r="E30" i="24"/>
  <c r="I19" i="15"/>
  <c r="I44" i="16"/>
  <c r="H11" i="12"/>
  <c r="J11" i="12"/>
  <c r="F36" i="14"/>
  <c r="K36" i="14" s="1"/>
  <c r="J60" i="12"/>
  <c r="H59" i="14"/>
  <c r="E58" i="23"/>
  <c r="J19" i="13"/>
  <c r="J44" i="19"/>
  <c r="F58" i="22"/>
  <c r="F30" i="24"/>
  <c r="H56" i="12"/>
  <c r="J49" i="11"/>
  <c r="I36" i="18"/>
  <c r="J47" i="11"/>
  <c r="J19" i="12"/>
  <c r="I19" i="19"/>
  <c r="J19" i="15"/>
  <c r="F60" i="16"/>
  <c r="K60" i="16" s="1"/>
  <c r="I27" i="13"/>
  <c r="J11" i="15"/>
  <c r="J44" i="15"/>
  <c r="I19" i="12"/>
  <c r="I27" i="19"/>
  <c r="I52" i="12"/>
  <c r="F36" i="15"/>
  <c r="K36" i="15" s="1"/>
  <c r="F60" i="17"/>
  <c r="K60" i="17" s="1"/>
  <c r="J39" i="11"/>
  <c r="I11" i="19"/>
  <c r="F19" i="19"/>
  <c r="K19" i="19" s="1"/>
  <c r="I44" i="17"/>
  <c r="I19" i="18"/>
  <c r="J16" i="10"/>
  <c r="G15" i="10"/>
  <c r="D14" i="10"/>
  <c r="I16" i="10"/>
  <c r="F15" i="10"/>
  <c r="C14" i="10"/>
  <c r="G17" i="10"/>
  <c r="D16" i="10"/>
  <c r="J14" i="10"/>
  <c r="G13" i="10"/>
  <c r="K17" i="10"/>
  <c r="H16" i="10"/>
  <c r="E15" i="10"/>
  <c r="K13" i="10"/>
  <c r="J17" i="10"/>
  <c r="G16" i="10"/>
  <c r="D15" i="10"/>
  <c r="J13" i="10"/>
  <c r="H17" i="10"/>
  <c r="E16" i="10"/>
  <c r="K14" i="10"/>
  <c r="H13" i="10"/>
  <c r="I17" i="10"/>
  <c r="F16" i="10"/>
  <c r="C15" i="10"/>
  <c r="I13" i="10"/>
  <c r="F17" i="10"/>
  <c r="C16" i="10"/>
  <c r="I14" i="10"/>
  <c r="F13" i="10"/>
  <c r="E17" i="10"/>
  <c r="K15" i="10"/>
  <c r="H14" i="10"/>
  <c r="E13" i="10"/>
  <c r="C13" i="10"/>
  <c r="D17" i="10"/>
  <c r="C17" i="10"/>
  <c r="F14" i="10"/>
  <c r="E14" i="10"/>
  <c r="D13" i="10"/>
  <c r="K16" i="10"/>
  <c r="J15" i="10"/>
  <c r="I15" i="10"/>
  <c r="H15" i="10"/>
  <c r="G14" i="10"/>
  <c r="F44" i="13"/>
  <c r="K44" i="13" s="1"/>
  <c r="J27" i="12"/>
  <c r="J35" i="11"/>
  <c r="I27" i="12"/>
  <c r="H27" i="14"/>
  <c r="H11" i="14"/>
  <c r="H48" i="19"/>
  <c r="H50" i="19"/>
  <c r="F30" i="21"/>
  <c r="H36" i="17"/>
  <c r="I44" i="19"/>
  <c r="H16" i="18"/>
  <c r="H59" i="18"/>
  <c r="J6" i="11"/>
  <c r="I44" i="12"/>
  <c r="H19" i="16"/>
  <c r="H56" i="18"/>
  <c r="H52" i="14"/>
  <c r="I52" i="16"/>
  <c r="H56" i="16"/>
  <c r="H42" i="18"/>
  <c r="H28" i="22"/>
  <c r="I26" i="22" s="1"/>
  <c r="H8" i="18"/>
  <c r="H40" i="14"/>
  <c r="H57" i="18"/>
  <c r="I19" i="13"/>
  <c r="I27" i="16"/>
  <c r="I19" i="17"/>
  <c r="I42" i="11"/>
  <c r="H52" i="17"/>
  <c r="F52" i="15"/>
  <c r="K52" i="15" s="1"/>
  <c r="H15" i="19"/>
  <c r="F36" i="13"/>
  <c r="K36" i="13" s="1"/>
  <c r="F60" i="19"/>
  <c r="K60" i="19" s="1"/>
  <c r="J19" i="18"/>
  <c r="H43" i="19"/>
  <c r="H22" i="19"/>
  <c r="J27" i="15"/>
  <c r="F19" i="15"/>
  <c r="K19" i="15" s="1"/>
  <c r="J27" i="17"/>
  <c r="F19" i="17"/>
  <c r="J27" i="18"/>
  <c r="F36" i="19"/>
  <c r="K36" i="19" s="1"/>
  <c r="H16" i="17"/>
  <c r="H44" i="17"/>
  <c r="I11" i="17"/>
  <c r="F36" i="16"/>
  <c r="K36" i="16" s="1"/>
  <c r="H60" i="19"/>
  <c r="H42" i="17"/>
  <c r="I52" i="13"/>
  <c r="H43" i="14"/>
  <c r="H60" i="14"/>
  <c r="H25" i="14"/>
  <c r="H42" i="14"/>
  <c r="J7" i="11"/>
  <c r="H16" i="14"/>
  <c r="H41" i="14"/>
  <c r="I36" i="14"/>
  <c r="I44" i="14"/>
  <c r="J44" i="14"/>
  <c r="H24" i="13"/>
  <c r="H39" i="15"/>
  <c r="H19" i="15"/>
  <c r="H57" i="16"/>
  <c r="F11" i="17"/>
  <c r="K11" i="17" s="1"/>
  <c r="H8" i="13"/>
  <c r="H58" i="18"/>
  <c r="H24" i="19"/>
  <c r="H8" i="14"/>
  <c r="H35" i="16"/>
  <c r="H35" i="12"/>
  <c r="H17" i="14"/>
  <c r="F36" i="12"/>
  <c r="K36" i="12" s="1"/>
  <c r="H44" i="14"/>
  <c r="H56" i="17"/>
  <c r="H49" i="15"/>
  <c r="H24" i="17"/>
  <c r="H42" i="16"/>
  <c r="H35" i="15"/>
  <c r="H57" i="13"/>
  <c r="F27" i="18"/>
  <c r="K27" i="18" s="1"/>
  <c r="F28" i="22"/>
  <c r="H39" i="13"/>
  <c r="H15" i="13"/>
  <c r="H60" i="18"/>
  <c r="H36" i="18"/>
  <c r="H32" i="14"/>
  <c r="H56" i="14"/>
  <c r="H59" i="12"/>
  <c r="J11" i="19"/>
  <c r="H41" i="16"/>
  <c r="H22" i="17"/>
  <c r="I27" i="14"/>
  <c r="I11" i="13"/>
  <c r="H27" i="17"/>
  <c r="H52" i="19"/>
  <c r="H22" i="13"/>
  <c r="F44" i="14"/>
  <c r="K44" i="14" s="1"/>
  <c r="H6" i="15"/>
  <c r="H58" i="16"/>
  <c r="H11" i="18"/>
  <c r="J44" i="18"/>
  <c r="H35" i="19"/>
  <c r="H60" i="13"/>
  <c r="H33" i="13"/>
  <c r="H40" i="18"/>
  <c r="H49" i="18"/>
  <c r="H26" i="19"/>
  <c r="H18" i="14"/>
  <c r="H39" i="14"/>
  <c r="H50" i="12"/>
  <c r="H35" i="18"/>
  <c r="I27" i="15"/>
  <c r="H9" i="17"/>
  <c r="J36" i="17"/>
  <c r="H39" i="17"/>
  <c r="H24" i="18"/>
  <c r="H26" i="13"/>
  <c r="H25" i="15"/>
  <c r="H27" i="15"/>
  <c r="H34" i="18"/>
  <c r="H56" i="13"/>
  <c r="H25" i="13"/>
  <c r="H22" i="18"/>
  <c r="H50" i="18"/>
  <c r="H57" i="12"/>
  <c r="H40" i="12"/>
  <c r="H34" i="14"/>
  <c r="H43" i="18"/>
  <c r="H57" i="15"/>
  <c r="H50" i="17"/>
  <c r="H10" i="16"/>
  <c r="H9" i="16"/>
  <c r="H58" i="13"/>
  <c r="K19" i="17"/>
  <c r="H10" i="13"/>
  <c r="H48" i="12"/>
  <c r="H51" i="17"/>
  <c r="H41" i="13"/>
  <c r="H32" i="15"/>
  <c r="H49" i="13"/>
  <c r="H41" i="19"/>
  <c r="H47" i="12"/>
  <c r="H59" i="17"/>
  <c r="H47" i="15"/>
  <c r="J52" i="16"/>
  <c r="H27" i="13"/>
  <c r="H50" i="15"/>
  <c r="H51" i="13"/>
  <c r="H44" i="19"/>
  <c r="H33" i="14"/>
  <c r="H48" i="14"/>
  <c r="H10" i="14"/>
  <c r="H7" i="15"/>
  <c r="H26" i="16"/>
  <c r="H26" i="18"/>
  <c r="J27" i="19"/>
  <c r="H6" i="13"/>
  <c r="H18" i="15"/>
  <c r="H48" i="18"/>
  <c r="H15" i="18"/>
  <c r="H9" i="19"/>
  <c r="H23" i="14"/>
  <c r="H49" i="14"/>
  <c r="H41" i="12"/>
  <c r="H39" i="12"/>
  <c r="E30" i="23"/>
  <c r="H23" i="13"/>
  <c r="H35" i="13"/>
  <c r="H26" i="17"/>
  <c r="J52" i="14"/>
  <c r="H36" i="16"/>
  <c r="H16" i="13"/>
  <c r="H59" i="13"/>
  <c r="H34" i="13"/>
  <c r="F27" i="17"/>
  <c r="K27" i="17" s="1"/>
  <c r="H43" i="13"/>
  <c r="H48" i="13"/>
  <c r="H52" i="13"/>
  <c r="H7" i="13"/>
  <c r="H33" i="15"/>
  <c r="H25" i="16"/>
  <c r="F52" i="18"/>
  <c r="K52" i="18" s="1"/>
  <c r="H41" i="15"/>
  <c r="H18" i="13"/>
  <c r="H40" i="16"/>
  <c r="H11" i="19"/>
  <c r="H25" i="12"/>
  <c r="H27" i="12"/>
  <c r="H32" i="13"/>
  <c r="H18" i="16"/>
  <c r="H44" i="13"/>
  <c r="H15" i="14"/>
  <c r="H9" i="14"/>
  <c r="H36" i="13"/>
  <c r="H11" i="13"/>
  <c r="I27" i="17"/>
  <c r="H49" i="17"/>
  <c r="H40" i="13"/>
  <c r="H16" i="15"/>
  <c r="H50" i="13"/>
  <c r="F52" i="14"/>
  <c r="K52" i="14" s="1"/>
  <c r="H9" i="15"/>
  <c r="H27" i="18"/>
  <c r="H17" i="13"/>
  <c r="H23" i="15"/>
  <c r="H6" i="18"/>
  <c r="H52" i="16"/>
  <c r="H52" i="12"/>
  <c r="H51" i="14"/>
  <c r="H36" i="14"/>
  <c r="H26" i="14"/>
  <c r="H44" i="16"/>
  <c r="H6" i="19"/>
  <c r="J27" i="13"/>
  <c r="I13" i="9"/>
  <c r="H13" i="9"/>
  <c r="G13" i="9"/>
  <c r="G23" i="9" s="1"/>
  <c r="F13" i="9"/>
  <c r="K13" i="9"/>
  <c r="E13" i="9"/>
  <c r="E23" i="9" s="1"/>
  <c r="D13" i="9"/>
  <c r="D23" i="9" s="1"/>
  <c r="C13" i="9"/>
  <c r="J13" i="9"/>
  <c r="J23" i="9" s="1"/>
  <c r="F42" i="11"/>
  <c r="K42" i="11" s="1"/>
  <c r="F27" i="12"/>
  <c r="K27" i="12" s="1"/>
  <c r="F19" i="12"/>
  <c r="K19" i="12" s="1"/>
  <c r="H44" i="12"/>
  <c r="H6" i="12"/>
  <c r="F60" i="12"/>
  <c r="K60" i="12" s="1"/>
  <c r="H8" i="12"/>
  <c r="F19" i="20"/>
  <c r="F28" i="20" s="1"/>
  <c r="I11" i="12"/>
  <c r="F11" i="12"/>
  <c r="K11" i="12" s="1"/>
  <c r="F52" i="19"/>
  <c r="K52" i="19" s="1"/>
  <c r="H57" i="19"/>
  <c r="I47" i="11"/>
  <c r="F34" i="11"/>
  <c r="K34" i="11" s="1"/>
  <c r="H34" i="19"/>
  <c r="H27" i="19"/>
  <c r="I52" i="19"/>
  <c r="H36" i="19"/>
  <c r="H56" i="19"/>
  <c r="F11" i="19"/>
  <c r="K11" i="19" s="1"/>
  <c r="H58" i="19"/>
  <c r="H59" i="19"/>
  <c r="H18" i="19"/>
  <c r="H17" i="19"/>
  <c r="H40" i="19"/>
  <c r="J18" i="20"/>
  <c r="J22" i="11"/>
  <c r="E44" i="11"/>
  <c r="F27" i="19"/>
  <c r="K27" i="19" s="1"/>
  <c r="K22" i="19"/>
  <c r="H39" i="19"/>
  <c r="H33" i="19"/>
  <c r="H49" i="19"/>
  <c r="F57" i="11"/>
  <c r="K57" i="11" s="1"/>
  <c r="H51" i="19"/>
  <c r="H23" i="19"/>
  <c r="H8" i="19"/>
  <c r="J48" i="11"/>
  <c r="H47" i="19"/>
  <c r="H7" i="19"/>
  <c r="H32" i="19"/>
  <c r="H16" i="19"/>
  <c r="H10" i="19"/>
  <c r="J9" i="11"/>
  <c r="J42" i="11"/>
  <c r="H19" i="19"/>
  <c r="J24" i="11"/>
  <c r="H11" i="15"/>
  <c r="H22" i="15"/>
  <c r="F60" i="15"/>
  <c r="K60" i="15" s="1"/>
  <c r="H36" i="15"/>
  <c r="F44" i="15"/>
  <c r="K44" i="15" s="1"/>
  <c r="H26" i="15"/>
  <c r="H48" i="16"/>
  <c r="F44" i="16"/>
  <c r="K44" i="16" s="1"/>
  <c r="H44" i="15"/>
  <c r="H60" i="16"/>
  <c r="H11" i="16"/>
  <c r="H51" i="16"/>
  <c r="J19" i="22"/>
  <c r="H17" i="15"/>
  <c r="H8" i="15"/>
  <c r="H6" i="16"/>
  <c r="H15" i="15"/>
  <c r="F52" i="16"/>
  <c r="K52" i="16" s="1"/>
  <c r="J16" i="11"/>
  <c r="H60" i="15"/>
  <c r="E36" i="11"/>
  <c r="F10" i="11"/>
  <c r="K10" i="11" s="1"/>
  <c r="H10" i="15"/>
  <c r="H52" i="15"/>
  <c r="H59" i="15"/>
  <c r="H47" i="16"/>
  <c r="H15" i="16"/>
  <c r="H33" i="16"/>
  <c r="H17" i="16"/>
  <c r="H43" i="16"/>
  <c r="E19" i="20"/>
  <c r="E30" i="20" s="1"/>
  <c r="H56" i="15"/>
  <c r="H40" i="15"/>
  <c r="H42" i="15"/>
  <c r="H50" i="16"/>
  <c r="H39" i="16"/>
  <c r="H16" i="16"/>
  <c r="H8" i="16"/>
  <c r="H24" i="15"/>
  <c r="J34" i="11"/>
  <c r="I43" i="11"/>
  <c r="H34" i="15"/>
  <c r="J36" i="16"/>
  <c r="J17" i="11"/>
  <c r="H43" i="15"/>
  <c r="H58" i="15"/>
  <c r="H27" i="16"/>
  <c r="H49" i="16"/>
  <c r="H34" i="16"/>
  <c r="J40" i="11"/>
  <c r="J60" i="16"/>
  <c r="H22" i="16"/>
  <c r="H23" i="16"/>
  <c r="I34" i="11"/>
  <c r="H51" i="15"/>
  <c r="F27" i="15"/>
  <c r="K27" i="15" s="1"/>
  <c r="H32" i="16"/>
  <c r="I36" i="16"/>
  <c r="H24" i="16"/>
  <c r="H59" i="16"/>
  <c r="I50" i="11"/>
  <c r="H57" i="17"/>
  <c r="H23" i="17"/>
  <c r="J10" i="11"/>
  <c r="E52" i="11"/>
  <c r="J44" i="17"/>
  <c r="J11" i="17"/>
  <c r="I7" i="11"/>
  <c r="F58" i="11"/>
  <c r="K58" i="11" s="1"/>
  <c r="H15" i="17"/>
  <c r="H11" i="17"/>
  <c r="J41" i="11"/>
  <c r="F7" i="11"/>
  <c r="K7" i="11" s="1"/>
  <c r="F33" i="11"/>
  <c r="K33" i="11" s="1"/>
  <c r="I10" i="11"/>
  <c r="G11" i="11"/>
  <c r="H40" i="17"/>
  <c r="H17" i="17"/>
  <c r="J43" i="11"/>
  <c r="H6" i="17"/>
  <c r="J36" i="18"/>
  <c r="H25" i="17"/>
  <c r="H43" i="17"/>
  <c r="H32" i="17"/>
  <c r="H33" i="17"/>
  <c r="F44" i="18"/>
  <c r="K44" i="18" s="1"/>
  <c r="F19" i="18"/>
  <c r="K19" i="18" s="1"/>
  <c r="H60" i="17"/>
  <c r="H19" i="17"/>
  <c r="H35" i="17"/>
  <c r="J58" i="11"/>
  <c r="H8" i="17"/>
  <c r="G52" i="11"/>
  <c r="F43" i="11"/>
  <c r="K43" i="11" s="1"/>
  <c r="H47" i="17"/>
  <c r="H41" i="17"/>
  <c r="H58" i="17"/>
  <c r="G44" i="11"/>
  <c r="H18" i="17"/>
  <c r="H7" i="17"/>
  <c r="I52" i="18"/>
  <c r="H48" i="17"/>
  <c r="F36" i="18"/>
  <c r="K36" i="18" s="1"/>
  <c r="H34" i="17"/>
  <c r="I24" i="11"/>
  <c r="F28" i="23"/>
  <c r="F47" i="11"/>
  <c r="K47" i="11" s="1"/>
  <c r="I41" i="11"/>
  <c r="F26" i="11"/>
  <c r="K26" i="11" s="1"/>
  <c r="F52" i="17"/>
  <c r="K52" i="17" s="1"/>
  <c r="I57" i="11"/>
  <c r="C60" i="11"/>
  <c r="J52" i="18"/>
  <c r="J23" i="11"/>
  <c r="I36" i="17"/>
  <c r="J52" i="17"/>
  <c r="I25" i="11"/>
  <c r="F24" i="11"/>
  <c r="K24" i="11" s="1"/>
  <c r="F8" i="11"/>
  <c r="K8" i="11" s="1"/>
  <c r="F41" i="11"/>
  <c r="K41" i="11" s="1"/>
  <c r="D11" i="11"/>
  <c r="I17" i="11"/>
  <c r="F44" i="17"/>
  <c r="K44" i="17" s="1"/>
  <c r="F36" i="17"/>
  <c r="K36" i="17" s="1"/>
  <c r="F11" i="18"/>
  <c r="K11" i="18" s="1"/>
  <c r="E11" i="11"/>
  <c r="F19" i="16"/>
  <c r="K19" i="16" s="1"/>
  <c r="F27" i="16"/>
  <c r="K27" i="16" s="1"/>
  <c r="J27" i="16"/>
  <c r="F35" i="11"/>
  <c r="K35" i="11" s="1"/>
  <c r="I51" i="11"/>
  <c r="C36" i="11"/>
  <c r="F11" i="16"/>
  <c r="K11" i="16" s="1"/>
  <c r="I19" i="16"/>
  <c r="K19" i="22"/>
  <c r="K15" i="15"/>
  <c r="G19" i="22"/>
  <c r="L19" i="22" s="1"/>
  <c r="J57" i="11"/>
  <c r="F11" i="15"/>
  <c r="K11" i="15" s="1"/>
  <c r="I11" i="15"/>
  <c r="D28" i="22"/>
  <c r="D30" i="22"/>
  <c r="K30" i="22" s="1"/>
  <c r="D19" i="20"/>
  <c r="D30" i="20" s="1"/>
  <c r="K18" i="20"/>
  <c r="E28" i="22"/>
  <c r="F50" i="11"/>
  <c r="K50" i="11" s="1"/>
  <c r="D29" i="20"/>
  <c r="J29" i="20" s="1"/>
  <c r="L12" i="22"/>
  <c r="I32" i="11"/>
  <c r="F51" i="11"/>
  <c r="K51" i="11" s="1"/>
  <c r="J50" i="11"/>
  <c r="D27" i="11"/>
  <c r="D52" i="11"/>
  <c r="I8" i="11"/>
  <c r="F17" i="11"/>
  <c r="K17" i="11" s="1"/>
  <c r="G36" i="11"/>
  <c r="F22" i="11"/>
  <c r="K22" i="11" s="1"/>
  <c r="J12" i="20"/>
  <c r="H35" i="14"/>
  <c r="H58" i="14"/>
  <c r="H19" i="14"/>
  <c r="H7" i="14"/>
  <c r="J32" i="11"/>
  <c r="H24" i="14"/>
  <c r="H22" i="14"/>
  <c r="H57" i="14"/>
  <c r="I22" i="11"/>
  <c r="J26" i="11"/>
  <c r="K32" i="14"/>
  <c r="E58" i="21"/>
  <c r="H50" i="14"/>
  <c r="H47" i="14"/>
  <c r="J15" i="11"/>
  <c r="I23" i="11"/>
  <c r="I52" i="14"/>
  <c r="J25" i="11"/>
  <c r="J11" i="13"/>
  <c r="F23" i="11"/>
  <c r="K23" i="11" s="1"/>
  <c r="G27" i="11"/>
  <c r="H16" i="11" s="1"/>
  <c r="I35" i="11"/>
  <c r="I26" i="11"/>
  <c r="F19" i="14"/>
  <c r="K19" i="14" s="1"/>
  <c r="K12" i="20"/>
  <c r="J8" i="11"/>
  <c r="I18" i="11"/>
  <c r="F40" i="11"/>
  <c r="K40" i="11" s="1"/>
  <c r="J51" i="11"/>
  <c r="E19" i="11"/>
  <c r="D36" i="11"/>
  <c r="I19" i="14"/>
  <c r="E27" i="11"/>
  <c r="F11" i="14"/>
  <c r="K11" i="14" s="1"/>
  <c r="F16" i="11"/>
  <c r="K16" i="11" s="1"/>
  <c r="F19" i="13"/>
  <c r="K19" i="13" s="1"/>
  <c r="F39" i="11"/>
  <c r="K39" i="11" s="1"/>
  <c r="F18" i="11"/>
  <c r="K18" i="11" s="1"/>
  <c r="J27" i="14"/>
  <c r="J52" i="13"/>
  <c r="F15" i="11"/>
  <c r="K15" i="11" s="1"/>
  <c r="F32" i="11"/>
  <c r="K32" i="11" s="1"/>
  <c r="E30" i="21"/>
  <c r="J18" i="11"/>
  <c r="F52" i="13"/>
  <c r="K52" i="13" s="1"/>
  <c r="L29" i="21"/>
  <c r="C44" i="11"/>
  <c r="F11" i="13"/>
  <c r="K11" i="13" s="1"/>
  <c r="C19" i="11"/>
  <c r="F27" i="13"/>
  <c r="K27" i="13" s="1"/>
  <c r="F27" i="14"/>
  <c r="K27" i="14" s="1"/>
  <c r="C11" i="11"/>
  <c r="G19" i="11"/>
  <c r="D19" i="11"/>
  <c r="F6" i="11"/>
  <c r="K6" i="11" s="1"/>
  <c r="H34" i="12"/>
  <c r="H49" i="12"/>
  <c r="I15" i="11"/>
  <c r="I49" i="11"/>
  <c r="H58" i="12"/>
  <c r="H22" i="12"/>
  <c r="H19" i="12"/>
  <c r="C52" i="11"/>
  <c r="D44" i="11"/>
  <c r="F49" i="11"/>
  <c r="K49" i="11" s="1"/>
  <c r="F52" i="12"/>
  <c r="K52" i="12" s="1"/>
  <c r="H32" i="12"/>
  <c r="H36" i="12"/>
  <c r="H18" i="12"/>
  <c r="I16" i="11"/>
  <c r="C27" i="11"/>
  <c r="H42" i="12"/>
  <c r="H60" i="12"/>
  <c r="H26" i="12"/>
  <c r="I9" i="11"/>
  <c r="F44" i="12"/>
  <c r="K44" i="12" s="1"/>
  <c r="H51" i="12"/>
  <c r="H15" i="12"/>
  <c r="H16" i="12"/>
  <c r="H7" i="12"/>
  <c r="H24" i="12"/>
  <c r="H9" i="12"/>
  <c r="I48" i="11"/>
  <c r="F48" i="11"/>
  <c r="K48" i="11" s="1"/>
  <c r="E58" i="20"/>
  <c r="H10" i="12"/>
  <c r="H43" i="12"/>
  <c r="H17" i="12"/>
  <c r="H23" i="12"/>
  <c r="H33" i="12"/>
  <c r="F25" i="11"/>
  <c r="K25" i="11" s="1"/>
  <c r="I39" i="11"/>
  <c r="I6" i="11"/>
  <c r="F9" i="11"/>
  <c r="K9" i="11" s="1"/>
  <c r="I40" i="11"/>
  <c r="L12" i="21"/>
  <c r="D58" i="22"/>
  <c r="J19" i="23"/>
  <c r="L29" i="22"/>
  <c r="K49" i="22"/>
  <c r="D30" i="23"/>
  <c r="G19" i="21"/>
  <c r="L19" i="21" s="1"/>
  <c r="J49" i="22"/>
  <c r="L12" i="23"/>
  <c r="E60" i="22"/>
  <c r="J60" i="22" s="1"/>
  <c r="E58" i="22"/>
  <c r="F58" i="20"/>
  <c r="L18" i="21"/>
  <c r="L29" i="23"/>
  <c r="G26" i="20"/>
  <c r="G31" i="20" s="1"/>
  <c r="K31" i="24"/>
  <c r="J31" i="24"/>
  <c r="L26" i="24"/>
  <c r="G31" i="24"/>
  <c r="L31" i="24" s="1"/>
  <c r="K29" i="24"/>
  <c r="J29" i="24"/>
  <c r="J19" i="24"/>
  <c r="D28" i="24"/>
  <c r="K19" i="24"/>
  <c r="D30" i="24"/>
  <c r="H30" i="24"/>
  <c r="H28" i="24"/>
  <c r="I19" i="24" s="1"/>
  <c r="L12" i="24"/>
  <c r="G29" i="24"/>
  <c r="L29" i="24" s="1"/>
  <c r="L18" i="24"/>
  <c r="G19" i="24"/>
  <c r="L18" i="23"/>
  <c r="G19" i="23"/>
  <c r="G31" i="23"/>
  <c r="L31" i="23" s="1"/>
  <c r="L26" i="23"/>
  <c r="L42" i="23"/>
  <c r="G59" i="23"/>
  <c r="L59" i="23" s="1"/>
  <c r="J28" i="23"/>
  <c r="K59" i="23"/>
  <c r="J59" i="23"/>
  <c r="H28" i="23"/>
  <c r="I31" i="23" s="1"/>
  <c r="H30" i="23"/>
  <c r="L56" i="23"/>
  <c r="G61" i="23"/>
  <c r="L61" i="23" s="1"/>
  <c r="K29" i="23"/>
  <c r="L48" i="23"/>
  <c r="G49" i="23"/>
  <c r="H60" i="23"/>
  <c r="H58" i="23"/>
  <c r="I59" i="23" s="1"/>
  <c r="K61" i="23"/>
  <c r="J61" i="23"/>
  <c r="K49" i="23"/>
  <c r="D58" i="23"/>
  <c r="J49" i="23"/>
  <c r="D60" i="23"/>
  <c r="K19" i="23"/>
  <c r="G31" i="22"/>
  <c r="L31" i="22" s="1"/>
  <c r="L26" i="22"/>
  <c r="G49" i="22"/>
  <c r="L48" i="22"/>
  <c r="K61" i="22"/>
  <c r="J61" i="22"/>
  <c r="L56" i="22"/>
  <c r="G61" i="22"/>
  <c r="L61" i="22" s="1"/>
  <c r="L42" i="22"/>
  <c r="G59" i="22"/>
  <c r="L59" i="22" s="1"/>
  <c r="K59" i="22"/>
  <c r="J59" i="22"/>
  <c r="H60" i="22"/>
  <c r="K60" i="22" s="1"/>
  <c r="H58" i="22"/>
  <c r="I61" i="22" s="1"/>
  <c r="K31" i="22"/>
  <c r="J31" i="22"/>
  <c r="H28" i="21"/>
  <c r="I19" i="21" s="1"/>
  <c r="H30" i="21"/>
  <c r="L26" i="21"/>
  <c r="G31" i="21"/>
  <c r="L31" i="21" s="1"/>
  <c r="L42" i="21"/>
  <c r="G59" i="21"/>
  <c r="L59" i="21" s="1"/>
  <c r="K61" i="21"/>
  <c r="J61" i="21"/>
  <c r="K19" i="21"/>
  <c r="J19" i="21"/>
  <c r="D28" i="21"/>
  <c r="D30" i="21"/>
  <c r="K59" i="21"/>
  <c r="J59" i="21"/>
  <c r="H60" i="21"/>
  <c r="H58" i="21"/>
  <c r="J49" i="21"/>
  <c r="D60" i="21"/>
  <c r="K49" i="21"/>
  <c r="D58" i="21"/>
  <c r="L48" i="21"/>
  <c r="G49" i="21"/>
  <c r="L56" i="21"/>
  <c r="G61" i="21"/>
  <c r="L61" i="21" s="1"/>
  <c r="L8" i="20"/>
  <c r="G12" i="20"/>
  <c r="L48" i="20"/>
  <c r="G49" i="20"/>
  <c r="G18" i="20"/>
  <c r="K59" i="20"/>
  <c r="J59" i="20"/>
  <c r="H60" i="20"/>
  <c r="H58" i="20"/>
  <c r="I49" i="20" s="1"/>
  <c r="H29" i="20"/>
  <c r="L56" i="20"/>
  <c r="G61" i="20"/>
  <c r="L61" i="20" s="1"/>
  <c r="D31" i="20"/>
  <c r="K26" i="20"/>
  <c r="J26" i="20"/>
  <c r="L42" i="20"/>
  <c r="G59" i="20"/>
  <c r="L59" i="20" s="1"/>
  <c r="H19" i="20"/>
  <c r="H31" i="20"/>
  <c r="K61" i="20"/>
  <c r="J61" i="20"/>
  <c r="K49" i="20"/>
  <c r="D60" i="20"/>
  <c r="D58" i="20"/>
  <c r="J49" i="20"/>
  <c r="K24" i="9"/>
  <c r="B12" i="9"/>
  <c r="A12" i="9"/>
  <c r="A23" i="9"/>
  <c r="H24" i="9"/>
  <c r="D24" i="9"/>
  <c r="G24" i="9"/>
  <c r="F24" i="9"/>
  <c r="J24" i="9"/>
  <c r="E24" i="9"/>
  <c r="C24" i="9"/>
  <c r="I60" i="11" l="1"/>
  <c r="I29" i="22"/>
  <c r="I23" i="22"/>
  <c r="I19" i="22"/>
  <c r="I30" i="22"/>
  <c r="I10" i="22"/>
  <c r="I15" i="22"/>
  <c r="I16" i="22"/>
  <c r="A8" i="10"/>
  <c r="I7" i="22"/>
  <c r="F30" i="20"/>
  <c r="I14" i="22"/>
  <c r="I49" i="23"/>
  <c r="I28" i="22"/>
  <c r="I18" i="22"/>
  <c r="I31" i="22"/>
  <c r="I8" i="22"/>
  <c r="I25" i="22"/>
  <c r="I22" i="22"/>
  <c r="K28" i="22"/>
  <c r="J12" i="10"/>
  <c r="G11" i="10"/>
  <c r="D10" i="10"/>
  <c r="J8" i="10"/>
  <c r="I12" i="10"/>
  <c r="F11" i="10"/>
  <c r="C10" i="10"/>
  <c r="I8" i="10"/>
  <c r="D12" i="10"/>
  <c r="J10" i="10"/>
  <c r="G9" i="10"/>
  <c r="D8" i="10"/>
  <c r="H12" i="10"/>
  <c r="E11" i="10"/>
  <c r="K9" i="10"/>
  <c r="H8" i="10"/>
  <c r="G12" i="10"/>
  <c r="D11" i="10"/>
  <c r="J9" i="10"/>
  <c r="G8" i="10"/>
  <c r="E12" i="10"/>
  <c r="K10" i="10"/>
  <c r="H9" i="10"/>
  <c r="E8" i="10"/>
  <c r="F12" i="10"/>
  <c r="C11" i="10"/>
  <c r="I9" i="10"/>
  <c r="F8" i="10"/>
  <c r="C12" i="10"/>
  <c r="I10" i="10"/>
  <c r="F9" i="10"/>
  <c r="C8" i="10"/>
  <c r="K11" i="10"/>
  <c r="H10" i="10"/>
  <c r="E9" i="10"/>
  <c r="K12" i="10"/>
  <c r="J11" i="10"/>
  <c r="I11" i="10"/>
  <c r="C9" i="10"/>
  <c r="K8" i="10"/>
  <c r="H11" i="10"/>
  <c r="G10" i="10"/>
  <c r="F10" i="10"/>
  <c r="E10" i="10"/>
  <c r="D9" i="10"/>
  <c r="I17" i="22"/>
  <c r="I21" i="22"/>
  <c r="I24" i="22"/>
  <c r="I12" i="22"/>
  <c r="I11" i="22"/>
  <c r="I9" i="22"/>
  <c r="J58" i="22"/>
  <c r="J28" i="22"/>
  <c r="J44" i="11"/>
  <c r="D28" i="20"/>
  <c r="J30" i="23"/>
  <c r="J30" i="22"/>
  <c r="C12" i="9"/>
  <c r="C22" i="9" s="1"/>
  <c r="F12" i="9"/>
  <c r="D12" i="9"/>
  <c r="D22" i="9" s="1"/>
  <c r="E12" i="9"/>
  <c r="I12" i="9"/>
  <c r="H12" i="9"/>
  <c r="H22" i="9" s="1"/>
  <c r="K12" i="9"/>
  <c r="K22" i="9" s="1"/>
  <c r="J12" i="9"/>
  <c r="J22" i="9" s="1"/>
  <c r="G12" i="9"/>
  <c r="G22" i="9" s="1"/>
  <c r="I36" i="11"/>
  <c r="F60" i="11"/>
  <c r="K60" i="11" s="1"/>
  <c r="J36" i="11"/>
  <c r="H36" i="11"/>
  <c r="E28" i="20"/>
  <c r="J19" i="20"/>
  <c r="J60" i="11"/>
  <c r="J11" i="11"/>
  <c r="H6" i="11"/>
  <c r="I19" i="11"/>
  <c r="J27" i="11"/>
  <c r="I30" i="23"/>
  <c r="I19" i="23"/>
  <c r="H57" i="11"/>
  <c r="H50" i="11"/>
  <c r="G28" i="22"/>
  <c r="L28" i="22" s="1"/>
  <c r="G30" i="22"/>
  <c r="L30" i="22" s="1"/>
  <c r="H8" i="11"/>
  <c r="H48" i="11"/>
  <c r="H7" i="11"/>
  <c r="H26" i="11"/>
  <c r="H33" i="11"/>
  <c r="H44" i="11"/>
  <c r="H40" i="11"/>
  <c r="H35" i="11"/>
  <c r="H51" i="11"/>
  <c r="H15" i="11"/>
  <c r="H47" i="11"/>
  <c r="H59" i="11"/>
  <c r="H19" i="11"/>
  <c r="I52" i="11"/>
  <c r="H39" i="11"/>
  <c r="H17" i="11"/>
  <c r="H18" i="11"/>
  <c r="H27" i="11"/>
  <c r="H10" i="11"/>
  <c r="F27" i="11"/>
  <c r="K27" i="11" s="1"/>
  <c r="H52" i="11"/>
  <c r="H34" i="11"/>
  <c r="H41" i="11"/>
  <c r="H32" i="11"/>
  <c r="H23" i="11"/>
  <c r="F44" i="11"/>
  <c r="K44" i="11" s="1"/>
  <c r="H25" i="11"/>
  <c r="H9" i="11"/>
  <c r="F36" i="11"/>
  <c r="K36" i="11" s="1"/>
  <c r="H24" i="11"/>
  <c r="H42" i="11"/>
  <c r="H43" i="11"/>
  <c r="H60" i="11"/>
  <c r="H22" i="11"/>
  <c r="I11" i="11"/>
  <c r="J19" i="11"/>
  <c r="H56" i="11"/>
  <c r="H58" i="11"/>
  <c r="H49" i="11"/>
  <c r="H11" i="11"/>
  <c r="F11" i="11"/>
  <c r="K11" i="11" s="1"/>
  <c r="F19" i="11"/>
  <c r="K19" i="11" s="1"/>
  <c r="J52" i="11"/>
  <c r="I27" i="11"/>
  <c r="I44" i="11"/>
  <c r="F52" i="11"/>
  <c r="K52" i="11" s="1"/>
  <c r="I29" i="23"/>
  <c r="G30" i="21"/>
  <c r="L30" i="21" s="1"/>
  <c r="G28" i="21"/>
  <c r="L28" i="21" s="1"/>
  <c r="I29" i="21"/>
  <c r="I59" i="22"/>
  <c r="I49" i="22"/>
  <c r="I61" i="23"/>
  <c r="K28" i="23"/>
  <c r="K30" i="23"/>
  <c r="I30" i="21"/>
  <c r="L26" i="20"/>
  <c r="I59" i="20"/>
  <c r="I61" i="20"/>
  <c r="L31" i="20"/>
  <c r="I30" i="24"/>
  <c r="K30" i="24"/>
  <c r="J30" i="24"/>
  <c r="I28" i="24"/>
  <c r="I16" i="24"/>
  <c r="I7" i="24"/>
  <c r="I21" i="24"/>
  <c r="I14" i="24"/>
  <c r="I17" i="24"/>
  <c r="I22" i="24"/>
  <c r="I10" i="24"/>
  <c r="I8" i="24"/>
  <c r="I11" i="24"/>
  <c r="I15" i="24"/>
  <c r="I9" i="24"/>
  <c r="I24" i="24"/>
  <c r="I25" i="24"/>
  <c r="I23" i="24"/>
  <c r="I18" i="24"/>
  <c r="I26" i="24"/>
  <c r="I12" i="24"/>
  <c r="K28" i="24"/>
  <c r="J28" i="24"/>
  <c r="G30" i="24"/>
  <c r="L30" i="24" s="1"/>
  <c r="L19" i="24"/>
  <c r="G28" i="24"/>
  <c r="L28" i="24" s="1"/>
  <c r="I29" i="24"/>
  <c r="I31" i="24"/>
  <c r="K58" i="23"/>
  <c r="J58" i="23"/>
  <c r="G60" i="23"/>
  <c r="L60" i="23" s="1"/>
  <c r="G58" i="23"/>
  <c r="L58" i="23" s="1"/>
  <c r="L49" i="23"/>
  <c r="I58" i="23"/>
  <c r="I44" i="23"/>
  <c r="I55" i="23"/>
  <c r="I38" i="23"/>
  <c r="I45" i="23"/>
  <c r="I46" i="23"/>
  <c r="I37" i="23"/>
  <c r="I52" i="23"/>
  <c r="I41" i="23"/>
  <c r="I51" i="23"/>
  <c r="I47" i="23"/>
  <c r="I53" i="23"/>
  <c r="I54" i="23"/>
  <c r="I39" i="23"/>
  <c r="I40" i="23"/>
  <c r="I56" i="23"/>
  <c r="I42" i="23"/>
  <c r="I48" i="23"/>
  <c r="L19" i="23"/>
  <c r="G28" i="23"/>
  <c r="L28" i="23" s="1"/>
  <c r="G30" i="23"/>
  <c r="L30" i="23" s="1"/>
  <c r="J60" i="23"/>
  <c r="K60" i="23"/>
  <c r="I60" i="23"/>
  <c r="I28" i="23"/>
  <c r="I24" i="23"/>
  <c r="I15" i="23"/>
  <c r="I10" i="23"/>
  <c r="I8" i="23"/>
  <c r="I9" i="23"/>
  <c r="I17" i="23"/>
  <c r="I14" i="23"/>
  <c r="I16" i="23"/>
  <c r="I25" i="23"/>
  <c r="I11" i="23"/>
  <c r="I22" i="23"/>
  <c r="I21" i="23"/>
  <c r="I7" i="23"/>
  <c r="I23" i="23"/>
  <c r="I18" i="23"/>
  <c r="I26" i="23"/>
  <c r="I12" i="23"/>
  <c r="I58" i="22"/>
  <c r="I37" i="22"/>
  <c r="I52" i="22"/>
  <c r="I44" i="22"/>
  <c r="I40" i="22"/>
  <c r="I54" i="22"/>
  <c r="I55" i="22"/>
  <c r="I39" i="22"/>
  <c r="I46" i="22"/>
  <c r="I45" i="22"/>
  <c r="I51" i="22"/>
  <c r="I41" i="22"/>
  <c r="I53" i="22"/>
  <c r="I47" i="22"/>
  <c r="I38" i="22"/>
  <c r="I42" i="22"/>
  <c r="I48" i="22"/>
  <c r="I56" i="22"/>
  <c r="G60" i="22"/>
  <c r="L60" i="22" s="1"/>
  <c r="G58" i="22"/>
  <c r="L58" i="22" s="1"/>
  <c r="L49" i="22"/>
  <c r="I60" i="22"/>
  <c r="K58" i="22"/>
  <c r="G60" i="21"/>
  <c r="L60" i="21" s="1"/>
  <c r="L49" i="21"/>
  <c r="G58" i="21"/>
  <c r="L58" i="21" s="1"/>
  <c r="I58" i="21"/>
  <c r="I52" i="21"/>
  <c r="I55" i="21"/>
  <c r="I41" i="21"/>
  <c r="I38" i="21"/>
  <c r="I54" i="21"/>
  <c r="I45" i="21"/>
  <c r="I51" i="21"/>
  <c r="I44" i="21"/>
  <c r="I40" i="21"/>
  <c r="I46" i="21"/>
  <c r="I47" i="21"/>
  <c r="I53" i="21"/>
  <c r="I39" i="21"/>
  <c r="I37" i="21"/>
  <c r="I56" i="21"/>
  <c r="I48" i="21"/>
  <c r="I42" i="21"/>
  <c r="I49" i="21"/>
  <c r="K58" i="21"/>
  <c r="J58" i="21"/>
  <c r="I59" i="21"/>
  <c r="K30" i="21"/>
  <c r="J30" i="21"/>
  <c r="K60" i="21"/>
  <c r="J60" i="21"/>
  <c r="K28" i="21"/>
  <c r="J28" i="21"/>
  <c r="I60" i="21"/>
  <c r="I61" i="21"/>
  <c r="I28" i="21"/>
  <c r="I24" i="21"/>
  <c r="I22" i="21"/>
  <c r="I9" i="21"/>
  <c r="I7" i="21"/>
  <c r="I21" i="21"/>
  <c r="I8" i="21"/>
  <c r="I14" i="21"/>
  <c r="I10" i="21"/>
  <c r="I15" i="21"/>
  <c r="I16" i="21"/>
  <c r="I17" i="21"/>
  <c r="I11" i="21"/>
  <c r="I26" i="21"/>
  <c r="I23" i="21"/>
  <c r="I25" i="21"/>
  <c r="I12" i="21"/>
  <c r="I31" i="21"/>
  <c r="I18" i="21"/>
  <c r="I60" i="20"/>
  <c r="J30" i="20"/>
  <c r="K31" i="20"/>
  <c r="J31" i="20"/>
  <c r="G60" i="20"/>
  <c r="L60" i="20" s="1"/>
  <c r="L49" i="20"/>
  <c r="G58" i="20"/>
  <c r="L58" i="20" s="1"/>
  <c r="G29" i="20"/>
  <c r="L29" i="20" s="1"/>
  <c r="L12" i="20"/>
  <c r="H30" i="20"/>
  <c r="K30" i="20" s="1"/>
  <c r="H28" i="20"/>
  <c r="K28" i="20" s="1"/>
  <c r="K58" i="20"/>
  <c r="J58" i="20"/>
  <c r="K29" i="20"/>
  <c r="K60" i="20"/>
  <c r="J60" i="20"/>
  <c r="I58" i="20"/>
  <c r="I53" i="20"/>
  <c r="I39" i="20"/>
  <c r="I51" i="20"/>
  <c r="I46" i="20"/>
  <c r="I54" i="20"/>
  <c r="I55" i="20"/>
  <c r="I40" i="20"/>
  <c r="I47" i="20"/>
  <c r="I41" i="20"/>
  <c r="I37" i="20"/>
  <c r="I45" i="20"/>
  <c r="I52" i="20"/>
  <c r="I38" i="20"/>
  <c r="I48" i="20"/>
  <c r="I44" i="20"/>
  <c r="I56" i="20"/>
  <c r="I42" i="20"/>
  <c r="K19" i="20"/>
  <c r="J28" i="20"/>
  <c r="G19" i="20"/>
  <c r="L18" i="20"/>
  <c r="I23" i="9"/>
  <c r="B11" i="9"/>
  <c r="A11" i="9"/>
  <c r="A3" i="10" s="1"/>
  <c r="A1" i="10" s="1"/>
  <c r="A22" i="9"/>
  <c r="C23" i="9"/>
  <c r="F23" i="9"/>
  <c r="H23" i="9"/>
  <c r="K23" i="9"/>
  <c r="G7" i="10" l="1"/>
  <c r="D6" i="10"/>
  <c r="J4" i="10"/>
  <c r="G3" i="10"/>
  <c r="F7" i="10"/>
  <c r="C6" i="10"/>
  <c r="I4" i="10"/>
  <c r="F3" i="10"/>
  <c r="J6" i="10"/>
  <c r="G5" i="10"/>
  <c r="D4" i="10"/>
  <c r="E7" i="10"/>
  <c r="K5" i="10"/>
  <c r="H4" i="10"/>
  <c r="E3" i="10"/>
  <c r="D7" i="10"/>
  <c r="J5" i="10"/>
  <c r="G4" i="10"/>
  <c r="D3" i="10"/>
  <c r="K6" i="10"/>
  <c r="H5" i="10"/>
  <c r="E4" i="10"/>
  <c r="C7" i="10"/>
  <c r="I5" i="10"/>
  <c r="F4" i="10"/>
  <c r="C3" i="10"/>
  <c r="I6" i="10"/>
  <c r="F5" i="10"/>
  <c r="C4" i="10"/>
  <c r="K7" i="10"/>
  <c r="H6" i="10"/>
  <c r="E5" i="10"/>
  <c r="K3" i="10"/>
  <c r="I7" i="10"/>
  <c r="H7" i="10"/>
  <c r="G6" i="10"/>
  <c r="F6" i="10"/>
  <c r="I3" i="10"/>
  <c r="H3" i="10"/>
  <c r="J7" i="10"/>
  <c r="E6" i="10"/>
  <c r="D5" i="10"/>
  <c r="C5" i="10"/>
  <c r="K4" i="10"/>
  <c r="J3" i="10"/>
  <c r="C11" i="9"/>
  <c r="C21" i="9" s="1"/>
  <c r="F11" i="9"/>
  <c r="E11" i="9"/>
  <c r="K11" i="9"/>
  <c r="K21" i="9" s="1"/>
  <c r="J11" i="9"/>
  <c r="I11" i="9"/>
  <c r="I21" i="9" s="1"/>
  <c r="H11" i="9"/>
  <c r="H21" i="9" s="1"/>
  <c r="G11" i="9"/>
  <c r="G21" i="9" s="1"/>
  <c r="D11" i="9"/>
  <c r="D21" i="9" s="1"/>
  <c r="I28" i="20"/>
  <c r="I17" i="20"/>
  <c r="I24" i="20"/>
  <c r="I7" i="20"/>
  <c r="I25" i="20"/>
  <c r="I15" i="20"/>
  <c r="I23" i="20"/>
  <c r="I22" i="20"/>
  <c r="I9" i="20"/>
  <c r="I14" i="20"/>
  <c r="I11" i="20"/>
  <c r="I8" i="20"/>
  <c r="I21" i="20"/>
  <c r="I16" i="20"/>
  <c r="I10" i="20"/>
  <c r="I18" i="20"/>
  <c r="I12" i="20"/>
  <c r="I26" i="20"/>
  <c r="I30" i="20"/>
  <c r="I19" i="20"/>
  <c r="L19" i="20"/>
  <c r="G28" i="20"/>
  <c r="L28" i="20" s="1"/>
  <c r="G30" i="20"/>
  <c r="L30" i="20" s="1"/>
  <c r="I29" i="20"/>
  <c r="I31" i="20"/>
  <c r="E22" i="9"/>
  <c r="F22" i="9"/>
  <c r="B10" i="9"/>
  <c r="A10" i="9"/>
  <c r="A21" i="9"/>
  <c r="I22" i="9"/>
  <c r="K10" i="9" l="1"/>
  <c r="I10" i="9"/>
  <c r="J10" i="9"/>
  <c r="C10" i="9"/>
  <c r="H10" i="9"/>
  <c r="G10" i="9"/>
  <c r="F10" i="9"/>
  <c r="F20" i="9" s="1"/>
  <c r="E10" i="9"/>
  <c r="E20" i="9" s="1"/>
  <c r="D10" i="9"/>
  <c r="D20" i="9" s="1"/>
  <c r="E21" i="9"/>
  <c r="A9" i="9"/>
  <c r="A20" i="9"/>
  <c r="B9" i="9"/>
  <c r="F21" i="9"/>
  <c r="J21" i="9"/>
  <c r="H9" i="9" l="1"/>
  <c r="G9" i="9"/>
  <c r="I9" i="9"/>
  <c r="I19" i="9" s="1"/>
  <c r="F9" i="9"/>
  <c r="F19" i="9" s="1"/>
  <c r="K9" i="9"/>
  <c r="E9" i="9"/>
  <c r="E19" i="9" s="1"/>
  <c r="D9" i="9"/>
  <c r="C9" i="9"/>
  <c r="C19" i="9" s="1"/>
  <c r="J9" i="9"/>
  <c r="J19" i="9" s="1"/>
  <c r="B8" i="9"/>
  <c r="A8" i="9"/>
  <c r="A19" i="9"/>
  <c r="G20" i="9"/>
  <c r="J20" i="9"/>
  <c r="H20" i="9"/>
  <c r="K20" i="9"/>
  <c r="I20" i="9"/>
  <c r="C20" i="9"/>
  <c r="D8" i="9" l="1"/>
  <c r="D18" i="9" s="1"/>
  <c r="F8" i="9"/>
  <c r="F18" i="9" s="1"/>
  <c r="C8" i="9"/>
  <c r="E8" i="9"/>
  <c r="E18" i="9" s="1"/>
  <c r="I8" i="9"/>
  <c r="H8" i="9"/>
  <c r="H18" i="9" s="1"/>
  <c r="K8" i="9"/>
  <c r="J8" i="9"/>
  <c r="J18" i="9" s="1"/>
  <c r="G8" i="9"/>
  <c r="K19" i="9"/>
  <c r="B7" i="9"/>
  <c r="A7" i="9"/>
  <c r="A18" i="9"/>
  <c r="G19" i="9"/>
  <c r="H19" i="9"/>
  <c r="D19" i="9"/>
  <c r="C7" i="9" l="1"/>
  <c r="C17" i="9" s="1"/>
  <c r="F7" i="9"/>
  <c r="F17" i="9" s="1"/>
  <c r="E7" i="9"/>
  <c r="E17" i="9" s="1"/>
  <c r="K7" i="9"/>
  <c r="K17" i="9" s="1"/>
  <c r="J7" i="9"/>
  <c r="J17" i="9" s="1"/>
  <c r="I7" i="9"/>
  <c r="I17" i="9" s="1"/>
  <c r="H7" i="9"/>
  <c r="H17" i="9" s="1"/>
  <c r="G7" i="9"/>
  <c r="G17" i="9" s="1"/>
  <c r="D7" i="9"/>
  <c r="D17" i="9" s="1"/>
  <c r="I18" i="9"/>
  <c r="C18" i="9"/>
  <c r="B6" i="9"/>
  <c r="A6" i="9"/>
  <c r="A17" i="9"/>
  <c r="G18" i="9"/>
  <c r="K18" i="9"/>
  <c r="I6" i="9" l="1"/>
  <c r="K6" i="9"/>
  <c r="J6" i="9"/>
  <c r="C6" i="9"/>
  <c r="H6" i="9"/>
  <c r="G6" i="9"/>
  <c r="F6" i="9"/>
  <c r="E6" i="9"/>
  <c r="D6" i="9"/>
  <c r="B5" i="9"/>
  <c r="A5" i="9"/>
  <c r="I5" i="9" l="1"/>
  <c r="G5" i="9"/>
  <c r="H5" i="9"/>
  <c r="F5" i="9"/>
  <c r="K5" i="9"/>
  <c r="E5" i="9"/>
  <c r="D5" i="9"/>
  <c r="C5" i="9"/>
  <c r="J5" i="9"/>
  <c r="B4" i="9"/>
  <c r="A4" i="9"/>
  <c r="D4" i="9" l="1"/>
  <c r="E4" i="9"/>
  <c r="C4" i="9"/>
  <c r="F4" i="9"/>
  <c r="I4" i="9"/>
  <c r="H4" i="9"/>
  <c r="K4" i="9"/>
  <c r="J4" i="9"/>
  <c r="G4" i="9"/>
  <c r="B3" i="9"/>
  <c r="A3" i="9"/>
  <c r="C3" i="9" l="1"/>
  <c r="F3" i="9"/>
  <c r="E3" i="9"/>
  <c r="K3" i="9"/>
  <c r="J3" i="9"/>
  <c r="I3" i="9"/>
  <c r="H3" i="9"/>
  <c r="G3" i="9"/>
  <c r="D3" i="9"/>
  <c r="A1"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phiac-sql ReturnsDB vw_MedicalGapAgreements" type="5" refreshedVersion="5" deleted="1" background="1" saveData="1">
    <dbPr connection="" command=""/>
  </connection>
</connections>
</file>

<file path=xl/sharedStrings.xml><?xml version="1.0" encoding="utf-8"?>
<sst xmlns="http://schemas.openxmlformats.org/spreadsheetml/2006/main" count="53836" uniqueCount="180">
  <si>
    <t>Subtotal</t>
  </si>
  <si>
    <t>Statistics</t>
  </si>
  <si>
    <r>
      <t xml:space="preserve">AUSTRALIAN PRUDENTIAL REGULATION AUTHORITY   |   </t>
    </r>
    <r>
      <rPr>
        <b/>
        <sz val="8.5"/>
        <color rgb="FF012169"/>
        <rFont val="Arial"/>
        <family val="2"/>
        <scheme val="minor"/>
      </rPr>
      <t>APRA.GOV.AU</t>
    </r>
  </si>
  <si>
    <t>http://creativecommons.org/licenses/by/3.0/au/</t>
  </si>
  <si>
    <t>Disclaimer</t>
  </si>
  <si>
    <t>Forthcoming issues</t>
  </si>
  <si>
    <t>Notation</t>
  </si>
  <si>
    <t>Enquiries</t>
  </si>
  <si>
    <t>For more information about the statistics in this publication:</t>
  </si>
  <si>
    <t>DataAnalytics@apra.gov.au</t>
  </si>
  <si>
    <t>Manager, External Data Reporting</t>
  </si>
  <si>
    <t>Australian Prudential Regulation Authority</t>
  </si>
  <si>
    <t>GPO Box 9836</t>
  </si>
  <si>
    <t>Sydney  NSW  2001</t>
  </si>
  <si>
    <t>Contents</t>
  </si>
  <si>
    <t>This licence allows you to copy, distribute and adapt this work, provided you attribute the work and do not suggest that APRA endorses you or your work. To view a full copy of the terms of this licence, visit:</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</si>
  <si>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</si>
  <si>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 xml:space="preserve">© Australian Prudential Regulation Authority (APRA) 2024
This work is licensed under the Creative Commons Attribution 3.0 Australia Licence (CCBY 3.0).  </t>
  </si>
  <si>
    <t>Notes</t>
  </si>
  <si>
    <t>Proportion of services with no medical gap</t>
  </si>
  <si>
    <t>NSW</t>
  </si>
  <si>
    <t>VIC</t>
  </si>
  <si>
    <t>QLD</t>
  </si>
  <si>
    <t>SA</t>
  </si>
  <si>
    <t>WA</t>
  </si>
  <si>
    <t>TAS</t>
  </si>
  <si>
    <t>ACT</t>
  </si>
  <si>
    <t>NT</t>
  </si>
  <si>
    <t>Aust.</t>
  </si>
  <si>
    <t>Percentage point change</t>
  </si>
  <si>
    <t>Note: The percentage point change will always reflect the actual un-rounded change in the proportion of medical services with no gap.</t>
  </si>
  <si>
    <t>There may be a slight discrepancy when calculating the change from the published (rounded) figures.</t>
  </si>
  <si>
    <t>Proportion of services with known medical gap</t>
  </si>
  <si>
    <t>Average gap payment across all services*</t>
  </si>
  <si>
    <t>Average gap payment with Known gap agreement</t>
  </si>
  <si>
    <t>Average gap payment where gap was paid**</t>
  </si>
  <si>
    <t>* The average out of pocket payment by patients over all services including services where there was no gap</t>
  </si>
  <si>
    <t>** The average out of pocket payment by patients for services where there was a gap</t>
  </si>
  <si>
    <t xml:space="preserve">Medical Services Statistics </t>
  </si>
  <si>
    <t>Table 1 - Australia</t>
  </si>
  <si>
    <t xml:space="preserve">Total services with no gap ("No gap agreement" and "No agreement" where fee is &lt;=MBS) </t>
  </si>
  <si>
    <t>Amount charged</t>
  </si>
  <si>
    <t>Medicare benefit</t>
  </si>
  <si>
    <t>Fund benefit</t>
  </si>
  <si>
    <t>Gap</t>
  </si>
  <si>
    <t>Number of services</t>
  </si>
  <si>
    <t>% of services</t>
  </si>
  <si>
    <t>Amount charged / MBS</t>
  </si>
  <si>
    <t>Average cost per service</t>
  </si>
  <si>
    <t>Average gap per service</t>
  </si>
  <si>
    <t>&lt;= MBS</t>
  </si>
  <si>
    <t>To 125% MBS</t>
  </si>
  <si>
    <t>To 150% MBS</t>
  </si>
  <si>
    <t>To 200% MBS</t>
  </si>
  <si>
    <t>&gt;200% MBS</t>
  </si>
  <si>
    <t>Total</t>
  </si>
  <si>
    <t xml:space="preserve">Total services where there was a gap </t>
  </si>
  <si>
    <t>Total all services</t>
  </si>
  <si>
    <t xml:space="preserve">Services where there was known  gap </t>
  </si>
  <si>
    <t xml:space="preserve">Services where there was no or known  gap </t>
  </si>
  <si>
    <t>Services where there was an Agreement</t>
  </si>
  <si>
    <t>Services where there was  gap and no agreement</t>
  </si>
  <si>
    <t>Table 2 - New South Wales</t>
  </si>
  <si>
    <t>Table 3 - Victoria</t>
  </si>
  <si>
    <t>Table 4 - Queensland</t>
  </si>
  <si>
    <t>Services where there was known  gap</t>
  </si>
  <si>
    <t>Table 5 - South Australia</t>
  </si>
  <si>
    <t>Table 6 - Western Australia</t>
  </si>
  <si>
    <t>Table 7 - Tasmania</t>
  </si>
  <si>
    <t>Table 8 - Australian Capital Territory</t>
  </si>
  <si>
    <t>Table 9 - Northern Territory</t>
  </si>
  <si>
    <t>Medical Services Statistics</t>
  </si>
  <si>
    <t>Table 10 - Australia</t>
  </si>
  <si>
    <t>Number of  services</t>
  </si>
  <si>
    <t>Amount charged % of MBS</t>
  </si>
  <si>
    <t>Agreement</t>
  </si>
  <si>
    <t>No gap agreement</t>
  </si>
  <si>
    <t>Known gap agreement</t>
  </si>
  <si>
    <t>Total agreement</t>
  </si>
  <si>
    <t>No agreement</t>
  </si>
  <si>
    <t>Grand total</t>
  </si>
  <si>
    <t>Total services with no gap</t>
  </si>
  <si>
    <t>Total services with no or known gap</t>
  </si>
  <si>
    <t>Total services with no agreement and gap</t>
  </si>
  <si>
    <t>Table 11 - New South Wales</t>
  </si>
  <si>
    <t>Total no agreement</t>
  </si>
  <si>
    <t>Table 12 - Victoria</t>
  </si>
  <si>
    <t>Table 13 - Queensland</t>
  </si>
  <si>
    <t>Table 14 - South Australia</t>
  </si>
  <si>
    <t>Table 15 - Western Australia</t>
  </si>
  <si>
    <t>Table 16 - Tasmania</t>
  </si>
  <si>
    <t>Table 17 - Australian Capital Territory</t>
  </si>
  <si>
    <t>Table 18 - Northern Territory</t>
  </si>
  <si>
    <t>NOTES ON STATISTICS</t>
  </si>
  <si>
    <t>Source of data</t>
  </si>
  <si>
    <t>On 1 July 2015, supervisory responsibilities were transferred from Private Health Insurance Administration Council (PHIAC) to APRA under the Private Health Insurance (Prudential Supervision) Act 2015.</t>
  </si>
  <si>
    <t>This publication is compiled primarily from regulatory returns submitted to APRA under the Financial Sector (Collection of Data) Act 2001 by authorised Private Health Insurance companies. Prior to 1 July 2015, PHIAC collected data from Private Health Insurers.</t>
  </si>
  <si>
    <t>Medical gap for insured in-hospital services</t>
  </si>
  <si>
    <t>Definitions and Abbreviations</t>
  </si>
  <si>
    <t>Definitions used in this report</t>
  </si>
  <si>
    <t xml:space="preserve">  Related Publications</t>
  </si>
  <si>
    <t>Quarterly publications</t>
  </si>
  <si>
    <t>A number of related quarterly publicatons are available from:</t>
  </si>
  <si>
    <t>https://www.apra.gov.au/publications</t>
  </si>
  <si>
    <t>These include:</t>
  </si>
  <si>
    <t>Quarterly Statistics</t>
  </si>
  <si>
    <t>The Quarterly Statistics are principal release of statistics with summaries for the key financial and membership statistics of the Private Health Insurance industry.</t>
  </si>
  <si>
    <t>Membership Statistics</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</si>
  <si>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</si>
  <si>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</si>
  <si>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</si>
  <si>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Private Health Insurance Membership and Benefits (formerly PHIAC A)</t>
  </si>
  <si>
    <t>A publication detailing by State, the membership and benefits paid by private health insurers for the period. These State reports are available both in PDF format and Excel.</t>
  </si>
  <si>
    <t>Prostheses Report</t>
  </si>
  <si>
    <t>A report providing data on prosthetic benefits paid by private health insurers by major prosthetic category</t>
  </si>
  <si>
    <t>Medical Services Report</t>
  </si>
  <si>
    <t>A report providing data on services, benefits paid and gap payments by MBS Specialty Block Groupings for medical services paid by private health insurers.</t>
  </si>
  <si>
    <t>Statistical Trends - Quarterly Statistical trends in membership and benefits paid</t>
  </si>
  <si>
    <t>These are two separate publications detailing trends since September 1997 in the number of insured persons and benefits paid for hospital and general treatment.</t>
  </si>
  <si>
    <t>Annual publications</t>
  </si>
  <si>
    <t>APRA will continue to produce an Annual Report on the Operations of the Private Health Insurance Industry. This report contains an industry overview and tables of statistics by individual fund. Current and historical versions are available at:</t>
  </si>
  <si>
    <t>https://www.apra.gov.au/publications/operations-private-health-insurers-annual-report</t>
  </si>
  <si>
    <t>Year</t>
  </si>
  <si>
    <t>MonthEnd</t>
  </si>
  <si>
    <t>State</t>
  </si>
  <si>
    <t>GapType</t>
  </si>
  <si>
    <t>MBSFeePercentage</t>
  </si>
  <si>
    <t>AmountCharged</t>
  </si>
  <si>
    <t>MedicareBenefit</t>
  </si>
  <si>
    <t>FundBenefit</t>
  </si>
  <si>
    <t>NumberofServices</t>
  </si>
  <si>
    <t>Dec</t>
  </si>
  <si>
    <t>100% MBS Fee to 125% MBS Fee</t>
  </si>
  <si>
    <t>More than 125% MBS Fee to 150% MBS Fee</t>
  </si>
  <si>
    <t>More than 150% MBS Fee to 200% MBS Fee</t>
  </si>
  <si>
    <t>More than 200% MBS Fee</t>
  </si>
  <si>
    <t>Up to MBS Fee</t>
  </si>
  <si>
    <t>Sep</t>
  </si>
  <si>
    <t>Jun</t>
  </si>
  <si>
    <t>Mar</t>
  </si>
  <si>
    <t>Select parameters</t>
  </si>
  <si>
    <t>Select year and quarter</t>
  </si>
  <si>
    <t>This publication will be released according to the timetable published on the APRA website.</t>
  </si>
  <si>
    <t>Revisions</t>
  </si>
  <si>
    <t>This publication will include revisions to previously published statistics if better source data becomes available or if compilation errors are uncovered.</t>
  </si>
  <si>
    <t>APRA regularly analyses past revisions to identify potential improvements to the source data and statistical compilation techniques, in order to minimise the frequency and scale of any future revisions.</t>
  </si>
  <si>
    <t>Details on tables may not add up to totals due to rounding of figures.</t>
  </si>
  <si>
    <t>TA - In hospital services with no gaps Dec 2018 to Dec 2021 and percentage point changes</t>
  </si>
  <si>
    <t>TB - Summary of in-hospital medical services with no gaps Mar 2021 to Mar 2022</t>
  </si>
  <si>
    <t>T1 - Australia</t>
  </si>
  <si>
    <t>T2 - New South Wales</t>
  </si>
  <si>
    <t>T3 - Victoria</t>
  </si>
  <si>
    <t>T4 - Queensland</t>
  </si>
  <si>
    <t>T5 - South Australia</t>
  </si>
  <si>
    <t>T6 - Western Australia</t>
  </si>
  <si>
    <t>T7  - Tasmania</t>
  </si>
  <si>
    <t>T8 - Australian Capital Territory</t>
  </si>
  <si>
    <t>T9 - Northern Territory</t>
  </si>
  <si>
    <t>T10  - Australia and T11 - New South Wales</t>
  </si>
  <si>
    <t>T12 - Victoria and T13 - Queensland</t>
  </si>
  <si>
    <t>T14 - South Australia and T15 - Western Australia</t>
  </si>
  <si>
    <t>T16 - Tasmania and T17 - Australian Capital Territory</t>
  </si>
  <si>
    <t>T18 - Northern Territory</t>
  </si>
  <si>
    <t>Notes on Statistics</t>
  </si>
  <si>
    <t>RelatedPublicatons</t>
  </si>
  <si>
    <t>`</t>
  </si>
  <si>
    <t xml:space="preserve">• The Private Health Insurance Administration Council (PHIAC) commenced collection of additional data from private health insurers designed specifically to measure the medical gap starting from the September 2000 quarter. </t>
  </si>
  <si>
    <t>•  In addition to summary tables and charts this report provides detailed medical service statistics by state.  The detailed statistics provide information on medical services and gap payments for a range of charges in relation to the MBS fee.  The information contains further detail by the type of agreement between health funds and medical service providers.</t>
  </si>
  <si>
    <t>• ACT data is collected and reported separately to NSW for the first time in the December quarter 2009</t>
  </si>
  <si>
    <t>• The MBS (Medicare Benefits Schedule) lists the fees set by the Australian Government for services provided by some medical professionals for which a rebate is payable. This rebate is currently 75% of the MBS fee for part of an episode of hospital treatment or hospital-substitute treatment, and 85% of the MBS fee for medical fees incurred out-of-hospital.</t>
  </si>
  <si>
    <t>• Agreement means an agreement entered into between a medical practitioner, within the meaning of that term in subsection 3 (1) of the Health Insurance Act 1973, and an insurer, under which the practitioner agrees to accept payment by the insurer in satisfaction of the amount that would, apart from the agreement, be owed to the practitioner in relation to the treatment provided to the insured person.</t>
  </si>
  <si>
    <t>• No gap agreement means an agreement where the medical practitioner agrees to accept a payment by the insurer in full satisfaction of the amount owed so that there is no gap, or no out of pocket expenses to be paid by the insured person.</t>
  </si>
  <si>
    <t>• Known gap agreement means an agreement where the medical practitioner agrees to accept a payment by the insurer in part satisfaction of the amount owed and the patient has provided informed financial consent so that the gap or out of pocket expense to be paid by the insured person is known in advance.</t>
  </si>
  <si>
    <t>• No agreement is where there is no agreement in place.</t>
  </si>
  <si>
    <t>• Amount charged is the invoiced amount or the amount accepted in full payment (if known).</t>
  </si>
  <si>
    <t xml:space="preserve">• Medicare benefit is the amount calculated by reference to the fees for medical services set out in the table of schedule fees. </t>
  </si>
  <si>
    <t>• Fund benefit is the amount the fund pays in full or part satisfaction of the amount owed to the provider in excess of the Medicare benefit.</t>
  </si>
  <si>
    <t>• Gap is the amount paid by the insured person, or their out of pocket expense, and is calculated as: (Amount charged) – (Medicare benefit) – (Fund benefit) = Gap. Negative gap is due to adjustments from the previous quarters. Gap shown where there should be no gap is due to rounding of components.</t>
  </si>
  <si>
    <t>Private health insurance medical gap</t>
  </si>
  <si>
    <t xml:space="preserve"> (released 28 Feb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</si>
</sst>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7" formatCode="&quot;$&quot;#,##0.00;\-&quot;$&quot;#,##0.00"/>
    <numFmt numFmtId="44" formatCode="_-&quot;$&quot;* #,##0.00_-;\-&quot;$&quot;* #,##0.00_-;_-&quot;$&quot;* &quot;-&quot;??_-;_-@_-"/>
    <numFmt numFmtId="43" formatCode="_-* #,##0.00_-;\-* #,##0.00_-;_-* &quot;-&quot;??_-;_-@_-"/>
    <numFmt numFmtId="164" formatCode="_(&quot;$&quot;* #,##0.00_);_(&quot;$&quot;* \(#,##0.00\);_(&quot;$&quot;* &quot;-&quot;??_);_(@_)"/>
    <numFmt numFmtId="165" formatCode="0.0%"/>
    <numFmt numFmtId="166" formatCode="dd\ mmmm\ yyyy"/>
    <numFmt numFmtId="167" formatCode="dd\-mmm\-yy"/>
    <numFmt numFmtId="168" formatCode="dd\ mmm\ yyyy"/>
    <numFmt numFmtId="169" formatCode="&quot;$&quot;#,##0"/>
    <numFmt numFmtId="170" formatCode="_-* #,##0_-;\-* #,##0_-;_-* &quot;-&quot;??_-;_-@_-"/>
    <numFmt numFmtId="171" formatCode="&quot;$&quot;#,##0.00"/>
    <numFmt numFmtId="172" formatCode="_(&quot;$&quot;* #,##0_);_(&quot;$&quot;* \(#,##0\);_(&quot;$&quot;* &quot;-&quot;??_);_(@_)"/>
  </numFmts>
  <fonts count="70">
    <font>
      <sz val="11"/>
      <color theme="1"/>
      <name val="Arial"/>
      <family val="2"/>
      <scheme val="minor"/>
    </font>
    <font>
      <sz val="11"/>
      <color theme="1"/>
      <name val="Arial"/>
      <family val="2"/>
      <scheme val="minor"/>
    </font>
    <font>
      <b/>
      <sz val="11"/>
      <color theme="3"/>
      <name val="Arial"/>
      <family val="2"/>
      <scheme val="minor"/>
    </font>
    <font>
      <sz val="24"/>
      <color theme="3"/>
      <name val="Arial"/>
      <family val="2"/>
      <scheme val="minor"/>
    </font>
    <font>
      <b/>
      <sz val="16"/>
      <color theme="3"/>
      <name val="Arial"/>
      <family val="2"/>
      <scheme val="minor"/>
    </font>
    <font>
      <b/>
      <sz val="14"/>
      <color theme="3"/>
      <name val="Arial"/>
      <family val="2"/>
      <scheme val="minor"/>
    </font>
    <font>
      <b/>
      <sz val="12"/>
      <color theme="4"/>
      <name val="Arial"/>
      <family val="2"/>
      <scheme val="minor"/>
    </font>
    <font>
      <sz val="10"/>
      <color theme="1"/>
      <name val="Arial"/>
      <family val="2"/>
      <scheme val="minor"/>
    </font>
    <font>
      <sz val="11"/>
      <color theme="0"/>
      <name val="Arial"/>
      <family val="2"/>
      <scheme val="minor"/>
    </font>
    <font>
      <b/>
      <sz val="16"/>
      <color theme="0"/>
      <name val="Arial (Body)"/>
    </font>
    <font>
      <b/>
      <sz val="14"/>
      <color theme="0"/>
      <name val="Arial (Body)"/>
    </font>
    <font>
      <b/>
      <sz val="11"/>
      <color theme="1"/>
      <name val="Arial"/>
      <family val="2"/>
      <scheme val="minor"/>
    </font>
    <font>
      <sz val="10"/>
      <name val="Arial"/>
      <family val="2"/>
    </font>
    <font>
      <b/>
      <sz val="14"/>
      <name val="Arial"/>
      <family val="2"/>
      <scheme val="minor"/>
    </font>
    <font>
      <sz val="34"/>
      <color theme="3"/>
      <name val="Arial"/>
      <family val="2"/>
      <scheme val="major"/>
    </font>
    <font>
      <b/>
      <sz val="16"/>
      <color theme="4"/>
      <name val="Arial"/>
      <family val="2"/>
      <scheme val="major"/>
    </font>
    <font>
      <sz val="8.5"/>
      <color rgb="FF012169"/>
      <name val="Arial"/>
      <family val="2"/>
      <scheme val="minor"/>
    </font>
    <font>
      <b/>
      <sz val="8.5"/>
      <color rgb="FF012169"/>
      <name val="Arial"/>
      <family val="2"/>
      <scheme val="minor"/>
    </font>
    <font>
      <u/>
      <sz val="11"/>
      <color theme="10"/>
      <name val="Arial"/>
      <family val="2"/>
      <scheme val="minor"/>
    </font>
    <font>
      <sz val="10"/>
      <name val="Arial"/>
      <family val="2"/>
      <scheme val="minor"/>
    </font>
    <font>
      <sz val="10"/>
      <color indexed="10"/>
      <name val="Arial"/>
      <family val="2"/>
      <scheme val="minor"/>
    </font>
    <font>
      <sz val="8"/>
      <name val="Arial"/>
      <family val="2"/>
      <scheme val="minor"/>
    </font>
    <font>
      <u/>
      <sz val="10"/>
      <color theme="10"/>
      <name val="Arial"/>
      <family val="2"/>
      <scheme val="minor"/>
    </font>
    <font>
      <b/>
      <sz val="10"/>
      <color theme="3"/>
      <name val="Arial"/>
      <family val="2"/>
      <scheme val="minor"/>
    </font>
    <font>
      <sz val="11"/>
      <color theme="1"/>
      <name val="Arial"/>
      <family val="2"/>
    </font>
    <font>
      <sz val="10"/>
      <name val="Arial"/>
      <family val="2"/>
    </font>
    <font>
      <b/>
      <sz val="12"/>
      <name val="Arial Narrow"/>
      <family val="2"/>
    </font>
    <font>
      <b/>
      <sz val="10"/>
      <name val="Arial"/>
      <family val="2"/>
    </font>
    <font>
      <sz val="12"/>
      <name val="Arial Narrow"/>
      <family val="2"/>
    </font>
    <font>
      <sz val="12"/>
      <name val="Times New Roman"/>
      <family val="1"/>
    </font>
    <font>
      <b/>
      <sz val="12"/>
      <name val="Times New Roman"/>
      <family val="1"/>
    </font>
    <font>
      <b/>
      <sz val="8"/>
      <name val="Arial Narrow"/>
      <family val="2"/>
    </font>
    <font>
      <b/>
      <sz val="10"/>
      <name val="Arial Narrow"/>
      <family val="2"/>
    </font>
    <font>
      <sz val="8"/>
      <name val="Arial Narrow"/>
      <family val="2"/>
    </font>
    <font>
      <sz val="7"/>
      <name val="Small Fonts"/>
      <family val="2"/>
    </font>
    <font>
      <sz val="7"/>
      <name val="Arial Narrow"/>
      <family val="2"/>
    </font>
    <font>
      <sz val="9"/>
      <name val="Geneva"/>
    </font>
    <font>
      <sz val="9"/>
      <name val="Arial Narrow"/>
      <family val="2"/>
    </font>
    <font>
      <b/>
      <sz val="9"/>
      <name val="Arial Narrow"/>
      <family val="2"/>
    </font>
    <font>
      <b/>
      <sz val="7"/>
      <name val="Small Fonts"/>
      <family val="2"/>
    </font>
    <font>
      <b/>
      <sz val="7"/>
      <name val="Arial Narrow"/>
      <family val="2"/>
    </font>
    <font>
      <sz val="11"/>
      <name val="Arial Narrow"/>
      <family val="2"/>
    </font>
    <font>
      <b/>
      <sz val="14"/>
      <name val="Arial"/>
      <family val="2"/>
    </font>
    <font>
      <b/>
      <sz val="12"/>
      <name val="Arial"/>
      <family val="2"/>
    </font>
    <font>
      <sz val="11"/>
      <name val="Arial"/>
      <family val="2"/>
    </font>
    <font>
      <b/>
      <sz val="11"/>
      <name val="Arial"/>
      <family val="2"/>
    </font>
    <font>
      <b/>
      <sz val="20"/>
      <color theme="0"/>
      <name val="Arial"/>
      <family val="2"/>
    </font>
    <font>
      <sz val="12"/>
      <color theme="1"/>
      <name val="Arial"/>
      <family val="2"/>
    </font>
    <font>
      <sz val="12"/>
      <color rgb="FF594A32"/>
      <name val="Arial"/>
      <family val="2"/>
    </font>
    <font>
      <sz val="12"/>
      <name val="Arial"/>
      <family val="2"/>
    </font>
    <font>
      <u/>
      <sz val="10"/>
      <color indexed="12"/>
      <name val="Verdana"/>
      <family val="2"/>
    </font>
    <font>
      <u/>
      <sz val="12"/>
      <color indexed="12"/>
      <name val="Arial"/>
      <family val="2"/>
    </font>
    <font>
      <u/>
      <sz val="7.7"/>
      <color theme="10"/>
      <name val="Calibri"/>
      <family val="2"/>
    </font>
    <font>
      <u/>
      <sz val="12"/>
      <color rgb="FF594A32"/>
      <name val="Arial"/>
      <family val="2"/>
    </font>
    <font>
      <sz val="10"/>
      <name val="Verdana"/>
      <family val="2"/>
    </font>
    <font>
      <sz val="10"/>
      <name val="Trebuchet MS"/>
      <family val="2"/>
    </font>
    <font>
      <sz val="24"/>
      <color indexed="8"/>
      <name val="Arial"/>
      <family val="2"/>
    </font>
    <font>
      <sz val="10"/>
      <color theme="0"/>
      <name val="Arial"/>
      <family val="2"/>
    </font>
    <font>
      <i/>
      <sz val="20"/>
      <color theme="0"/>
      <name val="Arial"/>
      <family val="2"/>
    </font>
    <font>
      <sz val="10"/>
      <color theme="1"/>
      <name val="Trebuchet MS"/>
      <family val="2"/>
    </font>
    <font>
      <u/>
      <sz val="10"/>
      <color theme="10"/>
      <name val="Arial"/>
      <family val="2"/>
    </font>
    <font>
      <b/>
      <sz val="12"/>
      <color theme="1"/>
      <name val="Trebuchet MS"/>
      <family val="2"/>
    </font>
    <font>
      <b/>
      <sz val="10"/>
      <color theme="1"/>
      <name val="Trebuchet MS"/>
      <family val="2"/>
    </font>
    <font>
      <b/>
      <sz val="10"/>
      <name val="Arial"/>
      <family val="2"/>
      <scheme val="major"/>
    </font>
    <font>
      <sz val="10"/>
      <name val="Arial"/>
      <family val="2"/>
      <scheme val="major"/>
    </font>
    <font>
      <b/>
      <sz val="12"/>
      <name val="Arial "/>
    </font>
    <font>
      <b/>
      <sz val="10"/>
      <name val="Arial "/>
    </font>
    <font>
      <sz val="10"/>
      <name val="Arial "/>
    </font>
    <font>
      <b/>
      <sz val="10"/>
      <color theme="0"/>
      <name val="Arial (Body)"/>
    </font>
    <font>
      <sz val="10"/>
      <name val="Arial"/>
    </font>
  </fonts>
  <fills count="8">
    <fill>
      <patternFill patternType="none"/>
    </fill>
    <fill>
      <patternFill patternType="gray125"/>
    </fill>
    <fill>
      <patternFill patternType="solid">
        <fgColor theme="4"/>
        <bgColor indexed="64"/>
      </patternFill>
    </fill>
    <fill>
      <patternFill patternType="solid">
        <fgColor theme="3"/>
        <bgColor indexed="64"/>
      </patternFill>
    </fill>
    <fill>
      <patternFill patternType="solid">
        <fgColor theme="2"/>
        <bgColor indexed="64"/>
      </patternFill>
    </fill>
    <fill>
      <patternFill patternType="solid">
        <fgColor theme="8"/>
        <bgColor indexed="64"/>
      </patternFill>
    </fill>
    <fill>
      <patternFill patternType="solid">
        <fgColor theme="0"/>
        <bgColor indexed="64"/>
      </patternFill>
    </fill>
    <fill>
      <patternFill patternType="solid">
        <fgColor indexed="22"/>
        <bgColor indexed="64"/>
      </patternFill>
    </fill>
  </fills>
  <borders count="35">
    <border>
      <left/>
      <right/>
      <top/>
      <bottom/>
      <diagonal/>
    </border>
    <border>
      <left/>
      <right/>
      <top style="medium">
        <color theme="4"/>
      </top>
      <bottom style="medium">
        <color theme="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3">
    <xf numFmtId="0" fontId="0" fillId="0" borderId="0">
      <alignment vertical="top"/>
    </xf>
    <xf numFmtId="164" fontId="1" fillId="0" borderId="0" applyFont="0" applyFill="0" applyBorder="0" applyAlignment="0" applyProtection="0"/>
    <xf numFmtId="0" fontId="6" fillId="0" borderId="0" applyNumberFormat="0" applyFill="0" applyBorder="0" applyProtection="0">
      <alignment vertical="top"/>
    </xf>
    <xf numFmtId="0" fontId="3" fillId="0" borderId="0" applyNumberFormat="0" applyFill="0" applyProtection="0">
      <alignment vertical="top"/>
    </xf>
    <xf numFmtId="0" fontId="4" fillId="0" borderId="0" applyNumberFormat="0" applyFill="0" applyProtection="0">
      <alignment vertical="top"/>
    </xf>
    <xf numFmtId="0" fontId="5" fillId="0" borderId="0" applyNumberFormat="0" applyFill="0" applyProtection="0">
      <alignment vertical="top"/>
    </xf>
    <xf numFmtId="0" fontId="8" fillId="5" borderId="0" applyNumberFormat="0" applyBorder="0" applyAlignment="0" applyProtection="0"/>
    <xf numFmtId="0" fontId="11" fillId="0" borderId="1" applyNumberFormat="0" applyFill="0" applyProtection="0">
      <alignment vertical="center"/>
    </xf>
    <xf numFmtId="0" fontId="2" fillId="0" borderId="0">
      <alignment vertical="center"/>
    </xf>
    <xf numFmtId="0" fontId="9" fillId="2" borderId="0" applyFont="0">
      <alignment horizontal="left" vertical="center"/>
    </xf>
    <xf numFmtId="0" fontId="12" fillId="0" borderId="0"/>
    <xf numFmtId="0" fontId="18" fillId="0" borderId="0" applyNumberFormat="0" applyFill="0" applyBorder="0" applyAlignment="0" applyProtection="0">
      <alignment vertical="top"/>
    </xf>
    <xf numFmtId="0" fontId="12" fillId="0" borderId="0"/>
    <xf numFmtId="0" fontId="12" fillId="0" borderId="0"/>
    <xf numFmtId="43" fontId="1" fillId="0" borderId="0" applyFont="0" applyFill="0" applyBorder="0" applyAlignment="0" applyProtection="0"/>
    <xf numFmtId="9" fontId="1" fillId="0" borderId="0" applyFont="0" applyFill="0" applyBorder="0" applyAlignment="0" applyProtection="0"/>
    <xf numFmtId="0" fontId="25"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0" fontId="36" fillId="0" borderId="0"/>
    <xf numFmtId="0" fontId="12" fillId="0" borderId="0"/>
    <xf numFmtId="44" fontId="12" fillId="0" borderId="0" applyFont="0" applyFill="0" applyBorder="0" applyAlignment="0" applyProtection="0"/>
    <xf numFmtId="0" fontId="12" fillId="0" borderId="0"/>
    <xf numFmtId="0" fontId="1" fillId="0" borderId="0"/>
    <xf numFmtId="0" fontId="50"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4" fillId="0" borderId="0"/>
    <xf numFmtId="0" fontId="12" fillId="0" borderId="0"/>
    <xf numFmtId="0" fontId="1" fillId="0" borderId="0"/>
    <xf numFmtId="0" fontId="12" fillId="0" borderId="0"/>
    <xf numFmtId="0" fontId="60" fillId="0" borderId="0" applyNumberFormat="0" applyFill="0" applyBorder="0" applyAlignment="0" applyProtection="0"/>
    <xf numFmtId="0" fontId="36" fillId="0" borderId="0"/>
  </cellStyleXfs>
  <cellXfs count="240">
    <xf numFmtId="0" fontId="0" fillId="0" borderId="0" xfId="0">
      <alignment vertical="top"/>
    </xf>
    <xf numFmtId="0" fontId="10" fillId="3" borderId="0" xfId="0" applyFont="1" applyFill="1" applyAlignment="1">
      <alignment horizontal="left" vertical="center"/>
    </xf>
    <xf numFmtId="0" fontId="3" fillId="0" borderId="0" xfId="3">
      <alignment vertical="top"/>
    </xf>
    <xf numFmtId="0" fontId="0" fillId="6" borderId="0" xfId="0" applyFill="1">
      <alignment vertical="top"/>
    </xf>
    <xf numFmtId="0" fontId="15" fillId="6" borderId="0" xfId="0" applyFont="1" applyFill="1" applyAlignment="1">
      <alignment vertical="top" wrapText="1"/>
    </xf>
    <xf numFmtId="0" fontId="14" fillId="6" borderId="0" xfId="0" applyFont="1" applyFill="1" applyAlignment="1">
      <alignment wrapText="1"/>
    </xf>
    <xf numFmtId="17" fontId="13" fillId="6" borderId="0" xfId="10" applyNumberFormat="1" applyFont="1" applyFill="1" applyAlignment="1">
      <alignment horizontal="left" vertical="top" wrapText="1"/>
    </xf>
    <xf numFmtId="0" fontId="16" fillId="0" borderId="0" xfId="0" applyFont="1" applyAlignment="1">
      <alignment vertical="center"/>
    </xf>
    <xf numFmtId="0" fontId="19" fillId="6" borderId="0" xfId="12" applyFont="1" applyFill="1" applyAlignment="1">
      <alignment vertical="center" wrapText="1"/>
    </xf>
    <xf numFmtId="0" fontId="4" fillId="6" borderId="0" xfId="0" applyFont="1" applyFill="1" applyAlignment="1">
      <alignment horizontal="left" vertical="top" wrapText="1"/>
    </xf>
    <xf numFmtId="0" fontId="19" fillId="6" borderId="0" xfId="0" applyFont="1" applyFill="1" applyAlignment="1">
      <alignment horizontal="left" vertical="top" wrapText="1"/>
    </xf>
    <xf numFmtId="0" fontId="18" fillId="6" borderId="0" xfId="11" applyFill="1" applyAlignment="1" applyProtection="1">
      <alignment horizontal="left" vertical="top" wrapText="1"/>
    </xf>
    <xf numFmtId="0" fontId="19" fillId="6" borderId="0" xfId="0" applyFont="1" applyFill="1" applyAlignment="1">
      <alignment horizontal="left" wrapText="1"/>
    </xf>
    <xf numFmtId="0" fontId="19" fillId="6" borderId="0" xfId="0" applyFont="1" applyFill="1" applyAlignment="1">
      <alignment wrapText="1"/>
    </xf>
    <xf numFmtId="0" fontId="21" fillId="6" borderId="0" xfId="0" applyFont="1" applyFill="1" applyAlignment="1">
      <alignment vertical="top" wrapText="1"/>
    </xf>
    <xf numFmtId="0" fontId="20" fillId="6" borderId="0" xfId="0" applyFont="1" applyFill="1" applyAlignment="1">
      <alignment vertical="top" wrapText="1"/>
    </xf>
    <xf numFmtId="0" fontId="18" fillId="6" borderId="0" xfId="11" applyFill="1" applyAlignment="1" applyProtection="1">
      <alignment vertical="top" wrapText="1"/>
    </xf>
    <xf numFmtId="0" fontId="19" fillId="6" borderId="0" xfId="13" applyFont="1" applyFill="1" applyAlignment="1">
      <alignment horizontal="justify" vertical="center" wrapText="1"/>
    </xf>
    <xf numFmtId="0" fontId="19" fillId="6" borderId="0" xfId="0" applyFont="1" applyFill="1" applyAlignment="1">
      <alignment vertical="top" wrapText="1"/>
    </xf>
    <xf numFmtId="0" fontId="0" fillId="6" borderId="0" xfId="0" applyFill="1" applyAlignment="1">
      <alignment vertical="top" wrapText="1"/>
    </xf>
    <xf numFmtId="0" fontId="20" fillId="6" borderId="0" xfId="0" applyFont="1" applyFill="1" applyAlignment="1">
      <alignment wrapText="1"/>
    </xf>
    <xf numFmtId="0" fontId="22" fillId="6" borderId="0" xfId="11" applyFont="1" applyFill="1" applyAlignment="1" applyProtection="1">
      <alignment horizontal="justify" vertical="center" wrapText="1"/>
    </xf>
    <xf numFmtId="0" fontId="25" fillId="0" borderId="0" xfId="16"/>
    <xf numFmtId="0" fontId="27" fillId="0" borderId="0" xfId="16" applyFont="1"/>
    <xf numFmtId="165" fontId="28" fillId="0" borderId="0" xfId="17" applyNumberFormat="1" applyFont="1" applyAlignment="1">
      <alignment horizontal="right"/>
    </xf>
    <xf numFmtId="165" fontId="28" fillId="0" borderId="0" xfId="16" applyNumberFormat="1" applyFont="1" applyAlignment="1">
      <alignment horizontal="right"/>
    </xf>
    <xf numFmtId="165" fontId="26" fillId="0" borderId="0" xfId="16" applyNumberFormat="1" applyFont="1" applyAlignment="1">
      <alignment horizontal="right"/>
    </xf>
    <xf numFmtId="0" fontId="29" fillId="0" borderId="0" xfId="16" applyFont="1" applyAlignment="1">
      <alignment horizontal="left"/>
    </xf>
    <xf numFmtId="165" fontId="29" fillId="0" borderId="0" xfId="17" applyNumberFormat="1" applyFont="1" applyAlignment="1">
      <alignment horizontal="right"/>
    </xf>
    <xf numFmtId="165" fontId="29" fillId="0" borderId="0" xfId="16" applyNumberFormat="1" applyFont="1" applyAlignment="1">
      <alignment horizontal="right"/>
    </xf>
    <xf numFmtId="165" fontId="30" fillId="0" borderId="0" xfId="16" applyNumberFormat="1" applyFont="1" applyAlignment="1">
      <alignment horizontal="right"/>
    </xf>
    <xf numFmtId="0" fontId="12" fillId="0" borderId="0" xfId="16" applyFont="1" applyAlignment="1">
      <alignment vertical="center"/>
    </xf>
    <xf numFmtId="0" fontId="33" fillId="0" borderId="0" xfId="16" applyFont="1"/>
    <xf numFmtId="0" fontId="25" fillId="0" borderId="0" xfId="16" applyAlignment="1">
      <alignment horizontal="left"/>
    </xf>
    <xf numFmtId="165" fontId="12" fillId="0" borderId="0" xfId="17" applyNumberFormat="1" applyAlignment="1">
      <alignment horizontal="right"/>
    </xf>
    <xf numFmtId="165" fontId="25" fillId="0" borderId="0" xfId="16" applyNumberFormat="1" applyAlignment="1">
      <alignment horizontal="right"/>
    </xf>
    <xf numFmtId="165" fontId="27" fillId="0" borderId="0" xfId="16" applyNumberFormat="1" applyFont="1" applyAlignment="1">
      <alignment horizontal="right"/>
    </xf>
    <xf numFmtId="0" fontId="34" fillId="0" borderId="0" xfId="16" applyFont="1"/>
    <xf numFmtId="0" fontId="35" fillId="0" borderId="0" xfId="16" applyFont="1"/>
    <xf numFmtId="169" fontId="35" fillId="0" borderId="0" xfId="16" applyNumberFormat="1" applyFont="1"/>
    <xf numFmtId="170" fontId="35" fillId="0" borderId="0" xfId="19" applyNumberFormat="1" applyFont="1" applyBorder="1"/>
    <xf numFmtId="9" fontId="35" fillId="0" borderId="0" xfId="17" applyFont="1" applyBorder="1"/>
    <xf numFmtId="0" fontId="26" fillId="0" borderId="0" xfId="16" applyFont="1"/>
    <xf numFmtId="171" fontId="35" fillId="0" borderId="0" xfId="16" applyNumberFormat="1" applyFont="1"/>
    <xf numFmtId="3" fontId="34" fillId="0" borderId="0" xfId="16" applyNumberFormat="1" applyFont="1"/>
    <xf numFmtId="170" fontId="34" fillId="0" borderId="0" xfId="19" applyNumberFormat="1" applyFont="1" applyBorder="1" applyAlignment="1">
      <alignment horizontal="center" vertical="top" wrapText="1"/>
    </xf>
    <xf numFmtId="0" fontId="39" fillId="0" borderId="0" xfId="16" applyFont="1"/>
    <xf numFmtId="0" fontId="37" fillId="0" borderId="0" xfId="16" applyFont="1"/>
    <xf numFmtId="170" fontId="37" fillId="0" borderId="0" xfId="19" applyNumberFormat="1" applyFont="1" applyBorder="1"/>
    <xf numFmtId="9" fontId="37" fillId="0" borderId="0" xfId="17" applyFont="1" applyBorder="1"/>
    <xf numFmtId="169" fontId="37" fillId="0" borderId="0" xfId="16" applyNumberFormat="1" applyFont="1"/>
    <xf numFmtId="171" fontId="37" fillId="0" borderId="0" xfId="16" applyNumberFormat="1" applyFont="1"/>
    <xf numFmtId="0" fontId="38" fillId="0" borderId="20" xfId="16" applyFont="1" applyBorder="1"/>
    <xf numFmtId="169" fontId="38" fillId="0" borderId="20" xfId="16" applyNumberFormat="1" applyFont="1" applyBorder="1"/>
    <xf numFmtId="170" fontId="38" fillId="0" borderId="20" xfId="19" applyNumberFormat="1" applyFont="1" applyBorder="1"/>
    <xf numFmtId="9" fontId="38" fillId="0" borderId="20" xfId="17" applyFont="1" applyBorder="1"/>
    <xf numFmtId="171" fontId="38" fillId="0" borderId="20" xfId="16" applyNumberFormat="1" applyFont="1" applyBorder="1"/>
    <xf numFmtId="170" fontId="34" fillId="0" borderId="0" xfId="19" applyNumberFormat="1" applyFont="1" applyBorder="1"/>
    <xf numFmtId="9" fontId="34" fillId="0" borderId="0" xfId="17" applyFont="1" applyBorder="1"/>
    <xf numFmtId="169" fontId="34" fillId="0" borderId="0" xfId="16" applyNumberFormat="1" applyFont="1"/>
    <xf numFmtId="171" fontId="34" fillId="0" borderId="0" xfId="16" applyNumberFormat="1" applyFont="1"/>
    <xf numFmtId="170" fontId="35" fillId="0" borderId="0" xfId="19" applyNumberFormat="1" applyFont="1" applyBorder="1" applyAlignment="1">
      <alignment horizontal="center" vertical="top" wrapText="1"/>
    </xf>
    <xf numFmtId="0" fontId="40" fillId="0" borderId="0" xfId="16" applyFont="1"/>
    <xf numFmtId="169" fontId="33" fillId="0" borderId="0" xfId="16" applyNumberFormat="1" applyFont="1"/>
    <xf numFmtId="170" fontId="33" fillId="0" borderId="0" xfId="19" applyNumberFormat="1" applyFont="1" applyFill="1" applyBorder="1"/>
    <xf numFmtId="9" fontId="33" fillId="0" borderId="0" xfId="17" applyFont="1" applyFill="1" applyBorder="1"/>
    <xf numFmtId="171" fontId="33" fillId="0" borderId="0" xfId="16" applyNumberFormat="1" applyFont="1"/>
    <xf numFmtId="170" fontId="33" fillId="0" borderId="6" xfId="19" applyNumberFormat="1" applyFont="1" applyFill="1" applyBorder="1" applyAlignment="1">
      <alignment horizontal="center" vertical="top" wrapText="1"/>
    </xf>
    <xf numFmtId="0" fontId="41" fillId="0" borderId="21" xfId="21" applyFont="1" applyBorder="1" applyAlignment="1">
      <alignment horizontal="center" vertical="center"/>
    </xf>
    <xf numFmtId="0" fontId="41" fillId="7" borderId="7" xfId="21" applyFont="1" applyFill="1" applyBorder="1" applyAlignment="1">
      <alignment horizontal="center" vertical="center"/>
    </xf>
    <xf numFmtId="170" fontId="33" fillId="0" borderId="0" xfId="19" applyNumberFormat="1" applyFont="1" applyAlignment="1">
      <alignment horizontal="center" vertical="top" wrapText="1"/>
    </xf>
    <xf numFmtId="0" fontId="41" fillId="0" borderId="4" xfId="21" applyFont="1" applyBorder="1" applyAlignment="1">
      <alignment horizontal="center" vertical="center"/>
    </xf>
    <xf numFmtId="0" fontId="41" fillId="7" borderId="0" xfId="21" applyFont="1" applyFill="1" applyAlignment="1">
      <alignment horizontal="center" vertical="center"/>
    </xf>
    <xf numFmtId="0" fontId="32" fillId="0" borderId="6" xfId="21" applyFont="1" applyBorder="1" applyAlignment="1">
      <alignment horizontal="center" vertical="center" wrapText="1"/>
    </xf>
    <xf numFmtId="0" fontId="32" fillId="0" borderId="21" xfId="21" applyFont="1" applyBorder="1" applyAlignment="1">
      <alignment horizontal="center" vertical="center" wrapText="1"/>
    </xf>
    <xf numFmtId="0" fontId="33" fillId="0" borderId="0" xfId="16" applyFont="1" applyAlignment="1">
      <alignment vertical="center"/>
    </xf>
    <xf numFmtId="0" fontId="32" fillId="0" borderId="22" xfId="21" applyFont="1" applyBorder="1" applyAlignment="1">
      <alignment horizontal="center" vertical="center" wrapText="1"/>
    </xf>
    <xf numFmtId="0" fontId="32" fillId="0" borderId="2" xfId="21" applyFont="1" applyBorder="1" applyAlignment="1">
      <alignment horizontal="center" vertical="center" wrapText="1"/>
    </xf>
    <xf numFmtId="0" fontId="33" fillId="0" borderId="6" xfId="16" applyFont="1" applyBorder="1" applyAlignment="1">
      <alignment vertical="center"/>
    </xf>
    <xf numFmtId="0" fontId="37" fillId="0" borderId="4" xfId="21" applyFont="1" applyBorder="1" applyAlignment="1">
      <alignment vertical="center"/>
    </xf>
    <xf numFmtId="0" fontId="38" fillId="0" borderId="23" xfId="21" applyFont="1" applyBorder="1" applyAlignment="1">
      <alignment vertical="center"/>
    </xf>
    <xf numFmtId="0" fontId="37" fillId="0" borderId="23" xfId="21" applyFont="1" applyBorder="1" applyAlignment="1">
      <alignment horizontal="right" vertical="center"/>
    </xf>
    <xf numFmtId="0" fontId="28" fillId="0" borderId="4" xfId="16" applyFont="1" applyBorder="1" applyAlignment="1">
      <alignment vertical="center"/>
    </xf>
    <xf numFmtId="0" fontId="31" fillId="0" borderId="0" xfId="16" applyFont="1"/>
    <xf numFmtId="0" fontId="26" fillId="0" borderId="4" xfId="16" applyFont="1" applyBorder="1" applyAlignment="1">
      <alignment vertical="center"/>
    </xf>
    <xf numFmtId="0" fontId="28" fillId="0" borderId="24" xfId="16" applyFont="1" applyBorder="1" applyAlignment="1">
      <alignment vertical="center"/>
    </xf>
    <xf numFmtId="2" fontId="37" fillId="0" borderId="3" xfId="21" applyNumberFormat="1" applyFont="1" applyBorder="1" applyAlignment="1">
      <alignment horizontal="right" vertical="center"/>
    </xf>
    <xf numFmtId="2" fontId="37" fillId="0" borderId="24" xfId="21" applyNumberFormat="1" applyFont="1" applyBorder="1" applyAlignment="1">
      <alignment horizontal="right" vertical="center"/>
    </xf>
    <xf numFmtId="3" fontId="37" fillId="0" borderId="24" xfId="21" applyNumberFormat="1" applyFont="1" applyBorder="1" applyAlignment="1">
      <alignment horizontal="right" vertical="center"/>
    </xf>
    <xf numFmtId="170" fontId="37" fillId="0" borderId="24" xfId="19" applyNumberFormat="1" applyFont="1" applyFill="1" applyBorder="1" applyAlignment="1">
      <alignment horizontal="right" vertical="center"/>
    </xf>
    <xf numFmtId="165" fontId="37" fillId="0" borderId="24" xfId="17" applyNumberFormat="1" applyFont="1" applyFill="1" applyBorder="1" applyAlignment="1">
      <alignment horizontal="right" vertical="center"/>
    </xf>
    <xf numFmtId="43" fontId="37" fillId="0" borderId="24" xfId="19" applyFont="1" applyFill="1" applyBorder="1" applyAlignment="1">
      <alignment horizontal="right" vertical="center"/>
    </xf>
    <xf numFmtId="171" fontId="37" fillId="0" borderId="24" xfId="22" applyNumberFormat="1" applyFont="1" applyFill="1" applyBorder="1" applyAlignment="1">
      <alignment horizontal="right" vertical="center"/>
    </xf>
    <xf numFmtId="0" fontId="28" fillId="0" borderId="5" xfId="16" applyFont="1" applyBorder="1" applyAlignment="1">
      <alignment vertical="center"/>
    </xf>
    <xf numFmtId="0" fontId="37" fillId="0" borderId="5" xfId="21" applyFont="1" applyBorder="1" applyAlignment="1">
      <alignment vertical="center"/>
    </xf>
    <xf numFmtId="0" fontId="26" fillId="0" borderId="5" xfId="16" applyFont="1" applyBorder="1" applyAlignment="1">
      <alignment vertical="center"/>
    </xf>
    <xf numFmtId="0" fontId="28" fillId="0" borderId="0" xfId="16" applyFont="1" applyAlignment="1">
      <alignment vertical="center"/>
    </xf>
    <xf numFmtId="3" fontId="37" fillId="0" borderId="0" xfId="19" applyNumberFormat="1" applyFont="1" applyFill="1" applyBorder="1" applyAlignment="1">
      <alignment horizontal="center" vertical="center"/>
    </xf>
    <xf numFmtId="3" fontId="37" fillId="0" borderId="0" xfId="21" applyNumberFormat="1" applyFont="1" applyAlignment="1">
      <alignment horizontal="center" vertical="center"/>
    </xf>
    <xf numFmtId="170" fontId="37" fillId="0" borderId="0" xfId="19" applyNumberFormat="1" applyFont="1" applyFill="1" applyBorder="1" applyAlignment="1">
      <alignment horizontal="center" vertical="center"/>
    </xf>
    <xf numFmtId="9" fontId="37" fillId="0" borderId="0" xfId="17" applyFont="1" applyFill="1" applyBorder="1" applyAlignment="1">
      <alignment horizontal="center" vertical="center"/>
    </xf>
    <xf numFmtId="171" fontId="37" fillId="0" borderId="0" xfId="22" applyNumberFormat="1" applyFont="1" applyFill="1" applyBorder="1" applyAlignment="1">
      <alignment horizontal="center" vertical="center"/>
    </xf>
    <xf numFmtId="0" fontId="37" fillId="0" borderId="0" xfId="21" applyFont="1" applyAlignment="1">
      <alignment vertical="center"/>
    </xf>
    <xf numFmtId="0" fontId="37" fillId="0" borderId="23" xfId="21" applyFont="1" applyBorder="1" applyAlignment="1">
      <alignment vertical="center"/>
    </xf>
    <xf numFmtId="0" fontId="26" fillId="0" borderId="0" xfId="16" applyFont="1" applyAlignment="1">
      <alignment vertical="center"/>
    </xf>
    <xf numFmtId="0" fontId="37" fillId="0" borderId="0" xfId="21" applyFont="1"/>
    <xf numFmtId="3" fontId="37" fillId="0" borderId="0" xfId="21" applyNumberFormat="1" applyFont="1" applyAlignment="1">
      <alignment horizontal="center"/>
    </xf>
    <xf numFmtId="9" fontId="37" fillId="0" borderId="0" xfId="17" applyFont="1" applyFill="1" applyBorder="1" applyAlignment="1">
      <alignment horizontal="center"/>
    </xf>
    <xf numFmtId="170" fontId="33" fillId="0" borderId="0" xfId="19" applyNumberFormat="1" applyFont="1" applyBorder="1" applyAlignment="1">
      <alignment horizontal="center" vertical="top" wrapText="1"/>
    </xf>
    <xf numFmtId="0" fontId="33" fillId="0" borderId="0" xfId="23" applyFont="1"/>
    <xf numFmtId="169" fontId="33" fillId="0" borderId="0" xfId="23" applyNumberFormat="1" applyFont="1"/>
    <xf numFmtId="171" fontId="33" fillId="0" borderId="0" xfId="23" applyNumberFormat="1" applyFont="1"/>
    <xf numFmtId="0" fontId="31" fillId="0" borderId="0" xfId="23" applyFont="1"/>
    <xf numFmtId="0" fontId="25" fillId="0" borderId="0" xfId="16" applyAlignment="1">
      <alignment vertical="top"/>
    </xf>
    <xf numFmtId="0" fontId="42" fillId="0" borderId="0" xfId="23" applyFont="1" applyAlignment="1">
      <alignment horizontal="center" vertical="center"/>
    </xf>
    <xf numFmtId="0" fontId="44" fillId="0" borderId="0" xfId="16" applyFont="1" applyAlignment="1">
      <alignment vertical="top"/>
    </xf>
    <xf numFmtId="0" fontId="45" fillId="0" borderId="0" xfId="16" applyFont="1"/>
    <xf numFmtId="0" fontId="24" fillId="0" borderId="0" xfId="24" applyFont="1"/>
    <xf numFmtId="0" fontId="47" fillId="0" borderId="0" xfId="24" applyFont="1"/>
    <xf numFmtId="0" fontId="43" fillId="0" borderId="0" xfId="24" applyFont="1"/>
    <xf numFmtId="0" fontId="48" fillId="0" borderId="0" xfId="24" applyFont="1"/>
    <xf numFmtId="0" fontId="49" fillId="0" borderId="0" xfId="24" applyFont="1"/>
    <xf numFmtId="0" fontId="51" fillId="0" borderId="0" xfId="25" applyFont="1" applyAlignment="1" applyProtection="1"/>
    <xf numFmtId="0" fontId="53" fillId="0" borderId="0" xfId="26" applyFont="1" applyAlignment="1" applyProtection="1"/>
    <xf numFmtId="0" fontId="47" fillId="0" borderId="0" xfId="24" applyFont="1" applyAlignment="1">
      <alignment vertical="top" wrapText="1"/>
    </xf>
    <xf numFmtId="0" fontId="48" fillId="0" borderId="0" xfId="24" applyFont="1" applyAlignment="1">
      <alignment wrapText="1"/>
    </xf>
    <xf numFmtId="0" fontId="12" fillId="0" borderId="0" xfId="28"/>
    <xf numFmtId="14" fontId="25" fillId="0" borderId="0" xfId="16" applyNumberFormat="1"/>
    <xf numFmtId="0" fontId="0" fillId="0" borderId="0" xfId="28" applyFont="1"/>
    <xf numFmtId="0" fontId="55" fillId="0" borderId="0" xfId="28" applyFont="1"/>
    <xf numFmtId="0" fontId="54" fillId="0" borderId="0" xfId="27"/>
    <xf numFmtId="0" fontId="56" fillId="0" borderId="0" xfId="16" applyFont="1" applyAlignment="1">
      <alignment horizontal="center"/>
    </xf>
    <xf numFmtId="0" fontId="57" fillId="3" borderId="25" xfId="16" applyFont="1" applyFill="1" applyBorder="1"/>
    <xf numFmtId="0" fontId="57" fillId="3" borderId="26" xfId="16" applyFont="1" applyFill="1" applyBorder="1"/>
    <xf numFmtId="0" fontId="57" fillId="3" borderId="27" xfId="16" applyFont="1" applyFill="1" applyBorder="1"/>
    <xf numFmtId="0" fontId="57" fillId="3" borderId="28" xfId="16" applyFont="1" applyFill="1" applyBorder="1"/>
    <xf numFmtId="0" fontId="57" fillId="3" borderId="29" xfId="16" applyFont="1" applyFill="1" applyBorder="1"/>
    <xf numFmtId="0" fontId="57" fillId="3" borderId="30" xfId="16" applyFont="1" applyFill="1" applyBorder="1"/>
    <xf numFmtId="0" fontId="57" fillId="3" borderId="31" xfId="16" applyFont="1" applyFill="1" applyBorder="1"/>
    <xf numFmtId="0" fontId="57" fillId="3" borderId="32" xfId="16" applyFont="1" applyFill="1" applyBorder="1"/>
    <xf numFmtId="0" fontId="60" fillId="0" borderId="0" xfId="31" applyAlignment="1" applyProtection="1"/>
    <xf numFmtId="0" fontId="25" fillId="0" borderId="0" xfId="16" applyAlignment="1">
      <alignment horizontal="right"/>
    </xf>
    <xf numFmtId="0" fontId="59" fillId="0" borderId="0" xfId="16" applyFont="1"/>
    <xf numFmtId="0" fontId="60" fillId="0" borderId="0" xfId="31"/>
    <xf numFmtId="0" fontId="59" fillId="0" borderId="0" xfId="16" applyFont="1" applyAlignment="1">
      <alignment horizontal="left" indent="1"/>
    </xf>
    <xf numFmtId="0" fontId="59" fillId="0" borderId="0" xfId="16" applyFont="1" applyAlignment="1">
      <alignment horizontal="left" indent="2"/>
    </xf>
    <xf numFmtId="0" fontId="61" fillId="0" borderId="0" xfId="16" applyFont="1" applyAlignment="1">
      <alignment horizontal="left"/>
    </xf>
    <xf numFmtId="0" fontId="62" fillId="0" borderId="0" xfId="16" applyFont="1" applyAlignment="1">
      <alignment horizontal="left" indent="2"/>
    </xf>
    <xf numFmtId="0" fontId="62" fillId="0" borderId="0" xfId="16" applyFont="1" applyAlignment="1">
      <alignment horizontal="left" indent="4"/>
    </xf>
    <xf numFmtId="0" fontId="59" fillId="0" borderId="0" xfId="16" applyFont="1" applyAlignment="1">
      <alignment horizontal="left"/>
    </xf>
    <xf numFmtId="0" fontId="62" fillId="0" borderId="0" xfId="16" applyFont="1" applyAlignment="1">
      <alignment horizontal="left" indent="1"/>
    </xf>
    <xf numFmtId="0" fontId="61" fillId="0" borderId="0" xfId="16" applyFont="1"/>
    <xf numFmtId="0" fontId="4" fillId="6" borderId="0" xfId="0" applyFont="1" applyFill="1" applyAlignment="1">
      <alignment horizontal="left" vertical="top"/>
    </xf>
    <xf numFmtId="166" fontId="63" fillId="0" borderId="6" xfId="16" applyNumberFormat="1" applyFont="1" applyBorder="1" applyAlignment="1">
      <alignment horizontal="center" vertical="center"/>
    </xf>
    <xf numFmtId="1" fontId="63" fillId="0" borderId="7" xfId="16" applyNumberFormat="1" applyFont="1" applyBorder="1" applyAlignment="1">
      <alignment horizontal="left" vertical="center"/>
    </xf>
    <xf numFmtId="165" fontId="64" fillId="0" borderId="5" xfId="17" applyNumberFormat="1" applyFont="1" applyBorder="1" applyAlignment="1">
      <alignment horizontal="center" vertical="center"/>
    </xf>
    <xf numFmtId="165" fontId="63" fillId="0" borderId="5" xfId="16" applyNumberFormat="1" applyFont="1" applyBorder="1" applyAlignment="1">
      <alignment horizontal="center" vertical="center"/>
    </xf>
    <xf numFmtId="166" fontId="63" fillId="0" borderId="3" xfId="16" applyNumberFormat="1" applyFont="1" applyBorder="1" applyAlignment="1">
      <alignment horizontal="center" vertical="center"/>
    </xf>
    <xf numFmtId="1" fontId="63" fillId="0" borderId="4" xfId="16" applyNumberFormat="1" applyFont="1" applyBorder="1" applyAlignment="1">
      <alignment horizontal="left" vertical="center"/>
    </xf>
    <xf numFmtId="165" fontId="67" fillId="0" borderId="5" xfId="17" applyNumberFormat="1" applyFont="1" applyBorder="1" applyAlignment="1">
      <alignment horizontal="center" vertical="center"/>
    </xf>
    <xf numFmtId="165" fontId="66" fillId="0" borderId="5" xfId="17" applyNumberFormat="1" applyFont="1" applyBorder="1" applyAlignment="1">
      <alignment horizontal="center" vertical="center"/>
    </xf>
    <xf numFmtId="0" fontId="67" fillId="0" borderId="0" xfId="16" applyFont="1" applyAlignment="1">
      <alignment horizontal="left"/>
    </xf>
    <xf numFmtId="0" fontId="64" fillId="0" borderId="9" xfId="18" applyFont="1" applyBorder="1" applyAlignment="1">
      <alignment vertical="center" wrapText="1"/>
    </xf>
    <xf numFmtId="165" fontId="64" fillId="0" borderId="10" xfId="18" applyNumberFormat="1" applyFont="1" applyBorder="1" applyAlignment="1">
      <alignment vertical="center"/>
    </xf>
    <xf numFmtId="0" fontId="64" fillId="0" borderId="12" xfId="18" applyFont="1" applyBorder="1" applyAlignment="1">
      <alignment vertical="center" wrapText="1"/>
    </xf>
    <xf numFmtId="165" fontId="64" fillId="0" borderId="13" xfId="17" applyNumberFormat="1" applyFont="1" applyBorder="1" applyAlignment="1">
      <alignment vertical="center"/>
    </xf>
    <xf numFmtId="0" fontId="64" fillId="0" borderId="14" xfId="18" applyFont="1" applyBorder="1" applyAlignment="1">
      <alignment vertical="center" wrapText="1"/>
    </xf>
    <xf numFmtId="7" fontId="64" fillId="0" borderId="13" xfId="18" applyNumberFormat="1" applyFont="1" applyBorder="1" applyAlignment="1">
      <alignment vertical="center"/>
    </xf>
    <xf numFmtId="7" fontId="64" fillId="0" borderId="15" xfId="18" applyNumberFormat="1" applyFont="1" applyBorder="1" applyAlignment="1">
      <alignment vertical="center"/>
    </xf>
    <xf numFmtId="0" fontId="64" fillId="0" borderId="17" xfId="18" applyFont="1" applyBorder="1" applyAlignment="1">
      <alignment vertical="center" wrapText="1"/>
    </xf>
    <xf numFmtId="7" fontId="64" fillId="0" borderId="18" xfId="18" applyNumberFormat="1" applyFont="1" applyBorder="1" applyAlignment="1">
      <alignment vertical="center"/>
    </xf>
    <xf numFmtId="0" fontId="64" fillId="0" borderId="0" xfId="16" applyFont="1"/>
    <xf numFmtId="0" fontId="63" fillId="0" borderId="0" xfId="16" applyFont="1"/>
    <xf numFmtId="0" fontId="10" fillId="3" borderId="0" xfId="0" applyFont="1" applyFill="1" applyAlignment="1">
      <alignment horizontal="center" vertical="center"/>
    </xf>
    <xf numFmtId="0" fontId="63" fillId="0" borderId="0" xfId="16" applyFont="1" applyAlignment="1">
      <alignment horizontal="left"/>
    </xf>
    <xf numFmtId="169" fontId="64" fillId="0" borderId="0" xfId="16" applyNumberFormat="1" applyFont="1"/>
    <xf numFmtId="170" fontId="64" fillId="0" borderId="0" xfId="19" applyNumberFormat="1" applyFont="1" applyBorder="1"/>
    <xf numFmtId="9" fontId="64" fillId="0" borderId="0" xfId="17" applyFont="1" applyBorder="1"/>
    <xf numFmtId="171" fontId="64" fillId="0" borderId="0" xfId="16" applyNumberFormat="1" applyFont="1"/>
    <xf numFmtId="3" fontId="64" fillId="0" borderId="0" xfId="20" applyNumberFormat="1" applyFont="1" applyAlignment="1">
      <alignment horizontal="left"/>
    </xf>
    <xf numFmtId="0" fontId="67" fillId="0" borderId="5" xfId="16" applyFont="1" applyBorder="1"/>
    <xf numFmtId="169" fontId="67" fillId="0" borderId="5" xfId="16" applyNumberFormat="1" applyFont="1" applyBorder="1"/>
    <xf numFmtId="170" fontId="67" fillId="0" borderId="5" xfId="19" applyNumberFormat="1" applyFont="1" applyBorder="1"/>
    <xf numFmtId="9" fontId="67" fillId="0" borderId="5" xfId="17" applyFont="1" applyBorder="1"/>
    <xf numFmtId="171" fontId="67" fillId="0" borderId="5" xfId="16" applyNumberFormat="1" applyFont="1" applyBorder="1"/>
    <xf numFmtId="0" fontId="66" fillId="0" borderId="5" xfId="16" applyFont="1" applyBorder="1"/>
    <xf numFmtId="3" fontId="67" fillId="0" borderId="0" xfId="20" applyNumberFormat="1" applyFont="1" applyAlignment="1">
      <alignment horizontal="left"/>
    </xf>
    <xf numFmtId="0" fontId="67" fillId="0" borderId="0" xfId="16" applyFont="1"/>
    <xf numFmtId="170" fontId="67" fillId="0" borderId="0" xfId="19" applyNumberFormat="1" applyFont="1" applyBorder="1"/>
    <xf numFmtId="9" fontId="67" fillId="0" borderId="0" xfId="17" applyFont="1" applyBorder="1"/>
    <xf numFmtId="169" fontId="67" fillId="0" borderId="0" xfId="16" applyNumberFormat="1" applyFont="1"/>
    <xf numFmtId="171" fontId="67" fillId="0" borderId="0" xfId="16" applyNumberFormat="1" applyFont="1"/>
    <xf numFmtId="0" fontId="66" fillId="0" borderId="20" xfId="16" applyFont="1" applyBorder="1"/>
    <xf numFmtId="169" fontId="66" fillId="0" borderId="20" xfId="16" applyNumberFormat="1" applyFont="1" applyBorder="1"/>
    <xf numFmtId="170" fontId="66" fillId="0" borderId="20" xfId="19" applyNumberFormat="1" applyFont="1" applyBorder="1"/>
    <xf numFmtId="9" fontId="66" fillId="0" borderId="20" xfId="17" applyFont="1" applyBorder="1"/>
    <xf numFmtId="171" fontId="66" fillId="0" borderId="20" xfId="16" applyNumberFormat="1" applyFont="1" applyBorder="1"/>
    <xf numFmtId="0" fontId="68" fillId="3" borderId="0" xfId="0" applyFont="1" applyFill="1" applyAlignment="1">
      <alignment horizontal="left" vertical="center"/>
    </xf>
    <xf numFmtId="0" fontId="12" fillId="0" borderId="0" xfId="16" applyFont="1"/>
    <xf numFmtId="0" fontId="68" fillId="0" borderId="5" xfId="0" applyFont="1" applyBorder="1" applyAlignment="1">
      <alignment horizontal="left" vertical="center"/>
    </xf>
    <xf numFmtId="0" fontId="68" fillId="3" borderId="0" xfId="0" applyFont="1" applyFill="1" applyAlignment="1">
      <alignment horizontal="center" vertical="center" wrapText="1"/>
    </xf>
    <xf numFmtId="0" fontId="23" fillId="4" borderId="5" xfId="0" applyFont="1" applyFill="1" applyBorder="1">
      <alignment vertical="top"/>
    </xf>
    <xf numFmtId="172" fontId="23" fillId="4" borderId="5" xfId="0" applyNumberFormat="1" applyFont="1" applyFill="1" applyBorder="1" applyAlignment="1"/>
    <xf numFmtId="9" fontId="23" fillId="4" borderId="5" xfId="15" applyFont="1" applyFill="1" applyBorder="1" applyAlignment="1"/>
    <xf numFmtId="164" fontId="23" fillId="4" borderId="5" xfId="0" applyNumberFormat="1" applyFont="1" applyFill="1" applyBorder="1" applyAlignment="1"/>
    <xf numFmtId="172" fontId="7" fillId="0" borderId="5" xfId="1" applyNumberFormat="1" applyFont="1" applyBorder="1"/>
    <xf numFmtId="170" fontId="23" fillId="4" borderId="5" xfId="14" applyNumberFormat="1" applyFont="1" applyFill="1" applyBorder="1" applyAlignment="1"/>
    <xf numFmtId="164" fontId="7" fillId="0" borderId="5" xfId="1" applyFont="1" applyBorder="1"/>
    <xf numFmtId="0" fontId="67" fillId="0" borderId="4" xfId="16" applyFont="1" applyBorder="1"/>
    <xf numFmtId="0" fontId="23" fillId="4" borderId="4" xfId="0" applyFont="1" applyFill="1" applyBorder="1">
      <alignment vertical="top"/>
    </xf>
    <xf numFmtId="0" fontId="67" fillId="0" borderId="19" xfId="16" applyFont="1" applyBorder="1"/>
    <xf numFmtId="0" fontId="38" fillId="0" borderId="0" xfId="21" applyFont="1" applyAlignment="1">
      <alignment vertical="center"/>
    </xf>
    <xf numFmtId="0" fontId="37" fillId="0" borderId="0" xfId="21" applyFont="1" applyAlignment="1">
      <alignment horizontal="right" vertical="center"/>
    </xf>
    <xf numFmtId="0" fontId="33" fillId="0" borderId="21" xfId="16" applyFont="1" applyBorder="1" applyAlignment="1">
      <alignment vertical="center"/>
    </xf>
    <xf numFmtId="0" fontId="23" fillId="4" borderId="2" xfId="0" applyFont="1" applyFill="1" applyBorder="1">
      <alignment vertical="top"/>
    </xf>
    <xf numFmtId="0" fontId="67" fillId="0" borderId="34" xfId="16" applyFont="1" applyBorder="1"/>
    <xf numFmtId="0" fontId="23" fillId="4" borderId="33" xfId="0" applyFont="1" applyFill="1" applyBorder="1">
      <alignment vertical="top"/>
    </xf>
    <xf numFmtId="0" fontId="23" fillId="4" borderId="24" xfId="0" applyFont="1" applyFill="1" applyBorder="1">
      <alignment vertical="top"/>
    </xf>
    <xf numFmtId="0" fontId="23" fillId="4" borderId="5" xfId="15" applyNumberFormat="1" applyFont="1" applyFill="1" applyBorder="1" applyAlignment="1"/>
    <xf numFmtId="0" fontId="19" fillId="6" borderId="0" xfId="0" applyFont="1" applyFill="1" applyAlignment="1">
      <alignment horizontal="left" vertical="top"/>
    </xf>
    <xf numFmtId="0" fontId="3" fillId="0" borderId="0" xfId="3" applyAlignment="1">
      <alignment horizontal="center" vertical="top"/>
    </xf>
    <xf numFmtId="0" fontId="0" fillId="0" borderId="0" xfId="0" pivotButton="1">
      <alignment vertical="top"/>
    </xf>
    <xf numFmtId="0" fontId="0" fillId="0" borderId="0" xfId="0" applyAlignment="1">
      <alignment horizontal="left" vertical="top"/>
    </xf>
    <xf numFmtId="0" fontId="25" fillId="0" borderId="0" xfId="28" applyFont="1"/>
    <xf numFmtId="0" fontId="69" fillId="0" borderId="0" xfId="28" applyFont="1"/>
    <xf numFmtId="0" fontId="58" fillId="3" borderId="0" xfId="16" applyFont="1" applyFill="1" applyAlignment="1">
      <alignment horizontal="left"/>
    </xf>
    <xf numFmtId="167" fontId="67" fillId="0" borderId="3" xfId="16" applyNumberFormat="1" applyFont="1" applyBorder="1" applyAlignment="1">
      <alignment horizontal="left" vertical="center" wrapText="1"/>
    </xf>
    <xf numFmtId="167" fontId="67" fillId="0" borderId="4" xfId="16" applyNumberFormat="1" applyFont="1" applyBorder="1" applyAlignment="1">
      <alignment horizontal="left" vertical="center" wrapText="1"/>
    </xf>
    <xf numFmtId="0" fontId="65" fillId="0" borderId="2" xfId="16" applyFont="1" applyBorder="1" applyAlignment="1">
      <alignment vertical="center" wrapText="1"/>
    </xf>
    <xf numFmtId="168" fontId="64" fillId="0" borderId="8" xfId="18" applyNumberFormat="1" applyFont="1" applyBorder="1" applyAlignment="1">
      <alignment horizontal="center" vertical="center"/>
    </xf>
    <xf numFmtId="168" fontId="64" fillId="0" borderId="11" xfId="18" applyNumberFormat="1" applyFont="1" applyBorder="1" applyAlignment="1">
      <alignment horizontal="center" vertical="center"/>
    </xf>
    <xf numFmtId="168" fontId="64" fillId="0" borderId="16" xfId="18" applyNumberFormat="1" applyFont="1" applyBorder="1" applyAlignment="1">
      <alignment horizontal="center" vertical="center"/>
    </xf>
    <xf numFmtId="0" fontId="4" fillId="0" borderId="0" xfId="4" applyAlignment="1">
      <alignment horizontal="center" vertical="top"/>
    </xf>
    <xf numFmtId="0" fontId="63" fillId="0" borderId="0" xfId="16" applyFont="1" applyAlignment="1">
      <alignment horizontal="center"/>
    </xf>
    <xf numFmtId="0" fontId="26" fillId="0" borderId="0" xfId="16" applyFont="1" applyAlignment="1">
      <alignment horizontal="center"/>
    </xf>
    <xf numFmtId="0" fontId="44" fillId="0" borderId="0" xfId="23" applyFont="1" applyAlignment="1">
      <alignment wrapText="1"/>
    </xf>
    <xf numFmtId="0" fontId="49" fillId="0" borderId="0" xfId="24" applyFont="1" applyAlignment="1">
      <alignment vertical="top" wrapText="1"/>
    </xf>
    <xf numFmtId="0" fontId="46" fillId="3" borderId="0" xfId="24" applyFont="1" applyFill="1" applyAlignment="1">
      <alignment vertical="center"/>
    </xf>
    <xf numFmtId="0" fontId="24" fillId="3" borderId="0" xfId="24" applyFont="1" applyFill="1" applyAlignment="1">
      <alignment vertical="center"/>
    </xf>
    <xf numFmtId="0" fontId="49" fillId="0" borderId="0" xfId="27" applyFont="1" applyAlignment="1">
      <alignment horizontal="left" wrapText="1"/>
    </xf>
  </cellXfs>
  <cellStyles count="33">
    <cellStyle name="Bad" xfId="6" builtinId="27" customBuiltin="1"/>
    <cellStyle name="Callout_Cobalt" xfId="9" xr:uid="{63FA0835-59B4-4288-A96F-0F2ECA30A071}"/>
    <cellStyle name="Comma" xfId="14" builtinId="3"/>
    <cellStyle name="Comma 2" xfId="19" xr:uid="{2522F90F-9B18-4D95-B6FF-A84076A466B2}"/>
    <cellStyle name="Currency" xfId="1" builtinId="4"/>
    <cellStyle name="Currency 2" xfId="22" xr:uid="{4B3DE11D-C8F3-44B2-B164-ADF3B0E39541}"/>
    <cellStyle name="Heading 1" xfId="3" builtinId="16" customBuiltin="1"/>
    <cellStyle name="Heading 2" xfId="4" builtinId="17" customBuiltin="1"/>
    <cellStyle name="Heading 3" xfId="5" builtinId="18" customBuiltin="1"/>
    <cellStyle name="Heading 4" xfId="2" builtinId="19" customBuiltin="1"/>
    <cellStyle name="Heading 5" xfId="8" xr:uid="{9F16D968-DC4F-4DDC-B44C-5A71DA3BE9E3}"/>
    <cellStyle name="Hyperlink" xfId="11" builtinId="8"/>
    <cellStyle name="Hyperlink 2" xfId="31" xr:uid="{92256790-2870-4EA9-A9BD-E47DD20A784C}"/>
    <cellStyle name="Hyperlink 3" xfId="26" xr:uid="{D8F50D40-A598-4EAC-9E25-4B05748A5519}"/>
    <cellStyle name="Hyperlink 4" xfId="25" xr:uid="{36D606B2-9387-4DE9-A7F6-6490ED26CEEF}"/>
    <cellStyle name="Normal" xfId="0" builtinId="0" customBuiltin="1"/>
    <cellStyle name="Normal 10" xfId="28" xr:uid="{C0D3183B-A154-48F9-A1FD-8261CBC744F3}"/>
    <cellStyle name="Normal 11" xfId="12" xr:uid="{75151DDD-9B62-4DE6-86B4-3D7294AFB6BD}"/>
    <cellStyle name="Normal 11 2" xfId="30" xr:uid="{8C82FA13-F04A-4C39-BE58-224FBB5203CE}"/>
    <cellStyle name="Normal 2" xfId="16" xr:uid="{E2AEC06B-E9DC-46D2-8B44-608ACF22DD50}"/>
    <cellStyle name="Normal 2 2" xfId="10" xr:uid="{01197613-97DA-4E1B-A5F7-67A830988B38}"/>
    <cellStyle name="Normal 3" xfId="13" xr:uid="{023054EA-9E62-44CA-BEB8-97D4A18A0FE8}"/>
    <cellStyle name="Normal 3 2 2" xfId="29" xr:uid="{F50A3C68-FAA6-48DE-81AA-B7E95F3262B5}"/>
    <cellStyle name="Normal 4" xfId="23" xr:uid="{F70C5F40-6853-4A02-9FE8-48385A2988AE}"/>
    <cellStyle name="Normal 5" xfId="27" xr:uid="{3F9B43A0-B875-4C38-BD49-7EEB11335731}"/>
    <cellStyle name="Normal 5 2" xfId="32" xr:uid="{38581D46-6130-4863-820B-5C298D2B0B99}"/>
    <cellStyle name="Normal 6" xfId="24" xr:uid="{F5E4F0A6-FC1B-4DCD-8EBC-8B9D192B2E74}"/>
    <cellStyle name="Normal_Medical Ben  Mar 2001" xfId="18" xr:uid="{54F89488-ABD0-4BEA-B12E-776037E8D214}"/>
    <cellStyle name="Normal_Proforma.xls" xfId="21" xr:uid="{DEC32CB6-909C-431A-9880-5706C6FB397F}"/>
    <cellStyle name="Normal_SampleReport.xls" xfId="20" xr:uid="{5A1252A9-CE6B-4177-B405-E1C9C2694678}"/>
    <cellStyle name="Percent" xfId="15" builtinId="5"/>
    <cellStyle name="Percent 2" xfId="17" xr:uid="{E7F86838-F2D1-47AA-A9BD-CB614AF55DB6}"/>
    <cellStyle name="Total" xfId="7" builtinId="25" customBuiltin="1"/>
  </cellStyles>
  <dxfs count="11">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s>
  <tableStyles count="0" defaultTableStyle="TableStyleMedium2" defaultPivotStyle="PivotStyleLight16"/>
  <colors>
    <mruColors>
      <color rgb="FFAFB4D9"/>
      <color rgb="FFF4F9FC"/>
      <color rgb="FFB5D5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630237</xdr:colOff>
      <xdr:row>15</xdr:row>
      <xdr:rowOff>145060</xdr:rowOff>
    </xdr:to>
    <xdr:pic>
      <xdr:nvPicPr>
        <xdr:cNvPr id="4" name="Graphic 3">
          <a:extLst>
            <a:ext uri="{FF2B5EF4-FFF2-40B4-BE49-F238E27FC236}">
              <a16:creationId xmlns:a16="http://schemas.microsoft.com/office/drawing/2014/main" id="{2A3FA0BF-C18B-E181-E7D3-890637A522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57950" cy="2807298"/>
        </a:xfrm>
        <a:prstGeom prst="rect">
          <a:avLst/>
        </a:prstGeom>
      </xdr:spPr>
    </xdr:pic>
    <xdr:clientData/>
  </xdr:twoCellAnchor>
  <xdr:twoCellAnchor editAs="oneCell">
    <xdr:from>
      <xdr:col>1</xdr:col>
      <xdr:colOff>0</xdr:colOff>
      <xdr:row>2</xdr:row>
      <xdr:rowOff>1</xdr:rowOff>
    </xdr:from>
    <xdr:to>
      <xdr:col>1</xdr:col>
      <xdr:colOff>2247900</xdr:colOff>
      <xdr:row>5</xdr:row>
      <xdr:rowOff>37053</xdr:rowOff>
    </xdr:to>
    <xdr:pic>
      <xdr:nvPicPr>
        <xdr:cNvPr id="2" name="Graphic 13">
          <a:extLst>
            <a:ext uri="{FF2B5EF4-FFF2-40B4-BE49-F238E27FC236}">
              <a16:creationId xmlns:a16="http://schemas.microsoft.com/office/drawing/2014/main" id="{C1157D34-1445-0354-6035-3911EF39D78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60400" y="355601"/>
          <a:ext cx="2247900" cy="5704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3886200</xdr:colOff>
      <xdr:row>1</xdr:row>
      <xdr:rowOff>9525</xdr:rowOff>
    </xdr:from>
    <xdr:to>
      <xdr:col>0</xdr:col>
      <xdr:colOff>4686300</xdr:colOff>
      <xdr:row>4</xdr:row>
      <xdr:rowOff>104775</xdr:rowOff>
    </xdr:to>
    <xdr:pic>
      <xdr:nvPicPr>
        <xdr:cNvPr id="2" name="Picture 8" descr="B_CONV03A_300DPI_50MM blue">
          <a:extLst>
            <a:ext uri="{FF2B5EF4-FFF2-40B4-BE49-F238E27FC236}">
              <a16:creationId xmlns:a16="http://schemas.microsoft.com/office/drawing/2014/main" id="{85670EF1-9C7A-41E6-B25A-85F9B3B464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190500"/>
          <a:ext cx="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3886200</xdr:colOff>
      <xdr:row>1</xdr:row>
      <xdr:rowOff>9525</xdr:rowOff>
    </xdr:from>
    <xdr:to>
      <xdr:col>0</xdr:col>
      <xdr:colOff>4686300</xdr:colOff>
      <xdr:row>4</xdr:row>
      <xdr:rowOff>104775</xdr:rowOff>
    </xdr:to>
    <xdr:pic>
      <xdr:nvPicPr>
        <xdr:cNvPr id="3" name="Picture 8" descr="B_CONV03A_300DPI_50MM blue">
          <a:extLst>
            <a:ext uri="{FF2B5EF4-FFF2-40B4-BE49-F238E27FC236}">
              <a16:creationId xmlns:a16="http://schemas.microsoft.com/office/drawing/2014/main" id="{1C668C9F-9B20-4B9F-81AC-7AC39FB52A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190500"/>
          <a:ext cx="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0</xdr:rowOff>
    </xdr:from>
    <xdr:to>
      <xdr:col>14</xdr:col>
      <xdr:colOff>952500</xdr:colOff>
      <xdr:row>4</xdr:row>
      <xdr:rowOff>8477</xdr:rowOff>
    </xdr:to>
    <xdr:pic>
      <xdr:nvPicPr>
        <xdr:cNvPr id="5" name="Graphic 13">
          <a:extLst>
            <a:ext uri="{FF2B5EF4-FFF2-40B4-BE49-F238E27FC236}">
              <a16:creationId xmlns:a16="http://schemas.microsoft.com/office/drawing/2014/main" id="{966EDF09-27D6-47DB-B4EC-E52D0843AF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620000" y="180975"/>
          <a:ext cx="2247900" cy="55140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audhary, Kritika" refreshedDate="45705.558608217594" createdVersion="8" refreshedVersion="8" minRefreshableVersion="3" recordCount="13076" xr:uid="{3AE6D1D2-7C2E-4B0D-BBFD-2FA4E1AC6530}">
  <cacheSource type="worksheet">
    <worksheetSource name="Data"/>
  </cacheSource>
  <cacheFields count="10">
    <cacheField name="Year" numFmtId="0">
      <sharedItems containsSemiMixedTypes="0" containsString="0" containsNumber="1" containsInteger="1" minValue="1995" maxValue="2024" count="30">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onthEnd" numFmtId="0">
      <sharedItems count="4">
        <s v="Dec"/>
        <s v="Sep"/>
        <s v="Jun"/>
        <s v="Mar"/>
      </sharedItems>
    </cacheField>
    <cacheField name="State" numFmtId="0">
      <sharedItems/>
    </cacheField>
    <cacheField name="GapType" numFmtId="0">
      <sharedItems/>
    </cacheField>
    <cacheField name="MBSFeePercentage" numFmtId="0">
      <sharedItems/>
    </cacheField>
    <cacheField name="AmountCharged" numFmtId="0">
      <sharedItems containsSemiMixedTypes="0" containsString="0" containsNumber="1" minValue="-116592.59" maxValue="140208483.75999999"/>
    </cacheField>
    <cacheField name="MedicareBenefit" numFmtId="0">
      <sharedItems containsSemiMixedTypes="0" containsString="0" containsNumber="1" minValue="-76615.929999999993" maxValue="77074425.040000007"/>
    </cacheField>
    <cacheField name="FundBenefit" numFmtId="0">
      <sharedItems containsSemiMixedTypes="0" containsString="0" containsNumber="1" minValue="-307" maxValue="69414693.909999996"/>
    </cacheField>
    <cacheField name="NumberofServices" numFmtId="0">
      <sharedItems containsSemiMixedTypes="0" containsString="0" containsNumber="1" containsInteger="1" minValue="-6606" maxValue="1047906"/>
    </cacheField>
    <cacheField name="Gap" numFmtId="0" formula="AmountCharged-MedicareBenefit-FundBenefi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076">
  <r>
    <x v="0"/>
    <x v="0"/>
    <s v="ACT"/>
    <s v="Known gap agreement"/>
    <s v="100% MBS Fee to 125% MBS Fee"/>
    <n v="0"/>
    <n v="0"/>
    <n v="0"/>
    <n v="0"/>
  </r>
  <r>
    <x v="0"/>
    <x v="0"/>
    <s v="ACT"/>
    <s v="Known gap agreement"/>
    <s v="More than 125% MBS Fee to 150% MBS Fee"/>
    <n v="0"/>
    <n v="0"/>
    <n v="0"/>
    <n v="0"/>
  </r>
  <r>
    <x v="0"/>
    <x v="0"/>
    <s v="ACT"/>
    <s v="Known gap agreement"/>
    <s v="More than 150% MBS Fee to 200% MBS Fee"/>
    <n v="0"/>
    <n v="0"/>
    <n v="0"/>
    <n v="0"/>
  </r>
  <r>
    <x v="0"/>
    <x v="0"/>
    <s v="ACT"/>
    <s v="Known gap agreement"/>
    <s v="More than 200% MBS Fee"/>
    <n v="0"/>
    <n v="0"/>
    <n v="0"/>
    <n v="0"/>
  </r>
  <r>
    <x v="0"/>
    <x v="0"/>
    <s v="ACT"/>
    <s v="No agreement"/>
    <s v="100% MBS Fee to 125% MBS Fee"/>
    <n v="0"/>
    <n v="0"/>
    <n v="0"/>
    <n v="0"/>
  </r>
  <r>
    <x v="0"/>
    <x v="0"/>
    <s v="ACT"/>
    <s v="No agreement"/>
    <s v="More than 125% MBS Fee to 150% MBS Fee"/>
    <n v="0"/>
    <n v="0"/>
    <n v="0"/>
    <n v="0"/>
  </r>
  <r>
    <x v="0"/>
    <x v="0"/>
    <s v="ACT"/>
    <s v="No agreement"/>
    <s v="More than 150% MBS Fee to 200% MBS Fee"/>
    <n v="0"/>
    <n v="0"/>
    <n v="0"/>
    <n v="0"/>
  </r>
  <r>
    <x v="0"/>
    <x v="0"/>
    <s v="ACT"/>
    <s v="No agreement"/>
    <s v="More than 200% MBS Fee"/>
    <n v="0"/>
    <n v="0"/>
    <n v="0"/>
    <n v="0"/>
  </r>
  <r>
    <x v="0"/>
    <x v="0"/>
    <s v="ACT"/>
    <s v="No agreement"/>
    <s v="Up to MBS Fee"/>
    <n v="0"/>
    <n v="0"/>
    <n v="0"/>
    <n v="0"/>
  </r>
  <r>
    <x v="0"/>
    <x v="0"/>
    <s v="ACT"/>
    <s v="No gap agreement"/>
    <s v="100% MBS Fee to 125% MBS Fee"/>
    <n v="0"/>
    <n v="0"/>
    <n v="0"/>
    <n v="0"/>
  </r>
  <r>
    <x v="0"/>
    <x v="0"/>
    <s v="ACT"/>
    <s v="No gap agreement"/>
    <s v="More than 125% MBS Fee to 150% MBS Fee"/>
    <n v="0"/>
    <n v="0"/>
    <n v="0"/>
    <n v="0"/>
  </r>
  <r>
    <x v="0"/>
    <x v="0"/>
    <s v="ACT"/>
    <s v="No gap agreement"/>
    <s v="More than 150% MBS Fee to 200% MBS Fee"/>
    <n v="0"/>
    <n v="0"/>
    <n v="0"/>
    <n v="0"/>
  </r>
  <r>
    <x v="0"/>
    <x v="0"/>
    <s v="ACT"/>
    <s v="No gap agreement"/>
    <s v="More than 200% MBS Fee"/>
    <n v="0"/>
    <n v="0"/>
    <n v="0"/>
    <n v="0"/>
  </r>
  <r>
    <x v="0"/>
    <x v="0"/>
    <s v="ACT"/>
    <s v="No gap agreement"/>
    <s v="Up to MBS Fee"/>
    <n v="0"/>
    <n v="0"/>
    <n v="0"/>
    <n v="0"/>
  </r>
  <r>
    <x v="0"/>
    <x v="0"/>
    <s v="NSW"/>
    <s v="Known gap agreement"/>
    <s v="100% MBS Fee to 125% MBS Fee"/>
    <n v="0"/>
    <n v="0"/>
    <n v="0"/>
    <n v="0"/>
  </r>
  <r>
    <x v="0"/>
    <x v="0"/>
    <s v="NSW"/>
    <s v="Known gap agreement"/>
    <s v="More than 125% MBS Fee to 150% MBS Fee"/>
    <n v="0"/>
    <n v="0"/>
    <n v="0"/>
    <n v="0"/>
  </r>
  <r>
    <x v="0"/>
    <x v="0"/>
    <s v="NSW"/>
    <s v="Known gap agreement"/>
    <s v="More than 150% MBS Fee to 200% MBS Fee"/>
    <n v="0"/>
    <n v="0"/>
    <n v="0"/>
    <n v="0"/>
  </r>
  <r>
    <x v="0"/>
    <x v="0"/>
    <s v="NSW"/>
    <s v="Known gap agreement"/>
    <s v="More than 200% MBS Fee"/>
    <n v="0"/>
    <n v="0"/>
    <n v="0"/>
    <n v="0"/>
  </r>
  <r>
    <x v="0"/>
    <x v="0"/>
    <s v="NSW"/>
    <s v="No agreement"/>
    <s v="100% MBS Fee to 125% MBS Fee"/>
    <n v="0"/>
    <n v="0"/>
    <n v="0"/>
    <n v="0"/>
  </r>
  <r>
    <x v="0"/>
    <x v="0"/>
    <s v="NSW"/>
    <s v="No agreement"/>
    <s v="More than 125% MBS Fee to 150% MBS Fee"/>
    <n v="0"/>
    <n v="0"/>
    <n v="0"/>
    <n v="0"/>
  </r>
  <r>
    <x v="0"/>
    <x v="0"/>
    <s v="NSW"/>
    <s v="No agreement"/>
    <s v="More than 150% MBS Fee to 200% MBS Fee"/>
    <n v="0"/>
    <n v="0"/>
    <n v="0"/>
    <n v="0"/>
  </r>
  <r>
    <x v="0"/>
    <x v="0"/>
    <s v="NSW"/>
    <s v="No agreement"/>
    <s v="More than 200% MBS Fee"/>
    <n v="0"/>
    <n v="0"/>
    <n v="0"/>
    <n v="0"/>
  </r>
  <r>
    <x v="0"/>
    <x v="0"/>
    <s v="NSW"/>
    <s v="No agreement"/>
    <s v="Up to MBS Fee"/>
    <n v="0"/>
    <n v="0"/>
    <n v="0"/>
    <n v="0"/>
  </r>
  <r>
    <x v="0"/>
    <x v="0"/>
    <s v="NSW"/>
    <s v="No gap agreement"/>
    <s v="100% MBS Fee to 125% MBS Fee"/>
    <n v="0"/>
    <n v="0"/>
    <n v="0"/>
    <n v="0"/>
  </r>
  <r>
    <x v="0"/>
    <x v="0"/>
    <s v="NSW"/>
    <s v="No gap agreement"/>
    <s v="More than 125% MBS Fee to 150% MBS Fee"/>
    <n v="0"/>
    <n v="0"/>
    <n v="0"/>
    <n v="0"/>
  </r>
  <r>
    <x v="0"/>
    <x v="0"/>
    <s v="NSW"/>
    <s v="No gap agreement"/>
    <s v="More than 150% MBS Fee to 200% MBS Fee"/>
    <n v="0"/>
    <n v="0"/>
    <n v="0"/>
    <n v="0"/>
  </r>
  <r>
    <x v="0"/>
    <x v="0"/>
    <s v="NSW"/>
    <s v="No gap agreement"/>
    <s v="More than 200% MBS Fee"/>
    <n v="0"/>
    <n v="0"/>
    <n v="0"/>
    <n v="0"/>
  </r>
  <r>
    <x v="0"/>
    <x v="0"/>
    <s v="NSW"/>
    <s v="No gap agreement"/>
    <s v="Up to MBS Fee"/>
    <n v="0"/>
    <n v="0"/>
    <n v="0"/>
    <n v="0"/>
  </r>
  <r>
    <x v="0"/>
    <x v="0"/>
    <s v="NT"/>
    <s v="Known gap agreement"/>
    <s v="100% MBS Fee to 125% MBS Fee"/>
    <n v="0"/>
    <n v="0"/>
    <n v="0"/>
    <n v="0"/>
  </r>
  <r>
    <x v="0"/>
    <x v="0"/>
    <s v="NT"/>
    <s v="Known gap agreement"/>
    <s v="More than 125% MBS Fee to 150% MBS Fee"/>
    <n v="0"/>
    <n v="0"/>
    <n v="0"/>
    <n v="0"/>
  </r>
  <r>
    <x v="0"/>
    <x v="0"/>
    <s v="NT"/>
    <s v="Known gap agreement"/>
    <s v="More than 150% MBS Fee to 200% MBS Fee"/>
    <n v="0"/>
    <n v="0"/>
    <n v="0"/>
    <n v="0"/>
  </r>
  <r>
    <x v="0"/>
    <x v="0"/>
    <s v="NT"/>
    <s v="Known gap agreement"/>
    <s v="More than 200% MBS Fee"/>
    <n v="0"/>
    <n v="0"/>
    <n v="0"/>
    <n v="0"/>
  </r>
  <r>
    <x v="0"/>
    <x v="0"/>
    <s v="NT"/>
    <s v="No agreement"/>
    <s v="100% MBS Fee to 125% MBS Fee"/>
    <n v="0"/>
    <n v="0"/>
    <n v="0"/>
    <n v="0"/>
  </r>
  <r>
    <x v="0"/>
    <x v="0"/>
    <s v="NT"/>
    <s v="No agreement"/>
    <s v="More than 125% MBS Fee to 150% MBS Fee"/>
    <n v="0"/>
    <n v="0"/>
    <n v="0"/>
    <n v="0"/>
  </r>
  <r>
    <x v="0"/>
    <x v="0"/>
    <s v="NT"/>
    <s v="No agreement"/>
    <s v="More than 150% MBS Fee to 200% MBS Fee"/>
    <n v="0"/>
    <n v="0"/>
    <n v="0"/>
    <n v="0"/>
  </r>
  <r>
    <x v="0"/>
    <x v="0"/>
    <s v="NT"/>
    <s v="No agreement"/>
    <s v="More than 200% MBS Fee"/>
    <n v="0"/>
    <n v="0"/>
    <n v="0"/>
    <n v="0"/>
  </r>
  <r>
    <x v="0"/>
    <x v="0"/>
    <s v="NT"/>
    <s v="No agreement"/>
    <s v="Up to MBS Fee"/>
    <n v="0"/>
    <n v="0"/>
    <n v="0"/>
    <n v="0"/>
  </r>
  <r>
    <x v="0"/>
    <x v="0"/>
    <s v="NT"/>
    <s v="No gap agreement"/>
    <s v="100% MBS Fee to 125% MBS Fee"/>
    <n v="0"/>
    <n v="0"/>
    <n v="0"/>
    <n v="0"/>
  </r>
  <r>
    <x v="0"/>
    <x v="0"/>
    <s v="NT"/>
    <s v="No gap agreement"/>
    <s v="More than 125% MBS Fee to 150% MBS Fee"/>
    <n v="0"/>
    <n v="0"/>
    <n v="0"/>
    <n v="0"/>
  </r>
  <r>
    <x v="0"/>
    <x v="0"/>
    <s v="NT"/>
    <s v="No gap agreement"/>
    <s v="More than 150% MBS Fee to 200% MBS Fee"/>
    <n v="0"/>
    <n v="0"/>
    <n v="0"/>
    <n v="0"/>
  </r>
  <r>
    <x v="0"/>
    <x v="0"/>
    <s v="NT"/>
    <s v="No gap agreement"/>
    <s v="More than 200% MBS Fee"/>
    <n v="0"/>
    <n v="0"/>
    <n v="0"/>
    <n v="0"/>
  </r>
  <r>
    <x v="0"/>
    <x v="0"/>
    <s v="NT"/>
    <s v="No gap agreement"/>
    <s v="Up to MBS Fee"/>
    <n v="0"/>
    <n v="0"/>
    <n v="0"/>
    <n v="0"/>
  </r>
  <r>
    <x v="0"/>
    <x v="0"/>
    <s v="QLD"/>
    <s v="Known gap agreement"/>
    <s v="100% MBS Fee to 125% MBS Fee"/>
    <n v="0"/>
    <n v="0"/>
    <n v="0"/>
    <n v="0"/>
  </r>
  <r>
    <x v="0"/>
    <x v="0"/>
    <s v="QLD"/>
    <s v="Known gap agreement"/>
    <s v="More than 125% MBS Fee to 150% MBS Fee"/>
    <n v="0"/>
    <n v="0"/>
    <n v="0"/>
    <n v="0"/>
  </r>
  <r>
    <x v="0"/>
    <x v="0"/>
    <s v="QLD"/>
    <s v="Known gap agreement"/>
    <s v="More than 150% MBS Fee to 200% MBS Fee"/>
    <n v="0"/>
    <n v="0"/>
    <n v="0"/>
    <n v="0"/>
  </r>
  <r>
    <x v="0"/>
    <x v="0"/>
    <s v="QLD"/>
    <s v="Known gap agreement"/>
    <s v="More than 200% MBS Fee"/>
    <n v="0"/>
    <n v="0"/>
    <n v="0"/>
    <n v="0"/>
  </r>
  <r>
    <x v="0"/>
    <x v="0"/>
    <s v="QLD"/>
    <s v="No agreement"/>
    <s v="100% MBS Fee to 125% MBS Fee"/>
    <n v="0"/>
    <n v="0"/>
    <n v="0"/>
    <n v="0"/>
  </r>
  <r>
    <x v="0"/>
    <x v="0"/>
    <s v="QLD"/>
    <s v="No agreement"/>
    <s v="More than 125% MBS Fee to 150% MBS Fee"/>
    <n v="0"/>
    <n v="0"/>
    <n v="0"/>
    <n v="0"/>
  </r>
  <r>
    <x v="0"/>
    <x v="0"/>
    <s v="QLD"/>
    <s v="No agreement"/>
    <s v="More than 150% MBS Fee to 200% MBS Fee"/>
    <n v="0"/>
    <n v="0"/>
    <n v="0"/>
    <n v="0"/>
  </r>
  <r>
    <x v="0"/>
    <x v="0"/>
    <s v="QLD"/>
    <s v="No agreement"/>
    <s v="More than 200% MBS Fee"/>
    <n v="0"/>
    <n v="0"/>
    <n v="0"/>
    <n v="0"/>
  </r>
  <r>
    <x v="0"/>
    <x v="0"/>
    <s v="QLD"/>
    <s v="No agreement"/>
    <s v="Up to MBS Fee"/>
    <n v="0"/>
    <n v="0"/>
    <n v="0"/>
    <n v="0"/>
  </r>
  <r>
    <x v="0"/>
    <x v="0"/>
    <s v="QLD"/>
    <s v="No gap agreement"/>
    <s v="100% MBS Fee to 125% MBS Fee"/>
    <n v="0"/>
    <n v="0"/>
    <n v="0"/>
    <n v="0"/>
  </r>
  <r>
    <x v="0"/>
    <x v="0"/>
    <s v="QLD"/>
    <s v="No gap agreement"/>
    <s v="More than 125% MBS Fee to 150% MBS Fee"/>
    <n v="0"/>
    <n v="0"/>
    <n v="0"/>
    <n v="0"/>
  </r>
  <r>
    <x v="0"/>
    <x v="0"/>
    <s v="QLD"/>
    <s v="No gap agreement"/>
    <s v="More than 150% MBS Fee to 200% MBS Fee"/>
    <n v="0"/>
    <n v="0"/>
    <n v="0"/>
    <n v="0"/>
  </r>
  <r>
    <x v="0"/>
    <x v="0"/>
    <s v="QLD"/>
    <s v="No gap agreement"/>
    <s v="More than 200% MBS Fee"/>
    <n v="0"/>
    <n v="0"/>
    <n v="0"/>
    <n v="0"/>
  </r>
  <r>
    <x v="0"/>
    <x v="0"/>
    <s v="QLD"/>
    <s v="No gap agreement"/>
    <s v="Up to MBS Fee"/>
    <n v="0"/>
    <n v="0"/>
    <n v="0"/>
    <n v="0"/>
  </r>
  <r>
    <x v="0"/>
    <x v="0"/>
    <s v="SA"/>
    <s v="Known gap agreement"/>
    <s v="100% MBS Fee to 125% MBS Fee"/>
    <n v="0"/>
    <n v="0"/>
    <n v="0"/>
    <n v="0"/>
  </r>
  <r>
    <x v="0"/>
    <x v="0"/>
    <s v="SA"/>
    <s v="Known gap agreement"/>
    <s v="More than 125% MBS Fee to 150% MBS Fee"/>
    <n v="0"/>
    <n v="0"/>
    <n v="0"/>
    <n v="0"/>
  </r>
  <r>
    <x v="0"/>
    <x v="0"/>
    <s v="SA"/>
    <s v="Known gap agreement"/>
    <s v="More than 150% MBS Fee to 200% MBS Fee"/>
    <n v="0"/>
    <n v="0"/>
    <n v="0"/>
    <n v="0"/>
  </r>
  <r>
    <x v="0"/>
    <x v="0"/>
    <s v="SA"/>
    <s v="Known gap agreement"/>
    <s v="More than 200% MBS Fee"/>
    <n v="0"/>
    <n v="0"/>
    <n v="0"/>
    <n v="0"/>
  </r>
  <r>
    <x v="0"/>
    <x v="0"/>
    <s v="SA"/>
    <s v="No agreement"/>
    <s v="100% MBS Fee to 125% MBS Fee"/>
    <n v="0"/>
    <n v="0"/>
    <n v="0"/>
    <n v="0"/>
  </r>
  <r>
    <x v="0"/>
    <x v="0"/>
    <s v="SA"/>
    <s v="No agreement"/>
    <s v="More than 125% MBS Fee to 150% MBS Fee"/>
    <n v="0"/>
    <n v="0"/>
    <n v="0"/>
    <n v="0"/>
  </r>
  <r>
    <x v="0"/>
    <x v="0"/>
    <s v="SA"/>
    <s v="No agreement"/>
    <s v="More than 150% MBS Fee to 200% MBS Fee"/>
    <n v="0"/>
    <n v="0"/>
    <n v="0"/>
    <n v="0"/>
  </r>
  <r>
    <x v="0"/>
    <x v="0"/>
    <s v="SA"/>
    <s v="No agreement"/>
    <s v="More than 200% MBS Fee"/>
    <n v="0"/>
    <n v="0"/>
    <n v="0"/>
    <n v="0"/>
  </r>
  <r>
    <x v="0"/>
    <x v="0"/>
    <s v="SA"/>
    <s v="No agreement"/>
    <s v="Up to MBS Fee"/>
    <n v="0"/>
    <n v="0"/>
    <n v="0"/>
    <n v="0"/>
  </r>
  <r>
    <x v="0"/>
    <x v="0"/>
    <s v="SA"/>
    <s v="No gap agreement"/>
    <s v="100% MBS Fee to 125% MBS Fee"/>
    <n v="0"/>
    <n v="0"/>
    <n v="0"/>
    <n v="0"/>
  </r>
  <r>
    <x v="0"/>
    <x v="0"/>
    <s v="SA"/>
    <s v="No gap agreement"/>
    <s v="More than 125% MBS Fee to 150% MBS Fee"/>
    <n v="0"/>
    <n v="0"/>
    <n v="0"/>
    <n v="0"/>
  </r>
  <r>
    <x v="0"/>
    <x v="0"/>
    <s v="SA"/>
    <s v="No gap agreement"/>
    <s v="More than 150% MBS Fee to 200% MBS Fee"/>
    <n v="0"/>
    <n v="0"/>
    <n v="0"/>
    <n v="0"/>
  </r>
  <r>
    <x v="0"/>
    <x v="0"/>
    <s v="SA"/>
    <s v="No gap agreement"/>
    <s v="More than 200% MBS Fee"/>
    <n v="0"/>
    <n v="0"/>
    <n v="0"/>
    <n v="0"/>
  </r>
  <r>
    <x v="0"/>
    <x v="0"/>
    <s v="SA"/>
    <s v="No gap agreement"/>
    <s v="Up to MBS Fee"/>
    <n v="0"/>
    <n v="0"/>
    <n v="0"/>
    <n v="0"/>
  </r>
  <r>
    <x v="0"/>
    <x v="0"/>
    <s v="TAS"/>
    <s v="Known gap agreement"/>
    <s v="100% MBS Fee to 125% MBS Fee"/>
    <n v="0"/>
    <n v="0"/>
    <n v="0"/>
    <n v="0"/>
  </r>
  <r>
    <x v="0"/>
    <x v="0"/>
    <s v="TAS"/>
    <s v="Known gap agreement"/>
    <s v="More than 125% MBS Fee to 150% MBS Fee"/>
    <n v="0"/>
    <n v="0"/>
    <n v="0"/>
    <n v="0"/>
  </r>
  <r>
    <x v="0"/>
    <x v="0"/>
    <s v="TAS"/>
    <s v="Known gap agreement"/>
    <s v="More than 150% MBS Fee to 200% MBS Fee"/>
    <n v="0"/>
    <n v="0"/>
    <n v="0"/>
    <n v="0"/>
  </r>
  <r>
    <x v="0"/>
    <x v="0"/>
    <s v="TAS"/>
    <s v="Known gap agreement"/>
    <s v="More than 200% MBS Fee"/>
    <n v="0"/>
    <n v="0"/>
    <n v="0"/>
    <n v="0"/>
  </r>
  <r>
    <x v="0"/>
    <x v="0"/>
    <s v="TAS"/>
    <s v="No agreement"/>
    <s v="100% MBS Fee to 125% MBS Fee"/>
    <n v="0"/>
    <n v="0"/>
    <n v="0"/>
    <n v="0"/>
  </r>
  <r>
    <x v="0"/>
    <x v="0"/>
    <s v="TAS"/>
    <s v="No agreement"/>
    <s v="More than 125% MBS Fee to 150% MBS Fee"/>
    <n v="0"/>
    <n v="0"/>
    <n v="0"/>
    <n v="0"/>
  </r>
  <r>
    <x v="0"/>
    <x v="0"/>
    <s v="TAS"/>
    <s v="No agreement"/>
    <s v="More than 150% MBS Fee to 200% MBS Fee"/>
    <n v="0"/>
    <n v="0"/>
    <n v="0"/>
    <n v="0"/>
  </r>
  <r>
    <x v="0"/>
    <x v="0"/>
    <s v="TAS"/>
    <s v="No agreement"/>
    <s v="More than 200% MBS Fee"/>
    <n v="0"/>
    <n v="0"/>
    <n v="0"/>
    <n v="0"/>
  </r>
  <r>
    <x v="0"/>
    <x v="0"/>
    <s v="TAS"/>
    <s v="No agreement"/>
    <s v="Up to MBS Fee"/>
    <n v="0"/>
    <n v="0"/>
    <n v="0"/>
    <n v="0"/>
  </r>
  <r>
    <x v="0"/>
    <x v="0"/>
    <s v="TAS"/>
    <s v="No gap agreement"/>
    <s v="100% MBS Fee to 125% MBS Fee"/>
    <n v="0"/>
    <n v="0"/>
    <n v="0"/>
    <n v="0"/>
  </r>
  <r>
    <x v="0"/>
    <x v="0"/>
    <s v="TAS"/>
    <s v="No gap agreement"/>
    <s v="More than 125% MBS Fee to 150% MBS Fee"/>
    <n v="0"/>
    <n v="0"/>
    <n v="0"/>
    <n v="0"/>
  </r>
  <r>
    <x v="0"/>
    <x v="0"/>
    <s v="TAS"/>
    <s v="No gap agreement"/>
    <s v="More than 150% MBS Fee to 200% MBS Fee"/>
    <n v="0"/>
    <n v="0"/>
    <n v="0"/>
    <n v="0"/>
  </r>
  <r>
    <x v="0"/>
    <x v="0"/>
    <s v="TAS"/>
    <s v="No gap agreement"/>
    <s v="More than 200% MBS Fee"/>
    <n v="0"/>
    <n v="0"/>
    <n v="0"/>
    <n v="0"/>
  </r>
  <r>
    <x v="0"/>
    <x v="0"/>
    <s v="TAS"/>
    <s v="No gap agreement"/>
    <s v="Up to MBS Fee"/>
    <n v="0"/>
    <n v="0"/>
    <n v="0"/>
    <n v="0"/>
  </r>
  <r>
    <x v="0"/>
    <x v="0"/>
    <s v="VIC"/>
    <s v="Known gap agreement"/>
    <s v="100% MBS Fee to 125% MBS Fee"/>
    <n v="0"/>
    <n v="0"/>
    <n v="0"/>
    <n v="0"/>
  </r>
  <r>
    <x v="0"/>
    <x v="0"/>
    <s v="VIC"/>
    <s v="Known gap agreement"/>
    <s v="More than 125% MBS Fee to 150% MBS Fee"/>
    <n v="0"/>
    <n v="0"/>
    <n v="0"/>
    <n v="0"/>
  </r>
  <r>
    <x v="0"/>
    <x v="0"/>
    <s v="VIC"/>
    <s v="Known gap agreement"/>
    <s v="More than 150% MBS Fee to 200% MBS Fee"/>
    <n v="0"/>
    <n v="0"/>
    <n v="0"/>
    <n v="0"/>
  </r>
  <r>
    <x v="0"/>
    <x v="0"/>
    <s v="VIC"/>
    <s v="Known gap agreement"/>
    <s v="More than 200% MBS Fee"/>
    <n v="0"/>
    <n v="0"/>
    <n v="0"/>
    <n v="0"/>
  </r>
  <r>
    <x v="0"/>
    <x v="0"/>
    <s v="VIC"/>
    <s v="No agreement"/>
    <s v="100% MBS Fee to 125% MBS Fee"/>
    <n v="0"/>
    <n v="0"/>
    <n v="0"/>
    <n v="0"/>
  </r>
  <r>
    <x v="0"/>
    <x v="0"/>
    <s v="VIC"/>
    <s v="No agreement"/>
    <s v="More than 125% MBS Fee to 150% MBS Fee"/>
    <n v="0"/>
    <n v="0"/>
    <n v="0"/>
    <n v="0"/>
  </r>
  <r>
    <x v="0"/>
    <x v="0"/>
    <s v="VIC"/>
    <s v="No agreement"/>
    <s v="More than 150% MBS Fee to 200% MBS Fee"/>
    <n v="0"/>
    <n v="0"/>
    <n v="0"/>
    <n v="0"/>
  </r>
  <r>
    <x v="0"/>
    <x v="0"/>
    <s v="VIC"/>
    <s v="No agreement"/>
    <s v="More than 200% MBS Fee"/>
    <n v="0"/>
    <n v="0"/>
    <n v="0"/>
    <n v="0"/>
  </r>
  <r>
    <x v="0"/>
    <x v="0"/>
    <s v="VIC"/>
    <s v="No agreement"/>
    <s v="Up to MBS Fee"/>
    <n v="0"/>
    <n v="0"/>
    <n v="0"/>
    <n v="0"/>
  </r>
  <r>
    <x v="0"/>
    <x v="0"/>
    <s v="VIC"/>
    <s v="No gap agreement"/>
    <s v="100% MBS Fee to 125% MBS Fee"/>
    <n v="0"/>
    <n v="0"/>
    <n v="0"/>
    <n v="0"/>
  </r>
  <r>
    <x v="0"/>
    <x v="0"/>
    <s v="VIC"/>
    <s v="No gap agreement"/>
    <s v="More than 125% MBS Fee to 150% MBS Fee"/>
    <n v="0"/>
    <n v="0"/>
    <n v="0"/>
    <n v="0"/>
  </r>
  <r>
    <x v="0"/>
    <x v="0"/>
    <s v="VIC"/>
    <s v="No gap agreement"/>
    <s v="More than 150% MBS Fee to 200% MBS Fee"/>
    <n v="0"/>
    <n v="0"/>
    <n v="0"/>
    <n v="0"/>
  </r>
  <r>
    <x v="0"/>
    <x v="0"/>
    <s v="VIC"/>
    <s v="No gap agreement"/>
    <s v="More than 200% MBS Fee"/>
    <n v="0"/>
    <n v="0"/>
    <n v="0"/>
    <n v="0"/>
  </r>
  <r>
    <x v="0"/>
    <x v="0"/>
    <s v="VIC"/>
    <s v="No gap agreement"/>
    <s v="Up to MBS Fee"/>
    <n v="0"/>
    <n v="0"/>
    <n v="0"/>
    <n v="0"/>
  </r>
  <r>
    <x v="0"/>
    <x v="0"/>
    <s v="WA"/>
    <s v="Known gap agreement"/>
    <s v="100% MBS Fee to 125% MBS Fee"/>
    <n v="0"/>
    <n v="0"/>
    <n v="0"/>
    <n v="0"/>
  </r>
  <r>
    <x v="0"/>
    <x v="0"/>
    <s v="WA"/>
    <s v="Known gap agreement"/>
    <s v="More than 125% MBS Fee to 150% MBS Fee"/>
    <n v="0"/>
    <n v="0"/>
    <n v="0"/>
    <n v="0"/>
  </r>
  <r>
    <x v="0"/>
    <x v="0"/>
    <s v="WA"/>
    <s v="Known gap agreement"/>
    <s v="More than 150% MBS Fee to 200% MBS Fee"/>
    <n v="0"/>
    <n v="0"/>
    <n v="0"/>
    <n v="0"/>
  </r>
  <r>
    <x v="0"/>
    <x v="0"/>
    <s v="WA"/>
    <s v="Known gap agreement"/>
    <s v="More than 200% MBS Fee"/>
    <n v="0"/>
    <n v="0"/>
    <n v="0"/>
    <n v="0"/>
  </r>
  <r>
    <x v="0"/>
    <x v="0"/>
    <s v="WA"/>
    <s v="No agreement"/>
    <s v="100% MBS Fee to 125% MBS Fee"/>
    <n v="0"/>
    <n v="0"/>
    <n v="0"/>
    <n v="0"/>
  </r>
  <r>
    <x v="0"/>
    <x v="0"/>
    <s v="WA"/>
    <s v="No agreement"/>
    <s v="More than 125% MBS Fee to 150% MBS Fee"/>
    <n v="0"/>
    <n v="0"/>
    <n v="0"/>
    <n v="0"/>
  </r>
  <r>
    <x v="0"/>
    <x v="0"/>
    <s v="WA"/>
    <s v="No agreement"/>
    <s v="More than 150% MBS Fee to 200% MBS Fee"/>
    <n v="0"/>
    <n v="0"/>
    <n v="0"/>
    <n v="0"/>
  </r>
  <r>
    <x v="0"/>
    <x v="0"/>
    <s v="WA"/>
    <s v="No agreement"/>
    <s v="More than 200% MBS Fee"/>
    <n v="0"/>
    <n v="0"/>
    <n v="0"/>
    <n v="0"/>
  </r>
  <r>
    <x v="0"/>
    <x v="0"/>
    <s v="WA"/>
    <s v="No agreement"/>
    <s v="Up to MBS Fee"/>
    <n v="0"/>
    <n v="0"/>
    <n v="0"/>
    <n v="0"/>
  </r>
  <r>
    <x v="0"/>
    <x v="0"/>
    <s v="WA"/>
    <s v="No gap agreement"/>
    <s v="100% MBS Fee to 125% MBS Fee"/>
    <n v="0"/>
    <n v="0"/>
    <n v="0"/>
    <n v="0"/>
  </r>
  <r>
    <x v="0"/>
    <x v="0"/>
    <s v="WA"/>
    <s v="No gap agreement"/>
    <s v="More than 125% MBS Fee to 150% MBS Fee"/>
    <n v="0"/>
    <n v="0"/>
    <n v="0"/>
    <n v="0"/>
  </r>
  <r>
    <x v="0"/>
    <x v="0"/>
    <s v="WA"/>
    <s v="No gap agreement"/>
    <s v="More than 150% MBS Fee to 200% MBS Fee"/>
    <n v="0"/>
    <n v="0"/>
    <n v="0"/>
    <n v="0"/>
  </r>
  <r>
    <x v="0"/>
    <x v="0"/>
    <s v="WA"/>
    <s v="No gap agreement"/>
    <s v="More than 200% MBS Fee"/>
    <n v="0"/>
    <n v="0"/>
    <n v="0"/>
    <n v="0"/>
  </r>
  <r>
    <x v="0"/>
    <x v="0"/>
    <s v="WA"/>
    <s v="No gap agreement"/>
    <s v="Up to MBS Fee"/>
    <n v="0"/>
    <n v="0"/>
    <n v="0"/>
    <n v="0"/>
  </r>
  <r>
    <x v="0"/>
    <x v="1"/>
    <s v="ACT"/>
    <s v="Known gap agreement"/>
    <s v="100% MBS Fee to 125% MBS Fee"/>
    <n v="0"/>
    <n v="0"/>
    <n v="0"/>
    <n v="0"/>
  </r>
  <r>
    <x v="0"/>
    <x v="1"/>
    <s v="ACT"/>
    <s v="Known gap agreement"/>
    <s v="More than 125% MBS Fee to 150% MBS Fee"/>
    <n v="0"/>
    <n v="0"/>
    <n v="0"/>
    <n v="0"/>
  </r>
  <r>
    <x v="0"/>
    <x v="1"/>
    <s v="ACT"/>
    <s v="Known gap agreement"/>
    <s v="More than 150% MBS Fee to 200% MBS Fee"/>
    <n v="0"/>
    <n v="0"/>
    <n v="0"/>
    <n v="0"/>
  </r>
  <r>
    <x v="0"/>
    <x v="1"/>
    <s v="ACT"/>
    <s v="Known gap agreement"/>
    <s v="More than 200% MBS Fee"/>
    <n v="0"/>
    <n v="0"/>
    <n v="0"/>
    <n v="0"/>
  </r>
  <r>
    <x v="0"/>
    <x v="1"/>
    <s v="ACT"/>
    <s v="No agreement"/>
    <s v="100% MBS Fee to 125% MBS Fee"/>
    <n v="0"/>
    <n v="0"/>
    <n v="0"/>
    <n v="0"/>
  </r>
  <r>
    <x v="0"/>
    <x v="1"/>
    <s v="ACT"/>
    <s v="No agreement"/>
    <s v="More than 125% MBS Fee to 150% MBS Fee"/>
    <n v="0"/>
    <n v="0"/>
    <n v="0"/>
    <n v="0"/>
  </r>
  <r>
    <x v="0"/>
    <x v="1"/>
    <s v="ACT"/>
    <s v="No agreement"/>
    <s v="More than 150% MBS Fee to 200% MBS Fee"/>
    <n v="0"/>
    <n v="0"/>
    <n v="0"/>
    <n v="0"/>
  </r>
  <r>
    <x v="0"/>
    <x v="1"/>
    <s v="ACT"/>
    <s v="No agreement"/>
    <s v="More than 200% MBS Fee"/>
    <n v="0"/>
    <n v="0"/>
    <n v="0"/>
    <n v="0"/>
  </r>
  <r>
    <x v="0"/>
    <x v="1"/>
    <s v="ACT"/>
    <s v="No agreement"/>
    <s v="Up to MBS Fee"/>
    <n v="0"/>
    <n v="0"/>
    <n v="0"/>
    <n v="0"/>
  </r>
  <r>
    <x v="0"/>
    <x v="1"/>
    <s v="ACT"/>
    <s v="No gap agreement"/>
    <s v="100% MBS Fee to 125% MBS Fee"/>
    <n v="0"/>
    <n v="0"/>
    <n v="0"/>
    <n v="0"/>
  </r>
  <r>
    <x v="0"/>
    <x v="1"/>
    <s v="ACT"/>
    <s v="No gap agreement"/>
    <s v="More than 125% MBS Fee to 150% MBS Fee"/>
    <n v="0"/>
    <n v="0"/>
    <n v="0"/>
    <n v="0"/>
  </r>
  <r>
    <x v="0"/>
    <x v="1"/>
    <s v="ACT"/>
    <s v="No gap agreement"/>
    <s v="More than 150% MBS Fee to 200% MBS Fee"/>
    <n v="0"/>
    <n v="0"/>
    <n v="0"/>
    <n v="0"/>
  </r>
  <r>
    <x v="0"/>
    <x v="1"/>
    <s v="ACT"/>
    <s v="No gap agreement"/>
    <s v="More than 200% MBS Fee"/>
    <n v="0"/>
    <n v="0"/>
    <n v="0"/>
    <n v="0"/>
  </r>
  <r>
    <x v="0"/>
    <x v="1"/>
    <s v="ACT"/>
    <s v="No gap agreement"/>
    <s v="Up to MBS Fee"/>
    <n v="0"/>
    <n v="0"/>
    <n v="0"/>
    <n v="0"/>
  </r>
  <r>
    <x v="0"/>
    <x v="1"/>
    <s v="NSW"/>
    <s v="Known gap agreement"/>
    <s v="100% MBS Fee to 125% MBS Fee"/>
    <n v="0"/>
    <n v="0"/>
    <n v="0"/>
    <n v="0"/>
  </r>
  <r>
    <x v="0"/>
    <x v="1"/>
    <s v="NSW"/>
    <s v="Known gap agreement"/>
    <s v="More than 125% MBS Fee to 150% MBS Fee"/>
    <n v="0"/>
    <n v="0"/>
    <n v="0"/>
    <n v="0"/>
  </r>
  <r>
    <x v="0"/>
    <x v="1"/>
    <s v="NSW"/>
    <s v="Known gap agreement"/>
    <s v="More than 150% MBS Fee to 200% MBS Fee"/>
    <n v="0"/>
    <n v="0"/>
    <n v="0"/>
    <n v="0"/>
  </r>
  <r>
    <x v="0"/>
    <x v="1"/>
    <s v="NSW"/>
    <s v="Known gap agreement"/>
    <s v="More than 200% MBS Fee"/>
    <n v="0"/>
    <n v="0"/>
    <n v="0"/>
    <n v="0"/>
  </r>
  <r>
    <x v="0"/>
    <x v="1"/>
    <s v="NSW"/>
    <s v="No agreement"/>
    <s v="100% MBS Fee to 125% MBS Fee"/>
    <n v="0"/>
    <n v="0"/>
    <n v="0"/>
    <n v="0"/>
  </r>
  <r>
    <x v="0"/>
    <x v="1"/>
    <s v="NSW"/>
    <s v="No agreement"/>
    <s v="More than 125% MBS Fee to 150% MBS Fee"/>
    <n v="0"/>
    <n v="0"/>
    <n v="0"/>
    <n v="0"/>
  </r>
  <r>
    <x v="0"/>
    <x v="1"/>
    <s v="NSW"/>
    <s v="No agreement"/>
    <s v="More than 150% MBS Fee to 200% MBS Fee"/>
    <n v="0"/>
    <n v="0"/>
    <n v="0"/>
    <n v="0"/>
  </r>
  <r>
    <x v="0"/>
    <x v="1"/>
    <s v="NSW"/>
    <s v="No agreement"/>
    <s v="More than 200% MBS Fee"/>
    <n v="0"/>
    <n v="0"/>
    <n v="0"/>
    <n v="0"/>
  </r>
  <r>
    <x v="0"/>
    <x v="1"/>
    <s v="NSW"/>
    <s v="No agreement"/>
    <s v="Up to MBS Fee"/>
    <n v="0"/>
    <n v="0"/>
    <n v="0"/>
    <n v="0"/>
  </r>
  <r>
    <x v="0"/>
    <x v="1"/>
    <s v="NSW"/>
    <s v="No gap agreement"/>
    <s v="100% MBS Fee to 125% MBS Fee"/>
    <n v="0"/>
    <n v="0"/>
    <n v="0"/>
    <n v="0"/>
  </r>
  <r>
    <x v="0"/>
    <x v="1"/>
    <s v="NSW"/>
    <s v="No gap agreement"/>
    <s v="More than 125% MBS Fee to 150% MBS Fee"/>
    <n v="0"/>
    <n v="0"/>
    <n v="0"/>
    <n v="0"/>
  </r>
  <r>
    <x v="0"/>
    <x v="1"/>
    <s v="NSW"/>
    <s v="No gap agreement"/>
    <s v="More than 150% MBS Fee to 200% MBS Fee"/>
    <n v="0"/>
    <n v="0"/>
    <n v="0"/>
    <n v="0"/>
  </r>
  <r>
    <x v="0"/>
    <x v="1"/>
    <s v="NSW"/>
    <s v="No gap agreement"/>
    <s v="More than 200% MBS Fee"/>
    <n v="0"/>
    <n v="0"/>
    <n v="0"/>
    <n v="0"/>
  </r>
  <r>
    <x v="0"/>
    <x v="1"/>
    <s v="NSW"/>
    <s v="No gap agreement"/>
    <s v="Up to MBS Fee"/>
    <n v="0"/>
    <n v="0"/>
    <n v="0"/>
    <n v="0"/>
  </r>
  <r>
    <x v="0"/>
    <x v="1"/>
    <s v="NT"/>
    <s v="Known gap agreement"/>
    <s v="100% MBS Fee to 125% MBS Fee"/>
    <n v="0"/>
    <n v="0"/>
    <n v="0"/>
    <n v="0"/>
  </r>
  <r>
    <x v="0"/>
    <x v="1"/>
    <s v="NT"/>
    <s v="Known gap agreement"/>
    <s v="More than 125% MBS Fee to 150% MBS Fee"/>
    <n v="0"/>
    <n v="0"/>
    <n v="0"/>
    <n v="0"/>
  </r>
  <r>
    <x v="0"/>
    <x v="1"/>
    <s v="NT"/>
    <s v="Known gap agreement"/>
    <s v="More than 150% MBS Fee to 200% MBS Fee"/>
    <n v="0"/>
    <n v="0"/>
    <n v="0"/>
    <n v="0"/>
  </r>
  <r>
    <x v="0"/>
    <x v="1"/>
    <s v="NT"/>
    <s v="Known gap agreement"/>
    <s v="More than 200% MBS Fee"/>
    <n v="0"/>
    <n v="0"/>
    <n v="0"/>
    <n v="0"/>
  </r>
  <r>
    <x v="0"/>
    <x v="1"/>
    <s v="NT"/>
    <s v="No agreement"/>
    <s v="100% MBS Fee to 125% MBS Fee"/>
    <n v="0"/>
    <n v="0"/>
    <n v="0"/>
    <n v="0"/>
  </r>
  <r>
    <x v="0"/>
    <x v="1"/>
    <s v="NT"/>
    <s v="No agreement"/>
    <s v="More than 125% MBS Fee to 150% MBS Fee"/>
    <n v="0"/>
    <n v="0"/>
    <n v="0"/>
    <n v="0"/>
  </r>
  <r>
    <x v="0"/>
    <x v="1"/>
    <s v="NT"/>
    <s v="No agreement"/>
    <s v="More than 150% MBS Fee to 200% MBS Fee"/>
    <n v="0"/>
    <n v="0"/>
    <n v="0"/>
    <n v="0"/>
  </r>
  <r>
    <x v="0"/>
    <x v="1"/>
    <s v="NT"/>
    <s v="No agreement"/>
    <s v="More than 200% MBS Fee"/>
    <n v="0"/>
    <n v="0"/>
    <n v="0"/>
    <n v="0"/>
  </r>
  <r>
    <x v="0"/>
    <x v="1"/>
    <s v="NT"/>
    <s v="No agreement"/>
    <s v="Up to MBS Fee"/>
    <n v="0"/>
    <n v="0"/>
    <n v="0"/>
    <n v="0"/>
  </r>
  <r>
    <x v="0"/>
    <x v="1"/>
    <s v="NT"/>
    <s v="No gap agreement"/>
    <s v="100% MBS Fee to 125% MBS Fee"/>
    <n v="0"/>
    <n v="0"/>
    <n v="0"/>
    <n v="0"/>
  </r>
  <r>
    <x v="0"/>
    <x v="1"/>
    <s v="NT"/>
    <s v="No gap agreement"/>
    <s v="More than 125% MBS Fee to 150% MBS Fee"/>
    <n v="0"/>
    <n v="0"/>
    <n v="0"/>
    <n v="0"/>
  </r>
  <r>
    <x v="0"/>
    <x v="1"/>
    <s v="NT"/>
    <s v="No gap agreement"/>
    <s v="More than 150% MBS Fee to 200% MBS Fee"/>
    <n v="0"/>
    <n v="0"/>
    <n v="0"/>
    <n v="0"/>
  </r>
  <r>
    <x v="0"/>
    <x v="1"/>
    <s v="NT"/>
    <s v="No gap agreement"/>
    <s v="More than 200% MBS Fee"/>
    <n v="0"/>
    <n v="0"/>
    <n v="0"/>
    <n v="0"/>
  </r>
  <r>
    <x v="0"/>
    <x v="1"/>
    <s v="NT"/>
    <s v="No gap agreement"/>
    <s v="Up to MBS Fee"/>
    <n v="0"/>
    <n v="0"/>
    <n v="0"/>
    <n v="0"/>
  </r>
  <r>
    <x v="0"/>
    <x v="1"/>
    <s v="QLD"/>
    <s v="Known gap agreement"/>
    <s v="100% MBS Fee to 125% MBS Fee"/>
    <n v="0"/>
    <n v="0"/>
    <n v="0"/>
    <n v="0"/>
  </r>
  <r>
    <x v="0"/>
    <x v="1"/>
    <s v="QLD"/>
    <s v="Known gap agreement"/>
    <s v="More than 125% MBS Fee to 150% MBS Fee"/>
    <n v="0"/>
    <n v="0"/>
    <n v="0"/>
    <n v="0"/>
  </r>
  <r>
    <x v="0"/>
    <x v="1"/>
    <s v="QLD"/>
    <s v="Known gap agreement"/>
    <s v="More than 150% MBS Fee to 200% MBS Fee"/>
    <n v="0"/>
    <n v="0"/>
    <n v="0"/>
    <n v="0"/>
  </r>
  <r>
    <x v="0"/>
    <x v="1"/>
    <s v="QLD"/>
    <s v="Known gap agreement"/>
    <s v="More than 200% MBS Fee"/>
    <n v="0"/>
    <n v="0"/>
    <n v="0"/>
    <n v="0"/>
  </r>
  <r>
    <x v="0"/>
    <x v="1"/>
    <s v="QLD"/>
    <s v="No agreement"/>
    <s v="100% MBS Fee to 125% MBS Fee"/>
    <n v="0"/>
    <n v="0"/>
    <n v="0"/>
    <n v="0"/>
  </r>
  <r>
    <x v="0"/>
    <x v="1"/>
    <s v="QLD"/>
    <s v="No agreement"/>
    <s v="More than 125% MBS Fee to 150% MBS Fee"/>
    <n v="0"/>
    <n v="0"/>
    <n v="0"/>
    <n v="0"/>
  </r>
  <r>
    <x v="0"/>
    <x v="1"/>
    <s v="QLD"/>
    <s v="No agreement"/>
    <s v="More than 150% MBS Fee to 200% MBS Fee"/>
    <n v="0"/>
    <n v="0"/>
    <n v="0"/>
    <n v="0"/>
  </r>
  <r>
    <x v="0"/>
    <x v="1"/>
    <s v="QLD"/>
    <s v="No agreement"/>
    <s v="More than 200% MBS Fee"/>
    <n v="0"/>
    <n v="0"/>
    <n v="0"/>
    <n v="0"/>
  </r>
  <r>
    <x v="0"/>
    <x v="1"/>
    <s v="QLD"/>
    <s v="No agreement"/>
    <s v="Up to MBS Fee"/>
    <n v="0"/>
    <n v="0"/>
    <n v="0"/>
    <n v="0"/>
  </r>
  <r>
    <x v="0"/>
    <x v="1"/>
    <s v="QLD"/>
    <s v="No gap agreement"/>
    <s v="100% MBS Fee to 125% MBS Fee"/>
    <n v="0"/>
    <n v="0"/>
    <n v="0"/>
    <n v="0"/>
  </r>
  <r>
    <x v="0"/>
    <x v="1"/>
    <s v="QLD"/>
    <s v="No gap agreement"/>
    <s v="More than 125% MBS Fee to 150% MBS Fee"/>
    <n v="0"/>
    <n v="0"/>
    <n v="0"/>
    <n v="0"/>
  </r>
  <r>
    <x v="0"/>
    <x v="1"/>
    <s v="QLD"/>
    <s v="No gap agreement"/>
    <s v="More than 150% MBS Fee to 200% MBS Fee"/>
    <n v="0"/>
    <n v="0"/>
    <n v="0"/>
    <n v="0"/>
  </r>
  <r>
    <x v="0"/>
    <x v="1"/>
    <s v="QLD"/>
    <s v="No gap agreement"/>
    <s v="More than 200% MBS Fee"/>
    <n v="0"/>
    <n v="0"/>
    <n v="0"/>
    <n v="0"/>
  </r>
  <r>
    <x v="0"/>
    <x v="1"/>
    <s v="QLD"/>
    <s v="No gap agreement"/>
    <s v="Up to MBS Fee"/>
    <n v="0"/>
    <n v="0"/>
    <n v="0"/>
    <n v="0"/>
  </r>
  <r>
    <x v="0"/>
    <x v="1"/>
    <s v="SA"/>
    <s v="Known gap agreement"/>
    <s v="100% MBS Fee to 125% MBS Fee"/>
    <n v="0"/>
    <n v="0"/>
    <n v="0"/>
    <n v="0"/>
  </r>
  <r>
    <x v="0"/>
    <x v="1"/>
    <s v="SA"/>
    <s v="Known gap agreement"/>
    <s v="More than 125% MBS Fee to 150% MBS Fee"/>
    <n v="0"/>
    <n v="0"/>
    <n v="0"/>
    <n v="0"/>
  </r>
  <r>
    <x v="0"/>
    <x v="1"/>
    <s v="SA"/>
    <s v="Known gap agreement"/>
    <s v="More than 150% MBS Fee to 200% MBS Fee"/>
    <n v="0"/>
    <n v="0"/>
    <n v="0"/>
    <n v="0"/>
  </r>
  <r>
    <x v="0"/>
    <x v="1"/>
    <s v="SA"/>
    <s v="Known gap agreement"/>
    <s v="More than 200% MBS Fee"/>
    <n v="0"/>
    <n v="0"/>
    <n v="0"/>
    <n v="0"/>
  </r>
  <r>
    <x v="0"/>
    <x v="1"/>
    <s v="SA"/>
    <s v="No agreement"/>
    <s v="100% MBS Fee to 125% MBS Fee"/>
    <n v="0"/>
    <n v="0"/>
    <n v="0"/>
    <n v="0"/>
  </r>
  <r>
    <x v="0"/>
    <x v="1"/>
    <s v="SA"/>
    <s v="No agreement"/>
    <s v="More than 125% MBS Fee to 150% MBS Fee"/>
    <n v="0"/>
    <n v="0"/>
    <n v="0"/>
    <n v="0"/>
  </r>
  <r>
    <x v="0"/>
    <x v="1"/>
    <s v="SA"/>
    <s v="No agreement"/>
    <s v="More than 150% MBS Fee to 200% MBS Fee"/>
    <n v="0"/>
    <n v="0"/>
    <n v="0"/>
    <n v="0"/>
  </r>
  <r>
    <x v="0"/>
    <x v="1"/>
    <s v="SA"/>
    <s v="No agreement"/>
    <s v="More than 200% MBS Fee"/>
    <n v="0"/>
    <n v="0"/>
    <n v="0"/>
    <n v="0"/>
  </r>
  <r>
    <x v="0"/>
    <x v="1"/>
    <s v="SA"/>
    <s v="No agreement"/>
    <s v="Up to MBS Fee"/>
    <n v="0"/>
    <n v="0"/>
    <n v="0"/>
    <n v="0"/>
  </r>
  <r>
    <x v="0"/>
    <x v="1"/>
    <s v="SA"/>
    <s v="No gap agreement"/>
    <s v="100% MBS Fee to 125% MBS Fee"/>
    <n v="0"/>
    <n v="0"/>
    <n v="0"/>
    <n v="0"/>
  </r>
  <r>
    <x v="0"/>
    <x v="1"/>
    <s v="SA"/>
    <s v="No gap agreement"/>
    <s v="More than 125% MBS Fee to 150% MBS Fee"/>
    <n v="0"/>
    <n v="0"/>
    <n v="0"/>
    <n v="0"/>
  </r>
  <r>
    <x v="0"/>
    <x v="1"/>
    <s v="SA"/>
    <s v="No gap agreement"/>
    <s v="More than 150% MBS Fee to 200% MBS Fee"/>
    <n v="0"/>
    <n v="0"/>
    <n v="0"/>
    <n v="0"/>
  </r>
  <r>
    <x v="0"/>
    <x v="1"/>
    <s v="SA"/>
    <s v="No gap agreement"/>
    <s v="More than 200% MBS Fee"/>
    <n v="0"/>
    <n v="0"/>
    <n v="0"/>
    <n v="0"/>
  </r>
  <r>
    <x v="0"/>
    <x v="1"/>
    <s v="SA"/>
    <s v="No gap agreement"/>
    <s v="Up to MBS Fee"/>
    <n v="0"/>
    <n v="0"/>
    <n v="0"/>
    <n v="0"/>
  </r>
  <r>
    <x v="0"/>
    <x v="1"/>
    <s v="TAS"/>
    <s v="Known gap agreement"/>
    <s v="100% MBS Fee to 125% MBS Fee"/>
    <n v="0"/>
    <n v="0"/>
    <n v="0"/>
    <n v="0"/>
  </r>
  <r>
    <x v="0"/>
    <x v="1"/>
    <s v="TAS"/>
    <s v="Known gap agreement"/>
    <s v="More than 125% MBS Fee to 150% MBS Fee"/>
    <n v="0"/>
    <n v="0"/>
    <n v="0"/>
    <n v="0"/>
  </r>
  <r>
    <x v="0"/>
    <x v="1"/>
    <s v="TAS"/>
    <s v="Known gap agreement"/>
    <s v="More than 150% MBS Fee to 200% MBS Fee"/>
    <n v="0"/>
    <n v="0"/>
    <n v="0"/>
    <n v="0"/>
  </r>
  <r>
    <x v="0"/>
    <x v="1"/>
    <s v="TAS"/>
    <s v="Known gap agreement"/>
    <s v="More than 200% MBS Fee"/>
    <n v="0"/>
    <n v="0"/>
    <n v="0"/>
    <n v="0"/>
  </r>
  <r>
    <x v="0"/>
    <x v="1"/>
    <s v="TAS"/>
    <s v="No agreement"/>
    <s v="100% MBS Fee to 125% MBS Fee"/>
    <n v="0"/>
    <n v="0"/>
    <n v="0"/>
    <n v="0"/>
  </r>
  <r>
    <x v="0"/>
    <x v="1"/>
    <s v="TAS"/>
    <s v="No agreement"/>
    <s v="More than 125% MBS Fee to 150% MBS Fee"/>
    <n v="0"/>
    <n v="0"/>
    <n v="0"/>
    <n v="0"/>
  </r>
  <r>
    <x v="0"/>
    <x v="1"/>
    <s v="TAS"/>
    <s v="No agreement"/>
    <s v="More than 150% MBS Fee to 200% MBS Fee"/>
    <n v="0"/>
    <n v="0"/>
    <n v="0"/>
    <n v="0"/>
  </r>
  <r>
    <x v="0"/>
    <x v="1"/>
    <s v="TAS"/>
    <s v="No agreement"/>
    <s v="More than 200% MBS Fee"/>
    <n v="0"/>
    <n v="0"/>
    <n v="0"/>
    <n v="0"/>
  </r>
  <r>
    <x v="0"/>
    <x v="1"/>
    <s v="TAS"/>
    <s v="No agreement"/>
    <s v="Up to MBS Fee"/>
    <n v="0"/>
    <n v="0"/>
    <n v="0"/>
    <n v="0"/>
  </r>
  <r>
    <x v="0"/>
    <x v="1"/>
    <s v="TAS"/>
    <s v="No gap agreement"/>
    <s v="100% MBS Fee to 125% MBS Fee"/>
    <n v="0"/>
    <n v="0"/>
    <n v="0"/>
    <n v="0"/>
  </r>
  <r>
    <x v="0"/>
    <x v="1"/>
    <s v="TAS"/>
    <s v="No gap agreement"/>
    <s v="More than 125% MBS Fee to 150% MBS Fee"/>
    <n v="0"/>
    <n v="0"/>
    <n v="0"/>
    <n v="0"/>
  </r>
  <r>
    <x v="0"/>
    <x v="1"/>
    <s v="TAS"/>
    <s v="No gap agreement"/>
    <s v="More than 150% MBS Fee to 200% MBS Fee"/>
    <n v="0"/>
    <n v="0"/>
    <n v="0"/>
    <n v="0"/>
  </r>
  <r>
    <x v="0"/>
    <x v="1"/>
    <s v="TAS"/>
    <s v="No gap agreement"/>
    <s v="More than 200% MBS Fee"/>
    <n v="0"/>
    <n v="0"/>
    <n v="0"/>
    <n v="0"/>
  </r>
  <r>
    <x v="0"/>
    <x v="1"/>
    <s v="TAS"/>
    <s v="No gap agreement"/>
    <s v="Up to MBS Fee"/>
    <n v="0"/>
    <n v="0"/>
    <n v="0"/>
    <n v="0"/>
  </r>
  <r>
    <x v="0"/>
    <x v="1"/>
    <s v="VIC"/>
    <s v="Known gap agreement"/>
    <s v="100% MBS Fee to 125% MBS Fee"/>
    <n v="0"/>
    <n v="0"/>
    <n v="0"/>
    <n v="0"/>
  </r>
  <r>
    <x v="0"/>
    <x v="1"/>
    <s v="VIC"/>
    <s v="Known gap agreement"/>
    <s v="More than 125% MBS Fee to 150% MBS Fee"/>
    <n v="0"/>
    <n v="0"/>
    <n v="0"/>
    <n v="0"/>
  </r>
  <r>
    <x v="0"/>
    <x v="1"/>
    <s v="VIC"/>
    <s v="Known gap agreement"/>
    <s v="More than 150% MBS Fee to 200% MBS Fee"/>
    <n v="0"/>
    <n v="0"/>
    <n v="0"/>
    <n v="0"/>
  </r>
  <r>
    <x v="0"/>
    <x v="1"/>
    <s v="VIC"/>
    <s v="Known gap agreement"/>
    <s v="More than 200% MBS Fee"/>
    <n v="0"/>
    <n v="0"/>
    <n v="0"/>
    <n v="0"/>
  </r>
  <r>
    <x v="0"/>
    <x v="1"/>
    <s v="VIC"/>
    <s v="No agreement"/>
    <s v="100% MBS Fee to 125% MBS Fee"/>
    <n v="0"/>
    <n v="0"/>
    <n v="0"/>
    <n v="0"/>
  </r>
  <r>
    <x v="0"/>
    <x v="1"/>
    <s v="VIC"/>
    <s v="No agreement"/>
    <s v="More than 125% MBS Fee to 150% MBS Fee"/>
    <n v="0"/>
    <n v="0"/>
    <n v="0"/>
    <n v="0"/>
  </r>
  <r>
    <x v="0"/>
    <x v="1"/>
    <s v="VIC"/>
    <s v="No agreement"/>
    <s v="More than 150% MBS Fee to 200% MBS Fee"/>
    <n v="0"/>
    <n v="0"/>
    <n v="0"/>
    <n v="0"/>
  </r>
  <r>
    <x v="0"/>
    <x v="1"/>
    <s v="VIC"/>
    <s v="No agreement"/>
    <s v="More than 200% MBS Fee"/>
    <n v="0"/>
    <n v="0"/>
    <n v="0"/>
    <n v="0"/>
  </r>
  <r>
    <x v="0"/>
    <x v="1"/>
    <s v="VIC"/>
    <s v="No agreement"/>
    <s v="Up to MBS Fee"/>
    <n v="0"/>
    <n v="0"/>
    <n v="0"/>
    <n v="0"/>
  </r>
  <r>
    <x v="0"/>
    <x v="1"/>
    <s v="VIC"/>
    <s v="No gap agreement"/>
    <s v="100% MBS Fee to 125% MBS Fee"/>
    <n v="0"/>
    <n v="0"/>
    <n v="0"/>
    <n v="0"/>
  </r>
  <r>
    <x v="0"/>
    <x v="1"/>
    <s v="VIC"/>
    <s v="No gap agreement"/>
    <s v="More than 125% MBS Fee to 150% MBS Fee"/>
    <n v="0"/>
    <n v="0"/>
    <n v="0"/>
    <n v="0"/>
  </r>
  <r>
    <x v="0"/>
    <x v="1"/>
    <s v="VIC"/>
    <s v="No gap agreement"/>
    <s v="More than 150% MBS Fee to 200% MBS Fee"/>
    <n v="0"/>
    <n v="0"/>
    <n v="0"/>
    <n v="0"/>
  </r>
  <r>
    <x v="0"/>
    <x v="1"/>
    <s v="VIC"/>
    <s v="No gap agreement"/>
    <s v="More than 200% MBS Fee"/>
    <n v="0"/>
    <n v="0"/>
    <n v="0"/>
    <n v="0"/>
  </r>
  <r>
    <x v="0"/>
    <x v="1"/>
    <s v="VIC"/>
    <s v="No gap agreement"/>
    <s v="Up to MBS Fee"/>
    <n v="0"/>
    <n v="0"/>
    <n v="0"/>
    <n v="0"/>
  </r>
  <r>
    <x v="0"/>
    <x v="1"/>
    <s v="WA"/>
    <s v="Known gap agreement"/>
    <s v="100% MBS Fee to 125% MBS Fee"/>
    <n v="0"/>
    <n v="0"/>
    <n v="0"/>
    <n v="0"/>
  </r>
  <r>
    <x v="0"/>
    <x v="1"/>
    <s v="WA"/>
    <s v="Known gap agreement"/>
    <s v="More than 125% MBS Fee to 150% MBS Fee"/>
    <n v="0"/>
    <n v="0"/>
    <n v="0"/>
    <n v="0"/>
  </r>
  <r>
    <x v="0"/>
    <x v="1"/>
    <s v="WA"/>
    <s v="Known gap agreement"/>
    <s v="More than 150% MBS Fee to 200% MBS Fee"/>
    <n v="0"/>
    <n v="0"/>
    <n v="0"/>
    <n v="0"/>
  </r>
  <r>
    <x v="0"/>
    <x v="1"/>
    <s v="WA"/>
    <s v="Known gap agreement"/>
    <s v="More than 200% MBS Fee"/>
    <n v="0"/>
    <n v="0"/>
    <n v="0"/>
    <n v="0"/>
  </r>
  <r>
    <x v="0"/>
    <x v="1"/>
    <s v="WA"/>
    <s v="No agreement"/>
    <s v="100% MBS Fee to 125% MBS Fee"/>
    <n v="0"/>
    <n v="0"/>
    <n v="0"/>
    <n v="0"/>
  </r>
  <r>
    <x v="0"/>
    <x v="1"/>
    <s v="WA"/>
    <s v="No agreement"/>
    <s v="More than 125% MBS Fee to 150% MBS Fee"/>
    <n v="0"/>
    <n v="0"/>
    <n v="0"/>
    <n v="0"/>
  </r>
  <r>
    <x v="0"/>
    <x v="1"/>
    <s v="WA"/>
    <s v="No agreement"/>
    <s v="More than 150% MBS Fee to 200% MBS Fee"/>
    <n v="0"/>
    <n v="0"/>
    <n v="0"/>
    <n v="0"/>
  </r>
  <r>
    <x v="0"/>
    <x v="1"/>
    <s v="WA"/>
    <s v="No agreement"/>
    <s v="More than 200% MBS Fee"/>
    <n v="0"/>
    <n v="0"/>
    <n v="0"/>
    <n v="0"/>
  </r>
  <r>
    <x v="0"/>
    <x v="1"/>
    <s v="WA"/>
    <s v="No agreement"/>
    <s v="Up to MBS Fee"/>
    <n v="0"/>
    <n v="0"/>
    <n v="0"/>
    <n v="0"/>
  </r>
  <r>
    <x v="0"/>
    <x v="1"/>
    <s v="WA"/>
    <s v="No gap agreement"/>
    <s v="100% MBS Fee to 125% MBS Fee"/>
    <n v="0"/>
    <n v="0"/>
    <n v="0"/>
    <n v="0"/>
  </r>
  <r>
    <x v="0"/>
    <x v="1"/>
    <s v="WA"/>
    <s v="No gap agreement"/>
    <s v="More than 125% MBS Fee to 150% MBS Fee"/>
    <n v="0"/>
    <n v="0"/>
    <n v="0"/>
    <n v="0"/>
  </r>
  <r>
    <x v="0"/>
    <x v="1"/>
    <s v="WA"/>
    <s v="No gap agreement"/>
    <s v="More than 150% MBS Fee to 200% MBS Fee"/>
    <n v="0"/>
    <n v="0"/>
    <n v="0"/>
    <n v="0"/>
  </r>
  <r>
    <x v="0"/>
    <x v="1"/>
    <s v="WA"/>
    <s v="No gap agreement"/>
    <s v="More than 200% MBS Fee"/>
    <n v="0"/>
    <n v="0"/>
    <n v="0"/>
    <n v="0"/>
  </r>
  <r>
    <x v="0"/>
    <x v="1"/>
    <s v="WA"/>
    <s v="No gap agreement"/>
    <s v="Up to MBS Fee"/>
    <n v="0"/>
    <n v="0"/>
    <n v="0"/>
    <n v="0"/>
  </r>
  <r>
    <x v="1"/>
    <x v="0"/>
    <s v="ACT"/>
    <s v="Known gap agreement"/>
    <s v="100% MBS Fee to 125% MBS Fee"/>
    <n v="0"/>
    <n v="0"/>
    <n v="0"/>
    <n v="0"/>
  </r>
  <r>
    <x v="1"/>
    <x v="0"/>
    <s v="ACT"/>
    <s v="Known gap agreement"/>
    <s v="More than 125% MBS Fee to 150% MBS Fee"/>
    <n v="0"/>
    <n v="0"/>
    <n v="0"/>
    <n v="0"/>
  </r>
  <r>
    <x v="1"/>
    <x v="0"/>
    <s v="ACT"/>
    <s v="Known gap agreement"/>
    <s v="More than 150% MBS Fee to 200% MBS Fee"/>
    <n v="0"/>
    <n v="0"/>
    <n v="0"/>
    <n v="0"/>
  </r>
  <r>
    <x v="1"/>
    <x v="0"/>
    <s v="ACT"/>
    <s v="Known gap agreement"/>
    <s v="More than 200% MBS Fee"/>
    <n v="0"/>
    <n v="0"/>
    <n v="0"/>
    <n v="0"/>
  </r>
  <r>
    <x v="1"/>
    <x v="0"/>
    <s v="ACT"/>
    <s v="No agreement"/>
    <s v="100% MBS Fee to 125% MBS Fee"/>
    <n v="0"/>
    <n v="0"/>
    <n v="0"/>
    <n v="0"/>
  </r>
  <r>
    <x v="1"/>
    <x v="0"/>
    <s v="ACT"/>
    <s v="No agreement"/>
    <s v="More than 125% MBS Fee to 150% MBS Fee"/>
    <n v="0"/>
    <n v="0"/>
    <n v="0"/>
    <n v="0"/>
  </r>
  <r>
    <x v="1"/>
    <x v="0"/>
    <s v="ACT"/>
    <s v="No agreement"/>
    <s v="More than 150% MBS Fee to 200% MBS Fee"/>
    <n v="0"/>
    <n v="0"/>
    <n v="0"/>
    <n v="0"/>
  </r>
  <r>
    <x v="1"/>
    <x v="0"/>
    <s v="ACT"/>
    <s v="No agreement"/>
    <s v="More than 200% MBS Fee"/>
    <n v="0"/>
    <n v="0"/>
    <n v="0"/>
    <n v="0"/>
  </r>
  <r>
    <x v="1"/>
    <x v="0"/>
    <s v="ACT"/>
    <s v="No agreement"/>
    <s v="Up to MBS Fee"/>
    <n v="0"/>
    <n v="0"/>
    <n v="0"/>
    <n v="0"/>
  </r>
  <r>
    <x v="1"/>
    <x v="0"/>
    <s v="ACT"/>
    <s v="No gap agreement"/>
    <s v="100% MBS Fee to 125% MBS Fee"/>
    <n v="0"/>
    <n v="0"/>
    <n v="0"/>
    <n v="0"/>
  </r>
  <r>
    <x v="1"/>
    <x v="0"/>
    <s v="ACT"/>
    <s v="No gap agreement"/>
    <s v="More than 125% MBS Fee to 150% MBS Fee"/>
    <n v="0"/>
    <n v="0"/>
    <n v="0"/>
    <n v="0"/>
  </r>
  <r>
    <x v="1"/>
    <x v="0"/>
    <s v="ACT"/>
    <s v="No gap agreement"/>
    <s v="More than 150% MBS Fee to 200% MBS Fee"/>
    <n v="0"/>
    <n v="0"/>
    <n v="0"/>
    <n v="0"/>
  </r>
  <r>
    <x v="1"/>
    <x v="0"/>
    <s v="ACT"/>
    <s v="No gap agreement"/>
    <s v="More than 200% MBS Fee"/>
    <n v="0"/>
    <n v="0"/>
    <n v="0"/>
    <n v="0"/>
  </r>
  <r>
    <x v="1"/>
    <x v="0"/>
    <s v="ACT"/>
    <s v="No gap agreement"/>
    <s v="Up to MBS Fee"/>
    <n v="0"/>
    <n v="0"/>
    <n v="0"/>
    <n v="0"/>
  </r>
  <r>
    <x v="1"/>
    <x v="0"/>
    <s v="NSW"/>
    <s v="Known gap agreement"/>
    <s v="100% MBS Fee to 125% MBS Fee"/>
    <n v="0"/>
    <n v="0"/>
    <n v="0"/>
    <n v="0"/>
  </r>
  <r>
    <x v="1"/>
    <x v="0"/>
    <s v="NSW"/>
    <s v="Known gap agreement"/>
    <s v="More than 125% MBS Fee to 150% MBS Fee"/>
    <n v="0"/>
    <n v="0"/>
    <n v="0"/>
    <n v="0"/>
  </r>
  <r>
    <x v="1"/>
    <x v="0"/>
    <s v="NSW"/>
    <s v="Known gap agreement"/>
    <s v="More than 150% MBS Fee to 200% MBS Fee"/>
    <n v="0"/>
    <n v="0"/>
    <n v="0"/>
    <n v="0"/>
  </r>
  <r>
    <x v="1"/>
    <x v="0"/>
    <s v="NSW"/>
    <s v="Known gap agreement"/>
    <s v="More than 200% MBS Fee"/>
    <n v="0"/>
    <n v="0"/>
    <n v="0"/>
    <n v="0"/>
  </r>
  <r>
    <x v="1"/>
    <x v="0"/>
    <s v="NSW"/>
    <s v="No agreement"/>
    <s v="100% MBS Fee to 125% MBS Fee"/>
    <n v="0"/>
    <n v="0"/>
    <n v="0"/>
    <n v="0"/>
  </r>
  <r>
    <x v="1"/>
    <x v="0"/>
    <s v="NSW"/>
    <s v="No agreement"/>
    <s v="More than 125% MBS Fee to 150% MBS Fee"/>
    <n v="0"/>
    <n v="0"/>
    <n v="0"/>
    <n v="0"/>
  </r>
  <r>
    <x v="1"/>
    <x v="0"/>
    <s v="NSW"/>
    <s v="No agreement"/>
    <s v="More than 150% MBS Fee to 200% MBS Fee"/>
    <n v="0"/>
    <n v="0"/>
    <n v="0"/>
    <n v="0"/>
  </r>
  <r>
    <x v="1"/>
    <x v="0"/>
    <s v="NSW"/>
    <s v="No agreement"/>
    <s v="More than 200% MBS Fee"/>
    <n v="0"/>
    <n v="0"/>
    <n v="0"/>
    <n v="0"/>
  </r>
  <r>
    <x v="1"/>
    <x v="0"/>
    <s v="NSW"/>
    <s v="No agreement"/>
    <s v="Up to MBS Fee"/>
    <n v="0"/>
    <n v="0"/>
    <n v="0"/>
    <n v="0"/>
  </r>
  <r>
    <x v="1"/>
    <x v="0"/>
    <s v="NSW"/>
    <s v="No gap agreement"/>
    <s v="100% MBS Fee to 125% MBS Fee"/>
    <n v="0"/>
    <n v="0"/>
    <n v="0"/>
    <n v="0"/>
  </r>
  <r>
    <x v="1"/>
    <x v="0"/>
    <s v="NSW"/>
    <s v="No gap agreement"/>
    <s v="More than 125% MBS Fee to 150% MBS Fee"/>
    <n v="0"/>
    <n v="0"/>
    <n v="0"/>
    <n v="0"/>
  </r>
  <r>
    <x v="1"/>
    <x v="0"/>
    <s v="NSW"/>
    <s v="No gap agreement"/>
    <s v="More than 150% MBS Fee to 200% MBS Fee"/>
    <n v="0"/>
    <n v="0"/>
    <n v="0"/>
    <n v="0"/>
  </r>
  <r>
    <x v="1"/>
    <x v="0"/>
    <s v="NSW"/>
    <s v="No gap agreement"/>
    <s v="More than 200% MBS Fee"/>
    <n v="0"/>
    <n v="0"/>
    <n v="0"/>
    <n v="0"/>
  </r>
  <r>
    <x v="1"/>
    <x v="0"/>
    <s v="NSW"/>
    <s v="No gap agreement"/>
    <s v="Up to MBS Fee"/>
    <n v="0"/>
    <n v="0"/>
    <n v="0"/>
    <n v="0"/>
  </r>
  <r>
    <x v="1"/>
    <x v="0"/>
    <s v="NT"/>
    <s v="Known gap agreement"/>
    <s v="100% MBS Fee to 125% MBS Fee"/>
    <n v="0"/>
    <n v="0"/>
    <n v="0"/>
    <n v="0"/>
  </r>
  <r>
    <x v="1"/>
    <x v="0"/>
    <s v="NT"/>
    <s v="Known gap agreement"/>
    <s v="More than 125% MBS Fee to 150% MBS Fee"/>
    <n v="0"/>
    <n v="0"/>
    <n v="0"/>
    <n v="0"/>
  </r>
  <r>
    <x v="1"/>
    <x v="0"/>
    <s v="NT"/>
    <s v="Known gap agreement"/>
    <s v="More than 150% MBS Fee to 200% MBS Fee"/>
    <n v="0"/>
    <n v="0"/>
    <n v="0"/>
    <n v="0"/>
  </r>
  <r>
    <x v="1"/>
    <x v="0"/>
    <s v="NT"/>
    <s v="Known gap agreement"/>
    <s v="More than 200% MBS Fee"/>
    <n v="0"/>
    <n v="0"/>
    <n v="0"/>
    <n v="0"/>
  </r>
  <r>
    <x v="1"/>
    <x v="0"/>
    <s v="NT"/>
    <s v="No agreement"/>
    <s v="100% MBS Fee to 125% MBS Fee"/>
    <n v="0"/>
    <n v="0"/>
    <n v="0"/>
    <n v="0"/>
  </r>
  <r>
    <x v="1"/>
    <x v="0"/>
    <s v="NT"/>
    <s v="No agreement"/>
    <s v="More than 125% MBS Fee to 150% MBS Fee"/>
    <n v="0"/>
    <n v="0"/>
    <n v="0"/>
    <n v="0"/>
  </r>
  <r>
    <x v="1"/>
    <x v="0"/>
    <s v="NT"/>
    <s v="No agreement"/>
    <s v="More than 150% MBS Fee to 200% MBS Fee"/>
    <n v="0"/>
    <n v="0"/>
    <n v="0"/>
    <n v="0"/>
  </r>
  <r>
    <x v="1"/>
    <x v="0"/>
    <s v="NT"/>
    <s v="No agreement"/>
    <s v="More than 200% MBS Fee"/>
    <n v="0"/>
    <n v="0"/>
    <n v="0"/>
    <n v="0"/>
  </r>
  <r>
    <x v="1"/>
    <x v="0"/>
    <s v="NT"/>
    <s v="No agreement"/>
    <s v="Up to MBS Fee"/>
    <n v="0"/>
    <n v="0"/>
    <n v="0"/>
    <n v="0"/>
  </r>
  <r>
    <x v="1"/>
    <x v="0"/>
    <s v="NT"/>
    <s v="No gap agreement"/>
    <s v="100% MBS Fee to 125% MBS Fee"/>
    <n v="0"/>
    <n v="0"/>
    <n v="0"/>
    <n v="0"/>
  </r>
  <r>
    <x v="1"/>
    <x v="0"/>
    <s v="NT"/>
    <s v="No gap agreement"/>
    <s v="More than 125% MBS Fee to 150% MBS Fee"/>
    <n v="0"/>
    <n v="0"/>
    <n v="0"/>
    <n v="0"/>
  </r>
  <r>
    <x v="1"/>
    <x v="0"/>
    <s v="NT"/>
    <s v="No gap agreement"/>
    <s v="More than 150% MBS Fee to 200% MBS Fee"/>
    <n v="0"/>
    <n v="0"/>
    <n v="0"/>
    <n v="0"/>
  </r>
  <r>
    <x v="1"/>
    <x v="0"/>
    <s v="NT"/>
    <s v="No gap agreement"/>
    <s v="More than 200% MBS Fee"/>
    <n v="0"/>
    <n v="0"/>
    <n v="0"/>
    <n v="0"/>
  </r>
  <r>
    <x v="1"/>
    <x v="0"/>
    <s v="NT"/>
    <s v="No gap agreement"/>
    <s v="Up to MBS Fee"/>
    <n v="0"/>
    <n v="0"/>
    <n v="0"/>
    <n v="0"/>
  </r>
  <r>
    <x v="1"/>
    <x v="0"/>
    <s v="QLD"/>
    <s v="Known gap agreement"/>
    <s v="100% MBS Fee to 125% MBS Fee"/>
    <n v="0"/>
    <n v="0"/>
    <n v="0"/>
    <n v="0"/>
  </r>
  <r>
    <x v="1"/>
    <x v="0"/>
    <s v="QLD"/>
    <s v="Known gap agreement"/>
    <s v="More than 125% MBS Fee to 150% MBS Fee"/>
    <n v="0"/>
    <n v="0"/>
    <n v="0"/>
    <n v="0"/>
  </r>
  <r>
    <x v="1"/>
    <x v="0"/>
    <s v="QLD"/>
    <s v="Known gap agreement"/>
    <s v="More than 150% MBS Fee to 200% MBS Fee"/>
    <n v="0"/>
    <n v="0"/>
    <n v="0"/>
    <n v="0"/>
  </r>
  <r>
    <x v="1"/>
    <x v="0"/>
    <s v="QLD"/>
    <s v="Known gap agreement"/>
    <s v="More than 200% MBS Fee"/>
    <n v="0"/>
    <n v="0"/>
    <n v="0"/>
    <n v="0"/>
  </r>
  <r>
    <x v="1"/>
    <x v="0"/>
    <s v="QLD"/>
    <s v="No agreement"/>
    <s v="100% MBS Fee to 125% MBS Fee"/>
    <n v="0"/>
    <n v="0"/>
    <n v="0"/>
    <n v="0"/>
  </r>
  <r>
    <x v="1"/>
    <x v="0"/>
    <s v="QLD"/>
    <s v="No agreement"/>
    <s v="More than 125% MBS Fee to 150% MBS Fee"/>
    <n v="0"/>
    <n v="0"/>
    <n v="0"/>
    <n v="0"/>
  </r>
  <r>
    <x v="1"/>
    <x v="0"/>
    <s v="QLD"/>
    <s v="No agreement"/>
    <s v="More than 150% MBS Fee to 200% MBS Fee"/>
    <n v="0"/>
    <n v="0"/>
    <n v="0"/>
    <n v="0"/>
  </r>
  <r>
    <x v="1"/>
    <x v="0"/>
    <s v="QLD"/>
    <s v="No agreement"/>
    <s v="More than 200% MBS Fee"/>
    <n v="0"/>
    <n v="0"/>
    <n v="0"/>
    <n v="0"/>
  </r>
  <r>
    <x v="1"/>
    <x v="0"/>
    <s v="QLD"/>
    <s v="No agreement"/>
    <s v="Up to MBS Fee"/>
    <n v="0"/>
    <n v="0"/>
    <n v="0"/>
    <n v="0"/>
  </r>
  <r>
    <x v="1"/>
    <x v="0"/>
    <s v="QLD"/>
    <s v="No gap agreement"/>
    <s v="100% MBS Fee to 125% MBS Fee"/>
    <n v="0"/>
    <n v="0"/>
    <n v="0"/>
    <n v="0"/>
  </r>
  <r>
    <x v="1"/>
    <x v="0"/>
    <s v="QLD"/>
    <s v="No gap agreement"/>
    <s v="More than 125% MBS Fee to 150% MBS Fee"/>
    <n v="0"/>
    <n v="0"/>
    <n v="0"/>
    <n v="0"/>
  </r>
  <r>
    <x v="1"/>
    <x v="0"/>
    <s v="QLD"/>
    <s v="No gap agreement"/>
    <s v="More than 150% MBS Fee to 200% MBS Fee"/>
    <n v="0"/>
    <n v="0"/>
    <n v="0"/>
    <n v="0"/>
  </r>
  <r>
    <x v="1"/>
    <x v="0"/>
    <s v="QLD"/>
    <s v="No gap agreement"/>
    <s v="More than 200% MBS Fee"/>
    <n v="0"/>
    <n v="0"/>
    <n v="0"/>
    <n v="0"/>
  </r>
  <r>
    <x v="1"/>
    <x v="0"/>
    <s v="QLD"/>
    <s v="No gap agreement"/>
    <s v="Up to MBS Fee"/>
    <n v="0"/>
    <n v="0"/>
    <n v="0"/>
    <n v="0"/>
  </r>
  <r>
    <x v="1"/>
    <x v="0"/>
    <s v="SA"/>
    <s v="Known gap agreement"/>
    <s v="100% MBS Fee to 125% MBS Fee"/>
    <n v="0"/>
    <n v="0"/>
    <n v="0"/>
    <n v="0"/>
  </r>
  <r>
    <x v="1"/>
    <x v="0"/>
    <s v="SA"/>
    <s v="Known gap agreement"/>
    <s v="More than 125% MBS Fee to 150% MBS Fee"/>
    <n v="0"/>
    <n v="0"/>
    <n v="0"/>
    <n v="0"/>
  </r>
  <r>
    <x v="1"/>
    <x v="0"/>
    <s v="SA"/>
    <s v="Known gap agreement"/>
    <s v="More than 150% MBS Fee to 200% MBS Fee"/>
    <n v="0"/>
    <n v="0"/>
    <n v="0"/>
    <n v="0"/>
  </r>
  <r>
    <x v="1"/>
    <x v="0"/>
    <s v="SA"/>
    <s v="Known gap agreement"/>
    <s v="More than 200% MBS Fee"/>
    <n v="0"/>
    <n v="0"/>
    <n v="0"/>
    <n v="0"/>
  </r>
  <r>
    <x v="1"/>
    <x v="0"/>
    <s v="SA"/>
    <s v="No agreement"/>
    <s v="100% MBS Fee to 125% MBS Fee"/>
    <n v="0"/>
    <n v="0"/>
    <n v="0"/>
    <n v="0"/>
  </r>
  <r>
    <x v="1"/>
    <x v="0"/>
    <s v="SA"/>
    <s v="No agreement"/>
    <s v="More than 125% MBS Fee to 150% MBS Fee"/>
    <n v="0"/>
    <n v="0"/>
    <n v="0"/>
    <n v="0"/>
  </r>
  <r>
    <x v="1"/>
    <x v="0"/>
    <s v="SA"/>
    <s v="No agreement"/>
    <s v="More than 150% MBS Fee to 200% MBS Fee"/>
    <n v="0"/>
    <n v="0"/>
    <n v="0"/>
    <n v="0"/>
  </r>
  <r>
    <x v="1"/>
    <x v="0"/>
    <s v="SA"/>
    <s v="No agreement"/>
    <s v="More than 200% MBS Fee"/>
    <n v="0"/>
    <n v="0"/>
    <n v="0"/>
    <n v="0"/>
  </r>
  <r>
    <x v="1"/>
    <x v="0"/>
    <s v="SA"/>
    <s v="No agreement"/>
    <s v="Up to MBS Fee"/>
    <n v="0"/>
    <n v="0"/>
    <n v="0"/>
    <n v="0"/>
  </r>
  <r>
    <x v="1"/>
    <x v="0"/>
    <s v="SA"/>
    <s v="No gap agreement"/>
    <s v="100% MBS Fee to 125% MBS Fee"/>
    <n v="0"/>
    <n v="0"/>
    <n v="0"/>
    <n v="0"/>
  </r>
  <r>
    <x v="1"/>
    <x v="0"/>
    <s v="SA"/>
    <s v="No gap agreement"/>
    <s v="More than 125% MBS Fee to 150% MBS Fee"/>
    <n v="0"/>
    <n v="0"/>
    <n v="0"/>
    <n v="0"/>
  </r>
  <r>
    <x v="1"/>
    <x v="0"/>
    <s v="SA"/>
    <s v="No gap agreement"/>
    <s v="More than 150% MBS Fee to 200% MBS Fee"/>
    <n v="0"/>
    <n v="0"/>
    <n v="0"/>
    <n v="0"/>
  </r>
  <r>
    <x v="1"/>
    <x v="0"/>
    <s v="SA"/>
    <s v="No gap agreement"/>
    <s v="More than 200% MBS Fee"/>
    <n v="0"/>
    <n v="0"/>
    <n v="0"/>
    <n v="0"/>
  </r>
  <r>
    <x v="1"/>
    <x v="0"/>
    <s v="SA"/>
    <s v="No gap agreement"/>
    <s v="Up to MBS Fee"/>
    <n v="0"/>
    <n v="0"/>
    <n v="0"/>
    <n v="0"/>
  </r>
  <r>
    <x v="1"/>
    <x v="0"/>
    <s v="TAS"/>
    <s v="Known gap agreement"/>
    <s v="100% MBS Fee to 125% MBS Fee"/>
    <n v="0"/>
    <n v="0"/>
    <n v="0"/>
    <n v="0"/>
  </r>
  <r>
    <x v="1"/>
    <x v="0"/>
    <s v="TAS"/>
    <s v="Known gap agreement"/>
    <s v="More than 125% MBS Fee to 150% MBS Fee"/>
    <n v="0"/>
    <n v="0"/>
    <n v="0"/>
    <n v="0"/>
  </r>
  <r>
    <x v="1"/>
    <x v="0"/>
    <s v="TAS"/>
    <s v="Known gap agreement"/>
    <s v="More than 150% MBS Fee to 200% MBS Fee"/>
    <n v="0"/>
    <n v="0"/>
    <n v="0"/>
    <n v="0"/>
  </r>
  <r>
    <x v="1"/>
    <x v="0"/>
    <s v="TAS"/>
    <s v="Known gap agreement"/>
    <s v="More than 200% MBS Fee"/>
    <n v="0"/>
    <n v="0"/>
    <n v="0"/>
    <n v="0"/>
  </r>
  <r>
    <x v="1"/>
    <x v="0"/>
    <s v="TAS"/>
    <s v="No agreement"/>
    <s v="100% MBS Fee to 125% MBS Fee"/>
    <n v="0"/>
    <n v="0"/>
    <n v="0"/>
    <n v="0"/>
  </r>
  <r>
    <x v="1"/>
    <x v="0"/>
    <s v="TAS"/>
    <s v="No agreement"/>
    <s v="More than 125% MBS Fee to 150% MBS Fee"/>
    <n v="0"/>
    <n v="0"/>
    <n v="0"/>
    <n v="0"/>
  </r>
  <r>
    <x v="1"/>
    <x v="0"/>
    <s v="TAS"/>
    <s v="No agreement"/>
    <s v="More than 150% MBS Fee to 200% MBS Fee"/>
    <n v="0"/>
    <n v="0"/>
    <n v="0"/>
    <n v="0"/>
  </r>
  <r>
    <x v="1"/>
    <x v="0"/>
    <s v="TAS"/>
    <s v="No agreement"/>
    <s v="More than 200% MBS Fee"/>
    <n v="0"/>
    <n v="0"/>
    <n v="0"/>
    <n v="0"/>
  </r>
  <r>
    <x v="1"/>
    <x v="0"/>
    <s v="TAS"/>
    <s v="No agreement"/>
    <s v="Up to MBS Fee"/>
    <n v="0"/>
    <n v="0"/>
    <n v="0"/>
    <n v="0"/>
  </r>
  <r>
    <x v="1"/>
    <x v="0"/>
    <s v="TAS"/>
    <s v="No gap agreement"/>
    <s v="100% MBS Fee to 125% MBS Fee"/>
    <n v="0"/>
    <n v="0"/>
    <n v="0"/>
    <n v="0"/>
  </r>
  <r>
    <x v="1"/>
    <x v="0"/>
    <s v="TAS"/>
    <s v="No gap agreement"/>
    <s v="More than 125% MBS Fee to 150% MBS Fee"/>
    <n v="0"/>
    <n v="0"/>
    <n v="0"/>
    <n v="0"/>
  </r>
  <r>
    <x v="1"/>
    <x v="0"/>
    <s v="TAS"/>
    <s v="No gap agreement"/>
    <s v="More than 150% MBS Fee to 200% MBS Fee"/>
    <n v="0"/>
    <n v="0"/>
    <n v="0"/>
    <n v="0"/>
  </r>
  <r>
    <x v="1"/>
    <x v="0"/>
    <s v="TAS"/>
    <s v="No gap agreement"/>
    <s v="More than 200% MBS Fee"/>
    <n v="0"/>
    <n v="0"/>
    <n v="0"/>
    <n v="0"/>
  </r>
  <r>
    <x v="1"/>
    <x v="0"/>
    <s v="TAS"/>
    <s v="No gap agreement"/>
    <s v="Up to MBS Fee"/>
    <n v="0"/>
    <n v="0"/>
    <n v="0"/>
    <n v="0"/>
  </r>
  <r>
    <x v="1"/>
    <x v="0"/>
    <s v="VIC"/>
    <s v="Known gap agreement"/>
    <s v="100% MBS Fee to 125% MBS Fee"/>
    <n v="0"/>
    <n v="0"/>
    <n v="0"/>
    <n v="0"/>
  </r>
  <r>
    <x v="1"/>
    <x v="0"/>
    <s v="VIC"/>
    <s v="Known gap agreement"/>
    <s v="More than 125% MBS Fee to 150% MBS Fee"/>
    <n v="0"/>
    <n v="0"/>
    <n v="0"/>
    <n v="0"/>
  </r>
  <r>
    <x v="1"/>
    <x v="0"/>
    <s v="VIC"/>
    <s v="Known gap agreement"/>
    <s v="More than 150% MBS Fee to 200% MBS Fee"/>
    <n v="0"/>
    <n v="0"/>
    <n v="0"/>
    <n v="0"/>
  </r>
  <r>
    <x v="1"/>
    <x v="0"/>
    <s v="VIC"/>
    <s v="Known gap agreement"/>
    <s v="More than 200% MBS Fee"/>
    <n v="0"/>
    <n v="0"/>
    <n v="0"/>
    <n v="0"/>
  </r>
  <r>
    <x v="1"/>
    <x v="0"/>
    <s v="VIC"/>
    <s v="No agreement"/>
    <s v="100% MBS Fee to 125% MBS Fee"/>
    <n v="0"/>
    <n v="0"/>
    <n v="0"/>
    <n v="0"/>
  </r>
  <r>
    <x v="1"/>
    <x v="0"/>
    <s v="VIC"/>
    <s v="No agreement"/>
    <s v="More than 125% MBS Fee to 150% MBS Fee"/>
    <n v="0"/>
    <n v="0"/>
    <n v="0"/>
    <n v="0"/>
  </r>
  <r>
    <x v="1"/>
    <x v="0"/>
    <s v="VIC"/>
    <s v="No agreement"/>
    <s v="More than 150% MBS Fee to 200% MBS Fee"/>
    <n v="0"/>
    <n v="0"/>
    <n v="0"/>
    <n v="0"/>
  </r>
  <r>
    <x v="1"/>
    <x v="0"/>
    <s v="VIC"/>
    <s v="No agreement"/>
    <s v="More than 200% MBS Fee"/>
    <n v="0"/>
    <n v="0"/>
    <n v="0"/>
    <n v="0"/>
  </r>
  <r>
    <x v="1"/>
    <x v="0"/>
    <s v="VIC"/>
    <s v="No agreement"/>
    <s v="Up to MBS Fee"/>
    <n v="0"/>
    <n v="0"/>
    <n v="0"/>
    <n v="0"/>
  </r>
  <r>
    <x v="1"/>
    <x v="0"/>
    <s v="VIC"/>
    <s v="No gap agreement"/>
    <s v="100% MBS Fee to 125% MBS Fee"/>
    <n v="0"/>
    <n v="0"/>
    <n v="0"/>
    <n v="0"/>
  </r>
  <r>
    <x v="1"/>
    <x v="0"/>
    <s v="VIC"/>
    <s v="No gap agreement"/>
    <s v="More than 125% MBS Fee to 150% MBS Fee"/>
    <n v="0"/>
    <n v="0"/>
    <n v="0"/>
    <n v="0"/>
  </r>
  <r>
    <x v="1"/>
    <x v="0"/>
    <s v="VIC"/>
    <s v="No gap agreement"/>
    <s v="More than 150% MBS Fee to 200% MBS Fee"/>
    <n v="0"/>
    <n v="0"/>
    <n v="0"/>
    <n v="0"/>
  </r>
  <r>
    <x v="1"/>
    <x v="0"/>
    <s v="VIC"/>
    <s v="No gap agreement"/>
    <s v="More than 200% MBS Fee"/>
    <n v="0"/>
    <n v="0"/>
    <n v="0"/>
    <n v="0"/>
  </r>
  <r>
    <x v="1"/>
    <x v="0"/>
    <s v="VIC"/>
    <s v="No gap agreement"/>
    <s v="Up to MBS Fee"/>
    <n v="0"/>
    <n v="0"/>
    <n v="0"/>
    <n v="0"/>
  </r>
  <r>
    <x v="1"/>
    <x v="0"/>
    <s v="WA"/>
    <s v="Known gap agreement"/>
    <s v="100% MBS Fee to 125% MBS Fee"/>
    <n v="0"/>
    <n v="0"/>
    <n v="0"/>
    <n v="0"/>
  </r>
  <r>
    <x v="1"/>
    <x v="0"/>
    <s v="WA"/>
    <s v="Known gap agreement"/>
    <s v="More than 125% MBS Fee to 150% MBS Fee"/>
    <n v="0"/>
    <n v="0"/>
    <n v="0"/>
    <n v="0"/>
  </r>
  <r>
    <x v="1"/>
    <x v="0"/>
    <s v="WA"/>
    <s v="Known gap agreement"/>
    <s v="More than 150% MBS Fee to 200% MBS Fee"/>
    <n v="0"/>
    <n v="0"/>
    <n v="0"/>
    <n v="0"/>
  </r>
  <r>
    <x v="1"/>
    <x v="0"/>
    <s v="WA"/>
    <s v="Known gap agreement"/>
    <s v="More than 200% MBS Fee"/>
    <n v="0"/>
    <n v="0"/>
    <n v="0"/>
    <n v="0"/>
  </r>
  <r>
    <x v="1"/>
    <x v="0"/>
    <s v="WA"/>
    <s v="No agreement"/>
    <s v="100% MBS Fee to 125% MBS Fee"/>
    <n v="0"/>
    <n v="0"/>
    <n v="0"/>
    <n v="0"/>
  </r>
  <r>
    <x v="1"/>
    <x v="0"/>
    <s v="WA"/>
    <s v="No agreement"/>
    <s v="More than 125% MBS Fee to 150% MBS Fee"/>
    <n v="0"/>
    <n v="0"/>
    <n v="0"/>
    <n v="0"/>
  </r>
  <r>
    <x v="1"/>
    <x v="0"/>
    <s v="WA"/>
    <s v="No agreement"/>
    <s v="More than 150% MBS Fee to 200% MBS Fee"/>
    <n v="0"/>
    <n v="0"/>
    <n v="0"/>
    <n v="0"/>
  </r>
  <r>
    <x v="1"/>
    <x v="0"/>
    <s v="WA"/>
    <s v="No agreement"/>
    <s v="More than 200% MBS Fee"/>
    <n v="0"/>
    <n v="0"/>
    <n v="0"/>
    <n v="0"/>
  </r>
  <r>
    <x v="1"/>
    <x v="0"/>
    <s v="WA"/>
    <s v="No agreement"/>
    <s v="Up to MBS Fee"/>
    <n v="0"/>
    <n v="0"/>
    <n v="0"/>
    <n v="0"/>
  </r>
  <r>
    <x v="1"/>
    <x v="0"/>
    <s v="WA"/>
    <s v="No gap agreement"/>
    <s v="100% MBS Fee to 125% MBS Fee"/>
    <n v="0"/>
    <n v="0"/>
    <n v="0"/>
    <n v="0"/>
  </r>
  <r>
    <x v="1"/>
    <x v="0"/>
    <s v="WA"/>
    <s v="No gap agreement"/>
    <s v="More than 125% MBS Fee to 150% MBS Fee"/>
    <n v="0"/>
    <n v="0"/>
    <n v="0"/>
    <n v="0"/>
  </r>
  <r>
    <x v="1"/>
    <x v="0"/>
    <s v="WA"/>
    <s v="No gap agreement"/>
    <s v="More than 150% MBS Fee to 200% MBS Fee"/>
    <n v="0"/>
    <n v="0"/>
    <n v="0"/>
    <n v="0"/>
  </r>
  <r>
    <x v="1"/>
    <x v="0"/>
    <s v="WA"/>
    <s v="No gap agreement"/>
    <s v="More than 200% MBS Fee"/>
    <n v="0"/>
    <n v="0"/>
    <n v="0"/>
    <n v="0"/>
  </r>
  <r>
    <x v="1"/>
    <x v="0"/>
    <s v="WA"/>
    <s v="No gap agreement"/>
    <s v="Up to MBS Fee"/>
    <n v="0"/>
    <n v="0"/>
    <n v="0"/>
    <n v="0"/>
  </r>
  <r>
    <x v="1"/>
    <x v="2"/>
    <s v="ACT"/>
    <s v="Known gap agreement"/>
    <s v="100% MBS Fee to 125% MBS Fee"/>
    <n v="0"/>
    <n v="0"/>
    <n v="0"/>
    <n v="0"/>
  </r>
  <r>
    <x v="1"/>
    <x v="2"/>
    <s v="ACT"/>
    <s v="Known gap agreement"/>
    <s v="More than 125% MBS Fee to 150% MBS Fee"/>
    <n v="0"/>
    <n v="0"/>
    <n v="0"/>
    <n v="0"/>
  </r>
  <r>
    <x v="1"/>
    <x v="2"/>
    <s v="ACT"/>
    <s v="Known gap agreement"/>
    <s v="More than 150% MBS Fee to 200% MBS Fee"/>
    <n v="0"/>
    <n v="0"/>
    <n v="0"/>
    <n v="0"/>
  </r>
  <r>
    <x v="1"/>
    <x v="2"/>
    <s v="ACT"/>
    <s v="Known gap agreement"/>
    <s v="More than 200% MBS Fee"/>
    <n v="0"/>
    <n v="0"/>
    <n v="0"/>
    <n v="0"/>
  </r>
  <r>
    <x v="1"/>
    <x v="2"/>
    <s v="ACT"/>
    <s v="No agreement"/>
    <s v="100% MBS Fee to 125% MBS Fee"/>
    <n v="0"/>
    <n v="0"/>
    <n v="0"/>
    <n v="0"/>
  </r>
  <r>
    <x v="1"/>
    <x v="2"/>
    <s v="ACT"/>
    <s v="No agreement"/>
    <s v="More than 125% MBS Fee to 150% MBS Fee"/>
    <n v="0"/>
    <n v="0"/>
    <n v="0"/>
    <n v="0"/>
  </r>
  <r>
    <x v="1"/>
    <x v="2"/>
    <s v="ACT"/>
    <s v="No agreement"/>
    <s v="More than 150% MBS Fee to 200% MBS Fee"/>
    <n v="0"/>
    <n v="0"/>
    <n v="0"/>
    <n v="0"/>
  </r>
  <r>
    <x v="1"/>
    <x v="2"/>
    <s v="ACT"/>
    <s v="No agreement"/>
    <s v="More than 200% MBS Fee"/>
    <n v="0"/>
    <n v="0"/>
    <n v="0"/>
    <n v="0"/>
  </r>
  <r>
    <x v="1"/>
    <x v="2"/>
    <s v="ACT"/>
    <s v="No agreement"/>
    <s v="Up to MBS Fee"/>
    <n v="0"/>
    <n v="0"/>
    <n v="0"/>
    <n v="0"/>
  </r>
  <r>
    <x v="1"/>
    <x v="2"/>
    <s v="ACT"/>
    <s v="No gap agreement"/>
    <s v="100% MBS Fee to 125% MBS Fee"/>
    <n v="0"/>
    <n v="0"/>
    <n v="0"/>
    <n v="0"/>
  </r>
  <r>
    <x v="1"/>
    <x v="2"/>
    <s v="ACT"/>
    <s v="No gap agreement"/>
    <s v="More than 125% MBS Fee to 150% MBS Fee"/>
    <n v="0"/>
    <n v="0"/>
    <n v="0"/>
    <n v="0"/>
  </r>
  <r>
    <x v="1"/>
    <x v="2"/>
    <s v="ACT"/>
    <s v="No gap agreement"/>
    <s v="More than 150% MBS Fee to 200% MBS Fee"/>
    <n v="0"/>
    <n v="0"/>
    <n v="0"/>
    <n v="0"/>
  </r>
  <r>
    <x v="1"/>
    <x v="2"/>
    <s v="ACT"/>
    <s v="No gap agreement"/>
    <s v="More than 200% MBS Fee"/>
    <n v="0"/>
    <n v="0"/>
    <n v="0"/>
    <n v="0"/>
  </r>
  <r>
    <x v="1"/>
    <x v="2"/>
    <s v="ACT"/>
    <s v="No gap agreement"/>
    <s v="Up to MBS Fee"/>
    <n v="0"/>
    <n v="0"/>
    <n v="0"/>
    <n v="0"/>
  </r>
  <r>
    <x v="1"/>
    <x v="2"/>
    <s v="NSW"/>
    <s v="Known gap agreement"/>
    <s v="100% MBS Fee to 125% MBS Fee"/>
    <n v="0"/>
    <n v="0"/>
    <n v="0"/>
    <n v="0"/>
  </r>
  <r>
    <x v="1"/>
    <x v="2"/>
    <s v="NSW"/>
    <s v="Known gap agreement"/>
    <s v="More than 125% MBS Fee to 150% MBS Fee"/>
    <n v="0"/>
    <n v="0"/>
    <n v="0"/>
    <n v="0"/>
  </r>
  <r>
    <x v="1"/>
    <x v="2"/>
    <s v="NSW"/>
    <s v="Known gap agreement"/>
    <s v="More than 150% MBS Fee to 200% MBS Fee"/>
    <n v="0"/>
    <n v="0"/>
    <n v="0"/>
    <n v="0"/>
  </r>
  <r>
    <x v="1"/>
    <x v="2"/>
    <s v="NSW"/>
    <s v="Known gap agreement"/>
    <s v="More than 200% MBS Fee"/>
    <n v="0"/>
    <n v="0"/>
    <n v="0"/>
    <n v="0"/>
  </r>
  <r>
    <x v="1"/>
    <x v="2"/>
    <s v="NSW"/>
    <s v="No agreement"/>
    <s v="100% MBS Fee to 125% MBS Fee"/>
    <n v="0"/>
    <n v="0"/>
    <n v="0"/>
    <n v="0"/>
  </r>
  <r>
    <x v="1"/>
    <x v="2"/>
    <s v="NSW"/>
    <s v="No agreement"/>
    <s v="More than 125% MBS Fee to 150% MBS Fee"/>
    <n v="0"/>
    <n v="0"/>
    <n v="0"/>
    <n v="0"/>
  </r>
  <r>
    <x v="1"/>
    <x v="2"/>
    <s v="NSW"/>
    <s v="No agreement"/>
    <s v="More than 150% MBS Fee to 200% MBS Fee"/>
    <n v="0"/>
    <n v="0"/>
    <n v="0"/>
    <n v="0"/>
  </r>
  <r>
    <x v="1"/>
    <x v="2"/>
    <s v="NSW"/>
    <s v="No agreement"/>
    <s v="More than 200% MBS Fee"/>
    <n v="0"/>
    <n v="0"/>
    <n v="0"/>
    <n v="0"/>
  </r>
  <r>
    <x v="1"/>
    <x v="2"/>
    <s v="NSW"/>
    <s v="No agreement"/>
    <s v="Up to MBS Fee"/>
    <n v="0"/>
    <n v="0"/>
    <n v="0"/>
    <n v="0"/>
  </r>
  <r>
    <x v="1"/>
    <x v="2"/>
    <s v="NSW"/>
    <s v="No gap agreement"/>
    <s v="100% MBS Fee to 125% MBS Fee"/>
    <n v="0"/>
    <n v="0"/>
    <n v="0"/>
    <n v="0"/>
  </r>
  <r>
    <x v="1"/>
    <x v="2"/>
    <s v="NSW"/>
    <s v="No gap agreement"/>
    <s v="More than 125% MBS Fee to 150% MBS Fee"/>
    <n v="0"/>
    <n v="0"/>
    <n v="0"/>
    <n v="0"/>
  </r>
  <r>
    <x v="1"/>
    <x v="2"/>
    <s v="NSW"/>
    <s v="No gap agreement"/>
    <s v="More than 150% MBS Fee to 200% MBS Fee"/>
    <n v="0"/>
    <n v="0"/>
    <n v="0"/>
    <n v="0"/>
  </r>
  <r>
    <x v="1"/>
    <x v="2"/>
    <s v="NSW"/>
    <s v="No gap agreement"/>
    <s v="More than 200% MBS Fee"/>
    <n v="0"/>
    <n v="0"/>
    <n v="0"/>
    <n v="0"/>
  </r>
  <r>
    <x v="1"/>
    <x v="2"/>
    <s v="NSW"/>
    <s v="No gap agreement"/>
    <s v="Up to MBS Fee"/>
    <n v="0"/>
    <n v="0"/>
    <n v="0"/>
    <n v="0"/>
  </r>
  <r>
    <x v="1"/>
    <x v="2"/>
    <s v="NT"/>
    <s v="Known gap agreement"/>
    <s v="100% MBS Fee to 125% MBS Fee"/>
    <n v="0"/>
    <n v="0"/>
    <n v="0"/>
    <n v="0"/>
  </r>
  <r>
    <x v="1"/>
    <x v="2"/>
    <s v="NT"/>
    <s v="Known gap agreement"/>
    <s v="More than 125% MBS Fee to 150% MBS Fee"/>
    <n v="0"/>
    <n v="0"/>
    <n v="0"/>
    <n v="0"/>
  </r>
  <r>
    <x v="1"/>
    <x v="2"/>
    <s v="NT"/>
    <s v="Known gap agreement"/>
    <s v="More than 150% MBS Fee to 200% MBS Fee"/>
    <n v="0"/>
    <n v="0"/>
    <n v="0"/>
    <n v="0"/>
  </r>
  <r>
    <x v="1"/>
    <x v="2"/>
    <s v="NT"/>
    <s v="Known gap agreement"/>
    <s v="More than 200% MBS Fee"/>
    <n v="0"/>
    <n v="0"/>
    <n v="0"/>
    <n v="0"/>
  </r>
  <r>
    <x v="1"/>
    <x v="2"/>
    <s v="NT"/>
    <s v="No agreement"/>
    <s v="100% MBS Fee to 125% MBS Fee"/>
    <n v="0"/>
    <n v="0"/>
    <n v="0"/>
    <n v="0"/>
  </r>
  <r>
    <x v="1"/>
    <x v="2"/>
    <s v="NT"/>
    <s v="No agreement"/>
    <s v="More than 125% MBS Fee to 150% MBS Fee"/>
    <n v="0"/>
    <n v="0"/>
    <n v="0"/>
    <n v="0"/>
  </r>
  <r>
    <x v="1"/>
    <x v="2"/>
    <s v="NT"/>
    <s v="No agreement"/>
    <s v="More than 150% MBS Fee to 200% MBS Fee"/>
    <n v="0"/>
    <n v="0"/>
    <n v="0"/>
    <n v="0"/>
  </r>
  <r>
    <x v="1"/>
    <x v="2"/>
    <s v="NT"/>
    <s v="No agreement"/>
    <s v="More than 200% MBS Fee"/>
    <n v="0"/>
    <n v="0"/>
    <n v="0"/>
    <n v="0"/>
  </r>
  <r>
    <x v="1"/>
    <x v="2"/>
    <s v="NT"/>
    <s v="No agreement"/>
    <s v="Up to MBS Fee"/>
    <n v="0"/>
    <n v="0"/>
    <n v="0"/>
    <n v="0"/>
  </r>
  <r>
    <x v="1"/>
    <x v="2"/>
    <s v="NT"/>
    <s v="No gap agreement"/>
    <s v="100% MBS Fee to 125% MBS Fee"/>
    <n v="0"/>
    <n v="0"/>
    <n v="0"/>
    <n v="0"/>
  </r>
  <r>
    <x v="1"/>
    <x v="2"/>
    <s v="NT"/>
    <s v="No gap agreement"/>
    <s v="More than 125% MBS Fee to 150% MBS Fee"/>
    <n v="0"/>
    <n v="0"/>
    <n v="0"/>
    <n v="0"/>
  </r>
  <r>
    <x v="1"/>
    <x v="2"/>
    <s v="NT"/>
    <s v="No gap agreement"/>
    <s v="More than 150% MBS Fee to 200% MBS Fee"/>
    <n v="0"/>
    <n v="0"/>
    <n v="0"/>
    <n v="0"/>
  </r>
  <r>
    <x v="1"/>
    <x v="2"/>
    <s v="NT"/>
    <s v="No gap agreement"/>
    <s v="More than 200% MBS Fee"/>
    <n v="0"/>
    <n v="0"/>
    <n v="0"/>
    <n v="0"/>
  </r>
  <r>
    <x v="1"/>
    <x v="2"/>
    <s v="NT"/>
    <s v="No gap agreement"/>
    <s v="Up to MBS Fee"/>
    <n v="0"/>
    <n v="0"/>
    <n v="0"/>
    <n v="0"/>
  </r>
  <r>
    <x v="1"/>
    <x v="2"/>
    <s v="QLD"/>
    <s v="Known gap agreement"/>
    <s v="100% MBS Fee to 125% MBS Fee"/>
    <n v="0"/>
    <n v="0"/>
    <n v="0"/>
    <n v="0"/>
  </r>
  <r>
    <x v="1"/>
    <x v="2"/>
    <s v="QLD"/>
    <s v="Known gap agreement"/>
    <s v="More than 125% MBS Fee to 150% MBS Fee"/>
    <n v="0"/>
    <n v="0"/>
    <n v="0"/>
    <n v="0"/>
  </r>
  <r>
    <x v="1"/>
    <x v="2"/>
    <s v="QLD"/>
    <s v="Known gap agreement"/>
    <s v="More than 150% MBS Fee to 200% MBS Fee"/>
    <n v="0"/>
    <n v="0"/>
    <n v="0"/>
    <n v="0"/>
  </r>
  <r>
    <x v="1"/>
    <x v="2"/>
    <s v="QLD"/>
    <s v="Known gap agreement"/>
    <s v="More than 200% MBS Fee"/>
    <n v="0"/>
    <n v="0"/>
    <n v="0"/>
    <n v="0"/>
  </r>
  <r>
    <x v="1"/>
    <x v="2"/>
    <s v="QLD"/>
    <s v="No agreement"/>
    <s v="100% MBS Fee to 125% MBS Fee"/>
    <n v="0"/>
    <n v="0"/>
    <n v="0"/>
    <n v="0"/>
  </r>
  <r>
    <x v="1"/>
    <x v="2"/>
    <s v="QLD"/>
    <s v="No agreement"/>
    <s v="More than 125% MBS Fee to 150% MBS Fee"/>
    <n v="0"/>
    <n v="0"/>
    <n v="0"/>
    <n v="0"/>
  </r>
  <r>
    <x v="1"/>
    <x v="2"/>
    <s v="QLD"/>
    <s v="No agreement"/>
    <s v="More than 150% MBS Fee to 200% MBS Fee"/>
    <n v="0"/>
    <n v="0"/>
    <n v="0"/>
    <n v="0"/>
  </r>
  <r>
    <x v="1"/>
    <x v="2"/>
    <s v="QLD"/>
    <s v="No agreement"/>
    <s v="More than 200% MBS Fee"/>
    <n v="0"/>
    <n v="0"/>
    <n v="0"/>
    <n v="0"/>
  </r>
  <r>
    <x v="1"/>
    <x v="2"/>
    <s v="QLD"/>
    <s v="No agreement"/>
    <s v="Up to MBS Fee"/>
    <n v="0"/>
    <n v="0"/>
    <n v="0"/>
    <n v="0"/>
  </r>
  <r>
    <x v="1"/>
    <x v="2"/>
    <s v="QLD"/>
    <s v="No gap agreement"/>
    <s v="100% MBS Fee to 125% MBS Fee"/>
    <n v="0"/>
    <n v="0"/>
    <n v="0"/>
    <n v="0"/>
  </r>
  <r>
    <x v="1"/>
    <x v="2"/>
    <s v="QLD"/>
    <s v="No gap agreement"/>
    <s v="More than 125% MBS Fee to 150% MBS Fee"/>
    <n v="0"/>
    <n v="0"/>
    <n v="0"/>
    <n v="0"/>
  </r>
  <r>
    <x v="1"/>
    <x v="2"/>
    <s v="QLD"/>
    <s v="No gap agreement"/>
    <s v="More than 150% MBS Fee to 200% MBS Fee"/>
    <n v="0"/>
    <n v="0"/>
    <n v="0"/>
    <n v="0"/>
  </r>
  <r>
    <x v="1"/>
    <x v="2"/>
    <s v="QLD"/>
    <s v="No gap agreement"/>
    <s v="More than 200% MBS Fee"/>
    <n v="0"/>
    <n v="0"/>
    <n v="0"/>
    <n v="0"/>
  </r>
  <r>
    <x v="1"/>
    <x v="2"/>
    <s v="QLD"/>
    <s v="No gap agreement"/>
    <s v="Up to MBS Fee"/>
    <n v="0"/>
    <n v="0"/>
    <n v="0"/>
    <n v="0"/>
  </r>
  <r>
    <x v="1"/>
    <x v="2"/>
    <s v="SA"/>
    <s v="Known gap agreement"/>
    <s v="100% MBS Fee to 125% MBS Fee"/>
    <n v="0"/>
    <n v="0"/>
    <n v="0"/>
    <n v="0"/>
  </r>
  <r>
    <x v="1"/>
    <x v="2"/>
    <s v="SA"/>
    <s v="Known gap agreement"/>
    <s v="More than 125% MBS Fee to 150% MBS Fee"/>
    <n v="0"/>
    <n v="0"/>
    <n v="0"/>
    <n v="0"/>
  </r>
  <r>
    <x v="1"/>
    <x v="2"/>
    <s v="SA"/>
    <s v="Known gap agreement"/>
    <s v="More than 150% MBS Fee to 200% MBS Fee"/>
    <n v="0"/>
    <n v="0"/>
    <n v="0"/>
    <n v="0"/>
  </r>
  <r>
    <x v="1"/>
    <x v="2"/>
    <s v="SA"/>
    <s v="Known gap agreement"/>
    <s v="More than 200% MBS Fee"/>
    <n v="0"/>
    <n v="0"/>
    <n v="0"/>
    <n v="0"/>
  </r>
  <r>
    <x v="1"/>
    <x v="2"/>
    <s v="SA"/>
    <s v="No agreement"/>
    <s v="100% MBS Fee to 125% MBS Fee"/>
    <n v="0"/>
    <n v="0"/>
    <n v="0"/>
    <n v="0"/>
  </r>
  <r>
    <x v="1"/>
    <x v="2"/>
    <s v="SA"/>
    <s v="No agreement"/>
    <s v="More than 125% MBS Fee to 150% MBS Fee"/>
    <n v="0"/>
    <n v="0"/>
    <n v="0"/>
    <n v="0"/>
  </r>
  <r>
    <x v="1"/>
    <x v="2"/>
    <s v="SA"/>
    <s v="No agreement"/>
    <s v="More than 150% MBS Fee to 200% MBS Fee"/>
    <n v="0"/>
    <n v="0"/>
    <n v="0"/>
    <n v="0"/>
  </r>
  <r>
    <x v="1"/>
    <x v="2"/>
    <s v="SA"/>
    <s v="No agreement"/>
    <s v="More than 200% MBS Fee"/>
    <n v="0"/>
    <n v="0"/>
    <n v="0"/>
    <n v="0"/>
  </r>
  <r>
    <x v="1"/>
    <x v="2"/>
    <s v="SA"/>
    <s v="No agreement"/>
    <s v="Up to MBS Fee"/>
    <n v="0"/>
    <n v="0"/>
    <n v="0"/>
    <n v="0"/>
  </r>
  <r>
    <x v="1"/>
    <x v="2"/>
    <s v="SA"/>
    <s v="No gap agreement"/>
    <s v="100% MBS Fee to 125% MBS Fee"/>
    <n v="0"/>
    <n v="0"/>
    <n v="0"/>
    <n v="0"/>
  </r>
  <r>
    <x v="1"/>
    <x v="2"/>
    <s v="SA"/>
    <s v="No gap agreement"/>
    <s v="More than 125% MBS Fee to 150% MBS Fee"/>
    <n v="0"/>
    <n v="0"/>
    <n v="0"/>
    <n v="0"/>
  </r>
  <r>
    <x v="1"/>
    <x v="2"/>
    <s v="SA"/>
    <s v="No gap agreement"/>
    <s v="More than 150% MBS Fee to 200% MBS Fee"/>
    <n v="0"/>
    <n v="0"/>
    <n v="0"/>
    <n v="0"/>
  </r>
  <r>
    <x v="1"/>
    <x v="2"/>
    <s v="SA"/>
    <s v="No gap agreement"/>
    <s v="More than 200% MBS Fee"/>
    <n v="0"/>
    <n v="0"/>
    <n v="0"/>
    <n v="0"/>
  </r>
  <r>
    <x v="1"/>
    <x v="2"/>
    <s v="SA"/>
    <s v="No gap agreement"/>
    <s v="Up to MBS Fee"/>
    <n v="0"/>
    <n v="0"/>
    <n v="0"/>
    <n v="0"/>
  </r>
  <r>
    <x v="1"/>
    <x v="2"/>
    <s v="TAS"/>
    <s v="Known gap agreement"/>
    <s v="100% MBS Fee to 125% MBS Fee"/>
    <n v="0"/>
    <n v="0"/>
    <n v="0"/>
    <n v="0"/>
  </r>
  <r>
    <x v="1"/>
    <x v="2"/>
    <s v="TAS"/>
    <s v="Known gap agreement"/>
    <s v="More than 125% MBS Fee to 150% MBS Fee"/>
    <n v="0"/>
    <n v="0"/>
    <n v="0"/>
    <n v="0"/>
  </r>
  <r>
    <x v="1"/>
    <x v="2"/>
    <s v="TAS"/>
    <s v="Known gap agreement"/>
    <s v="More than 150% MBS Fee to 200% MBS Fee"/>
    <n v="0"/>
    <n v="0"/>
    <n v="0"/>
    <n v="0"/>
  </r>
  <r>
    <x v="1"/>
    <x v="2"/>
    <s v="TAS"/>
    <s v="Known gap agreement"/>
    <s v="More than 200% MBS Fee"/>
    <n v="0"/>
    <n v="0"/>
    <n v="0"/>
    <n v="0"/>
  </r>
  <r>
    <x v="1"/>
    <x v="2"/>
    <s v="TAS"/>
    <s v="No agreement"/>
    <s v="100% MBS Fee to 125% MBS Fee"/>
    <n v="0"/>
    <n v="0"/>
    <n v="0"/>
    <n v="0"/>
  </r>
  <r>
    <x v="1"/>
    <x v="2"/>
    <s v="TAS"/>
    <s v="No agreement"/>
    <s v="More than 125% MBS Fee to 150% MBS Fee"/>
    <n v="0"/>
    <n v="0"/>
    <n v="0"/>
    <n v="0"/>
  </r>
  <r>
    <x v="1"/>
    <x v="2"/>
    <s v="TAS"/>
    <s v="No agreement"/>
    <s v="More than 150% MBS Fee to 200% MBS Fee"/>
    <n v="0"/>
    <n v="0"/>
    <n v="0"/>
    <n v="0"/>
  </r>
  <r>
    <x v="1"/>
    <x v="2"/>
    <s v="TAS"/>
    <s v="No agreement"/>
    <s v="More than 200% MBS Fee"/>
    <n v="0"/>
    <n v="0"/>
    <n v="0"/>
    <n v="0"/>
  </r>
  <r>
    <x v="1"/>
    <x v="2"/>
    <s v="TAS"/>
    <s v="No agreement"/>
    <s v="Up to MBS Fee"/>
    <n v="0"/>
    <n v="0"/>
    <n v="0"/>
    <n v="0"/>
  </r>
  <r>
    <x v="1"/>
    <x v="2"/>
    <s v="TAS"/>
    <s v="No gap agreement"/>
    <s v="100% MBS Fee to 125% MBS Fee"/>
    <n v="0"/>
    <n v="0"/>
    <n v="0"/>
    <n v="0"/>
  </r>
  <r>
    <x v="1"/>
    <x v="2"/>
    <s v="TAS"/>
    <s v="No gap agreement"/>
    <s v="More than 125% MBS Fee to 150% MBS Fee"/>
    <n v="0"/>
    <n v="0"/>
    <n v="0"/>
    <n v="0"/>
  </r>
  <r>
    <x v="1"/>
    <x v="2"/>
    <s v="TAS"/>
    <s v="No gap agreement"/>
    <s v="More than 150% MBS Fee to 200% MBS Fee"/>
    <n v="0"/>
    <n v="0"/>
    <n v="0"/>
    <n v="0"/>
  </r>
  <r>
    <x v="1"/>
    <x v="2"/>
    <s v="TAS"/>
    <s v="No gap agreement"/>
    <s v="More than 200% MBS Fee"/>
    <n v="0"/>
    <n v="0"/>
    <n v="0"/>
    <n v="0"/>
  </r>
  <r>
    <x v="1"/>
    <x v="2"/>
    <s v="TAS"/>
    <s v="No gap agreement"/>
    <s v="Up to MBS Fee"/>
    <n v="0"/>
    <n v="0"/>
    <n v="0"/>
    <n v="0"/>
  </r>
  <r>
    <x v="1"/>
    <x v="2"/>
    <s v="VIC"/>
    <s v="Known gap agreement"/>
    <s v="100% MBS Fee to 125% MBS Fee"/>
    <n v="0"/>
    <n v="0"/>
    <n v="0"/>
    <n v="0"/>
  </r>
  <r>
    <x v="1"/>
    <x v="2"/>
    <s v="VIC"/>
    <s v="Known gap agreement"/>
    <s v="More than 125% MBS Fee to 150% MBS Fee"/>
    <n v="0"/>
    <n v="0"/>
    <n v="0"/>
    <n v="0"/>
  </r>
  <r>
    <x v="1"/>
    <x v="2"/>
    <s v="VIC"/>
    <s v="Known gap agreement"/>
    <s v="More than 150% MBS Fee to 200% MBS Fee"/>
    <n v="0"/>
    <n v="0"/>
    <n v="0"/>
    <n v="0"/>
  </r>
  <r>
    <x v="1"/>
    <x v="2"/>
    <s v="VIC"/>
    <s v="Known gap agreement"/>
    <s v="More than 200% MBS Fee"/>
    <n v="0"/>
    <n v="0"/>
    <n v="0"/>
    <n v="0"/>
  </r>
  <r>
    <x v="1"/>
    <x v="2"/>
    <s v="VIC"/>
    <s v="No agreement"/>
    <s v="100% MBS Fee to 125% MBS Fee"/>
    <n v="0"/>
    <n v="0"/>
    <n v="0"/>
    <n v="0"/>
  </r>
  <r>
    <x v="1"/>
    <x v="2"/>
    <s v="VIC"/>
    <s v="No agreement"/>
    <s v="More than 125% MBS Fee to 150% MBS Fee"/>
    <n v="0"/>
    <n v="0"/>
    <n v="0"/>
    <n v="0"/>
  </r>
  <r>
    <x v="1"/>
    <x v="2"/>
    <s v="VIC"/>
    <s v="No agreement"/>
    <s v="More than 150% MBS Fee to 200% MBS Fee"/>
    <n v="0"/>
    <n v="0"/>
    <n v="0"/>
    <n v="0"/>
  </r>
  <r>
    <x v="1"/>
    <x v="2"/>
    <s v="VIC"/>
    <s v="No agreement"/>
    <s v="More than 200% MBS Fee"/>
    <n v="0"/>
    <n v="0"/>
    <n v="0"/>
    <n v="0"/>
  </r>
  <r>
    <x v="1"/>
    <x v="2"/>
    <s v="VIC"/>
    <s v="No agreement"/>
    <s v="Up to MBS Fee"/>
    <n v="0"/>
    <n v="0"/>
    <n v="0"/>
    <n v="0"/>
  </r>
  <r>
    <x v="1"/>
    <x v="2"/>
    <s v="VIC"/>
    <s v="No gap agreement"/>
    <s v="100% MBS Fee to 125% MBS Fee"/>
    <n v="0"/>
    <n v="0"/>
    <n v="0"/>
    <n v="0"/>
  </r>
  <r>
    <x v="1"/>
    <x v="2"/>
    <s v="VIC"/>
    <s v="No gap agreement"/>
    <s v="More than 125% MBS Fee to 150% MBS Fee"/>
    <n v="0"/>
    <n v="0"/>
    <n v="0"/>
    <n v="0"/>
  </r>
  <r>
    <x v="1"/>
    <x v="2"/>
    <s v="VIC"/>
    <s v="No gap agreement"/>
    <s v="More than 150% MBS Fee to 200% MBS Fee"/>
    <n v="0"/>
    <n v="0"/>
    <n v="0"/>
    <n v="0"/>
  </r>
  <r>
    <x v="1"/>
    <x v="2"/>
    <s v="VIC"/>
    <s v="No gap agreement"/>
    <s v="More than 200% MBS Fee"/>
    <n v="0"/>
    <n v="0"/>
    <n v="0"/>
    <n v="0"/>
  </r>
  <r>
    <x v="1"/>
    <x v="2"/>
    <s v="VIC"/>
    <s v="No gap agreement"/>
    <s v="Up to MBS Fee"/>
    <n v="0"/>
    <n v="0"/>
    <n v="0"/>
    <n v="0"/>
  </r>
  <r>
    <x v="1"/>
    <x v="2"/>
    <s v="WA"/>
    <s v="Known gap agreement"/>
    <s v="100% MBS Fee to 125% MBS Fee"/>
    <n v="0"/>
    <n v="0"/>
    <n v="0"/>
    <n v="0"/>
  </r>
  <r>
    <x v="1"/>
    <x v="2"/>
    <s v="WA"/>
    <s v="Known gap agreement"/>
    <s v="More than 125% MBS Fee to 150% MBS Fee"/>
    <n v="0"/>
    <n v="0"/>
    <n v="0"/>
    <n v="0"/>
  </r>
  <r>
    <x v="1"/>
    <x v="2"/>
    <s v="WA"/>
    <s v="Known gap agreement"/>
    <s v="More than 150% MBS Fee to 200% MBS Fee"/>
    <n v="0"/>
    <n v="0"/>
    <n v="0"/>
    <n v="0"/>
  </r>
  <r>
    <x v="1"/>
    <x v="2"/>
    <s v="WA"/>
    <s v="Known gap agreement"/>
    <s v="More than 200% MBS Fee"/>
    <n v="0"/>
    <n v="0"/>
    <n v="0"/>
    <n v="0"/>
  </r>
  <r>
    <x v="1"/>
    <x v="2"/>
    <s v="WA"/>
    <s v="No agreement"/>
    <s v="100% MBS Fee to 125% MBS Fee"/>
    <n v="0"/>
    <n v="0"/>
    <n v="0"/>
    <n v="0"/>
  </r>
  <r>
    <x v="1"/>
    <x v="2"/>
    <s v="WA"/>
    <s v="No agreement"/>
    <s v="More than 125% MBS Fee to 150% MBS Fee"/>
    <n v="0"/>
    <n v="0"/>
    <n v="0"/>
    <n v="0"/>
  </r>
  <r>
    <x v="1"/>
    <x v="2"/>
    <s v="WA"/>
    <s v="No agreement"/>
    <s v="More than 150% MBS Fee to 200% MBS Fee"/>
    <n v="0"/>
    <n v="0"/>
    <n v="0"/>
    <n v="0"/>
  </r>
  <r>
    <x v="1"/>
    <x v="2"/>
    <s v="WA"/>
    <s v="No agreement"/>
    <s v="More than 200% MBS Fee"/>
    <n v="0"/>
    <n v="0"/>
    <n v="0"/>
    <n v="0"/>
  </r>
  <r>
    <x v="1"/>
    <x v="2"/>
    <s v="WA"/>
    <s v="No agreement"/>
    <s v="Up to MBS Fee"/>
    <n v="0"/>
    <n v="0"/>
    <n v="0"/>
    <n v="0"/>
  </r>
  <r>
    <x v="1"/>
    <x v="2"/>
    <s v="WA"/>
    <s v="No gap agreement"/>
    <s v="100% MBS Fee to 125% MBS Fee"/>
    <n v="0"/>
    <n v="0"/>
    <n v="0"/>
    <n v="0"/>
  </r>
  <r>
    <x v="1"/>
    <x v="2"/>
    <s v="WA"/>
    <s v="No gap agreement"/>
    <s v="More than 125% MBS Fee to 150% MBS Fee"/>
    <n v="0"/>
    <n v="0"/>
    <n v="0"/>
    <n v="0"/>
  </r>
  <r>
    <x v="1"/>
    <x v="2"/>
    <s v="WA"/>
    <s v="No gap agreement"/>
    <s v="More than 150% MBS Fee to 200% MBS Fee"/>
    <n v="0"/>
    <n v="0"/>
    <n v="0"/>
    <n v="0"/>
  </r>
  <r>
    <x v="1"/>
    <x v="2"/>
    <s v="WA"/>
    <s v="No gap agreement"/>
    <s v="More than 200% MBS Fee"/>
    <n v="0"/>
    <n v="0"/>
    <n v="0"/>
    <n v="0"/>
  </r>
  <r>
    <x v="1"/>
    <x v="2"/>
    <s v="WA"/>
    <s v="No gap agreement"/>
    <s v="Up to MBS Fee"/>
    <n v="0"/>
    <n v="0"/>
    <n v="0"/>
    <n v="0"/>
  </r>
  <r>
    <x v="1"/>
    <x v="3"/>
    <s v="ACT"/>
    <s v="Known gap agreement"/>
    <s v="100% MBS Fee to 125% MBS Fee"/>
    <n v="0"/>
    <n v="0"/>
    <n v="0"/>
    <n v="0"/>
  </r>
  <r>
    <x v="1"/>
    <x v="3"/>
    <s v="ACT"/>
    <s v="Known gap agreement"/>
    <s v="More than 125% MBS Fee to 150% MBS Fee"/>
    <n v="0"/>
    <n v="0"/>
    <n v="0"/>
    <n v="0"/>
  </r>
  <r>
    <x v="1"/>
    <x v="3"/>
    <s v="ACT"/>
    <s v="Known gap agreement"/>
    <s v="More than 150% MBS Fee to 200% MBS Fee"/>
    <n v="0"/>
    <n v="0"/>
    <n v="0"/>
    <n v="0"/>
  </r>
  <r>
    <x v="1"/>
    <x v="3"/>
    <s v="ACT"/>
    <s v="Known gap agreement"/>
    <s v="More than 200% MBS Fee"/>
    <n v="0"/>
    <n v="0"/>
    <n v="0"/>
    <n v="0"/>
  </r>
  <r>
    <x v="1"/>
    <x v="3"/>
    <s v="ACT"/>
    <s v="No agreement"/>
    <s v="100% MBS Fee to 125% MBS Fee"/>
    <n v="0"/>
    <n v="0"/>
    <n v="0"/>
    <n v="0"/>
  </r>
  <r>
    <x v="1"/>
    <x v="3"/>
    <s v="ACT"/>
    <s v="No agreement"/>
    <s v="More than 125% MBS Fee to 150% MBS Fee"/>
    <n v="0"/>
    <n v="0"/>
    <n v="0"/>
    <n v="0"/>
  </r>
  <r>
    <x v="1"/>
    <x v="3"/>
    <s v="ACT"/>
    <s v="No agreement"/>
    <s v="More than 150% MBS Fee to 200% MBS Fee"/>
    <n v="0"/>
    <n v="0"/>
    <n v="0"/>
    <n v="0"/>
  </r>
  <r>
    <x v="1"/>
    <x v="3"/>
    <s v="ACT"/>
    <s v="No agreement"/>
    <s v="More than 200% MBS Fee"/>
    <n v="0"/>
    <n v="0"/>
    <n v="0"/>
    <n v="0"/>
  </r>
  <r>
    <x v="1"/>
    <x v="3"/>
    <s v="ACT"/>
    <s v="No agreement"/>
    <s v="Up to MBS Fee"/>
    <n v="0"/>
    <n v="0"/>
    <n v="0"/>
    <n v="0"/>
  </r>
  <r>
    <x v="1"/>
    <x v="3"/>
    <s v="ACT"/>
    <s v="No gap agreement"/>
    <s v="100% MBS Fee to 125% MBS Fee"/>
    <n v="0"/>
    <n v="0"/>
    <n v="0"/>
    <n v="0"/>
  </r>
  <r>
    <x v="1"/>
    <x v="3"/>
    <s v="ACT"/>
    <s v="No gap agreement"/>
    <s v="More than 125% MBS Fee to 150% MBS Fee"/>
    <n v="0"/>
    <n v="0"/>
    <n v="0"/>
    <n v="0"/>
  </r>
  <r>
    <x v="1"/>
    <x v="3"/>
    <s v="ACT"/>
    <s v="No gap agreement"/>
    <s v="More than 150% MBS Fee to 200% MBS Fee"/>
    <n v="0"/>
    <n v="0"/>
    <n v="0"/>
    <n v="0"/>
  </r>
  <r>
    <x v="1"/>
    <x v="3"/>
    <s v="ACT"/>
    <s v="No gap agreement"/>
    <s v="More than 200% MBS Fee"/>
    <n v="0"/>
    <n v="0"/>
    <n v="0"/>
    <n v="0"/>
  </r>
  <r>
    <x v="1"/>
    <x v="3"/>
    <s v="ACT"/>
    <s v="No gap agreement"/>
    <s v="Up to MBS Fee"/>
    <n v="0"/>
    <n v="0"/>
    <n v="0"/>
    <n v="0"/>
  </r>
  <r>
    <x v="1"/>
    <x v="3"/>
    <s v="NSW"/>
    <s v="Known gap agreement"/>
    <s v="100% MBS Fee to 125% MBS Fee"/>
    <n v="0"/>
    <n v="0"/>
    <n v="0"/>
    <n v="0"/>
  </r>
  <r>
    <x v="1"/>
    <x v="3"/>
    <s v="NSW"/>
    <s v="Known gap agreement"/>
    <s v="More than 125% MBS Fee to 150% MBS Fee"/>
    <n v="0"/>
    <n v="0"/>
    <n v="0"/>
    <n v="0"/>
  </r>
  <r>
    <x v="1"/>
    <x v="3"/>
    <s v="NSW"/>
    <s v="Known gap agreement"/>
    <s v="More than 150% MBS Fee to 200% MBS Fee"/>
    <n v="0"/>
    <n v="0"/>
    <n v="0"/>
    <n v="0"/>
  </r>
  <r>
    <x v="1"/>
    <x v="3"/>
    <s v="NSW"/>
    <s v="Known gap agreement"/>
    <s v="More than 200% MBS Fee"/>
    <n v="0"/>
    <n v="0"/>
    <n v="0"/>
    <n v="0"/>
  </r>
  <r>
    <x v="1"/>
    <x v="3"/>
    <s v="NSW"/>
    <s v="No agreement"/>
    <s v="100% MBS Fee to 125% MBS Fee"/>
    <n v="0"/>
    <n v="0"/>
    <n v="0"/>
    <n v="0"/>
  </r>
  <r>
    <x v="1"/>
    <x v="3"/>
    <s v="NSW"/>
    <s v="No agreement"/>
    <s v="More than 125% MBS Fee to 150% MBS Fee"/>
    <n v="0"/>
    <n v="0"/>
    <n v="0"/>
    <n v="0"/>
  </r>
  <r>
    <x v="1"/>
    <x v="3"/>
    <s v="NSW"/>
    <s v="No agreement"/>
    <s v="More than 150% MBS Fee to 200% MBS Fee"/>
    <n v="0"/>
    <n v="0"/>
    <n v="0"/>
    <n v="0"/>
  </r>
  <r>
    <x v="1"/>
    <x v="3"/>
    <s v="NSW"/>
    <s v="No agreement"/>
    <s v="More than 200% MBS Fee"/>
    <n v="0"/>
    <n v="0"/>
    <n v="0"/>
    <n v="0"/>
  </r>
  <r>
    <x v="1"/>
    <x v="3"/>
    <s v="NSW"/>
    <s v="No agreement"/>
    <s v="Up to MBS Fee"/>
    <n v="0"/>
    <n v="0"/>
    <n v="0"/>
    <n v="0"/>
  </r>
  <r>
    <x v="1"/>
    <x v="3"/>
    <s v="NSW"/>
    <s v="No gap agreement"/>
    <s v="100% MBS Fee to 125% MBS Fee"/>
    <n v="0"/>
    <n v="0"/>
    <n v="0"/>
    <n v="0"/>
  </r>
  <r>
    <x v="1"/>
    <x v="3"/>
    <s v="NSW"/>
    <s v="No gap agreement"/>
    <s v="More than 125% MBS Fee to 150% MBS Fee"/>
    <n v="0"/>
    <n v="0"/>
    <n v="0"/>
    <n v="0"/>
  </r>
  <r>
    <x v="1"/>
    <x v="3"/>
    <s v="NSW"/>
    <s v="No gap agreement"/>
    <s v="More than 150% MBS Fee to 200% MBS Fee"/>
    <n v="0"/>
    <n v="0"/>
    <n v="0"/>
    <n v="0"/>
  </r>
  <r>
    <x v="1"/>
    <x v="3"/>
    <s v="NSW"/>
    <s v="No gap agreement"/>
    <s v="More than 200% MBS Fee"/>
    <n v="0"/>
    <n v="0"/>
    <n v="0"/>
    <n v="0"/>
  </r>
  <r>
    <x v="1"/>
    <x v="3"/>
    <s v="NSW"/>
    <s v="No gap agreement"/>
    <s v="Up to MBS Fee"/>
    <n v="0"/>
    <n v="0"/>
    <n v="0"/>
    <n v="0"/>
  </r>
  <r>
    <x v="1"/>
    <x v="3"/>
    <s v="NT"/>
    <s v="Known gap agreement"/>
    <s v="100% MBS Fee to 125% MBS Fee"/>
    <n v="0"/>
    <n v="0"/>
    <n v="0"/>
    <n v="0"/>
  </r>
  <r>
    <x v="1"/>
    <x v="3"/>
    <s v="NT"/>
    <s v="Known gap agreement"/>
    <s v="More than 125% MBS Fee to 150% MBS Fee"/>
    <n v="0"/>
    <n v="0"/>
    <n v="0"/>
    <n v="0"/>
  </r>
  <r>
    <x v="1"/>
    <x v="3"/>
    <s v="NT"/>
    <s v="Known gap agreement"/>
    <s v="More than 150% MBS Fee to 200% MBS Fee"/>
    <n v="0"/>
    <n v="0"/>
    <n v="0"/>
    <n v="0"/>
  </r>
  <r>
    <x v="1"/>
    <x v="3"/>
    <s v="NT"/>
    <s v="Known gap agreement"/>
    <s v="More than 200% MBS Fee"/>
    <n v="0"/>
    <n v="0"/>
    <n v="0"/>
    <n v="0"/>
  </r>
  <r>
    <x v="1"/>
    <x v="3"/>
    <s v="NT"/>
    <s v="No agreement"/>
    <s v="100% MBS Fee to 125% MBS Fee"/>
    <n v="0"/>
    <n v="0"/>
    <n v="0"/>
    <n v="0"/>
  </r>
  <r>
    <x v="1"/>
    <x v="3"/>
    <s v="NT"/>
    <s v="No agreement"/>
    <s v="More than 125% MBS Fee to 150% MBS Fee"/>
    <n v="0"/>
    <n v="0"/>
    <n v="0"/>
    <n v="0"/>
  </r>
  <r>
    <x v="1"/>
    <x v="3"/>
    <s v="NT"/>
    <s v="No agreement"/>
    <s v="More than 150% MBS Fee to 200% MBS Fee"/>
    <n v="0"/>
    <n v="0"/>
    <n v="0"/>
    <n v="0"/>
  </r>
  <r>
    <x v="1"/>
    <x v="3"/>
    <s v="NT"/>
    <s v="No agreement"/>
    <s v="More than 200% MBS Fee"/>
    <n v="0"/>
    <n v="0"/>
    <n v="0"/>
    <n v="0"/>
  </r>
  <r>
    <x v="1"/>
    <x v="3"/>
    <s v="NT"/>
    <s v="No agreement"/>
    <s v="Up to MBS Fee"/>
    <n v="0"/>
    <n v="0"/>
    <n v="0"/>
    <n v="0"/>
  </r>
  <r>
    <x v="1"/>
    <x v="3"/>
    <s v="NT"/>
    <s v="No gap agreement"/>
    <s v="100% MBS Fee to 125% MBS Fee"/>
    <n v="0"/>
    <n v="0"/>
    <n v="0"/>
    <n v="0"/>
  </r>
  <r>
    <x v="1"/>
    <x v="3"/>
    <s v="NT"/>
    <s v="No gap agreement"/>
    <s v="More than 125% MBS Fee to 150% MBS Fee"/>
    <n v="0"/>
    <n v="0"/>
    <n v="0"/>
    <n v="0"/>
  </r>
  <r>
    <x v="1"/>
    <x v="3"/>
    <s v="NT"/>
    <s v="No gap agreement"/>
    <s v="More than 150% MBS Fee to 200% MBS Fee"/>
    <n v="0"/>
    <n v="0"/>
    <n v="0"/>
    <n v="0"/>
  </r>
  <r>
    <x v="1"/>
    <x v="3"/>
    <s v="NT"/>
    <s v="No gap agreement"/>
    <s v="More than 200% MBS Fee"/>
    <n v="0"/>
    <n v="0"/>
    <n v="0"/>
    <n v="0"/>
  </r>
  <r>
    <x v="1"/>
    <x v="3"/>
    <s v="NT"/>
    <s v="No gap agreement"/>
    <s v="Up to MBS Fee"/>
    <n v="0"/>
    <n v="0"/>
    <n v="0"/>
    <n v="0"/>
  </r>
  <r>
    <x v="1"/>
    <x v="3"/>
    <s v="QLD"/>
    <s v="Known gap agreement"/>
    <s v="100% MBS Fee to 125% MBS Fee"/>
    <n v="0"/>
    <n v="0"/>
    <n v="0"/>
    <n v="0"/>
  </r>
  <r>
    <x v="1"/>
    <x v="3"/>
    <s v="QLD"/>
    <s v="Known gap agreement"/>
    <s v="More than 125% MBS Fee to 150% MBS Fee"/>
    <n v="0"/>
    <n v="0"/>
    <n v="0"/>
    <n v="0"/>
  </r>
  <r>
    <x v="1"/>
    <x v="3"/>
    <s v="QLD"/>
    <s v="Known gap agreement"/>
    <s v="More than 150% MBS Fee to 200% MBS Fee"/>
    <n v="0"/>
    <n v="0"/>
    <n v="0"/>
    <n v="0"/>
  </r>
  <r>
    <x v="1"/>
    <x v="3"/>
    <s v="QLD"/>
    <s v="Known gap agreement"/>
    <s v="More than 200% MBS Fee"/>
    <n v="0"/>
    <n v="0"/>
    <n v="0"/>
    <n v="0"/>
  </r>
  <r>
    <x v="1"/>
    <x v="3"/>
    <s v="QLD"/>
    <s v="No agreement"/>
    <s v="100% MBS Fee to 125% MBS Fee"/>
    <n v="0"/>
    <n v="0"/>
    <n v="0"/>
    <n v="0"/>
  </r>
  <r>
    <x v="1"/>
    <x v="3"/>
    <s v="QLD"/>
    <s v="No agreement"/>
    <s v="More than 125% MBS Fee to 150% MBS Fee"/>
    <n v="0"/>
    <n v="0"/>
    <n v="0"/>
    <n v="0"/>
  </r>
  <r>
    <x v="1"/>
    <x v="3"/>
    <s v="QLD"/>
    <s v="No agreement"/>
    <s v="More than 150% MBS Fee to 200% MBS Fee"/>
    <n v="0"/>
    <n v="0"/>
    <n v="0"/>
    <n v="0"/>
  </r>
  <r>
    <x v="1"/>
    <x v="3"/>
    <s v="QLD"/>
    <s v="No agreement"/>
    <s v="More than 200% MBS Fee"/>
    <n v="0"/>
    <n v="0"/>
    <n v="0"/>
    <n v="0"/>
  </r>
  <r>
    <x v="1"/>
    <x v="3"/>
    <s v="QLD"/>
    <s v="No agreement"/>
    <s v="Up to MBS Fee"/>
    <n v="0"/>
    <n v="0"/>
    <n v="0"/>
    <n v="0"/>
  </r>
  <r>
    <x v="1"/>
    <x v="3"/>
    <s v="QLD"/>
    <s v="No gap agreement"/>
    <s v="100% MBS Fee to 125% MBS Fee"/>
    <n v="0"/>
    <n v="0"/>
    <n v="0"/>
    <n v="0"/>
  </r>
  <r>
    <x v="1"/>
    <x v="3"/>
    <s v="QLD"/>
    <s v="No gap agreement"/>
    <s v="More than 125% MBS Fee to 150% MBS Fee"/>
    <n v="0"/>
    <n v="0"/>
    <n v="0"/>
    <n v="0"/>
  </r>
  <r>
    <x v="1"/>
    <x v="3"/>
    <s v="QLD"/>
    <s v="No gap agreement"/>
    <s v="More than 150% MBS Fee to 200% MBS Fee"/>
    <n v="0"/>
    <n v="0"/>
    <n v="0"/>
    <n v="0"/>
  </r>
  <r>
    <x v="1"/>
    <x v="3"/>
    <s v="QLD"/>
    <s v="No gap agreement"/>
    <s v="More than 200% MBS Fee"/>
    <n v="0"/>
    <n v="0"/>
    <n v="0"/>
    <n v="0"/>
  </r>
  <r>
    <x v="1"/>
    <x v="3"/>
    <s v="QLD"/>
    <s v="No gap agreement"/>
    <s v="Up to MBS Fee"/>
    <n v="0"/>
    <n v="0"/>
    <n v="0"/>
    <n v="0"/>
  </r>
  <r>
    <x v="1"/>
    <x v="3"/>
    <s v="SA"/>
    <s v="Known gap agreement"/>
    <s v="100% MBS Fee to 125% MBS Fee"/>
    <n v="0"/>
    <n v="0"/>
    <n v="0"/>
    <n v="0"/>
  </r>
  <r>
    <x v="1"/>
    <x v="3"/>
    <s v="SA"/>
    <s v="Known gap agreement"/>
    <s v="More than 125% MBS Fee to 150% MBS Fee"/>
    <n v="0"/>
    <n v="0"/>
    <n v="0"/>
    <n v="0"/>
  </r>
  <r>
    <x v="1"/>
    <x v="3"/>
    <s v="SA"/>
    <s v="Known gap agreement"/>
    <s v="More than 150% MBS Fee to 200% MBS Fee"/>
    <n v="0"/>
    <n v="0"/>
    <n v="0"/>
    <n v="0"/>
  </r>
  <r>
    <x v="1"/>
    <x v="3"/>
    <s v="SA"/>
    <s v="Known gap agreement"/>
    <s v="More than 200% MBS Fee"/>
    <n v="0"/>
    <n v="0"/>
    <n v="0"/>
    <n v="0"/>
  </r>
  <r>
    <x v="1"/>
    <x v="3"/>
    <s v="SA"/>
    <s v="No agreement"/>
    <s v="100% MBS Fee to 125% MBS Fee"/>
    <n v="0"/>
    <n v="0"/>
    <n v="0"/>
    <n v="0"/>
  </r>
  <r>
    <x v="1"/>
    <x v="3"/>
    <s v="SA"/>
    <s v="No agreement"/>
    <s v="More than 125% MBS Fee to 150% MBS Fee"/>
    <n v="0"/>
    <n v="0"/>
    <n v="0"/>
    <n v="0"/>
  </r>
  <r>
    <x v="1"/>
    <x v="3"/>
    <s v="SA"/>
    <s v="No agreement"/>
    <s v="More than 150% MBS Fee to 200% MBS Fee"/>
    <n v="0"/>
    <n v="0"/>
    <n v="0"/>
    <n v="0"/>
  </r>
  <r>
    <x v="1"/>
    <x v="3"/>
    <s v="SA"/>
    <s v="No agreement"/>
    <s v="More than 200% MBS Fee"/>
    <n v="0"/>
    <n v="0"/>
    <n v="0"/>
    <n v="0"/>
  </r>
  <r>
    <x v="1"/>
    <x v="3"/>
    <s v="SA"/>
    <s v="No agreement"/>
    <s v="Up to MBS Fee"/>
    <n v="0"/>
    <n v="0"/>
    <n v="0"/>
    <n v="0"/>
  </r>
  <r>
    <x v="1"/>
    <x v="3"/>
    <s v="SA"/>
    <s v="No gap agreement"/>
    <s v="100% MBS Fee to 125% MBS Fee"/>
    <n v="0"/>
    <n v="0"/>
    <n v="0"/>
    <n v="0"/>
  </r>
  <r>
    <x v="1"/>
    <x v="3"/>
    <s v="SA"/>
    <s v="No gap agreement"/>
    <s v="More than 125% MBS Fee to 150% MBS Fee"/>
    <n v="0"/>
    <n v="0"/>
    <n v="0"/>
    <n v="0"/>
  </r>
  <r>
    <x v="1"/>
    <x v="3"/>
    <s v="SA"/>
    <s v="No gap agreement"/>
    <s v="More than 150% MBS Fee to 200% MBS Fee"/>
    <n v="0"/>
    <n v="0"/>
    <n v="0"/>
    <n v="0"/>
  </r>
  <r>
    <x v="1"/>
    <x v="3"/>
    <s v="SA"/>
    <s v="No gap agreement"/>
    <s v="More than 200% MBS Fee"/>
    <n v="0"/>
    <n v="0"/>
    <n v="0"/>
    <n v="0"/>
  </r>
  <r>
    <x v="1"/>
    <x v="3"/>
    <s v="SA"/>
    <s v="No gap agreement"/>
    <s v="Up to MBS Fee"/>
    <n v="0"/>
    <n v="0"/>
    <n v="0"/>
    <n v="0"/>
  </r>
  <r>
    <x v="1"/>
    <x v="3"/>
    <s v="TAS"/>
    <s v="Known gap agreement"/>
    <s v="100% MBS Fee to 125% MBS Fee"/>
    <n v="0"/>
    <n v="0"/>
    <n v="0"/>
    <n v="0"/>
  </r>
  <r>
    <x v="1"/>
    <x v="3"/>
    <s v="TAS"/>
    <s v="Known gap agreement"/>
    <s v="More than 125% MBS Fee to 150% MBS Fee"/>
    <n v="0"/>
    <n v="0"/>
    <n v="0"/>
    <n v="0"/>
  </r>
  <r>
    <x v="1"/>
    <x v="3"/>
    <s v="TAS"/>
    <s v="Known gap agreement"/>
    <s v="More than 150% MBS Fee to 200% MBS Fee"/>
    <n v="0"/>
    <n v="0"/>
    <n v="0"/>
    <n v="0"/>
  </r>
  <r>
    <x v="1"/>
    <x v="3"/>
    <s v="TAS"/>
    <s v="Known gap agreement"/>
    <s v="More than 200% MBS Fee"/>
    <n v="0"/>
    <n v="0"/>
    <n v="0"/>
    <n v="0"/>
  </r>
  <r>
    <x v="1"/>
    <x v="3"/>
    <s v="TAS"/>
    <s v="No agreement"/>
    <s v="100% MBS Fee to 125% MBS Fee"/>
    <n v="0"/>
    <n v="0"/>
    <n v="0"/>
    <n v="0"/>
  </r>
  <r>
    <x v="1"/>
    <x v="3"/>
    <s v="TAS"/>
    <s v="No agreement"/>
    <s v="More than 125% MBS Fee to 150% MBS Fee"/>
    <n v="0"/>
    <n v="0"/>
    <n v="0"/>
    <n v="0"/>
  </r>
  <r>
    <x v="1"/>
    <x v="3"/>
    <s v="TAS"/>
    <s v="No agreement"/>
    <s v="More than 150% MBS Fee to 200% MBS Fee"/>
    <n v="0"/>
    <n v="0"/>
    <n v="0"/>
    <n v="0"/>
  </r>
  <r>
    <x v="1"/>
    <x v="3"/>
    <s v="TAS"/>
    <s v="No agreement"/>
    <s v="More than 200% MBS Fee"/>
    <n v="0"/>
    <n v="0"/>
    <n v="0"/>
    <n v="0"/>
  </r>
  <r>
    <x v="1"/>
    <x v="3"/>
    <s v="TAS"/>
    <s v="No agreement"/>
    <s v="Up to MBS Fee"/>
    <n v="0"/>
    <n v="0"/>
    <n v="0"/>
    <n v="0"/>
  </r>
  <r>
    <x v="1"/>
    <x v="3"/>
    <s v="TAS"/>
    <s v="No gap agreement"/>
    <s v="100% MBS Fee to 125% MBS Fee"/>
    <n v="0"/>
    <n v="0"/>
    <n v="0"/>
    <n v="0"/>
  </r>
  <r>
    <x v="1"/>
    <x v="3"/>
    <s v="TAS"/>
    <s v="No gap agreement"/>
    <s v="More than 125% MBS Fee to 150% MBS Fee"/>
    <n v="0"/>
    <n v="0"/>
    <n v="0"/>
    <n v="0"/>
  </r>
  <r>
    <x v="1"/>
    <x v="3"/>
    <s v="TAS"/>
    <s v="No gap agreement"/>
    <s v="More than 150% MBS Fee to 200% MBS Fee"/>
    <n v="0"/>
    <n v="0"/>
    <n v="0"/>
    <n v="0"/>
  </r>
  <r>
    <x v="1"/>
    <x v="3"/>
    <s v="TAS"/>
    <s v="No gap agreement"/>
    <s v="More than 200% MBS Fee"/>
    <n v="0"/>
    <n v="0"/>
    <n v="0"/>
    <n v="0"/>
  </r>
  <r>
    <x v="1"/>
    <x v="3"/>
    <s v="TAS"/>
    <s v="No gap agreement"/>
    <s v="Up to MBS Fee"/>
    <n v="0"/>
    <n v="0"/>
    <n v="0"/>
    <n v="0"/>
  </r>
  <r>
    <x v="1"/>
    <x v="3"/>
    <s v="VIC"/>
    <s v="Known gap agreement"/>
    <s v="100% MBS Fee to 125% MBS Fee"/>
    <n v="0"/>
    <n v="0"/>
    <n v="0"/>
    <n v="0"/>
  </r>
  <r>
    <x v="1"/>
    <x v="3"/>
    <s v="VIC"/>
    <s v="Known gap agreement"/>
    <s v="More than 125% MBS Fee to 150% MBS Fee"/>
    <n v="0"/>
    <n v="0"/>
    <n v="0"/>
    <n v="0"/>
  </r>
  <r>
    <x v="1"/>
    <x v="3"/>
    <s v="VIC"/>
    <s v="Known gap agreement"/>
    <s v="More than 150% MBS Fee to 200% MBS Fee"/>
    <n v="0"/>
    <n v="0"/>
    <n v="0"/>
    <n v="0"/>
  </r>
  <r>
    <x v="1"/>
    <x v="3"/>
    <s v="VIC"/>
    <s v="Known gap agreement"/>
    <s v="More than 200% MBS Fee"/>
    <n v="0"/>
    <n v="0"/>
    <n v="0"/>
    <n v="0"/>
  </r>
  <r>
    <x v="1"/>
    <x v="3"/>
    <s v="VIC"/>
    <s v="No agreement"/>
    <s v="100% MBS Fee to 125% MBS Fee"/>
    <n v="0"/>
    <n v="0"/>
    <n v="0"/>
    <n v="0"/>
  </r>
  <r>
    <x v="1"/>
    <x v="3"/>
    <s v="VIC"/>
    <s v="No agreement"/>
    <s v="More than 125% MBS Fee to 150% MBS Fee"/>
    <n v="0"/>
    <n v="0"/>
    <n v="0"/>
    <n v="0"/>
  </r>
  <r>
    <x v="1"/>
    <x v="3"/>
    <s v="VIC"/>
    <s v="No agreement"/>
    <s v="More than 150% MBS Fee to 200% MBS Fee"/>
    <n v="0"/>
    <n v="0"/>
    <n v="0"/>
    <n v="0"/>
  </r>
  <r>
    <x v="1"/>
    <x v="3"/>
    <s v="VIC"/>
    <s v="No agreement"/>
    <s v="More than 200% MBS Fee"/>
    <n v="0"/>
    <n v="0"/>
    <n v="0"/>
    <n v="0"/>
  </r>
  <r>
    <x v="1"/>
    <x v="3"/>
    <s v="VIC"/>
    <s v="No agreement"/>
    <s v="Up to MBS Fee"/>
    <n v="0"/>
    <n v="0"/>
    <n v="0"/>
    <n v="0"/>
  </r>
  <r>
    <x v="1"/>
    <x v="3"/>
    <s v="VIC"/>
    <s v="No gap agreement"/>
    <s v="100% MBS Fee to 125% MBS Fee"/>
    <n v="0"/>
    <n v="0"/>
    <n v="0"/>
    <n v="0"/>
  </r>
  <r>
    <x v="1"/>
    <x v="3"/>
    <s v="VIC"/>
    <s v="No gap agreement"/>
    <s v="More than 125% MBS Fee to 150% MBS Fee"/>
    <n v="0"/>
    <n v="0"/>
    <n v="0"/>
    <n v="0"/>
  </r>
  <r>
    <x v="1"/>
    <x v="3"/>
    <s v="VIC"/>
    <s v="No gap agreement"/>
    <s v="More than 150% MBS Fee to 200% MBS Fee"/>
    <n v="0"/>
    <n v="0"/>
    <n v="0"/>
    <n v="0"/>
  </r>
  <r>
    <x v="1"/>
    <x v="3"/>
    <s v="VIC"/>
    <s v="No gap agreement"/>
    <s v="More than 200% MBS Fee"/>
    <n v="0"/>
    <n v="0"/>
    <n v="0"/>
    <n v="0"/>
  </r>
  <r>
    <x v="1"/>
    <x v="3"/>
    <s v="VIC"/>
    <s v="No gap agreement"/>
    <s v="Up to MBS Fee"/>
    <n v="0"/>
    <n v="0"/>
    <n v="0"/>
    <n v="0"/>
  </r>
  <r>
    <x v="1"/>
    <x v="3"/>
    <s v="WA"/>
    <s v="Known gap agreement"/>
    <s v="100% MBS Fee to 125% MBS Fee"/>
    <n v="0"/>
    <n v="0"/>
    <n v="0"/>
    <n v="0"/>
  </r>
  <r>
    <x v="1"/>
    <x v="3"/>
    <s v="WA"/>
    <s v="Known gap agreement"/>
    <s v="More than 125% MBS Fee to 150% MBS Fee"/>
    <n v="0"/>
    <n v="0"/>
    <n v="0"/>
    <n v="0"/>
  </r>
  <r>
    <x v="1"/>
    <x v="3"/>
    <s v="WA"/>
    <s v="Known gap agreement"/>
    <s v="More than 150% MBS Fee to 200% MBS Fee"/>
    <n v="0"/>
    <n v="0"/>
    <n v="0"/>
    <n v="0"/>
  </r>
  <r>
    <x v="1"/>
    <x v="3"/>
    <s v="WA"/>
    <s v="Known gap agreement"/>
    <s v="More than 200% MBS Fee"/>
    <n v="0"/>
    <n v="0"/>
    <n v="0"/>
    <n v="0"/>
  </r>
  <r>
    <x v="1"/>
    <x v="3"/>
    <s v="WA"/>
    <s v="No agreement"/>
    <s v="100% MBS Fee to 125% MBS Fee"/>
    <n v="0"/>
    <n v="0"/>
    <n v="0"/>
    <n v="0"/>
  </r>
  <r>
    <x v="1"/>
    <x v="3"/>
    <s v="WA"/>
    <s v="No agreement"/>
    <s v="More than 125% MBS Fee to 150% MBS Fee"/>
    <n v="0"/>
    <n v="0"/>
    <n v="0"/>
    <n v="0"/>
  </r>
  <r>
    <x v="1"/>
    <x v="3"/>
    <s v="WA"/>
    <s v="No agreement"/>
    <s v="More than 150% MBS Fee to 200% MBS Fee"/>
    <n v="0"/>
    <n v="0"/>
    <n v="0"/>
    <n v="0"/>
  </r>
  <r>
    <x v="1"/>
    <x v="3"/>
    <s v="WA"/>
    <s v="No agreement"/>
    <s v="More than 200% MBS Fee"/>
    <n v="0"/>
    <n v="0"/>
    <n v="0"/>
    <n v="0"/>
  </r>
  <r>
    <x v="1"/>
    <x v="3"/>
    <s v="WA"/>
    <s v="No agreement"/>
    <s v="Up to MBS Fee"/>
    <n v="0"/>
    <n v="0"/>
    <n v="0"/>
    <n v="0"/>
  </r>
  <r>
    <x v="1"/>
    <x v="3"/>
    <s v="WA"/>
    <s v="No gap agreement"/>
    <s v="100% MBS Fee to 125% MBS Fee"/>
    <n v="0"/>
    <n v="0"/>
    <n v="0"/>
    <n v="0"/>
  </r>
  <r>
    <x v="1"/>
    <x v="3"/>
    <s v="WA"/>
    <s v="No gap agreement"/>
    <s v="More than 125% MBS Fee to 150% MBS Fee"/>
    <n v="0"/>
    <n v="0"/>
    <n v="0"/>
    <n v="0"/>
  </r>
  <r>
    <x v="1"/>
    <x v="3"/>
    <s v="WA"/>
    <s v="No gap agreement"/>
    <s v="More than 150% MBS Fee to 200% MBS Fee"/>
    <n v="0"/>
    <n v="0"/>
    <n v="0"/>
    <n v="0"/>
  </r>
  <r>
    <x v="1"/>
    <x v="3"/>
    <s v="WA"/>
    <s v="No gap agreement"/>
    <s v="More than 200% MBS Fee"/>
    <n v="0"/>
    <n v="0"/>
    <n v="0"/>
    <n v="0"/>
  </r>
  <r>
    <x v="1"/>
    <x v="3"/>
    <s v="WA"/>
    <s v="No gap agreement"/>
    <s v="Up to MBS Fee"/>
    <n v="0"/>
    <n v="0"/>
    <n v="0"/>
    <n v="0"/>
  </r>
  <r>
    <x v="1"/>
    <x v="1"/>
    <s v="ACT"/>
    <s v="Known gap agreement"/>
    <s v="100% MBS Fee to 125% MBS Fee"/>
    <n v="0"/>
    <n v="0"/>
    <n v="0"/>
    <n v="0"/>
  </r>
  <r>
    <x v="1"/>
    <x v="1"/>
    <s v="ACT"/>
    <s v="Known gap agreement"/>
    <s v="More than 125% MBS Fee to 150% MBS Fee"/>
    <n v="0"/>
    <n v="0"/>
    <n v="0"/>
    <n v="0"/>
  </r>
  <r>
    <x v="1"/>
    <x v="1"/>
    <s v="ACT"/>
    <s v="Known gap agreement"/>
    <s v="More than 150% MBS Fee to 200% MBS Fee"/>
    <n v="0"/>
    <n v="0"/>
    <n v="0"/>
    <n v="0"/>
  </r>
  <r>
    <x v="1"/>
    <x v="1"/>
    <s v="ACT"/>
    <s v="Known gap agreement"/>
    <s v="More than 200% MBS Fee"/>
    <n v="0"/>
    <n v="0"/>
    <n v="0"/>
    <n v="0"/>
  </r>
  <r>
    <x v="1"/>
    <x v="1"/>
    <s v="ACT"/>
    <s v="No agreement"/>
    <s v="100% MBS Fee to 125% MBS Fee"/>
    <n v="0"/>
    <n v="0"/>
    <n v="0"/>
    <n v="0"/>
  </r>
  <r>
    <x v="1"/>
    <x v="1"/>
    <s v="ACT"/>
    <s v="No agreement"/>
    <s v="More than 125% MBS Fee to 150% MBS Fee"/>
    <n v="0"/>
    <n v="0"/>
    <n v="0"/>
    <n v="0"/>
  </r>
  <r>
    <x v="1"/>
    <x v="1"/>
    <s v="ACT"/>
    <s v="No agreement"/>
    <s v="More than 150% MBS Fee to 200% MBS Fee"/>
    <n v="0"/>
    <n v="0"/>
    <n v="0"/>
    <n v="0"/>
  </r>
  <r>
    <x v="1"/>
    <x v="1"/>
    <s v="ACT"/>
    <s v="No agreement"/>
    <s v="More than 200% MBS Fee"/>
    <n v="0"/>
    <n v="0"/>
    <n v="0"/>
    <n v="0"/>
  </r>
  <r>
    <x v="1"/>
    <x v="1"/>
    <s v="ACT"/>
    <s v="No agreement"/>
    <s v="Up to MBS Fee"/>
    <n v="0"/>
    <n v="0"/>
    <n v="0"/>
    <n v="0"/>
  </r>
  <r>
    <x v="1"/>
    <x v="1"/>
    <s v="ACT"/>
    <s v="No gap agreement"/>
    <s v="100% MBS Fee to 125% MBS Fee"/>
    <n v="0"/>
    <n v="0"/>
    <n v="0"/>
    <n v="0"/>
  </r>
  <r>
    <x v="1"/>
    <x v="1"/>
    <s v="ACT"/>
    <s v="No gap agreement"/>
    <s v="More than 125% MBS Fee to 150% MBS Fee"/>
    <n v="0"/>
    <n v="0"/>
    <n v="0"/>
    <n v="0"/>
  </r>
  <r>
    <x v="1"/>
    <x v="1"/>
    <s v="ACT"/>
    <s v="No gap agreement"/>
    <s v="More than 150% MBS Fee to 200% MBS Fee"/>
    <n v="0"/>
    <n v="0"/>
    <n v="0"/>
    <n v="0"/>
  </r>
  <r>
    <x v="1"/>
    <x v="1"/>
    <s v="ACT"/>
    <s v="No gap agreement"/>
    <s v="More than 200% MBS Fee"/>
    <n v="0"/>
    <n v="0"/>
    <n v="0"/>
    <n v="0"/>
  </r>
  <r>
    <x v="1"/>
    <x v="1"/>
    <s v="ACT"/>
    <s v="No gap agreement"/>
    <s v="Up to MBS Fee"/>
    <n v="0"/>
    <n v="0"/>
    <n v="0"/>
    <n v="0"/>
  </r>
  <r>
    <x v="1"/>
    <x v="1"/>
    <s v="NSW"/>
    <s v="Known gap agreement"/>
    <s v="100% MBS Fee to 125% MBS Fee"/>
    <n v="0"/>
    <n v="0"/>
    <n v="0"/>
    <n v="0"/>
  </r>
  <r>
    <x v="1"/>
    <x v="1"/>
    <s v="NSW"/>
    <s v="Known gap agreement"/>
    <s v="More than 125% MBS Fee to 150% MBS Fee"/>
    <n v="0"/>
    <n v="0"/>
    <n v="0"/>
    <n v="0"/>
  </r>
  <r>
    <x v="1"/>
    <x v="1"/>
    <s v="NSW"/>
    <s v="Known gap agreement"/>
    <s v="More than 150% MBS Fee to 200% MBS Fee"/>
    <n v="0"/>
    <n v="0"/>
    <n v="0"/>
    <n v="0"/>
  </r>
  <r>
    <x v="1"/>
    <x v="1"/>
    <s v="NSW"/>
    <s v="Known gap agreement"/>
    <s v="More than 200% MBS Fee"/>
    <n v="0"/>
    <n v="0"/>
    <n v="0"/>
    <n v="0"/>
  </r>
  <r>
    <x v="1"/>
    <x v="1"/>
    <s v="NSW"/>
    <s v="No agreement"/>
    <s v="100% MBS Fee to 125% MBS Fee"/>
    <n v="0"/>
    <n v="0"/>
    <n v="0"/>
    <n v="0"/>
  </r>
  <r>
    <x v="1"/>
    <x v="1"/>
    <s v="NSW"/>
    <s v="No agreement"/>
    <s v="More than 125% MBS Fee to 150% MBS Fee"/>
    <n v="0"/>
    <n v="0"/>
    <n v="0"/>
    <n v="0"/>
  </r>
  <r>
    <x v="1"/>
    <x v="1"/>
    <s v="NSW"/>
    <s v="No agreement"/>
    <s v="More than 150% MBS Fee to 200% MBS Fee"/>
    <n v="0"/>
    <n v="0"/>
    <n v="0"/>
    <n v="0"/>
  </r>
  <r>
    <x v="1"/>
    <x v="1"/>
    <s v="NSW"/>
    <s v="No agreement"/>
    <s v="More than 200% MBS Fee"/>
    <n v="0"/>
    <n v="0"/>
    <n v="0"/>
    <n v="0"/>
  </r>
  <r>
    <x v="1"/>
    <x v="1"/>
    <s v="NSW"/>
    <s v="No agreement"/>
    <s v="Up to MBS Fee"/>
    <n v="0"/>
    <n v="0"/>
    <n v="0"/>
    <n v="0"/>
  </r>
  <r>
    <x v="1"/>
    <x v="1"/>
    <s v="NSW"/>
    <s v="No gap agreement"/>
    <s v="100% MBS Fee to 125% MBS Fee"/>
    <n v="0"/>
    <n v="0"/>
    <n v="0"/>
    <n v="0"/>
  </r>
  <r>
    <x v="1"/>
    <x v="1"/>
    <s v="NSW"/>
    <s v="No gap agreement"/>
    <s v="More than 125% MBS Fee to 150% MBS Fee"/>
    <n v="0"/>
    <n v="0"/>
    <n v="0"/>
    <n v="0"/>
  </r>
  <r>
    <x v="1"/>
    <x v="1"/>
    <s v="NSW"/>
    <s v="No gap agreement"/>
    <s v="More than 150% MBS Fee to 200% MBS Fee"/>
    <n v="0"/>
    <n v="0"/>
    <n v="0"/>
    <n v="0"/>
  </r>
  <r>
    <x v="1"/>
    <x v="1"/>
    <s v="NSW"/>
    <s v="No gap agreement"/>
    <s v="More than 200% MBS Fee"/>
    <n v="0"/>
    <n v="0"/>
    <n v="0"/>
    <n v="0"/>
  </r>
  <r>
    <x v="1"/>
    <x v="1"/>
    <s v="NSW"/>
    <s v="No gap agreement"/>
    <s v="Up to MBS Fee"/>
    <n v="0"/>
    <n v="0"/>
    <n v="0"/>
    <n v="0"/>
  </r>
  <r>
    <x v="1"/>
    <x v="1"/>
    <s v="NT"/>
    <s v="Known gap agreement"/>
    <s v="100% MBS Fee to 125% MBS Fee"/>
    <n v="0"/>
    <n v="0"/>
    <n v="0"/>
    <n v="0"/>
  </r>
  <r>
    <x v="1"/>
    <x v="1"/>
    <s v="NT"/>
    <s v="Known gap agreement"/>
    <s v="More than 125% MBS Fee to 150% MBS Fee"/>
    <n v="0"/>
    <n v="0"/>
    <n v="0"/>
    <n v="0"/>
  </r>
  <r>
    <x v="1"/>
    <x v="1"/>
    <s v="NT"/>
    <s v="Known gap agreement"/>
    <s v="More than 150% MBS Fee to 200% MBS Fee"/>
    <n v="0"/>
    <n v="0"/>
    <n v="0"/>
    <n v="0"/>
  </r>
  <r>
    <x v="1"/>
    <x v="1"/>
    <s v="NT"/>
    <s v="Known gap agreement"/>
    <s v="More than 200% MBS Fee"/>
    <n v="0"/>
    <n v="0"/>
    <n v="0"/>
    <n v="0"/>
  </r>
  <r>
    <x v="1"/>
    <x v="1"/>
    <s v="NT"/>
    <s v="No agreement"/>
    <s v="100% MBS Fee to 125% MBS Fee"/>
    <n v="0"/>
    <n v="0"/>
    <n v="0"/>
    <n v="0"/>
  </r>
  <r>
    <x v="1"/>
    <x v="1"/>
    <s v="NT"/>
    <s v="No agreement"/>
    <s v="More than 125% MBS Fee to 150% MBS Fee"/>
    <n v="0"/>
    <n v="0"/>
    <n v="0"/>
    <n v="0"/>
  </r>
  <r>
    <x v="1"/>
    <x v="1"/>
    <s v="NT"/>
    <s v="No agreement"/>
    <s v="More than 150% MBS Fee to 200% MBS Fee"/>
    <n v="0"/>
    <n v="0"/>
    <n v="0"/>
    <n v="0"/>
  </r>
  <r>
    <x v="1"/>
    <x v="1"/>
    <s v="NT"/>
    <s v="No agreement"/>
    <s v="More than 200% MBS Fee"/>
    <n v="0"/>
    <n v="0"/>
    <n v="0"/>
    <n v="0"/>
  </r>
  <r>
    <x v="1"/>
    <x v="1"/>
    <s v="NT"/>
    <s v="No agreement"/>
    <s v="Up to MBS Fee"/>
    <n v="0"/>
    <n v="0"/>
    <n v="0"/>
    <n v="0"/>
  </r>
  <r>
    <x v="1"/>
    <x v="1"/>
    <s v="NT"/>
    <s v="No gap agreement"/>
    <s v="100% MBS Fee to 125% MBS Fee"/>
    <n v="0"/>
    <n v="0"/>
    <n v="0"/>
    <n v="0"/>
  </r>
  <r>
    <x v="1"/>
    <x v="1"/>
    <s v="NT"/>
    <s v="No gap agreement"/>
    <s v="More than 125% MBS Fee to 150% MBS Fee"/>
    <n v="0"/>
    <n v="0"/>
    <n v="0"/>
    <n v="0"/>
  </r>
  <r>
    <x v="1"/>
    <x v="1"/>
    <s v="NT"/>
    <s v="No gap agreement"/>
    <s v="More than 150% MBS Fee to 200% MBS Fee"/>
    <n v="0"/>
    <n v="0"/>
    <n v="0"/>
    <n v="0"/>
  </r>
  <r>
    <x v="1"/>
    <x v="1"/>
    <s v="NT"/>
    <s v="No gap agreement"/>
    <s v="More than 200% MBS Fee"/>
    <n v="0"/>
    <n v="0"/>
    <n v="0"/>
    <n v="0"/>
  </r>
  <r>
    <x v="1"/>
    <x v="1"/>
    <s v="NT"/>
    <s v="No gap agreement"/>
    <s v="Up to MBS Fee"/>
    <n v="0"/>
    <n v="0"/>
    <n v="0"/>
    <n v="0"/>
  </r>
  <r>
    <x v="1"/>
    <x v="1"/>
    <s v="QLD"/>
    <s v="Known gap agreement"/>
    <s v="100% MBS Fee to 125% MBS Fee"/>
    <n v="0"/>
    <n v="0"/>
    <n v="0"/>
    <n v="0"/>
  </r>
  <r>
    <x v="1"/>
    <x v="1"/>
    <s v="QLD"/>
    <s v="Known gap agreement"/>
    <s v="More than 125% MBS Fee to 150% MBS Fee"/>
    <n v="0"/>
    <n v="0"/>
    <n v="0"/>
    <n v="0"/>
  </r>
  <r>
    <x v="1"/>
    <x v="1"/>
    <s v="QLD"/>
    <s v="Known gap agreement"/>
    <s v="More than 150% MBS Fee to 200% MBS Fee"/>
    <n v="0"/>
    <n v="0"/>
    <n v="0"/>
    <n v="0"/>
  </r>
  <r>
    <x v="1"/>
    <x v="1"/>
    <s v="QLD"/>
    <s v="Known gap agreement"/>
    <s v="More than 200% MBS Fee"/>
    <n v="0"/>
    <n v="0"/>
    <n v="0"/>
    <n v="0"/>
  </r>
  <r>
    <x v="1"/>
    <x v="1"/>
    <s v="QLD"/>
    <s v="No agreement"/>
    <s v="100% MBS Fee to 125% MBS Fee"/>
    <n v="0"/>
    <n v="0"/>
    <n v="0"/>
    <n v="0"/>
  </r>
  <r>
    <x v="1"/>
    <x v="1"/>
    <s v="QLD"/>
    <s v="No agreement"/>
    <s v="More than 125% MBS Fee to 150% MBS Fee"/>
    <n v="0"/>
    <n v="0"/>
    <n v="0"/>
    <n v="0"/>
  </r>
  <r>
    <x v="1"/>
    <x v="1"/>
    <s v="QLD"/>
    <s v="No agreement"/>
    <s v="More than 150% MBS Fee to 200% MBS Fee"/>
    <n v="0"/>
    <n v="0"/>
    <n v="0"/>
    <n v="0"/>
  </r>
  <r>
    <x v="1"/>
    <x v="1"/>
    <s v="QLD"/>
    <s v="No agreement"/>
    <s v="More than 200% MBS Fee"/>
    <n v="0"/>
    <n v="0"/>
    <n v="0"/>
    <n v="0"/>
  </r>
  <r>
    <x v="1"/>
    <x v="1"/>
    <s v="QLD"/>
    <s v="No agreement"/>
    <s v="Up to MBS Fee"/>
    <n v="0"/>
    <n v="0"/>
    <n v="0"/>
    <n v="0"/>
  </r>
  <r>
    <x v="1"/>
    <x v="1"/>
    <s v="QLD"/>
    <s v="No gap agreement"/>
    <s v="100% MBS Fee to 125% MBS Fee"/>
    <n v="0"/>
    <n v="0"/>
    <n v="0"/>
    <n v="0"/>
  </r>
  <r>
    <x v="1"/>
    <x v="1"/>
    <s v="QLD"/>
    <s v="No gap agreement"/>
    <s v="More than 125% MBS Fee to 150% MBS Fee"/>
    <n v="0"/>
    <n v="0"/>
    <n v="0"/>
    <n v="0"/>
  </r>
  <r>
    <x v="1"/>
    <x v="1"/>
    <s v="QLD"/>
    <s v="No gap agreement"/>
    <s v="More than 150% MBS Fee to 200% MBS Fee"/>
    <n v="0"/>
    <n v="0"/>
    <n v="0"/>
    <n v="0"/>
  </r>
  <r>
    <x v="1"/>
    <x v="1"/>
    <s v="QLD"/>
    <s v="No gap agreement"/>
    <s v="More than 200% MBS Fee"/>
    <n v="0"/>
    <n v="0"/>
    <n v="0"/>
    <n v="0"/>
  </r>
  <r>
    <x v="1"/>
    <x v="1"/>
    <s v="QLD"/>
    <s v="No gap agreement"/>
    <s v="Up to MBS Fee"/>
    <n v="0"/>
    <n v="0"/>
    <n v="0"/>
    <n v="0"/>
  </r>
  <r>
    <x v="1"/>
    <x v="1"/>
    <s v="SA"/>
    <s v="Known gap agreement"/>
    <s v="100% MBS Fee to 125% MBS Fee"/>
    <n v="0"/>
    <n v="0"/>
    <n v="0"/>
    <n v="0"/>
  </r>
  <r>
    <x v="1"/>
    <x v="1"/>
    <s v="SA"/>
    <s v="Known gap agreement"/>
    <s v="More than 125% MBS Fee to 150% MBS Fee"/>
    <n v="0"/>
    <n v="0"/>
    <n v="0"/>
    <n v="0"/>
  </r>
  <r>
    <x v="1"/>
    <x v="1"/>
    <s v="SA"/>
    <s v="Known gap agreement"/>
    <s v="More than 150% MBS Fee to 200% MBS Fee"/>
    <n v="0"/>
    <n v="0"/>
    <n v="0"/>
    <n v="0"/>
  </r>
  <r>
    <x v="1"/>
    <x v="1"/>
    <s v="SA"/>
    <s v="Known gap agreement"/>
    <s v="More than 200% MBS Fee"/>
    <n v="0"/>
    <n v="0"/>
    <n v="0"/>
    <n v="0"/>
  </r>
  <r>
    <x v="1"/>
    <x v="1"/>
    <s v="SA"/>
    <s v="No agreement"/>
    <s v="100% MBS Fee to 125% MBS Fee"/>
    <n v="0"/>
    <n v="0"/>
    <n v="0"/>
    <n v="0"/>
  </r>
  <r>
    <x v="1"/>
    <x v="1"/>
    <s v="SA"/>
    <s v="No agreement"/>
    <s v="More than 125% MBS Fee to 150% MBS Fee"/>
    <n v="0"/>
    <n v="0"/>
    <n v="0"/>
    <n v="0"/>
  </r>
  <r>
    <x v="1"/>
    <x v="1"/>
    <s v="SA"/>
    <s v="No agreement"/>
    <s v="More than 150% MBS Fee to 200% MBS Fee"/>
    <n v="0"/>
    <n v="0"/>
    <n v="0"/>
    <n v="0"/>
  </r>
  <r>
    <x v="1"/>
    <x v="1"/>
    <s v="SA"/>
    <s v="No agreement"/>
    <s v="More than 200% MBS Fee"/>
    <n v="0"/>
    <n v="0"/>
    <n v="0"/>
    <n v="0"/>
  </r>
  <r>
    <x v="1"/>
    <x v="1"/>
    <s v="SA"/>
    <s v="No agreement"/>
    <s v="Up to MBS Fee"/>
    <n v="0"/>
    <n v="0"/>
    <n v="0"/>
    <n v="0"/>
  </r>
  <r>
    <x v="1"/>
    <x v="1"/>
    <s v="SA"/>
    <s v="No gap agreement"/>
    <s v="100% MBS Fee to 125% MBS Fee"/>
    <n v="0"/>
    <n v="0"/>
    <n v="0"/>
    <n v="0"/>
  </r>
  <r>
    <x v="1"/>
    <x v="1"/>
    <s v="SA"/>
    <s v="No gap agreement"/>
    <s v="More than 125% MBS Fee to 150% MBS Fee"/>
    <n v="0"/>
    <n v="0"/>
    <n v="0"/>
    <n v="0"/>
  </r>
  <r>
    <x v="1"/>
    <x v="1"/>
    <s v="SA"/>
    <s v="No gap agreement"/>
    <s v="More than 150% MBS Fee to 200% MBS Fee"/>
    <n v="0"/>
    <n v="0"/>
    <n v="0"/>
    <n v="0"/>
  </r>
  <r>
    <x v="1"/>
    <x v="1"/>
    <s v="SA"/>
    <s v="No gap agreement"/>
    <s v="More than 200% MBS Fee"/>
    <n v="0"/>
    <n v="0"/>
    <n v="0"/>
    <n v="0"/>
  </r>
  <r>
    <x v="1"/>
    <x v="1"/>
    <s v="SA"/>
    <s v="No gap agreement"/>
    <s v="Up to MBS Fee"/>
    <n v="0"/>
    <n v="0"/>
    <n v="0"/>
    <n v="0"/>
  </r>
  <r>
    <x v="1"/>
    <x v="1"/>
    <s v="TAS"/>
    <s v="Known gap agreement"/>
    <s v="100% MBS Fee to 125% MBS Fee"/>
    <n v="0"/>
    <n v="0"/>
    <n v="0"/>
    <n v="0"/>
  </r>
  <r>
    <x v="1"/>
    <x v="1"/>
    <s v="TAS"/>
    <s v="Known gap agreement"/>
    <s v="More than 125% MBS Fee to 150% MBS Fee"/>
    <n v="0"/>
    <n v="0"/>
    <n v="0"/>
    <n v="0"/>
  </r>
  <r>
    <x v="1"/>
    <x v="1"/>
    <s v="TAS"/>
    <s v="Known gap agreement"/>
    <s v="More than 150% MBS Fee to 200% MBS Fee"/>
    <n v="0"/>
    <n v="0"/>
    <n v="0"/>
    <n v="0"/>
  </r>
  <r>
    <x v="1"/>
    <x v="1"/>
    <s v="TAS"/>
    <s v="Known gap agreement"/>
    <s v="More than 200% MBS Fee"/>
    <n v="0"/>
    <n v="0"/>
    <n v="0"/>
    <n v="0"/>
  </r>
  <r>
    <x v="1"/>
    <x v="1"/>
    <s v="TAS"/>
    <s v="No agreement"/>
    <s v="100% MBS Fee to 125% MBS Fee"/>
    <n v="0"/>
    <n v="0"/>
    <n v="0"/>
    <n v="0"/>
  </r>
  <r>
    <x v="1"/>
    <x v="1"/>
    <s v="TAS"/>
    <s v="No agreement"/>
    <s v="More than 125% MBS Fee to 150% MBS Fee"/>
    <n v="0"/>
    <n v="0"/>
    <n v="0"/>
    <n v="0"/>
  </r>
  <r>
    <x v="1"/>
    <x v="1"/>
    <s v="TAS"/>
    <s v="No agreement"/>
    <s v="More than 150% MBS Fee to 200% MBS Fee"/>
    <n v="0"/>
    <n v="0"/>
    <n v="0"/>
    <n v="0"/>
  </r>
  <r>
    <x v="1"/>
    <x v="1"/>
    <s v="TAS"/>
    <s v="No agreement"/>
    <s v="More than 200% MBS Fee"/>
    <n v="0"/>
    <n v="0"/>
    <n v="0"/>
    <n v="0"/>
  </r>
  <r>
    <x v="1"/>
    <x v="1"/>
    <s v="TAS"/>
    <s v="No agreement"/>
    <s v="Up to MBS Fee"/>
    <n v="0"/>
    <n v="0"/>
    <n v="0"/>
    <n v="0"/>
  </r>
  <r>
    <x v="1"/>
    <x v="1"/>
    <s v="TAS"/>
    <s v="No gap agreement"/>
    <s v="100% MBS Fee to 125% MBS Fee"/>
    <n v="0"/>
    <n v="0"/>
    <n v="0"/>
    <n v="0"/>
  </r>
  <r>
    <x v="1"/>
    <x v="1"/>
    <s v="TAS"/>
    <s v="No gap agreement"/>
    <s v="More than 125% MBS Fee to 150% MBS Fee"/>
    <n v="0"/>
    <n v="0"/>
    <n v="0"/>
    <n v="0"/>
  </r>
  <r>
    <x v="1"/>
    <x v="1"/>
    <s v="TAS"/>
    <s v="No gap agreement"/>
    <s v="More than 150% MBS Fee to 200% MBS Fee"/>
    <n v="0"/>
    <n v="0"/>
    <n v="0"/>
    <n v="0"/>
  </r>
  <r>
    <x v="1"/>
    <x v="1"/>
    <s v="TAS"/>
    <s v="No gap agreement"/>
    <s v="More than 200% MBS Fee"/>
    <n v="0"/>
    <n v="0"/>
    <n v="0"/>
    <n v="0"/>
  </r>
  <r>
    <x v="1"/>
    <x v="1"/>
    <s v="TAS"/>
    <s v="No gap agreement"/>
    <s v="Up to MBS Fee"/>
    <n v="0"/>
    <n v="0"/>
    <n v="0"/>
    <n v="0"/>
  </r>
  <r>
    <x v="1"/>
    <x v="1"/>
    <s v="VIC"/>
    <s v="Known gap agreement"/>
    <s v="100% MBS Fee to 125% MBS Fee"/>
    <n v="0"/>
    <n v="0"/>
    <n v="0"/>
    <n v="0"/>
  </r>
  <r>
    <x v="1"/>
    <x v="1"/>
    <s v="VIC"/>
    <s v="Known gap agreement"/>
    <s v="More than 125% MBS Fee to 150% MBS Fee"/>
    <n v="0"/>
    <n v="0"/>
    <n v="0"/>
    <n v="0"/>
  </r>
  <r>
    <x v="1"/>
    <x v="1"/>
    <s v="VIC"/>
    <s v="Known gap agreement"/>
    <s v="More than 150% MBS Fee to 200% MBS Fee"/>
    <n v="0"/>
    <n v="0"/>
    <n v="0"/>
    <n v="0"/>
  </r>
  <r>
    <x v="1"/>
    <x v="1"/>
    <s v="VIC"/>
    <s v="Known gap agreement"/>
    <s v="More than 200% MBS Fee"/>
    <n v="0"/>
    <n v="0"/>
    <n v="0"/>
    <n v="0"/>
  </r>
  <r>
    <x v="1"/>
    <x v="1"/>
    <s v="VIC"/>
    <s v="No agreement"/>
    <s v="100% MBS Fee to 125% MBS Fee"/>
    <n v="0"/>
    <n v="0"/>
    <n v="0"/>
    <n v="0"/>
  </r>
  <r>
    <x v="1"/>
    <x v="1"/>
    <s v="VIC"/>
    <s v="No agreement"/>
    <s v="More than 125% MBS Fee to 150% MBS Fee"/>
    <n v="0"/>
    <n v="0"/>
    <n v="0"/>
    <n v="0"/>
  </r>
  <r>
    <x v="1"/>
    <x v="1"/>
    <s v="VIC"/>
    <s v="No agreement"/>
    <s v="More than 150% MBS Fee to 200% MBS Fee"/>
    <n v="0"/>
    <n v="0"/>
    <n v="0"/>
    <n v="0"/>
  </r>
  <r>
    <x v="1"/>
    <x v="1"/>
    <s v="VIC"/>
    <s v="No agreement"/>
    <s v="More than 200% MBS Fee"/>
    <n v="0"/>
    <n v="0"/>
    <n v="0"/>
    <n v="0"/>
  </r>
  <r>
    <x v="1"/>
    <x v="1"/>
    <s v="VIC"/>
    <s v="No agreement"/>
    <s v="Up to MBS Fee"/>
    <n v="0"/>
    <n v="0"/>
    <n v="0"/>
    <n v="0"/>
  </r>
  <r>
    <x v="1"/>
    <x v="1"/>
    <s v="VIC"/>
    <s v="No gap agreement"/>
    <s v="100% MBS Fee to 125% MBS Fee"/>
    <n v="0"/>
    <n v="0"/>
    <n v="0"/>
    <n v="0"/>
  </r>
  <r>
    <x v="1"/>
    <x v="1"/>
    <s v="VIC"/>
    <s v="No gap agreement"/>
    <s v="More than 125% MBS Fee to 150% MBS Fee"/>
    <n v="0"/>
    <n v="0"/>
    <n v="0"/>
    <n v="0"/>
  </r>
  <r>
    <x v="1"/>
    <x v="1"/>
    <s v="VIC"/>
    <s v="No gap agreement"/>
    <s v="More than 150% MBS Fee to 200% MBS Fee"/>
    <n v="0"/>
    <n v="0"/>
    <n v="0"/>
    <n v="0"/>
  </r>
  <r>
    <x v="1"/>
    <x v="1"/>
    <s v="VIC"/>
    <s v="No gap agreement"/>
    <s v="More than 200% MBS Fee"/>
    <n v="0"/>
    <n v="0"/>
    <n v="0"/>
    <n v="0"/>
  </r>
  <r>
    <x v="1"/>
    <x v="1"/>
    <s v="VIC"/>
    <s v="No gap agreement"/>
    <s v="Up to MBS Fee"/>
    <n v="0"/>
    <n v="0"/>
    <n v="0"/>
    <n v="0"/>
  </r>
  <r>
    <x v="1"/>
    <x v="1"/>
    <s v="WA"/>
    <s v="Known gap agreement"/>
    <s v="100% MBS Fee to 125% MBS Fee"/>
    <n v="0"/>
    <n v="0"/>
    <n v="0"/>
    <n v="0"/>
  </r>
  <r>
    <x v="1"/>
    <x v="1"/>
    <s v="WA"/>
    <s v="Known gap agreement"/>
    <s v="More than 125% MBS Fee to 150% MBS Fee"/>
    <n v="0"/>
    <n v="0"/>
    <n v="0"/>
    <n v="0"/>
  </r>
  <r>
    <x v="1"/>
    <x v="1"/>
    <s v="WA"/>
    <s v="Known gap agreement"/>
    <s v="More than 150% MBS Fee to 200% MBS Fee"/>
    <n v="0"/>
    <n v="0"/>
    <n v="0"/>
    <n v="0"/>
  </r>
  <r>
    <x v="1"/>
    <x v="1"/>
    <s v="WA"/>
    <s v="Known gap agreement"/>
    <s v="More than 200% MBS Fee"/>
    <n v="0"/>
    <n v="0"/>
    <n v="0"/>
    <n v="0"/>
  </r>
  <r>
    <x v="1"/>
    <x v="1"/>
    <s v="WA"/>
    <s v="No agreement"/>
    <s v="100% MBS Fee to 125% MBS Fee"/>
    <n v="0"/>
    <n v="0"/>
    <n v="0"/>
    <n v="0"/>
  </r>
  <r>
    <x v="1"/>
    <x v="1"/>
    <s v="WA"/>
    <s v="No agreement"/>
    <s v="More than 125% MBS Fee to 150% MBS Fee"/>
    <n v="0"/>
    <n v="0"/>
    <n v="0"/>
    <n v="0"/>
  </r>
  <r>
    <x v="1"/>
    <x v="1"/>
    <s v="WA"/>
    <s v="No agreement"/>
    <s v="More than 150% MBS Fee to 200% MBS Fee"/>
    <n v="0"/>
    <n v="0"/>
    <n v="0"/>
    <n v="0"/>
  </r>
  <r>
    <x v="1"/>
    <x v="1"/>
    <s v="WA"/>
    <s v="No agreement"/>
    <s v="More than 200% MBS Fee"/>
    <n v="0"/>
    <n v="0"/>
    <n v="0"/>
    <n v="0"/>
  </r>
  <r>
    <x v="1"/>
    <x v="1"/>
    <s v="WA"/>
    <s v="No agreement"/>
    <s v="Up to MBS Fee"/>
    <n v="0"/>
    <n v="0"/>
    <n v="0"/>
    <n v="0"/>
  </r>
  <r>
    <x v="1"/>
    <x v="1"/>
    <s v="WA"/>
    <s v="No gap agreement"/>
    <s v="100% MBS Fee to 125% MBS Fee"/>
    <n v="0"/>
    <n v="0"/>
    <n v="0"/>
    <n v="0"/>
  </r>
  <r>
    <x v="1"/>
    <x v="1"/>
    <s v="WA"/>
    <s v="No gap agreement"/>
    <s v="More than 125% MBS Fee to 150% MBS Fee"/>
    <n v="0"/>
    <n v="0"/>
    <n v="0"/>
    <n v="0"/>
  </r>
  <r>
    <x v="1"/>
    <x v="1"/>
    <s v="WA"/>
    <s v="No gap agreement"/>
    <s v="More than 150% MBS Fee to 200% MBS Fee"/>
    <n v="0"/>
    <n v="0"/>
    <n v="0"/>
    <n v="0"/>
  </r>
  <r>
    <x v="1"/>
    <x v="1"/>
    <s v="WA"/>
    <s v="No gap agreement"/>
    <s v="More than 200% MBS Fee"/>
    <n v="0"/>
    <n v="0"/>
    <n v="0"/>
    <n v="0"/>
  </r>
  <r>
    <x v="1"/>
    <x v="1"/>
    <s v="WA"/>
    <s v="No gap agreement"/>
    <s v="Up to MBS Fee"/>
    <n v="0"/>
    <n v="0"/>
    <n v="0"/>
    <n v="0"/>
  </r>
  <r>
    <x v="2"/>
    <x v="0"/>
    <s v="ACT"/>
    <s v="Known gap agreement"/>
    <s v="100% MBS Fee to 125% MBS Fee"/>
    <n v="0"/>
    <n v="0"/>
    <n v="0"/>
    <n v="0"/>
  </r>
  <r>
    <x v="2"/>
    <x v="0"/>
    <s v="ACT"/>
    <s v="Known gap agreement"/>
    <s v="More than 125% MBS Fee to 150% MBS Fee"/>
    <n v="0"/>
    <n v="0"/>
    <n v="0"/>
    <n v="0"/>
  </r>
  <r>
    <x v="2"/>
    <x v="0"/>
    <s v="ACT"/>
    <s v="Known gap agreement"/>
    <s v="More than 150% MBS Fee to 200% MBS Fee"/>
    <n v="0"/>
    <n v="0"/>
    <n v="0"/>
    <n v="0"/>
  </r>
  <r>
    <x v="2"/>
    <x v="0"/>
    <s v="ACT"/>
    <s v="Known gap agreement"/>
    <s v="More than 200% MBS Fee"/>
    <n v="0"/>
    <n v="0"/>
    <n v="0"/>
    <n v="0"/>
  </r>
  <r>
    <x v="2"/>
    <x v="0"/>
    <s v="ACT"/>
    <s v="No agreement"/>
    <s v="100% MBS Fee to 125% MBS Fee"/>
    <n v="0"/>
    <n v="0"/>
    <n v="0"/>
    <n v="0"/>
  </r>
  <r>
    <x v="2"/>
    <x v="0"/>
    <s v="ACT"/>
    <s v="No agreement"/>
    <s v="More than 125% MBS Fee to 150% MBS Fee"/>
    <n v="0"/>
    <n v="0"/>
    <n v="0"/>
    <n v="0"/>
  </r>
  <r>
    <x v="2"/>
    <x v="0"/>
    <s v="ACT"/>
    <s v="No agreement"/>
    <s v="More than 150% MBS Fee to 200% MBS Fee"/>
    <n v="0"/>
    <n v="0"/>
    <n v="0"/>
    <n v="0"/>
  </r>
  <r>
    <x v="2"/>
    <x v="0"/>
    <s v="ACT"/>
    <s v="No agreement"/>
    <s v="More than 200% MBS Fee"/>
    <n v="0"/>
    <n v="0"/>
    <n v="0"/>
    <n v="0"/>
  </r>
  <r>
    <x v="2"/>
    <x v="0"/>
    <s v="ACT"/>
    <s v="No agreement"/>
    <s v="Up to MBS Fee"/>
    <n v="0"/>
    <n v="0"/>
    <n v="0"/>
    <n v="0"/>
  </r>
  <r>
    <x v="2"/>
    <x v="0"/>
    <s v="ACT"/>
    <s v="No gap agreement"/>
    <s v="100% MBS Fee to 125% MBS Fee"/>
    <n v="0"/>
    <n v="0"/>
    <n v="0"/>
    <n v="0"/>
  </r>
  <r>
    <x v="2"/>
    <x v="0"/>
    <s v="ACT"/>
    <s v="No gap agreement"/>
    <s v="More than 125% MBS Fee to 150% MBS Fee"/>
    <n v="0"/>
    <n v="0"/>
    <n v="0"/>
    <n v="0"/>
  </r>
  <r>
    <x v="2"/>
    <x v="0"/>
    <s v="ACT"/>
    <s v="No gap agreement"/>
    <s v="More than 150% MBS Fee to 200% MBS Fee"/>
    <n v="0"/>
    <n v="0"/>
    <n v="0"/>
    <n v="0"/>
  </r>
  <r>
    <x v="2"/>
    <x v="0"/>
    <s v="ACT"/>
    <s v="No gap agreement"/>
    <s v="More than 200% MBS Fee"/>
    <n v="0"/>
    <n v="0"/>
    <n v="0"/>
    <n v="0"/>
  </r>
  <r>
    <x v="2"/>
    <x v="0"/>
    <s v="ACT"/>
    <s v="No gap agreement"/>
    <s v="Up to MBS Fee"/>
    <n v="0"/>
    <n v="0"/>
    <n v="0"/>
    <n v="0"/>
  </r>
  <r>
    <x v="2"/>
    <x v="0"/>
    <s v="NSW"/>
    <s v="Known gap agreement"/>
    <s v="100% MBS Fee to 125% MBS Fee"/>
    <n v="0"/>
    <n v="0"/>
    <n v="0"/>
    <n v="0"/>
  </r>
  <r>
    <x v="2"/>
    <x v="0"/>
    <s v="NSW"/>
    <s v="Known gap agreement"/>
    <s v="More than 125% MBS Fee to 150% MBS Fee"/>
    <n v="0"/>
    <n v="0"/>
    <n v="0"/>
    <n v="0"/>
  </r>
  <r>
    <x v="2"/>
    <x v="0"/>
    <s v="NSW"/>
    <s v="Known gap agreement"/>
    <s v="More than 150% MBS Fee to 200% MBS Fee"/>
    <n v="0"/>
    <n v="0"/>
    <n v="0"/>
    <n v="0"/>
  </r>
  <r>
    <x v="2"/>
    <x v="0"/>
    <s v="NSW"/>
    <s v="Known gap agreement"/>
    <s v="More than 200% MBS Fee"/>
    <n v="0"/>
    <n v="0"/>
    <n v="0"/>
    <n v="0"/>
  </r>
  <r>
    <x v="2"/>
    <x v="0"/>
    <s v="NSW"/>
    <s v="No agreement"/>
    <s v="100% MBS Fee to 125% MBS Fee"/>
    <n v="0"/>
    <n v="0"/>
    <n v="0"/>
    <n v="0"/>
  </r>
  <r>
    <x v="2"/>
    <x v="0"/>
    <s v="NSW"/>
    <s v="No agreement"/>
    <s v="More than 125% MBS Fee to 150% MBS Fee"/>
    <n v="0"/>
    <n v="0"/>
    <n v="0"/>
    <n v="0"/>
  </r>
  <r>
    <x v="2"/>
    <x v="0"/>
    <s v="NSW"/>
    <s v="No agreement"/>
    <s v="More than 150% MBS Fee to 200% MBS Fee"/>
    <n v="0"/>
    <n v="0"/>
    <n v="0"/>
    <n v="0"/>
  </r>
  <r>
    <x v="2"/>
    <x v="0"/>
    <s v="NSW"/>
    <s v="No agreement"/>
    <s v="More than 200% MBS Fee"/>
    <n v="0"/>
    <n v="0"/>
    <n v="0"/>
    <n v="0"/>
  </r>
  <r>
    <x v="2"/>
    <x v="0"/>
    <s v="NSW"/>
    <s v="No agreement"/>
    <s v="Up to MBS Fee"/>
    <n v="0"/>
    <n v="0"/>
    <n v="0"/>
    <n v="0"/>
  </r>
  <r>
    <x v="2"/>
    <x v="0"/>
    <s v="NSW"/>
    <s v="No gap agreement"/>
    <s v="100% MBS Fee to 125% MBS Fee"/>
    <n v="0"/>
    <n v="0"/>
    <n v="0"/>
    <n v="0"/>
  </r>
  <r>
    <x v="2"/>
    <x v="0"/>
    <s v="NSW"/>
    <s v="No gap agreement"/>
    <s v="More than 125% MBS Fee to 150% MBS Fee"/>
    <n v="0"/>
    <n v="0"/>
    <n v="0"/>
    <n v="0"/>
  </r>
  <r>
    <x v="2"/>
    <x v="0"/>
    <s v="NSW"/>
    <s v="No gap agreement"/>
    <s v="More than 150% MBS Fee to 200% MBS Fee"/>
    <n v="0"/>
    <n v="0"/>
    <n v="0"/>
    <n v="0"/>
  </r>
  <r>
    <x v="2"/>
    <x v="0"/>
    <s v="NSW"/>
    <s v="No gap agreement"/>
    <s v="More than 200% MBS Fee"/>
    <n v="0"/>
    <n v="0"/>
    <n v="0"/>
    <n v="0"/>
  </r>
  <r>
    <x v="2"/>
    <x v="0"/>
    <s v="NSW"/>
    <s v="No gap agreement"/>
    <s v="Up to MBS Fee"/>
    <n v="0"/>
    <n v="0"/>
    <n v="0"/>
    <n v="0"/>
  </r>
  <r>
    <x v="2"/>
    <x v="0"/>
    <s v="NT"/>
    <s v="Known gap agreement"/>
    <s v="100% MBS Fee to 125% MBS Fee"/>
    <n v="0"/>
    <n v="0"/>
    <n v="0"/>
    <n v="0"/>
  </r>
  <r>
    <x v="2"/>
    <x v="0"/>
    <s v="NT"/>
    <s v="Known gap agreement"/>
    <s v="More than 125% MBS Fee to 150% MBS Fee"/>
    <n v="0"/>
    <n v="0"/>
    <n v="0"/>
    <n v="0"/>
  </r>
  <r>
    <x v="2"/>
    <x v="0"/>
    <s v="NT"/>
    <s v="Known gap agreement"/>
    <s v="More than 150% MBS Fee to 200% MBS Fee"/>
    <n v="0"/>
    <n v="0"/>
    <n v="0"/>
    <n v="0"/>
  </r>
  <r>
    <x v="2"/>
    <x v="0"/>
    <s v="NT"/>
    <s v="Known gap agreement"/>
    <s v="More than 200% MBS Fee"/>
    <n v="0"/>
    <n v="0"/>
    <n v="0"/>
    <n v="0"/>
  </r>
  <r>
    <x v="2"/>
    <x v="0"/>
    <s v="NT"/>
    <s v="No agreement"/>
    <s v="100% MBS Fee to 125% MBS Fee"/>
    <n v="0"/>
    <n v="0"/>
    <n v="0"/>
    <n v="0"/>
  </r>
  <r>
    <x v="2"/>
    <x v="0"/>
    <s v="NT"/>
    <s v="No agreement"/>
    <s v="More than 125% MBS Fee to 150% MBS Fee"/>
    <n v="0"/>
    <n v="0"/>
    <n v="0"/>
    <n v="0"/>
  </r>
  <r>
    <x v="2"/>
    <x v="0"/>
    <s v="NT"/>
    <s v="No agreement"/>
    <s v="More than 150% MBS Fee to 200% MBS Fee"/>
    <n v="0"/>
    <n v="0"/>
    <n v="0"/>
    <n v="0"/>
  </r>
  <r>
    <x v="2"/>
    <x v="0"/>
    <s v="NT"/>
    <s v="No agreement"/>
    <s v="More than 200% MBS Fee"/>
    <n v="0"/>
    <n v="0"/>
    <n v="0"/>
    <n v="0"/>
  </r>
  <r>
    <x v="2"/>
    <x v="0"/>
    <s v="NT"/>
    <s v="No agreement"/>
    <s v="Up to MBS Fee"/>
    <n v="0"/>
    <n v="0"/>
    <n v="0"/>
    <n v="0"/>
  </r>
  <r>
    <x v="2"/>
    <x v="0"/>
    <s v="NT"/>
    <s v="No gap agreement"/>
    <s v="100% MBS Fee to 125% MBS Fee"/>
    <n v="0"/>
    <n v="0"/>
    <n v="0"/>
    <n v="0"/>
  </r>
  <r>
    <x v="2"/>
    <x v="0"/>
    <s v="NT"/>
    <s v="No gap agreement"/>
    <s v="More than 125% MBS Fee to 150% MBS Fee"/>
    <n v="0"/>
    <n v="0"/>
    <n v="0"/>
    <n v="0"/>
  </r>
  <r>
    <x v="2"/>
    <x v="0"/>
    <s v="NT"/>
    <s v="No gap agreement"/>
    <s v="More than 150% MBS Fee to 200% MBS Fee"/>
    <n v="0"/>
    <n v="0"/>
    <n v="0"/>
    <n v="0"/>
  </r>
  <r>
    <x v="2"/>
    <x v="0"/>
    <s v="NT"/>
    <s v="No gap agreement"/>
    <s v="More than 200% MBS Fee"/>
    <n v="0"/>
    <n v="0"/>
    <n v="0"/>
    <n v="0"/>
  </r>
  <r>
    <x v="2"/>
    <x v="0"/>
    <s v="NT"/>
    <s v="No gap agreement"/>
    <s v="Up to MBS Fee"/>
    <n v="0"/>
    <n v="0"/>
    <n v="0"/>
    <n v="0"/>
  </r>
  <r>
    <x v="2"/>
    <x v="0"/>
    <s v="QLD"/>
    <s v="Known gap agreement"/>
    <s v="100% MBS Fee to 125% MBS Fee"/>
    <n v="0"/>
    <n v="0"/>
    <n v="0"/>
    <n v="0"/>
  </r>
  <r>
    <x v="2"/>
    <x v="0"/>
    <s v="QLD"/>
    <s v="Known gap agreement"/>
    <s v="More than 125% MBS Fee to 150% MBS Fee"/>
    <n v="0"/>
    <n v="0"/>
    <n v="0"/>
    <n v="0"/>
  </r>
  <r>
    <x v="2"/>
    <x v="0"/>
    <s v="QLD"/>
    <s v="Known gap agreement"/>
    <s v="More than 150% MBS Fee to 200% MBS Fee"/>
    <n v="0"/>
    <n v="0"/>
    <n v="0"/>
    <n v="0"/>
  </r>
  <r>
    <x v="2"/>
    <x v="0"/>
    <s v="QLD"/>
    <s v="Known gap agreement"/>
    <s v="More than 200% MBS Fee"/>
    <n v="0"/>
    <n v="0"/>
    <n v="0"/>
    <n v="0"/>
  </r>
  <r>
    <x v="2"/>
    <x v="0"/>
    <s v="QLD"/>
    <s v="No agreement"/>
    <s v="100% MBS Fee to 125% MBS Fee"/>
    <n v="0"/>
    <n v="0"/>
    <n v="0"/>
    <n v="0"/>
  </r>
  <r>
    <x v="2"/>
    <x v="0"/>
    <s v="QLD"/>
    <s v="No agreement"/>
    <s v="More than 125% MBS Fee to 150% MBS Fee"/>
    <n v="0"/>
    <n v="0"/>
    <n v="0"/>
    <n v="0"/>
  </r>
  <r>
    <x v="2"/>
    <x v="0"/>
    <s v="QLD"/>
    <s v="No agreement"/>
    <s v="More than 150% MBS Fee to 200% MBS Fee"/>
    <n v="0"/>
    <n v="0"/>
    <n v="0"/>
    <n v="0"/>
  </r>
  <r>
    <x v="2"/>
    <x v="0"/>
    <s v="QLD"/>
    <s v="No agreement"/>
    <s v="More than 200% MBS Fee"/>
    <n v="0"/>
    <n v="0"/>
    <n v="0"/>
    <n v="0"/>
  </r>
  <r>
    <x v="2"/>
    <x v="0"/>
    <s v="QLD"/>
    <s v="No agreement"/>
    <s v="Up to MBS Fee"/>
    <n v="0"/>
    <n v="0"/>
    <n v="0"/>
    <n v="0"/>
  </r>
  <r>
    <x v="2"/>
    <x v="0"/>
    <s v="QLD"/>
    <s v="No gap agreement"/>
    <s v="100% MBS Fee to 125% MBS Fee"/>
    <n v="0"/>
    <n v="0"/>
    <n v="0"/>
    <n v="0"/>
  </r>
  <r>
    <x v="2"/>
    <x v="0"/>
    <s v="QLD"/>
    <s v="No gap agreement"/>
    <s v="More than 125% MBS Fee to 150% MBS Fee"/>
    <n v="0"/>
    <n v="0"/>
    <n v="0"/>
    <n v="0"/>
  </r>
  <r>
    <x v="2"/>
    <x v="0"/>
    <s v="QLD"/>
    <s v="No gap agreement"/>
    <s v="More than 150% MBS Fee to 200% MBS Fee"/>
    <n v="0"/>
    <n v="0"/>
    <n v="0"/>
    <n v="0"/>
  </r>
  <r>
    <x v="2"/>
    <x v="0"/>
    <s v="QLD"/>
    <s v="No gap agreement"/>
    <s v="More than 200% MBS Fee"/>
    <n v="0"/>
    <n v="0"/>
    <n v="0"/>
    <n v="0"/>
  </r>
  <r>
    <x v="2"/>
    <x v="0"/>
    <s v="QLD"/>
    <s v="No gap agreement"/>
    <s v="Up to MBS Fee"/>
    <n v="0"/>
    <n v="0"/>
    <n v="0"/>
    <n v="0"/>
  </r>
  <r>
    <x v="2"/>
    <x v="0"/>
    <s v="SA"/>
    <s v="Known gap agreement"/>
    <s v="100% MBS Fee to 125% MBS Fee"/>
    <n v="0"/>
    <n v="0"/>
    <n v="0"/>
    <n v="0"/>
  </r>
  <r>
    <x v="2"/>
    <x v="0"/>
    <s v="SA"/>
    <s v="Known gap agreement"/>
    <s v="More than 125% MBS Fee to 150% MBS Fee"/>
    <n v="0"/>
    <n v="0"/>
    <n v="0"/>
    <n v="0"/>
  </r>
  <r>
    <x v="2"/>
    <x v="0"/>
    <s v="SA"/>
    <s v="Known gap agreement"/>
    <s v="More than 150% MBS Fee to 200% MBS Fee"/>
    <n v="0"/>
    <n v="0"/>
    <n v="0"/>
    <n v="0"/>
  </r>
  <r>
    <x v="2"/>
    <x v="0"/>
    <s v="SA"/>
    <s v="Known gap agreement"/>
    <s v="More than 200% MBS Fee"/>
    <n v="0"/>
    <n v="0"/>
    <n v="0"/>
    <n v="0"/>
  </r>
  <r>
    <x v="2"/>
    <x v="0"/>
    <s v="SA"/>
    <s v="No agreement"/>
    <s v="100% MBS Fee to 125% MBS Fee"/>
    <n v="0"/>
    <n v="0"/>
    <n v="0"/>
    <n v="0"/>
  </r>
  <r>
    <x v="2"/>
    <x v="0"/>
    <s v="SA"/>
    <s v="No agreement"/>
    <s v="More than 125% MBS Fee to 150% MBS Fee"/>
    <n v="0"/>
    <n v="0"/>
    <n v="0"/>
    <n v="0"/>
  </r>
  <r>
    <x v="2"/>
    <x v="0"/>
    <s v="SA"/>
    <s v="No agreement"/>
    <s v="More than 150% MBS Fee to 200% MBS Fee"/>
    <n v="0"/>
    <n v="0"/>
    <n v="0"/>
    <n v="0"/>
  </r>
  <r>
    <x v="2"/>
    <x v="0"/>
    <s v="SA"/>
    <s v="No agreement"/>
    <s v="More than 200% MBS Fee"/>
    <n v="0"/>
    <n v="0"/>
    <n v="0"/>
    <n v="0"/>
  </r>
  <r>
    <x v="2"/>
    <x v="0"/>
    <s v="SA"/>
    <s v="No agreement"/>
    <s v="Up to MBS Fee"/>
    <n v="0"/>
    <n v="0"/>
    <n v="0"/>
    <n v="0"/>
  </r>
  <r>
    <x v="2"/>
    <x v="0"/>
    <s v="SA"/>
    <s v="No gap agreement"/>
    <s v="100% MBS Fee to 125% MBS Fee"/>
    <n v="0"/>
    <n v="0"/>
    <n v="0"/>
    <n v="0"/>
  </r>
  <r>
    <x v="2"/>
    <x v="0"/>
    <s v="SA"/>
    <s v="No gap agreement"/>
    <s v="More than 125% MBS Fee to 150% MBS Fee"/>
    <n v="0"/>
    <n v="0"/>
    <n v="0"/>
    <n v="0"/>
  </r>
  <r>
    <x v="2"/>
    <x v="0"/>
    <s v="SA"/>
    <s v="No gap agreement"/>
    <s v="More than 150% MBS Fee to 200% MBS Fee"/>
    <n v="0"/>
    <n v="0"/>
    <n v="0"/>
    <n v="0"/>
  </r>
  <r>
    <x v="2"/>
    <x v="0"/>
    <s v="SA"/>
    <s v="No gap agreement"/>
    <s v="More than 200% MBS Fee"/>
    <n v="0"/>
    <n v="0"/>
    <n v="0"/>
    <n v="0"/>
  </r>
  <r>
    <x v="2"/>
    <x v="0"/>
    <s v="SA"/>
    <s v="No gap agreement"/>
    <s v="Up to MBS Fee"/>
    <n v="0"/>
    <n v="0"/>
    <n v="0"/>
    <n v="0"/>
  </r>
  <r>
    <x v="2"/>
    <x v="0"/>
    <s v="TAS"/>
    <s v="Known gap agreement"/>
    <s v="100% MBS Fee to 125% MBS Fee"/>
    <n v="0"/>
    <n v="0"/>
    <n v="0"/>
    <n v="0"/>
  </r>
  <r>
    <x v="2"/>
    <x v="0"/>
    <s v="TAS"/>
    <s v="Known gap agreement"/>
    <s v="More than 125% MBS Fee to 150% MBS Fee"/>
    <n v="0"/>
    <n v="0"/>
    <n v="0"/>
    <n v="0"/>
  </r>
  <r>
    <x v="2"/>
    <x v="0"/>
    <s v="TAS"/>
    <s v="Known gap agreement"/>
    <s v="More than 150% MBS Fee to 200% MBS Fee"/>
    <n v="0"/>
    <n v="0"/>
    <n v="0"/>
    <n v="0"/>
  </r>
  <r>
    <x v="2"/>
    <x v="0"/>
    <s v="TAS"/>
    <s v="Known gap agreement"/>
    <s v="More than 200% MBS Fee"/>
    <n v="0"/>
    <n v="0"/>
    <n v="0"/>
    <n v="0"/>
  </r>
  <r>
    <x v="2"/>
    <x v="0"/>
    <s v="TAS"/>
    <s v="No agreement"/>
    <s v="100% MBS Fee to 125% MBS Fee"/>
    <n v="0"/>
    <n v="0"/>
    <n v="0"/>
    <n v="0"/>
  </r>
  <r>
    <x v="2"/>
    <x v="0"/>
    <s v="TAS"/>
    <s v="No agreement"/>
    <s v="More than 125% MBS Fee to 150% MBS Fee"/>
    <n v="0"/>
    <n v="0"/>
    <n v="0"/>
    <n v="0"/>
  </r>
  <r>
    <x v="2"/>
    <x v="0"/>
    <s v="TAS"/>
    <s v="No agreement"/>
    <s v="More than 150% MBS Fee to 200% MBS Fee"/>
    <n v="0"/>
    <n v="0"/>
    <n v="0"/>
    <n v="0"/>
  </r>
  <r>
    <x v="2"/>
    <x v="0"/>
    <s v="TAS"/>
    <s v="No agreement"/>
    <s v="More than 200% MBS Fee"/>
    <n v="0"/>
    <n v="0"/>
    <n v="0"/>
    <n v="0"/>
  </r>
  <r>
    <x v="2"/>
    <x v="0"/>
    <s v="TAS"/>
    <s v="No agreement"/>
    <s v="Up to MBS Fee"/>
    <n v="0"/>
    <n v="0"/>
    <n v="0"/>
    <n v="0"/>
  </r>
  <r>
    <x v="2"/>
    <x v="0"/>
    <s v="TAS"/>
    <s v="No gap agreement"/>
    <s v="100% MBS Fee to 125% MBS Fee"/>
    <n v="0"/>
    <n v="0"/>
    <n v="0"/>
    <n v="0"/>
  </r>
  <r>
    <x v="2"/>
    <x v="0"/>
    <s v="TAS"/>
    <s v="No gap agreement"/>
    <s v="More than 125% MBS Fee to 150% MBS Fee"/>
    <n v="0"/>
    <n v="0"/>
    <n v="0"/>
    <n v="0"/>
  </r>
  <r>
    <x v="2"/>
    <x v="0"/>
    <s v="TAS"/>
    <s v="No gap agreement"/>
    <s v="More than 150% MBS Fee to 200% MBS Fee"/>
    <n v="0"/>
    <n v="0"/>
    <n v="0"/>
    <n v="0"/>
  </r>
  <r>
    <x v="2"/>
    <x v="0"/>
    <s v="TAS"/>
    <s v="No gap agreement"/>
    <s v="More than 200% MBS Fee"/>
    <n v="0"/>
    <n v="0"/>
    <n v="0"/>
    <n v="0"/>
  </r>
  <r>
    <x v="2"/>
    <x v="0"/>
    <s v="TAS"/>
    <s v="No gap agreement"/>
    <s v="Up to MBS Fee"/>
    <n v="0"/>
    <n v="0"/>
    <n v="0"/>
    <n v="0"/>
  </r>
  <r>
    <x v="2"/>
    <x v="0"/>
    <s v="VIC"/>
    <s v="Known gap agreement"/>
    <s v="100% MBS Fee to 125% MBS Fee"/>
    <n v="0"/>
    <n v="0"/>
    <n v="0"/>
    <n v="0"/>
  </r>
  <r>
    <x v="2"/>
    <x v="0"/>
    <s v="VIC"/>
    <s v="Known gap agreement"/>
    <s v="More than 125% MBS Fee to 150% MBS Fee"/>
    <n v="0"/>
    <n v="0"/>
    <n v="0"/>
    <n v="0"/>
  </r>
  <r>
    <x v="2"/>
    <x v="0"/>
    <s v="VIC"/>
    <s v="Known gap agreement"/>
    <s v="More than 150% MBS Fee to 200% MBS Fee"/>
    <n v="0"/>
    <n v="0"/>
    <n v="0"/>
    <n v="0"/>
  </r>
  <r>
    <x v="2"/>
    <x v="0"/>
    <s v="VIC"/>
    <s v="Known gap agreement"/>
    <s v="More than 200% MBS Fee"/>
    <n v="0"/>
    <n v="0"/>
    <n v="0"/>
    <n v="0"/>
  </r>
  <r>
    <x v="2"/>
    <x v="0"/>
    <s v="VIC"/>
    <s v="No agreement"/>
    <s v="100% MBS Fee to 125% MBS Fee"/>
    <n v="0"/>
    <n v="0"/>
    <n v="0"/>
    <n v="0"/>
  </r>
  <r>
    <x v="2"/>
    <x v="0"/>
    <s v="VIC"/>
    <s v="No agreement"/>
    <s v="More than 125% MBS Fee to 150% MBS Fee"/>
    <n v="0"/>
    <n v="0"/>
    <n v="0"/>
    <n v="0"/>
  </r>
  <r>
    <x v="2"/>
    <x v="0"/>
    <s v="VIC"/>
    <s v="No agreement"/>
    <s v="More than 150% MBS Fee to 200% MBS Fee"/>
    <n v="0"/>
    <n v="0"/>
    <n v="0"/>
    <n v="0"/>
  </r>
  <r>
    <x v="2"/>
    <x v="0"/>
    <s v="VIC"/>
    <s v="No agreement"/>
    <s v="More than 200% MBS Fee"/>
    <n v="0"/>
    <n v="0"/>
    <n v="0"/>
    <n v="0"/>
  </r>
  <r>
    <x v="2"/>
    <x v="0"/>
    <s v="VIC"/>
    <s v="No agreement"/>
    <s v="Up to MBS Fee"/>
    <n v="0"/>
    <n v="0"/>
    <n v="0"/>
    <n v="0"/>
  </r>
  <r>
    <x v="2"/>
    <x v="0"/>
    <s v="VIC"/>
    <s v="No gap agreement"/>
    <s v="100% MBS Fee to 125% MBS Fee"/>
    <n v="0"/>
    <n v="0"/>
    <n v="0"/>
    <n v="0"/>
  </r>
  <r>
    <x v="2"/>
    <x v="0"/>
    <s v="VIC"/>
    <s v="No gap agreement"/>
    <s v="More than 125% MBS Fee to 150% MBS Fee"/>
    <n v="0"/>
    <n v="0"/>
    <n v="0"/>
    <n v="0"/>
  </r>
  <r>
    <x v="2"/>
    <x v="0"/>
    <s v="VIC"/>
    <s v="No gap agreement"/>
    <s v="More than 150% MBS Fee to 200% MBS Fee"/>
    <n v="0"/>
    <n v="0"/>
    <n v="0"/>
    <n v="0"/>
  </r>
  <r>
    <x v="2"/>
    <x v="0"/>
    <s v="VIC"/>
    <s v="No gap agreement"/>
    <s v="More than 200% MBS Fee"/>
    <n v="0"/>
    <n v="0"/>
    <n v="0"/>
    <n v="0"/>
  </r>
  <r>
    <x v="2"/>
    <x v="0"/>
    <s v="VIC"/>
    <s v="No gap agreement"/>
    <s v="Up to MBS Fee"/>
    <n v="0"/>
    <n v="0"/>
    <n v="0"/>
    <n v="0"/>
  </r>
  <r>
    <x v="2"/>
    <x v="0"/>
    <s v="WA"/>
    <s v="Known gap agreement"/>
    <s v="100% MBS Fee to 125% MBS Fee"/>
    <n v="0"/>
    <n v="0"/>
    <n v="0"/>
    <n v="0"/>
  </r>
  <r>
    <x v="2"/>
    <x v="0"/>
    <s v="WA"/>
    <s v="Known gap agreement"/>
    <s v="More than 125% MBS Fee to 150% MBS Fee"/>
    <n v="0"/>
    <n v="0"/>
    <n v="0"/>
    <n v="0"/>
  </r>
  <r>
    <x v="2"/>
    <x v="0"/>
    <s v="WA"/>
    <s v="Known gap agreement"/>
    <s v="More than 150% MBS Fee to 200% MBS Fee"/>
    <n v="0"/>
    <n v="0"/>
    <n v="0"/>
    <n v="0"/>
  </r>
  <r>
    <x v="2"/>
    <x v="0"/>
    <s v="WA"/>
    <s v="Known gap agreement"/>
    <s v="More than 200% MBS Fee"/>
    <n v="0"/>
    <n v="0"/>
    <n v="0"/>
    <n v="0"/>
  </r>
  <r>
    <x v="2"/>
    <x v="0"/>
    <s v="WA"/>
    <s v="No agreement"/>
    <s v="100% MBS Fee to 125% MBS Fee"/>
    <n v="0"/>
    <n v="0"/>
    <n v="0"/>
    <n v="0"/>
  </r>
  <r>
    <x v="2"/>
    <x v="0"/>
    <s v="WA"/>
    <s v="No agreement"/>
    <s v="More than 125% MBS Fee to 150% MBS Fee"/>
    <n v="0"/>
    <n v="0"/>
    <n v="0"/>
    <n v="0"/>
  </r>
  <r>
    <x v="2"/>
    <x v="0"/>
    <s v="WA"/>
    <s v="No agreement"/>
    <s v="More than 150% MBS Fee to 200% MBS Fee"/>
    <n v="0"/>
    <n v="0"/>
    <n v="0"/>
    <n v="0"/>
  </r>
  <r>
    <x v="2"/>
    <x v="0"/>
    <s v="WA"/>
    <s v="No agreement"/>
    <s v="More than 200% MBS Fee"/>
    <n v="0"/>
    <n v="0"/>
    <n v="0"/>
    <n v="0"/>
  </r>
  <r>
    <x v="2"/>
    <x v="0"/>
    <s v="WA"/>
    <s v="No agreement"/>
    <s v="Up to MBS Fee"/>
    <n v="0"/>
    <n v="0"/>
    <n v="0"/>
    <n v="0"/>
  </r>
  <r>
    <x v="2"/>
    <x v="0"/>
    <s v="WA"/>
    <s v="No gap agreement"/>
    <s v="100% MBS Fee to 125% MBS Fee"/>
    <n v="0"/>
    <n v="0"/>
    <n v="0"/>
    <n v="0"/>
  </r>
  <r>
    <x v="2"/>
    <x v="0"/>
    <s v="WA"/>
    <s v="No gap agreement"/>
    <s v="More than 125% MBS Fee to 150% MBS Fee"/>
    <n v="0"/>
    <n v="0"/>
    <n v="0"/>
    <n v="0"/>
  </r>
  <r>
    <x v="2"/>
    <x v="0"/>
    <s v="WA"/>
    <s v="No gap agreement"/>
    <s v="More than 150% MBS Fee to 200% MBS Fee"/>
    <n v="0"/>
    <n v="0"/>
    <n v="0"/>
    <n v="0"/>
  </r>
  <r>
    <x v="2"/>
    <x v="0"/>
    <s v="WA"/>
    <s v="No gap agreement"/>
    <s v="More than 200% MBS Fee"/>
    <n v="0"/>
    <n v="0"/>
    <n v="0"/>
    <n v="0"/>
  </r>
  <r>
    <x v="2"/>
    <x v="0"/>
    <s v="WA"/>
    <s v="No gap agreement"/>
    <s v="Up to MBS Fee"/>
    <n v="0"/>
    <n v="0"/>
    <n v="0"/>
    <n v="0"/>
  </r>
  <r>
    <x v="2"/>
    <x v="2"/>
    <s v="ACT"/>
    <s v="Known gap agreement"/>
    <s v="100% MBS Fee to 125% MBS Fee"/>
    <n v="0"/>
    <n v="0"/>
    <n v="0"/>
    <n v="0"/>
  </r>
  <r>
    <x v="2"/>
    <x v="2"/>
    <s v="ACT"/>
    <s v="Known gap agreement"/>
    <s v="More than 125% MBS Fee to 150% MBS Fee"/>
    <n v="0"/>
    <n v="0"/>
    <n v="0"/>
    <n v="0"/>
  </r>
  <r>
    <x v="2"/>
    <x v="2"/>
    <s v="ACT"/>
    <s v="Known gap agreement"/>
    <s v="More than 150% MBS Fee to 200% MBS Fee"/>
    <n v="0"/>
    <n v="0"/>
    <n v="0"/>
    <n v="0"/>
  </r>
  <r>
    <x v="2"/>
    <x v="2"/>
    <s v="ACT"/>
    <s v="Known gap agreement"/>
    <s v="More than 200% MBS Fee"/>
    <n v="0"/>
    <n v="0"/>
    <n v="0"/>
    <n v="0"/>
  </r>
  <r>
    <x v="2"/>
    <x v="2"/>
    <s v="ACT"/>
    <s v="No agreement"/>
    <s v="100% MBS Fee to 125% MBS Fee"/>
    <n v="0"/>
    <n v="0"/>
    <n v="0"/>
    <n v="0"/>
  </r>
  <r>
    <x v="2"/>
    <x v="2"/>
    <s v="ACT"/>
    <s v="No agreement"/>
    <s v="More than 125% MBS Fee to 150% MBS Fee"/>
    <n v="0"/>
    <n v="0"/>
    <n v="0"/>
    <n v="0"/>
  </r>
  <r>
    <x v="2"/>
    <x v="2"/>
    <s v="ACT"/>
    <s v="No agreement"/>
    <s v="More than 150% MBS Fee to 200% MBS Fee"/>
    <n v="0"/>
    <n v="0"/>
    <n v="0"/>
    <n v="0"/>
  </r>
  <r>
    <x v="2"/>
    <x v="2"/>
    <s v="ACT"/>
    <s v="No agreement"/>
    <s v="More than 200% MBS Fee"/>
    <n v="0"/>
    <n v="0"/>
    <n v="0"/>
    <n v="0"/>
  </r>
  <r>
    <x v="2"/>
    <x v="2"/>
    <s v="ACT"/>
    <s v="No agreement"/>
    <s v="Up to MBS Fee"/>
    <n v="0"/>
    <n v="0"/>
    <n v="0"/>
    <n v="0"/>
  </r>
  <r>
    <x v="2"/>
    <x v="2"/>
    <s v="ACT"/>
    <s v="No gap agreement"/>
    <s v="100% MBS Fee to 125% MBS Fee"/>
    <n v="0"/>
    <n v="0"/>
    <n v="0"/>
    <n v="0"/>
  </r>
  <r>
    <x v="2"/>
    <x v="2"/>
    <s v="ACT"/>
    <s v="No gap agreement"/>
    <s v="More than 125% MBS Fee to 150% MBS Fee"/>
    <n v="0"/>
    <n v="0"/>
    <n v="0"/>
    <n v="0"/>
  </r>
  <r>
    <x v="2"/>
    <x v="2"/>
    <s v="ACT"/>
    <s v="No gap agreement"/>
    <s v="More than 150% MBS Fee to 200% MBS Fee"/>
    <n v="0"/>
    <n v="0"/>
    <n v="0"/>
    <n v="0"/>
  </r>
  <r>
    <x v="2"/>
    <x v="2"/>
    <s v="ACT"/>
    <s v="No gap agreement"/>
    <s v="More than 200% MBS Fee"/>
    <n v="0"/>
    <n v="0"/>
    <n v="0"/>
    <n v="0"/>
  </r>
  <r>
    <x v="2"/>
    <x v="2"/>
    <s v="ACT"/>
    <s v="No gap agreement"/>
    <s v="Up to MBS Fee"/>
    <n v="0"/>
    <n v="0"/>
    <n v="0"/>
    <n v="0"/>
  </r>
  <r>
    <x v="2"/>
    <x v="2"/>
    <s v="NSW"/>
    <s v="Known gap agreement"/>
    <s v="100% MBS Fee to 125% MBS Fee"/>
    <n v="0"/>
    <n v="0"/>
    <n v="0"/>
    <n v="0"/>
  </r>
  <r>
    <x v="2"/>
    <x v="2"/>
    <s v="NSW"/>
    <s v="Known gap agreement"/>
    <s v="More than 125% MBS Fee to 150% MBS Fee"/>
    <n v="0"/>
    <n v="0"/>
    <n v="0"/>
    <n v="0"/>
  </r>
  <r>
    <x v="2"/>
    <x v="2"/>
    <s v="NSW"/>
    <s v="Known gap agreement"/>
    <s v="More than 150% MBS Fee to 200% MBS Fee"/>
    <n v="0"/>
    <n v="0"/>
    <n v="0"/>
    <n v="0"/>
  </r>
  <r>
    <x v="2"/>
    <x v="2"/>
    <s v="NSW"/>
    <s v="Known gap agreement"/>
    <s v="More than 200% MBS Fee"/>
    <n v="0"/>
    <n v="0"/>
    <n v="0"/>
    <n v="0"/>
  </r>
  <r>
    <x v="2"/>
    <x v="2"/>
    <s v="NSW"/>
    <s v="No agreement"/>
    <s v="100% MBS Fee to 125% MBS Fee"/>
    <n v="0"/>
    <n v="0"/>
    <n v="0"/>
    <n v="0"/>
  </r>
  <r>
    <x v="2"/>
    <x v="2"/>
    <s v="NSW"/>
    <s v="No agreement"/>
    <s v="More than 125% MBS Fee to 150% MBS Fee"/>
    <n v="0"/>
    <n v="0"/>
    <n v="0"/>
    <n v="0"/>
  </r>
  <r>
    <x v="2"/>
    <x v="2"/>
    <s v="NSW"/>
    <s v="No agreement"/>
    <s v="More than 150% MBS Fee to 200% MBS Fee"/>
    <n v="0"/>
    <n v="0"/>
    <n v="0"/>
    <n v="0"/>
  </r>
  <r>
    <x v="2"/>
    <x v="2"/>
    <s v="NSW"/>
    <s v="No agreement"/>
    <s v="More than 200% MBS Fee"/>
    <n v="0"/>
    <n v="0"/>
    <n v="0"/>
    <n v="0"/>
  </r>
  <r>
    <x v="2"/>
    <x v="2"/>
    <s v="NSW"/>
    <s v="No agreement"/>
    <s v="Up to MBS Fee"/>
    <n v="0"/>
    <n v="0"/>
    <n v="0"/>
    <n v="0"/>
  </r>
  <r>
    <x v="2"/>
    <x v="2"/>
    <s v="NSW"/>
    <s v="No gap agreement"/>
    <s v="100% MBS Fee to 125% MBS Fee"/>
    <n v="0"/>
    <n v="0"/>
    <n v="0"/>
    <n v="0"/>
  </r>
  <r>
    <x v="2"/>
    <x v="2"/>
    <s v="NSW"/>
    <s v="No gap agreement"/>
    <s v="More than 125% MBS Fee to 150% MBS Fee"/>
    <n v="0"/>
    <n v="0"/>
    <n v="0"/>
    <n v="0"/>
  </r>
  <r>
    <x v="2"/>
    <x v="2"/>
    <s v="NSW"/>
    <s v="No gap agreement"/>
    <s v="More than 150% MBS Fee to 200% MBS Fee"/>
    <n v="0"/>
    <n v="0"/>
    <n v="0"/>
    <n v="0"/>
  </r>
  <r>
    <x v="2"/>
    <x v="2"/>
    <s v="NSW"/>
    <s v="No gap agreement"/>
    <s v="More than 200% MBS Fee"/>
    <n v="0"/>
    <n v="0"/>
    <n v="0"/>
    <n v="0"/>
  </r>
  <r>
    <x v="2"/>
    <x v="2"/>
    <s v="NSW"/>
    <s v="No gap agreement"/>
    <s v="Up to MBS Fee"/>
    <n v="0"/>
    <n v="0"/>
    <n v="0"/>
    <n v="0"/>
  </r>
  <r>
    <x v="2"/>
    <x v="2"/>
    <s v="NT"/>
    <s v="Known gap agreement"/>
    <s v="100% MBS Fee to 125% MBS Fee"/>
    <n v="0"/>
    <n v="0"/>
    <n v="0"/>
    <n v="0"/>
  </r>
  <r>
    <x v="2"/>
    <x v="2"/>
    <s v="NT"/>
    <s v="Known gap agreement"/>
    <s v="More than 125% MBS Fee to 150% MBS Fee"/>
    <n v="0"/>
    <n v="0"/>
    <n v="0"/>
    <n v="0"/>
  </r>
  <r>
    <x v="2"/>
    <x v="2"/>
    <s v="NT"/>
    <s v="Known gap agreement"/>
    <s v="More than 150% MBS Fee to 200% MBS Fee"/>
    <n v="0"/>
    <n v="0"/>
    <n v="0"/>
    <n v="0"/>
  </r>
  <r>
    <x v="2"/>
    <x v="2"/>
    <s v="NT"/>
    <s v="Known gap agreement"/>
    <s v="More than 200% MBS Fee"/>
    <n v="0"/>
    <n v="0"/>
    <n v="0"/>
    <n v="0"/>
  </r>
  <r>
    <x v="2"/>
    <x v="2"/>
    <s v="NT"/>
    <s v="No agreement"/>
    <s v="100% MBS Fee to 125% MBS Fee"/>
    <n v="0"/>
    <n v="0"/>
    <n v="0"/>
    <n v="0"/>
  </r>
  <r>
    <x v="2"/>
    <x v="2"/>
    <s v="NT"/>
    <s v="No agreement"/>
    <s v="More than 125% MBS Fee to 150% MBS Fee"/>
    <n v="0"/>
    <n v="0"/>
    <n v="0"/>
    <n v="0"/>
  </r>
  <r>
    <x v="2"/>
    <x v="2"/>
    <s v="NT"/>
    <s v="No agreement"/>
    <s v="More than 150% MBS Fee to 200% MBS Fee"/>
    <n v="0"/>
    <n v="0"/>
    <n v="0"/>
    <n v="0"/>
  </r>
  <r>
    <x v="2"/>
    <x v="2"/>
    <s v="NT"/>
    <s v="No agreement"/>
    <s v="More than 200% MBS Fee"/>
    <n v="0"/>
    <n v="0"/>
    <n v="0"/>
    <n v="0"/>
  </r>
  <r>
    <x v="2"/>
    <x v="2"/>
    <s v="NT"/>
    <s v="No agreement"/>
    <s v="Up to MBS Fee"/>
    <n v="0"/>
    <n v="0"/>
    <n v="0"/>
    <n v="0"/>
  </r>
  <r>
    <x v="2"/>
    <x v="2"/>
    <s v="NT"/>
    <s v="No gap agreement"/>
    <s v="100% MBS Fee to 125% MBS Fee"/>
    <n v="0"/>
    <n v="0"/>
    <n v="0"/>
    <n v="0"/>
  </r>
  <r>
    <x v="2"/>
    <x v="2"/>
    <s v="NT"/>
    <s v="No gap agreement"/>
    <s v="More than 125% MBS Fee to 150% MBS Fee"/>
    <n v="0"/>
    <n v="0"/>
    <n v="0"/>
    <n v="0"/>
  </r>
  <r>
    <x v="2"/>
    <x v="2"/>
    <s v="NT"/>
    <s v="No gap agreement"/>
    <s v="More than 150% MBS Fee to 200% MBS Fee"/>
    <n v="0"/>
    <n v="0"/>
    <n v="0"/>
    <n v="0"/>
  </r>
  <r>
    <x v="2"/>
    <x v="2"/>
    <s v="NT"/>
    <s v="No gap agreement"/>
    <s v="More than 200% MBS Fee"/>
    <n v="0"/>
    <n v="0"/>
    <n v="0"/>
    <n v="0"/>
  </r>
  <r>
    <x v="2"/>
    <x v="2"/>
    <s v="NT"/>
    <s v="No gap agreement"/>
    <s v="Up to MBS Fee"/>
    <n v="0"/>
    <n v="0"/>
    <n v="0"/>
    <n v="0"/>
  </r>
  <r>
    <x v="2"/>
    <x v="2"/>
    <s v="QLD"/>
    <s v="Known gap agreement"/>
    <s v="100% MBS Fee to 125% MBS Fee"/>
    <n v="0"/>
    <n v="0"/>
    <n v="0"/>
    <n v="0"/>
  </r>
  <r>
    <x v="2"/>
    <x v="2"/>
    <s v="QLD"/>
    <s v="Known gap agreement"/>
    <s v="More than 125% MBS Fee to 150% MBS Fee"/>
    <n v="0"/>
    <n v="0"/>
    <n v="0"/>
    <n v="0"/>
  </r>
  <r>
    <x v="2"/>
    <x v="2"/>
    <s v="QLD"/>
    <s v="Known gap agreement"/>
    <s v="More than 150% MBS Fee to 200% MBS Fee"/>
    <n v="0"/>
    <n v="0"/>
    <n v="0"/>
    <n v="0"/>
  </r>
  <r>
    <x v="2"/>
    <x v="2"/>
    <s v="QLD"/>
    <s v="Known gap agreement"/>
    <s v="More than 200% MBS Fee"/>
    <n v="0"/>
    <n v="0"/>
    <n v="0"/>
    <n v="0"/>
  </r>
  <r>
    <x v="2"/>
    <x v="2"/>
    <s v="QLD"/>
    <s v="No agreement"/>
    <s v="100% MBS Fee to 125% MBS Fee"/>
    <n v="0"/>
    <n v="0"/>
    <n v="0"/>
    <n v="0"/>
  </r>
  <r>
    <x v="2"/>
    <x v="2"/>
    <s v="QLD"/>
    <s v="No agreement"/>
    <s v="More than 125% MBS Fee to 150% MBS Fee"/>
    <n v="0"/>
    <n v="0"/>
    <n v="0"/>
    <n v="0"/>
  </r>
  <r>
    <x v="2"/>
    <x v="2"/>
    <s v="QLD"/>
    <s v="No agreement"/>
    <s v="More than 150% MBS Fee to 200% MBS Fee"/>
    <n v="0"/>
    <n v="0"/>
    <n v="0"/>
    <n v="0"/>
  </r>
  <r>
    <x v="2"/>
    <x v="2"/>
    <s v="QLD"/>
    <s v="No agreement"/>
    <s v="More than 200% MBS Fee"/>
    <n v="0"/>
    <n v="0"/>
    <n v="0"/>
    <n v="0"/>
  </r>
  <r>
    <x v="2"/>
    <x v="2"/>
    <s v="QLD"/>
    <s v="No agreement"/>
    <s v="Up to MBS Fee"/>
    <n v="0"/>
    <n v="0"/>
    <n v="0"/>
    <n v="0"/>
  </r>
  <r>
    <x v="2"/>
    <x v="2"/>
    <s v="QLD"/>
    <s v="No gap agreement"/>
    <s v="100% MBS Fee to 125% MBS Fee"/>
    <n v="0"/>
    <n v="0"/>
    <n v="0"/>
    <n v="0"/>
  </r>
  <r>
    <x v="2"/>
    <x v="2"/>
    <s v="QLD"/>
    <s v="No gap agreement"/>
    <s v="More than 125% MBS Fee to 150% MBS Fee"/>
    <n v="0"/>
    <n v="0"/>
    <n v="0"/>
    <n v="0"/>
  </r>
  <r>
    <x v="2"/>
    <x v="2"/>
    <s v="QLD"/>
    <s v="No gap agreement"/>
    <s v="More than 150% MBS Fee to 200% MBS Fee"/>
    <n v="0"/>
    <n v="0"/>
    <n v="0"/>
    <n v="0"/>
  </r>
  <r>
    <x v="2"/>
    <x v="2"/>
    <s v="QLD"/>
    <s v="No gap agreement"/>
    <s v="More than 200% MBS Fee"/>
    <n v="0"/>
    <n v="0"/>
    <n v="0"/>
    <n v="0"/>
  </r>
  <r>
    <x v="2"/>
    <x v="2"/>
    <s v="QLD"/>
    <s v="No gap agreement"/>
    <s v="Up to MBS Fee"/>
    <n v="0"/>
    <n v="0"/>
    <n v="0"/>
    <n v="0"/>
  </r>
  <r>
    <x v="2"/>
    <x v="2"/>
    <s v="SA"/>
    <s v="Known gap agreement"/>
    <s v="100% MBS Fee to 125% MBS Fee"/>
    <n v="0"/>
    <n v="0"/>
    <n v="0"/>
    <n v="0"/>
  </r>
  <r>
    <x v="2"/>
    <x v="2"/>
    <s v="SA"/>
    <s v="Known gap agreement"/>
    <s v="More than 125% MBS Fee to 150% MBS Fee"/>
    <n v="0"/>
    <n v="0"/>
    <n v="0"/>
    <n v="0"/>
  </r>
  <r>
    <x v="2"/>
    <x v="2"/>
    <s v="SA"/>
    <s v="Known gap agreement"/>
    <s v="More than 150% MBS Fee to 200% MBS Fee"/>
    <n v="0"/>
    <n v="0"/>
    <n v="0"/>
    <n v="0"/>
  </r>
  <r>
    <x v="2"/>
    <x v="2"/>
    <s v="SA"/>
    <s v="Known gap agreement"/>
    <s v="More than 200% MBS Fee"/>
    <n v="0"/>
    <n v="0"/>
    <n v="0"/>
    <n v="0"/>
  </r>
  <r>
    <x v="2"/>
    <x v="2"/>
    <s v="SA"/>
    <s v="No agreement"/>
    <s v="100% MBS Fee to 125% MBS Fee"/>
    <n v="0"/>
    <n v="0"/>
    <n v="0"/>
    <n v="0"/>
  </r>
  <r>
    <x v="2"/>
    <x v="2"/>
    <s v="SA"/>
    <s v="No agreement"/>
    <s v="More than 125% MBS Fee to 150% MBS Fee"/>
    <n v="0"/>
    <n v="0"/>
    <n v="0"/>
    <n v="0"/>
  </r>
  <r>
    <x v="2"/>
    <x v="2"/>
    <s v="SA"/>
    <s v="No agreement"/>
    <s v="More than 150% MBS Fee to 200% MBS Fee"/>
    <n v="0"/>
    <n v="0"/>
    <n v="0"/>
    <n v="0"/>
  </r>
  <r>
    <x v="2"/>
    <x v="2"/>
    <s v="SA"/>
    <s v="No agreement"/>
    <s v="More than 200% MBS Fee"/>
    <n v="0"/>
    <n v="0"/>
    <n v="0"/>
    <n v="0"/>
  </r>
  <r>
    <x v="2"/>
    <x v="2"/>
    <s v="SA"/>
    <s v="No agreement"/>
    <s v="Up to MBS Fee"/>
    <n v="0"/>
    <n v="0"/>
    <n v="0"/>
    <n v="0"/>
  </r>
  <r>
    <x v="2"/>
    <x v="2"/>
    <s v="SA"/>
    <s v="No gap agreement"/>
    <s v="100% MBS Fee to 125% MBS Fee"/>
    <n v="0"/>
    <n v="0"/>
    <n v="0"/>
    <n v="0"/>
  </r>
  <r>
    <x v="2"/>
    <x v="2"/>
    <s v="SA"/>
    <s v="No gap agreement"/>
    <s v="More than 125% MBS Fee to 150% MBS Fee"/>
    <n v="0"/>
    <n v="0"/>
    <n v="0"/>
    <n v="0"/>
  </r>
  <r>
    <x v="2"/>
    <x v="2"/>
    <s v="SA"/>
    <s v="No gap agreement"/>
    <s v="More than 150% MBS Fee to 200% MBS Fee"/>
    <n v="0"/>
    <n v="0"/>
    <n v="0"/>
    <n v="0"/>
  </r>
  <r>
    <x v="2"/>
    <x v="2"/>
    <s v="SA"/>
    <s v="No gap agreement"/>
    <s v="More than 200% MBS Fee"/>
    <n v="0"/>
    <n v="0"/>
    <n v="0"/>
    <n v="0"/>
  </r>
  <r>
    <x v="2"/>
    <x v="2"/>
    <s v="SA"/>
    <s v="No gap agreement"/>
    <s v="Up to MBS Fee"/>
    <n v="0"/>
    <n v="0"/>
    <n v="0"/>
    <n v="0"/>
  </r>
  <r>
    <x v="2"/>
    <x v="2"/>
    <s v="TAS"/>
    <s v="Known gap agreement"/>
    <s v="100% MBS Fee to 125% MBS Fee"/>
    <n v="0"/>
    <n v="0"/>
    <n v="0"/>
    <n v="0"/>
  </r>
  <r>
    <x v="2"/>
    <x v="2"/>
    <s v="TAS"/>
    <s v="Known gap agreement"/>
    <s v="More than 125% MBS Fee to 150% MBS Fee"/>
    <n v="0"/>
    <n v="0"/>
    <n v="0"/>
    <n v="0"/>
  </r>
  <r>
    <x v="2"/>
    <x v="2"/>
    <s v="TAS"/>
    <s v="Known gap agreement"/>
    <s v="More than 150% MBS Fee to 200% MBS Fee"/>
    <n v="0"/>
    <n v="0"/>
    <n v="0"/>
    <n v="0"/>
  </r>
  <r>
    <x v="2"/>
    <x v="2"/>
    <s v="TAS"/>
    <s v="Known gap agreement"/>
    <s v="More than 200% MBS Fee"/>
    <n v="0"/>
    <n v="0"/>
    <n v="0"/>
    <n v="0"/>
  </r>
  <r>
    <x v="2"/>
    <x v="2"/>
    <s v="TAS"/>
    <s v="No agreement"/>
    <s v="100% MBS Fee to 125% MBS Fee"/>
    <n v="0"/>
    <n v="0"/>
    <n v="0"/>
    <n v="0"/>
  </r>
  <r>
    <x v="2"/>
    <x v="2"/>
    <s v="TAS"/>
    <s v="No agreement"/>
    <s v="More than 125% MBS Fee to 150% MBS Fee"/>
    <n v="0"/>
    <n v="0"/>
    <n v="0"/>
    <n v="0"/>
  </r>
  <r>
    <x v="2"/>
    <x v="2"/>
    <s v="TAS"/>
    <s v="No agreement"/>
    <s v="More than 150% MBS Fee to 200% MBS Fee"/>
    <n v="0"/>
    <n v="0"/>
    <n v="0"/>
    <n v="0"/>
  </r>
  <r>
    <x v="2"/>
    <x v="2"/>
    <s v="TAS"/>
    <s v="No agreement"/>
    <s v="More than 200% MBS Fee"/>
    <n v="0"/>
    <n v="0"/>
    <n v="0"/>
    <n v="0"/>
  </r>
  <r>
    <x v="2"/>
    <x v="2"/>
    <s v="TAS"/>
    <s v="No agreement"/>
    <s v="Up to MBS Fee"/>
    <n v="0"/>
    <n v="0"/>
    <n v="0"/>
    <n v="0"/>
  </r>
  <r>
    <x v="2"/>
    <x v="2"/>
    <s v="TAS"/>
    <s v="No gap agreement"/>
    <s v="100% MBS Fee to 125% MBS Fee"/>
    <n v="0"/>
    <n v="0"/>
    <n v="0"/>
    <n v="0"/>
  </r>
  <r>
    <x v="2"/>
    <x v="2"/>
    <s v="TAS"/>
    <s v="No gap agreement"/>
    <s v="More than 125% MBS Fee to 150% MBS Fee"/>
    <n v="0"/>
    <n v="0"/>
    <n v="0"/>
    <n v="0"/>
  </r>
  <r>
    <x v="2"/>
    <x v="2"/>
    <s v="TAS"/>
    <s v="No gap agreement"/>
    <s v="More than 150% MBS Fee to 200% MBS Fee"/>
    <n v="0"/>
    <n v="0"/>
    <n v="0"/>
    <n v="0"/>
  </r>
  <r>
    <x v="2"/>
    <x v="2"/>
    <s v="TAS"/>
    <s v="No gap agreement"/>
    <s v="More than 200% MBS Fee"/>
    <n v="0"/>
    <n v="0"/>
    <n v="0"/>
    <n v="0"/>
  </r>
  <r>
    <x v="2"/>
    <x v="2"/>
    <s v="TAS"/>
    <s v="No gap agreement"/>
    <s v="Up to MBS Fee"/>
    <n v="0"/>
    <n v="0"/>
    <n v="0"/>
    <n v="0"/>
  </r>
  <r>
    <x v="2"/>
    <x v="2"/>
    <s v="VIC"/>
    <s v="Known gap agreement"/>
    <s v="100% MBS Fee to 125% MBS Fee"/>
    <n v="0"/>
    <n v="0"/>
    <n v="0"/>
    <n v="0"/>
  </r>
  <r>
    <x v="2"/>
    <x v="2"/>
    <s v="VIC"/>
    <s v="Known gap agreement"/>
    <s v="More than 125% MBS Fee to 150% MBS Fee"/>
    <n v="0"/>
    <n v="0"/>
    <n v="0"/>
    <n v="0"/>
  </r>
  <r>
    <x v="2"/>
    <x v="2"/>
    <s v="VIC"/>
    <s v="Known gap agreement"/>
    <s v="More than 150% MBS Fee to 200% MBS Fee"/>
    <n v="0"/>
    <n v="0"/>
    <n v="0"/>
    <n v="0"/>
  </r>
  <r>
    <x v="2"/>
    <x v="2"/>
    <s v="VIC"/>
    <s v="Known gap agreement"/>
    <s v="More than 200% MBS Fee"/>
    <n v="0"/>
    <n v="0"/>
    <n v="0"/>
    <n v="0"/>
  </r>
  <r>
    <x v="2"/>
    <x v="2"/>
    <s v="VIC"/>
    <s v="No agreement"/>
    <s v="100% MBS Fee to 125% MBS Fee"/>
    <n v="0"/>
    <n v="0"/>
    <n v="0"/>
    <n v="0"/>
  </r>
  <r>
    <x v="2"/>
    <x v="2"/>
    <s v="VIC"/>
    <s v="No agreement"/>
    <s v="More than 125% MBS Fee to 150% MBS Fee"/>
    <n v="0"/>
    <n v="0"/>
    <n v="0"/>
    <n v="0"/>
  </r>
  <r>
    <x v="2"/>
    <x v="2"/>
    <s v="VIC"/>
    <s v="No agreement"/>
    <s v="More than 150% MBS Fee to 200% MBS Fee"/>
    <n v="0"/>
    <n v="0"/>
    <n v="0"/>
    <n v="0"/>
  </r>
  <r>
    <x v="2"/>
    <x v="2"/>
    <s v="VIC"/>
    <s v="No agreement"/>
    <s v="More than 200% MBS Fee"/>
    <n v="0"/>
    <n v="0"/>
    <n v="0"/>
    <n v="0"/>
  </r>
  <r>
    <x v="2"/>
    <x v="2"/>
    <s v="VIC"/>
    <s v="No agreement"/>
    <s v="Up to MBS Fee"/>
    <n v="0"/>
    <n v="0"/>
    <n v="0"/>
    <n v="0"/>
  </r>
  <r>
    <x v="2"/>
    <x v="2"/>
    <s v="VIC"/>
    <s v="No gap agreement"/>
    <s v="100% MBS Fee to 125% MBS Fee"/>
    <n v="0"/>
    <n v="0"/>
    <n v="0"/>
    <n v="0"/>
  </r>
  <r>
    <x v="2"/>
    <x v="2"/>
    <s v="VIC"/>
    <s v="No gap agreement"/>
    <s v="More than 125% MBS Fee to 150% MBS Fee"/>
    <n v="0"/>
    <n v="0"/>
    <n v="0"/>
    <n v="0"/>
  </r>
  <r>
    <x v="2"/>
    <x v="2"/>
    <s v="VIC"/>
    <s v="No gap agreement"/>
    <s v="More than 150% MBS Fee to 200% MBS Fee"/>
    <n v="0"/>
    <n v="0"/>
    <n v="0"/>
    <n v="0"/>
  </r>
  <r>
    <x v="2"/>
    <x v="2"/>
    <s v="VIC"/>
    <s v="No gap agreement"/>
    <s v="More than 200% MBS Fee"/>
    <n v="0"/>
    <n v="0"/>
    <n v="0"/>
    <n v="0"/>
  </r>
  <r>
    <x v="2"/>
    <x v="2"/>
    <s v="VIC"/>
    <s v="No gap agreement"/>
    <s v="Up to MBS Fee"/>
    <n v="0"/>
    <n v="0"/>
    <n v="0"/>
    <n v="0"/>
  </r>
  <r>
    <x v="2"/>
    <x v="2"/>
    <s v="WA"/>
    <s v="Known gap agreement"/>
    <s v="100% MBS Fee to 125% MBS Fee"/>
    <n v="0"/>
    <n v="0"/>
    <n v="0"/>
    <n v="0"/>
  </r>
  <r>
    <x v="2"/>
    <x v="2"/>
    <s v="WA"/>
    <s v="Known gap agreement"/>
    <s v="More than 125% MBS Fee to 150% MBS Fee"/>
    <n v="0"/>
    <n v="0"/>
    <n v="0"/>
    <n v="0"/>
  </r>
  <r>
    <x v="2"/>
    <x v="2"/>
    <s v="WA"/>
    <s v="Known gap agreement"/>
    <s v="More than 150% MBS Fee to 200% MBS Fee"/>
    <n v="0"/>
    <n v="0"/>
    <n v="0"/>
    <n v="0"/>
  </r>
  <r>
    <x v="2"/>
    <x v="2"/>
    <s v="WA"/>
    <s v="Known gap agreement"/>
    <s v="More than 200% MBS Fee"/>
    <n v="0"/>
    <n v="0"/>
    <n v="0"/>
    <n v="0"/>
  </r>
  <r>
    <x v="2"/>
    <x v="2"/>
    <s v="WA"/>
    <s v="No agreement"/>
    <s v="100% MBS Fee to 125% MBS Fee"/>
    <n v="0"/>
    <n v="0"/>
    <n v="0"/>
    <n v="0"/>
  </r>
  <r>
    <x v="2"/>
    <x v="2"/>
    <s v="WA"/>
    <s v="No agreement"/>
    <s v="More than 125% MBS Fee to 150% MBS Fee"/>
    <n v="0"/>
    <n v="0"/>
    <n v="0"/>
    <n v="0"/>
  </r>
  <r>
    <x v="2"/>
    <x v="2"/>
    <s v="WA"/>
    <s v="No agreement"/>
    <s v="More than 150% MBS Fee to 200% MBS Fee"/>
    <n v="0"/>
    <n v="0"/>
    <n v="0"/>
    <n v="0"/>
  </r>
  <r>
    <x v="2"/>
    <x v="2"/>
    <s v="WA"/>
    <s v="No agreement"/>
    <s v="More than 200% MBS Fee"/>
    <n v="0"/>
    <n v="0"/>
    <n v="0"/>
    <n v="0"/>
  </r>
  <r>
    <x v="2"/>
    <x v="2"/>
    <s v="WA"/>
    <s v="No agreement"/>
    <s v="Up to MBS Fee"/>
    <n v="0"/>
    <n v="0"/>
    <n v="0"/>
    <n v="0"/>
  </r>
  <r>
    <x v="2"/>
    <x v="2"/>
    <s v="WA"/>
    <s v="No gap agreement"/>
    <s v="100% MBS Fee to 125% MBS Fee"/>
    <n v="0"/>
    <n v="0"/>
    <n v="0"/>
    <n v="0"/>
  </r>
  <r>
    <x v="2"/>
    <x v="2"/>
    <s v="WA"/>
    <s v="No gap agreement"/>
    <s v="More than 125% MBS Fee to 150% MBS Fee"/>
    <n v="0"/>
    <n v="0"/>
    <n v="0"/>
    <n v="0"/>
  </r>
  <r>
    <x v="2"/>
    <x v="2"/>
    <s v="WA"/>
    <s v="No gap agreement"/>
    <s v="More than 150% MBS Fee to 200% MBS Fee"/>
    <n v="0"/>
    <n v="0"/>
    <n v="0"/>
    <n v="0"/>
  </r>
  <r>
    <x v="2"/>
    <x v="2"/>
    <s v="WA"/>
    <s v="No gap agreement"/>
    <s v="More than 200% MBS Fee"/>
    <n v="0"/>
    <n v="0"/>
    <n v="0"/>
    <n v="0"/>
  </r>
  <r>
    <x v="2"/>
    <x v="2"/>
    <s v="WA"/>
    <s v="No gap agreement"/>
    <s v="Up to MBS Fee"/>
    <n v="0"/>
    <n v="0"/>
    <n v="0"/>
    <n v="0"/>
  </r>
  <r>
    <x v="2"/>
    <x v="3"/>
    <s v="ACT"/>
    <s v="Known gap agreement"/>
    <s v="100% MBS Fee to 125% MBS Fee"/>
    <n v="0"/>
    <n v="0"/>
    <n v="0"/>
    <n v="0"/>
  </r>
  <r>
    <x v="2"/>
    <x v="3"/>
    <s v="ACT"/>
    <s v="Known gap agreement"/>
    <s v="More than 125% MBS Fee to 150% MBS Fee"/>
    <n v="0"/>
    <n v="0"/>
    <n v="0"/>
    <n v="0"/>
  </r>
  <r>
    <x v="2"/>
    <x v="3"/>
    <s v="ACT"/>
    <s v="Known gap agreement"/>
    <s v="More than 150% MBS Fee to 200% MBS Fee"/>
    <n v="0"/>
    <n v="0"/>
    <n v="0"/>
    <n v="0"/>
  </r>
  <r>
    <x v="2"/>
    <x v="3"/>
    <s v="ACT"/>
    <s v="Known gap agreement"/>
    <s v="More than 200% MBS Fee"/>
    <n v="0"/>
    <n v="0"/>
    <n v="0"/>
    <n v="0"/>
  </r>
  <r>
    <x v="2"/>
    <x v="3"/>
    <s v="ACT"/>
    <s v="No agreement"/>
    <s v="100% MBS Fee to 125% MBS Fee"/>
    <n v="0"/>
    <n v="0"/>
    <n v="0"/>
    <n v="0"/>
  </r>
  <r>
    <x v="2"/>
    <x v="3"/>
    <s v="ACT"/>
    <s v="No agreement"/>
    <s v="More than 125% MBS Fee to 150% MBS Fee"/>
    <n v="0"/>
    <n v="0"/>
    <n v="0"/>
    <n v="0"/>
  </r>
  <r>
    <x v="2"/>
    <x v="3"/>
    <s v="ACT"/>
    <s v="No agreement"/>
    <s v="More than 150% MBS Fee to 200% MBS Fee"/>
    <n v="0"/>
    <n v="0"/>
    <n v="0"/>
    <n v="0"/>
  </r>
  <r>
    <x v="2"/>
    <x v="3"/>
    <s v="ACT"/>
    <s v="No agreement"/>
    <s v="More than 200% MBS Fee"/>
    <n v="0"/>
    <n v="0"/>
    <n v="0"/>
    <n v="0"/>
  </r>
  <r>
    <x v="2"/>
    <x v="3"/>
    <s v="ACT"/>
    <s v="No agreement"/>
    <s v="Up to MBS Fee"/>
    <n v="0"/>
    <n v="0"/>
    <n v="0"/>
    <n v="0"/>
  </r>
  <r>
    <x v="2"/>
    <x v="3"/>
    <s v="ACT"/>
    <s v="No gap agreement"/>
    <s v="100% MBS Fee to 125% MBS Fee"/>
    <n v="0"/>
    <n v="0"/>
    <n v="0"/>
    <n v="0"/>
  </r>
  <r>
    <x v="2"/>
    <x v="3"/>
    <s v="ACT"/>
    <s v="No gap agreement"/>
    <s v="More than 125% MBS Fee to 150% MBS Fee"/>
    <n v="0"/>
    <n v="0"/>
    <n v="0"/>
    <n v="0"/>
  </r>
  <r>
    <x v="2"/>
    <x v="3"/>
    <s v="ACT"/>
    <s v="No gap agreement"/>
    <s v="More than 150% MBS Fee to 200% MBS Fee"/>
    <n v="0"/>
    <n v="0"/>
    <n v="0"/>
    <n v="0"/>
  </r>
  <r>
    <x v="2"/>
    <x v="3"/>
    <s v="ACT"/>
    <s v="No gap agreement"/>
    <s v="More than 200% MBS Fee"/>
    <n v="0"/>
    <n v="0"/>
    <n v="0"/>
    <n v="0"/>
  </r>
  <r>
    <x v="2"/>
    <x v="3"/>
    <s v="ACT"/>
    <s v="No gap agreement"/>
    <s v="Up to MBS Fee"/>
    <n v="0"/>
    <n v="0"/>
    <n v="0"/>
    <n v="0"/>
  </r>
  <r>
    <x v="2"/>
    <x v="3"/>
    <s v="NSW"/>
    <s v="Known gap agreement"/>
    <s v="100% MBS Fee to 125% MBS Fee"/>
    <n v="0"/>
    <n v="0"/>
    <n v="0"/>
    <n v="0"/>
  </r>
  <r>
    <x v="2"/>
    <x v="3"/>
    <s v="NSW"/>
    <s v="Known gap agreement"/>
    <s v="More than 125% MBS Fee to 150% MBS Fee"/>
    <n v="0"/>
    <n v="0"/>
    <n v="0"/>
    <n v="0"/>
  </r>
  <r>
    <x v="2"/>
    <x v="3"/>
    <s v="NSW"/>
    <s v="Known gap agreement"/>
    <s v="More than 150% MBS Fee to 200% MBS Fee"/>
    <n v="0"/>
    <n v="0"/>
    <n v="0"/>
    <n v="0"/>
  </r>
  <r>
    <x v="2"/>
    <x v="3"/>
    <s v="NSW"/>
    <s v="Known gap agreement"/>
    <s v="More than 200% MBS Fee"/>
    <n v="0"/>
    <n v="0"/>
    <n v="0"/>
    <n v="0"/>
  </r>
  <r>
    <x v="2"/>
    <x v="3"/>
    <s v="NSW"/>
    <s v="No agreement"/>
    <s v="100% MBS Fee to 125% MBS Fee"/>
    <n v="0"/>
    <n v="0"/>
    <n v="0"/>
    <n v="0"/>
  </r>
  <r>
    <x v="2"/>
    <x v="3"/>
    <s v="NSW"/>
    <s v="No agreement"/>
    <s v="More than 125% MBS Fee to 150% MBS Fee"/>
    <n v="0"/>
    <n v="0"/>
    <n v="0"/>
    <n v="0"/>
  </r>
  <r>
    <x v="2"/>
    <x v="3"/>
    <s v="NSW"/>
    <s v="No agreement"/>
    <s v="More than 150% MBS Fee to 200% MBS Fee"/>
    <n v="0"/>
    <n v="0"/>
    <n v="0"/>
    <n v="0"/>
  </r>
  <r>
    <x v="2"/>
    <x v="3"/>
    <s v="NSW"/>
    <s v="No agreement"/>
    <s v="More than 200% MBS Fee"/>
    <n v="0"/>
    <n v="0"/>
    <n v="0"/>
    <n v="0"/>
  </r>
  <r>
    <x v="2"/>
    <x v="3"/>
    <s v="NSW"/>
    <s v="No agreement"/>
    <s v="Up to MBS Fee"/>
    <n v="0"/>
    <n v="0"/>
    <n v="0"/>
    <n v="0"/>
  </r>
  <r>
    <x v="2"/>
    <x v="3"/>
    <s v="NSW"/>
    <s v="No gap agreement"/>
    <s v="100% MBS Fee to 125% MBS Fee"/>
    <n v="0"/>
    <n v="0"/>
    <n v="0"/>
    <n v="0"/>
  </r>
  <r>
    <x v="2"/>
    <x v="3"/>
    <s v="NSW"/>
    <s v="No gap agreement"/>
    <s v="More than 125% MBS Fee to 150% MBS Fee"/>
    <n v="0"/>
    <n v="0"/>
    <n v="0"/>
    <n v="0"/>
  </r>
  <r>
    <x v="2"/>
    <x v="3"/>
    <s v="NSW"/>
    <s v="No gap agreement"/>
    <s v="More than 150% MBS Fee to 200% MBS Fee"/>
    <n v="0"/>
    <n v="0"/>
    <n v="0"/>
    <n v="0"/>
  </r>
  <r>
    <x v="2"/>
    <x v="3"/>
    <s v="NSW"/>
    <s v="No gap agreement"/>
    <s v="More than 200% MBS Fee"/>
    <n v="0"/>
    <n v="0"/>
    <n v="0"/>
    <n v="0"/>
  </r>
  <r>
    <x v="2"/>
    <x v="3"/>
    <s v="NSW"/>
    <s v="No gap agreement"/>
    <s v="Up to MBS Fee"/>
    <n v="0"/>
    <n v="0"/>
    <n v="0"/>
    <n v="0"/>
  </r>
  <r>
    <x v="2"/>
    <x v="3"/>
    <s v="NT"/>
    <s v="Known gap agreement"/>
    <s v="100% MBS Fee to 125% MBS Fee"/>
    <n v="0"/>
    <n v="0"/>
    <n v="0"/>
    <n v="0"/>
  </r>
  <r>
    <x v="2"/>
    <x v="3"/>
    <s v="NT"/>
    <s v="Known gap agreement"/>
    <s v="More than 125% MBS Fee to 150% MBS Fee"/>
    <n v="0"/>
    <n v="0"/>
    <n v="0"/>
    <n v="0"/>
  </r>
  <r>
    <x v="2"/>
    <x v="3"/>
    <s v="NT"/>
    <s v="Known gap agreement"/>
    <s v="More than 150% MBS Fee to 200% MBS Fee"/>
    <n v="0"/>
    <n v="0"/>
    <n v="0"/>
    <n v="0"/>
  </r>
  <r>
    <x v="2"/>
    <x v="3"/>
    <s v="NT"/>
    <s v="Known gap agreement"/>
    <s v="More than 200% MBS Fee"/>
    <n v="0"/>
    <n v="0"/>
    <n v="0"/>
    <n v="0"/>
  </r>
  <r>
    <x v="2"/>
    <x v="3"/>
    <s v="NT"/>
    <s v="No agreement"/>
    <s v="100% MBS Fee to 125% MBS Fee"/>
    <n v="0"/>
    <n v="0"/>
    <n v="0"/>
    <n v="0"/>
  </r>
  <r>
    <x v="2"/>
    <x v="3"/>
    <s v="NT"/>
    <s v="No agreement"/>
    <s v="More than 125% MBS Fee to 150% MBS Fee"/>
    <n v="0"/>
    <n v="0"/>
    <n v="0"/>
    <n v="0"/>
  </r>
  <r>
    <x v="2"/>
    <x v="3"/>
    <s v="NT"/>
    <s v="No agreement"/>
    <s v="More than 150% MBS Fee to 200% MBS Fee"/>
    <n v="0"/>
    <n v="0"/>
    <n v="0"/>
    <n v="0"/>
  </r>
  <r>
    <x v="2"/>
    <x v="3"/>
    <s v="NT"/>
    <s v="No agreement"/>
    <s v="More than 200% MBS Fee"/>
    <n v="0"/>
    <n v="0"/>
    <n v="0"/>
    <n v="0"/>
  </r>
  <r>
    <x v="2"/>
    <x v="3"/>
    <s v="NT"/>
    <s v="No agreement"/>
    <s v="Up to MBS Fee"/>
    <n v="0"/>
    <n v="0"/>
    <n v="0"/>
    <n v="0"/>
  </r>
  <r>
    <x v="2"/>
    <x v="3"/>
    <s v="NT"/>
    <s v="No gap agreement"/>
    <s v="100% MBS Fee to 125% MBS Fee"/>
    <n v="0"/>
    <n v="0"/>
    <n v="0"/>
    <n v="0"/>
  </r>
  <r>
    <x v="2"/>
    <x v="3"/>
    <s v="NT"/>
    <s v="No gap agreement"/>
    <s v="More than 125% MBS Fee to 150% MBS Fee"/>
    <n v="0"/>
    <n v="0"/>
    <n v="0"/>
    <n v="0"/>
  </r>
  <r>
    <x v="2"/>
    <x v="3"/>
    <s v="NT"/>
    <s v="No gap agreement"/>
    <s v="More than 150% MBS Fee to 200% MBS Fee"/>
    <n v="0"/>
    <n v="0"/>
    <n v="0"/>
    <n v="0"/>
  </r>
  <r>
    <x v="2"/>
    <x v="3"/>
    <s v="NT"/>
    <s v="No gap agreement"/>
    <s v="More than 200% MBS Fee"/>
    <n v="0"/>
    <n v="0"/>
    <n v="0"/>
    <n v="0"/>
  </r>
  <r>
    <x v="2"/>
    <x v="3"/>
    <s v="NT"/>
    <s v="No gap agreement"/>
    <s v="Up to MBS Fee"/>
    <n v="0"/>
    <n v="0"/>
    <n v="0"/>
    <n v="0"/>
  </r>
  <r>
    <x v="2"/>
    <x v="3"/>
    <s v="QLD"/>
    <s v="Known gap agreement"/>
    <s v="100% MBS Fee to 125% MBS Fee"/>
    <n v="0"/>
    <n v="0"/>
    <n v="0"/>
    <n v="0"/>
  </r>
  <r>
    <x v="2"/>
    <x v="3"/>
    <s v="QLD"/>
    <s v="Known gap agreement"/>
    <s v="More than 125% MBS Fee to 150% MBS Fee"/>
    <n v="0"/>
    <n v="0"/>
    <n v="0"/>
    <n v="0"/>
  </r>
  <r>
    <x v="2"/>
    <x v="3"/>
    <s v="QLD"/>
    <s v="Known gap agreement"/>
    <s v="More than 150% MBS Fee to 200% MBS Fee"/>
    <n v="0"/>
    <n v="0"/>
    <n v="0"/>
    <n v="0"/>
  </r>
  <r>
    <x v="2"/>
    <x v="3"/>
    <s v="QLD"/>
    <s v="Known gap agreement"/>
    <s v="More than 200% MBS Fee"/>
    <n v="0"/>
    <n v="0"/>
    <n v="0"/>
    <n v="0"/>
  </r>
  <r>
    <x v="2"/>
    <x v="3"/>
    <s v="QLD"/>
    <s v="No agreement"/>
    <s v="100% MBS Fee to 125% MBS Fee"/>
    <n v="0"/>
    <n v="0"/>
    <n v="0"/>
    <n v="0"/>
  </r>
  <r>
    <x v="2"/>
    <x v="3"/>
    <s v="QLD"/>
    <s v="No agreement"/>
    <s v="More than 125% MBS Fee to 150% MBS Fee"/>
    <n v="0"/>
    <n v="0"/>
    <n v="0"/>
    <n v="0"/>
  </r>
  <r>
    <x v="2"/>
    <x v="3"/>
    <s v="QLD"/>
    <s v="No agreement"/>
    <s v="More than 150% MBS Fee to 200% MBS Fee"/>
    <n v="0"/>
    <n v="0"/>
    <n v="0"/>
    <n v="0"/>
  </r>
  <r>
    <x v="2"/>
    <x v="3"/>
    <s v="QLD"/>
    <s v="No agreement"/>
    <s v="More than 200% MBS Fee"/>
    <n v="0"/>
    <n v="0"/>
    <n v="0"/>
    <n v="0"/>
  </r>
  <r>
    <x v="2"/>
    <x v="3"/>
    <s v="QLD"/>
    <s v="No agreement"/>
    <s v="Up to MBS Fee"/>
    <n v="0"/>
    <n v="0"/>
    <n v="0"/>
    <n v="0"/>
  </r>
  <r>
    <x v="2"/>
    <x v="3"/>
    <s v="QLD"/>
    <s v="No gap agreement"/>
    <s v="100% MBS Fee to 125% MBS Fee"/>
    <n v="0"/>
    <n v="0"/>
    <n v="0"/>
    <n v="0"/>
  </r>
  <r>
    <x v="2"/>
    <x v="3"/>
    <s v="QLD"/>
    <s v="No gap agreement"/>
    <s v="More than 125% MBS Fee to 150% MBS Fee"/>
    <n v="0"/>
    <n v="0"/>
    <n v="0"/>
    <n v="0"/>
  </r>
  <r>
    <x v="2"/>
    <x v="3"/>
    <s v="QLD"/>
    <s v="No gap agreement"/>
    <s v="More than 150% MBS Fee to 200% MBS Fee"/>
    <n v="0"/>
    <n v="0"/>
    <n v="0"/>
    <n v="0"/>
  </r>
  <r>
    <x v="2"/>
    <x v="3"/>
    <s v="QLD"/>
    <s v="No gap agreement"/>
    <s v="More than 200% MBS Fee"/>
    <n v="0"/>
    <n v="0"/>
    <n v="0"/>
    <n v="0"/>
  </r>
  <r>
    <x v="2"/>
    <x v="3"/>
    <s v="QLD"/>
    <s v="No gap agreement"/>
    <s v="Up to MBS Fee"/>
    <n v="0"/>
    <n v="0"/>
    <n v="0"/>
    <n v="0"/>
  </r>
  <r>
    <x v="2"/>
    <x v="3"/>
    <s v="SA"/>
    <s v="Known gap agreement"/>
    <s v="100% MBS Fee to 125% MBS Fee"/>
    <n v="0"/>
    <n v="0"/>
    <n v="0"/>
    <n v="0"/>
  </r>
  <r>
    <x v="2"/>
    <x v="3"/>
    <s v="SA"/>
    <s v="Known gap agreement"/>
    <s v="More than 125% MBS Fee to 150% MBS Fee"/>
    <n v="0"/>
    <n v="0"/>
    <n v="0"/>
    <n v="0"/>
  </r>
  <r>
    <x v="2"/>
    <x v="3"/>
    <s v="SA"/>
    <s v="Known gap agreement"/>
    <s v="More than 150% MBS Fee to 200% MBS Fee"/>
    <n v="0"/>
    <n v="0"/>
    <n v="0"/>
    <n v="0"/>
  </r>
  <r>
    <x v="2"/>
    <x v="3"/>
    <s v="SA"/>
    <s v="Known gap agreement"/>
    <s v="More than 200% MBS Fee"/>
    <n v="0"/>
    <n v="0"/>
    <n v="0"/>
    <n v="0"/>
  </r>
  <r>
    <x v="2"/>
    <x v="3"/>
    <s v="SA"/>
    <s v="No agreement"/>
    <s v="100% MBS Fee to 125% MBS Fee"/>
    <n v="0"/>
    <n v="0"/>
    <n v="0"/>
    <n v="0"/>
  </r>
  <r>
    <x v="2"/>
    <x v="3"/>
    <s v="SA"/>
    <s v="No agreement"/>
    <s v="More than 125% MBS Fee to 150% MBS Fee"/>
    <n v="0"/>
    <n v="0"/>
    <n v="0"/>
    <n v="0"/>
  </r>
  <r>
    <x v="2"/>
    <x v="3"/>
    <s v="SA"/>
    <s v="No agreement"/>
    <s v="More than 150% MBS Fee to 200% MBS Fee"/>
    <n v="0"/>
    <n v="0"/>
    <n v="0"/>
    <n v="0"/>
  </r>
  <r>
    <x v="2"/>
    <x v="3"/>
    <s v="SA"/>
    <s v="No agreement"/>
    <s v="More than 200% MBS Fee"/>
    <n v="0"/>
    <n v="0"/>
    <n v="0"/>
    <n v="0"/>
  </r>
  <r>
    <x v="2"/>
    <x v="3"/>
    <s v="SA"/>
    <s v="No agreement"/>
    <s v="Up to MBS Fee"/>
    <n v="0"/>
    <n v="0"/>
    <n v="0"/>
    <n v="0"/>
  </r>
  <r>
    <x v="2"/>
    <x v="3"/>
    <s v="SA"/>
    <s v="No gap agreement"/>
    <s v="100% MBS Fee to 125% MBS Fee"/>
    <n v="0"/>
    <n v="0"/>
    <n v="0"/>
    <n v="0"/>
  </r>
  <r>
    <x v="2"/>
    <x v="3"/>
    <s v="SA"/>
    <s v="No gap agreement"/>
    <s v="More than 125% MBS Fee to 150% MBS Fee"/>
    <n v="0"/>
    <n v="0"/>
    <n v="0"/>
    <n v="0"/>
  </r>
  <r>
    <x v="2"/>
    <x v="3"/>
    <s v="SA"/>
    <s v="No gap agreement"/>
    <s v="More than 150% MBS Fee to 200% MBS Fee"/>
    <n v="0"/>
    <n v="0"/>
    <n v="0"/>
    <n v="0"/>
  </r>
  <r>
    <x v="2"/>
    <x v="3"/>
    <s v="SA"/>
    <s v="No gap agreement"/>
    <s v="More than 200% MBS Fee"/>
    <n v="0"/>
    <n v="0"/>
    <n v="0"/>
    <n v="0"/>
  </r>
  <r>
    <x v="2"/>
    <x v="3"/>
    <s v="SA"/>
    <s v="No gap agreement"/>
    <s v="Up to MBS Fee"/>
    <n v="0"/>
    <n v="0"/>
    <n v="0"/>
    <n v="0"/>
  </r>
  <r>
    <x v="2"/>
    <x v="3"/>
    <s v="TAS"/>
    <s v="Known gap agreement"/>
    <s v="100% MBS Fee to 125% MBS Fee"/>
    <n v="0"/>
    <n v="0"/>
    <n v="0"/>
    <n v="0"/>
  </r>
  <r>
    <x v="2"/>
    <x v="3"/>
    <s v="TAS"/>
    <s v="Known gap agreement"/>
    <s v="More than 125% MBS Fee to 150% MBS Fee"/>
    <n v="0"/>
    <n v="0"/>
    <n v="0"/>
    <n v="0"/>
  </r>
  <r>
    <x v="2"/>
    <x v="3"/>
    <s v="TAS"/>
    <s v="Known gap agreement"/>
    <s v="More than 150% MBS Fee to 200% MBS Fee"/>
    <n v="0"/>
    <n v="0"/>
    <n v="0"/>
    <n v="0"/>
  </r>
  <r>
    <x v="2"/>
    <x v="3"/>
    <s v="TAS"/>
    <s v="Known gap agreement"/>
    <s v="More than 200% MBS Fee"/>
    <n v="0"/>
    <n v="0"/>
    <n v="0"/>
    <n v="0"/>
  </r>
  <r>
    <x v="2"/>
    <x v="3"/>
    <s v="TAS"/>
    <s v="No agreement"/>
    <s v="100% MBS Fee to 125% MBS Fee"/>
    <n v="0"/>
    <n v="0"/>
    <n v="0"/>
    <n v="0"/>
  </r>
  <r>
    <x v="2"/>
    <x v="3"/>
    <s v="TAS"/>
    <s v="No agreement"/>
    <s v="More than 125% MBS Fee to 150% MBS Fee"/>
    <n v="0"/>
    <n v="0"/>
    <n v="0"/>
    <n v="0"/>
  </r>
  <r>
    <x v="2"/>
    <x v="3"/>
    <s v="TAS"/>
    <s v="No agreement"/>
    <s v="More than 150% MBS Fee to 200% MBS Fee"/>
    <n v="0"/>
    <n v="0"/>
    <n v="0"/>
    <n v="0"/>
  </r>
  <r>
    <x v="2"/>
    <x v="3"/>
    <s v="TAS"/>
    <s v="No agreement"/>
    <s v="More than 200% MBS Fee"/>
    <n v="0"/>
    <n v="0"/>
    <n v="0"/>
    <n v="0"/>
  </r>
  <r>
    <x v="2"/>
    <x v="3"/>
    <s v="TAS"/>
    <s v="No agreement"/>
    <s v="Up to MBS Fee"/>
    <n v="0"/>
    <n v="0"/>
    <n v="0"/>
    <n v="0"/>
  </r>
  <r>
    <x v="2"/>
    <x v="3"/>
    <s v="TAS"/>
    <s v="No gap agreement"/>
    <s v="100% MBS Fee to 125% MBS Fee"/>
    <n v="0"/>
    <n v="0"/>
    <n v="0"/>
    <n v="0"/>
  </r>
  <r>
    <x v="2"/>
    <x v="3"/>
    <s v="TAS"/>
    <s v="No gap agreement"/>
    <s v="More than 125% MBS Fee to 150% MBS Fee"/>
    <n v="0"/>
    <n v="0"/>
    <n v="0"/>
    <n v="0"/>
  </r>
  <r>
    <x v="2"/>
    <x v="3"/>
    <s v="TAS"/>
    <s v="No gap agreement"/>
    <s v="More than 150% MBS Fee to 200% MBS Fee"/>
    <n v="0"/>
    <n v="0"/>
    <n v="0"/>
    <n v="0"/>
  </r>
  <r>
    <x v="2"/>
    <x v="3"/>
    <s v="TAS"/>
    <s v="No gap agreement"/>
    <s v="More than 200% MBS Fee"/>
    <n v="0"/>
    <n v="0"/>
    <n v="0"/>
    <n v="0"/>
  </r>
  <r>
    <x v="2"/>
    <x v="3"/>
    <s v="TAS"/>
    <s v="No gap agreement"/>
    <s v="Up to MBS Fee"/>
    <n v="0"/>
    <n v="0"/>
    <n v="0"/>
    <n v="0"/>
  </r>
  <r>
    <x v="2"/>
    <x v="3"/>
    <s v="VIC"/>
    <s v="Known gap agreement"/>
    <s v="100% MBS Fee to 125% MBS Fee"/>
    <n v="0"/>
    <n v="0"/>
    <n v="0"/>
    <n v="0"/>
  </r>
  <r>
    <x v="2"/>
    <x v="3"/>
    <s v="VIC"/>
    <s v="Known gap agreement"/>
    <s v="More than 125% MBS Fee to 150% MBS Fee"/>
    <n v="0"/>
    <n v="0"/>
    <n v="0"/>
    <n v="0"/>
  </r>
  <r>
    <x v="2"/>
    <x v="3"/>
    <s v="VIC"/>
    <s v="Known gap agreement"/>
    <s v="More than 150% MBS Fee to 200% MBS Fee"/>
    <n v="0"/>
    <n v="0"/>
    <n v="0"/>
    <n v="0"/>
  </r>
  <r>
    <x v="2"/>
    <x v="3"/>
    <s v="VIC"/>
    <s v="Known gap agreement"/>
    <s v="More than 200% MBS Fee"/>
    <n v="0"/>
    <n v="0"/>
    <n v="0"/>
    <n v="0"/>
  </r>
  <r>
    <x v="2"/>
    <x v="3"/>
    <s v="VIC"/>
    <s v="No agreement"/>
    <s v="100% MBS Fee to 125% MBS Fee"/>
    <n v="0"/>
    <n v="0"/>
    <n v="0"/>
    <n v="0"/>
  </r>
  <r>
    <x v="2"/>
    <x v="3"/>
    <s v="VIC"/>
    <s v="No agreement"/>
    <s v="More than 125% MBS Fee to 150% MBS Fee"/>
    <n v="0"/>
    <n v="0"/>
    <n v="0"/>
    <n v="0"/>
  </r>
  <r>
    <x v="2"/>
    <x v="3"/>
    <s v="VIC"/>
    <s v="No agreement"/>
    <s v="More than 150% MBS Fee to 200% MBS Fee"/>
    <n v="0"/>
    <n v="0"/>
    <n v="0"/>
    <n v="0"/>
  </r>
  <r>
    <x v="2"/>
    <x v="3"/>
    <s v="VIC"/>
    <s v="No agreement"/>
    <s v="More than 200% MBS Fee"/>
    <n v="0"/>
    <n v="0"/>
    <n v="0"/>
    <n v="0"/>
  </r>
  <r>
    <x v="2"/>
    <x v="3"/>
    <s v="VIC"/>
    <s v="No agreement"/>
    <s v="Up to MBS Fee"/>
    <n v="0"/>
    <n v="0"/>
    <n v="0"/>
    <n v="0"/>
  </r>
  <r>
    <x v="2"/>
    <x v="3"/>
    <s v="VIC"/>
    <s v="No gap agreement"/>
    <s v="100% MBS Fee to 125% MBS Fee"/>
    <n v="0"/>
    <n v="0"/>
    <n v="0"/>
    <n v="0"/>
  </r>
  <r>
    <x v="2"/>
    <x v="3"/>
    <s v="VIC"/>
    <s v="No gap agreement"/>
    <s v="More than 125% MBS Fee to 150% MBS Fee"/>
    <n v="0"/>
    <n v="0"/>
    <n v="0"/>
    <n v="0"/>
  </r>
  <r>
    <x v="2"/>
    <x v="3"/>
    <s v="VIC"/>
    <s v="No gap agreement"/>
    <s v="More than 150% MBS Fee to 200% MBS Fee"/>
    <n v="0"/>
    <n v="0"/>
    <n v="0"/>
    <n v="0"/>
  </r>
  <r>
    <x v="2"/>
    <x v="3"/>
    <s v="VIC"/>
    <s v="No gap agreement"/>
    <s v="More than 200% MBS Fee"/>
    <n v="0"/>
    <n v="0"/>
    <n v="0"/>
    <n v="0"/>
  </r>
  <r>
    <x v="2"/>
    <x v="3"/>
    <s v="VIC"/>
    <s v="No gap agreement"/>
    <s v="Up to MBS Fee"/>
    <n v="0"/>
    <n v="0"/>
    <n v="0"/>
    <n v="0"/>
  </r>
  <r>
    <x v="2"/>
    <x v="3"/>
    <s v="WA"/>
    <s v="Known gap agreement"/>
    <s v="100% MBS Fee to 125% MBS Fee"/>
    <n v="0"/>
    <n v="0"/>
    <n v="0"/>
    <n v="0"/>
  </r>
  <r>
    <x v="2"/>
    <x v="3"/>
    <s v="WA"/>
    <s v="Known gap agreement"/>
    <s v="More than 125% MBS Fee to 150% MBS Fee"/>
    <n v="0"/>
    <n v="0"/>
    <n v="0"/>
    <n v="0"/>
  </r>
  <r>
    <x v="2"/>
    <x v="3"/>
    <s v="WA"/>
    <s v="Known gap agreement"/>
    <s v="More than 150% MBS Fee to 200% MBS Fee"/>
    <n v="0"/>
    <n v="0"/>
    <n v="0"/>
    <n v="0"/>
  </r>
  <r>
    <x v="2"/>
    <x v="3"/>
    <s v="WA"/>
    <s v="Known gap agreement"/>
    <s v="More than 200% MBS Fee"/>
    <n v="0"/>
    <n v="0"/>
    <n v="0"/>
    <n v="0"/>
  </r>
  <r>
    <x v="2"/>
    <x v="3"/>
    <s v="WA"/>
    <s v="No agreement"/>
    <s v="100% MBS Fee to 125% MBS Fee"/>
    <n v="0"/>
    <n v="0"/>
    <n v="0"/>
    <n v="0"/>
  </r>
  <r>
    <x v="2"/>
    <x v="3"/>
    <s v="WA"/>
    <s v="No agreement"/>
    <s v="More than 125% MBS Fee to 150% MBS Fee"/>
    <n v="0"/>
    <n v="0"/>
    <n v="0"/>
    <n v="0"/>
  </r>
  <r>
    <x v="2"/>
    <x v="3"/>
    <s v="WA"/>
    <s v="No agreement"/>
    <s v="More than 150% MBS Fee to 200% MBS Fee"/>
    <n v="0"/>
    <n v="0"/>
    <n v="0"/>
    <n v="0"/>
  </r>
  <r>
    <x v="2"/>
    <x v="3"/>
    <s v="WA"/>
    <s v="No agreement"/>
    <s v="More than 200% MBS Fee"/>
    <n v="0"/>
    <n v="0"/>
    <n v="0"/>
    <n v="0"/>
  </r>
  <r>
    <x v="2"/>
    <x v="3"/>
    <s v="WA"/>
    <s v="No agreement"/>
    <s v="Up to MBS Fee"/>
    <n v="0"/>
    <n v="0"/>
    <n v="0"/>
    <n v="0"/>
  </r>
  <r>
    <x v="2"/>
    <x v="3"/>
    <s v="WA"/>
    <s v="No gap agreement"/>
    <s v="100% MBS Fee to 125% MBS Fee"/>
    <n v="0"/>
    <n v="0"/>
    <n v="0"/>
    <n v="0"/>
  </r>
  <r>
    <x v="2"/>
    <x v="3"/>
    <s v="WA"/>
    <s v="No gap agreement"/>
    <s v="More than 125% MBS Fee to 150% MBS Fee"/>
    <n v="0"/>
    <n v="0"/>
    <n v="0"/>
    <n v="0"/>
  </r>
  <r>
    <x v="2"/>
    <x v="3"/>
    <s v="WA"/>
    <s v="No gap agreement"/>
    <s v="More than 150% MBS Fee to 200% MBS Fee"/>
    <n v="0"/>
    <n v="0"/>
    <n v="0"/>
    <n v="0"/>
  </r>
  <r>
    <x v="2"/>
    <x v="3"/>
    <s v="WA"/>
    <s v="No gap agreement"/>
    <s v="More than 200% MBS Fee"/>
    <n v="0"/>
    <n v="0"/>
    <n v="0"/>
    <n v="0"/>
  </r>
  <r>
    <x v="2"/>
    <x v="3"/>
    <s v="WA"/>
    <s v="No gap agreement"/>
    <s v="Up to MBS Fee"/>
    <n v="0"/>
    <n v="0"/>
    <n v="0"/>
    <n v="0"/>
  </r>
  <r>
    <x v="2"/>
    <x v="1"/>
    <s v="ACT"/>
    <s v="Known gap agreement"/>
    <s v="100% MBS Fee to 125% MBS Fee"/>
    <n v="0"/>
    <n v="0"/>
    <n v="0"/>
    <n v="0"/>
  </r>
  <r>
    <x v="2"/>
    <x v="1"/>
    <s v="ACT"/>
    <s v="Known gap agreement"/>
    <s v="More than 125% MBS Fee to 150% MBS Fee"/>
    <n v="0"/>
    <n v="0"/>
    <n v="0"/>
    <n v="0"/>
  </r>
  <r>
    <x v="2"/>
    <x v="1"/>
    <s v="ACT"/>
    <s v="Known gap agreement"/>
    <s v="More than 150% MBS Fee to 200% MBS Fee"/>
    <n v="0"/>
    <n v="0"/>
    <n v="0"/>
    <n v="0"/>
  </r>
  <r>
    <x v="2"/>
    <x v="1"/>
    <s v="ACT"/>
    <s v="Known gap agreement"/>
    <s v="More than 200% MBS Fee"/>
    <n v="0"/>
    <n v="0"/>
    <n v="0"/>
    <n v="0"/>
  </r>
  <r>
    <x v="2"/>
    <x v="1"/>
    <s v="ACT"/>
    <s v="No agreement"/>
    <s v="100% MBS Fee to 125% MBS Fee"/>
    <n v="0"/>
    <n v="0"/>
    <n v="0"/>
    <n v="0"/>
  </r>
  <r>
    <x v="2"/>
    <x v="1"/>
    <s v="ACT"/>
    <s v="No agreement"/>
    <s v="More than 125% MBS Fee to 150% MBS Fee"/>
    <n v="0"/>
    <n v="0"/>
    <n v="0"/>
    <n v="0"/>
  </r>
  <r>
    <x v="2"/>
    <x v="1"/>
    <s v="ACT"/>
    <s v="No agreement"/>
    <s v="More than 150% MBS Fee to 200% MBS Fee"/>
    <n v="0"/>
    <n v="0"/>
    <n v="0"/>
    <n v="0"/>
  </r>
  <r>
    <x v="2"/>
    <x v="1"/>
    <s v="ACT"/>
    <s v="No agreement"/>
    <s v="More than 200% MBS Fee"/>
    <n v="0"/>
    <n v="0"/>
    <n v="0"/>
    <n v="0"/>
  </r>
  <r>
    <x v="2"/>
    <x v="1"/>
    <s v="ACT"/>
    <s v="No agreement"/>
    <s v="Up to MBS Fee"/>
    <n v="0"/>
    <n v="0"/>
    <n v="0"/>
    <n v="0"/>
  </r>
  <r>
    <x v="2"/>
    <x v="1"/>
    <s v="ACT"/>
    <s v="No gap agreement"/>
    <s v="100% MBS Fee to 125% MBS Fee"/>
    <n v="0"/>
    <n v="0"/>
    <n v="0"/>
    <n v="0"/>
  </r>
  <r>
    <x v="2"/>
    <x v="1"/>
    <s v="ACT"/>
    <s v="No gap agreement"/>
    <s v="More than 125% MBS Fee to 150% MBS Fee"/>
    <n v="0"/>
    <n v="0"/>
    <n v="0"/>
    <n v="0"/>
  </r>
  <r>
    <x v="2"/>
    <x v="1"/>
    <s v="ACT"/>
    <s v="No gap agreement"/>
    <s v="More than 150% MBS Fee to 200% MBS Fee"/>
    <n v="0"/>
    <n v="0"/>
    <n v="0"/>
    <n v="0"/>
  </r>
  <r>
    <x v="2"/>
    <x v="1"/>
    <s v="ACT"/>
    <s v="No gap agreement"/>
    <s v="More than 200% MBS Fee"/>
    <n v="0"/>
    <n v="0"/>
    <n v="0"/>
    <n v="0"/>
  </r>
  <r>
    <x v="2"/>
    <x v="1"/>
    <s v="ACT"/>
    <s v="No gap agreement"/>
    <s v="Up to MBS Fee"/>
    <n v="0"/>
    <n v="0"/>
    <n v="0"/>
    <n v="0"/>
  </r>
  <r>
    <x v="2"/>
    <x v="1"/>
    <s v="NSW"/>
    <s v="Known gap agreement"/>
    <s v="100% MBS Fee to 125% MBS Fee"/>
    <n v="0"/>
    <n v="0"/>
    <n v="0"/>
    <n v="0"/>
  </r>
  <r>
    <x v="2"/>
    <x v="1"/>
    <s v="NSW"/>
    <s v="Known gap agreement"/>
    <s v="More than 125% MBS Fee to 150% MBS Fee"/>
    <n v="0"/>
    <n v="0"/>
    <n v="0"/>
    <n v="0"/>
  </r>
  <r>
    <x v="2"/>
    <x v="1"/>
    <s v="NSW"/>
    <s v="Known gap agreement"/>
    <s v="More than 150% MBS Fee to 200% MBS Fee"/>
    <n v="0"/>
    <n v="0"/>
    <n v="0"/>
    <n v="0"/>
  </r>
  <r>
    <x v="2"/>
    <x v="1"/>
    <s v="NSW"/>
    <s v="Known gap agreement"/>
    <s v="More than 200% MBS Fee"/>
    <n v="0"/>
    <n v="0"/>
    <n v="0"/>
    <n v="0"/>
  </r>
  <r>
    <x v="2"/>
    <x v="1"/>
    <s v="NSW"/>
    <s v="No agreement"/>
    <s v="100% MBS Fee to 125% MBS Fee"/>
    <n v="0"/>
    <n v="0"/>
    <n v="0"/>
    <n v="0"/>
  </r>
  <r>
    <x v="2"/>
    <x v="1"/>
    <s v="NSW"/>
    <s v="No agreement"/>
    <s v="More than 125% MBS Fee to 150% MBS Fee"/>
    <n v="0"/>
    <n v="0"/>
    <n v="0"/>
    <n v="0"/>
  </r>
  <r>
    <x v="2"/>
    <x v="1"/>
    <s v="NSW"/>
    <s v="No agreement"/>
    <s v="More than 150% MBS Fee to 200% MBS Fee"/>
    <n v="0"/>
    <n v="0"/>
    <n v="0"/>
    <n v="0"/>
  </r>
  <r>
    <x v="2"/>
    <x v="1"/>
    <s v="NSW"/>
    <s v="No agreement"/>
    <s v="More than 200% MBS Fee"/>
    <n v="0"/>
    <n v="0"/>
    <n v="0"/>
    <n v="0"/>
  </r>
  <r>
    <x v="2"/>
    <x v="1"/>
    <s v="NSW"/>
    <s v="No agreement"/>
    <s v="Up to MBS Fee"/>
    <n v="0"/>
    <n v="0"/>
    <n v="0"/>
    <n v="0"/>
  </r>
  <r>
    <x v="2"/>
    <x v="1"/>
    <s v="NSW"/>
    <s v="No gap agreement"/>
    <s v="100% MBS Fee to 125% MBS Fee"/>
    <n v="0"/>
    <n v="0"/>
    <n v="0"/>
    <n v="0"/>
  </r>
  <r>
    <x v="2"/>
    <x v="1"/>
    <s v="NSW"/>
    <s v="No gap agreement"/>
    <s v="More than 125% MBS Fee to 150% MBS Fee"/>
    <n v="0"/>
    <n v="0"/>
    <n v="0"/>
    <n v="0"/>
  </r>
  <r>
    <x v="2"/>
    <x v="1"/>
    <s v="NSW"/>
    <s v="No gap agreement"/>
    <s v="More than 150% MBS Fee to 200% MBS Fee"/>
    <n v="0"/>
    <n v="0"/>
    <n v="0"/>
    <n v="0"/>
  </r>
  <r>
    <x v="2"/>
    <x v="1"/>
    <s v="NSW"/>
    <s v="No gap agreement"/>
    <s v="More than 200% MBS Fee"/>
    <n v="0"/>
    <n v="0"/>
    <n v="0"/>
    <n v="0"/>
  </r>
  <r>
    <x v="2"/>
    <x v="1"/>
    <s v="NSW"/>
    <s v="No gap agreement"/>
    <s v="Up to MBS Fee"/>
    <n v="0"/>
    <n v="0"/>
    <n v="0"/>
    <n v="0"/>
  </r>
  <r>
    <x v="2"/>
    <x v="1"/>
    <s v="NT"/>
    <s v="Known gap agreement"/>
    <s v="100% MBS Fee to 125% MBS Fee"/>
    <n v="0"/>
    <n v="0"/>
    <n v="0"/>
    <n v="0"/>
  </r>
  <r>
    <x v="2"/>
    <x v="1"/>
    <s v="NT"/>
    <s v="Known gap agreement"/>
    <s v="More than 125% MBS Fee to 150% MBS Fee"/>
    <n v="0"/>
    <n v="0"/>
    <n v="0"/>
    <n v="0"/>
  </r>
  <r>
    <x v="2"/>
    <x v="1"/>
    <s v="NT"/>
    <s v="Known gap agreement"/>
    <s v="More than 150% MBS Fee to 200% MBS Fee"/>
    <n v="0"/>
    <n v="0"/>
    <n v="0"/>
    <n v="0"/>
  </r>
  <r>
    <x v="2"/>
    <x v="1"/>
    <s v="NT"/>
    <s v="Known gap agreement"/>
    <s v="More than 200% MBS Fee"/>
    <n v="0"/>
    <n v="0"/>
    <n v="0"/>
    <n v="0"/>
  </r>
  <r>
    <x v="2"/>
    <x v="1"/>
    <s v="NT"/>
    <s v="No agreement"/>
    <s v="100% MBS Fee to 125% MBS Fee"/>
    <n v="0"/>
    <n v="0"/>
    <n v="0"/>
    <n v="0"/>
  </r>
  <r>
    <x v="2"/>
    <x v="1"/>
    <s v="NT"/>
    <s v="No agreement"/>
    <s v="More than 125% MBS Fee to 150% MBS Fee"/>
    <n v="0"/>
    <n v="0"/>
    <n v="0"/>
    <n v="0"/>
  </r>
  <r>
    <x v="2"/>
    <x v="1"/>
    <s v="NT"/>
    <s v="No agreement"/>
    <s v="More than 150% MBS Fee to 200% MBS Fee"/>
    <n v="0"/>
    <n v="0"/>
    <n v="0"/>
    <n v="0"/>
  </r>
  <r>
    <x v="2"/>
    <x v="1"/>
    <s v="NT"/>
    <s v="No agreement"/>
    <s v="More than 200% MBS Fee"/>
    <n v="0"/>
    <n v="0"/>
    <n v="0"/>
    <n v="0"/>
  </r>
  <r>
    <x v="2"/>
    <x v="1"/>
    <s v="NT"/>
    <s v="No agreement"/>
    <s v="Up to MBS Fee"/>
    <n v="0"/>
    <n v="0"/>
    <n v="0"/>
    <n v="0"/>
  </r>
  <r>
    <x v="2"/>
    <x v="1"/>
    <s v="NT"/>
    <s v="No gap agreement"/>
    <s v="100% MBS Fee to 125% MBS Fee"/>
    <n v="0"/>
    <n v="0"/>
    <n v="0"/>
    <n v="0"/>
  </r>
  <r>
    <x v="2"/>
    <x v="1"/>
    <s v="NT"/>
    <s v="No gap agreement"/>
    <s v="More than 125% MBS Fee to 150% MBS Fee"/>
    <n v="0"/>
    <n v="0"/>
    <n v="0"/>
    <n v="0"/>
  </r>
  <r>
    <x v="2"/>
    <x v="1"/>
    <s v="NT"/>
    <s v="No gap agreement"/>
    <s v="More than 150% MBS Fee to 200% MBS Fee"/>
    <n v="0"/>
    <n v="0"/>
    <n v="0"/>
    <n v="0"/>
  </r>
  <r>
    <x v="2"/>
    <x v="1"/>
    <s v="NT"/>
    <s v="No gap agreement"/>
    <s v="More than 200% MBS Fee"/>
    <n v="0"/>
    <n v="0"/>
    <n v="0"/>
    <n v="0"/>
  </r>
  <r>
    <x v="2"/>
    <x v="1"/>
    <s v="NT"/>
    <s v="No gap agreement"/>
    <s v="Up to MBS Fee"/>
    <n v="0"/>
    <n v="0"/>
    <n v="0"/>
    <n v="0"/>
  </r>
  <r>
    <x v="2"/>
    <x v="1"/>
    <s v="QLD"/>
    <s v="Known gap agreement"/>
    <s v="100% MBS Fee to 125% MBS Fee"/>
    <n v="0"/>
    <n v="0"/>
    <n v="0"/>
    <n v="0"/>
  </r>
  <r>
    <x v="2"/>
    <x v="1"/>
    <s v="QLD"/>
    <s v="Known gap agreement"/>
    <s v="More than 125% MBS Fee to 150% MBS Fee"/>
    <n v="0"/>
    <n v="0"/>
    <n v="0"/>
    <n v="0"/>
  </r>
  <r>
    <x v="2"/>
    <x v="1"/>
    <s v="QLD"/>
    <s v="Known gap agreement"/>
    <s v="More than 150% MBS Fee to 200% MBS Fee"/>
    <n v="0"/>
    <n v="0"/>
    <n v="0"/>
    <n v="0"/>
  </r>
  <r>
    <x v="2"/>
    <x v="1"/>
    <s v="QLD"/>
    <s v="Known gap agreement"/>
    <s v="More than 200% MBS Fee"/>
    <n v="0"/>
    <n v="0"/>
    <n v="0"/>
    <n v="0"/>
  </r>
  <r>
    <x v="2"/>
    <x v="1"/>
    <s v="QLD"/>
    <s v="No agreement"/>
    <s v="100% MBS Fee to 125% MBS Fee"/>
    <n v="0"/>
    <n v="0"/>
    <n v="0"/>
    <n v="0"/>
  </r>
  <r>
    <x v="2"/>
    <x v="1"/>
    <s v="QLD"/>
    <s v="No agreement"/>
    <s v="More than 125% MBS Fee to 150% MBS Fee"/>
    <n v="0"/>
    <n v="0"/>
    <n v="0"/>
    <n v="0"/>
  </r>
  <r>
    <x v="2"/>
    <x v="1"/>
    <s v="QLD"/>
    <s v="No agreement"/>
    <s v="More than 150% MBS Fee to 200% MBS Fee"/>
    <n v="0"/>
    <n v="0"/>
    <n v="0"/>
    <n v="0"/>
  </r>
  <r>
    <x v="2"/>
    <x v="1"/>
    <s v="QLD"/>
    <s v="No agreement"/>
    <s v="More than 200% MBS Fee"/>
    <n v="0"/>
    <n v="0"/>
    <n v="0"/>
    <n v="0"/>
  </r>
  <r>
    <x v="2"/>
    <x v="1"/>
    <s v="QLD"/>
    <s v="No agreement"/>
    <s v="Up to MBS Fee"/>
    <n v="0"/>
    <n v="0"/>
    <n v="0"/>
    <n v="0"/>
  </r>
  <r>
    <x v="2"/>
    <x v="1"/>
    <s v="QLD"/>
    <s v="No gap agreement"/>
    <s v="100% MBS Fee to 125% MBS Fee"/>
    <n v="0"/>
    <n v="0"/>
    <n v="0"/>
    <n v="0"/>
  </r>
  <r>
    <x v="2"/>
    <x v="1"/>
    <s v="QLD"/>
    <s v="No gap agreement"/>
    <s v="More than 125% MBS Fee to 150% MBS Fee"/>
    <n v="0"/>
    <n v="0"/>
    <n v="0"/>
    <n v="0"/>
  </r>
  <r>
    <x v="2"/>
    <x v="1"/>
    <s v="QLD"/>
    <s v="No gap agreement"/>
    <s v="More than 150% MBS Fee to 200% MBS Fee"/>
    <n v="0"/>
    <n v="0"/>
    <n v="0"/>
    <n v="0"/>
  </r>
  <r>
    <x v="2"/>
    <x v="1"/>
    <s v="QLD"/>
    <s v="No gap agreement"/>
    <s v="More than 200% MBS Fee"/>
    <n v="0"/>
    <n v="0"/>
    <n v="0"/>
    <n v="0"/>
  </r>
  <r>
    <x v="2"/>
    <x v="1"/>
    <s v="QLD"/>
    <s v="No gap agreement"/>
    <s v="Up to MBS Fee"/>
    <n v="0"/>
    <n v="0"/>
    <n v="0"/>
    <n v="0"/>
  </r>
  <r>
    <x v="2"/>
    <x v="1"/>
    <s v="SA"/>
    <s v="Known gap agreement"/>
    <s v="100% MBS Fee to 125% MBS Fee"/>
    <n v="0"/>
    <n v="0"/>
    <n v="0"/>
    <n v="0"/>
  </r>
  <r>
    <x v="2"/>
    <x v="1"/>
    <s v="SA"/>
    <s v="Known gap agreement"/>
    <s v="More than 125% MBS Fee to 150% MBS Fee"/>
    <n v="0"/>
    <n v="0"/>
    <n v="0"/>
    <n v="0"/>
  </r>
  <r>
    <x v="2"/>
    <x v="1"/>
    <s v="SA"/>
    <s v="Known gap agreement"/>
    <s v="More than 150% MBS Fee to 200% MBS Fee"/>
    <n v="0"/>
    <n v="0"/>
    <n v="0"/>
    <n v="0"/>
  </r>
  <r>
    <x v="2"/>
    <x v="1"/>
    <s v="SA"/>
    <s v="Known gap agreement"/>
    <s v="More than 200% MBS Fee"/>
    <n v="0"/>
    <n v="0"/>
    <n v="0"/>
    <n v="0"/>
  </r>
  <r>
    <x v="2"/>
    <x v="1"/>
    <s v="SA"/>
    <s v="No agreement"/>
    <s v="100% MBS Fee to 125% MBS Fee"/>
    <n v="0"/>
    <n v="0"/>
    <n v="0"/>
    <n v="0"/>
  </r>
  <r>
    <x v="2"/>
    <x v="1"/>
    <s v="SA"/>
    <s v="No agreement"/>
    <s v="More than 125% MBS Fee to 150% MBS Fee"/>
    <n v="0"/>
    <n v="0"/>
    <n v="0"/>
    <n v="0"/>
  </r>
  <r>
    <x v="2"/>
    <x v="1"/>
    <s v="SA"/>
    <s v="No agreement"/>
    <s v="More than 150% MBS Fee to 200% MBS Fee"/>
    <n v="0"/>
    <n v="0"/>
    <n v="0"/>
    <n v="0"/>
  </r>
  <r>
    <x v="2"/>
    <x v="1"/>
    <s v="SA"/>
    <s v="No agreement"/>
    <s v="More than 200% MBS Fee"/>
    <n v="0"/>
    <n v="0"/>
    <n v="0"/>
    <n v="0"/>
  </r>
  <r>
    <x v="2"/>
    <x v="1"/>
    <s v="SA"/>
    <s v="No agreement"/>
    <s v="Up to MBS Fee"/>
    <n v="0"/>
    <n v="0"/>
    <n v="0"/>
    <n v="0"/>
  </r>
  <r>
    <x v="2"/>
    <x v="1"/>
    <s v="SA"/>
    <s v="No gap agreement"/>
    <s v="100% MBS Fee to 125% MBS Fee"/>
    <n v="0"/>
    <n v="0"/>
    <n v="0"/>
    <n v="0"/>
  </r>
  <r>
    <x v="2"/>
    <x v="1"/>
    <s v="SA"/>
    <s v="No gap agreement"/>
    <s v="More than 125% MBS Fee to 150% MBS Fee"/>
    <n v="0"/>
    <n v="0"/>
    <n v="0"/>
    <n v="0"/>
  </r>
  <r>
    <x v="2"/>
    <x v="1"/>
    <s v="SA"/>
    <s v="No gap agreement"/>
    <s v="More than 150% MBS Fee to 200% MBS Fee"/>
    <n v="0"/>
    <n v="0"/>
    <n v="0"/>
    <n v="0"/>
  </r>
  <r>
    <x v="2"/>
    <x v="1"/>
    <s v="SA"/>
    <s v="No gap agreement"/>
    <s v="More than 200% MBS Fee"/>
    <n v="0"/>
    <n v="0"/>
    <n v="0"/>
    <n v="0"/>
  </r>
  <r>
    <x v="2"/>
    <x v="1"/>
    <s v="SA"/>
    <s v="No gap agreement"/>
    <s v="Up to MBS Fee"/>
    <n v="0"/>
    <n v="0"/>
    <n v="0"/>
    <n v="0"/>
  </r>
  <r>
    <x v="2"/>
    <x v="1"/>
    <s v="TAS"/>
    <s v="Known gap agreement"/>
    <s v="100% MBS Fee to 125% MBS Fee"/>
    <n v="0"/>
    <n v="0"/>
    <n v="0"/>
    <n v="0"/>
  </r>
  <r>
    <x v="2"/>
    <x v="1"/>
    <s v="TAS"/>
    <s v="Known gap agreement"/>
    <s v="More than 125% MBS Fee to 150% MBS Fee"/>
    <n v="0"/>
    <n v="0"/>
    <n v="0"/>
    <n v="0"/>
  </r>
  <r>
    <x v="2"/>
    <x v="1"/>
    <s v="TAS"/>
    <s v="Known gap agreement"/>
    <s v="More than 150% MBS Fee to 200% MBS Fee"/>
    <n v="0"/>
    <n v="0"/>
    <n v="0"/>
    <n v="0"/>
  </r>
  <r>
    <x v="2"/>
    <x v="1"/>
    <s v="TAS"/>
    <s v="Known gap agreement"/>
    <s v="More than 200% MBS Fee"/>
    <n v="0"/>
    <n v="0"/>
    <n v="0"/>
    <n v="0"/>
  </r>
  <r>
    <x v="2"/>
    <x v="1"/>
    <s v="TAS"/>
    <s v="No agreement"/>
    <s v="100% MBS Fee to 125% MBS Fee"/>
    <n v="0"/>
    <n v="0"/>
    <n v="0"/>
    <n v="0"/>
  </r>
  <r>
    <x v="2"/>
    <x v="1"/>
    <s v="TAS"/>
    <s v="No agreement"/>
    <s v="More than 125% MBS Fee to 150% MBS Fee"/>
    <n v="0"/>
    <n v="0"/>
    <n v="0"/>
    <n v="0"/>
  </r>
  <r>
    <x v="2"/>
    <x v="1"/>
    <s v="TAS"/>
    <s v="No agreement"/>
    <s v="More than 150% MBS Fee to 200% MBS Fee"/>
    <n v="0"/>
    <n v="0"/>
    <n v="0"/>
    <n v="0"/>
  </r>
  <r>
    <x v="2"/>
    <x v="1"/>
    <s v="TAS"/>
    <s v="No agreement"/>
    <s v="More than 200% MBS Fee"/>
    <n v="0"/>
    <n v="0"/>
    <n v="0"/>
    <n v="0"/>
  </r>
  <r>
    <x v="2"/>
    <x v="1"/>
    <s v="TAS"/>
    <s v="No agreement"/>
    <s v="Up to MBS Fee"/>
    <n v="0"/>
    <n v="0"/>
    <n v="0"/>
    <n v="0"/>
  </r>
  <r>
    <x v="2"/>
    <x v="1"/>
    <s v="TAS"/>
    <s v="No gap agreement"/>
    <s v="100% MBS Fee to 125% MBS Fee"/>
    <n v="0"/>
    <n v="0"/>
    <n v="0"/>
    <n v="0"/>
  </r>
  <r>
    <x v="2"/>
    <x v="1"/>
    <s v="TAS"/>
    <s v="No gap agreement"/>
    <s v="More than 125% MBS Fee to 150% MBS Fee"/>
    <n v="0"/>
    <n v="0"/>
    <n v="0"/>
    <n v="0"/>
  </r>
  <r>
    <x v="2"/>
    <x v="1"/>
    <s v="TAS"/>
    <s v="No gap agreement"/>
    <s v="More than 150% MBS Fee to 200% MBS Fee"/>
    <n v="0"/>
    <n v="0"/>
    <n v="0"/>
    <n v="0"/>
  </r>
  <r>
    <x v="2"/>
    <x v="1"/>
    <s v="TAS"/>
    <s v="No gap agreement"/>
    <s v="More than 200% MBS Fee"/>
    <n v="0"/>
    <n v="0"/>
    <n v="0"/>
    <n v="0"/>
  </r>
  <r>
    <x v="2"/>
    <x v="1"/>
    <s v="TAS"/>
    <s v="No gap agreement"/>
    <s v="Up to MBS Fee"/>
    <n v="0"/>
    <n v="0"/>
    <n v="0"/>
    <n v="0"/>
  </r>
  <r>
    <x v="2"/>
    <x v="1"/>
    <s v="VIC"/>
    <s v="Known gap agreement"/>
    <s v="100% MBS Fee to 125% MBS Fee"/>
    <n v="0"/>
    <n v="0"/>
    <n v="0"/>
    <n v="0"/>
  </r>
  <r>
    <x v="2"/>
    <x v="1"/>
    <s v="VIC"/>
    <s v="Known gap agreement"/>
    <s v="More than 125% MBS Fee to 150% MBS Fee"/>
    <n v="0"/>
    <n v="0"/>
    <n v="0"/>
    <n v="0"/>
  </r>
  <r>
    <x v="2"/>
    <x v="1"/>
    <s v="VIC"/>
    <s v="Known gap agreement"/>
    <s v="More than 150% MBS Fee to 200% MBS Fee"/>
    <n v="0"/>
    <n v="0"/>
    <n v="0"/>
    <n v="0"/>
  </r>
  <r>
    <x v="2"/>
    <x v="1"/>
    <s v="VIC"/>
    <s v="Known gap agreement"/>
    <s v="More than 200% MBS Fee"/>
    <n v="0"/>
    <n v="0"/>
    <n v="0"/>
    <n v="0"/>
  </r>
  <r>
    <x v="2"/>
    <x v="1"/>
    <s v="VIC"/>
    <s v="No agreement"/>
    <s v="100% MBS Fee to 125% MBS Fee"/>
    <n v="0"/>
    <n v="0"/>
    <n v="0"/>
    <n v="0"/>
  </r>
  <r>
    <x v="2"/>
    <x v="1"/>
    <s v="VIC"/>
    <s v="No agreement"/>
    <s v="More than 125% MBS Fee to 150% MBS Fee"/>
    <n v="0"/>
    <n v="0"/>
    <n v="0"/>
    <n v="0"/>
  </r>
  <r>
    <x v="2"/>
    <x v="1"/>
    <s v="VIC"/>
    <s v="No agreement"/>
    <s v="More than 150% MBS Fee to 200% MBS Fee"/>
    <n v="0"/>
    <n v="0"/>
    <n v="0"/>
    <n v="0"/>
  </r>
  <r>
    <x v="2"/>
    <x v="1"/>
    <s v="VIC"/>
    <s v="No agreement"/>
    <s v="More than 200% MBS Fee"/>
    <n v="0"/>
    <n v="0"/>
    <n v="0"/>
    <n v="0"/>
  </r>
  <r>
    <x v="2"/>
    <x v="1"/>
    <s v="VIC"/>
    <s v="No agreement"/>
    <s v="Up to MBS Fee"/>
    <n v="0"/>
    <n v="0"/>
    <n v="0"/>
    <n v="0"/>
  </r>
  <r>
    <x v="2"/>
    <x v="1"/>
    <s v="VIC"/>
    <s v="No gap agreement"/>
    <s v="100% MBS Fee to 125% MBS Fee"/>
    <n v="0"/>
    <n v="0"/>
    <n v="0"/>
    <n v="0"/>
  </r>
  <r>
    <x v="2"/>
    <x v="1"/>
    <s v="VIC"/>
    <s v="No gap agreement"/>
    <s v="More than 125% MBS Fee to 150% MBS Fee"/>
    <n v="0"/>
    <n v="0"/>
    <n v="0"/>
    <n v="0"/>
  </r>
  <r>
    <x v="2"/>
    <x v="1"/>
    <s v="VIC"/>
    <s v="No gap agreement"/>
    <s v="More than 150% MBS Fee to 200% MBS Fee"/>
    <n v="0"/>
    <n v="0"/>
    <n v="0"/>
    <n v="0"/>
  </r>
  <r>
    <x v="2"/>
    <x v="1"/>
    <s v="VIC"/>
    <s v="No gap agreement"/>
    <s v="More than 200% MBS Fee"/>
    <n v="0"/>
    <n v="0"/>
    <n v="0"/>
    <n v="0"/>
  </r>
  <r>
    <x v="2"/>
    <x v="1"/>
    <s v="VIC"/>
    <s v="No gap agreement"/>
    <s v="Up to MBS Fee"/>
    <n v="0"/>
    <n v="0"/>
    <n v="0"/>
    <n v="0"/>
  </r>
  <r>
    <x v="2"/>
    <x v="1"/>
    <s v="WA"/>
    <s v="Known gap agreement"/>
    <s v="100% MBS Fee to 125% MBS Fee"/>
    <n v="0"/>
    <n v="0"/>
    <n v="0"/>
    <n v="0"/>
  </r>
  <r>
    <x v="2"/>
    <x v="1"/>
    <s v="WA"/>
    <s v="Known gap agreement"/>
    <s v="More than 125% MBS Fee to 150% MBS Fee"/>
    <n v="0"/>
    <n v="0"/>
    <n v="0"/>
    <n v="0"/>
  </r>
  <r>
    <x v="2"/>
    <x v="1"/>
    <s v="WA"/>
    <s v="Known gap agreement"/>
    <s v="More than 150% MBS Fee to 200% MBS Fee"/>
    <n v="0"/>
    <n v="0"/>
    <n v="0"/>
    <n v="0"/>
  </r>
  <r>
    <x v="2"/>
    <x v="1"/>
    <s v="WA"/>
    <s v="Known gap agreement"/>
    <s v="More than 200% MBS Fee"/>
    <n v="0"/>
    <n v="0"/>
    <n v="0"/>
    <n v="0"/>
  </r>
  <r>
    <x v="2"/>
    <x v="1"/>
    <s v="WA"/>
    <s v="No agreement"/>
    <s v="100% MBS Fee to 125% MBS Fee"/>
    <n v="0"/>
    <n v="0"/>
    <n v="0"/>
    <n v="0"/>
  </r>
  <r>
    <x v="2"/>
    <x v="1"/>
    <s v="WA"/>
    <s v="No agreement"/>
    <s v="More than 125% MBS Fee to 150% MBS Fee"/>
    <n v="0"/>
    <n v="0"/>
    <n v="0"/>
    <n v="0"/>
  </r>
  <r>
    <x v="2"/>
    <x v="1"/>
    <s v="WA"/>
    <s v="No agreement"/>
    <s v="More than 150% MBS Fee to 200% MBS Fee"/>
    <n v="0"/>
    <n v="0"/>
    <n v="0"/>
    <n v="0"/>
  </r>
  <r>
    <x v="2"/>
    <x v="1"/>
    <s v="WA"/>
    <s v="No agreement"/>
    <s v="More than 200% MBS Fee"/>
    <n v="0"/>
    <n v="0"/>
    <n v="0"/>
    <n v="0"/>
  </r>
  <r>
    <x v="2"/>
    <x v="1"/>
    <s v="WA"/>
    <s v="No agreement"/>
    <s v="Up to MBS Fee"/>
    <n v="0"/>
    <n v="0"/>
    <n v="0"/>
    <n v="0"/>
  </r>
  <r>
    <x v="2"/>
    <x v="1"/>
    <s v="WA"/>
    <s v="No gap agreement"/>
    <s v="100% MBS Fee to 125% MBS Fee"/>
    <n v="0"/>
    <n v="0"/>
    <n v="0"/>
    <n v="0"/>
  </r>
  <r>
    <x v="2"/>
    <x v="1"/>
    <s v="WA"/>
    <s v="No gap agreement"/>
    <s v="More than 125% MBS Fee to 150% MBS Fee"/>
    <n v="0"/>
    <n v="0"/>
    <n v="0"/>
    <n v="0"/>
  </r>
  <r>
    <x v="2"/>
    <x v="1"/>
    <s v="WA"/>
    <s v="No gap agreement"/>
    <s v="More than 150% MBS Fee to 200% MBS Fee"/>
    <n v="0"/>
    <n v="0"/>
    <n v="0"/>
    <n v="0"/>
  </r>
  <r>
    <x v="2"/>
    <x v="1"/>
    <s v="WA"/>
    <s v="No gap agreement"/>
    <s v="More than 200% MBS Fee"/>
    <n v="0"/>
    <n v="0"/>
    <n v="0"/>
    <n v="0"/>
  </r>
  <r>
    <x v="2"/>
    <x v="1"/>
    <s v="WA"/>
    <s v="No gap agreement"/>
    <s v="Up to MBS Fee"/>
    <n v="0"/>
    <n v="0"/>
    <n v="0"/>
    <n v="0"/>
  </r>
  <r>
    <x v="3"/>
    <x v="0"/>
    <s v="ACT"/>
    <s v="Known gap agreement"/>
    <s v="100% MBS Fee to 125% MBS Fee"/>
    <n v="0"/>
    <n v="0"/>
    <n v="0"/>
    <n v="0"/>
  </r>
  <r>
    <x v="3"/>
    <x v="0"/>
    <s v="ACT"/>
    <s v="Known gap agreement"/>
    <s v="More than 125% MBS Fee to 150% MBS Fee"/>
    <n v="0"/>
    <n v="0"/>
    <n v="0"/>
    <n v="0"/>
  </r>
  <r>
    <x v="3"/>
    <x v="0"/>
    <s v="ACT"/>
    <s v="Known gap agreement"/>
    <s v="More than 150% MBS Fee to 200% MBS Fee"/>
    <n v="0"/>
    <n v="0"/>
    <n v="0"/>
    <n v="0"/>
  </r>
  <r>
    <x v="3"/>
    <x v="0"/>
    <s v="ACT"/>
    <s v="Known gap agreement"/>
    <s v="More than 200% MBS Fee"/>
    <n v="0"/>
    <n v="0"/>
    <n v="0"/>
    <n v="0"/>
  </r>
  <r>
    <x v="3"/>
    <x v="0"/>
    <s v="ACT"/>
    <s v="No agreement"/>
    <s v="100% MBS Fee to 125% MBS Fee"/>
    <n v="0"/>
    <n v="0"/>
    <n v="0"/>
    <n v="0"/>
  </r>
  <r>
    <x v="3"/>
    <x v="0"/>
    <s v="ACT"/>
    <s v="No agreement"/>
    <s v="More than 125% MBS Fee to 150% MBS Fee"/>
    <n v="0"/>
    <n v="0"/>
    <n v="0"/>
    <n v="0"/>
  </r>
  <r>
    <x v="3"/>
    <x v="0"/>
    <s v="ACT"/>
    <s v="No agreement"/>
    <s v="More than 150% MBS Fee to 200% MBS Fee"/>
    <n v="0"/>
    <n v="0"/>
    <n v="0"/>
    <n v="0"/>
  </r>
  <r>
    <x v="3"/>
    <x v="0"/>
    <s v="ACT"/>
    <s v="No agreement"/>
    <s v="More than 200% MBS Fee"/>
    <n v="0"/>
    <n v="0"/>
    <n v="0"/>
    <n v="0"/>
  </r>
  <r>
    <x v="3"/>
    <x v="0"/>
    <s v="ACT"/>
    <s v="No agreement"/>
    <s v="Up to MBS Fee"/>
    <n v="0"/>
    <n v="0"/>
    <n v="0"/>
    <n v="0"/>
  </r>
  <r>
    <x v="3"/>
    <x v="0"/>
    <s v="ACT"/>
    <s v="No gap agreement"/>
    <s v="100% MBS Fee to 125% MBS Fee"/>
    <n v="0"/>
    <n v="0"/>
    <n v="0"/>
    <n v="0"/>
  </r>
  <r>
    <x v="3"/>
    <x v="0"/>
    <s v="ACT"/>
    <s v="No gap agreement"/>
    <s v="More than 125% MBS Fee to 150% MBS Fee"/>
    <n v="0"/>
    <n v="0"/>
    <n v="0"/>
    <n v="0"/>
  </r>
  <r>
    <x v="3"/>
    <x v="0"/>
    <s v="ACT"/>
    <s v="No gap agreement"/>
    <s v="More than 150% MBS Fee to 200% MBS Fee"/>
    <n v="0"/>
    <n v="0"/>
    <n v="0"/>
    <n v="0"/>
  </r>
  <r>
    <x v="3"/>
    <x v="0"/>
    <s v="ACT"/>
    <s v="No gap agreement"/>
    <s v="More than 200% MBS Fee"/>
    <n v="0"/>
    <n v="0"/>
    <n v="0"/>
    <n v="0"/>
  </r>
  <r>
    <x v="3"/>
    <x v="0"/>
    <s v="ACT"/>
    <s v="No gap agreement"/>
    <s v="Up to MBS Fee"/>
    <n v="0"/>
    <n v="0"/>
    <n v="0"/>
    <n v="0"/>
  </r>
  <r>
    <x v="3"/>
    <x v="0"/>
    <s v="NSW"/>
    <s v="Known gap agreement"/>
    <s v="100% MBS Fee to 125% MBS Fee"/>
    <n v="0"/>
    <n v="0"/>
    <n v="0"/>
    <n v="0"/>
  </r>
  <r>
    <x v="3"/>
    <x v="0"/>
    <s v="NSW"/>
    <s v="Known gap agreement"/>
    <s v="More than 125% MBS Fee to 150% MBS Fee"/>
    <n v="0"/>
    <n v="0"/>
    <n v="0"/>
    <n v="0"/>
  </r>
  <r>
    <x v="3"/>
    <x v="0"/>
    <s v="NSW"/>
    <s v="Known gap agreement"/>
    <s v="More than 150% MBS Fee to 200% MBS Fee"/>
    <n v="0"/>
    <n v="0"/>
    <n v="0"/>
    <n v="0"/>
  </r>
  <r>
    <x v="3"/>
    <x v="0"/>
    <s v="NSW"/>
    <s v="Known gap agreement"/>
    <s v="More than 200% MBS Fee"/>
    <n v="0"/>
    <n v="0"/>
    <n v="0"/>
    <n v="0"/>
  </r>
  <r>
    <x v="3"/>
    <x v="0"/>
    <s v="NSW"/>
    <s v="No agreement"/>
    <s v="100% MBS Fee to 125% MBS Fee"/>
    <n v="0"/>
    <n v="0"/>
    <n v="0"/>
    <n v="0"/>
  </r>
  <r>
    <x v="3"/>
    <x v="0"/>
    <s v="NSW"/>
    <s v="No agreement"/>
    <s v="More than 125% MBS Fee to 150% MBS Fee"/>
    <n v="0"/>
    <n v="0"/>
    <n v="0"/>
    <n v="0"/>
  </r>
  <r>
    <x v="3"/>
    <x v="0"/>
    <s v="NSW"/>
    <s v="No agreement"/>
    <s v="More than 150% MBS Fee to 200% MBS Fee"/>
    <n v="0"/>
    <n v="0"/>
    <n v="0"/>
    <n v="0"/>
  </r>
  <r>
    <x v="3"/>
    <x v="0"/>
    <s v="NSW"/>
    <s v="No agreement"/>
    <s v="More than 200% MBS Fee"/>
    <n v="0"/>
    <n v="0"/>
    <n v="0"/>
    <n v="0"/>
  </r>
  <r>
    <x v="3"/>
    <x v="0"/>
    <s v="NSW"/>
    <s v="No agreement"/>
    <s v="Up to MBS Fee"/>
    <n v="0"/>
    <n v="0"/>
    <n v="0"/>
    <n v="0"/>
  </r>
  <r>
    <x v="3"/>
    <x v="0"/>
    <s v="NSW"/>
    <s v="No gap agreement"/>
    <s v="100% MBS Fee to 125% MBS Fee"/>
    <n v="0"/>
    <n v="0"/>
    <n v="0"/>
    <n v="0"/>
  </r>
  <r>
    <x v="3"/>
    <x v="0"/>
    <s v="NSW"/>
    <s v="No gap agreement"/>
    <s v="More than 125% MBS Fee to 150% MBS Fee"/>
    <n v="0"/>
    <n v="0"/>
    <n v="0"/>
    <n v="0"/>
  </r>
  <r>
    <x v="3"/>
    <x v="0"/>
    <s v="NSW"/>
    <s v="No gap agreement"/>
    <s v="More than 150% MBS Fee to 200% MBS Fee"/>
    <n v="0"/>
    <n v="0"/>
    <n v="0"/>
    <n v="0"/>
  </r>
  <r>
    <x v="3"/>
    <x v="0"/>
    <s v="NSW"/>
    <s v="No gap agreement"/>
    <s v="More than 200% MBS Fee"/>
    <n v="0"/>
    <n v="0"/>
    <n v="0"/>
    <n v="0"/>
  </r>
  <r>
    <x v="3"/>
    <x v="0"/>
    <s v="NSW"/>
    <s v="No gap agreement"/>
    <s v="Up to MBS Fee"/>
    <n v="0"/>
    <n v="0"/>
    <n v="0"/>
    <n v="0"/>
  </r>
  <r>
    <x v="3"/>
    <x v="0"/>
    <s v="NT"/>
    <s v="Known gap agreement"/>
    <s v="100% MBS Fee to 125% MBS Fee"/>
    <n v="0"/>
    <n v="0"/>
    <n v="0"/>
    <n v="0"/>
  </r>
  <r>
    <x v="3"/>
    <x v="0"/>
    <s v="NT"/>
    <s v="Known gap agreement"/>
    <s v="More than 125% MBS Fee to 150% MBS Fee"/>
    <n v="0"/>
    <n v="0"/>
    <n v="0"/>
    <n v="0"/>
  </r>
  <r>
    <x v="3"/>
    <x v="0"/>
    <s v="NT"/>
    <s v="Known gap agreement"/>
    <s v="More than 150% MBS Fee to 200% MBS Fee"/>
    <n v="0"/>
    <n v="0"/>
    <n v="0"/>
    <n v="0"/>
  </r>
  <r>
    <x v="3"/>
    <x v="0"/>
    <s v="NT"/>
    <s v="Known gap agreement"/>
    <s v="More than 200% MBS Fee"/>
    <n v="0"/>
    <n v="0"/>
    <n v="0"/>
    <n v="0"/>
  </r>
  <r>
    <x v="3"/>
    <x v="0"/>
    <s v="NT"/>
    <s v="No agreement"/>
    <s v="100% MBS Fee to 125% MBS Fee"/>
    <n v="0"/>
    <n v="0"/>
    <n v="0"/>
    <n v="0"/>
  </r>
  <r>
    <x v="3"/>
    <x v="0"/>
    <s v="NT"/>
    <s v="No agreement"/>
    <s v="More than 125% MBS Fee to 150% MBS Fee"/>
    <n v="0"/>
    <n v="0"/>
    <n v="0"/>
    <n v="0"/>
  </r>
  <r>
    <x v="3"/>
    <x v="0"/>
    <s v="NT"/>
    <s v="No agreement"/>
    <s v="More than 150% MBS Fee to 200% MBS Fee"/>
    <n v="0"/>
    <n v="0"/>
    <n v="0"/>
    <n v="0"/>
  </r>
  <r>
    <x v="3"/>
    <x v="0"/>
    <s v="NT"/>
    <s v="No agreement"/>
    <s v="More than 200% MBS Fee"/>
    <n v="0"/>
    <n v="0"/>
    <n v="0"/>
    <n v="0"/>
  </r>
  <r>
    <x v="3"/>
    <x v="0"/>
    <s v="NT"/>
    <s v="No agreement"/>
    <s v="Up to MBS Fee"/>
    <n v="0"/>
    <n v="0"/>
    <n v="0"/>
    <n v="0"/>
  </r>
  <r>
    <x v="3"/>
    <x v="0"/>
    <s v="NT"/>
    <s v="No gap agreement"/>
    <s v="100% MBS Fee to 125% MBS Fee"/>
    <n v="0"/>
    <n v="0"/>
    <n v="0"/>
    <n v="0"/>
  </r>
  <r>
    <x v="3"/>
    <x v="0"/>
    <s v="NT"/>
    <s v="No gap agreement"/>
    <s v="More than 125% MBS Fee to 150% MBS Fee"/>
    <n v="0"/>
    <n v="0"/>
    <n v="0"/>
    <n v="0"/>
  </r>
  <r>
    <x v="3"/>
    <x v="0"/>
    <s v="NT"/>
    <s v="No gap agreement"/>
    <s v="More than 150% MBS Fee to 200% MBS Fee"/>
    <n v="0"/>
    <n v="0"/>
    <n v="0"/>
    <n v="0"/>
  </r>
  <r>
    <x v="3"/>
    <x v="0"/>
    <s v="NT"/>
    <s v="No gap agreement"/>
    <s v="More than 200% MBS Fee"/>
    <n v="0"/>
    <n v="0"/>
    <n v="0"/>
    <n v="0"/>
  </r>
  <r>
    <x v="3"/>
    <x v="0"/>
    <s v="NT"/>
    <s v="No gap agreement"/>
    <s v="Up to MBS Fee"/>
    <n v="0"/>
    <n v="0"/>
    <n v="0"/>
    <n v="0"/>
  </r>
  <r>
    <x v="3"/>
    <x v="0"/>
    <s v="QLD"/>
    <s v="Known gap agreement"/>
    <s v="100% MBS Fee to 125% MBS Fee"/>
    <n v="0"/>
    <n v="0"/>
    <n v="0"/>
    <n v="0"/>
  </r>
  <r>
    <x v="3"/>
    <x v="0"/>
    <s v="QLD"/>
    <s v="Known gap agreement"/>
    <s v="More than 125% MBS Fee to 150% MBS Fee"/>
    <n v="0"/>
    <n v="0"/>
    <n v="0"/>
    <n v="0"/>
  </r>
  <r>
    <x v="3"/>
    <x v="0"/>
    <s v="QLD"/>
    <s v="Known gap agreement"/>
    <s v="More than 150% MBS Fee to 200% MBS Fee"/>
    <n v="0"/>
    <n v="0"/>
    <n v="0"/>
    <n v="0"/>
  </r>
  <r>
    <x v="3"/>
    <x v="0"/>
    <s v="QLD"/>
    <s v="Known gap agreement"/>
    <s v="More than 200% MBS Fee"/>
    <n v="0"/>
    <n v="0"/>
    <n v="0"/>
    <n v="0"/>
  </r>
  <r>
    <x v="3"/>
    <x v="0"/>
    <s v="QLD"/>
    <s v="No agreement"/>
    <s v="100% MBS Fee to 125% MBS Fee"/>
    <n v="0"/>
    <n v="0"/>
    <n v="0"/>
    <n v="0"/>
  </r>
  <r>
    <x v="3"/>
    <x v="0"/>
    <s v="QLD"/>
    <s v="No agreement"/>
    <s v="More than 125% MBS Fee to 150% MBS Fee"/>
    <n v="0"/>
    <n v="0"/>
    <n v="0"/>
    <n v="0"/>
  </r>
  <r>
    <x v="3"/>
    <x v="0"/>
    <s v="QLD"/>
    <s v="No agreement"/>
    <s v="More than 150% MBS Fee to 200% MBS Fee"/>
    <n v="0"/>
    <n v="0"/>
    <n v="0"/>
    <n v="0"/>
  </r>
  <r>
    <x v="3"/>
    <x v="0"/>
    <s v="QLD"/>
    <s v="No agreement"/>
    <s v="More than 200% MBS Fee"/>
    <n v="0"/>
    <n v="0"/>
    <n v="0"/>
    <n v="0"/>
  </r>
  <r>
    <x v="3"/>
    <x v="0"/>
    <s v="QLD"/>
    <s v="No agreement"/>
    <s v="Up to MBS Fee"/>
    <n v="0"/>
    <n v="0"/>
    <n v="0"/>
    <n v="0"/>
  </r>
  <r>
    <x v="3"/>
    <x v="0"/>
    <s v="QLD"/>
    <s v="No gap agreement"/>
    <s v="100% MBS Fee to 125% MBS Fee"/>
    <n v="0"/>
    <n v="0"/>
    <n v="0"/>
    <n v="0"/>
  </r>
  <r>
    <x v="3"/>
    <x v="0"/>
    <s v="QLD"/>
    <s v="No gap agreement"/>
    <s v="More than 125% MBS Fee to 150% MBS Fee"/>
    <n v="0"/>
    <n v="0"/>
    <n v="0"/>
    <n v="0"/>
  </r>
  <r>
    <x v="3"/>
    <x v="0"/>
    <s v="QLD"/>
    <s v="No gap agreement"/>
    <s v="More than 150% MBS Fee to 200% MBS Fee"/>
    <n v="0"/>
    <n v="0"/>
    <n v="0"/>
    <n v="0"/>
  </r>
  <r>
    <x v="3"/>
    <x v="0"/>
    <s v="QLD"/>
    <s v="No gap agreement"/>
    <s v="More than 200% MBS Fee"/>
    <n v="0"/>
    <n v="0"/>
    <n v="0"/>
    <n v="0"/>
  </r>
  <r>
    <x v="3"/>
    <x v="0"/>
    <s v="QLD"/>
    <s v="No gap agreement"/>
    <s v="Up to MBS Fee"/>
    <n v="0"/>
    <n v="0"/>
    <n v="0"/>
    <n v="0"/>
  </r>
  <r>
    <x v="3"/>
    <x v="0"/>
    <s v="SA"/>
    <s v="Known gap agreement"/>
    <s v="100% MBS Fee to 125% MBS Fee"/>
    <n v="0"/>
    <n v="0"/>
    <n v="0"/>
    <n v="0"/>
  </r>
  <r>
    <x v="3"/>
    <x v="0"/>
    <s v="SA"/>
    <s v="Known gap agreement"/>
    <s v="More than 125% MBS Fee to 150% MBS Fee"/>
    <n v="0"/>
    <n v="0"/>
    <n v="0"/>
    <n v="0"/>
  </r>
  <r>
    <x v="3"/>
    <x v="0"/>
    <s v="SA"/>
    <s v="Known gap agreement"/>
    <s v="More than 150% MBS Fee to 200% MBS Fee"/>
    <n v="0"/>
    <n v="0"/>
    <n v="0"/>
    <n v="0"/>
  </r>
  <r>
    <x v="3"/>
    <x v="0"/>
    <s v="SA"/>
    <s v="Known gap agreement"/>
    <s v="More than 200% MBS Fee"/>
    <n v="0"/>
    <n v="0"/>
    <n v="0"/>
    <n v="0"/>
  </r>
  <r>
    <x v="3"/>
    <x v="0"/>
    <s v="SA"/>
    <s v="No agreement"/>
    <s v="100% MBS Fee to 125% MBS Fee"/>
    <n v="0"/>
    <n v="0"/>
    <n v="0"/>
    <n v="0"/>
  </r>
  <r>
    <x v="3"/>
    <x v="0"/>
    <s v="SA"/>
    <s v="No agreement"/>
    <s v="More than 125% MBS Fee to 150% MBS Fee"/>
    <n v="0"/>
    <n v="0"/>
    <n v="0"/>
    <n v="0"/>
  </r>
  <r>
    <x v="3"/>
    <x v="0"/>
    <s v="SA"/>
    <s v="No agreement"/>
    <s v="More than 150% MBS Fee to 200% MBS Fee"/>
    <n v="0"/>
    <n v="0"/>
    <n v="0"/>
    <n v="0"/>
  </r>
  <r>
    <x v="3"/>
    <x v="0"/>
    <s v="SA"/>
    <s v="No agreement"/>
    <s v="More than 200% MBS Fee"/>
    <n v="0"/>
    <n v="0"/>
    <n v="0"/>
    <n v="0"/>
  </r>
  <r>
    <x v="3"/>
    <x v="0"/>
    <s v="SA"/>
    <s v="No agreement"/>
    <s v="Up to MBS Fee"/>
    <n v="0"/>
    <n v="0"/>
    <n v="0"/>
    <n v="0"/>
  </r>
  <r>
    <x v="3"/>
    <x v="0"/>
    <s v="SA"/>
    <s v="No gap agreement"/>
    <s v="100% MBS Fee to 125% MBS Fee"/>
    <n v="0"/>
    <n v="0"/>
    <n v="0"/>
    <n v="0"/>
  </r>
  <r>
    <x v="3"/>
    <x v="0"/>
    <s v="SA"/>
    <s v="No gap agreement"/>
    <s v="More than 125% MBS Fee to 150% MBS Fee"/>
    <n v="0"/>
    <n v="0"/>
    <n v="0"/>
    <n v="0"/>
  </r>
  <r>
    <x v="3"/>
    <x v="0"/>
    <s v="SA"/>
    <s v="No gap agreement"/>
    <s v="More than 150% MBS Fee to 200% MBS Fee"/>
    <n v="0"/>
    <n v="0"/>
    <n v="0"/>
    <n v="0"/>
  </r>
  <r>
    <x v="3"/>
    <x v="0"/>
    <s v="SA"/>
    <s v="No gap agreement"/>
    <s v="More than 200% MBS Fee"/>
    <n v="0"/>
    <n v="0"/>
    <n v="0"/>
    <n v="0"/>
  </r>
  <r>
    <x v="3"/>
    <x v="0"/>
    <s v="SA"/>
    <s v="No gap agreement"/>
    <s v="Up to MBS Fee"/>
    <n v="0"/>
    <n v="0"/>
    <n v="0"/>
    <n v="0"/>
  </r>
  <r>
    <x v="3"/>
    <x v="0"/>
    <s v="TAS"/>
    <s v="Known gap agreement"/>
    <s v="100% MBS Fee to 125% MBS Fee"/>
    <n v="0"/>
    <n v="0"/>
    <n v="0"/>
    <n v="0"/>
  </r>
  <r>
    <x v="3"/>
    <x v="0"/>
    <s v="TAS"/>
    <s v="Known gap agreement"/>
    <s v="More than 125% MBS Fee to 150% MBS Fee"/>
    <n v="0"/>
    <n v="0"/>
    <n v="0"/>
    <n v="0"/>
  </r>
  <r>
    <x v="3"/>
    <x v="0"/>
    <s v="TAS"/>
    <s v="Known gap agreement"/>
    <s v="More than 150% MBS Fee to 200% MBS Fee"/>
    <n v="0"/>
    <n v="0"/>
    <n v="0"/>
    <n v="0"/>
  </r>
  <r>
    <x v="3"/>
    <x v="0"/>
    <s v="TAS"/>
    <s v="Known gap agreement"/>
    <s v="More than 200% MBS Fee"/>
    <n v="0"/>
    <n v="0"/>
    <n v="0"/>
    <n v="0"/>
  </r>
  <r>
    <x v="3"/>
    <x v="0"/>
    <s v="TAS"/>
    <s v="No agreement"/>
    <s v="100% MBS Fee to 125% MBS Fee"/>
    <n v="0"/>
    <n v="0"/>
    <n v="0"/>
    <n v="0"/>
  </r>
  <r>
    <x v="3"/>
    <x v="0"/>
    <s v="TAS"/>
    <s v="No agreement"/>
    <s v="More than 125% MBS Fee to 150% MBS Fee"/>
    <n v="0"/>
    <n v="0"/>
    <n v="0"/>
    <n v="0"/>
  </r>
  <r>
    <x v="3"/>
    <x v="0"/>
    <s v="TAS"/>
    <s v="No agreement"/>
    <s v="More than 150% MBS Fee to 200% MBS Fee"/>
    <n v="0"/>
    <n v="0"/>
    <n v="0"/>
    <n v="0"/>
  </r>
  <r>
    <x v="3"/>
    <x v="0"/>
    <s v="TAS"/>
    <s v="No agreement"/>
    <s v="More than 200% MBS Fee"/>
    <n v="0"/>
    <n v="0"/>
    <n v="0"/>
    <n v="0"/>
  </r>
  <r>
    <x v="3"/>
    <x v="0"/>
    <s v="TAS"/>
    <s v="No agreement"/>
    <s v="Up to MBS Fee"/>
    <n v="0"/>
    <n v="0"/>
    <n v="0"/>
    <n v="0"/>
  </r>
  <r>
    <x v="3"/>
    <x v="0"/>
    <s v="TAS"/>
    <s v="No gap agreement"/>
    <s v="100% MBS Fee to 125% MBS Fee"/>
    <n v="0"/>
    <n v="0"/>
    <n v="0"/>
    <n v="0"/>
  </r>
  <r>
    <x v="3"/>
    <x v="0"/>
    <s v="TAS"/>
    <s v="No gap agreement"/>
    <s v="More than 125% MBS Fee to 150% MBS Fee"/>
    <n v="0"/>
    <n v="0"/>
    <n v="0"/>
    <n v="0"/>
  </r>
  <r>
    <x v="3"/>
    <x v="0"/>
    <s v="TAS"/>
    <s v="No gap agreement"/>
    <s v="More than 150% MBS Fee to 200% MBS Fee"/>
    <n v="0"/>
    <n v="0"/>
    <n v="0"/>
    <n v="0"/>
  </r>
  <r>
    <x v="3"/>
    <x v="0"/>
    <s v="TAS"/>
    <s v="No gap agreement"/>
    <s v="More than 200% MBS Fee"/>
    <n v="0"/>
    <n v="0"/>
    <n v="0"/>
    <n v="0"/>
  </r>
  <r>
    <x v="3"/>
    <x v="0"/>
    <s v="TAS"/>
    <s v="No gap agreement"/>
    <s v="Up to MBS Fee"/>
    <n v="0"/>
    <n v="0"/>
    <n v="0"/>
    <n v="0"/>
  </r>
  <r>
    <x v="3"/>
    <x v="0"/>
    <s v="VIC"/>
    <s v="Known gap agreement"/>
    <s v="100% MBS Fee to 125% MBS Fee"/>
    <n v="0"/>
    <n v="0"/>
    <n v="0"/>
    <n v="0"/>
  </r>
  <r>
    <x v="3"/>
    <x v="0"/>
    <s v="VIC"/>
    <s v="Known gap agreement"/>
    <s v="More than 125% MBS Fee to 150% MBS Fee"/>
    <n v="0"/>
    <n v="0"/>
    <n v="0"/>
    <n v="0"/>
  </r>
  <r>
    <x v="3"/>
    <x v="0"/>
    <s v="VIC"/>
    <s v="Known gap agreement"/>
    <s v="More than 150% MBS Fee to 200% MBS Fee"/>
    <n v="0"/>
    <n v="0"/>
    <n v="0"/>
    <n v="0"/>
  </r>
  <r>
    <x v="3"/>
    <x v="0"/>
    <s v="VIC"/>
    <s v="Known gap agreement"/>
    <s v="More than 200% MBS Fee"/>
    <n v="0"/>
    <n v="0"/>
    <n v="0"/>
    <n v="0"/>
  </r>
  <r>
    <x v="3"/>
    <x v="0"/>
    <s v="VIC"/>
    <s v="No agreement"/>
    <s v="100% MBS Fee to 125% MBS Fee"/>
    <n v="0"/>
    <n v="0"/>
    <n v="0"/>
    <n v="0"/>
  </r>
  <r>
    <x v="3"/>
    <x v="0"/>
    <s v="VIC"/>
    <s v="No agreement"/>
    <s v="More than 125% MBS Fee to 150% MBS Fee"/>
    <n v="0"/>
    <n v="0"/>
    <n v="0"/>
    <n v="0"/>
  </r>
  <r>
    <x v="3"/>
    <x v="0"/>
    <s v="VIC"/>
    <s v="No agreement"/>
    <s v="More than 150% MBS Fee to 200% MBS Fee"/>
    <n v="0"/>
    <n v="0"/>
    <n v="0"/>
    <n v="0"/>
  </r>
  <r>
    <x v="3"/>
    <x v="0"/>
    <s v="VIC"/>
    <s v="No agreement"/>
    <s v="More than 200% MBS Fee"/>
    <n v="0"/>
    <n v="0"/>
    <n v="0"/>
    <n v="0"/>
  </r>
  <r>
    <x v="3"/>
    <x v="0"/>
    <s v="VIC"/>
    <s v="No agreement"/>
    <s v="Up to MBS Fee"/>
    <n v="0"/>
    <n v="0"/>
    <n v="0"/>
    <n v="0"/>
  </r>
  <r>
    <x v="3"/>
    <x v="0"/>
    <s v="VIC"/>
    <s v="No gap agreement"/>
    <s v="100% MBS Fee to 125% MBS Fee"/>
    <n v="0"/>
    <n v="0"/>
    <n v="0"/>
    <n v="0"/>
  </r>
  <r>
    <x v="3"/>
    <x v="0"/>
    <s v="VIC"/>
    <s v="No gap agreement"/>
    <s v="More than 125% MBS Fee to 150% MBS Fee"/>
    <n v="0"/>
    <n v="0"/>
    <n v="0"/>
    <n v="0"/>
  </r>
  <r>
    <x v="3"/>
    <x v="0"/>
    <s v="VIC"/>
    <s v="No gap agreement"/>
    <s v="More than 150% MBS Fee to 200% MBS Fee"/>
    <n v="0"/>
    <n v="0"/>
    <n v="0"/>
    <n v="0"/>
  </r>
  <r>
    <x v="3"/>
    <x v="0"/>
    <s v="VIC"/>
    <s v="No gap agreement"/>
    <s v="More than 200% MBS Fee"/>
    <n v="0"/>
    <n v="0"/>
    <n v="0"/>
    <n v="0"/>
  </r>
  <r>
    <x v="3"/>
    <x v="0"/>
    <s v="VIC"/>
    <s v="No gap agreement"/>
    <s v="Up to MBS Fee"/>
    <n v="0"/>
    <n v="0"/>
    <n v="0"/>
    <n v="0"/>
  </r>
  <r>
    <x v="3"/>
    <x v="0"/>
    <s v="WA"/>
    <s v="Known gap agreement"/>
    <s v="100% MBS Fee to 125% MBS Fee"/>
    <n v="0"/>
    <n v="0"/>
    <n v="0"/>
    <n v="0"/>
  </r>
  <r>
    <x v="3"/>
    <x v="0"/>
    <s v="WA"/>
    <s v="Known gap agreement"/>
    <s v="More than 125% MBS Fee to 150% MBS Fee"/>
    <n v="0"/>
    <n v="0"/>
    <n v="0"/>
    <n v="0"/>
  </r>
  <r>
    <x v="3"/>
    <x v="0"/>
    <s v="WA"/>
    <s v="Known gap agreement"/>
    <s v="More than 150% MBS Fee to 200% MBS Fee"/>
    <n v="0"/>
    <n v="0"/>
    <n v="0"/>
    <n v="0"/>
  </r>
  <r>
    <x v="3"/>
    <x v="0"/>
    <s v="WA"/>
    <s v="Known gap agreement"/>
    <s v="More than 200% MBS Fee"/>
    <n v="0"/>
    <n v="0"/>
    <n v="0"/>
    <n v="0"/>
  </r>
  <r>
    <x v="3"/>
    <x v="0"/>
    <s v="WA"/>
    <s v="No agreement"/>
    <s v="100% MBS Fee to 125% MBS Fee"/>
    <n v="0"/>
    <n v="0"/>
    <n v="0"/>
    <n v="0"/>
  </r>
  <r>
    <x v="3"/>
    <x v="0"/>
    <s v="WA"/>
    <s v="No agreement"/>
    <s v="More than 125% MBS Fee to 150% MBS Fee"/>
    <n v="0"/>
    <n v="0"/>
    <n v="0"/>
    <n v="0"/>
  </r>
  <r>
    <x v="3"/>
    <x v="0"/>
    <s v="WA"/>
    <s v="No agreement"/>
    <s v="More than 150% MBS Fee to 200% MBS Fee"/>
    <n v="0"/>
    <n v="0"/>
    <n v="0"/>
    <n v="0"/>
  </r>
  <r>
    <x v="3"/>
    <x v="0"/>
    <s v="WA"/>
    <s v="No agreement"/>
    <s v="More than 200% MBS Fee"/>
    <n v="0"/>
    <n v="0"/>
    <n v="0"/>
    <n v="0"/>
  </r>
  <r>
    <x v="3"/>
    <x v="0"/>
    <s v="WA"/>
    <s v="No agreement"/>
    <s v="Up to MBS Fee"/>
    <n v="0"/>
    <n v="0"/>
    <n v="0"/>
    <n v="0"/>
  </r>
  <r>
    <x v="3"/>
    <x v="0"/>
    <s v="WA"/>
    <s v="No gap agreement"/>
    <s v="100% MBS Fee to 125% MBS Fee"/>
    <n v="0"/>
    <n v="0"/>
    <n v="0"/>
    <n v="0"/>
  </r>
  <r>
    <x v="3"/>
    <x v="0"/>
    <s v="WA"/>
    <s v="No gap agreement"/>
    <s v="More than 125% MBS Fee to 150% MBS Fee"/>
    <n v="0"/>
    <n v="0"/>
    <n v="0"/>
    <n v="0"/>
  </r>
  <r>
    <x v="3"/>
    <x v="0"/>
    <s v="WA"/>
    <s v="No gap agreement"/>
    <s v="More than 150% MBS Fee to 200% MBS Fee"/>
    <n v="0"/>
    <n v="0"/>
    <n v="0"/>
    <n v="0"/>
  </r>
  <r>
    <x v="3"/>
    <x v="0"/>
    <s v="WA"/>
    <s v="No gap agreement"/>
    <s v="More than 200% MBS Fee"/>
    <n v="0"/>
    <n v="0"/>
    <n v="0"/>
    <n v="0"/>
  </r>
  <r>
    <x v="3"/>
    <x v="0"/>
    <s v="WA"/>
    <s v="No gap agreement"/>
    <s v="Up to MBS Fee"/>
    <n v="0"/>
    <n v="0"/>
    <n v="0"/>
    <n v="0"/>
  </r>
  <r>
    <x v="3"/>
    <x v="2"/>
    <s v="ACT"/>
    <s v="Known gap agreement"/>
    <s v="100% MBS Fee to 125% MBS Fee"/>
    <n v="0"/>
    <n v="0"/>
    <n v="0"/>
    <n v="0"/>
  </r>
  <r>
    <x v="3"/>
    <x v="2"/>
    <s v="ACT"/>
    <s v="Known gap agreement"/>
    <s v="More than 125% MBS Fee to 150% MBS Fee"/>
    <n v="0"/>
    <n v="0"/>
    <n v="0"/>
    <n v="0"/>
  </r>
  <r>
    <x v="3"/>
    <x v="2"/>
    <s v="ACT"/>
    <s v="Known gap agreement"/>
    <s v="More than 150% MBS Fee to 200% MBS Fee"/>
    <n v="0"/>
    <n v="0"/>
    <n v="0"/>
    <n v="0"/>
  </r>
  <r>
    <x v="3"/>
    <x v="2"/>
    <s v="ACT"/>
    <s v="Known gap agreement"/>
    <s v="More than 200% MBS Fee"/>
    <n v="0"/>
    <n v="0"/>
    <n v="0"/>
    <n v="0"/>
  </r>
  <r>
    <x v="3"/>
    <x v="2"/>
    <s v="ACT"/>
    <s v="No agreement"/>
    <s v="100% MBS Fee to 125% MBS Fee"/>
    <n v="0"/>
    <n v="0"/>
    <n v="0"/>
    <n v="0"/>
  </r>
  <r>
    <x v="3"/>
    <x v="2"/>
    <s v="ACT"/>
    <s v="No agreement"/>
    <s v="More than 125% MBS Fee to 150% MBS Fee"/>
    <n v="0"/>
    <n v="0"/>
    <n v="0"/>
    <n v="0"/>
  </r>
  <r>
    <x v="3"/>
    <x v="2"/>
    <s v="ACT"/>
    <s v="No agreement"/>
    <s v="More than 150% MBS Fee to 200% MBS Fee"/>
    <n v="0"/>
    <n v="0"/>
    <n v="0"/>
    <n v="0"/>
  </r>
  <r>
    <x v="3"/>
    <x v="2"/>
    <s v="ACT"/>
    <s v="No agreement"/>
    <s v="More than 200% MBS Fee"/>
    <n v="0"/>
    <n v="0"/>
    <n v="0"/>
    <n v="0"/>
  </r>
  <r>
    <x v="3"/>
    <x v="2"/>
    <s v="ACT"/>
    <s v="No agreement"/>
    <s v="Up to MBS Fee"/>
    <n v="0"/>
    <n v="0"/>
    <n v="0"/>
    <n v="0"/>
  </r>
  <r>
    <x v="3"/>
    <x v="2"/>
    <s v="ACT"/>
    <s v="No gap agreement"/>
    <s v="100% MBS Fee to 125% MBS Fee"/>
    <n v="0"/>
    <n v="0"/>
    <n v="0"/>
    <n v="0"/>
  </r>
  <r>
    <x v="3"/>
    <x v="2"/>
    <s v="ACT"/>
    <s v="No gap agreement"/>
    <s v="More than 125% MBS Fee to 150% MBS Fee"/>
    <n v="0"/>
    <n v="0"/>
    <n v="0"/>
    <n v="0"/>
  </r>
  <r>
    <x v="3"/>
    <x v="2"/>
    <s v="ACT"/>
    <s v="No gap agreement"/>
    <s v="More than 150% MBS Fee to 200% MBS Fee"/>
    <n v="0"/>
    <n v="0"/>
    <n v="0"/>
    <n v="0"/>
  </r>
  <r>
    <x v="3"/>
    <x v="2"/>
    <s v="ACT"/>
    <s v="No gap agreement"/>
    <s v="More than 200% MBS Fee"/>
    <n v="0"/>
    <n v="0"/>
    <n v="0"/>
    <n v="0"/>
  </r>
  <r>
    <x v="3"/>
    <x v="2"/>
    <s v="ACT"/>
    <s v="No gap agreement"/>
    <s v="Up to MBS Fee"/>
    <n v="0"/>
    <n v="0"/>
    <n v="0"/>
    <n v="0"/>
  </r>
  <r>
    <x v="3"/>
    <x v="2"/>
    <s v="NSW"/>
    <s v="Known gap agreement"/>
    <s v="100% MBS Fee to 125% MBS Fee"/>
    <n v="0"/>
    <n v="0"/>
    <n v="0"/>
    <n v="0"/>
  </r>
  <r>
    <x v="3"/>
    <x v="2"/>
    <s v="NSW"/>
    <s v="Known gap agreement"/>
    <s v="More than 125% MBS Fee to 150% MBS Fee"/>
    <n v="0"/>
    <n v="0"/>
    <n v="0"/>
    <n v="0"/>
  </r>
  <r>
    <x v="3"/>
    <x v="2"/>
    <s v="NSW"/>
    <s v="Known gap agreement"/>
    <s v="More than 150% MBS Fee to 200% MBS Fee"/>
    <n v="0"/>
    <n v="0"/>
    <n v="0"/>
    <n v="0"/>
  </r>
  <r>
    <x v="3"/>
    <x v="2"/>
    <s v="NSW"/>
    <s v="Known gap agreement"/>
    <s v="More than 200% MBS Fee"/>
    <n v="0"/>
    <n v="0"/>
    <n v="0"/>
    <n v="0"/>
  </r>
  <r>
    <x v="3"/>
    <x v="2"/>
    <s v="NSW"/>
    <s v="No agreement"/>
    <s v="100% MBS Fee to 125% MBS Fee"/>
    <n v="0"/>
    <n v="0"/>
    <n v="0"/>
    <n v="0"/>
  </r>
  <r>
    <x v="3"/>
    <x v="2"/>
    <s v="NSW"/>
    <s v="No agreement"/>
    <s v="More than 125% MBS Fee to 150% MBS Fee"/>
    <n v="0"/>
    <n v="0"/>
    <n v="0"/>
    <n v="0"/>
  </r>
  <r>
    <x v="3"/>
    <x v="2"/>
    <s v="NSW"/>
    <s v="No agreement"/>
    <s v="More than 150% MBS Fee to 200% MBS Fee"/>
    <n v="0"/>
    <n v="0"/>
    <n v="0"/>
    <n v="0"/>
  </r>
  <r>
    <x v="3"/>
    <x v="2"/>
    <s v="NSW"/>
    <s v="No agreement"/>
    <s v="More than 200% MBS Fee"/>
    <n v="0"/>
    <n v="0"/>
    <n v="0"/>
    <n v="0"/>
  </r>
  <r>
    <x v="3"/>
    <x v="2"/>
    <s v="NSW"/>
    <s v="No agreement"/>
    <s v="Up to MBS Fee"/>
    <n v="0"/>
    <n v="0"/>
    <n v="0"/>
    <n v="0"/>
  </r>
  <r>
    <x v="3"/>
    <x v="2"/>
    <s v="NSW"/>
    <s v="No gap agreement"/>
    <s v="100% MBS Fee to 125% MBS Fee"/>
    <n v="0"/>
    <n v="0"/>
    <n v="0"/>
    <n v="0"/>
  </r>
  <r>
    <x v="3"/>
    <x v="2"/>
    <s v="NSW"/>
    <s v="No gap agreement"/>
    <s v="More than 125% MBS Fee to 150% MBS Fee"/>
    <n v="0"/>
    <n v="0"/>
    <n v="0"/>
    <n v="0"/>
  </r>
  <r>
    <x v="3"/>
    <x v="2"/>
    <s v="NSW"/>
    <s v="No gap agreement"/>
    <s v="More than 150% MBS Fee to 200% MBS Fee"/>
    <n v="0"/>
    <n v="0"/>
    <n v="0"/>
    <n v="0"/>
  </r>
  <r>
    <x v="3"/>
    <x v="2"/>
    <s v="NSW"/>
    <s v="No gap agreement"/>
    <s v="More than 200% MBS Fee"/>
    <n v="0"/>
    <n v="0"/>
    <n v="0"/>
    <n v="0"/>
  </r>
  <r>
    <x v="3"/>
    <x v="2"/>
    <s v="NSW"/>
    <s v="No gap agreement"/>
    <s v="Up to MBS Fee"/>
    <n v="0"/>
    <n v="0"/>
    <n v="0"/>
    <n v="0"/>
  </r>
  <r>
    <x v="3"/>
    <x v="2"/>
    <s v="NT"/>
    <s v="Known gap agreement"/>
    <s v="100% MBS Fee to 125% MBS Fee"/>
    <n v="0"/>
    <n v="0"/>
    <n v="0"/>
    <n v="0"/>
  </r>
  <r>
    <x v="3"/>
    <x v="2"/>
    <s v="NT"/>
    <s v="Known gap agreement"/>
    <s v="More than 125% MBS Fee to 150% MBS Fee"/>
    <n v="0"/>
    <n v="0"/>
    <n v="0"/>
    <n v="0"/>
  </r>
  <r>
    <x v="3"/>
    <x v="2"/>
    <s v="NT"/>
    <s v="Known gap agreement"/>
    <s v="More than 150% MBS Fee to 200% MBS Fee"/>
    <n v="0"/>
    <n v="0"/>
    <n v="0"/>
    <n v="0"/>
  </r>
  <r>
    <x v="3"/>
    <x v="2"/>
    <s v="NT"/>
    <s v="Known gap agreement"/>
    <s v="More than 200% MBS Fee"/>
    <n v="0"/>
    <n v="0"/>
    <n v="0"/>
    <n v="0"/>
  </r>
  <r>
    <x v="3"/>
    <x v="2"/>
    <s v="NT"/>
    <s v="No agreement"/>
    <s v="100% MBS Fee to 125% MBS Fee"/>
    <n v="0"/>
    <n v="0"/>
    <n v="0"/>
    <n v="0"/>
  </r>
  <r>
    <x v="3"/>
    <x v="2"/>
    <s v="NT"/>
    <s v="No agreement"/>
    <s v="More than 125% MBS Fee to 150% MBS Fee"/>
    <n v="0"/>
    <n v="0"/>
    <n v="0"/>
    <n v="0"/>
  </r>
  <r>
    <x v="3"/>
    <x v="2"/>
    <s v="NT"/>
    <s v="No agreement"/>
    <s v="More than 150% MBS Fee to 200% MBS Fee"/>
    <n v="0"/>
    <n v="0"/>
    <n v="0"/>
    <n v="0"/>
  </r>
  <r>
    <x v="3"/>
    <x v="2"/>
    <s v="NT"/>
    <s v="No agreement"/>
    <s v="More than 200% MBS Fee"/>
    <n v="0"/>
    <n v="0"/>
    <n v="0"/>
    <n v="0"/>
  </r>
  <r>
    <x v="3"/>
    <x v="2"/>
    <s v="NT"/>
    <s v="No agreement"/>
    <s v="Up to MBS Fee"/>
    <n v="0"/>
    <n v="0"/>
    <n v="0"/>
    <n v="0"/>
  </r>
  <r>
    <x v="3"/>
    <x v="2"/>
    <s v="NT"/>
    <s v="No gap agreement"/>
    <s v="100% MBS Fee to 125% MBS Fee"/>
    <n v="0"/>
    <n v="0"/>
    <n v="0"/>
    <n v="0"/>
  </r>
  <r>
    <x v="3"/>
    <x v="2"/>
    <s v="NT"/>
    <s v="No gap agreement"/>
    <s v="More than 125% MBS Fee to 150% MBS Fee"/>
    <n v="0"/>
    <n v="0"/>
    <n v="0"/>
    <n v="0"/>
  </r>
  <r>
    <x v="3"/>
    <x v="2"/>
    <s v="NT"/>
    <s v="No gap agreement"/>
    <s v="More than 150% MBS Fee to 200% MBS Fee"/>
    <n v="0"/>
    <n v="0"/>
    <n v="0"/>
    <n v="0"/>
  </r>
  <r>
    <x v="3"/>
    <x v="2"/>
    <s v="NT"/>
    <s v="No gap agreement"/>
    <s v="More than 200% MBS Fee"/>
    <n v="0"/>
    <n v="0"/>
    <n v="0"/>
    <n v="0"/>
  </r>
  <r>
    <x v="3"/>
    <x v="2"/>
    <s v="NT"/>
    <s v="No gap agreement"/>
    <s v="Up to MBS Fee"/>
    <n v="0"/>
    <n v="0"/>
    <n v="0"/>
    <n v="0"/>
  </r>
  <r>
    <x v="3"/>
    <x v="2"/>
    <s v="QLD"/>
    <s v="Known gap agreement"/>
    <s v="100% MBS Fee to 125% MBS Fee"/>
    <n v="0"/>
    <n v="0"/>
    <n v="0"/>
    <n v="0"/>
  </r>
  <r>
    <x v="3"/>
    <x v="2"/>
    <s v="QLD"/>
    <s v="Known gap agreement"/>
    <s v="More than 125% MBS Fee to 150% MBS Fee"/>
    <n v="0"/>
    <n v="0"/>
    <n v="0"/>
    <n v="0"/>
  </r>
  <r>
    <x v="3"/>
    <x v="2"/>
    <s v="QLD"/>
    <s v="Known gap agreement"/>
    <s v="More than 150% MBS Fee to 200% MBS Fee"/>
    <n v="0"/>
    <n v="0"/>
    <n v="0"/>
    <n v="0"/>
  </r>
  <r>
    <x v="3"/>
    <x v="2"/>
    <s v="QLD"/>
    <s v="Known gap agreement"/>
    <s v="More than 200% MBS Fee"/>
    <n v="0"/>
    <n v="0"/>
    <n v="0"/>
    <n v="0"/>
  </r>
  <r>
    <x v="3"/>
    <x v="2"/>
    <s v="QLD"/>
    <s v="No agreement"/>
    <s v="100% MBS Fee to 125% MBS Fee"/>
    <n v="0"/>
    <n v="0"/>
    <n v="0"/>
    <n v="0"/>
  </r>
  <r>
    <x v="3"/>
    <x v="2"/>
    <s v="QLD"/>
    <s v="No agreement"/>
    <s v="More than 125% MBS Fee to 150% MBS Fee"/>
    <n v="0"/>
    <n v="0"/>
    <n v="0"/>
    <n v="0"/>
  </r>
  <r>
    <x v="3"/>
    <x v="2"/>
    <s v="QLD"/>
    <s v="No agreement"/>
    <s v="More than 150% MBS Fee to 200% MBS Fee"/>
    <n v="0"/>
    <n v="0"/>
    <n v="0"/>
    <n v="0"/>
  </r>
  <r>
    <x v="3"/>
    <x v="2"/>
    <s v="QLD"/>
    <s v="No agreement"/>
    <s v="More than 200% MBS Fee"/>
    <n v="0"/>
    <n v="0"/>
    <n v="0"/>
    <n v="0"/>
  </r>
  <r>
    <x v="3"/>
    <x v="2"/>
    <s v="QLD"/>
    <s v="No agreement"/>
    <s v="Up to MBS Fee"/>
    <n v="0"/>
    <n v="0"/>
    <n v="0"/>
    <n v="0"/>
  </r>
  <r>
    <x v="3"/>
    <x v="2"/>
    <s v="QLD"/>
    <s v="No gap agreement"/>
    <s v="100% MBS Fee to 125% MBS Fee"/>
    <n v="0"/>
    <n v="0"/>
    <n v="0"/>
    <n v="0"/>
  </r>
  <r>
    <x v="3"/>
    <x v="2"/>
    <s v="QLD"/>
    <s v="No gap agreement"/>
    <s v="More than 125% MBS Fee to 150% MBS Fee"/>
    <n v="0"/>
    <n v="0"/>
    <n v="0"/>
    <n v="0"/>
  </r>
  <r>
    <x v="3"/>
    <x v="2"/>
    <s v="QLD"/>
    <s v="No gap agreement"/>
    <s v="More than 150% MBS Fee to 200% MBS Fee"/>
    <n v="0"/>
    <n v="0"/>
    <n v="0"/>
    <n v="0"/>
  </r>
  <r>
    <x v="3"/>
    <x v="2"/>
    <s v="QLD"/>
    <s v="No gap agreement"/>
    <s v="More than 200% MBS Fee"/>
    <n v="0"/>
    <n v="0"/>
    <n v="0"/>
    <n v="0"/>
  </r>
  <r>
    <x v="3"/>
    <x v="2"/>
    <s v="QLD"/>
    <s v="No gap agreement"/>
    <s v="Up to MBS Fee"/>
    <n v="0"/>
    <n v="0"/>
    <n v="0"/>
    <n v="0"/>
  </r>
  <r>
    <x v="3"/>
    <x v="2"/>
    <s v="SA"/>
    <s v="Known gap agreement"/>
    <s v="100% MBS Fee to 125% MBS Fee"/>
    <n v="0"/>
    <n v="0"/>
    <n v="0"/>
    <n v="0"/>
  </r>
  <r>
    <x v="3"/>
    <x v="2"/>
    <s v="SA"/>
    <s v="Known gap agreement"/>
    <s v="More than 125% MBS Fee to 150% MBS Fee"/>
    <n v="0"/>
    <n v="0"/>
    <n v="0"/>
    <n v="0"/>
  </r>
  <r>
    <x v="3"/>
    <x v="2"/>
    <s v="SA"/>
    <s v="Known gap agreement"/>
    <s v="More than 150% MBS Fee to 200% MBS Fee"/>
    <n v="0"/>
    <n v="0"/>
    <n v="0"/>
    <n v="0"/>
  </r>
  <r>
    <x v="3"/>
    <x v="2"/>
    <s v="SA"/>
    <s v="Known gap agreement"/>
    <s v="More than 200% MBS Fee"/>
    <n v="0"/>
    <n v="0"/>
    <n v="0"/>
    <n v="0"/>
  </r>
  <r>
    <x v="3"/>
    <x v="2"/>
    <s v="SA"/>
    <s v="No agreement"/>
    <s v="100% MBS Fee to 125% MBS Fee"/>
    <n v="0"/>
    <n v="0"/>
    <n v="0"/>
    <n v="0"/>
  </r>
  <r>
    <x v="3"/>
    <x v="2"/>
    <s v="SA"/>
    <s v="No agreement"/>
    <s v="More than 125% MBS Fee to 150% MBS Fee"/>
    <n v="0"/>
    <n v="0"/>
    <n v="0"/>
    <n v="0"/>
  </r>
  <r>
    <x v="3"/>
    <x v="2"/>
    <s v="SA"/>
    <s v="No agreement"/>
    <s v="More than 150% MBS Fee to 200% MBS Fee"/>
    <n v="0"/>
    <n v="0"/>
    <n v="0"/>
    <n v="0"/>
  </r>
  <r>
    <x v="3"/>
    <x v="2"/>
    <s v="SA"/>
    <s v="No agreement"/>
    <s v="More than 200% MBS Fee"/>
    <n v="0"/>
    <n v="0"/>
    <n v="0"/>
    <n v="0"/>
  </r>
  <r>
    <x v="3"/>
    <x v="2"/>
    <s v="SA"/>
    <s v="No agreement"/>
    <s v="Up to MBS Fee"/>
    <n v="0"/>
    <n v="0"/>
    <n v="0"/>
    <n v="0"/>
  </r>
  <r>
    <x v="3"/>
    <x v="2"/>
    <s v="SA"/>
    <s v="No gap agreement"/>
    <s v="100% MBS Fee to 125% MBS Fee"/>
    <n v="0"/>
    <n v="0"/>
    <n v="0"/>
    <n v="0"/>
  </r>
  <r>
    <x v="3"/>
    <x v="2"/>
    <s v="SA"/>
    <s v="No gap agreement"/>
    <s v="More than 125% MBS Fee to 150% MBS Fee"/>
    <n v="0"/>
    <n v="0"/>
    <n v="0"/>
    <n v="0"/>
  </r>
  <r>
    <x v="3"/>
    <x v="2"/>
    <s v="SA"/>
    <s v="No gap agreement"/>
    <s v="More than 150% MBS Fee to 200% MBS Fee"/>
    <n v="0"/>
    <n v="0"/>
    <n v="0"/>
    <n v="0"/>
  </r>
  <r>
    <x v="3"/>
    <x v="2"/>
    <s v="SA"/>
    <s v="No gap agreement"/>
    <s v="More than 200% MBS Fee"/>
    <n v="0"/>
    <n v="0"/>
    <n v="0"/>
    <n v="0"/>
  </r>
  <r>
    <x v="3"/>
    <x v="2"/>
    <s v="SA"/>
    <s v="No gap agreement"/>
    <s v="Up to MBS Fee"/>
    <n v="0"/>
    <n v="0"/>
    <n v="0"/>
    <n v="0"/>
  </r>
  <r>
    <x v="3"/>
    <x v="2"/>
    <s v="TAS"/>
    <s v="Known gap agreement"/>
    <s v="100% MBS Fee to 125% MBS Fee"/>
    <n v="0"/>
    <n v="0"/>
    <n v="0"/>
    <n v="0"/>
  </r>
  <r>
    <x v="3"/>
    <x v="2"/>
    <s v="TAS"/>
    <s v="Known gap agreement"/>
    <s v="More than 125% MBS Fee to 150% MBS Fee"/>
    <n v="0"/>
    <n v="0"/>
    <n v="0"/>
    <n v="0"/>
  </r>
  <r>
    <x v="3"/>
    <x v="2"/>
    <s v="TAS"/>
    <s v="Known gap agreement"/>
    <s v="More than 150% MBS Fee to 200% MBS Fee"/>
    <n v="0"/>
    <n v="0"/>
    <n v="0"/>
    <n v="0"/>
  </r>
  <r>
    <x v="3"/>
    <x v="2"/>
    <s v="TAS"/>
    <s v="Known gap agreement"/>
    <s v="More than 200% MBS Fee"/>
    <n v="0"/>
    <n v="0"/>
    <n v="0"/>
    <n v="0"/>
  </r>
  <r>
    <x v="3"/>
    <x v="2"/>
    <s v="TAS"/>
    <s v="No agreement"/>
    <s v="100% MBS Fee to 125% MBS Fee"/>
    <n v="0"/>
    <n v="0"/>
    <n v="0"/>
    <n v="0"/>
  </r>
  <r>
    <x v="3"/>
    <x v="2"/>
    <s v="TAS"/>
    <s v="No agreement"/>
    <s v="More than 125% MBS Fee to 150% MBS Fee"/>
    <n v="0"/>
    <n v="0"/>
    <n v="0"/>
    <n v="0"/>
  </r>
  <r>
    <x v="3"/>
    <x v="2"/>
    <s v="TAS"/>
    <s v="No agreement"/>
    <s v="More than 150% MBS Fee to 200% MBS Fee"/>
    <n v="0"/>
    <n v="0"/>
    <n v="0"/>
    <n v="0"/>
  </r>
  <r>
    <x v="3"/>
    <x v="2"/>
    <s v="TAS"/>
    <s v="No agreement"/>
    <s v="More than 200% MBS Fee"/>
    <n v="0"/>
    <n v="0"/>
    <n v="0"/>
    <n v="0"/>
  </r>
  <r>
    <x v="3"/>
    <x v="2"/>
    <s v="TAS"/>
    <s v="No agreement"/>
    <s v="Up to MBS Fee"/>
    <n v="0"/>
    <n v="0"/>
    <n v="0"/>
    <n v="0"/>
  </r>
  <r>
    <x v="3"/>
    <x v="2"/>
    <s v="TAS"/>
    <s v="No gap agreement"/>
    <s v="100% MBS Fee to 125% MBS Fee"/>
    <n v="0"/>
    <n v="0"/>
    <n v="0"/>
    <n v="0"/>
  </r>
  <r>
    <x v="3"/>
    <x v="2"/>
    <s v="TAS"/>
    <s v="No gap agreement"/>
    <s v="More than 125% MBS Fee to 150% MBS Fee"/>
    <n v="0"/>
    <n v="0"/>
    <n v="0"/>
    <n v="0"/>
  </r>
  <r>
    <x v="3"/>
    <x v="2"/>
    <s v="TAS"/>
    <s v="No gap agreement"/>
    <s v="More than 150% MBS Fee to 200% MBS Fee"/>
    <n v="0"/>
    <n v="0"/>
    <n v="0"/>
    <n v="0"/>
  </r>
  <r>
    <x v="3"/>
    <x v="2"/>
    <s v="TAS"/>
    <s v="No gap agreement"/>
    <s v="More than 200% MBS Fee"/>
    <n v="0"/>
    <n v="0"/>
    <n v="0"/>
    <n v="0"/>
  </r>
  <r>
    <x v="3"/>
    <x v="2"/>
    <s v="TAS"/>
    <s v="No gap agreement"/>
    <s v="Up to MBS Fee"/>
    <n v="0"/>
    <n v="0"/>
    <n v="0"/>
    <n v="0"/>
  </r>
  <r>
    <x v="3"/>
    <x v="2"/>
    <s v="VIC"/>
    <s v="Known gap agreement"/>
    <s v="100% MBS Fee to 125% MBS Fee"/>
    <n v="0"/>
    <n v="0"/>
    <n v="0"/>
    <n v="0"/>
  </r>
  <r>
    <x v="3"/>
    <x v="2"/>
    <s v="VIC"/>
    <s v="Known gap agreement"/>
    <s v="More than 125% MBS Fee to 150% MBS Fee"/>
    <n v="0"/>
    <n v="0"/>
    <n v="0"/>
    <n v="0"/>
  </r>
  <r>
    <x v="3"/>
    <x v="2"/>
    <s v="VIC"/>
    <s v="Known gap agreement"/>
    <s v="More than 150% MBS Fee to 200% MBS Fee"/>
    <n v="0"/>
    <n v="0"/>
    <n v="0"/>
    <n v="0"/>
  </r>
  <r>
    <x v="3"/>
    <x v="2"/>
    <s v="VIC"/>
    <s v="Known gap agreement"/>
    <s v="More than 200% MBS Fee"/>
    <n v="0"/>
    <n v="0"/>
    <n v="0"/>
    <n v="0"/>
  </r>
  <r>
    <x v="3"/>
    <x v="2"/>
    <s v="VIC"/>
    <s v="No agreement"/>
    <s v="100% MBS Fee to 125% MBS Fee"/>
    <n v="0"/>
    <n v="0"/>
    <n v="0"/>
    <n v="0"/>
  </r>
  <r>
    <x v="3"/>
    <x v="2"/>
    <s v="VIC"/>
    <s v="No agreement"/>
    <s v="More than 125% MBS Fee to 150% MBS Fee"/>
    <n v="0"/>
    <n v="0"/>
    <n v="0"/>
    <n v="0"/>
  </r>
  <r>
    <x v="3"/>
    <x v="2"/>
    <s v="VIC"/>
    <s v="No agreement"/>
    <s v="More than 150% MBS Fee to 200% MBS Fee"/>
    <n v="0"/>
    <n v="0"/>
    <n v="0"/>
    <n v="0"/>
  </r>
  <r>
    <x v="3"/>
    <x v="2"/>
    <s v="VIC"/>
    <s v="No agreement"/>
    <s v="More than 200% MBS Fee"/>
    <n v="0"/>
    <n v="0"/>
    <n v="0"/>
    <n v="0"/>
  </r>
  <r>
    <x v="3"/>
    <x v="2"/>
    <s v="VIC"/>
    <s v="No agreement"/>
    <s v="Up to MBS Fee"/>
    <n v="0"/>
    <n v="0"/>
    <n v="0"/>
    <n v="0"/>
  </r>
  <r>
    <x v="3"/>
    <x v="2"/>
    <s v="VIC"/>
    <s v="No gap agreement"/>
    <s v="100% MBS Fee to 125% MBS Fee"/>
    <n v="0"/>
    <n v="0"/>
    <n v="0"/>
    <n v="0"/>
  </r>
  <r>
    <x v="3"/>
    <x v="2"/>
    <s v="VIC"/>
    <s v="No gap agreement"/>
    <s v="More than 125% MBS Fee to 150% MBS Fee"/>
    <n v="0"/>
    <n v="0"/>
    <n v="0"/>
    <n v="0"/>
  </r>
  <r>
    <x v="3"/>
    <x v="2"/>
    <s v="VIC"/>
    <s v="No gap agreement"/>
    <s v="More than 150% MBS Fee to 200% MBS Fee"/>
    <n v="0"/>
    <n v="0"/>
    <n v="0"/>
    <n v="0"/>
  </r>
  <r>
    <x v="3"/>
    <x v="2"/>
    <s v="VIC"/>
    <s v="No gap agreement"/>
    <s v="More than 200% MBS Fee"/>
    <n v="0"/>
    <n v="0"/>
    <n v="0"/>
    <n v="0"/>
  </r>
  <r>
    <x v="3"/>
    <x v="2"/>
    <s v="VIC"/>
    <s v="No gap agreement"/>
    <s v="Up to MBS Fee"/>
    <n v="0"/>
    <n v="0"/>
    <n v="0"/>
    <n v="0"/>
  </r>
  <r>
    <x v="3"/>
    <x v="2"/>
    <s v="WA"/>
    <s v="Known gap agreement"/>
    <s v="100% MBS Fee to 125% MBS Fee"/>
    <n v="0"/>
    <n v="0"/>
    <n v="0"/>
    <n v="0"/>
  </r>
  <r>
    <x v="3"/>
    <x v="2"/>
    <s v="WA"/>
    <s v="Known gap agreement"/>
    <s v="More than 125% MBS Fee to 150% MBS Fee"/>
    <n v="0"/>
    <n v="0"/>
    <n v="0"/>
    <n v="0"/>
  </r>
  <r>
    <x v="3"/>
    <x v="2"/>
    <s v="WA"/>
    <s v="Known gap agreement"/>
    <s v="More than 150% MBS Fee to 200% MBS Fee"/>
    <n v="0"/>
    <n v="0"/>
    <n v="0"/>
    <n v="0"/>
  </r>
  <r>
    <x v="3"/>
    <x v="2"/>
    <s v="WA"/>
    <s v="Known gap agreement"/>
    <s v="More than 200% MBS Fee"/>
    <n v="0"/>
    <n v="0"/>
    <n v="0"/>
    <n v="0"/>
  </r>
  <r>
    <x v="3"/>
    <x v="2"/>
    <s v="WA"/>
    <s v="No agreement"/>
    <s v="100% MBS Fee to 125% MBS Fee"/>
    <n v="0"/>
    <n v="0"/>
    <n v="0"/>
    <n v="0"/>
  </r>
  <r>
    <x v="3"/>
    <x v="2"/>
    <s v="WA"/>
    <s v="No agreement"/>
    <s v="More than 125% MBS Fee to 150% MBS Fee"/>
    <n v="0"/>
    <n v="0"/>
    <n v="0"/>
    <n v="0"/>
  </r>
  <r>
    <x v="3"/>
    <x v="2"/>
    <s v="WA"/>
    <s v="No agreement"/>
    <s v="More than 150% MBS Fee to 200% MBS Fee"/>
    <n v="0"/>
    <n v="0"/>
    <n v="0"/>
    <n v="0"/>
  </r>
  <r>
    <x v="3"/>
    <x v="2"/>
    <s v="WA"/>
    <s v="No agreement"/>
    <s v="More than 200% MBS Fee"/>
    <n v="0"/>
    <n v="0"/>
    <n v="0"/>
    <n v="0"/>
  </r>
  <r>
    <x v="3"/>
    <x v="2"/>
    <s v="WA"/>
    <s v="No agreement"/>
    <s v="Up to MBS Fee"/>
    <n v="0"/>
    <n v="0"/>
    <n v="0"/>
    <n v="0"/>
  </r>
  <r>
    <x v="3"/>
    <x v="2"/>
    <s v="WA"/>
    <s v="No gap agreement"/>
    <s v="100% MBS Fee to 125% MBS Fee"/>
    <n v="0"/>
    <n v="0"/>
    <n v="0"/>
    <n v="0"/>
  </r>
  <r>
    <x v="3"/>
    <x v="2"/>
    <s v="WA"/>
    <s v="No gap agreement"/>
    <s v="More than 125% MBS Fee to 150% MBS Fee"/>
    <n v="0"/>
    <n v="0"/>
    <n v="0"/>
    <n v="0"/>
  </r>
  <r>
    <x v="3"/>
    <x v="2"/>
    <s v="WA"/>
    <s v="No gap agreement"/>
    <s v="More than 150% MBS Fee to 200% MBS Fee"/>
    <n v="0"/>
    <n v="0"/>
    <n v="0"/>
    <n v="0"/>
  </r>
  <r>
    <x v="3"/>
    <x v="2"/>
    <s v="WA"/>
    <s v="No gap agreement"/>
    <s v="More than 200% MBS Fee"/>
    <n v="0"/>
    <n v="0"/>
    <n v="0"/>
    <n v="0"/>
  </r>
  <r>
    <x v="3"/>
    <x v="2"/>
    <s v="WA"/>
    <s v="No gap agreement"/>
    <s v="Up to MBS Fee"/>
    <n v="0"/>
    <n v="0"/>
    <n v="0"/>
    <n v="0"/>
  </r>
  <r>
    <x v="3"/>
    <x v="3"/>
    <s v="ACT"/>
    <s v="Known gap agreement"/>
    <s v="100% MBS Fee to 125% MBS Fee"/>
    <n v="0"/>
    <n v="0"/>
    <n v="0"/>
    <n v="0"/>
  </r>
  <r>
    <x v="3"/>
    <x v="3"/>
    <s v="ACT"/>
    <s v="Known gap agreement"/>
    <s v="More than 125% MBS Fee to 150% MBS Fee"/>
    <n v="0"/>
    <n v="0"/>
    <n v="0"/>
    <n v="0"/>
  </r>
  <r>
    <x v="3"/>
    <x v="3"/>
    <s v="ACT"/>
    <s v="Known gap agreement"/>
    <s v="More than 150% MBS Fee to 200% MBS Fee"/>
    <n v="0"/>
    <n v="0"/>
    <n v="0"/>
    <n v="0"/>
  </r>
  <r>
    <x v="3"/>
    <x v="3"/>
    <s v="ACT"/>
    <s v="Known gap agreement"/>
    <s v="More than 200% MBS Fee"/>
    <n v="0"/>
    <n v="0"/>
    <n v="0"/>
    <n v="0"/>
  </r>
  <r>
    <x v="3"/>
    <x v="3"/>
    <s v="ACT"/>
    <s v="No agreement"/>
    <s v="100% MBS Fee to 125% MBS Fee"/>
    <n v="0"/>
    <n v="0"/>
    <n v="0"/>
    <n v="0"/>
  </r>
  <r>
    <x v="3"/>
    <x v="3"/>
    <s v="ACT"/>
    <s v="No agreement"/>
    <s v="More than 125% MBS Fee to 150% MBS Fee"/>
    <n v="0"/>
    <n v="0"/>
    <n v="0"/>
    <n v="0"/>
  </r>
  <r>
    <x v="3"/>
    <x v="3"/>
    <s v="ACT"/>
    <s v="No agreement"/>
    <s v="More than 150% MBS Fee to 200% MBS Fee"/>
    <n v="0"/>
    <n v="0"/>
    <n v="0"/>
    <n v="0"/>
  </r>
  <r>
    <x v="3"/>
    <x v="3"/>
    <s v="ACT"/>
    <s v="No agreement"/>
    <s v="More than 200% MBS Fee"/>
    <n v="0"/>
    <n v="0"/>
    <n v="0"/>
    <n v="0"/>
  </r>
  <r>
    <x v="3"/>
    <x v="3"/>
    <s v="ACT"/>
    <s v="No agreement"/>
    <s v="Up to MBS Fee"/>
    <n v="0"/>
    <n v="0"/>
    <n v="0"/>
    <n v="0"/>
  </r>
  <r>
    <x v="3"/>
    <x v="3"/>
    <s v="ACT"/>
    <s v="No gap agreement"/>
    <s v="100% MBS Fee to 125% MBS Fee"/>
    <n v="0"/>
    <n v="0"/>
    <n v="0"/>
    <n v="0"/>
  </r>
  <r>
    <x v="3"/>
    <x v="3"/>
    <s v="ACT"/>
    <s v="No gap agreement"/>
    <s v="More than 125% MBS Fee to 150% MBS Fee"/>
    <n v="0"/>
    <n v="0"/>
    <n v="0"/>
    <n v="0"/>
  </r>
  <r>
    <x v="3"/>
    <x v="3"/>
    <s v="ACT"/>
    <s v="No gap agreement"/>
    <s v="More than 150% MBS Fee to 200% MBS Fee"/>
    <n v="0"/>
    <n v="0"/>
    <n v="0"/>
    <n v="0"/>
  </r>
  <r>
    <x v="3"/>
    <x v="3"/>
    <s v="ACT"/>
    <s v="No gap agreement"/>
    <s v="More than 200% MBS Fee"/>
    <n v="0"/>
    <n v="0"/>
    <n v="0"/>
    <n v="0"/>
  </r>
  <r>
    <x v="3"/>
    <x v="3"/>
    <s v="ACT"/>
    <s v="No gap agreement"/>
    <s v="Up to MBS Fee"/>
    <n v="0"/>
    <n v="0"/>
    <n v="0"/>
    <n v="0"/>
  </r>
  <r>
    <x v="3"/>
    <x v="3"/>
    <s v="NSW"/>
    <s v="Known gap agreement"/>
    <s v="100% MBS Fee to 125% MBS Fee"/>
    <n v="0"/>
    <n v="0"/>
    <n v="0"/>
    <n v="0"/>
  </r>
  <r>
    <x v="3"/>
    <x v="3"/>
    <s v="NSW"/>
    <s v="Known gap agreement"/>
    <s v="More than 125% MBS Fee to 150% MBS Fee"/>
    <n v="0"/>
    <n v="0"/>
    <n v="0"/>
    <n v="0"/>
  </r>
  <r>
    <x v="3"/>
    <x v="3"/>
    <s v="NSW"/>
    <s v="Known gap agreement"/>
    <s v="More than 150% MBS Fee to 200% MBS Fee"/>
    <n v="0"/>
    <n v="0"/>
    <n v="0"/>
    <n v="0"/>
  </r>
  <r>
    <x v="3"/>
    <x v="3"/>
    <s v="NSW"/>
    <s v="Known gap agreement"/>
    <s v="More than 200% MBS Fee"/>
    <n v="0"/>
    <n v="0"/>
    <n v="0"/>
    <n v="0"/>
  </r>
  <r>
    <x v="3"/>
    <x v="3"/>
    <s v="NSW"/>
    <s v="No agreement"/>
    <s v="100% MBS Fee to 125% MBS Fee"/>
    <n v="0"/>
    <n v="0"/>
    <n v="0"/>
    <n v="0"/>
  </r>
  <r>
    <x v="3"/>
    <x v="3"/>
    <s v="NSW"/>
    <s v="No agreement"/>
    <s v="More than 125% MBS Fee to 150% MBS Fee"/>
    <n v="0"/>
    <n v="0"/>
    <n v="0"/>
    <n v="0"/>
  </r>
  <r>
    <x v="3"/>
    <x v="3"/>
    <s v="NSW"/>
    <s v="No agreement"/>
    <s v="More than 150% MBS Fee to 200% MBS Fee"/>
    <n v="0"/>
    <n v="0"/>
    <n v="0"/>
    <n v="0"/>
  </r>
  <r>
    <x v="3"/>
    <x v="3"/>
    <s v="NSW"/>
    <s v="No agreement"/>
    <s v="More than 200% MBS Fee"/>
    <n v="0"/>
    <n v="0"/>
    <n v="0"/>
    <n v="0"/>
  </r>
  <r>
    <x v="3"/>
    <x v="3"/>
    <s v="NSW"/>
    <s v="No agreement"/>
    <s v="Up to MBS Fee"/>
    <n v="0"/>
    <n v="0"/>
    <n v="0"/>
    <n v="0"/>
  </r>
  <r>
    <x v="3"/>
    <x v="3"/>
    <s v="NSW"/>
    <s v="No gap agreement"/>
    <s v="100% MBS Fee to 125% MBS Fee"/>
    <n v="0"/>
    <n v="0"/>
    <n v="0"/>
    <n v="0"/>
  </r>
  <r>
    <x v="3"/>
    <x v="3"/>
    <s v="NSW"/>
    <s v="No gap agreement"/>
    <s v="More than 125% MBS Fee to 150% MBS Fee"/>
    <n v="0"/>
    <n v="0"/>
    <n v="0"/>
    <n v="0"/>
  </r>
  <r>
    <x v="3"/>
    <x v="3"/>
    <s v="NSW"/>
    <s v="No gap agreement"/>
    <s v="More than 150% MBS Fee to 200% MBS Fee"/>
    <n v="0"/>
    <n v="0"/>
    <n v="0"/>
    <n v="0"/>
  </r>
  <r>
    <x v="3"/>
    <x v="3"/>
    <s v="NSW"/>
    <s v="No gap agreement"/>
    <s v="More than 200% MBS Fee"/>
    <n v="0"/>
    <n v="0"/>
    <n v="0"/>
    <n v="0"/>
  </r>
  <r>
    <x v="3"/>
    <x v="3"/>
    <s v="NSW"/>
    <s v="No gap agreement"/>
    <s v="Up to MBS Fee"/>
    <n v="0"/>
    <n v="0"/>
    <n v="0"/>
    <n v="0"/>
  </r>
  <r>
    <x v="3"/>
    <x v="3"/>
    <s v="NT"/>
    <s v="Known gap agreement"/>
    <s v="100% MBS Fee to 125% MBS Fee"/>
    <n v="0"/>
    <n v="0"/>
    <n v="0"/>
    <n v="0"/>
  </r>
  <r>
    <x v="3"/>
    <x v="3"/>
    <s v="NT"/>
    <s v="Known gap agreement"/>
    <s v="More than 125% MBS Fee to 150% MBS Fee"/>
    <n v="0"/>
    <n v="0"/>
    <n v="0"/>
    <n v="0"/>
  </r>
  <r>
    <x v="3"/>
    <x v="3"/>
    <s v="NT"/>
    <s v="Known gap agreement"/>
    <s v="More than 150% MBS Fee to 200% MBS Fee"/>
    <n v="0"/>
    <n v="0"/>
    <n v="0"/>
    <n v="0"/>
  </r>
  <r>
    <x v="3"/>
    <x v="3"/>
    <s v="NT"/>
    <s v="Known gap agreement"/>
    <s v="More than 200% MBS Fee"/>
    <n v="0"/>
    <n v="0"/>
    <n v="0"/>
    <n v="0"/>
  </r>
  <r>
    <x v="3"/>
    <x v="3"/>
    <s v="NT"/>
    <s v="No agreement"/>
    <s v="100% MBS Fee to 125% MBS Fee"/>
    <n v="0"/>
    <n v="0"/>
    <n v="0"/>
    <n v="0"/>
  </r>
  <r>
    <x v="3"/>
    <x v="3"/>
    <s v="NT"/>
    <s v="No agreement"/>
    <s v="More than 125% MBS Fee to 150% MBS Fee"/>
    <n v="0"/>
    <n v="0"/>
    <n v="0"/>
    <n v="0"/>
  </r>
  <r>
    <x v="3"/>
    <x v="3"/>
    <s v="NT"/>
    <s v="No agreement"/>
    <s v="More than 150% MBS Fee to 200% MBS Fee"/>
    <n v="0"/>
    <n v="0"/>
    <n v="0"/>
    <n v="0"/>
  </r>
  <r>
    <x v="3"/>
    <x v="3"/>
    <s v="NT"/>
    <s v="No agreement"/>
    <s v="More than 200% MBS Fee"/>
    <n v="0"/>
    <n v="0"/>
    <n v="0"/>
    <n v="0"/>
  </r>
  <r>
    <x v="3"/>
    <x v="3"/>
    <s v="NT"/>
    <s v="No agreement"/>
    <s v="Up to MBS Fee"/>
    <n v="0"/>
    <n v="0"/>
    <n v="0"/>
    <n v="0"/>
  </r>
  <r>
    <x v="3"/>
    <x v="3"/>
    <s v="NT"/>
    <s v="No gap agreement"/>
    <s v="100% MBS Fee to 125% MBS Fee"/>
    <n v="0"/>
    <n v="0"/>
    <n v="0"/>
    <n v="0"/>
  </r>
  <r>
    <x v="3"/>
    <x v="3"/>
    <s v="NT"/>
    <s v="No gap agreement"/>
    <s v="More than 125% MBS Fee to 150% MBS Fee"/>
    <n v="0"/>
    <n v="0"/>
    <n v="0"/>
    <n v="0"/>
  </r>
  <r>
    <x v="3"/>
    <x v="3"/>
    <s v="NT"/>
    <s v="No gap agreement"/>
    <s v="More than 150% MBS Fee to 200% MBS Fee"/>
    <n v="0"/>
    <n v="0"/>
    <n v="0"/>
    <n v="0"/>
  </r>
  <r>
    <x v="3"/>
    <x v="3"/>
    <s v="NT"/>
    <s v="No gap agreement"/>
    <s v="More than 200% MBS Fee"/>
    <n v="0"/>
    <n v="0"/>
    <n v="0"/>
    <n v="0"/>
  </r>
  <r>
    <x v="3"/>
    <x v="3"/>
    <s v="NT"/>
    <s v="No gap agreement"/>
    <s v="Up to MBS Fee"/>
    <n v="0"/>
    <n v="0"/>
    <n v="0"/>
    <n v="0"/>
  </r>
  <r>
    <x v="3"/>
    <x v="3"/>
    <s v="QLD"/>
    <s v="Known gap agreement"/>
    <s v="100% MBS Fee to 125% MBS Fee"/>
    <n v="0"/>
    <n v="0"/>
    <n v="0"/>
    <n v="0"/>
  </r>
  <r>
    <x v="3"/>
    <x v="3"/>
    <s v="QLD"/>
    <s v="Known gap agreement"/>
    <s v="More than 125% MBS Fee to 150% MBS Fee"/>
    <n v="0"/>
    <n v="0"/>
    <n v="0"/>
    <n v="0"/>
  </r>
  <r>
    <x v="3"/>
    <x v="3"/>
    <s v="QLD"/>
    <s v="Known gap agreement"/>
    <s v="More than 150% MBS Fee to 200% MBS Fee"/>
    <n v="0"/>
    <n v="0"/>
    <n v="0"/>
    <n v="0"/>
  </r>
  <r>
    <x v="3"/>
    <x v="3"/>
    <s v="QLD"/>
    <s v="Known gap agreement"/>
    <s v="More than 200% MBS Fee"/>
    <n v="0"/>
    <n v="0"/>
    <n v="0"/>
    <n v="0"/>
  </r>
  <r>
    <x v="3"/>
    <x v="3"/>
    <s v="QLD"/>
    <s v="No agreement"/>
    <s v="100% MBS Fee to 125% MBS Fee"/>
    <n v="0"/>
    <n v="0"/>
    <n v="0"/>
    <n v="0"/>
  </r>
  <r>
    <x v="3"/>
    <x v="3"/>
    <s v="QLD"/>
    <s v="No agreement"/>
    <s v="More than 125% MBS Fee to 150% MBS Fee"/>
    <n v="0"/>
    <n v="0"/>
    <n v="0"/>
    <n v="0"/>
  </r>
  <r>
    <x v="3"/>
    <x v="3"/>
    <s v="QLD"/>
    <s v="No agreement"/>
    <s v="More than 150% MBS Fee to 200% MBS Fee"/>
    <n v="0"/>
    <n v="0"/>
    <n v="0"/>
    <n v="0"/>
  </r>
  <r>
    <x v="3"/>
    <x v="3"/>
    <s v="QLD"/>
    <s v="No agreement"/>
    <s v="More than 200% MBS Fee"/>
    <n v="0"/>
    <n v="0"/>
    <n v="0"/>
    <n v="0"/>
  </r>
  <r>
    <x v="3"/>
    <x v="3"/>
    <s v="QLD"/>
    <s v="No agreement"/>
    <s v="Up to MBS Fee"/>
    <n v="0"/>
    <n v="0"/>
    <n v="0"/>
    <n v="0"/>
  </r>
  <r>
    <x v="3"/>
    <x v="3"/>
    <s v="QLD"/>
    <s v="No gap agreement"/>
    <s v="100% MBS Fee to 125% MBS Fee"/>
    <n v="0"/>
    <n v="0"/>
    <n v="0"/>
    <n v="0"/>
  </r>
  <r>
    <x v="3"/>
    <x v="3"/>
    <s v="QLD"/>
    <s v="No gap agreement"/>
    <s v="More than 125% MBS Fee to 150% MBS Fee"/>
    <n v="0"/>
    <n v="0"/>
    <n v="0"/>
    <n v="0"/>
  </r>
  <r>
    <x v="3"/>
    <x v="3"/>
    <s v="QLD"/>
    <s v="No gap agreement"/>
    <s v="More than 150% MBS Fee to 200% MBS Fee"/>
    <n v="0"/>
    <n v="0"/>
    <n v="0"/>
    <n v="0"/>
  </r>
  <r>
    <x v="3"/>
    <x v="3"/>
    <s v="QLD"/>
    <s v="No gap agreement"/>
    <s v="More than 200% MBS Fee"/>
    <n v="0"/>
    <n v="0"/>
    <n v="0"/>
    <n v="0"/>
  </r>
  <r>
    <x v="3"/>
    <x v="3"/>
    <s v="QLD"/>
    <s v="No gap agreement"/>
    <s v="Up to MBS Fee"/>
    <n v="0"/>
    <n v="0"/>
    <n v="0"/>
    <n v="0"/>
  </r>
  <r>
    <x v="3"/>
    <x v="3"/>
    <s v="SA"/>
    <s v="Known gap agreement"/>
    <s v="100% MBS Fee to 125% MBS Fee"/>
    <n v="0"/>
    <n v="0"/>
    <n v="0"/>
    <n v="0"/>
  </r>
  <r>
    <x v="3"/>
    <x v="3"/>
    <s v="SA"/>
    <s v="Known gap agreement"/>
    <s v="More than 125% MBS Fee to 150% MBS Fee"/>
    <n v="0"/>
    <n v="0"/>
    <n v="0"/>
    <n v="0"/>
  </r>
  <r>
    <x v="3"/>
    <x v="3"/>
    <s v="SA"/>
    <s v="Known gap agreement"/>
    <s v="More than 150% MBS Fee to 200% MBS Fee"/>
    <n v="0"/>
    <n v="0"/>
    <n v="0"/>
    <n v="0"/>
  </r>
  <r>
    <x v="3"/>
    <x v="3"/>
    <s v="SA"/>
    <s v="Known gap agreement"/>
    <s v="More than 200% MBS Fee"/>
    <n v="0"/>
    <n v="0"/>
    <n v="0"/>
    <n v="0"/>
  </r>
  <r>
    <x v="3"/>
    <x v="3"/>
    <s v="SA"/>
    <s v="No agreement"/>
    <s v="100% MBS Fee to 125% MBS Fee"/>
    <n v="0"/>
    <n v="0"/>
    <n v="0"/>
    <n v="0"/>
  </r>
  <r>
    <x v="3"/>
    <x v="3"/>
    <s v="SA"/>
    <s v="No agreement"/>
    <s v="More than 125% MBS Fee to 150% MBS Fee"/>
    <n v="0"/>
    <n v="0"/>
    <n v="0"/>
    <n v="0"/>
  </r>
  <r>
    <x v="3"/>
    <x v="3"/>
    <s v="SA"/>
    <s v="No agreement"/>
    <s v="More than 150% MBS Fee to 200% MBS Fee"/>
    <n v="0"/>
    <n v="0"/>
    <n v="0"/>
    <n v="0"/>
  </r>
  <r>
    <x v="3"/>
    <x v="3"/>
    <s v="SA"/>
    <s v="No agreement"/>
    <s v="More than 200% MBS Fee"/>
    <n v="0"/>
    <n v="0"/>
    <n v="0"/>
    <n v="0"/>
  </r>
  <r>
    <x v="3"/>
    <x v="3"/>
    <s v="SA"/>
    <s v="No agreement"/>
    <s v="Up to MBS Fee"/>
    <n v="0"/>
    <n v="0"/>
    <n v="0"/>
    <n v="0"/>
  </r>
  <r>
    <x v="3"/>
    <x v="3"/>
    <s v="SA"/>
    <s v="No gap agreement"/>
    <s v="100% MBS Fee to 125% MBS Fee"/>
    <n v="0"/>
    <n v="0"/>
    <n v="0"/>
    <n v="0"/>
  </r>
  <r>
    <x v="3"/>
    <x v="3"/>
    <s v="SA"/>
    <s v="No gap agreement"/>
    <s v="More than 125% MBS Fee to 150% MBS Fee"/>
    <n v="0"/>
    <n v="0"/>
    <n v="0"/>
    <n v="0"/>
  </r>
  <r>
    <x v="3"/>
    <x v="3"/>
    <s v="SA"/>
    <s v="No gap agreement"/>
    <s v="More than 150% MBS Fee to 200% MBS Fee"/>
    <n v="0"/>
    <n v="0"/>
    <n v="0"/>
    <n v="0"/>
  </r>
  <r>
    <x v="3"/>
    <x v="3"/>
    <s v="SA"/>
    <s v="No gap agreement"/>
    <s v="More than 200% MBS Fee"/>
    <n v="0"/>
    <n v="0"/>
    <n v="0"/>
    <n v="0"/>
  </r>
  <r>
    <x v="3"/>
    <x v="3"/>
    <s v="SA"/>
    <s v="No gap agreement"/>
    <s v="Up to MBS Fee"/>
    <n v="0"/>
    <n v="0"/>
    <n v="0"/>
    <n v="0"/>
  </r>
  <r>
    <x v="3"/>
    <x v="3"/>
    <s v="TAS"/>
    <s v="Known gap agreement"/>
    <s v="100% MBS Fee to 125% MBS Fee"/>
    <n v="0"/>
    <n v="0"/>
    <n v="0"/>
    <n v="0"/>
  </r>
  <r>
    <x v="3"/>
    <x v="3"/>
    <s v="TAS"/>
    <s v="Known gap agreement"/>
    <s v="More than 125% MBS Fee to 150% MBS Fee"/>
    <n v="0"/>
    <n v="0"/>
    <n v="0"/>
    <n v="0"/>
  </r>
  <r>
    <x v="3"/>
    <x v="3"/>
    <s v="TAS"/>
    <s v="Known gap agreement"/>
    <s v="More than 150% MBS Fee to 200% MBS Fee"/>
    <n v="0"/>
    <n v="0"/>
    <n v="0"/>
    <n v="0"/>
  </r>
  <r>
    <x v="3"/>
    <x v="3"/>
    <s v="TAS"/>
    <s v="Known gap agreement"/>
    <s v="More than 200% MBS Fee"/>
    <n v="0"/>
    <n v="0"/>
    <n v="0"/>
    <n v="0"/>
  </r>
  <r>
    <x v="3"/>
    <x v="3"/>
    <s v="TAS"/>
    <s v="No agreement"/>
    <s v="100% MBS Fee to 125% MBS Fee"/>
    <n v="0"/>
    <n v="0"/>
    <n v="0"/>
    <n v="0"/>
  </r>
  <r>
    <x v="3"/>
    <x v="3"/>
    <s v="TAS"/>
    <s v="No agreement"/>
    <s v="More than 125% MBS Fee to 150% MBS Fee"/>
    <n v="0"/>
    <n v="0"/>
    <n v="0"/>
    <n v="0"/>
  </r>
  <r>
    <x v="3"/>
    <x v="3"/>
    <s v="TAS"/>
    <s v="No agreement"/>
    <s v="More than 150% MBS Fee to 200% MBS Fee"/>
    <n v="0"/>
    <n v="0"/>
    <n v="0"/>
    <n v="0"/>
  </r>
  <r>
    <x v="3"/>
    <x v="3"/>
    <s v="TAS"/>
    <s v="No agreement"/>
    <s v="More than 200% MBS Fee"/>
    <n v="0"/>
    <n v="0"/>
    <n v="0"/>
    <n v="0"/>
  </r>
  <r>
    <x v="3"/>
    <x v="3"/>
    <s v="TAS"/>
    <s v="No agreement"/>
    <s v="Up to MBS Fee"/>
    <n v="0"/>
    <n v="0"/>
    <n v="0"/>
    <n v="0"/>
  </r>
  <r>
    <x v="3"/>
    <x v="3"/>
    <s v="TAS"/>
    <s v="No gap agreement"/>
    <s v="100% MBS Fee to 125% MBS Fee"/>
    <n v="0"/>
    <n v="0"/>
    <n v="0"/>
    <n v="0"/>
  </r>
  <r>
    <x v="3"/>
    <x v="3"/>
    <s v="TAS"/>
    <s v="No gap agreement"/>
    <s v="More than 125% MBS Fee to 150% MBS Fee"/>
    <n v="0"/>
    <n v="0"/>
    <n v="0"/>
    <n v="0"/>
  </r>
  <r>
    <x v="3"/>
    <x v="3"/>
    <s v="TAS"/>
    <s v="No gap agreement"/>
    <s v="More than 150% MBS Fee to 200% MBS Fee"/>
    <n v="0"/>
    <n v="0"/>
    <n v="0"/>
    <n v="0"/>
  </r>
  <r>
    <x v="3"/>
    <x v="3"/>
    <s v="TAS"/>
    <s v="No gap agreement"/>
    <s v="More than 200% MBS Fee"/>
    <n v="0"/>
    <n v="0"/>
    <n v="0"/>
    <n v="0"/>
  </r>
  <r>
    <x v="3"/>
    <x v="3"/>
    <s v="TAS"/>
    <s v="No gap agreement"/>
    <s v="Up to MBS Fee"/>
    <n v="0"/>
    <n v="0"/>
    <n v="0"/>
    <n v="0"/>
  </r>
  <r>
    <x v="3"/>
    <x v="3"/>
    <s v="VIC"/>
    <s v="Known gap agreement"/>
    <s v="100% MBS Fee to 125% MBS Fee"/>
    <n v="0"/>
    <n v="0"/>
    <n v="0"/>
    <n v="0"/>
  </r>
  <r>
    <x v="3"/>
    <x v="3"/>
    <s v="VIC"/>
    <s v="Known gap agreement"/>
    <s v="More than 125% MBS Fee to 150% MBS Fee"/>
    <n v="0"/>
    <n v="0"/>
    <n v="0"/>
    <n v="0"/>
  </r>
  <r>
    <x v="3"/>
    <x v="3"/>
    <s v="VIC"/>
    <s v="Known gap agreement"/>
    <s v="More than 150% MBS Fee to 200% MBS Fee"/>
    <n v="0"/>
    <n v="0"/>
    <n v="0"/>
    <n v="0"/>
  </r>
  <r>
    <x v="3"/>
    <x v="3"/>
    <s v="VIC"/>
    <s v="Known gap agreement"/>
    <s v="More than 200% MBS Fee"/>
    <n v="0"/>
    <n v="0"/>
    <n v="0"/>
    <n v="0"/>
  </r>
  <r>
    <x v="3"/>
    <x v="3"/>
    <s v="VIC"/>
    <s v="No agreement"/>
    <s v="100% MBS Fee to 125% MBS Fee"/>
    <n v="0"/>
    <n v="0"/>
    <n v="0"/>
    <n v="0"/>
  </r>
  <r>
    <x v="3"/>
    <x v="3"/>
    <s v="VIC"/>
    <s v="No agreement"/>
    <s v="More than 125% MBS Fee to 150% MBS Fee"/>
    <n v="0"/>
    <n v="0"/>
    <n v="0"/>
    <n v="0"/>
  </r>
  <r>
    <x v="3"/>
    <x v="3"/>
    <s v="VIC"/>
    <s v="No agreement"/>
    <s v="More than 150% MBS Fee to 200% MBS Fee"/>
    <n v="0"/>
    <n v="0"/>
    <n v="0"/>
    <n v="0"/>
  </r>
  <r>
    <x v="3"/>
    <x v="3"/>
    <s v="VIC"/>
    <s v="No agreement"/>
    <s v="More than 200% MBS Fee"/>
    <n v="0"/>
    <n v="0"/>
    <n v="0"/>
    <n v="0"/>
  </r>
  <r>
    <x v="3"/>
    <x v="3"/>
    <s v="VIC"/>
    <s v="No agreement"/>
    <s v="Up to MBS Fee"/>
    <n v="0"/>
    <n v="0"/>
    <n v="0"/>
    <n v="0"/>
  </r>
  <r>
    <x v="3"/>
    <x v="3"/>
    <s v="VIC"/>
    <s v="No gap agreement"/>
    <s v="100% MBS Fee to 125% MBS Fee"/>
    <n v="0"/>
    <n v="0"/>
    <n v="0"/>
    <n v="0"/>
  </r>
  <r>
    <x v="3"/>
    <x v="3"/>
    <s v="VIC"/>
    <s v="No gap agreement"/>
    <s v="More than 125% MBS Fee to 150% MBS Fee"/>
    <n v="0"/>
    <n v="0"/>
    <n v="0"/>
    <n v="0"/>
  </r>
  <r>
    <x v="3"/>
    <x v="3"/>
    <s v="VIC"/>
    <s v="No gap agreement"/>
    <s v="More than 150% MBS Fee to 200% MBS Fee"/>
    <n v="0"/>
    <n v="0"/>
    <n v="0"/>
    <n v="0"/>
  </r>
  <r>
    <x v="3"/>
    <x v="3"/>
    <s v="VIC"/>
    <s v="No gap agreement"/>
    <s v="More than 200% MBS Fee"/>
    <n v="0"/>
    <n v="0"/>
    <n v="0"/>
    <n v="0"/>
  </r>
  <r>
    <x v="3"/>
    <x v="3"/>
    <s v="VIC"/>
    <s v="No gap agreement"/>
    <s v="Up to MBS Fee"/>
    <n v="0"/>
    <n v="0"/>
    <n v="0"/>
    <n v="0"/>
  </r>
  <r>
    <x v="3"/>
    <x v="3"/>
    <s v="WA"/>
    <s v="Known gap agreement"/>
    <s v="100% MBS Fee to 125% MBS Fee"/>
    <n v="0"/>
    <n v="0"/>
    <n v="0"/>
    <n v="0"/>
  </r>
  <r>
    <x v="3"/>
    <x v="3"/>
    <s v="WA"/>
    <s v="Known gap agreement"/>
    <s v="More than 125% MBS Fee to 150% MBS Fee"/>
    <n v="0"/>
    <n v="0"/>
    <n v="0"/>
    <n v="0"/>
  </r>
  <r>
    <x v="3"/>
    <x v="3"/>
    <s v="WA"/>
    <s v="Known gap agreement"/>
    <s v="More than 150% MBS Fee to 200% MBS Fee"/>
    <n v="0"/>
    <n v="0"/>
    <n v="0"/>
    <n v="0"/>
  </r>
  <r>
    <x v="3"/>
    <x v="3"/>
    <s v="WA"/>
    <s v="Known gap agreement"/>
    <s v="More than 200% MBS Fee"/>
    <n v="0"/>
    <n v="0"/>
    <n v="0"/>
    <n v="0"/>
  </r>
  <r>
    <x v="3"/>
    <x v="3"/>
    <s v="WA"/>
    <s v="No agreement"/>
    <s v="100% MBS Fee to 125% MBS Fee"/>
    <n v="0"/>
    <n v="0"/>
    <n v="0"/>
    <n v="0"/>
  </r>
  <r>
    <x v="3"/>
    <x v="3"/>
    <s v="WA"/>
    <s v="No agreement"/>
    <s v="More than 125% MBS Fee to 150% MBS Fee"/>
    <n v="0"/>
    <n v="0"/>
    <n v="0"/>
    <n v="0"/>
  </r>
  <r>
    <x v="3"/>
    <x v="3"/>
    <s v="WA"/>
    <s v="No agreement"/>
    <s v="More than 150% MBS Fee to 200% MBS Fee"/>
    <n v="0"/>
    <n v="0"/>
    <n v="0"/>
    <n v="0"/>
  </r>
  <r>
    <x v="3"/>
    <x v="3"/>
    <s v="WA"/>
    <s v="No agreement"/>
    <s v="More than 200% MBS Fee"/>
    <n v="0"/>
    <n v="0"/>
    <n v="0"/>
    <n v="0"/>
  </r>
  <r>
    <x v="3"/>
    <x v="3"/>
    <s v="WA"/>
    <s v="No agreement"/>
    <s v="Up to MBS Fee"/>
    <n v="0"/>
    <n v="0"/>
    <n v="0"/>
    <n v="0"/>
  </r>
  <r>
    <x v="3"/>
    <x v="3"/>
    <s v="WA"/>
    <s v="No gap agreement"/>
    <s v="100% MBS Fee to 125% MBS Fee"/>
    <n v="0"/>
    <n v="0"/>
    <n v="0"/>
    <n v="0"/>
  </r>
  <r>
    <x v="3"/>
    <x v="3"/>
    <s v="WA"/>
    <s v="No gap agreement"/>
    <s v="More than 125% MBS Fee to 150% MBS Fee"/>
    <n v="0"/>
    <n v="0"/>
    <n v="0"/>
    <n v="0"/>
  </r>
  <r>
    <x v="3"/>
    <x v="3"/>
    <s v="WA"/>
    <s v="No gap agreement"/>
    <s v="More than 150% MBS Fee to 200% MBS Fee"/>
    <n v="0"/>
    <n v="0"/>
    <n v="0"/>
    <n v="0"/>
  </r>
  <r>
    <x v="3"/>
    <x v="3"/>
    <s v="WA"/>
    <s v="No gap agreement"/>
    <s v="More than 200% MBS Fee"/>
    <n v="0"/>
    <n v="0"/>
    <n v="0"/>
    <n v="0"/>
  </r>
  <r>
    <x v="3"/>
    <x v="3"/>
    <s v="WA"/>
    <s v="No gap agreement"/>
    <s v="Up to MBS Fee"/>
    <n v="0"/>
    <n v="0"/>
    <n v="0"/>
    <n v="0"/>
  </r>
  <r>
    <x v="3"/>
    <x v="1"/>
    <s v="ACT"/>
    <s v="Known gap agreement"/>
    <s v="100% MBS Fee to 125% MBS Fee"/>
    <n v="0"/>
    <n v="0"/>
    <n v="0"/>
    <n v="0"/>
  </r>
  <r>
    <x v="3"/>
    <x v="1"/>
    <s v="ACT"/>
    <s v="Known gap agreement"/>
    <s v="More than 125% MBS Fee to 150% MBS Fee"/>
    <n v="0"/>
    <n v="0"/>
    <n v="0"/>
    <n v="0"/>
  </r>
  <r>
    <x v="3"/>
    <x v="1"/>
    <s v="ACT"/>
    <s v="Known gap agreement"/>
    <s v="More than 150% MBS Fee to 200% MBS Fee"/>
    <n v="0"/>
    <n v="0"/>
    <n v="0"/>
    <n v="0"/>
  </r>
  <r>
    <x v="3"/>
    <x v="1"/>
    <s v="ACT"/>
    <s v="Known gap agreement"/>
    <s v="More than 200% MBS Fee"/>
    <n v="0"/>
    <n v="0"/>
    <n v="0"/>
    <n v="0"/>
  </r>
  <r>
    <x v="3"/>
    <x v="1"/>
    <s v="ACT"/>
    <s v="No agreement"/>
    <s v="100% MBS Fee to 125% MBS Fee"/>
    <n v="0"/>
    <n v="0"/>
    <n v="0"/>
    <n v="0"/>
  </r>
  <r>
    <x v="3"/>
    <x v="1"/>
    <s v="ACT"/>
    <s v="No agreement"/>
    <s v="More than 125% MBS Fee to 150% MBS Fee"/>
    <n v="0"/>
    <n v="0"/>
    <n v="0"/>
    <n v="0"/>
  </r>
  <r>
    <x v="3"/>
    <x v="1"/>
    <s v="ACT"/>
    <s v="No agreement"/>
    <s v="More than 150% MBS Fee to 200% MBS Fee"/>
    <n v="0"/>
    <n v="0"/>
    <n v="0"/>
    <n v="0"/>
  </r>
  <r>
    <x v="3"/>
    <x v="1"/>
    <s v="ACT"/>
    <s v="No agreement"/>
    <s v="More than 200% MBS Fee"/>
    <n v="0"/>
    <n v="0"/>
    <n v="0"/>
    <n v="0"/>
  </r>
  <r>
    <x v="3"/>
    <x v="1"/>
    <s v="ACT"/>
    <s v="No agreement"/>
    <s v="Up to MBS Fee"/>
    <n v="0"/>
    <n v="0"/>
    <n v="0"/>
    <n v="0"/>
  </r>
  <r>
    <x v="3"/>
    <x v="1"/>
    <s v="ACT"/>
    <s v="No gap agreement"/>
    <s v="100% MBS Fee to 125% MBS Fee"/>
    <n v="0"/>
    <n v="0"/>
    <n v="0"/>
    <n v="0"/>
  </r>
  <r>
    <x v="3"/>
    <x v="1"/>
    <s v="ACT"/>
    <s v="No gap agreement"/>
    <s v="More than 125% MBS Fee to 150% MBS Fee"/>
    <n v="0"/>
    <n v="0"/>
    <n v="0"/>
    <n v="0"/>
  </r>
  <r>
    <x v="3"/>
    <x v="1"/>
    <s v="ACT"/>
    <s v="No gap agreement"/>
    <s v="More than 150% MBS Fee to 200% MBS Fee"/>
    <n v="0"/>
    <n v="0"/>
    <n v="0"/>
    <n v="0"/>
  </r>
  <r>
    <x v="3"/>
    <x v="1"/>
    <s v="ACT"/>
    <s v="No gap agreement"/>
    <s v="More than 200% MBS Fee"/>
    <n v="0"/>
    <n v="0"/>
    <n v="0"/>
    <n v="0"/>
  </r>
  <r>
    <x v="3"/>
    <x v="1"/>
    <s v="ACT"/>
    <s v="No gap agreement"/>
    <s v="Up to MBS Fee"/>
    <n v="0"/>
    <n v="0"/>
    <n v="0"/>
    <n v="0"/>
  </r>
  <r>
    <x v="3"/>
    <x v="1"/>
    <s v="NSW"/>
    <s v="Known gap agreement"/>
    <s v="100% MBS Fee to 125% MBS Fee"/>
    <n v="0"/>
    <n v="0"/>
    <n v="0"/>
    <n v="0"/>
  </r>
  <r>
    <x v="3"/>
    <x v="1"/>
    <s v="NSW"/>
    <s v="Known gap agreement"/>
    <s v="More than 125% MBS Fee to 150% MBS Fee"/>
    <n v="0"/>
    <n v="0"/>
    <n v="0"/>
    <n v="0"/>
  </r>
  <r>
    <x v="3"/>
    <x v="1"/>
    <s v="NSW"/>
    <s v="Known gap agreement"/>
    <s v="More than 150% MBS Fee to 200% MBS Fee"/>
    <n v="0"/>
    <n v="0"/>
    <n v="0"/>
    <n v="0"/>
  </r>
  <r>
    <x v="3"/>
    <x v="1"/>
    <s v="NSW"/>
    <s v="Known gap agreement"/>
    <s v="More than 200% MBS Fee"/>
    <n v="0"/>
    <n v="0"/>
    <n v="0"/>
    <n v="0"/>
  </r>
  <r>
    <x v="3"/>
    <x v="1"/>
    <s v="NSW"/>
    <s v="No agreement"/>
    <s v="100% MBS Fee to 125% MBS Fee"/>
    <n v="0"/>
    <n v="0"/>
    <n v="0"/>
    <n v="0"/>
  </r>
  <r>
    <x v="3"/>
    <x v="1"/>
    <s v="NSW"/>
    <s v="No agreement"/>
    <s v="More than 125% MBS Fee to 150% MBS Fee"/>
    <n v="0"/>
    <n v="0"/>
    <n v="0"/>
    <n v="0"/>
  </r>
  <r>
    <x v="3"/>
    <x v="1"/>
    <s v="NSW"/>
    <s v="No agreement"/>
    <s v="More than 150% MBS Fee to 200% MBS Fee"/>
    <n v="0"/>
    <n v="0"/>
    <n v="0"/>
    <n v="0"/>
  </r>
  <r>
    <x v="3"/>
    <x v="1"/>
    <s v="NSW"/>
    <s v="No agreement"/>
    <s v="More than 200% MBS Fee"/>
    <n v="0"/>
    <n v="0"/>
    <n v="0"/>
    <n v="0"/>
  </r>
  <r>
    <x v="3"/>
    <x v="1"/>
    <s v="NSW"/>
    <s v="No agreement"/>
    <s v="Up to MBS Fee"/>
    <n v="0"/>
    <n v="0"/>
    <n v="0"/>
    <n v="0"/>
  </r>
  <r>
    <x v="3"/>
    <x v="1"/>
    <s v="NSW"/>
    <s v="No gap agreement"/>
    <s v="100% MBS Fee to 125% MBS Fee"/>
    <n v="0"/>
    <n v="0"/>
    <n v="0"/>
    <n v="0"/>
  </r>
  <r>
    <x v="3"/>
    <x v="1"/>
    <s v="NSW"/>
    <s v="No gap agreement"/>
    <s v="More than 125% MBS Fee to 150% MBS Fee"/>
    <n v="0"/>
    <n v="0"/>
    <n v="0"/>
    <n v="0"/>
  </r>
  <r>
    <x v="3"/>
    <x v="1"/>
    <s v="NSW"/>
    <s v="No gap agreement"/>
    <s v="More than 150% MBS Fee to 200% MBS Fee"/>
    <n v="0"/>
    <n v="0"/>
    <n v="0"/>
    <n v="0"/>
  </r>
  <r>
    <x v="3"/>
    <x v="1"/>
    <s v="NSW"/>
    <s v="No gap agreement"/>
    <s v="More than 200% MBS Fee"/>
    <n v="0"/>
    <n v="0"/>
    <n v="0"/>
    <n v="0"/>
  </r>
  <r>
    <x v="3"/>
    <x v="1"/>
    <s v="NSW"/>
    <s v="No gap agreement"/>
    <s v="Up to MBS Fee"/>
    <n v="0"/>
    <n v="0"/>
    <n v="0"/>
    <n v="0"/>
  </r>
  <r>
    <x v="3"/>
    <x v="1"/>
    <s v="NT"/>
    <s v="Known gap agreement"/>
    <s v="100% MBS Fee to 125% MBS Fee"/>
    <n v="0"/>
    <n v="0"/>
    <n v="0"/>
    <n v="0"/>
  </r>
  <r>
    <x v="3"/>
    <x v="1"/>
    <s v="NT"/>
    <s v="Known gap agreement"/>
    <s v="More than 125% MBS Fee to 150% MBS Fee"/>
    <n v="0"/>
    <n v="0"/>
    <n v="0"/>
    <n v="0"/>
  </r>
  <r>
    <x v="3"/>
    <x v="1"/>
    <s v="NT"/>
    <s v="Known gap agreement"/>
    <s v="More than 150% MBS Fee to 200% MBS Fee"/>
    <n v="0"/>
    <n v="0"/>
    <n v="0"/>
    <n v="0"/>
  </r>
  <r>
    <x v="3"/>
    <x v="1"/>
    <s v="NT"/>
    <s v="Known gap agreement"/>
    <s v="More than 200% MBS Fee"/>
    <n v="0"/>
    <n v="0"/>
    <n v="0"/>
    <n v="0"/>
  </r>
  <r>
    <x v="3"/>
    <x v="1"/>
    <s v="NT"/>
    <s v="No agreement"/>
    <s v="100% MBS Fee to 125% MBS Fee"/>
    <n v="0"/>
    <n v="0"/>
    <n v="0"/>
    <n v="0"/>
  </r>
  <r>
    <x v="3"/>
    <x v="1"/>
    <s v="NT"/>
    <s v="No agreement"/>
    <s v="More than 125% MBS Fee to 150% MBS Fee"/>
    <n v="0"/>
    <n v="0"/>
    <n v="0"/>
    <n v="0"/>
  </r>
  <r>
    <x v="3"/>
    <x v="1"/>
    <s v="NT"/>
    <s v="No agreement"/>
    <s v="More than 150% MBS Fee to 200% MBS Fee"/>
    <n v="0"/>
    <n v="0"/>
    <n v="0"/>
    <n v="0"/>
  </r>
  <r>
    <x v="3"/>
    <x v="1"/>
    <s v="NT"/>
    <s v="No agreement"/>
    <s v="More than 200% MBS Fee"/>
    <n v="0"/>
    <n v="0"/>
    <n v="0"/>
    <n v="0"/>
  </r>
  <r>
    <x v="3"/>
    <x v="1"/>
    <s v="NT"/>
    <s v="No agreement"/>
    <s v="Up to MBS Fee"/>
    <n v="0"/>
    <n v="0"/>
    <n v="0"/>
    <n v="0"/>
  </r>
  <r>
    <x v="3"/>
    <x v="1"/>
    <s v="NT"/>
    <s v="No gap agreement"/>
    <s v="100% MBS Fee to 125% MBS Fee"/>
    <n v="0"/>
    <n v="0"/>
    <n v="0"/>
    <n v="0"/>
  </r>
  <r>
    <x v="3"/>
    <x v="1"/>
    <s v="NT"/>
    <s v="No gap agreement"/>
    <s v="More than 125% MBS Fee to 150% MBS Fee"/>
    <n v="0"/>
    <n v="0"/>
    <n v="0"/>
    <n v="0"/>
  </r>
  <r>
    <x v="3"/>
    <x v="1"/>
    <s v="NT"/>
    <s v="No gap agreement"/>
    <s v="More than 150% MBS Fee to 200% MBS Fee"/>
    <n v="0"/>
    <n v="0"/>
    <n v="0"/>
    <n v="0"/>
  </r>
  <r>
    <x v="3"/>
    <x v="1"/>
    <s v="NT"/>
    <s v="No gap agreement"/>
    <s v="More than 200% MBS Fee"/>
    <n v="0"/>
    <n v="0"/>
    <n v="0"/>
    <n v="0"/>
  </r>
  <r>
    <x v="3"/>
    <x v="1"/>
    <s v="NT"/>
    <s v="No gap agreement"/>
    <s v="Up to MBS Fee"/>
    <n v="0"/>
    <n v="0"/>
    <n v="0"/>
    <n v="0"/>
  </r>
  <r>
    <x v="3"/>
    <x v="1"/>
    <s v="QLD"/>
    <s v="Known gap agreement"/>
    <s v="100% MBS Fee to 125% MBS Fee"/>
    <n v="0"/>
    <n v="0"/>
    <n v="0"/>
    <n v="0"/>
  </r>
  <r>
    <x v="3"/>
    <x v="1"/>
    <s v="QLD"/>
    <s v="Known gap agreement"/>
    <s v="More than 125% MBS Fee to 150% MBS Fee"/>
    <n v="0"/>
    <n v="0"/>
    <n v="0"/>
    <n v="0"/>
  </r>
  <r>
    <x v="3"/>
    <x v="1"/>
    <s v="QLD"/>
    <s v="Known gap agreement"/>
    <s v="More than 150% MBS Fee to 200% MBS Fee"/>
    <n v="0"/>
    <n v="0"/>
    <n v="0"/>
    <n v="0"/>
  </r>
  <r>
    <x v="3"/>
    <x v="1"/>
    <s v="QLD"/>
    <s v="Known gap agreement"/>
    <s v="More than 200% MBS Fee"/>
    <n v="0"/>
    <n v="0"/>
    <n v="0"/>
    <n v="0"/>
  </r>
  <r>
    <x v="3"/>
    <x v="1"/>
    <s v="QLD"/>
    <s v="No agreement"/>
    <s v="100% MBS Fee to 125% MBS Fee"/>
    <n v="0"/>
    <n v="0"/>
    <n v="0"/>
    <n v="0"/>
  </r>
  <r>
    <x v="3"/>
    <x v="1"/>
    <s v="QLD"/>
    <s v="No agreement"/>
    <s v="More than 125% MBS Fee to 150% MBS Fee"/>
    <n v="0"/>
    <n v="0"/>
    <n v="0"/>
    <n v="0"/>
  </r>
  <r>
    <x v="3"/>
    <x v="1"/>
    <s v="QLD"/>
    <s v="No agreement"/>
    <s v="More than 150% MBS Fee to 200% MBS Fee"/>
    <n v="0"/>
    <n v="0"/>
    <n v="0"/>
    <n v="0"/>
  </r>
  <r>
    <x v="3"/>
    <x v="1"/>
    <s v="QLD"/>
    <s v="No agreement"/>
    <s v="More than 200% MBS Fee"/>
    <n v="0"/>
    <n v="0"/>
    <n v="0"/>
    <n v="0"/>
  </r>
  <r>
    <x v="3"/>
    <x v="1"/>
    <s v="QLD"/>
    <s v="No agreement"/>
    <s v="Up to MBS Fee"/>
    <n v="0"/>
    <n v="0"/>
    <n v="0"/>
    <n v="0"/>
  </r>
  <r>
    <x v="3"/>
    <x v="1"/>
    <s v="QLD"/>
    <s v="No gap agreement"/>
    <s v="100% MBS Fee to 125% MBS Fee"/>
    <n v="0"/>
    <n v="0"/>
    <n v="0"/>
    <n v="0"/>
  </r>
  <r>
    <x v="3"/>
    <x v="1"/>
    <s v="QLD"/>
    <s v="No gap agreement"/>
    <s v="More than 125% MBS Fee to 150% MBS Fee"/>
    <n v="0"/>
    <n v="0"/>
    <n v="0"/>
    <n v="0"/>
  </r>
  <r>
    <x v="3"/>
    <x v="1"/>
    <s v="QLD"/>
    <s v="No gap agreement"/>
    <s v="More than 150% MBS Fee to 200% MBS Fee"/>
    <n v="0"/>
    <n v="0"/>
    <n v="0"/>
    <n v="0"/>
  </r>
  <r>
    <x v="3"/>
    <x v="1"/>
    <s v="QLD"/>
    <s v="No gap agreement"/>
    <s v="More than 200% MBS Fee"/>
    <n v="0"/>
    <n v="0"/>
    <n v="0"/>
    <n v="0"/>
  </r>
  <r>
    <x v="3"/>
    <x v="1"/>
    <s v="QLD"/>
    <s v="No gap agreement"/>
    <s v="Up to MBS Fee"/>
    <n v="0"/>
    <n v="0"/>
    <n v="0"/>
    <n v="0"/>
  </r>
  <r>
    <x v="3"/>
    <x v="1"/>
    <s v="SA"/>
    <s v="Known gap agreement"/>
    <s v="100% MBS Fee to 125% MBS Fee"/>
    <n v="0"/>
    <n v="0"/>
    <n v="0"/>
    <n v="0"/>
  </r>
  <r>
    <x v="3"/>
    <x v="1"/>
    <s v="SA"/>
    <s v="Known gap agreement"/>
    <s v="More than 125% MBS Fee to 150% MBS Fee"/>
    <n v="0"/>
    <n v="0"/>
    <n v="0"/>
    <n v="0"/>
  </r>
  <r>
    <x v="3"/>
    <x v="1"/>
    <s v="SA"/>
    <s v="Known gap agreement"/>
    <s v="More than 150% MBS Fee to 200% MBS Fee"/>
    <n v="0"/>
    <n v="0"/>
    <n v="0"/>
    <n v="0"/>
  </r>
  <r>
    <x v="3"/>
    <x v="1"/>
    <s v="SA"/>
    <s v="Known gap agreement"/>
    <s v="More than 200% MBS Fee"/>
    <n v="0"/>
    <n v="0"/>
    <n v="0"/>
    <n v="0"/>
  </r>
  <r>
    <x v="3"/>
    <x v="1"/>
    <s v="SA"/>
    <s v="No agreement"/>
    <s v="100% MBS Fee to 125% MBS Fee"/>
    <n v="0"/>
    <n v="0"/>
    <n v="0"/>
    <n v="0"/>
  </r>
  <r>
    <x v="3"/>
    <x v="1"/>
    <s v="SA"/>
    <s v="No agreement"/>
    <s v="More than 125% MBS Fee to 150% MBS Fee"/>
    <n v="0"/>
    <n v="0"/>
    <n v="0"/>
    <n v="0"/>
  </r>
  <r>
    <x v="3"/>
    <x v="1"/>
    <s v="SA"/>
    <s v="No agreement"/>
    <s v="More than 150% MBS Fee to 200% MBS Fee"/>
    <n v="0"/>
    <n v="0"/>
    <n v="0"/>
    <n v="0"/>
  </r>
  <r>
    <x v="3"/>
    <x v="1"/>
    <s v="SA"/>
    <s v="No agreement"/>
    <s v="More than 200% MBS Fee"/>
    <n v="0"/>
    <n v="0"/>
    <n v="0"/>
    <n v="0"/>
  </r>
  <r>
    <x v="3"/>
    <x v="1"/>
    <s v="SA"/>
    <s v="No agreement"/>
    <s v="Up to MBS Fee"/>
    <n v="0"/>
    <n v="0"/>
    <n v="0"/>
    <n v="0"/>
  </r>
  <r>
    <x v="3"/>
    <x v="1"/>
    <s v="SA"/>
    <s v="No gap agreement"/>
    <s v="100% MBS Fee to 125% MBS Fee"/>
    <n v="0"/>
    <n v="0"/>
    <n v="0"/>
    <n v="0"/>
  </r>
  <r>
    <x v="3"/>
    <x v="1"/>
    <s v="SA"/>
    <s v="No gap agreement"/>
    <s v="More than 125% MBS Fee to 150% MBS Fee"/>
    <n v="0"/>
    <n v="0"/>
    <n v="0"/>
    <n v="0"/>
  </r>
  <r>
    <x v="3"/>
    <x v="1"/>
    <s v="SA"/>
    <s v="No gap agreement"/>
    <s v="More than 150% MBS Fee to 200% MBS Fee"/>
    <n v="0"/>
    <n v="0"/>
    <n v="0"/>
    <n v="0"/>
  </r>
  <r>
    <x v="3"/>
    <x v="1"/>
    <s v="SA"/>
    <s v="No gap agreement"/>
    <s v="More than 200% MBS Fee"/>
    <n v="0"/>
    <n v="0"/>
    <n v="0"/>
    <n v="0"/>
  </r>
  <r>
    <x v="3"/>
    <x v="1"/>
    <s v="SA"/>
    <s v="No gap agreement"/>
    <s v="Up to MBS Fee"/>
    <n v="0"/>
    <n v="0"/>
    <n v="0"/>
    <n v="0"/>
  </r>
  <r>
    <x v="3"/>
    <x v="1"/>
    <s v="TAS"/>
    <s v="Known gap agreement"/>
    <s v="100% MBS Fee to 125% MBS Fee"/>
    <n v="0"/>
    <n v="0"/>
    <n v="0"/>
    <n v="0"/>
  </r>
  <r>
    <x v="3"/>
    <x v="1"/>
    <s v="TAS"/>
    <s v="Known gap agreement"/>
    <s v="More than 125% MBS Fee to 150% MBS Fee"/>
    <n v="0"/>
    <n v="0"/>
    <n v="0"/>
    <n v="0"/>
  </r>
  <r>
    <x v="3"/>
    <x v="1"/>
    <s v="TAS"/>
    <s v="Known gap agreement"/>
    <s v="More than 150% MBS Fee to 200% MBS Fee"/>
    <n v="0"/>
    <n v="0"/>
    <n v="0"/>
    <n v="0"/>
  </r>
  <r>
    <x v="3"/>
    <x v="1"/>
    <s v="TAS"/>
    <s v="Known gap agreement"/>
    <s v="More than 200% MBS Fee"/>
    <n v="0"/>
    <n v="0"/>
    <n v="0"/>
    <n v="0"/>
  </r>
  <r>
    <x v="3"/>
    <x v="1"/>
    <s v="TAS"/>
    <s v="No agreement"/>
    <s v="100% MBS Fee to 125% MBS Fee"/>
    <n v="0"/>
    <n v="0"/>
    <n v="0"/>
    <n v="0"/>
  </r>
  <r>
    <x v="3"/>
    <x v="1"/>
    <s v="TAS"/>
    <s v="No agreement"/>
    <s v="More than 125% MBS Fee to 150% MBS Fee"/>
    <n v="0"/>
    <n v="0"/>
    <n v="0"/>
    <n v="0"/>
  </r>
  <r>
    <x v="3"/>
    <x v="1"/>
    <s v="TAS"/>
    <s v="No agreement"/>
    <s v="More than 150% MBS Fee to 200% MBS Fee"/>
    <n v="0"/>
    <n v="0"/>
    <n v="0"/>
    <n v="0"/>
  </r>
  <r>
    <x v="3"/>
    <x v="1"/>
    <s v="TAS"/>
    <s v="No agreement"/>
    <s v="More than 200% MBS Fee"/>
    <n v="0"/>
    <n v="0"/>
    <n v="0"/>
    <n v="0"/>
  </r>
  <r>
    <x v="3"/>
    <x v="1"/>
    <s v="TAS"/>
    <s v="No agreement"/>
    <s v="Up to MBS Fee"/>
    <n v="0"/>
    <n v="0"/>
    <n v="0"/>
    <n v="0"/>
  </r>
  <r>
    <x v="3"/>
    <x v="1"/>
    <s v="TAS"/>
    <s v="No gap agreement"/>
    <s v="100% MBS Fee to 125% MBS Fee"/>
    <n v="0"/>
    <n v="0"/>
    <n v="0"/>
    <n v="0"/>
  </r>
  <r>
    <x v="3"/>
    <x v="1"/>
    <s v="TAS"/>
    <s v="No gap agreement"/>
    <s v="More than 125% MBS Fee to 150% MBS Fee"/>
    <n v="0"/>
    <n v="0"/>
    <n v="0"/>
    <n v="0"/>
  </r>
  <r>
    <x v="3"/>
    <x v="1"/>
    <s v="TAS"/>
    <s v="No gap agreement"/>
    <s v="More than 150% MBS Fee to 200% MBS Fee"/>
    <n v="0"/>
    <n v="0"/>
    <n v="0"/>
    <n v="0"/>
  </r>
  <r>
    <x v="3"/>
    <x v="1"/>
    <s v="TAS"/>
    <s v="No gap agreement"/>
    <s v="More than 200% MBS Fee"/>
    <n v="0"/>
    <n v="0"/>
    <n v="0"/>
    <n v="0"/>
  </r>
  <r>
    <x v="3"/>
    <x v="1"/>
    <s v="TAS"/>
    <s v="No gap agreement"/>
    <s v="Up to MBS Fee"/>
    <n v="0"/>
    <n v="0"/>
    <n v="0"/>
    <n v="0"/>
  </r>
  <r>
    <x v="3"/>
    <x v="1"/>
    <s v="VIC"/>
    <s v="Known gap agreement"/>
    <s v="100% MBS Fee to 125% MBS Fee"/>
    <n v="0"/>
    <n v="0"/>
    <n v="0"/>
    <n v="0"/>
  </r>
  <r>
    <x v="3"/>
    <x v="1"/>
    <s v="VIC"/>
    <s v="Known gap agreement"/>
    <s v="More than 125% MBS Fee to 150% MBS Fee"/>
    <n v="0"/>
    <n v="0"/>
    <n v="0"/>
    <n v="0"/>
  </r>
  <r>
    <x v="3"/>
    <x v="1"/>
    <s v="VIC"/>
    <s v="Known gap agreement"/>
    <s v="More than 150% MBS Fee to 200% MBS Fee"/>
    <n v="0"/>
    <n v="0"/>
    <n v="0"/>
    <n v="0"/>
  </r>
  <r>
    <x v="3"/>
    <x v="1"/>
    <s v="VIC"/>
    <s v="Known gap agreement"/>
    <s v="More than 200% MBS Fee"/>
    <n v="0"/>
    <n v="0"/>
    <n v="0"/>
    <n v="0"/>
  </r>
  <r>
    <x v="3"/>
    <x v="1"/>
    <s v="VIC"/>
    <s v="No agreement"/>
    <s v="100% MBS Fee to 125% MBS Fee"/>
    <n v="0"/>
    <n v="0"/>
    <n v="0"/>
    <n v="0"/>
  </r>
  <r>
    <x v="3"/>
    <x v="1"/>
    <s v="VIC"/>
    <s v="No agreement"/>
    <s v="More than 125% MBS Fee to 150% MBS Fee"/>
    <n v="0"/>
    <n v="0"/>
    <n v="0"/>
    <n v="0"/>
  </r>
  <r>
    <x v="3"/>
    <x v="1"/>
    <s v="VIC"/>
    <s v="No agreement"/>
    <s v="More than 150% MBS Fee to 200% MBS Fee"/>
    <n v="0"/>
    <n v="0"/>
    <n v="0"/>
    <n v="0"/>
  </r>
  <r>
    <x v="3"/>
    <x v="1"/>
    <s v="VIC"/>
    <s v="No agreement"/>
    <s v="More than 200% MBS Fee"/>
    <n v="0"/>
    <n v="0"/>
    <n v="0"/>
    <n v="0"/>
  </r>
  <r>
    <x v="3"/>
    <x v="1"/>
    <s v="VIC"/>
    <s v="No agreement"/>
    <s v="Up to MBS Fee"/>
    <n v="0"/>
    <n v="0"/>
    <n v="0"/>
    <n v="0"/>
  </r>
  <r>
    <x v="3"/>
    <x v="1"/>
    <s v="VIC"/>
    <s v="No gap agreement"/>
    <s v="100% MBS Fee to 125% MBS Fee"/>
    <n v="0"/>
    <n v="0"/>
    <n v="0"/>
    <n v="0"/>
  </r>
  <r>
    <x v="3"/>
    <x v="1"/>
    <s v="VIC"/>
    <s v="No gap agreement"/>
    <s v="More than 125% MBS Fee to 150% MBS Fee"/>
    <n v="0"/>
    <n v="0"/>
    <n v="0"/>
    <n v="0"/>
  </r>
  <r>
    <x v="3"/>
    <x v="1"/>
    <s v="VIC"/>
    <s v="No gap agreement"/>
    <s v="More than 150% MBS Fee to 200% MBS Fee"/>
    <n v="0"/>
    <n v="0"/>
    <n v="0"/>
    <n v="0"/>
  </r>
  <r>
    <x v="3"/>
    <x v="1"/>
    <s v="VIC"/>
    <s v="No gap agreement"/>
    <s v="More than 200% MBS Fee"/>
    <n v="0"/>
    <n v="0"/>
    <n v="0"/>
    <n v="0"/>
  </r>
  <r>
    <x v="3"/>
    <x v="1"/>
    <s v="VIC"/>
    <s v="No gap agreement"/>
    <s v="Up to MBS Fee"/>
    <n v="0"/>
    <n v="0"/>
    <n v="0"/>
    <n v="0"/>
  </r>
  <r>
    <x v="3"/>
    <x v="1"/>
    <s v="WA"/>
    <s v="Known gap agreement"/>
    <s v="100% MBS Fee to 125% MBS Fee"/>
    <n v="0"/>
    <n v="0"/>
    <n v="0"/>
    <n v="0"/>
  </r>
  <r>
    <x v="3"/>
    <x v="1"/>
    <s v="WA"/>
    <s v="Known gap agreement"/>
    <s v="More than 125% MBS Fee to 150% MBS Fee"/>
    <n v="0"/>
    <n v="0"/>
    <n v="0"/>
    <n v="0"/>
  </r>
  <r>
    <x v="3"/>
    <x v="1"/>
    <s v="WA"/>
    <s v="Known gap agreement"/>
    <s v="More than 150% MBS Fee to 200% MBS Fee"/>
    <n v="0"/>
    <n v="0"/>
    <n v="0"/>
    <n v="0"/>
  </r>
  <r>
    <x v="3"/>
    <x v="1"/>
    <s v="WA"/>
    <s v="Known gap agreement"/>
    <s v="More than 200% MBS Fee"/>
    <n v="0"/>
    <n v="0"/>
    <n v="0"/>
    <n v="0"/>
  </r>
  <r>
    <x v="3"/>
    <x v="1"/>
    <s v="WA"/>
    <s v="No agreement"/>
    <s v="100% MBS Fee to 125% MBS Fee"/>
    <n v="0"/>
    <n v="0"/>
    <n v="0"/>
    <n v="0"/>
  </r>
  <r>
    <x v="3"/>
    <x v="1"/>
    <s v="WA"/>
    <s v="No agreement"/>
    <s v="More than 125% MBS Fee to 150% MBS Fee"/>
    <n v="0"/>
    <n v="0"/>
    <n v="0"/>
    <n v="0"/>
  </r>
  <r>
    <x v="3"/>
    <x v="1"/>
    <s v="WA"/>
    <s v="No agreement"/>
    <s v="More than 150% MBS Fee to 200% MBS Fee"/>
    <n v="0"/>
    <n v="0"/>
    <n v="0"/>
    <n v="0"/>
  </r>
  <r>
    <x v="3"/>
    <x v="1"/>
    <s v="WA"/>
    <s v="No agreement"/>
    <s v="More than 200% MBS Fee"/>
    <n v="0"/>
    <n v="0"/>
    <n v="0"/>
    <n v="0"/>
  </r>
  <r>
    <x v="3"/>
    <x v="1"/>
    <s v="WA"/>
    <s v="No agreement"/>
    <s v="Up to MBS Fee"/>
    <n v="0"/>
    <n v="0"/>
    <n v="0"/>
    <n v="0"/>
  </r>
  <r>
    <x v="3"/>
    <x v="1"/>
    <s v="WA"/>
    <s v="No gap agreement"/>
    <s v="100% MBS Fee to 125% MBS Fee"/>
    <n v="0"/>
    <n v="0"/>
    <n v="0"/>
    <n v="0"/>
  </r>
  <r>
    <x v="3"/>
    <x v="1"/>
    <s v="WA"/>
    <s v="No gap agreement"/>
    <s v="More than 125% MBS Fee to 150% MBS Fee"/>
    <n v="0"/>
    <n v="0"/>
    <n v="0"/>
    <n v="0"/>
  </r>
  <r>
    <x v="3"/>
    <x v="1"/>
    <s v="WA"/>
    <s v="No gap agreement"/>
    <s v="More than 150% MBS Fee to 200% MBS Fee"/>
    <n v="0"/>
    <n v="0"/>
    <n v="0"/>
    <n v="0"/>
  </r>
  <r>
    <x v="3"/>
    <x v="1"/>
    <s v="WA"/>
    <s v="No gap agreement"/>
    <s v="More than 200% MBS Fee"/>
    <n v="0"/>
    <n v="0"/>
    <n v="0"/>
    <n v="0"/>
  </r>
  <r>
    <x v="3"/>
    <x v="1"/>
    <s v="WA"/>
    <s v="No gap agreement"/>
    <s v="Up to MBS Fee"/>
    <n v="0"/>
    <n v="0"/>
    <n v="0"/>
    <n v="0"/>
  </r>
  <r>
    <x v="4"/>
    <x v="0"/>
    <s v="ACT"/>
    <s v="Known gap agreement"/>
    <s v="100% MBS Fee to 125% MBS Fee"/>
    <n v="0"/>
    <n v="0"/>
    <n v="0"/>
    <n v="0"/>
  </r>
  <r>
    <x v="4"/>
    <x v="0"/>
    <s v="ACT"/>
    <s v="Known gap agreement"/>
    <s v="More than 125% MBS Fee to 150% MBS Fee"/>
    <n v="0"/>
    <n v="0"/>
    <n v="0"/>
    <n v="0"/>
  </r>
  <r>
    <x v="4"/>
    <x v="0"/>
    <s v="ACT"/>
    <s v="Known gap agreement"/>
    <s v="More than 150% MBS Fee to 200% MBS Fee"/>
    <n v="0"/>
    <n v="0"/>
    <n v="0"/>
    <n v="0"/>
  </r>
  <r>
    <x v="4"/>
    <x v="0"/>
    <s v="ACT"/>
    <s v="Known gap agreement"/>
    <s v="More than 200% MBS Fee"/>
    <n v="0"/>
    <n v="0"/>
    <n v="0"/>
    <n v="0"/>
  </r>
  <r>
    <x v="4"/>
    <x v="0"/>
    <s v="ACT"/>
    <s v="No agreement"/>
    <s v="100% MBS Fee to 125% MBS Fee"/>
    <n v="0"/>
    <n v="0"/>
    <n v="0"/>
    <n v="0"/>
  </r>
  <r>
    <x v="4"/>
    <x v="0"/>
    <s v="ACT"/>
    <s v="No agreement"/>
    <s v="More than 125% MBS Fee to 150% MBS Fee"/>
    <n v="0"/>
    <n v="0"/>
    <n v="0"/>
    <n v="0"/>
  </r>
  <r>
    <x v="4"/>
    <x v="0"/>
    <s v="ACT"/>
    <s v="No agreement"/>
    <s v="More than 150% MBS Fee to 200% MBS Fee"/>
    <n v="0"/>
    <n v="0"/>
    <n v="0"/>
    <n v="0"/>
  </r>
  <r>
    <x v="4"/>
    <x v="0"/>
    <s v="ACT"/>
    <s v="No agreement"/>
    <s v="More than 200% MBS Fee"/>
    <n v="0"/>
    <n v="0"/>
    <n v="0"/>
    <n v="0"/>
  </r>
  <r>
    <x v="4"/>
    <x v="0"/>
    <s v="ACT"/>
    <s v="No agreement"/>
    <s v="Up to MBS Fee"/>
    <n v="0"/>
    <n v="0"/>
    <n v="0"/>
    <n v="0"/>
  </r>
  <r>
    <x v="4"/>
    <x v="0"/>
    <s v="ACT"/>
    <s v="No gap agreement"/>
    <s v="100% MBS Fee to 125% MBS Fee"/>
    <n v="0"/>
    <n v="0"/>
    <n v="0"/>
    <n v="0"/>
  </r>
  <r>
    <x v="4"/>
    <x v="0"/>
    <s v="ACT"/>
    <s v="No gap agreement"/>
    <s v="More than 125% MBS Fee to 150% MBS Fee"/>
    <n v="0"/>
    <n v="0"/>
    <n v="0"/>
    <n v="0"/>
  </r>
  <r>
    <x v="4"/>
    <x v="0"/>
    <s v="ACT"/>
    <s v="No gap agreement"/>
    <s v="More than 150% MBS Fee to 200% MBS Fee"/>
    <n v="0"/>
    <n v="0"/>
    <n v="0"/>
    <n v="0"/>
  </r>
  <r>
    <x v="4"/>
    <x v="0"/>
    <s v="ACT"/>
    <s v="No gap agreement"/>
    <s v="More than 200% MBS Fee"/>
    <n v="0"/>
    <n v="0"/>
    <n v="0"/>
    <n v="0"/>
  </r>
  <r>
    <x v="4"/>
    <x v="0"/>
    <s v="ACT"/>
    <s v="No gap agreement"/>
    <s v="Up to MBS Fee"/>
    <n v="0"/>
    <n v="0"/>
    <n v="0"/>
    <n v="0"/>
  </r>
  <r>
    <x v="4"/>
    <x v="0"/>
    <s v="NSW"/>
    <s v="Known gap agreement"/>
    <s v="100% MBS Fee to 125% MBS Fee"/>
    <n v="0"/>
    <n v="0"/>
    <n v="0"/>
    <n v="0"/>
  </r>
  <r>
    <x v="4"/>
    <x v="0"/>
    <s v="NSW"/>
    <s v="Known gap agreement"/>
    <s v="More than 125% MBS Fee to 150% MBS Fee"/>
    <n v="0"/>
    <n v="0"/>
    <n v="0"/>
    <n v="0"/>
  </r>
  <r>
    <x v="4"/>
    <x v="0"/>
    <s v="NSW"/>
    <s v="Known gap agreement"/>
    <s v="More than 150% MBS Fee to 200% MBS Fee"/>
    <n v="0"/>
    <n v="0"/>
    <n v="0"/>
    <n v="0"/>
  </r>
  <r>
    <x v="4"/>
    <x v="0"/>
    <s v="NSW"/>
    <s v="Known gap agreement"/>
    <s v="More than 200% MBS Fee"/>
    <n v="0"/>
    <n v="0"/>
    <n v="0"/>
    <n v="0"/>
  </r>
  <r>
    <x v="4"/>
    <x v="0"/>
    <s v="NSW"/>
    <s v="No agreement"/>
    <s v="100% MBS Fee to 125% MBS Fee"/>
    <n v="0"/>
    <n v="0"/>
    <n v="0"/>
    <n v="0"/>
  </r>
  <r>
    <x v="4"/>
    <x v="0"/>
    <s v="NSW"/>
    <s v="No agreement"/>
    <s v="More than 125% MBS Fee to 150% MBS Fee"/>
    <n v="0"/>
    <n v="0"/>
    <n v="0"/>
    <n v="0"/>
  </r>
  <r>
    <x v="4"/>
    <x v="0"/>
    <s v="NSW"/>
    <s v="No agreement"/>
    <s v="More than 150% MBS Fee to 200% MBS Fee"/>
    <n v="0"/>
    <n v="0"/>
    <n v="0"/>
    <n v="0"/>
  </r>
  <r>
    <x v="4"/>
    <x v="0"/>
    <s v="NSW"/>
    <s v="No agreement"/>
    <s v="More than 200% MBS Fee"/>
    <n v="0"/>
    <n v="0"/>
    <n v="0"/>
    <n v="0"/>
  </r>
  <r>
    <x v="4"/>
    <x v="0"/>
    <s v="NSW"/>
    <s v="No agreement"/>
    <s v="Up to MBS Fee"/>
    <n v="0"/>
    <n v="0"/>
    <n v="0"/>
    <n v="0"/>
  </r>
  <r>
    <x v="4"/>
    <x v="0"/>
    <s v="NSW"/>
    <s v="No gap agreement"/>
    <s v="100% MBS Fee to 125% MBS Fee"/>
    <n v="0"/>
    <n v="0"/>
    <n v="0"/>
    <n v="0"/>
  </r>
  <r>
    <x v="4"/>
    <x v="0"/>
    <s v="NSW"/>
    <s v="No gap agreement"/>
    <s v="More than 125% MBS Fee to 150% MBS Fee"/>
    <n v="0"/>
    <n v="0"/>
    <n v="0"/>
    <n v="0"/>
  </r>
  <r>
    <x v="4"/>
    <x v="0"/>
    <s v="NSW"/>
    <s v="No gap agreement"/>
    <s v="More than 150% MBS Fee to 200% MBS Fee"/>
    <n v="0"/>
    <n v="0"/>
    <n v="0"/>
    <n v="0"/>
  </r>
  <r>
    <x v="4"/>
    <x v="0"/>
    <s v="NSW"/>
    <s v="No gap agreement"/>
    <s v="More than 200% MBS Fee"/>
    <n v="0"/>
    <n v="0"/>
    <n v="0"/>
    <n v="0"/>
  </r>
  <r>
    <x v="4"/>
    <x v="0"/>
    <s v="NSW"/>
    <s v="No gap agreement"/>
    <s v="Up to MBS Fee"/>
    <n v="0"/>
    <n v="0"/>
    <n v="0"/>
    <n v="0"/>
  </r>
  <r>
    <x v="4"/>
    <x v="0"/>
    <s v="NT"/>
    <s v="Known gap agreement"/>
    <s v="100% MBS Fee to 125% MBS Fee"/>
    <n v="0"/>
    <n v="0"/>
    <n v="0"/>
    <n v="0"/>
  </r>
  <r>
    <x v="4"/>
    <x v="0"/>
    <s v="NT"/>
    <s v="Known gap agreement"/>
    <s v="More than 125% MBS Fee to 150% MBS Fee"/>
    <n v="0"/>
    <n v="0"/>
    <n v="0"/>
    <n v="0"/>
  </r>
  <r>
    <x v="4"/>
    <x v="0"/>
    <s v="NT"/>
    <s v="Known gap agreement"/>
    <s v="More than 150% MBS Fee to 200% MBS Fee"/>
    <n v="0"/>
    <n v="0"/>
    <n v="0"/>
    <n v="0"/>
  </r>
  <r>
    <x v="4"/>
    <x v="0"/>
    <s v="NT"/>
    <s v="Known gap agreement"/>
    <s v="More than 200% MBS Fee"/>
    <n v="0"/>
    <n v="0"/>
    <n v="0"/>
    <n v="0"/>
  </r>
  <r>
    <x v="4"/>
    <x v="0"/>
    <s v="NT"/>
    <s v="No agreement"/>
    <s v="100% MBS Fee to 125% MBS Fee"/>
    <n v="0"/>
    <n v="0"/>
    <n v="0"/>
    <n v="0"/>
  </r>
  <r>
    <x v="4"/>
    <x v="0"/>
    <s v="NT"/>
    <s v="No agreement"/>
    <s v="More than 125% MBS Fee to 150% MBS Fee"/>
    <n v="0"/>
    <n v="0"/>
    <n v="0"/>
    <n v="0"/>
  </r>
  <r>
    <x v="4"/>
    <x v="0"/>
    <s v="NT"/>
    <s v="No agreement"/>
    <s v="More than 150% MBS Fee to 200% MBS Fee"/>
    <n v="0"/>
    <n v="0"/>
    <n v="0"/>
    <n v="0"/>
  </r>
  <r>
    <x v="4"/>
    <x v="0"/>
    <s v="NT"/>
    <s v="No agreement"/>
    <s v="More than 200% MBS Fee"/>
    <n v="0"/>
    <n v="0"/>
    <n v="0"/>
    <n v="0"/>
  </r>
  <r>
    <x v="4"/>
    <x v="0"/>
    <s v="NT"/>
    <s v="No agreement"/>
    <s v="Up to MBS Fee"/>
    <n v="0"/>
    <n v="0"/>
    <n v="0"/>
    <n v="0"/>
  </r>
  <r>
    <x v="4"/>
    <x v="0"/>
    <s v="NT"/>
    <s v="No gap agreement"/>
    <s v="100% MBS Fee to 125% MBS Fee"/>
    <n v="0"/>
    <n v="0"/>
    <n v="0"/>
    <n v="0"/>
  </r>
  <r>
    <x v="4"/>
    <x v="0"/>
    <s v="NT"/>
    <s v="No gap agreement"/>
    <s v="More than 125% MBS Fee to 150% MBS Fee"/>
    <n v="0"/>
    <n v="0"/>
    <n v="0"/>
    <n v="0"/>
  </r>
  <r>
    <x v="4"/>
    <x v="0"/>
    <s v="NT"/>
    <s v="No gap agreement"/>
    <s v="More than 150% MBS Fee to 200% MBS Fee"/>
    <n v="0"/>
    <n v="0"/>
    <n v="0"/>
    <n v="0"/>
  </r>
  <r>
    <x v="4"/>
    <x v="0"/>
    <s v="NT"/>
    <s v="No gap agreement"/>
    <s v="More than 200% MBS Fee"/>
    <n v="0"/>
    <n v="0"/>
    <n v="0"/>
    <n v="0"/>
  </r>
  <r>
    <x v="4"/>
    <x v="0"/>
    <s v="NT"/>
    <s v="No gap agreement"/>
    <s v="Up to MBS Fee"/>
    <n v="0"/>
    <n v="0"/>
    <n v="0"/>
    <n v="0"/>
  </r>
  <r>
    <x v="4"/>
    <x v="0"/>
    <s v="QLD"/>
    <s v="Known gap agreement"/>
    <s v="100% MBS Fee to 125% MBS Fee"/>
    <n v="0"/>
    <n v="0"/>
    <n v="0"/>
    <n v="0"/>
  </r>
  <r>
    <x v="4"/>
    <x v="0"/>
    <s v="QLD"/>
    <s v="Known gap agreement"/>
    <s v="More than 125% MBS Fee to 150% MBS Fee"/>
    <n v="0"/>
    <n v="0"/>
    <n v="0"/>
    <n v="0"/>
  </r>
  <r>
    <x v="4"/>
    <x v="0"/>
    <s v="QLD"/>
    <s v="Known gap agreement"/>
    <s v="More than 150% MBS Fee to 200% MBS Fee"/>
    <n v="0"/>
    <n v="0"/>
    <n v="0"/>
    <n v="0"/>
  </r>
  <r>
    <x v="4"/>
    <x v="0"/>
    <s v="QLD"/>
    <s v="Known gap agreement"/>
    <s v="More than 200% MBS Fee"/>
    <n v="0"/>
    <n v="0"/>
    <n v="0"/>
    <n v="0"/>
  </r>
  <r>
    <x v="4"/>
    <x v="0"/>
    <s v="QLD"/>
    <s v="No agreement"/>
    <s v="100% MBS Fee to 125% MBS Fee"/>
    <n v="0"/>
    <n v="0"/>
    <n v="0"/>
    <n v="0"/>
  </r>
  <r>
    <x v="4"/>
    <x v="0"/>
    <s v="QLD"/>
    <s v="No agreement"/>
    <s v="More than 125% MBS Fee to 150% MBS Fee"/>
    <n v="0"/>
    <n v="0"/>
    <n v="0"/>
    <n v="0"/>
  </r>
  <r>
    <x v="4"/>
    <x v="0"/>
    <s v="QLD"/>
    <s v="No agreement"/>
    <s v="More than 150% MBS Fee to 200% MBS Fee"/>
    <n v="0"/>
    <n v="0"/>
    <n v="0"/>
    <n v="0"/>
  </r>
  <r>
    <x v="4"/>
    <x v="0"/>
    <s v="QLD"/>
    <s v="No agreement"/>
    <s v="More than 200% MBS Fee"/>
    <n v="0"/>
    <n v="0"/>
    <n v="0"/>
    <n v="0"/>
  </r>
  <r>
    <x v="4"/>
    <x v="0"/>
    <s v="QLD"/>
    <s v="No agreement"/>
    <s v="Up to MBS Fee"/>
    <n v="0"/>
    <n v="0"/>
    <n v="0"/>
    <n v="0"/>
  </r>
  <r>
    <x v="4"/>
    <x v="0"/>
    <s v="QLD"/>
    <s v="No gap agreement"/>
    <s v="100% MBS Fee to 125% MBS Fee"/>
    <n v="0"/>
    <n v="0"/>
    <n v="0"/>
    <n v="0"/>
  </r>
  <r>
    <x v="4"/>
    <x v="0"/>
    <s v="QLD"/>
    <s v="No gap agreement"/>
    <s v="More than 125% MBS Fee to 150% MBS Fee"/>
    <n v="0"/>
    <n v="0"/>
    <n v="0"/>
    <n v="0"/>
  </r>
  <r>
    <x v="4"/>
    <x v="0"/>
    <s v="QLD"/>
    <s v="No gap agreement"/>
    <s v="More than 150% MBS Fee to 200% MBS Fee"/>
    <n v="0"/>
    <n v="0"/>
    <n v="0"/>
    <n v="0"/>
  </r>
  <r>
    <x v="4"/>
    <x v="0"/>
    <s v="QLD"/>
    <s v="No gap agreement"/>
    <s v="More than 200% MBS Fee"/>
    <n v="0"/>
    <n v="0"/>
    <n v="0"/>
    <n v="0"/>
  </r>
  <r>
    <x v="4"/>
    <x v="0"/>
    <s v="QLD"/>
    <s v="No gap agreement"/>
    <s v="Up to MBS Fee"/>
    <n v="0"/>
    <n v="0"/>
    <n v="0"/>
    <n v="0"/>
  </r>
  <r>
    <x v="4"/>
    <x v="0"/>
    <s v="SA"/>
    <s v="Known gap agreement"/>
    <s v="100% MBS Fee to 125% MBS Fee"/>
    <n v="0"/>
    <n v="0"/>
    <n v="0"/>
    <n v="0"/>
  </r>
  <r>
    <x v="4"/>
    <x v="0"/>
    <s v="SA"/>
    <s v="Known gap agreement"/>
    <s v="More than 125% MBS Fee to 150% MBS Fee"/>
    <n v="0"/>
    <n v="0"/>
    <n v="0"/>
    <n v="0"/>
  </r>
  <r>
    <x v="4"/>
    <x v="0"/>
    <s v="SA"/>
    <s v="Known gap agreement"/>
    <s v="More than 150% MBS Fee to 200% MBS Fee"/>
    <n v="0"/>
    <n v="0"/>
    <n v="0"/>
    <n v="0"/>
  </r>
  <r>
    <x v="4"/>
    <x v="0"/>
    <s v="SA"/>
    <s v="Known gap agreement"/>
    <s v="More than 200% MBS Fee"/>
    <n v="0"/>
    <n v="0"/>
    <n v="0"/>
    <n v="0"/>
  </r>
  <r>
    <x v="4"/>
    <x v="0"/>
    <s v="SA"/>
    <s v="No agreement"/>
    <s v="100% MBS Fee to 125% MBS Fee"/>
    <n v="0"/>
    <n v="0"/>
    <n v="0"/>
    <n v="0"/>
  </r>
  <r>
    <x v="4"/>
    <x v="0"/>
    <s v="SA"/>
    <s v="No agreement"/>
    <s v="More than 125% MBS Fee to 150% MBS Fee"/>
    <n v="0"/>
    <n v="0"/>
    <n v="0"/>
    <n v="0"/>
  </r>
  <r>
    <x v="4"/>
    <x v="0"/>
    <s v="SA"/>
    <s v="No agreement"/>
    <s v="More than 150% MBS Fee to 200% MBS Fee"/>
    <n v="0"/>
    <n v="0"/>
    <n v="0"/>
    <n v="0"/>
  </r>
  <r>
    <x v="4"/>
    <x v="0"/>
    <s v="SA"/>
    <s v="No agreement"/>
    <s v="More than 200% MBS Fee"/>
    <n v="0"/>
    <n v="0"/>
    <n v="0"/>
    <n v="0"/>
  </r>
  <r>
    <x v="4"/>
    <x v="0"/>
    <s v="SA"/>
    <s v="No agreement"/>
    <s v="Up to MBS Fee"/>
    <n v="0"/>
    <n v="0"/>
    <n v="0"/>
    <n v="0"/>
  </r>
  <r>
    <x v="4"/>
    <x v="0"/>
    <s v="SA"/>
    <s v="No gap agreement"/>
    <s v="100% MBS Fee to 125% MBS Fee"/>
    <n v="0"/>
    <n v="0"/>
    <n v="0"/>
    <n v="0"/>
  </r>
  <r>
    <x v="4"/>
    <x v="0"/>
    <s v="SA"/>
    <s v="No gap agreement"/>
    <s v="More than 125% MBS Fee to 150% MBS Fee"/>
    <n v="0"/>
    <n v="0"/>
    <n v="0"/>
    <n v="0"/>
  </r>
  <r>
    <x v="4"/>
    <x v="0"/>
    <s v="SA"/>
    <s v="No gap agreement"/>
    <s v="More than 150% MBS Fee to 200% MBS Fee"/>
    <n v="0"/>
    <n v="0"/>
    <n v="0"/>
    <n v="0"/>
  </r>
  <r>
    <x v="4"/>
    <x v="0"/>
    <s v="SA"/>
    <s v="No gap agreement"/>
    <s v="More than 200% MBS Fee"/>
    <n v="0"/>
    <n v="0"/>
    <n v="0"/>
    <n v="0"/>
  </r>
  <r>
    <x v="4"/>
    <x v="0"/>
    <s v="SA"/>
    <s v="No gap agreement"/>
    <s v="Up to MBS Fee"/>
    <n v="0"/>
    <n v="0"/>
    <n v="0"/>
    <n v="0"/>
  </r>
  <r>
    <x v="4"/>
    <x v="0"/>
    <s v="TAS"/>
    <s v="Known gap agreement"/>
    <s v="100% MBS Fee to 125% MBS Fee"/>
    <n v="0"/>
    <n v="0"/>
    <n v="0"/>
    <n v="0"/>
  </r>
  <r>
    <x v="4"/>
    <x v="0"/>
    <s v="TAS"/>
    <s v="Known gap agreement"/>
    <s v="More than 125% MBS Fee to 150% MBS Fee"/>
    <n v="0"/>
    <n v="0"/>
    <n v="0"/>
    <n v="0"/>
  </r>
  <r>
    <x v="4"/>
    <x v="0"/>
    <s v="TAS"/>
    <s v="Known gap agreement"/>
    <s v="More than 150% MBS Fee to 200% MBS Fee"/>
    <n v="0"/>
    <n v="0"/>
    <n v="0"/>
    <n v="0"/>
  </r>
  <r>
    <x v="4"/>
    <x v="0"/>
    <s v="TAS"/>
    <s v="Known gap agreement"/>
    <s v="More than 200% MBS Fee"/>
    <n v="0"/>
    <n v="0"/>
    <n v="0"/>
    <n v="0"/>
  </r>
  <r>
    <x v="4"/>
    <x v="0"/>
    <s v="TAS"/>
    <s v="No agreement"/>
    <s v="100% MBS Fee to 125% MBS Fee"/>
    <n v="0"/>
    <n v="0"/>
    <n v="0"/>
    <n v="0"/>
  </r>
  <r>
    <x v="4"/>
    <x v="0"/>
    <s v="TAS"/>
    <s v="No agreement"/>
    <s v="More than 125% MBS Fee to 150% MBS Fee"/>
    <n v="0"/>
    <n v="0"/>
    <n v="0"/>
    <n v="0"/>
  </r>
  <r>
    <x v="4"/>
    <x v="0"/>
    <s v="TAS"/>
    <s v="No agreement"/>
    <s v="More than 150% MBS Fee to 200% MBS Fee"/>
    <n v="0"/>
    <n v="0"/>
    <n v="0"/>
    <n v="0"/>
  </r>
  <r>
    <x v="4"/>
    <x v="0"/>
    <s v="TAS"/>
    <s v="No agreement"/>
    <s v="More than 200% MBS Fee"/>
    <n v="0"/>
    <n v="0"/>
    <n v="0"/>
    <n v="0"/>
  </r>
  <r>
    <x v="4"/>
    <x v="0"/>
    <s v="TAS"/>
    <s v="No agreement"/>
    <s v="Up to MBS Fee"/>
    <n v="0"/>
    <n v="0"/>
    <n v="0"/>
    <n v="0"/>
  </r>
  <r>
    <x v="4"/>
    <x v="0"/>
    <s v="TAS"/>
    <s v="No gap agreement"/>
    <s v="100% MBS Fee to 125% MBS Fee"/>
    <n v="0"/>
    <n v="0"/>
    <n v="0"/>
    <n v="0"/>
  </r>
  <r>
    <x v="4"/>
    <x v="0"/>
    <s v="TAS"/>
    <s v="No gap agreement"/>
    <s v="More than 125% MBS Fee to 150% MBS Fee"/>
    <n v="0"/>
    <n v="0"/>
    <n v="0"/>
    <n v="0"/>
  </r>
  <r>
    <x v="4"/>
    <x v="0"/>
    <s v="TAS"/>
    <s v="No gap agreement"/>
    <s v="More than 150% MBS Fee to 200% MBS Fee"/>
    <n v="0"/>
    <n v="0"/>
    <n v="0"/>
    <n v="0"/>
  </r>
  <r>
    <x v="4"/>
    <x v="0"/>
    <s v="TAS"/>
    <s v="No gap agreement"/>
    <s v="More than 200% MBS Fee"/>
    <n v="0"/>
    <n v="0"/>
    <n v="0"/>
    <n v="0"/>
  </r>
  <r>
    <x v="4"/>
    <x v="0"/>
    <s v="TAS"/>
    <s v="No gap agreement"/>
    <s v="Up to MBS Fee"/>
    <n v="0"/>
    <n v="0"/>
    <n v="0"/>
    <n v="0"/>
  </r>
  <r>
    <x v="4"/>
    <x v="0"/>
    <s v="VIC"/>
    <s v="Known gap agreement"/>
    <s v="100% MBS Fee to 125% MBS Fee"/>
    <n v="0"/>
    <n v="0"/>
    <n v="0"/>
    <n v="0"/>
  </r>
  <r>
    <x v="4"/>
    <x v="0"/>
    <s v="VIC"/>
    <s v="Known gap agreement"/>
    <s v="More than 125% MBS Fee to 150% MBS Fee"/>
    <n v="0"/>
    <n v="0"/>
    <n v="0"/>
    <n v="0"/>
  </r>
  <r>
    <x v="4"/>
    <x v="0"/>
    <s v="VIC"/>
    <s v="Known gap agreement"/>
    <s v="More than 150% MBS Fee to 200% MBS Fee"/>
    <n v="0"/>
    <n v="0"/>
    <n v="0"/>
    <n v="0"/>
  </r>
  <r>
    <x v="4"/>
    <x v="0"/>
    <s v="VIC"/>
    <s v="Known gap agreement"/>
    <s v="More than 200% MBS Fee"/>
    <n v="0"/>
    <n v="0"/>
    <n v="0"/>
    <n v="0"/>
  </r>
  <r>
    <x v="4"/>
    <x v="0"/>
    <s v="VIC"/>
    <s v="No agreement"/>
    <s v="100% MBS Fee to 125% MBS Fee"/>
    <n v="0"/>
    <n v="0"/>
    <n v="0"/>
    <n v="0"/>
  </r>
  <r>
    <x v="4"/>
    <x v="0"/>
    <s v="VIC"/>
    <s v="No agreement"/>
    <s v="More than 125% MBS Fee to 150% MBS Fee"/>
    <n v="0"/>
    <n v="0"/>
    <n v="0"/>
    <n v="0"/>
  </r>
  <r>
    <x v="4"/>
    <x v="0"/>
    <s v="VIC"/>
    <s v="No agreement"/>
    <s v="More than 150% MBS Fee to 200% MBS Fee"/>
    <n v="0"/>
    <n v="0"/>
    <n v="0"/>
    <n v="0"/>
  </r>
  <r>
    <x v="4"/>
    <x v="0"/>
    <s v="VIC"/>
    <s v="No agreement"/>
    <s v="More than 200% MBS Fee"/>
    <n v="0"/>
    <n v="0"/>
    <n v="0"/>
    <n v="0"/>
  </r>
  <r>
    <x v="4"/>
    <x v="0"/>
    <s v="VIC"/>
    <s v="No agreement"/>
    <s v="Up to MBS Fee"/>
    <n v="0"/>
    <n v="0"/>
    <n v="0"/>
    <n v="0"/>
  </r>
  <r>
    <x v="4"/>
    <x v="0"/>
    <s v="VIC"/>
    <s v="No gap agreement"/>
    <s v="100% MBS Fee to 125% MBS Fee"/>
    <n v="0"/>
    <n v="0"/>
    <n v="0"/>
    <n v="0"/>
  </r>
  <r>
    <x v="4"/>
    <x v="0"/>
    <s v="VIC"/>
    <s v="No gap agreement"/>
    <s v="More than 125% MBS Fee to 150% MBS Fee"/>
    <n v="0"/>
    <n v="0"/>
    <n v="0"/>
    <n v="0"/>
  </r>
  <r>
    <x v="4"/>
    <x v="0"/>
    <s v="VIC"/>
    <s v="No gap agreement"/>
    <s v="More than 150% MBS Fee to 200% MBS Fee"/>
    <n v="0"/>
    <n v="0"/>
    <n v="0"/>
    <n v="0"/>
  </r>
  <r>
    <x v="4"/>
    <x v="0"/>
    <s v="VIC"/>
    <s v="No gap agreement"/>
    <s v="More than 200% MBS Fee"/>
    <n v="0"/>
    <n v="0"/>
    <n v="0"/>
    <n v="0"/>
  </r>
  <r>
    <x v="4"/>
    <x v="0"/>
    <s v="VIC"/>
    <s v="No gap agreement"/>
    <s v="Up to MBS Fee"/>
    <n v="0"/>
    <n v="0"/>
    <n v="0"/>
    <n v="0"/>
  </r>
  <r>
    <x v="4"/>
    <x v="0"/>
    <s v="WA"/>
    <s v="Known gap agreement"/>
    <s v="100% MBS Fee to 125% MBS Fee"/>
    <n v="0"/>
    <n v="0"/>
    <n v="0"/>
    <n v="0"/>
  </r>
  <r>
    <x v="4"/>
    <x v="0"/>
    <s v="WA"/>
    <s v="Known gap agreement"/>
    <s v="More than 125% MBS Fee to 150% MBS Fee"/>
    <n v="0"/>
    <n v="0"/>
    <n v="0"/>
    <n v="0"/>
  </r>
  <r>
    <x v="4"/>
    <x v="0"/>
    <s v="WA"/>
    <s v="Known gap agreement"/>
    <s v="More than 150% MBS Fee to 200% MBS Fee"/>
    <n v="0"/>
    <n v="0"/>
    <n v="0"/>
    <n v="0"/>
  </r>
  <r>
    <x v="4"/>
    <x v="0"/>
    <s v="WA"/>
    <s v="Known gap agreement"/>
    <s v="More than 200% MBS Fee"/>
    <n v="0"/>
    <n v="0"/>
    <n v="0"/>
    <n v="0"/>
  </r>
  <r>
    <x v="4"/>
    <x v="0"/>
    <s v="WA"/>
    <s v="No agreement"/>
    <s v="100% MBS Fee to 125% MBS Fee"/>
    <n v="0"/>
    <n v="0"/>
    <n v="0"/>
    <n v="0"/>
  </r>
  <r>
    <x v="4"/>
    <x v="0"/>
    <s v="WA"/>
    <s v="No agreement"/>
    <s v="More than 125% MBS Fee to 150% MBS Fee"/>
    <n v="0"/>
    <n v="0"/>
    <n v="0"/>
    <n v="0"/>
  </r>
  <r>
    <x v="4"/>
    <x v="0"/>
    <s v="WA"/>
    <s v="No agreement"/>
    <s v="More than 150% MBS Fee to 200% MBS Fee"/>
    <n v="0"/>
    <n v="0"/>
    <n v="0"/>
    <n v="0"/>
  </r>
  <r>
    <x v="4"/>
    <x v="0"/>
    <s v="WA"/>
    <s v="No agreement"/>
    <s v="More than 200% MBS Fee"/>
    <n v="0"/>
    <n v="0"/>
    <n v="0"/>
    <n v="0"/>
  </r>
  <r>
    <x v="4"/>
    <x v="0"/>
    <s v="WA"/>
    <s v="No agreement"/>
    <s v="Up to MBS Fee"/>
    <n v="0"/>
    <n v="0"/>
    <n v="0"/>
    <n v="0"/>
  </r>
  <r>
    <x v="4"/>
    <x v="0"/>
    <s v="WA"/>
    <s v="No gap agreement"/>
    <s v="100% MBS Fee to 125% MBS Fee"/>
    <n v="0"/>
    <n v="0"/>
    <n v="0"/>
    <n v="0"/>
  </r>
  <r>
    <x v="4"/>
    <x v="0"/>
    <s v="WA"/>
    <s v="No gap agreement"/>
    <s v="More than 125% MBS Fee to 150% MBS Fee"/>
    <n v="0"/>
    <n v="0"/>
    <n v="0"/>
    <n v="0"/>
  </r>
  <r>
    <x v="4"/>
    <x v="0"/>
    <s v="WA"/>
    <s v="No gap agreement"/>
    <s v="More than 150% MBS Fee to 200% MBS Fee"/>
    <n v="0"/>
    <n v="0"/>
    <n v="0"/>
    <n v="0"/>
  </r>
  <r>
    <x v="4"/>
    <x v="0"/>
    <s v="WA"/>
    <s v="No gap agreement"/>
    <s v="More than 200% MBS Fee"/>
    <n v="0"/>
    <n v="0"/>
    <n v="0"/>
    <n v="0"/>
  </r>
  <r>
    <x v="4"/>
    <x v="0"/>
    <s v="WA"/>
    <s v="No gap agreement"/>
    <s v="Up to MBS Fee"/>
    <n v="0"/>
    <n v="0"/>
    <n v="0"/>
    <n v="0"/>
  </r>
  <r>
    <x v="4"/>
    <x v="2"/>
    <s v="ACT"/>
    <s v="Known gap agreement"/>
    <s v="100% MBS Fee to 125% MBS Fee"/>
    <n v="0"/>
    <n v="0"/>
    <n v="0"/>
    <n v="0"/>
  </r>
  <r>
    <x v="4"/>
    <x v="2"/>
    <s v="ACT"/>
    <s v="Known gap agreement"/>
    <s v="More than 125% MBS Fee to 150% MBS Fee"/>
    <n v="0"/>
    <n v="0"/>
    <n v="0"/>
    <n v="0"/>
  </r>
  <r>
    <x v="4"/>
    <x v="2"/>
    <s v="ACT"/>
    <s v="Known gap agreement"/>
    <s v="More than 150% MBS Fee to 200% MBS Fee"/>
    <n v="0"/>
    <n v="0"/>
    <n v="0"/>
    <n v="0"/>
  </r>
  <r>
    <x v="4"/>
    <x v="2"/>
    <s v="ACT"/>
    <s v="Known gap agreement"/>
    <s v="More than 200% MBS Fee"/>
    <n v="0"/>
    <n v="0"/>
    <n v="0"/>
    <n v="0"/>
  </r>
  <r>
    <x v="4"/>
    <x v="2"/>
    <s v="ACT"/>
    <s v="No agreement"/>
    <s v="100% MBS Fee to 125% MBS Fee"/>
    <n v="0"/>
    <n v="0"/>
    <n v="0"/>
    <n v="0"/>
  </r>
  <r>
    <x v="4"/>
    <x v="2"/>
    <s v="ACT"/>
    <s v="No agreement"/>
    <s v="More than 125% MBS Fee to 150% MBS Fee"/>
    <n v="0"/>
    <n v="0"/>
    <n v="0"/>
    <n v="0"/>
  </r>
  <r>
    <x v="4"/>
    <x v="2"/>
    <s v="ACT"/>
    <s v="No agreement"/>
    <s v="More than 150% MBS Fee to 200% MBS Fee"/>
    <n v="0"/>
    <n v="0"/>
    <n v="0"/>
    <n v="0"/>
  </r>
  <r>
    <x v="4"/>
    <x v="2"/>
    <s v="ACT"/>
    <s v="No agreement"/>
    <s v="More than 200% MBS Fee"/>
    <n v="0"/>
    <n v="0"/>
    <n v="0"/>
    <n v="0"/>
  </r>
  <r>
    <x v="4"/>
    <x v="2"/>
    <s v="ACT"/>
    <s v="No agreement"/>
    <s v="Up to MBS Fee"/>
    <n v="0"/>
    <n v="0"/>
    <n v="0"/>
    <n v="0"/>
  </r>
  <r>
    <x v="4"/>
    <x v="2"/>
    <s v="ACT"/>
    <s v="No gap agreement"/>
    <s v="100% MBS Fee to 125% MBS Fee"/>
    <n v="0"/>
    <n v="0"/>
    <n v="0"/>
    <n v="0"/>
  </r>
  <r>
    <x v="4"/>
    <x v="2"/>
    <s v="ACT"/>
    <s v="No gap agreement"/>
    <s v="More than 125% MBS Fee to 150% MBS Fee"/>
    <n v="0"/>
    <n v="0"/>
    <n v="0"/>
    <n v="0"/>
  </r>
  <r>
    <x v="4"/>
    <x v="2"/>
    <s v="ACT"/>
    <s v="No gap agreement"/>
    <s v="More than 150% MBS Fee to 200% MBS Fee"/>
    <n v="0"/>
    <n v="0"/>
    <n v="0"/>
    <n v="0"/>
  </r>
  <r>
    <x v="4"/>
    <x v="2"/>
    <s v="ACT"/>
    <s v="No gap agreement"/>
    <s v="More than 200% MBS Fee"/>
    <n v="0"/>
    <n v="0"/>
    <n v="0"/>
    <n v="0"/>
  </r>
  <r>
    <x v="4"/>
    <x v="2"/>
    <s v="ACT"/>
    <s v="No gap agreement"/>
    <s v="Up to MBS Fee"/>
    <n v="0"/>
    <n v="0"/>
    <n v="0"/>
    <n v="0"/>
  </r>
  <r>
    <x v="4"/>
    <x v="2"/>
    <s v="NSW"/>
    <s v="Known gap agreement"/>
    <s v="100% MBS Fee to 125% MBS Fee"/>
    <n v="0"/>
    <n v="0"/>
    <n v="0"/>
    <n v="0"/>
  </r>
  <r>
    <x v="4"/>
    <x v="2"/>
    <s v="NSW"/>
    <s v="Known gap agreement"/>
    <s v="More than 125% MBS Fee to 150% MBS Fee"/>
    <n v="0"/>
    <n v="0"/>
    <n v="0"/>
    <n v="0"/>
  </r>
  <r>
    <x v="4"/>
    <x v="2"/>
    <s v="NSW"/>
    <s v="Known gap agreement"/>
    <s v="More than 150% MBS Fee to 200% MBS Fee"/>
    <n v="0"/>
    <n v="0"/>
    <n v="0"/>
    <n v="0"/>
  </r>
  <r>
    <x v="4"/>
    <x v="2"/>
    <s v="NSW"/>
    <s v="Known gap agreement"/>
    <s v="More than 200% MBS Fee"/>
    <n v="0"/>
    <n v="0"/>
    <n v="0"/>
    <n v="0"/>
  </r>
  <r>
    <x v="4"/>
    <x v="2"/>
    <s v="NSW"/>
    <s v="No agreement"/>
    <s v="100% MBS Fee to 125% MBS Fee"/>
    <n v="0"/>
    <n v="0"/>
    <n v="0"/>
    <n v="0"/>
  </r>
  <r>
    <x v="4"/>
    <x v="2"/>
    <s v="NSW"/>
    <s v="No agreement"/>
    <s v="More than 125% MBS Fee to 150% MBS Fee"/>
    <n v="0"/>
    <n v="0"/>
    <n v="0"/>
    <n v="0"/>
  </r>
  <r>
    <x v="4"/>
    <x v="2"/>
    <s v="NSW"/>
    <s v="No agreement"/>
    <s v="More than 150% MBS Fee to 200% MBS Fee"/>
    <n v="0"/>
    <n v="0"/>
    <n v="0"/>
    <n v="0"/>
  </r>
  <r>
    <x v="4"/>
    <x v="2"/>
    <s v="NSW"/>
    <s v="No agreement"/>
    <s v="More than 200% MBS Fee"/>
    <n v="0"/>
    <n v="0"/>
    <n v="0"/>
    <n v="0"/>
  </r>
  <r>
    <x v="4"/>
    <x v="2"/>
    <s v="NSW"/>
    <s v="No agreement"/>
    <s v="Up to MBS Fee"/>
    <n v="0"/>
    <n v="0"/>
    <n v="0"/>
    <n v="0"/>
  </r>
  <r>
    <x v="4"/>
    <x v="2"/>
    <s v="NSW"/>
    <s v="No gap agreement"/>
    <s v="100% MBS Fee to 125% MBS Fee"/>
    <n v="0"/>
    <n v="0"/>
    <n v="0"/>
    <n v="0"/>
  </r>
  <r>
    <x v="4"/>
    <x v="2"/>
    <s v="NSW"/>
    <s v="No gap agreement"/>
    <s v="More than 125% MBS Fee to 150% MBS Fee"/>
    <n v="0"/>
    <n v="0"/>
    <n v="0"/>
    <n v="0"/>
  </r>
  <r>
    <x v="4"/>
    <x v="2"/>
    <s v="NSW"/>
    <s v="No gap agreement"/>
    <s v="More than 150% MBS Fee to 200% MBS Fee"/>
    <n v="0"/>
    <n v="0"/>
    <n v="0"/>
    <n v="0"/>
  </r>
  <r>
    <x v="4"/>
    <x v="2"/>
    <s v="NSW"/>
    <s v="No gap agreement"/>
    <s v="More than 200% MBS Fee"/>
    <n v="0"/>
    <n v="0"/>
    <n v="0"/>
    <n v="0"/>
  </r>
  <r>
    <x v="4"/>
    <x v="2"/>
    <s v="NSW"/>
    <s v="No gap agreement"/>
    <s v="Up to MBS Fee"/>
    <n v="0"/>
    <n v="0"/>
    <n v="0"/>
    <n v="0"/>
  </r>
  <r>
    <x v="4"/>
    <x v="2"/>
    <s v="NT"/>
    <s v="Known gap agreement"/>
    <s v="100% MBS Fee to 125% MBS Fee"/>
    <n v="0"/>
    <n v="0"/>
    <n v="0"/>
    <n v="0"/>
  </r>
  <r>
    <x v="4"/>
    <x v="2"/>
    <s v="NT"/>
    <s v="Known gap agreement"/>
    <s v="More than 125% MBS Fee to 150% MBS Fee"/>
    <n v="0"/>
    <n v="0"/>
    <n v="0"/>
    <n v="0"/>
  </r>
  <r>
    <x v="4"/>
    <x v="2"/>
    <s v="NT"/>
    <s v="Known gap agreement"/>
    <s v="More than 150% MBS Fee to 200% MBS Fee"/>
    <n v="0"/>
    <n v="0"/>
    <n v="0"/>
    <n v="0"/>
  </r>
  <r>
    <x v="4"/>
    <x v="2"/>
    <s v="NT"/>
    <s v="Known gap agreement"/>
    <s v="More than 200% MBS Fee"/>
    <n v="0"/>
    <n v="0"/>
    <n v="0"/>
    <n v="0"/>
  </r>
  <r>
    <x v="4"/>
    <x v="2"/>
    <s v="NT"/>
    <s v="No agreement"/>
    <s v="100% MBS Fee to 125% MBS Fee"/>
    <n v="0"/>
    <n v="0"/>
    <n v="0"/>
    <n v="0"/>
  </r>
  <r>
    <x v="4"/>
    <x v="2"/>
    <s v="NT"/>
    <s v="No agreement"/>
    <s v="More than 125% MBS Fee to 150% MBS Fee"/>
    <n v="0"/>
    <n v="0"/>
    <n v="0"/>
    <n v="0"/>
  </r>
  <r>
    <x v="4"/>
    <x v="2"/>
    <s v="NT"/>
    <s v="No agreement"/>
    <s v="More than 150% MBS Fee to 200% MBS Fee"/>
    <n v="0"/>
    <n v="0"/>
    <n v="0"/>
    <n v="0"/>
  </r>
  <r>
    <x v="4"/>
    <x v="2"/>
    <s v="NT"/>
    <s v="No agreement"/>
    <s v="More than 200% MBS Fee"/>
    <n v="0"/>
    <n v="0"/>
    <n v="0"/>
    <n v="0"/>
  </r>
  <r>
    <x v="4"/>
    <x v="2"/>
    <s v="NT"/>
    <s v="No agreement"/>
    <s v="Up to MBS Fee"/>
    <n v="0"/>
    <n v="0"/>
    <n v="0"/>
    <n v="0"/>
  </r>
  <r>
    <x v="4"/>
    <x v="2"/>
    <s v="NT"/>
    <s v="No gap agreement"/>
    <s v="100% MBS Fee to 125% MBS Fee"/>
    <n v="0"/>
    <n v="0"/>
    <n v="0"/>
    <n v="0"/>
  </r>
  <r>
    <x v="4"/>
    <x v="2"/>
    <s v="NT"/>
    <s v="No gap agreement"/>
    <s v="More than 125% MBS Fee to 150% MBS Fee"/>
    <n v="0"/>
    <n v="0"/>
    <n v="0"/>
    <n v="0"/>
  </r>
  <r>
    <x v="4"/>
    <x v="2"/>
    <s v="NT"/>
    <s v="No gap agreement"/>
    <s v="More than 150% MBS Fee to 200% MBS Fee"/>
    <n v="0"/>
    <n v="0"/>
    <n v="0"/>
    <n v="0"/>
  </r>
  <r>
    <x v="4"/>
    <x v="2"/>
    <s v="NT"/>
    <s v="No gap agreement"/>
    <s v="More than 200% MBS Fee"/>
    <n v="0"/>
    <n v="0"/>
    <n v="0"/>
    <n v="0"/>
  </r>
  <r>
    <x v="4"/>
    <x v="2"/>
    <s v="NT"/>
    <s v="No gap agreement"/>
    <s v="Up to MBS Fee"/>
    <n v="0"/>
    <n v="0"/>
    <n v="0"/>
    <n v="0"/>
  </r>
  <r>
    <x v="4"/>
    <x v="2"/>
    <s v="QLD"/>
    <s v="Known gap agreement"/>
    <s v="100% MBS Fee to 125% MBS Fee"/>
    <n v="0"/>
    <n v="0"/>
    <n v="0"/>
    <n v="0"/>
  </r>
  <r>
    <x v="4"/>
    <x v="2"/>
    <s v="QLD"/>
    <s v="Known gap agreement"/>
    <s v="More than 125% MBS Fee to 150% MBS Fee"/>
    <n v="0"/>
    <n v="0"/>
    <n v="0"/>
    <n v="0"/>
  </r>
  <r>
    <x v="4"/>
    <x v="2"/>
    <s v="QLD"/>
    <s v="Known gap agreement"/>
    <s v="More than 150% MBS Fee to 200% MBS Fee"/>
    <n v="0"/>
    <n v="0"/>
    <n v="0"/>
    <n v="0"/>
  </r>
  <r>
    <x v="4"/>
    <x v="2"/>
    <s v="QLD"/>
    <s v="Known gap agreement"/>
    <s v="More than 200% MBS Fee"/>
    <n v="0"/>
    <n v="0"/>
    <n v="0"/>
    <n v="0"/>
  </r>
  <r>
    <x v="4"/>
    <x v="2"/>
    <s v="QLD"/>
    <s v="No agreement"/>
    <s v="100% MBS Fee to 125% MBS Fee"/>
    <n v="0"/>
    <n v="0"/>
    <n v="0"/>
    <n v="0"/>
  </r>
  <r>
    <x v="4"/>
    <x v="2"/>
    <s v="QLD"/>
    <s v="No agreement"/>
    <s v="More than 125% MBS Fee to 150% MBS Fee"/>
    <n v="0"/>
    <n v="0"/>
    <n v="0"/>
    <n v="0"/>
  </r>
  <r>
    <x v="4"/>
    <x v="2"/>
    <s v="QLD"/>
    <s v="No agreement"/>
    <s v="More than 150% MBS Fee to 200% MBS Fee"/>
    <n v="0"/>
    <n v="0"/>
    <n v="0"/>
    <n v="0"/>
  </r>
  <r>
    <x v="4"/>
    <x v="2"/>
    <s v="QLD"/>
    <s v="No agreement"/>
    <s v="More than 200% MBS Fee"/>
    <n v="0"/>
    <n v="0"/>
    <n v="0"/>
    <n v="0"/>
  </r>
  <r>
    <x v="4"/>
    <x v="2"/>
    <s v="QLD"/>
    <s v="No agreement"/>
    <s v="Up to MBS Fee"/>
    <n v="0"/>
    <n v="0"/>
    <n v="0"/>
    <n v="0"/>
  </r>
  <r>
    <x v="4"/>
    <x v="2"/>
    <s v="QLD"/>
    <s v="No gap agreement"/>
    <s v="100% MBS Fee to 125% MBS Fee"/>
    <n v="0"/>
    <n v="0"/>
    <n v="0"/>
    <n v="0"/>
  </r>
  <r>
    <x v="4"/>
    <x v="2"/>
    <s v="QLD"/>
    <s v="No gap agreement"/>
    <s v="More than 125% MBS Fee to 150% MBS Fee"/>
    <n v="0"/>
    <n v="0"/>
    <n v="0"/>
    <n v="0"/>
  </r>
  <r>
    <x v="4"/>
    <x v="2"/>
    <s v="QLD"/>
    <s v="No gap agreement"/>
    <s v="More than 150% MBS Fee to 200% MBS Fee"/>
    <n v="0"/>
    <n v="0"/>
    <n v="0"/>
    <n v="0"/>
  </r>
  <r>
    <x v="4"/>
    <x v="2"/>
    <s v="QLD"/>
    <s v="No gap agreement"/>
    <s v="More than 200% MBS Fee"/>
    <n v="0"/>
    <n v="0"/>
    <n v="0"/>
    <n v="0"/>
  </r>
  <r>
    <x v="4"/>
    <x v="2"/>
    <s v="QLD"/>
    <s v="No gap agreement"/>
    <s v="Up to MBS Fee"/>
    <n v="0"/>
    <n v="0"/>
    <n v="0"/>
    <n v="0"/>
  </r>
  <r>
    <x v="4"/>
    <x v="2"/>
    <s v="SA"/>
    <s v="Known gap agreement"/>
    <s v="100% MBS Fee to 125% MBS Fee"/>
    <n v="0"/>
    <n v="0"/>
    <n v="0"/>
    <n v="0"/>
  </r>
  <r>
    <x v="4"/>
    <x v="2"/>
    <s v="SA"/>
    <s v="Known gap agreement"/>
    <s v="More than 125% MBS Fee to 150% MBS Fee"/>
    <n v="0"/>
    <n v="0"/>
    <n v="0"/>
    <n v="0"/>
  </r>
  <r>
    <x v="4"/>
    <x v="2"/>
    <s v="SA"/>
    <s v="Known gap agreement"/>
    <s v="More than 150% MBS Fee to 200% MBS Fee"/>
    <n v="0"/>
    <n v="0"/>
    <n v="0"/>
    <n v="0"/>
  </r>
  <r>
    <x v="4"/>
    <x v="2"/>
    <s v="SA"/>
    <s v="Known gap agreement"/>
    <s v="More than 200% MBS Fee"/>
    <n v="0"/>
    <n v="0"/>
    <n v="0"/>
    <n v="0"/>
  </r>
  <r>
    <x v="4"/>
    <x v="2"/>
    <s v="SA"/>
    <s v="No agreement"/>
    <s v="100% MBS Fee to 125% MBS Fee"/>
    <n v="0"/>
    <n v="0"/>
    <n v="0"/>
    <n v="0"/>
  </r>
  <r>
    <x v="4"/>
    <x v="2"/>
    <s v="SA"/>
    <s v="No agreement"/>
    <s v="More than 125% MBS Fee to 150% MBS Fee"/>
    <n v="0"/>
    <n v="0"/>
    <n v="0"/>
    <n v="0"/>
  </r>
  <r>
    <x v="4"/>
    <x v="2"/>
    <s v="SA"/>
    <s v="No agreement"/>
    <s v="More than 150% MBS Fee to 200% MBS Fee"/>
    <n v="0"/>
    <n v="0"/>
    <n v="0"/>
    <n v="0"/>
  </r>
  <r>
    <x v="4"/>
    <x v="2"/>
    <s v="SA"/>
    <s v="No agreement"/>
    <s v="More than 200% MBS Fee"/>
    <n v="0"/>
    <n v="0"/>
    <n v="0"/>
    <n v="0"/>
  </r>
  <r>
    <x v="4"/>
    <x v="2"/>
    <s v="SA"/>
    <s v="No agreement"/>
    <s v="Up to MBS Fee"/>
    <n v="0"/>
    <n v="0"/>
    <n v="0"/>
    <n v="0"/>
  </r>
  <r>
    <x v="4"/>
    <x v="2"/>
    <s v="SA"/>
    <s v="No gap agreement"/>
    <s v="100% MBS Fee to 125% MBS Fee"/>
    <n v="0"/>
    <n v="0"/>
    <n v="0"/>
    <n v="0"/>
  </r>
  <r>
    <x v="4"/>
    <x v="2"/>
    <s v="SA"/>
    <s v="No gap agreement"/>
    <s v="More than 125% MBS Fee to 150% MBS Fee"/>
    <n v="0"/>
    <n v="0"/>
    <n v="0"/>
    <n v="0"/>
  </r>
  <r>
    <x v="4"/>
    <x v="2"/>
    <s v="SA"/>
    <s v="No gap agreement"/>
    <s v="More than 150% MBS Fee to 200% MBS Fee"/>
    <n v="0"/>
    <n v="0"/>
    <n v="0"/>
    <n v="0"/>
  </r>
  <r>
    <x v="4"/>
    <x v="2"/>
    <s v="SA"/>
    <s v="No gap agreement"/>
    <s v="More than 200% MBS Fee"/>
    <n v="0"/>
    <n v="0"/>
    <n v="0"/>
    <n v="0"/>
  </r>
  <r>
    <x v="4"/>
    <x v="2"/>
    <s v="SA"/>
    <s v="No gap agreement"/>
    <s v="Up to MBS Fee"/>
    <n v="0"/>
    <n v="0"/>
    <n v="0"/>
    <n v="0"/>
  </r>
  <r>
    <x v="4"/>
    <x v="2"/>
    <s v="TAS"/>
    <s v="Known gap agreement"/>
    <s v="100% MBS Fee to 125% MBS Fee"/>
    <n v="0"/>
    <n v="0"/>
    <n v="0"/>
    <n v="0"/>
  </r>
  <r>
    <x v="4"/>
    <x v="2"/>
    <s v="TAS"/>
    <s v="Known gap agreement"/>
    <s v="More than 125% MBS Fee to 150% MBS Fee"/>
    <n v="0"/>
    <n v="0"/>
    <n v="0"/>
    <n v="0"/>
  </r>
  <r>
    <x v="4"/>
    <x v="2"/>
    <s v="TAS"/>
    <s v="Known gap agreement"/>
    <s v="More than 150% MBS Fee to 200% MBS Fee"/>
    <n v="0"/>
    <n v="0"/>
    <n v="0"/>
    <n v="0"/>
  </r>
  <r>
    <x v="4"/>
    <x v="2"/>
    <s v="TAS"/>
    <s v="Known gap agreement"/>
    <s v="More than 200% MBS Fee"/>
    <n v="0"/>
    <n v="0"/>
    <n v="0"/>
    <n v="0"/>
  </r>
  <r>
    <x v="4"/>
    <x v="2"/>
    <s v="TAS"/>
    <s v="No agreement"/>
    <s v="100% MBS Fee to 125% MBS Fee"/>
    <n v="0"/>
    <n v="0"/>
    <n v="0"/>
    <n v="0"/>
  </r>
  <r>
    <x v="4"/>
    <x v="2"/>
    <s v="TAS"/>
    <s v="No agreement"/>
    <s v="More than 125% MBS Fee to 150% MBS Fee"/>
    <n v="0"/>
    <n v="0"/>
    <n v="0"/>
    <n v="0"/>
  </r>
  <r>
    <x v="4"/>
    <x v="2"/>
    <s v="TAS"/>
    <s v="No agreement"/>
    <s v="More than 150% MBS Fee to 200% MBS Fee"/>
    <n v="0"/>
    <n v="0"/>
    <n v="0"/>
    <n v="0"/>
  </r>
  <r>
    <x v="4"/>
    <x v="2"/>
    <s v="TAS"/>
    <s v="No agreement"/>
    <s v="More than 200% MBS Fee"/>
    <n v="0"/>
    <n v="0"/>
    <n v="0"/>
    <n v="0"/>
  </r>
  <r>
    <x v="4"/>
    <x v="2"/>
    <s v="TAS"/>
    <s v="No agreement"/>
    <s v="Up to MBS Fee"/>
    <n v="0"/>
    <n v="0"/>
    <n v="0"/>
    <n v="0"/>
  </r>
  <r>
    <x v="4"/>
    <x v="2"/>
    <s v="TAS"/>
    <s v="No gap agreement"/>
    <s v="100% MBS Fee to 125% MBS Fee"/>
    <n v="0"/>
    <n v="0"/>
    <n v="0"/>
    <n v="0"/>
  </r>
  <r>
    <x v="4"/>
    <x v="2"/>
    <s v="TAS"/>
    <s v="No gap agreement"/>
    <s v="More than 125% MBS Fee to 150% MBS Fee"/>
    <n v="0"/>
    <n v="0"/>
    <n v="0"/>
    <n v="0"/>
  </r>
  <r>
    <x v="4"/>
    <x v="2"/>
    <s v="TAS"/>
    <s v="No gap agreement"/>
    <s v="More than 150% MBS Fee to 200% MBS Fee"/>
    <n v="0"/>
    <n v="0"/>
    <n v="0"/>
    <n v="0"/>
  </r>
  <r>
    <x v="4"/>
    <x v="2"/>
    <s v="TAS"/>
    <s v="No gap agreement"/>
    <s v="More than 200% MBS Fee"/>
    <n v="0"/>
    <n v="0"/>
    <n v="0"/>
    <n v="0"/>
  </r>
  <r>
    <x v="4"/>
    <x v="2"/>
    <s v="TAS"/>
    <s v="No gap agreement"/>
    <s v="Up to MBS Fee"/>
    <n v="0"/>
    <n v="0"/>
    <n v="0"/>
    <n v="0"/>
  </r>
  <r>
    <x v="4"/>
    <x v="2"/>
    <s v="VIC"/>
    <s v="Known gap agreement"/>
    <s v="100% MBS Fee to 125% MBS Fee"/>
    <n v="0"/>
    <n v="0"/>
    <n v="0"/>
    <n v="0"/>
  </r>
  <r>
    <x v="4"/>
    <x v="2"/>
    <s v="VIC"/>
    <s v="Known gap agreement"/>
    <s v="More than 125% MBS Fee to 150% MBS Fee"/>
    <n v="0"/>
    <n v="0"/>
    <n v="0"/>
    <n v="0"/>
  </r>
  <r>
    <x v="4"/>
    <x v="2"/>
    <s v="VIC"/>
    <s v="Known gap agreement"/>
    <s v="More than 150% MBS Fee to 200% MBS Fee"/>
    <n v="0"/>
    <n v="0"/>
    <n v="0"/>
    <n v="0"/>
  </r>
  <r>
    <x v="4"/>
    <x v="2"/>
    <s v="VIC"/>
    <s v="Known gap agreement"/>
    <s v="More than 200% MBS Fee"/>
    <n v="0"/>
    <n v="0"/>
    <n v="0"/>
    <n v="0"/>
  </r>
  <r>
    <x v="4"/>
    <x v="2"/>
    <s v="VIC"/>
    <s v="No agreement"/>
    <s v="100% MBS Fee to 125% MBS Fee"/>
    <n v="0"/>
    <n v="0"/>
    <n v="0"/>
    <n v="0"/>
  </r>
  <r>
    <x v="4"/>
    <x v="2"/>
    <s v="VIC"/>
    <s v="No agreement"/>
    <s v="More than 125% MBS Fee to 150% MBS Fee"/>
    <n v="0"/>
    <n v="0"/>
    <n v="0"/>
    <n v="0"/>
  </r>
  <r>
    <x v="4"/>
    <x v="2"/>
    <s v="VIC"/>
    <s v="No agreement"/>
    <s v="More than 150% MBS Fee to 200% MBS Fee"/>
    <n v="0"/>
    <n v="0"/>
    <n v="0"/>
    <n v="0"/>
  </r>
  <r>
    <x v="4"/>
    <x v="2"/>
    <s v="VIC"/>
    <s v="No agreement"/>
    <s v="More than 200% MBS Fee"/>
    <n v="0"/>
    <n v="0"/>
    <n v="0"/>
    <n v="0"/>
  </r>
  <r>
    <x v="4"/>
    <x v="2"/>
    <s v="VIC"/>
    <s v="No agreement"/>
    <s v="Up to MBS Fee"/>
    <n v="0"/>
    <n v="0"/>
    <n v="0"/>
    <n v="0"/>
  </r>
  <r>
    <x v="4"/>
    <x v="2"/>
    <s v="VIC"/>
    <s v="No gap agreement"/>
    <s v="100% MBS Fee to 125% MBS Fee"/>
    <n v="0"/>
    <n v="0"/>
    <n v="0"/>
    <n v="0"/>
  </r>
  <r>
    <x v="4"/>
    <x v="2"/>
    <s v="VIC"/>
    <s v="No gap agreement"/>
    <s v="More than 125% MBS Fee to 150% MBS Fee"/>
    <n v="0"/>
    <n v="0"/>
    <n v="0"/>
    <n v="0"/>
  </r>
  <r>
    <x v="4"/>
    <x v="2"/>
    <s v="VIC"/>
    <s v="No gap agreement"/>
    <s v="More than 150% MBS Fee to 200% MBS Fee"/>
    <n v="0"/>
    <n v="0"/>
    <n v="0"/>
    <n v="0"/>
  </r>
  <r>
    <x v="4"/>
    <x v="2"/>
    <s v="VIC"/>
    <s v="No gap agreement"/>
    <s v="More than 200% MBS Fee"/>
    <n v="0"/>
    <n v="0"/>
    <n v="0"/>
    <n v="0"/>
  </r>
  <r>
    <x v="4"/>
    <x v="2"/>
    <s v="VIC"/>
    <s v="No gap agreement"/>
    <s v="Up to MBS Fee"/>
    <n v="0"/>
    <n v="0"/>
    <n v="0"/>
    <n v="0"/>
  </r>
  <r>
    <x v="4"/>
    <x v="2"/>
    <s v="WA"/>
    <s v="Known gap agreement"/>
    <s v="100% MBS Fee to 125% MBS Fee"/>
    <n v="0"/>
    <n v="0"/>
    <n v="0"/>
    <n v="0"/>
  </r>
  <r>
    <x v="4"/>
    <x v="2"/>
    <s v="WA"/>
    <s v="Known gap agreement"/>
    <s v="More than 125% MBS Fee to 150% MBS Fee"/>
    <n v="0"/>
    <n v="0"/>
    <n v="0"/>
    <n v="0"/>
  </r>
  <r>
    <x v="4"/>
    <x v="2"/>
    <s v="WA"/>
    <s v="Known gap agreement"/>
    <s v="More than 150% MBS Fee to 200% MBS Fee"/>
    <n v="0"/>
    <n v="0"/>
    <n v="0"/>
    <n v="0"/>
  </r>
  <r>
    <x v="4"/>
    <x v="2"/>
    <s v="WA"/>
    <s v="Known gap agreement"/>
    <s v="More than 200% MBS Fee"/>
    <n v="0"/>
    <n v="0"/>
    <n v="0"/>
    <n v="0"/>
  </r>
  <r>
    <x v="4"/>
    <x v="2"/>
    <s v="WA"/>
    <s v="No agreement"/>
    <s v="100% MBS Fee to 125% MBS Fee"/>
    <n v="0"/>
    <n v="0"/>
    <n v="0"/>
    <n v="0"/>
  </r>
  <r>
    <x v="4"/>
    <x v="2"/>
    <s v="WA"/>
    <s v="No agreement"/>
    <s v="More than 125% MBS Fee to 150% MBS Fee"/>
    <n v="0"/>
    <n v="0"/>
    <n v="0"/>
    <n v="0"/>
  </r>
  <r>
    <x v="4"/>
    <x v="2"/>
    <s v="WA"/>
    <s v="No agreement"/>
    <s v="More than 150% MBS Fee to 200% MBS Fee"/>
    <n v="0"/>
    <n v="0"/>
    <n v="0"/>
    <n v="0"/>
  </r>
  <r>
    <x v="4"/>
    <x v="2"/>
    <s v="WA"/>
    <s v="No agreement"/>
    <s v="More than 200% MBS Fee"/>
    <n v="0"/>
    <n v="0"/>
    <n v="0"/>
    <n v="0"/>
  </r>
  <r>
    <x v="4"/>
    <x v="2"/>
    <s v="WA"/>
    <s v="No agreement"/>
    <s v="Up to MBS Fee"/>
    <n v="0"/>
    <n v="0"/>
    <n v="0"/>
    <n v="0"/>
  </r>
  <r>
    <x v="4"/>
    <x v="2"/>
    <s v="WA"/>
    <s v="No gap agreement"/>
    <s v="100% MBS Fee to 125% MBS Fee"/>
    <n v="0"/>
    <n v="0"/>
    <n v="0"/>
    <n v="0"/>
  </r>
  <r>
    <x v="4"/>
    <x v="2"/>
    <s v="WA"/>
    <s v="No gap agreement"/>
    <s v="More than 125% MBS Fee to 150% MBS Fee"/>
    <n v="0"/>
    <n v="0"/>
    <n v="0"/>
    <n v="0"/>
  </r>
  <r>
    <x v="4"/>
    <x v="2"/>
    <s v="WA"/>
    <s v="No gap agreement"/>
    <s v="More than 150% MBS Fee to 200% MBS Fee"/>
    <n v="0"/>
    <n v="0"/>
    <n v="0"/>
    <n v="0"/>
  </r>
  <r>
    <x v="4"/>
    <x v="2"/>
    <s v="WA"/>
    <s v="No gap agreement"/>
    <s v="More than 200% MBS Fee"/>
    <n v="0"/>
    <n v="0"/>
    <n v="0"/>
    <n v="0"/>
  </r>
  <r>
    <x v="4"/>
    <x v="2"/>
    <s v="WA"/>
    <s v="No gap agreement"/>
    <s v="Up to MBS Fee"/>
    <n v="0"/>
    <n v="0"/>
    <n v="0"/>
    <n v="0"/>
  </r>
  <r>
    <x v="4"/>
    <x v="3"/>
    <s v="ACT"/>
    <s v="Known gap agreement"/>
    <s v="100% MBS Fee to 125% MBS Fee"/>
    <n v="0"/>
    <n v="0"/>
    <n v="0"/>
    <n v="0"/>
  </r>
  <r>
    <x v="4"/>
    <x v="3"/>
    <s v="ACT"/>
    <s v="Known gap agreement"/>
    <s v="More than 125% MBS Fee to 150% MBS Fee"/>
    <n v="0"/>
    <n v="0"/>
    <n v="0"/>
    <n v="0"/>
  </r>
  <r>
    <x v="4"/>
    <x v="3"/>
    <s v="ACT"/>
    <s v="Known gap agreement"/>
    <s v="More than 150% MBS Fee to 200% MBS Fee"/>
    <n v="0"/>
    <n v="0"/>
    <n v="0"/>
    <n v="0"/>
  </r>
  <r>
    <x v="4"/>
    <x v="3"/>
    <s v="ACT"/>
    <s v="Known gap agreement"/>
    <s v="More than 200% MBS Fee"/>
    <n v="0"/>
    <n v="0"/>
    <n v="0"/>
    <n v="0"/>
  </r>
  <r>
    <x v="4"/>
    <x v="3"/>
    <s v="ACT"/>
    <s v="No agreement"/>
    <s v="100% MBS Fee to 125% MBS Fee"/>
    <n v="0"/>
    <n v="0"/>
    <n v="0"/>
    <n v="0"/>
  </r>
  <r>
    <x v="4"/>
    <x v="3"/>
    <s v="ACT"/>
    <s v="No agreement"/>
    <s v="More than 125% MBS Fee to 150% MBS Fee"/>
    <n v="0"/>
    <n v="0"/>
    <n v="0"/>
    <n v="0"/>
  </r>
  <r>
    <x v="4"/>
    <x v="3"/>
    <s v="ACT"/>
    <s v="No agreement"/>
    <s v="More than 150% MBS Fee to 200% MBS Fee"/>
    <n v="0"/>
    <n v="0"/>
    <n v="0"/>
    <n v="0"/>
  </r>
  <r>
    <x v="4"/>
    <x v="3"/>
    <s v="ACT"/>
    <s v="No agreement"/>
    <s v="More than 200% MBS Fee"/>
    <n v="0"/>
    <n v="0"/>
    <n v="0"/>
    <n v="0"/>
  </r>
  <r>
    <x v="4"/>
    <x v="3"/>
    <s v="ACT"/>
    <s v="No agreement"/>
    <s v="Up to MBS Fee"/>
    <n v="0"/>
    <n v="0"/>
    <n v="0"/>
    <n v="0"/>
  </r>
  <r>
    <x v="4"/>
    <x v="3"/>
    <s v="ACT"/>
    <s v="No gap agreement"/>
    <s v="100% MBS Fee to 125% MBS Fee"/>
    <n v="0"/>
    <n v="0"/>
    <n v="0"/>
    <n v="0"/>
  </r>
  <r>
    <x v="4"/>
    <x v="3"/>
    <s v="ACT"/>
    <s v="No gap agreement"/>
    <s v="More than 125% MBS Fee to 150% MBS Fee"/>
    <n v="0"/>
    <n v="0"/>
    <n v="0"/>
    <n v="0"/>
  </r>
  <r>
    <x v="4"/>
    <x v="3"/>
    <s v="ACT"/>
    <s v="No gap agreement"/>
    <s v="More than 150% MBS Fee to 200% MBS Fee"/>
    <n v="0"/>
    <n v="0"/>
    <n v="0"/>
    <n v="0"/>
  </r>
  <r>
    <x v="4"/>
    <x v="3"/>
    <s v="ACT"/>
    <s v="No gap agreement"/>
    <s v="More than 200% MBS Fee"/>
    <n v="0"/>
    <n v="0"/>
    <n v="0"/>
    <n v="0"/>
  </r>
  <r>
    <x v="4"/>
    <x v="3"/>
    <s v="ACT"/>
    <s v="No gap agreement"/>
    <s v="Up to MBS Fee"/>
    <n v="0"/>
    <n v="0"/>
    <n v="0"/>
    <n v="0"/>
  </r>
  <r>
    <x v="4"/>
    <x v="3"/>
    <s v="NSW"/>
    <s v="Known gap agreement"/>
    <s v="100% MBS Fee to 125% MBS Fee"/>
    <n v="0"/>
    <n v="0"/>
    <n v="0"/>
    <n v="0"/>
  </r>
  <r>
    <x v="4"/>
    <x v="3"/>
    <s v="NSW"/>
    <s v="Known gap agreement"/>
    <s v="More than 125% MBS Fee to 150% MBS Fee"/>
    <n v="0"/>
    <n v="0"/>
    <n v="0"/>
    <n v="0"/>
  </r>
  <r>
    <x v="4"/>
    <x v="3"/>
    <s v="NSW"/>
    <s v="Known gap agreement"/>
    <s v="More than 150% MBS Fee to 200% MBS Fee"/>
    <n v="0"/>
    <n v="0"/>
    <n v="0"/>
    <n v="0"/>
  </r>
  <r>
    <x v="4"/>
    <x v="3"/>
    <s v="NSW"/>
    <s v="Known gap agreement"/>
    <s v="More than 200% MBS Fee"/>
    <n v="0"/>
    <n v="0"/>
    <n v="0"/>
    <n v="0"/>
  </r>
  <r>
    <x v="4"/>
    <x v="3"/>
    <s v="NSW"/>
    <s v="No agreement"/>
    <s v="100% MBS Fee to 125% MBS Fee"/>
    <n v="0"/>
    <n v="0"/>
    <n v="0"/>
    <n v="0"/>
  </r>
  <r>
    <x v="4"/>
    <x v="3"/>
    <s v="NSW"/>
    <s v="No agreement"/>
    <s v="More than 125% MBS Fee to 150% MBS Fee"/>
    <n v="0"/>
    <n v="0"/>
    <n v="0"/>
    <n v="0"/>
  </r>
  <r>
    <x v="4"/>
    <x v="3"/>
    <s v="NSW"/>
    <s v="No agreement"/>
    <s v="More than 150% MBS Fee to 200% MBS Fee"/>
    <n v="0"/>
    <n v="0"/>
    <n v="0"/>
    <n v="0"/>
  </r>
  <r>
    <x v="4"/>
    <x v="3"/>
    <s v="NSW"/>
    <s v="No agreement"/>
    <s v="More than 200% MBS Fee"/>
    <n v="0"/>
    <n v="0"/>
    <n v="0"/>
    <n v="0"/>
  </r>
  <r>
    <x v="4"/>
    <x v="3"/>
    <s v="NSW"/>
    <s v="No agreement"/>
    <s v="Up to MBS Fee"/>
    <n v="0"/>
    <n v="0"/>
    <n v="0"/>
    <n v="0"/>
  </r>
  <r>
    <x v="4"/>
    <x v="3"/>
    <s v="NSW"/>
    <s v="No gap agreement"/>
    <s v="100% MBS Fee to 125% MBS Fee"/>
    <n v="0"/>
    <n v="0"/>
    <n v="0"/>
    <n v="0"/>
  </r>
  <r>
    <x v="4"/>
    <x v="3"/>
    <s v="NSW"/>
    <s v="No gap agreement"/>
    <s v="More than 125% MBS Fee to 150% MBS Fee"/>
    <n v="0"/>
    <n v="0"/>
    <n v="0"/>
    <n v="0"/>
  </r>
  <r>
    <x v="4"/>
    <x v="3"/>
    <s v="NSW"/>
    <s v="No gap agreement"/>
    <s v="More than 150% MBS Fee to 200% MBS Fee"/>
    <n v="0"/>
    <n v="0"/>
    <n v="0"/>
    <n v="0"/>
  </r>
  <r>
    <x v="4"/>
    <x v="3"/>
    <s v="NSW"/>
    <s v="No gap agreement"/>
    <s v="More than 200% MBS Fee"/>
    <n v="0"/>
    <n v="0"/>
    <n v="0"/>
    <n v="0"/>
  </r>
  <r>
    <x v="4"/>
    <x v="3"/>
    <s v="NSW"/>
    <s v="No gap agreement"/>
    <s v="Up to MBS Fee"/>
    <n v="0"/>
    <n v="0"/>
    <n v="0"/>
    <n v="0"/>
  </r>
  <r>
    <x v="4"/>
    <x v="3"/>
    <s v="NT"/>
    <s v="Known gap agreement"/>
    <s v="100% MBS Fee to 125% MBS Fee"/>
    <n v="0"/>
    <n v="0"/>
    <n v="0"/>
    <n v="0"/>
  </r>
  <r>
    <x v="4"/>
    <x v="3"/>
    <s v="NT"/>
    <s v="Known gap agreement"/>
    <s v="More than 125% MBS Fee to 150% MBS Fee"/>
    <n v="0"/>
    <n v="0"/>
    <n v="0"/>
    <n v="0"/>
  </r>
  <r>
    <x v="4"/>
    <x v="3"/>
    <s v="NT"/>
    <s v="Known gap agreement"/>
    <s v="More than 150% MBS Fee to 200% MBS Fee"/>
    <n v="0"/>
    <n v="0"/>
    <n v="0"/>
    <n v="0"/>
  </r>
  <r>
    <x v="4"/>
    <x v="3"/>
    <s v="NT"/>
    <s v="Known gap agreement"/>
    <s v="More than 200% MBS Fee"/>
    <n v="0"/>
    <n v="0"/>
    <n v="0"/>
    <n v="0"/>
  </r>
  <r>
    <x v="4"/>
    <x v="3"/>
    <s v="NT"/>
    <s v="No agreement"/>
    <s v="100% MBS Fee to 125% MBS Fee"/>
    <n v="0"/>
    <n v="0"/>
    <n v="0"/>
    <n v="0"/>
  </r>
  <r>
    <x v="4"/>
    <x v="3"/>
    <s v="NT"/>
    <s v="No agreement"/>
    <s v="More than 125% MBS Fee to 150% MBS Fee"/>
    <n v="0"/>
    <n v="0"/>
    <n v="0"/>
    <n v="0"/>
  </r>
  <r>
    <x v="4"/>
    <x v="3"/>
    <s v="NT"/>
    <s v="No agreement"/>
    <s v="More than 150% MBS Fee to 200% MBS Fee"/>
    <n v="0"/>
    <n v="0"/>
    <n v="0"/>
    <n v="0"/>
  </r>
  <r>
    <x v="4"/>
    <x v="3"/>
    <s v="NT"/>
    <s v="No agreement"/>
    <s v="More than 200% MBS Fee"/>
    <n v="0"/>
    <n v="0"/>
    <n v="0"/>
    <n v="0"/>
  </r>
  <r>
    <x v="4"/>
    <x v="3"/>
    <s v="NT"/>
    <s v="No agreement"/>
    <s v="Up to MBS Fee"/>
    <n v="0"/>
    <n v="0"/>
    <n v="0"/>
    <n v="0"/>
  </r>
  <r>
    <x v="4"/>
    <x v="3"/>
    <s v="NT"/>
    <s v="No gap agreement"/>
    <s v="100% MBS Fee to 125% MBS Fee"/>
    <n v="0"/>
    <n v="0"/>
    <n v="0"/>
    <n v="0"/>
  </r>
  <r>
    <x v="4"/>
    <x v="3"/>
    <s v="NT"/>
    <s v="No gap agreement"/>
    <s v="More than 125% MBS Fee to 150% MBS Fee"/>
    <n v="0"/>
    <n v="0"/>
    <n v="0"/>
    <n v="0"/>
  </r>
  <r>
    <x v="4"/>
    <x v="3"/>
    <s v="NT"/>
    <s v="No gap agreement"/>
    <s v="More than 150% MBS Fee to 200% MBS Fee"/>
    <n v="0"/>
    <n v="0"/>
    <n v="0"/>
    <n v="0"/>
  </r>
  <r>
    <x v="4"/>
    <x v="3"/>
    <s v="NT"/>
    <s v="No gap agreement"/>
    <s v="More than 200% MBS Fee"/>
    <n v="0"/>
    <n v="0"/>
    <n v="0"/>
    <n v="0"/>
  </r>
  <r>
    <x v="4"/>
    <x v="3"/>
    <s v="NT"/>
    <s v="No gap agreement"/>
    <s v="Up to MBS Fee"/>
    <n v="0"/>
    <n v="0"/>
    <n v="0"/>
    <n v="0"/>
  </r>
  <r>
    <x v="4"/>
    <x v="3"/>
    <s v="QLD"/>
    <s v="Known gap agreement"/>
    <s v="100% MBS Fee to 125% MBS Fee"/>
    <n v="0"/>
    <n v="0"/>
    <n v="0"/>
    <n v="0"/>
  </r>
  <r>
    <x v="4"/>
    <x v="3"/>
    <s v="QLD"/>
    <s v="Known gap agreement"/>
    <s v="More than 125% MBS Fee to 150% MBS Fee"/>
    <n v="0"/>
    <n v="0"/>
    <n v="0"/>
    <n v="0"/>
  </r>
  <r>
    <x v="4"/>
    <x v="3"/>
    <s v="QLD"/>
    <s v="Known gap agreement"/>
    <s v="More than 150% MBS Fee to 200% MBS Fee"/>
    <n v="0"/>
    <n v="0"/>
    <n v="0"/>
    <n v="0"/>
  </r>
  <r>
    <x v="4"/>
    <x v="3"/>
    <s v="QLD"/>
    <s v="Known gap agreement"/>
    <s v="More than 200% MBS Fee"/>
    <n v="0"/>
    <n v="0"/>
    <n v="0"/>
    <n v="0"/>
  </r>
  <r>
    <x v="4"/>
    <x v="3"/>
    <s v="QLD"/>
    <s v="No agreement"/>
    <s v="100% MBS Fee to 125% MBS Fee"/>
    <n v="0"/>
    <n v="0"/>
    <n v="0"/>
    <n v="0"/>
  </r>
  <r>
    <x v="4"/>
    <x v="3"/>
    <s v="QLD"/>
    <s v="No agreement"/>
    <s v="More than 125% MBS Fee to 150% MBS Fee"/>
    <n v="0"/>
    <n v="0"/>
    <n v="0"/>
    <n v="0"/>
  </r>
  <r>
    <x v="4"/>
    <x v="3"/>
    <s v="QLD"/>
    <s v="No agreement"/>
    <s v="More than 150% MBS Fee to 200% MBS Fee"/>
    <n v="0"/>
    <n v="0"/>
    <n v="0"/>
    <n v="0"/>
  </r>
  <r>
    <x v="4"/>
    <x v="3"/>
    <s v="QLD"/>
    <s v="No agreement"/>
    <s v="More than 200% MBS Fee"/>
    <n v="0"/>
    <n v="0"/>
    <n v="0"/>
    <n v="0"/>
  </r>
  <r>
    <x v="4"/>
    <x v="3"/>
    <s v="QLD"/>
    <s v="No agreement"/>
    <s v="Up to MBS Fee"/>
    <n v="0"/>
    <n v="0"/>
    <n v="0"/>
    <n v="0"/>
  </r>
  <r>
    <x v="4"/>
    <x v="3"/>
    <s v="QLD"/>
    <s v="No gap agreement"/>
    <s v="100% MBS Fee to 125% MBS Fee"/>
    <n v="0"/>
    <n v="0"/>
    <n v="0"/>
    <n v="0"/>
  </r>
  <r>
    <x v="4"/>
    <x v="3"/>
    <s v="QLD"/>
    <s v="No gap agreement"/>
    <s v="More than 125% MBS Fee to 150% MBS Fee"/>
    <n v="0"/>
    <n v="0"/>
    <n v="0"/>
    <n v="0"/>
  </r>
  <r>
    <x v="4"/>
    <x v="3"/>
    <s v="QLD"/>
    <s v="No gap agreement"/>
    <s v="More than 150% MBS Fee to 200% MBS Fee"/>
    <n v="0"/>
    <n v="0"/>
    <n v="0"/>
    <n v="0"/>
  </r>
  <r>
    <x v="4"/>
    <x v="3"/>
    <s v="QLD"/>
    <s v="No gap agreement"/>
    <s v="More than 200% MBS Fee"/>
    <n v="0"/>
    <n v="0"/>
    <n v="0"/>
    <n v="0"/>
  </r>
  <r>
    <x v="4"/>
    <x v="3"/>
    <s v="QLD"/>
    <s v="No gap agreement"/>
    <s v="Up to MBS Fee"/>
    <n v="0"/>
    <n v="0"/>
    <n v="0"/>
    <n v="0"/>
  </r>
  <r>
    <x v="4"/>
    <x v="3"/>
    <s v="SA"/>
    <s v="Known gap agreement"/>
    <s v="100% MBS Fee to 125% MBS Fee"/>
    <n v="0"/>
    <n v="0"/>
    <n v="0"/>
    <n v="0"/>
  </r>
  <r>
    <x v="4"/>
    <x v="3"/>
    <s v="SA"/>
    <s v="Known gap agreement"/>
    <s v="More than 125% MBS Fee to 150% MBS Fee"/>
    <n v="0"/>
    <n v="0"/>
    <n v="0"/>
    <n v="0"/>
  </r>
  <r>
    <x v="4"/>
    <x v="3"/>
    <s v="SA"/>
    <s v="Known gap agreement"/>
    <s v="More than 150% MBS Fee to 200% MBS Fee"/>
    <n v="0"/>
    <n v="0"/>
    <n v="0"/>
    <n v="0"/>
  </r>
  <r>
    <x v="4"/>
    <x v="3"/>
    <s v="SA"/>
    <s v="Known gap agreement"/>
    <s v="More than 200% MBS Fee"/>
    <n v="0"/>
    <n v="0"/>
    <n v="0"/>
    <n v="0"/>
  </r>
  <r>
    <x v="4"/>
    <x v="3"/>
    <s v="SA"/>
    <s v="No agreement"/>
    <s v="100% MBS Fee to 125% MBS Fee"/>
    <n v="0"/>
    <n v="0"/>
    <n v="0"/>
    <n v="0"/>
  </r>
  <r>
    <x v="4"/>
    <x v="3"/>
    <s v="SA"/>
    <s v="No agreement"/>
    <s v="More than 125% MBS Fee to 150% MBS Fee"/>
    <n v="0"/>
    <n v="0"/>
    <n v="0"/>
    <n v="0"/>
  </r>
  <r>
    <x v="4"/>
    <x v="3"/>
    <s v="SA"/>
    <s v="No agreement"/>
    <s v="More than 150% MBS Fee to 200% MBS Fee"/>
    <n v="0"/>
    <n v="0"/>
    <n v="0"/>
    <n v="0"/>
  </r>
  <r>
    <x v="4"/>
    <x v="3"/>
    <s v="SA"/>
    <s v="No agreement"/>
    <s v="More than 200% MBS Fee"/>
    <n v="0"/>
    <n v="0"/>
    <n v="0"/>
    <n v="0"/>
  </r>
  <r>
    <x v="4"/>
    <x v="3"/>
    <s v="SA"/>
    <s v="No agreement"/>
    <s v="Up to MBS Fee"/>
    <n v="0"/>
    <n v="0"/>
    <n v="0"/>
    <n v="0"/>
  </r>
  <r>
    <x v="4"/>
    <x v="3"/>
    <s v="SA"/>
    <s v="No gap agreement"/>
    <s v="100% MBS Fee to 125% MBS Fee"/>
    <n v="0"/>
    <n v="0"/>
    <n v="0"/>
    <n v="0"/>
  </r>
  <r>
    <x v="4"/>
    <x v="3"/>
    <s v="SA"/>
    <s v="No gap agreement"/>
    <s v="More than 125% MBS Fee to 150% MBS Fee"/>
    <n v="0"/>
    <n v="0"/>
    <n v="0"/>
    <n v="0"/>
  </r>
  <r>
    <x v="4"/>
    <x v="3"/>
    <s v="SA"/>
    <s v="No gap agreement"/>
    <s v="More than 150% MBS Fee to 200% MBS Fee"/>
    <n v="0"/>
    <n v="0"/>
    <n v="0"/>
    <n v="0"/>
  </r>
  <r>
    <x v="4"/>
    <x v="3"/>
    <s v="SA"/>
    <s v="No gap agreement"/>
    <s v="More than 200% MBS Fee"/>
    <n v="0"/>
    <n v="0"/>
    <n v="0"/>
    <n v="0"/>
  </r>
  <r>
    <x v="4"/>
    <x v="3"/>
    <s v="SA"/>
    <s v="No gap agreement"/>
    <s v="Up to MBS Fee"/>
    <n v="0"/>
    <n v="0"/>
    <n v="0"/>
    <n v="0"/>
  </r>
  <r>
    <x v="4"/>
    <x v="3"/>
    <s v="TAS"/>
    <s v="Known gap agreement"/>
    <s v="100% MBS Fee to 125% MBS Fee"/>
    <n v="0"/>
    <n v="0"/>
    <n v="0"/>
    <n v="0"/>
  </r>
  <r>
    <x v="4"/>
    <x v="3"/>
    <s v="TAS"/>
    <s v="Known gap agreement"/>
    <s v="More than 125% MBS Fee to 150% MBS Fee"/>
    <n v="0"/>
    <n v="0"/>
    <n v="0"/>
    <n v="0"/>
  </r>
  <r>
    <x v="4"/>
    <x v="3"/>
    <s v="TAS"/>
    <s v="Known gap agreement"/>
    <s v="More than 150% MBS Fee to 200% MBS Fee"/>
    <n v="0"/>
    <n v="0"/>
    <n v="0"/>
    <n v="0"/>
  </r>
  <r>
    <x v="4"/>
    <x v="3"/>
    <s v="TAS"/>
    <s v="Known gap agreement"/>
    <s v="More than 200% MBS Fee"/>
    <n v="0"/>
    <n v="0"/>
    <n v="0"/>
    <n v="0"/>
  </r>
  <r>
    <x v="4"/>
    <x v="3"/>
    <s v="TAS"/>
    <s v="No agreement"/>
    <s v="100% MBS Fee to 125% MBS Fee"/>
    <n v="0"/>
    <n v="0"/>
    <n v="0"/>
    <n v="0"/>
  </r>
  <r>
    <x v="4"/>
    <x v="3"/>
    <s v="TAS"/>
    <s v="No agreement"/>
    <s v="More than 125% MBS Fee to 150% MBS Fee"/>
    <n v="0"/>
    <n v="0"/>
    <n v="0"/>
    <n v="0"/>
  </r>
  <r>
    <x v="4"/>
    <x v="3"/>
    <s v="TAS"/>
    <s v="No agreement"/>
    <s v="More than 150% MBS Fee to 200% MBS Fee"/>
    <n v="0"/>
    <n v="0"/>
    <n v="0"/>
    <n v="0"/>
  </r>
  <r>
    <x v="4"/>
    <x v="3"/>
    <s v="TAS"/>
    <s v="No agreement"/>
    <s v="More than 200% MBS Fee"/>
    <n v="0"/>
    <n v="0"/>
    <n v="0"/>
    <n v="0"/>
  </r>
  <r>
    <x v="4"/>
    <x v="3"/>
    <s v="TAS"/>
    <s v="No agreement"/>
    <s v="Up to MBS Fee"/>
    <n v="0"/>
    <n v="0"/>
    <n v="0"/>
    <n v="0"/>
  </r>
  <r>
    <x v="4"/>
    <x v="3"/>
    <s v="TAS"/>
    <s v="No gap agreement"/>
    <s v="100% MBS Fee to 125% MBS Fee"/>
    <n v="0"/>
    <n v="0"/>
    <n v="0"/>
    <n v="0"/>
  </r>
  <r>
    <x v="4"/>
    <x v="3"/>
    <s v="TAS"/>
    <s v="No gap agreement"/>
    <s v="More than 125% MBS Fee to 150% MBS Fee"/>
    <n v="0"/>
    <n v="0"/>
    <n v="0"/>
    <n v="0"/>
  </r>
  <r>
    <x v="4"/>
    <x v="3"/>
    <s v="TAS"/>
    <s v="No gap agreement"/>
    <s v="More than 150% MBS Fee to 200% MBS Fee"/>
    <n v="0"/>
    <n v="0"/>
    <n v="0"/>
    <n v="0"/>
  </r>
  <r>
    <x v="4"/>
    <x v="3"/>
    <s v="TAS"/>
    <s v="No gap agreement"/>
    <s v="More than 200% MBS Fee"/>
    <n v="0"/>
    <n v="0"/>
    <n v="0"/>
    <n v="0"/>
  </r>
  <r>
    <x v="4"/>
    <x v="3"/>
    <s v="TAS"/>
    <s v="No gap agreement"/>
    <s v="Up to MBS Fee"/>
    <n v="0"/>
    <n v="0"/>
    <n v="0"/>
    <n v="0"/>
  </r>
  <r>
    <x v="4"/>
    <x v="3"/>
    <s v="VIC"/>
    <s v="Known gap agreement"/>
    <s v="100% MBS Fee to 125% MBS Fee"/>
    <n v="0"/>
    <n v="0"/>
    <n v="0"/>
    <n v="0"/>
  </r>
  <r>
    <x v="4"/>
    <x v="3"/>
    <s v="VIC"/>
    <s v="Known gap agreement"/>
    <s v="More than 125% MBS Fee to 150% MBS Fee"/>
    <n v="0"/>
    <n v="0"/>
    <n v="0"/>
    <n v="0"/>
  </r>
  <r>
    <x v="4"/>
    <x v="3"/>
    <s v="VIC"/>
    <s v="Known gap agreement"/>
    <s v="More than 150% MBS Fee to 200% MBS Fee"/>
    <n v="0"/>
    <n v="0"/>
    <n v="0"/>
    <n v="0"/>
  </r>
  <r>
    <x v="4"/>
    <x v="3"/>
    <s v="VIC"/>
    <s v="Known gap agreement"/>
    <s v="More than 200% MBS Fee"/>
    <n v="0"/>
    <n v="0"/>
    <n v="0"/>
    <n v="0"/>
  </r>
  <r>
    <x v="4"/>
    <x v="3"/>
    <s v="VIC"/>
    <s v="No agreement"/>
    <s v="100% MBS Fee to 125% MBS Fee"/>
    <n v="0"/>
    <n v="0"/>
    <n v="0"/>
    <n v="0"/>
  </r>
  <r>
    <x v="4"/>
    <x v="3"/>
    <s v="VIC"/>
    <s v="No agreement"/>
    <s v="More than 125% MBS Fee to 150% MBS Fee"/>
    <n v="0"/>
    <n v="0"/>
    <n v="0"/>
    <n v="0"/>
  </r>
  <r>
    <x v="4"/>
    <x v="3"/>
    <s v="VIC"/>
    <s v="No agreement"/>
    <s v="More than 150% MBS Fee to 200% MBS Fee"/>
    <n v="0"/>
    <n v="0"/>
    <n v="0"/>
    <n v="0"/>
  </r>
  <r>
    <x v="4"/>
    <x v="3"/>
    <s v="VIC"/>
    <s v="No agreement"/>
    <s v="More than 200% MBS Fee"/>
    <n v="0"/>
    <n v="0"/>
    <n v="0"/>
    <n v="0"/>
  </r>
  <r>
    <x v="4"/>
    <x v="3"/>
    <s v="VIC"/>
    <s v="No agreement"/>
    <s v="Up to MBS Fee"/>
    <n v="0"/>
    <n v="0"/>
    <n v="0"/>
    <n v="0"/>
  </r>
  <r>
    <x v="4"/>
    <x v="3"/>
    <s v="VIC"/>
    <s v="No gap agreement"/>
    <s v="100% MBS Fee to 125% MBS Fee"/>
    <n v="0"/>
    <n v="0"/>
    <n v="0"/>
    <n v="0"/>
  </r>
  <r>
    <x v="4"/>
    <x v="3"/>
    <s v="VIC"/>
    <s v="No gap agreement"/>
    <s v="More than 125% MBS Fee to 150% MBS Fee"/>
    <n v="0"/>
    <n v="0"/>
    <n v="0"/>
    <n v="0"/>
  </r>
  <r>
    <x v="4"/>
    <x v="3"/>
    <s v="VIC"/>
    <s v="No gap agreement"/>
    <s v="More than 150% MBS Fee to 200% MBS Fee"/>
    <n v="0"/>
    <n v="0"/>
    <n v="0"/>
    <n v="0"/>
  </r>
  <r>
    <x v="4"/>
    <x v="3"/>
    <s v="VIC"/>
    <s v="No gap agreement"/>
    <s v="More than 200% MBS Fee"/>
    <n v="0"/>
    <n v="0"/>
    <n v="0"/>
    <n v="0"/>
  </r>
  <r>
    <x v="4"/>
    <x v="3"/>
    <s v="VIC"/>
    <s v="No gap agreement"/>
    <s v="Up to MBS Fee"/>
    <n v="0"/>
    <n v="0"/>
    <n v="0"/>
    <n v="0"/>
  </r>
  <r>
    <x v="4"/>
    <x v="3"/>
    <s v="WA"/>
    <s v="Known gap agreement"/>
    <s v="100% MBS Fee to 125% MBS Fee"/>
    <n v="0"/>
    <n v="0"/>
    <n v="0"/>
    <n v="0"/>
  </r>
  <r>
    <x v="4"/>
    <x v="3"/>
    <s v="WA"/>
    <s v="Known gap agreement"/>
    <s v="More than 125% MBS Fee to 150% MBS Fee"/>
    <n v="0"/>
    <n v="0"/>
    <n v="0"/>
    <n v="0"/>
  </r>
  <r>
    <x v="4"/>
    <x v="3"/>
    <s v="WA"/>
    <s v="Known gap agreement"/>
    <s v="More than 150% MBS Fee to 200% MBS Fee"/>
    <n v="0"/>
    <n v="0"/>
    <n v="0"/>
    <n v="0"/>
  </r>
  <r>
    <x v="4"/>
    <x v="3"/>
    <s v="WA"/>
    <s v="Known gap agreement"/>
    <s v="More than 200% MBS Fee"/>
    <n v="0"/>
    <n v="0"/>
    <n v="0"/>
    <n v="0"/>
  </r>
  <r>
    <x v="4"/>
    <x v="3"/>
    <s v="WA"/>
    <s v="No agreement"/>
    <s v="100% MBS Fee to 125% MBS Fee"/>
    <n v="0"/>
    <n v="0"/>
    <n v="0"/>
    <n v="0"/>
  </r>
  <r>
    <x v="4"/>
    <x v="3"/>
    <s v="WA"/>
    <s v="No agreement"/>
    <s v="More than 125% MBS Fee to 150% MBS Fee"/>
    <n v="0"/>
    <n v="0"/>
    <n v="0"/>
    <n v="0"/>
  </r>
  <r>
    <x v="4"/>
    <x v="3"/>
    <s v="WA"/>
    <s v="No agreement"/>
    <s v="More than 150% MBS Fee to 200% MBS Fee"/>
    <n v="0"/>
    <n v="0"/>
    <n v="0"/>
    <n v="0"/>
  </r>
  <r>
    <x v="4"/>
    <x v="3"/>
    <s v="WA"/>
    <s v="No agreement"/>
    <s v="More than 200% MBS Fee"/>
    <n v="0"/>
    <n v="0"/>
    <n v="0"/>
    <n v="0"/>
  </r>
  <r>
    <x v="4"/>
    <x v="3"/>
    <s v="WA"/>
    <s v="No agreement"/>
    <s v="Up to MBS Fee"/>
    <n v="0"/>
    <n v="0"/>
    <n v="0"/>
    <n v="0"/>
  </r>
  <r>
    <x v="4"/>
    <x v="3"/>
    <s v="WA"/>
    <s v="No gap agreement"/>
    <s v="100% MBS Fee to 125% MBS Fee"/>
    <n v="0"/>
    <n v="0"/>
    <n v="0"/>
    <n v="0"/>
  </r>
  <r>
    <x v="4"/>
    <x v="3"/>
    <s v="WA"/>
    <s v="No gap agreement"/>
    <s v="More than 125% MBS Fee to 150% MBS Fee"/>
    <n v="0"/>
    <n v="0"/>
    <n v="0"/>
    <n v="0"/>
  </r>
  <r>
    <x v="4"/>
    <x v="3"/>
    <s v="WA"/>
    <s v="No gap agreement"/>
    <s v="More than 150% MBS Fee to 200% MBS Fee"/>
    <n v="0"/>
    <n v="0"/>
    <n v="0"/>
    <n v="0"/>
  </r>
  <r>
    <x v="4"/>
    <x v="3"/>
    <s v="WA"/>
    <s v="No gap agreement"/>
    <s v="More than 200% MBS Fee"/>
    <n v="0"/>
    <n v="0"/>
    <n v="0"/>
    <n v="0"/>
  </r>
  <r>
    <x v="4"/>
    <x v="3"/>
    <s v="WA"/>
    <s v="No gap agreement"/>
    <s v="Up to MBS Fee"/>
    <n v="0"/>
    <n v="0"/>
    <n v="0"/>
    <n v="0"/>
  </r>
  <r>
    <x v="4"/>
    <x v="1"/>
    <s v="ACT"/>
    <s v="Known gap agreement"/>
    <s v="100% MBS Fee to 125% MBS Fee"/>
    <n v="0"/>
    <n v="0"/>
    <n v="0"/>
    <n v="0"/>
  </r>
  <r>
    <x v="4"/>
    <x v="1"/>
    <s v="ACT"/>
    <s v="Known gap agreement"/>
    <s v="More than 125% MBS Fee to 150% MBS Fee"/>
    <n v="0"/>
    <n v="0"/>
    <n v="0"/>
    <n v="0"/>
  </r>
  <r>
    <x v="4"/>
    <x v="1"/>
    <s v="ACT"/>
    <s v="Known gap agreement"/>
    <s v="More than 150% MBS Fee to 200% MBS Fee"/>
    <n v="0"/>
    <n v="0"/>
    <n v="0"/>
    <n v="0"/>
  </r>
  <r>
    <x v="4"/>
    <x v="1"/>
    <s v="ACT"/>
    <s v="Known gap agreement"/>
    <s v="More than 200% MBS Fee"/>
    <n v="0"/>
    <n v="0"/>
    <n v="0"/>
    <n v="0"/>
  </r>
  <r>
    <x v="4"/>
    <x v="1"/>
    <s v="ACT"/>
    <s v="No agreement"/>
    <s v="100% MBS Fee to 125% MBS Fee"/>
    <n v="0"/>
    <n v="0"/>
    <n v="0"/>
    <n v="0"/>
  </r>
  <r>
    <x v="4"/>
    <x v="1"/>
    <s v="ACT"/>
    <s v="No agreement"/>
    <s v="More than 125% MBS Fee to 150% MBS Fee"/>
    <n v="0"/>
    <n v="0"/>
    <n v="0"/>
    <n v="0"/>
  </r>
  <r>
    <x v="4"/>
    <x v="1"/>
    <s v="ACT"/>
    <s v="No agreement"/>
    <s v="More than 150% MBS Fee to 200% MBS Fee"/>
    <n v="0"/>
    <n v="0"/>
    <n v="0"/>
    <n v="0"/>
  </r>
  <r>
    <x v="4"/>
    <x v="1"/>
    <s v="ACT"/>
    <s v="No agreement"/>
    <s v="More than 200% MBS Fee"/>
    <n v="0"/>
    <n v="0"/>
    <n v="0"/>
    <n v="0"/>
  </r>
  <r>
    <x v="4"/>
    <x v="1"/>
    <s v="ACT"/>
    <s v="No agreement"/>
    <s v="Up to MBS Fee"/>
    <n v="0"/>
    <n v="0"/>
    <n v="0"/>
    <n v="0"/>
  </r>
  <r>
    <x v="4"/>
    <x v="1"/>
    <s v="ACT"/>
    <s v="No gap agreement"/>
    <s v="100% MBS Fee to 125% MBS Fee"/>
    <n v="0"/>
    <n v="0"/>
    <n v="0"/>
    <n v="0"/>
  </r>
  <r>
    <x v="4"/>
    <x v="1"/>
    <s v="ACT"/>
    <s v="No gap agreement"/>
    <s v="More than 125% MBS Fee to 150% MBS Fee"/>
    <n v="0"/>
    <n v="0"/>
    <n v="0"/>
    <n v="0"/>
  </r>
  <r>
    <x v="4"/>
    <x v="1"/>
    <s v="ACT"/>
    <s v="No gap agreement"/>
    <s v="More than 150% MBS Fee to 200% MBS Fee"/>
    <n v="0"/>
    <n v="0"/>
    <n v="0"/>
    <n v="0"/>
  </r>
  <r>
    <x v="4"/>
    <x v="1"/>
    <s v="ACT"/>
    <s v="No gap agreement"/>
    <s v="More than 200% MBS Fee"/>
    <n v="0"/>
    <n v="0"/>
    <n v="0"/>
    <n v="0"/>
  </r>
  <r>
    <x v="4"/>
    <x v="1"/>
    <s v="ACT"/>
    <s v="No gap agreement"/>
    <s v="Up to MBS Fee"/>
    <n v="0"/>
    <n v="0"/>
    <n v="0"/>
    <n v="0"/>
  </r>
  <r>
    <x v="4"/>
    <x v="1"/>
    <s v="NSW"/>
    <s v="Known gap agreement"/>
    <s v="100% MBS Fee to 125% MBS Fee"/>
    <n v="0"/>
    <n v="0"/>
    <n v="0"/>
    <n v="0"/>
  </r>
  <r>
    <x v="4"/>
    <x v="1"/>
    <s v="NSW"/>
    <s v="Known gap agreement"/>
    <s v="More than 125% MBS Fee to 150% MBS Fee"/>
    <n v="0"/>
    <n v="0"/>
    <n v="0"/>
    <n v="0"/>
  </r>
  <r>
    <x v="4"/>
    <x v="1"/>
    <s v="NSW"/>
    <s v="Known gap agreement"/>
    <s v="More than 150% MBS Fee to 200% MBS Fee"/>
    <n v="0"/>
    <n v="0"/>
    <n v="0"/>
    <n v="0"/>
  </r>
  <r>
    <x v="4"/>
    <x v="1"/>
    <s v="NSW"/>
    <s v="Known gap agreement"/>
    <s v="More than 200% MBS Fee"/>
    <n v="0"/>
    <n v="0"/>
    <n v="0"/>
    <n v="0"/>
  </r>
  <r>
    <x v="4"/>
    <x v="1"/>
    <s v="NSW"/>
    <s v="No agreement"/>
    <s v="100% MBS Fee to 125% MBS Fee"/>
    <n v="0"/>
    <n v="0"/>
    <n v="0"/>
    <n v="0"/>
  </r>
  <r>
    <x v="4"/>
    <x v="1"/>
    <s v="NSW"/>
    <s v="No agreement"/>
    <s v="More than 125% MBS Fee to 150% MBS Fee"/>
    <n v="0"/>
    <n v="0"/>
    <n v="0"/>
    <n v="0"/>
  </r>
  <r>
    <x v="4"/>
    <x v="1"/>
    <s v="NSW"/>
    <s v="No agreement"/>
    <s v="More than 150% MBS Fee to 200% MBS Fee"/>
    <n v="0"/>
    <n v="0"/>
    <n v="0"/>
    <n v="0"/>
  </r>
  <r>
    <x v="4"/>
    <x v="1"/>
    <s v="NSW"/>
    <s v="No agreement"/>
    <s v="More than 200% MBS Fee"/>
    <n v="0"/>
    <n v="0"/>
    <n v="0"/>
    <n v="0"/>
  </r>
  <r>
    <x v="4"/>
    <x v="1"/>
    <s v="NSW"/>
    <s v="No agreement"/>
    <s v="Up to MBS Fee"/>
    <n v="0"/>
    <n v="0"/>
    <n v="0"/>
    <n v="0"/>
  </r>
  <r>
    <x v="4"/>
    <x v="1"/>
    <s v="NSW"/>
    <s v="No gap agreement"/>
    <s v="100% MBS Fee to 125% MBS Fee"/>
    <n v="0"/>
    <n v="0"/>
    <n v="0"/>
    <n v="0"/>
  </r>
  <r>
    <x v="4"/>
    <x v="1"/>
    <s v="NSW"/>
    <s v="No gap agreement"/>
    <s v="More than 125% MBS Fee to 150% MBS Fee"/>
    <n v="0"/>
    <n v="0"/>
    <n v="0"/>
    <n v="0"/>
  </r>
  <r>
    <x v="4"/>
    <x v="1"/>
    <s v="NSW"/>
    <s v="No gap agreement"/>
    <s v="More than 150% MBS Fee to 200% MBS Fee"/>
    <n v="0"/>
    <n v="0"/>
    <n v="0"/>
    <n v="0"/>
  </r>
  <r>
    <x v="4"/>
    <x v="1"/>
    <s v="NSW"/>
    <s v="No gap agreement"/>
    <s v="More than 200% MBS Fee"/>
    <n v="0"/>
    <n v="0"/>
    <n v="0"/>
    <n v="0"/>
  </r>
  <r>
    <x v="4"/>
    <x v="1"/>
    <s v="NSW"/>
    <s v="No gap agreement"/>
    <s v="Up to MBS Fee"/>
    <n v="0"/>
    <n v="0"/>
    <n v="0"/>
    <n v="0"/>
  </r>
  <r>
    <x v="4"/>
    <x v="1"/>
    <s v="NT"/>
    <s v="Known gap agreement"/>
    <s v="100% MBS Fee to 125% MBS Fee"/>
    <n v="0"/>
    <n v="0"/>
    <n v="0"/>
    <n v="0"/>
  </r>
  <r>
    <x v="4"/>
    <x v="1"/>
    <s v="NT"/>
    <s v="Known gap agreement"/>
    <s v="More than 125% MBS Fee to 150% MBS Fee"/>
    <n v="0"/>
    <n v="0"/>
    <n v="0"/>
    <n v="0"/>
  </r>
  <r>
    <x v="4"/>
    <x v="1"/>
    <s v="NT"/>
    <s v="Known gap agreement"/>
    <s v="More than 150% MBS Fee to 200% MBS Fee"/>
    <n v="0"/>
    <n v="0"/>
    <n v="0"/>
    <n v="0"/>
  </r>
  <r>
    <x v="4"/>
    <x v="1"/>
    <s v="NT"/>
    <s v="Known gap agreement"/>
    <s v="More than 200% MBS Fee"/>
    <n v="0"/>
    <n v="0"/>
    <n v="0"/>
    <n v="0"/>
  </r>
  <r>
    <x v="4"/>
    <x v="1"/>
    <s v="NT"/>
    <s v="No agreement"/>
    <s v="100% MBS Fee to 125% MBS Fee"/>
    <n v="0"/>
    <n v="0"/>
    <n v="0"/>
    <n v="0"/>
  </r>
  <r>
    <x v="4"/>
    <x v="1"/>
    <s v="NT"/>
    <s v="No agreement"/>
    <s v="More than 125% MBS Fee to 150% MBS Fee"/>
    <n v="0"/>
    <n v="0"/>
    <n v="0"/>
    <n v="0"/>
  </r>
  <r>
    <x v="4"/>
    <x v="1"/>
    <s v="NT"/>
    <s v="No agreement"/>
    <s v="More than 150% MBS Fee to 200% MBS Fee"/>
    <n v="0"/>
    <n v="0"/>
    <n v="0"/>
    <n v="0"/>
  </r>
  <r>
    <x v="4"/>
    <x v="1"/>
    <s v="NT"/>
    <s v="No agreement"/>
    <s v="More than 200% MBS Fee"/>
    <n v="0"/>
    <n v="0"/>
    <n v="0"/>
    <n v="0"/>
  </r>
  <r>
    <x v="4"/>
    <x v="1"/>
    <s v="NT"/>
    <s v="No agreement"/>
    <s v="Up to MBS Fee"/>
    <n v="0"/>
    <n v="0"/>
    <n v="0"/>
    <n v="0"/>
  </r>
  <r>
    <x v="4"/>
    <x v="1"/>
    <s v="NT"/>
    <s v="No gap agreement"/>
    <s v="100% MBS Fee to 125% MBS Fee"/>
    <n v="0"/>
    <n v="0"/>
    <n v="0"/>
    <n v="0"/>
  </r>
  <r>
    <x v="4"/>
    <x v="1"/>
    <s v="NT"/>
    <s v="No gap agreement"/>
    <s v="More than 125% MBS Fee to 150% MBS Fee"/>
    <n v="0"/>
    <n v="0"/>
    <n v="0"/>
    <n v="0"/>
  </r>
  <r>
    <x v="4"/>
    <x v="1"/>
    <s v="NT"/>
    <s v="No gap agreement"/>
    <s v="More than 150% MBS Fee to 200% MBS Fee"/>
    <n v="0"/>
    <n v="0"/>
    <n v="0"/>
    <n v="0"/>
  </r>
  <r>
    <x v="4"/>
    <x v="1"/>
    <s v="NT"/>
    <s v="No gap agreement"/>
    <s v="More than 200% MBS Fee"/>
    <n v="0"/>
    <n v="0"/>
    <n v="0"/>
    <n v="0"/>
  </r>
  <r>
    <x v="4"/>
    <x v="1"/>
    <s v="NT"/>
    <s v="No gap agreement"/>
    <s v="Up to MBS Fee"/>
    <n v="0"/>
    <n v="0"/>
    <n v="0"/>
    <n v="0"/>
  </r>
  <r>
    <x v="4"/>
    <x v="1"/>
    <s v="QLD"/>
    <s v="Known gap agreement"/>
    <s v="100% MBS Fee to 125% MBS Fee"/>
    <n v="0"/>
    <n v="0"/>
    <n v="0"/>
    <n v="0"/>
  </r>
  <r>
    <x v="4"/>
    <x v="1"/>
    <s v="QLD"/>
    <s v="Known gap agreement"/>
    <s v="More than 125% MBS Fee to 150% MBS Fee"/>
    <n v="0"/>
    <n v="0"/>
    <n v="0"/>
    <n v="0"/>
  </r>
  <r>
    <x v="4"/>
    <x v="1"/>
    <s v="QLD"/>
    <s v="Known gap agreement"/>
    <s v="More than 150% MBS Fee to 200% MBS Fee"/>
    <n v="0"/>
    <n v="0"/>
    <n v="0"/>
    <n v="0"/>
  </r>
  <r>
    <x v="4"/>
    <x v="1"/>
    <s v="QLD"/>
    <s v="Known gap agreement"/>
    <s v="More than 200% MBS Fee"/>
    <n v="0"/>
    <n v="0"/>
    <n v="0"/>
    <n v="0"/>
  </r>
  <r>
    <x v="4"/>
    <x v="1"/>
    <s v="QLD"/>
    <s v="No agreement"/>
    <s v="100% MBS Fee to 125% MBS Fee"/>
    <n v="0"/>
    <n v="0"/>
    <n v="0"/>
    <n v="0"/>
  </r>
  <r>
    <x v="4"/>
    <x v="1"/>
    <s v="QLD"/>
    <s v="No agreement"/>
    <s v="More than 125% MBS Fee to 150% MBS Fee"/>
    <n v="0"/>
    <n v="0"/>
    <n v="0"/>
    <n v="0"/>
  </r>
  <r>
    <x v="4"/>
    <x v="1"/>
    <s v="QLD"/>
    <s v="No agreement"/>
    <s v="More than 150% MBS Fee to 200% MBS Fee"/>
    <n v="0"/>
    <n v="0"/>
    <n v="0"/>
    <n v="0"/>
  </r>
  <r>
    <x v="4"/>
    <x v="1"/>
    <s v="QLD"/>
    <s v="No agreement"/>
    <s v="More than 200% MBS Fee"/>
    <n v="0"/>
    <n v="0"/>
    <n v="0"/>
    <n v="0"/>
  </r>
  <r>
    <x v="4"/>
    <x v="1"/>
    <s v="QLD"/>
    <s v="No agreement"/>
    <s v="Up to MBS Fee"/>
    <n v="0"/>
    <n v="0"/>
    <n v="0"/>
    <n v="0"/>
  </r>
  <r>
    <x v="4"/>
    <x v="1"/>
    <s v="QLD"/>
    <s v="No gap agreement"/>
    <s v="100% MBS Fee to 125% MBS Fee"/>
    <n v="0"/>
    <n v="0"/>
    <n v="0"/>
    <n v="0"/>
  </r>
  <r>
    <x v="4"/>
    <x v="1"/>
    <s v="QLD"/>
    <s v="No gap agreement"/>
    <s v="More than 125% MBS Fee to 150% MBS Fee"/>
    <n v="0"/>
    <n v="0"/>
    <n v="0"/>
    <n v="0"/>
  </r>
  <r>
    <x v="4"/>
    <x v="1"/>
    <s v="QLD"/>
    <s v="No gap agreement"/>
    <s v="More than 150% MBS Fee to 200% MBS Fee"/>
    <n v="0"/>
    <n v="0"/>
    <n v="0"/>
    <n v="0"/>
  </r>
  <r>
    <x v="4"/>
    <x v="1"/>
    <s v="QLD"/>
    <s v="No gap agreement"/>
    <s v="More than 200% MBS Fee"/>
    <n v="0"/>
    <n v="0"/>
    <n v="0"/>
    <n v="0"/>
  </r>
  <r>
    <x v="4"/>
    <x v="1"/>
    <s v="QLD"/>
    <s v="No gap agreement"/>
    <s v="Up to MBS Fee"/>
    <n v="0"/>
    <n v="0"/>
    <n v="0"/>
    <n v="0"/>
  </r>
  <r>
    <x v="4"/>
    <x v="1"/>
    <s v="SA"/>
    <s v="Known gap agreement"/>
    <s v="100% MBS Fee to 125% MBS Fee"/>
    <n v="0"/>
    <n v="0"/>
    <n v="0"/>
    <n v="0"/>
  </r>
  <r>
    <x v="4"/>
    <x v="1"/>
    <s v="SA"/>
    <s v="Known gap agreement"/>
    <s v="More than 125% MBS Fee to 150% MBS Fee"/>
    <n v="0"/>
    <n v="0"/>
    <n v="0"/>
    <n v="0"/>
  </r>
  <r>
    <x v="4"/>
    <x v="1"/>
    <s v="SA"/>
    <s v="Known gap agreement"/>
    <s v="More than 150% MBS Fee to 200% MBS Fee"/>
    <n v="0"/>
    <n v="0"/>
    <n v="0"/>
    <n v="0"/>
  </r>
  <r>
    <x v="4"/>
    <x v="1"/>
    <s v="SA"/>
    <s v="Known gap agreement"/>
    <s v="More than 200% MBS Fee"/>
    <n v="0"/>
    <n v="0"/>
    <n v="0"/>
    <n v="0"/>
  </r>
  <r>
    <x v="4"/>
    <x v="1"/>
    <s v="SA"/>
    <s v="No agreement"/>
    <s v="100% MBS Fee to 125% MBS Fee"/>
    <n v="0"/>
    <n v="0"/>
    <n v="0"/>
    <n v="0"/>
  </r>
  <r>
    <x v="4"/>
    <x v="1"/>
    <s v="SA"/>
    <s v="No agreement"/>
    <s v="More than 125% MBS Fee to 150% MBS Fee"/>
    <n v="0"/>
    <n v="0"/>
    <n v="0"/>
    <n v="0"/>
  </r>
  <r>
    <x v="4"/>
    <x v="1"/>
    <s v="SA"/>
    <s v="No agreement"/>
    <s v="More than 150% MBS Fee to 200% MBS Fee"/>
    <n v="0"/>
    <n v="0"/>
    <n v="0"/>
    <n v="0"/>
  </r>
  <r>
    <x v="4"/>
    <x v="1"/>
    <s v="SA"/>
    <s v="No agreement"/>
    <s v="More than 200% MBS Fee"/>
    <n v="0"/>
    <n v="0"/>
    <n v="0"/>
    <n v="0"/>
  </r>
  <r>
    <x v="4"/>
    <x v="1"/>
    <s v="SA"/>
    <s v="No agreement"/>
    <s v="Up to MBS Fee"/>
    <n v="0"/>
    <n v="0"/>
    <n v="0"/>
    <n v="0"/>
  </r>
  <r>
    <x v="4"/>
    <x v="1"/>
    <s v="SA"/>
    <s v="No gap agreement"/>
    <s v="100% MBS Fee to 125% MBS Fee"/>
    <n v="0"/>
    <n v="0"/>
    <n v="0"/>
    <n v="0"/>
  </r>
  <r>
    <x v="4"/>
    <x v="1"/>
    <s v="SA"/>
    <s v="No gap agreement"/>
    <s v="More than 125% MBS Fee to 150% MBS Fee"/>
    <n v="0"/>
    <n v="0"/>
    <n v="0"/>
    <n v="0"/>
  </r>
  <r>
    <x v="4"/>
    <x v="1"/>
    <s v="SA"/>
    <s v="No gap agreement"/>
    <s v="More than 150% MBS Fee to 200% MBS Fee"/>
    <n v="0"/>
    <n v="0"/>
    <n v="0"/>
    <n v="0"/>
  </r>
  <r>
    <x v="4"/>
    <x v="1"/>
    <s v="SA"/>
    <s v="No gap agreement"/>
    <s v="More than 200% MBS Fee"/>
    <n v="0"/>
    <n v="0"/>
    <n v="0"/>
    <n v="0"/>
  </r>
  <r>
    <x v="4"/>
    <x v="1"/>
    <s v="SA"/>
    <s v="No gap agreement"/>
    <s v="Up to MBS Fee"/>
    <n v="0"/>
    <n v="0"/>
    <n v="0"/>
    <n v="0"/>
  </r>
  <r>
    <x v="4"/>
    <x v="1"/>
    <s v="TAS"/>
    <s v="Known gap agreement"/>
    <s v="100% MBS Fee to 125% MBS Fee"/>
    <n v="0"/>
    <n v="0"/>
    <n v="0"/>
    <n v="0"/>
  </r>
  <r>
    <x v="4"/>
    <x v="1"/>
    <s v="TAS"/>
    <s v="Known gap agreement"/>
    <s v="More than 125% MBS Fee to 150% MBS Fee"/>
    <n v="0"/>
    <n v="0"/>
    <n v="0"/>
    <n v="0"/>
  </r>
  <r>
    <x v="4"/>
    <x v="1"/>
    <s v="TAS"/>
    <s v="Known gap agreement"/>
    <s v="More than 150% MBS Fee to 200% MBS Fee"/>
    <n v="0"/>
    <n v="0"/>
    <n v="0"/>
    <n v="0"/>
  </r>
  <r>
    <x v="4"/>
    <x v="1"/>
    <s v="TAS"/>
    <s v="Known gap agreement"/>
    <s v="More than 200% MBS Fee"/>
    <n v="0"/>
    <n v="0"/>
    <n v="0"/>
    <n v="0"/>
  </r>
  <r>
    <x v="4"/>
    <x v="1"/>
    <s v="TAS"/>
    <s v="No agreement"/>
    <s v="100% MBS Fee to 125% MBS Fee"/>
    <n v="0"/>
    <n v="0"/>
    <n v="0"/>
    <n v="0"/>
  </r>
  <r>
    <x v="4"/>
    <x v="1"/>
    <s v="TAS"/>
    <s v="No agreement"/>
    <s v="More than 125% MBS Fee to 150% MBS Fee"/>
    <n v="0"/>
    <n v="0"/>
    <n v="0"/>
    <n v="0"/>
  </r>
  <r>
    <x v="4"/>
    <x v="1"/>
    <s v="TAS"/>
    <s v="No agreement"/>
    <s v="More than 150% MBS Fee to 200% MBS Fee"/>
    <n v="0"/>
    <n v="0"/>
    <n v="0"/>
    <n v="0"/>
  </r>
  <r>
    <x v="4"/>
    <x v="1"/>
    <s v="TAS"/>
    <s v="No agreement"/>
    <s v="More than 200% MBS Fee"/>
    <n v="0"/>
    <n v="0"/>
    <n v="0"/>
    <n v="0"/>
  </r>
  <r>
    <x v="4"/>
    <x v="1"/>
    <s v="TAS"/>
    <s v="No agreement"/>
    <s v="Up to MBS Fee"/>
    <n v="0"/>
    <n v="0"/>
    <n v="0"/>
    <n v="0"/>
  </r>
  <r>
    <x v="4"/>
    <x v="1"/>
    <s v="TAS"/>
    <s v="No gap agreement"/>
    <s v="100% MBS Fee to 125% MBS Fee"/>
    <n v="0"/>
    <n v="0"/>
    <n v="0"/>
    <n v="0"/>
  </r>
  <r>
    <x v="4"/>
    <x v="1"/>
    <s v="TAS"/>
    <s v="No gap agreement"/>
    <s v="More than 125% MBS Fee to 150% MBS Fee"/>
    <n v="0"/>
    <n v="0"/>
    <n v="0"/>
    <n v="0"/>
  </r>
  <r>
    <x v="4"/>
    <x v="1"/>
    <s v="TAS"/>
    <s v="No gap agreement"/>
    <s v="More than 150% MBS Fee to 200% MBS Fee"/>
    <n v="0"/>
    <n v="0"/>
    <n v="0"/>
    <n v="0"/>
  </r>
  <r>
    <x v="4"/>
    <x v="1"/>
    <s v="TAS"/>
    <s v="No gap agreement"/>
    <s v="More than 200% MBS Fee"/>
    <n v="0"/>
    <n v="0"/>
    <n v="0"/>
    <n v="0"/>
  </r>
  <r>
    <x v="4"/>
    <x v="1"/>
    <s v="TAS"/>
    <s v="No gap agreement"/>
    <s v="Up to MBS Fee"/>
    <n v="0"/>
    <n v="0"/>
    <n v="0"/>
    <n v="0"/>
  </r>
  <r>
    <x v="4"/>
    <x v="1"/>
    <s v="VIC"/>
    <s v="Known gap agreement"/>
    <s v="100% MBS Fee to 125% MBS Fee"/>
    <n v="0"/>
    <n v="0"/>
    <n v="0"/>
    <n v="0"/>
  </r>
  <r>
    <x v="4"/>
    <x v="1"/>
    <s v="VIC"/>
    <s v="Known gap agreement"/>
    <s v="More than 125% MBS Fee to 150% MBS Fee"/>
    <n v="0"/>
    <n v="0"/>
    <n v="0"/>
    <n v="0"/>
  </r>
  <r>
    <x v="4"/>
    <x v="1"/>
    <s v="VIC"/>
    <s v="Known gap agreement"/>
    <s v="More than 150% MBS Fee to 200% MBS Fee"/>
    <n v="0"/>
    <n v="0"/>
    <n v="0"/>
    <n v="0"/>
  </r>
  <r>
    <x v="4"/>
    <x v="1"/>
    <s v="VIC"/>
    <s v="Known gap agreement"/>
    <s v="More than 200% MBS Fee"/>
    <n v="0"/>
    <n v="0"/>
    <n v="0"/>
    <n v="0"/>
  </r>
  <r>
    <x v="4"/>
    <x v="1"/>
    <s v="VIC"/>
    <s v="No agreement"/>
    <s v="100% MBS Fee to 125% MBS Fee"/>
    <n v="0"/>
    <n v="0"/>
    <n v="0"/>
    <n v="0"/>
  </r>
  <r>
    <x v="4"/>
    <x v="1"/>
    <s v="VIC"/>
    <s v="No agreement"/>
    <s v="More than 125% MBS Fee to 150% MBS Fee"/>
    <n v="0"/>
    <n v="0"/>
    <n v="0"/>
    <n v="0"/>
  </r>
  <r>
    <x v="4"/>
    <x v="1"/>
    <s v="VIC"/>
    <s v="No agreement"/>
    <s v="More than 150% MBS Fee to 200% MBS Fee"/>
    <n v="0"/>
    <n v="0"/>
    <n v="0"/>
    <n v="0"/>
  </r>
  <r>
    <x v="4"/>
    <x v="1"/>
    <s v="VIC"/>
    <s v="No agreement"/>
    <s v="More than 200% MBS Fee"/>
    <n v="0"/>
    <n v="0"/>
    <n v="0"/>
    <n v="0"/>
  </r>
  <r>
    <x v="4"/>
    <x v="1"/>
    <s v="VIC"/>
    <s v="No agreement"/>
    <s v="Up to MBS Fee"/>
    <n v="0"/>
    <n v="0"/>
    <n v="0"/>
    <n v="0"/>
  </r>
  <r>
    <x v="4"/>
    <x v="1"/>
    <s v="VIC"/>
    <s v="No gap agreement"/>
    <s v="100% MBS Fee to 125% MBS Fee"/>
    <n v="0"/>
    <n v="0"/>
    <n v="0"/>
    <n v="0"/>
  </r>
  <r>
    <x v="4"/>
    <x v="1"/>
    <s v="VIC"/>
    <s v="No gap agreement"/>
    <s v="More than 125% MBS Fee to 150% MBS Fee"/>
    <n v="0"/>
    <n v="0"/>
    <n v="0"/>
    <n v="0"/>
  </r>
  <r>
    <x v="4"/>
    <x v="1"/>
    <s v="VIC"/>
    <s v="No gap agreement"/>
    <s v="More than 150% MBS Fee to 200% MBS Fee"/>
    <n v="0"/>
    <n v="0"/>
    <n v="0"/>
    <n v="0"/>
  </r>
  <r>
    <x v="4"/>
    <x v="1"/>
    <s v="VIC"/>
    <s v="No gap agreement"/>
    <s v="More than 200% MBS Fee"/>
    <n v="0"/>
    <n v="0"/>
    <n v="0"/>
    <n v="0"/>
  </r>
  <r>
    <x v="4"/>
    <x v="1"/>
    <s v="VIC"/>
    <s v="No gap agreement"/>
    <s v="Up to MBS Fee"/>
    <n v="0"/>
    <n v="0"/>
    <n v="0"/>
    <n v="0"/>
  </r>
  <r>
    <x v="4"/>
    <x v="1"/>
    <s v="WA"/>
    <s v="Known gap agreement"/>
    <s v="100% MBS Fee to 125% MBS Fee"/>
    <n v="0"/>
    <n v="0"/>
    <n v="0"/>
    <n v="0"/>
  </r>
  <r>
    <x v="4"/>
    <x v="1"/>
    <s v="WA"/>
    <s v="Known gap agreement"/>
    <s v="More than 125% MBS Fee to 150% MBS Fee"/>
    <n v="0"/>
    <n v="0"/>
    <n v="0"/>
    <n v="0"/>
  </r>
  <r>
    <x v="4"/>
    <x v="1"/>
    <s v="WA"/>
    <s v="Known gap agreement"/>
    <s v="More than 150% MBS Fee to 200% MBS Fee"/>
    <n v="0"/>
    <n v="0"/>
    <n v="0"/>
    <n v="0"/>
  </r>
  <r>
    <x v="4"/>
    <x v="1"/>
    <s v="WA"/>
    <s v="Known gap agreement"/>
    <s v="More than 200% MBS Fee"/>
    <n v="0"/>
    <n v="0"/>
    <n v="0"/>
    <n v="0"/>
  </r>
  <r>
    <x v="4"/>
    <x v="1"/>
    <s v="WA"/>
    <s v="No agreement"/>
    <s v="100% MBS Fee to 125% MBS Fee"/>
    <n v="0"/>
    <n v="0"/>
    <n v="0"/>
    <n v="0"/>
  </r>
  <r>
    <x v="4"/>
    <x v="1"/>
    <s v="WA"/>
    <s v="No agreement"/>
    <s v="More than 125% MBS Fee to 150% MBS Fee"/>
    <n v="0"/>
    <n v="0"/>
    <n v="0"/>
    <n v="0"/>
  </r>
  <r>
    <x v="4"/>
    <x v="1"/>
    <s v="WA"/>
    <s v="No agreement"/>
    <s v="More than 150% MBS Fee to 200% MBS Fee"/>
    <n v="0"/>
    <n v="0"/>
    <n v="0"/>
    <n v="0"/>
  </r>
  <r>
    <x v="4"/>
    <x v="1"/>
    <s v="WA"/>
    <s v="No agreement"/>
    <s v="More than 200% MBS Fee"/>
    <n v="0"/>
    <n v="0"/>
    <n v="0"/>
    <n v="0"/>
  </r>
  <r>
    <x v="4"/>
    <x v="1"/>
    <s v="WA"/>
    <s v="No agreement"/>
    <s v="Up to MBS Fee"/>
    <n v="0"/>
    <n v="0"/>
    <n v="0"/>
    <n v="0"/>
  </r>
  <r>
    <x v="4"/>
    <x v="1"/>
    <s v="WA"/>
    <s v="No gap agreement"/>
    <s v="100% MBS Fee to 125% MBS Fee"/>
    <n v="0"/>
    <n v="0"/>
    <n v="0"/>
    <n v="0"/>
  </r>
  <r>
    <x v="4"/>
    <x v="1"/>
    <s v="WA"/>
    <s v="No gap agreement"/>
    <s v="More than 125% MBS Fee to 150% MBS Fee"/>
    <n v="0"/>
    <n v="0"/>
    <n v="0"/>
    <n v="0"/>
  </r>
  <r>
    <x v="4"/>
    <x v="1"/>
    <s v="WA"/>
    <s v="No gap agreement"/>
    <s v="More than 150% MBS Fee to 200% MBS Fee"/>
    <n v="0"/>
    <n v="0"/>
    <n v="0"/>
    <n v="0"/>
  </r>
  <r>
    <x v="4"/>
    <x v="1"/>
    <s v="WA"/>
    <s v="No gap agreement"/>
    <s v="More than 200% MBS Fee"/>
    <n v="0"/>
    <n v="0"/>
    <n v="0"/>
    <n v="0"/>
  </r>
  <r>
    <x v="4"/>
    <x v="1"/>
    <s v="WA"/>
    <s v="No gap agreement"/>
    <s v="Up to MBS Fee"/>
    <n v="0"/>
    <n v="0"/>
    <n v="0"/>
    <n v="0"/>
  </r>
  <r>
    <x v="5"/>
    <x v="0"/>
    <s v="ACT"/>
    <s v="Known gap agreement"/>
    <s v="100% MBS Fee to 125% MBS Fee"/>
    <n v="0"/>
    <n v="0"/>
    <n v="0"/>
    <n v="0"/>
  </r>
  <r>
    <x v="5"/>
    <x v="0"/>
    <s v="ACT"/>
    <s v="Known gap agreement"/>
    <s v="More than 125% MBS Fee to 150% MBS Fee"/>
    <n v="0"/>
    <n v="0"/>
    <n v="0"/>
    <n v="0"/>
  </r>
  <r>
    <x v="5"/>
    <x v="0"/>
    <s v="ACT"/>
    <s v="Known gap agreement"/>
    <s v="More than 150% MBS Fee to 200% MBS Fee"/>
    <n v="0"/>
    <n v="0"/>
    <n v="0"/>
    <n v="0"/>
  </r>
  <r>
    <x v="5"/>
    <x v="0"/>
    <s v="ACT"/>
    <s v="Known gap agreement"/>
    <s v="More than 200% MBS Fee"/>
    <n v="0"/>
    <n v="0"/>
    <n v="0"/>
    <n v="0"/>
  </r>
  <r>
    <x v="5"/>
    <x v="0"/>
    <s v="ACT"/>
    <s v="No agreement"/>
    <s v="100% MBS Fee to 125% MBS Fee"/>
    <n v="0"/>
    <n v="0"/>
    <n v="0"/>
    <n v="0"/>
  </r>
  <r>
    <x v="5"/>
    <x v="0"/>
    <s v="ACT"/>
    <s v="No agreement"/>
    <s v="More than 125% MBS Fee to 150% MBS Fee"/>
    <n v="0"/>
    <n v="0"/>
    <n v="0"/>
    <n v="0"/>
  </r>
  <r>
    <x v="5"/>
    <x v="0"/>
    <s v="ACT"/>
    <s v="No agreement"/>
    <s v="More than 150% MBS Fee to 200% MBS Fee"/>
    <n v="0"/>
    <n v="0"/>
    <n v="0"/>
    <n v="0"/>
  </r>
  <r>
    <x v="5"/>
    <x v="0"/>
    <s v="ACT"/>
    <s v="No agreement"/>
    <s v="More than 200% MBS Fee"/>
    <n v="0"/>
    <n v="0"/>
    <n v="0"/>
    <n v="0"/>
  </r>
  <r>
    <x v="5"/>
    <x v="0"/>
    <s v="ACT"/>
    <s v="No agreement"/>
    <s v="Up to MBS Fee"/>
    <n v="0"/>
    <n v="0"/>
    <n v="0"/>
    <n v="0"/>
  </r>
  <r>
    <x v="5"/>
    <x v="0"/>
    <s v="ACT"/>
    <s v="No gap agreement"/>
    <s v="100% MBS Fee to 125% MBS Fee"/>
    <n v="0"/>
    <n v="0"/>
    <n v="0"/>
    <n v="0"/>
  </r>
  <r>
    <x v="5"/>
    <x v="0"/>
    <s v="ACT"/>
    <s v="No gap agreement"/>
    <s v="More than 125% MBS Fee to 150% MBS Fee"/>
    <n v="0"/>
    <n v="0"/>
    <n v="0"/>
    <n v="0"/>
  </r>
  <r>
    <x v="5"/>
    <x v="0"/>
    <s v="ACT"/>
    <s v="No gap agreement"/>
    <s v="More than 150% MBS Fee to 200% MBS Fee"/>
    <n v="0"/>
    <n v="0"/>
    <n v="0"/>
    <n v="0"/>
  </r>
  <r>
    <x v="5"/>
    <x v="0"/>
    <s v="ACT"/>
    <s v="No gap agreement"/>
    <s v="More than 200% MBS Fee"/>
    <n v="0"/>
    <n v="0"/>
    <n v="0"/>
    <n v="0"/>
  </r>
  <r>
    <x v="5"/>
    <x v="0"/>
    <s v="ACT"/>
    <s v="No gap agreement"/>
    <s v="Up to MBS Fee"/>
    <n v="0"/>
    <n v="0"/>
    <n v="0"/>
    <n v="0"/>
  </r>
  <r>
    <x v="5"/>
    <x v="0"/>
    <s v="NSW"/>
    <s v="Known gap agreement"/>
    <s v="100% MBS Fee to 125% MBS Fee"/>
    <n v="1475"/>
    <n v="1032"/>
    <n v="372"/>
    <n v="7"/>
  </r>
  <r>
    <x v="5"/>
    <x v="0"/>
    <s v="NSW"/>
    <s v="Known gap agreement"/>
    <s v="More than 125% MBS Fee to 150% MBS Fee"/>
    <n v="-103"/>
    <n v="-7"/>
    <n v="-307"/>
    <n v="3"/>
  </r>
  <r>
    <x v="5"/>
    <x v="0"/>
    <s v="NSW"/>
    <s v="Known gap agreement"/>
    <s v="More than 150% MBS Fee to 200% MBS Fee"/>
    <n v="238"/>
    <n v="100"/>
    <n v="90"/>
    <n v="1"/>
  </r>
  <r>
    <x v="5"/>
    <x v="0"/>
    <s v="NSW"/>
    <s v="Known gap agreement"/>
    <s v="More than 200% MBS Fee"/>
    <n v="939"/>
    <n v="312"/>
    <n v="603"/>
    <n v="1"/>
  </r>
  <r>
    <x v="5"/>
    <x v="0"/>
    <s v="NSW"/>
    <s v="No agreement"/>
    <s v="100% MBS Fee to 125% MBS Fee"/>
    <n v="207227"/>
    <n v="149698"/>
    <n v="49898"/>
    <n v="2568"/>
  </r>
  <r>
    <x v="5"/>
    <x v="0"/>
    <s v="NSW"/>
    <s v="No agreement"/>
    <s v="More than 125% MBS Fee to 150% MBS Fee"/>
    <n v="60247"/>
    <n v="33360"/>
    <n v="11120"/>
    <n v="399"/>
  </r>
  <r>
    <x v="5"/>
    <x v="0"/>
    <s v="NSW"/>
    <s v="No agreement"/>
    <s v="More than 150% MBS Fee to 200% MBS Fee"/>
    <n v="67277"/>
    <n v="28846"/>
    <n v="9615"/>
    <n v="306"/>
  </r>
  <r>
    <x v="5"/>
    <x v="0"/>
    <s v="NSW"/>
    <s v="No agreement"/>
    <s v="More than 200% MBS Fee"/>
    <n v="65619"/>
    <n v="21277"/>
    <n v="7092"/>
    <n v="112"/>
  </r>
  <r>
    <x v="5"/>
    <x v="0"/>
    <s v="NSW"/>
    <s v="No agreement"/>
    <s v="Up to MBS Fee"/>
    <n v="61229"/>
    <n v="45933"/>
    <n v="15296"/>
    <n v="743"/>
  </r>
  <r>
    <x v="5"/>
    <x v="0"/>
    <s v="NSW"/>
    <s v="No gap agreement"/>
    <s v="100% MBS Fee to 125% MBS Fee"/>
    <n v="28050"/>
    <n v="18272"/>
    <n v="9778"/>
    <n v="163"/>
  </r>
  <r>
    <x v="5"/>
    <x v="0"/>
    <s v="NSW"/>
    <s v="No gap agreement"/>
    <s v="More than 125% MBS Fee to 150% MBS Fee"/>
    <n v="38601"/>
    <n v="21131"/>
    <n v="17470"/>
    <n v="239"/>
  </r>
  <r>
    <x v="5"/>
    <x v="0"/>
    <s v="NSW"/>
    <s v="No gap agreement"/>
    <s v="More than 150% MBS Fee to 200% MBS Fee"/>
    <n v="415"/>
    <n v="174"/>
    <n v="241"/>
    <n v="1"/>
  </r>
  <r>
    <x v="5"/>
    <x v="0"/>
    <s v="NSW"/>
    <s v="No gap agreement"/>
    <s v="More than 200% MBS Fee"/>
    <n v="4552"/>
    <n v="1547"/>
    <n v="3005"/>
    <n v="5"/>
  </r>
  <r>
    <x v="5"/>
    <x v="0"/>
    <s v="NSW"/>
    <s v="No gap agreement"/>
    <s v="Up to MBS Fee"/>
    <n v="694"/>
    <n v="635"/>
    <n v="59"/>
    <n v="3"/>
  </r>
  <r>
    <x v="5"/>
    <x v="0"/>
    <s v="NT"/>
    <s v="Known gap agreement"/>
    <s v="100% MBS Fee to 125% MBS Fee"/>
    <n v="0"/>
    <n v="0"/>
    <n v="0"/>
    <n v="0"/>
  </r>
  <r>
    <x v="5"/>
    <x v="0"/>
    <s v="NT"/>
    <s v="Known gap agreement"/>
    <s v="More than 125% MBS Fee to 150% MBS Fee"/>
    <n v="0"/>
    <n v="0"/>
    <n v="0"/>
    <n v="0"/>
  </r>
  <r>
    <x v="5"/>
    <x v="0"/>
    <s v="NT"/>
    <s v="Known gap agreement"/>
    <s v="More than 150% MBS Fee to 200% MBS Fee"/>
    <n v="0"/>
    <n v="0"/>
    <n v="0"/>
    <n v="0"/>
  </r>
  <r>
    <x v="5"/>
    <x v="0"/>
    <s v="NT"/>
    <s v="Known gap agreement"/>
    <s v="More than 200% MBS Fee"/>
    <n v="0"/>
    <n v="0"/>
    <n v="0"/>
    <n v="0"/>
  </r>
  <r>
    <x v="5"/>
    <x v="0"/>
    <s v="NT"/>
    <s v="No agreement"/>
    <s v="100% MBS Fee to 125% MBS Fee"/>
    <n v="0"/>
    <n v="0"/>
    <n v="0"/>
    <n v="0"/>
  </r>
  <r>
    <x v="5"/>
    <x v="0"/>
    <s v="NT"/>
    <s v="No agreement"/>
    <s v="More than 125% MBS Fee to 150% MBS Fee"/>
    <n v="0"/>
    <n v="0"/>
    <n v="0"/>
    <n v="0"/>
  </r>
  <r>
    <x v="5"/>
    <x v="0"/>
    <s v="NT"/>
    <s v="No agreement"/>
    <s v="More than 150% MBS Fee to 200% MBS Fee"/>
    <n v="0"/>
    <n v="0"/>
    <n v="0"/>
    <n v="0"/>
  </r>
  <r>
    <x v="5"/>
    <x v="0"/>
    <s v="NT"/>
    <s v="No agreement"/>
    <s v="More than 200% MBS Fee"/>
    <n v="0"/>
    <n v="0"/>
    <n v="0"/>
    <n v="0"/>
  </r>
  <r>
    <x v="5"/>
    <x v="0"/>
    <s v="NT"/>
    <s v="No agreement"/>
    <s v="Up to MBS Fee"/>
    <n v="0"/>
    <n v="0"/>
    <n v="0"/>
    <n v="0"/>
  </r>
  <r>
    <x v="5"/>
    <x v="0"/>
    <s v="NT"/>
    <s v="No gap agreement"/>
    <s v="100% MBS Fee to 125% MBS Fee"/>
    <n v="0"/>
    <n v="0"/>
    <n v="0"/>
    <n v="0"/>
  </r>
  <r>
    <x v="5"/>
    <x v="0"/>
    <s v="NT"/>
    <s v="No gap agreement"/>
    <s v="More than 125% MBS Fee to 150% MBS Fee"/>
    <n v="0"/>
    <n v="0"/>
    <n v="0"/>
    <n v="0"/>
  </r>
  <r>
    <x v="5"/>
    <x v="0"/>
    <s v="NT"/>
    <s v="No gap agreement"/>
    <s v="More than 150% MBS Fee to 200% MBS Fee"/>
    <n v="0"/>
    <n v="0"/>
    <n v="0"/>
    <n v="0"/>
  </r>
  <r>
    <x v="5"/>
    <x v="0"/>
    <s v="NT"/>
    <s v="No gap agreement"/>
    <s v="More than 200% MBS Fee"/>
    <n v="0"/>
    <n v="0"/>
    <n v="0"/>
    <n v="0"/>
  </r>
  <r>
    <x v="5"/>
    <x v="0"/>
    <s v="NT"/>
    <s v="No gap agreement"/>
    <s v="Up to MBS Fee"/>
    <n v="0"/>
    <n v="0"/>
    <n v="0"/>
    <n v="0"/>
  </r>
  <r>
    <x v="5"/>
    <x v="0"/>
    <s v="QLD"/>
    <s v="Known gap agreement"/>
    <s v="100% MBS Fee to 125% MBS Fee"/>
    <n v="0"/>
    <n v="0"/>
    <n v="0"/>
    <n v="0"/>
  </r>
  <r>
    <x v="5"/>
    <x v="0"/>
    <s v="QLD"/>
    <s v="Known gap agreement"/>
    <s v="More than 125% MBS Fee to 150% MBS Fee"/>
    <n v="0"/>
    <n v="0"/>
    <n v="0"/>
    <n v="0"/>
  </r>
  <r>
    <x v="5"/>
    <x v="0"/>
    <s v="QLD"/>
    <s v="Known gap agreement"/>
    <s v="More than 150% MBS Fee to 200% MBS Fee"/>
    <n v="0"/>
    <n v="0"/>
    <n v="0"/>
    <n v="0"/>
  </r>
  <r>
    <x v="5"/>
    <x v="0"/>
    <s v="QLD"/>
    <s v="Known gap agreement"/>
    <s v="More than 200% MBS Fee"/>
    <n v="0"/>
    <n v="0"/>
    <n v="0"/>
    <n v="0"/>
  </r>
  <r>
    <x v="5"/>
    <x v="0"/>
    <s v="QLD"/>
    <s v="No agreement"/>
    <s v="100% MBS Fee to 125% MBS Fee"/>
    <n v="0"/>
    <n v="0"/>
    <n v="0"/>
    <n v="0"/>
  </r>
  <r>
    <x v="5"/>
    <x v="0"/>
    <s v="QLD"/>
    <s v="No agreement"/>
    <s v="More than 125% MBS Fee to 150% MBS Fee"/>
    <n v="0"/>
    <n v="0"/>
    <n v="0"/>
    <n v="0"/>
  </r>
  <r>
    <x v="5"/>
    <x v="0"/>
    <s v="QLD"/>
    <s v="No agreement"/>
    <s v="More than 150% MBS Fee to 200% MBS Fee"/>
    <n v="0"/>
    <n v="0"/>
    <n v="0"/>
    <n v="0"/>
  </r>
  <r>
    <x v="5"/>
    <x v="0"/>
    <s v="QLD"/>
    <s v="No agreement"/>
    <s v="More than 200% MBS Fee"/>
    <n v="0"/>
    <n v="0"/>
    <n v="0"/>
    <n v="0"/>
  </r>
  <r>
    <x v="5"/>
    <x v="0"/>
    <s v="QLD"/>
    <s v="No agreement"/>
    <s v="Up to MBS Fee"/>
    <n v="0"/>
    <n v="0"/>
    <n v="0"/>
    <n v="0"/>
  </r>
  <r>
    <x v="5"/>
    <x v="0"/>
    <s v="QLD"/>
    <s v="No gap agreement"/>
    <s v="100% MBS Fee to 125% MBS Fee"/>
    <n v="0"/>
    <n v="0"/>
    <n v="0"/>
    <n v="0"/>
  </r>
  <r>
    <x v="5"/>
    <x v="0"/>
    <s v="QLD"/>
    <s v="No gap agreement"/>
    <s v="More than 125% MBS Fee to 150% MBS Fee"/>
    <n v="0"/>
    <n v="0"/>
    <n v="0"/>
    <n v="0"/>
  </r>
  <r>
    <x v="5"/>
    <x v="0"/>
    <s v="QLD"/>
    <s v="No gap agreement"/>
    <s v="More than 150% MBS Fee to 200% MBS Fee"/>
    <n v="0"/>
    <n v="0"/>
    <n v="0"/>
    <n v="0"/>
  </r>
  <r>
    <x v="5"/>
    <x v="0"/>
    <s v="QLD"/>
    <s v="No gap agreement"/>
    <s v="More than 200% MBS Fee"/>
    <n v="0"/>
    <n v="0"/>
    <n v="0"/>
    <n v="0"/>
  </r>
  <r>
    <x v="5"/>
    <x v="0"/>
    <s v="QLD"/>
    <s v="No gap agreement"/>
    <s v="Up to MBS Fee"/>
    <n v="0"/>
    <n v="0"/>
    <n v="0"/>
    <n v="0"/>
  </r>
  <r>
    <x v="5"/>
    <x v="0"/>
    <s v="SA"/>
    <s v="Known gap agreement"/>
    <s v="100% MBS Fee to 125% MBS Fee"/>
    <n v="0"/>
    <n v="0"/>
    <n v="0"/>
    <n v="0"/>
  </r>
  <r>
    <x v="5"/>
    <x v="0"/>
    <s v="SA"/>
    <s v="Known gap agreement"/>
    <s v="More than 125% MBS Fee to 150% MBS Fee"/>
    <n v="0"/>
    <n v="0"/>
    <n v="0"/>
    <n v="0"/>
  </r>
  <r>
    <x v="5"/>
    <x v="0"/>
    <s v="SA"/>
    <s v="Known gap agreement"/>
    <s v="More than 150% MBS Fee to 200% MBS Fee"/>
    <n v="0"/>
    <n v="0"/>
    <n v="0"/>
    <n v="0"/>
  </r>
  <r>
    <x v="5"/>
    <x v="0"/>
    <s v="SA"/>
    <s v="Known gap agreement"/>
    <s v="More than 200% MBS Fee"/>
    <n v="0"/>
    <n v="0"/>
    <n v="0"/>
    <n v="0"/>
  </r>
  <r>
    <x v="5"/>
    <x v="0"/>
    <s v="SA"/>
    <s v="No agreement"/>
    <s v="100% MBS Fee to 125% MBS Fee"/>
    <n v="5871"/>
    <n v="4339"/>
    <n v="1446"/>
    <n v="66"/>
  </r>
  <r>
    <x v="5"/>
    <x v="0"/>
    <s v="SA"/>
    <s v="No agreement"/>
    <s v="More than 125% MBS Fee to 150% MBS Fee"/>
    <n v="1045"/>
    <n v="587"/>
    <n v="196"/>
    <n v="4"/>
  </r>
  <r>
    <x v="5"/>
    <x v="0"/>
    <s v="SA"/>
    <s v="No agreement"/>
    <s v="More than 150% MBS Fee to 200% MBS Fee"/>
    <n v="2358"/>
    <n v="1040"/>
    <n v="347"/>
    <n v="17"/>
  </r>
  <r>
    <x v="5"/>
    <x v="0"/>
    <s v="SA"/>
    <s v="No agreement"/>
    <s v="More than 200% MBS Fee"/>
    <n v="0"/>
    <n v="0"/>
    <n v="0"/>
    <n v="0"/>
  </r>
  <r>
    <x v="5"/>
    <x v="0"/>
    <s v="SA"/>
    <s v="No agreement"/>
    <s v="Up to MBS Fee"/>
    <n v="1189"/>
    <n v="892"/>
    <n v="297"/>
    <n v="18"/>
  </r>
  <r>
    <x v="5"/>
    <x v="0"/>
    <s v="SA"/>
    <s v="No gap agreement"/>
    <s v="100% MBS Fee to 125% MBS Fee"/>
    <n v="3876"/>
    <n v="2499"/>
    <n v="1377"/>
    <n v="45"/>
  </r>
  <r>
    <x v="5"/>
    <x v="0"/>
    <s v="SA"/>
    <s v="No gap agreement"/>
    <s v="More than 125% MBS Fee to 150% MBS Fee"/>
    <n v="7769"/>
    <n v="4311"/>
    <n v="3458"/>
    <n v="53"/>
  </r>
  <r>
    <x v="5"/>
    <x v="0"/>
    <s v="SA"/>
    <s v="No gap agreement"/>
    <s v="More than 150% MBS Fee to 200% MBS Fee"/>
    <n v="0"/>
    <n v="0"/>
    <n v="0"/>
    <n v="0"/>
  </r>
  <r>
    <x v="5"/>
    <x v="0"/>
    <s v="SA"/>
    <s v="No gap agreement"/>
    <s v="More than 200% MBS Fee"/>
    <n v="352"/>
    <n v="81"/>
    <n v="271"/>
    <n v="3"/>
  </r>
  <r>
    <x v="5"/>
    <x v="0"/>
    <s v="SA"/>
    <s v="No gap agreement"/>
    <s v="Up to MBS Fee"/>
    <n v="352"/>
    <n v="302"/>
    <n v="50"/>
    <n v="2"/>
  </r>
  <r>
    <x v="5"/>
    <x v="0"/>
    <s v="TAS"/>
    <s v="Known gap agreement"/>
    <s v="100% MBS Fee to 125% MBS Fee"/>
    <n v="0"/>
    <n v="0"/>
    <n v="0"/>
    <n v="0"/>
  </r>
  <r>
    <x v="5"/>
    <x v="0"/>
    <s v="TAS"/>
    <s v="Known gap agreement"/>
    <s v="More than 125% MBS Fee to 150% MBS Fee"/>
    <n v="0"/>
    <n v="0"/>
    <n v="0"/>
    <n v="0"/>
  </r>
  <r>
    <x v="5"/>
    <x v="0"/>
    <s v="TAS"/>
    <s v="Known gap agreement"/>
    <s v="More than 150% MBS Fee to 200% MBS Fee"/>
    <n v="0"/>
    <n v="0"/>
    <n v="0"/>
    <n v="0"/>
  </r>
  <r>
    <x v="5"/>
    <x v="0"/>
    <s v="TAS"/>
    <s v="Known gap agreement"/>
    <s v="More than 200% MBS Fee"/>
    <n v="0"/>
    <n v="0"/>
    <n v="0"/>
    <n v="0"/>
  </r>
  <r>
    <x v="5"/>
    <x v="0"/>
    <s v="TAS"/>
    <s v="No agreement"/>
    <s v="100% MBS Fee to 125% MBS Fee"/>
    <n v="0"/>
    <n v="0"/>
    <n v="0"/>
    <n v="0"/>
  </r>
  <r>
    <x v="5"/>
    <x v="0"/>
    <s v="TAS"/>
    <s v="No agreement"/>
    <s v="More than 125% MBS Fee to 150% MBS Fee"/>
    <n v="0"/>
    <n v="0"/>
    <n v="0"/>
    <n v="0"/>
  </r>
  <r>
    <x v="5"/>
    <x v="0"/>
    <s v="TAS"/>
    <s v="No agreement"/>
    <s v="More than 150% MBS Fee to 200% MBS Fee"/>
    <n v="0"/>
    <n v="0"/>
    <n v="0"/>
    <n v="0"/>
  </r>
  <r>
    <x v="5"/>
    <x v="0"/>
    <s v="TAS"/>
    <s v="No agreement"/>
    <s v="More than 200% MBS Fee"/>
    <n v="0"/>
    <n v="0"/>
    <n v="0"/>
    <n v="0"/>
  </r>
  <r>
    <x v="5"/>
    <x v="0"/>
    <s v="TAS"/>
    <s v="No agreement"/>
    <s v="Up to MBS Fee"/>
    <n v="0"/>
    <n v="0"/>
    <n v="0"/>
    <n v="0"/>
  </r>
  <r>
    <x v="5"/>
    <x v="0"/>
    <s v="TAS"/>
    <s v="No gap agreement"/>
    <s v="100% MBS Fee to 125% MBS Fee"/>
    <n v="0"/>
    <n v="0"/>
    <n v="0"/>
    <n v="0"/>
  </r>
  <r>
    <x v="5"/>
    <x v="0"/>
    <s v="TAS"/>
    <s v="No gap agreement"/>
    <s v="More than 125% MBS Fee to 150% MBS Fee"/>
    <n v="0"/>
    <n v="0"/>
    <n v="0"/>
    <n v="0"/>
  </r>
  <r>
    <x v="5"/>
    <x v="0"/>
    <s v="TAS"/>
    <s v="No gap agreement"/>
    <s v="More than 150% MBS Fee to 200% MBS Fee"/>
    <n v="0"/>
    <n v="0"/>
    <n v="0"/>
    <n v="0"/>
  </r>
  <r>
    <x v="5"/>
    <x v="0"/>
    <s v="TAS"/>
    <s v="No gap agreement"/>
    <s v="More than 200% MBS Fee"/>
    <n v="0"/>
    <n v="0"/>
    <n v="0"/>
    <n v="0"/>
  </r>
  <r>
    <x v="5"/>
    <x v="0"/>
    <s v="TAS"/>
    <s v="No gap agreement"/>
    <s v="Up to MBS Fee"/>
    <n v="0"/>
    <n v="0"/>
    <n v="0"/>
    <n v="0"/>
  </r>
  <r>
    <x v="5"/>
    <x v="0"/>
    <s v="VIC"/>
    <s v="Known gap agreement"/>
    <s v="100% MBS Fee to 125% MBS Fee"/>
    <n v="0"/>
    <n v="0"/>
    <n v="0"/>
    <n v="0"/>
  </r>
  <r>
    <x v="5"/>
    <x v="0"/>
    <s v="VIC"/>
    <s v="Known gap agreement"/>
    <s v="More than 125% MBS Fee to 150% MBS Fee"/>
    <n v="0"/>
    <n v="0"/>
    <n v="0"/>
    <n v="0"/>
  </r>
  <r>
    <x v="5"/>
    <x v="0"/>
    <s v="VIC"/>
    <s v="Known gap agreement"/>
    <s v="More than 150% MBS Fee to 200% MBS Fee"/>
    <n v="0"/>
    <n v="0"/>
    <n v="0"/>
    <n v="0"/>
  </r>
  <r>
    <x v="5"/>
    <x v="0"/>
    <s v="VIC"/>
    <s v="Known gap agreement"/>
    <s v="More than 200% MBS Fee"/>
    <n v="0"/>
    <n v="0"/>
    <n v="0"/>
    <n v="0"/>
  </r>
  <r>
    <x v="5"/>
    <x v="0"/>
    <s v="VIC"/>
    <s v="No agreement"/>
    <s v="100% MBS Fee to 125% MBS Fee"/>
    <n v="0"/>
    <n v="0"/>
    <n v="0"/>
    <n v="0"/>
  </r>
  <r>
    <x v="5"/>
    <x v="0"/>
    <s v="VIC"/>
    <s v="No agreement"/>
    <s v="More than 125% MBS Fee to 150% MBS Fee"/>
    <n v="0"/>
    <n v="0"/>
    <n v="0"/>
    <n v="0"/>
  </r>
  <r>
    <x v="5"/>
    <x v="0"/>
    <s v="VIC"/>
    <s v="No agreement"/>
    <s v="More than 150% MBS Fee to 200% MBS Fee"/>
    <n v="0"/>
    <n v="0"/>
    <n v="0"/>
    <n v="0"/>
  </r>
  <r>
    <x v="5"/>
    <x v="0"/>
    <s v="VIC"/>
    <s v="No agreement"/>
    <s v="More than 200% MBS Fee"/>
    <n v="0"/>
    <n v="0"/>
    <n v="0"/>
    <n v="0"/>
  </r>
  <r>
    <x v="5"/>
    <x v="0"/>
    <s v="VIC"/>
    <s v="No agreement"/>
    <s v="Up to MBS Fee"/>
    <n v="0"/>
    <n v="0"/>
    <n v="0"/>
    <n v="0"/>
  </r>
  <r>
    <x v="5"/>
    <x v="0"/>
    <s v="VIC"/>
    <s v="No gap agreement"/>
    <s v="100% MBS Fee to 125% MBS Fee"/>
    <n v="0"/>
    <n v="0"/>
    <n v="0"/>
    <n v="0"/>
  </r>
  <r>
    <x v="5"/>
    <x v="0"/>
    <s v="VIC"/>
    <s v="No gap agreement"/>
    <s v="More than 125% MBS Fee to 150% MBS Fee"/>
    <n v="0"/>
    <n v="0"/>
    <n v="0"/>
    <n v="0"/>
  </r>
  <r>
    <x v="5"/>
    <x v="0"/>
    <s v="VIC"/>
    <s v="No gap agreement"/>
    <s v="More than 150% MBS Fee to 200% MBS Fee"/>
    <n v="0"/>
    <n v="0"/>
    <n v="0"/>
    <n v="0"/>
  </r>
  <r>
    <x v="5"/>
    <x v="0"/>
    <s v="VIC"/>
    <s v="No gap agreement"/>
    <s v="More than 200% MBS Fee"/>
    <n v="0"/>
    <n v="0"/>
    <n v="0"/>
    <n v="0"/>
  </r>
  <r>
    <x v="5"/>
    <x v="0"/>
    <s v="VIC"/>
    <s v="No gap agreement"/>
    <s v="Up to MBS Fee"/>
    <n v="0"/>
    <n v="0"/>
    <n v="0"/>
    <n v="0"/>
  </r>
  <r>
    <x v="5"/>
    <x v="0"/>
    <s v="WA"/>
    <s v="Known gap agreement"/>
    <s v="100% MBS Fee to 125% MBS Fee"/>
    <n v="0"/>
    <n v="0"/>
    <n v="0"/>
    <n v="0"/>
  </r>
  <r>
    <x v="5"/>
    <x v="0"/>
    <s v="WA"/>
    <s v="Known gap agreement"/>
    <s v="More than 125% MBS Fee to 150% MBS Fee"/>
    <n v="0"/>
    <n v="0"/>
    <n v="0"/>
    <n v="0"/>
  </r>
  <r>
    <x v="5"/>
    <x v="0"/>
    <s v="WA"/>
    <s v="Known gap agreement"/>
    <s v="More than 150% MBS Fee to 200% MBS Fee"/>
    <n v="0"/>
    <n v="0"/>
    <n v="0"/>
    <n v="0"/>
  </r>
  <r>
    <x v="5"/>
    <x v="0"/>
    <s v="WA"/>
    <s v="Known gap agreement"/>
    <s v="More than 200% MBS Fee"/>
    <n v="0"/>
    <n v="0"/>
    <n v="0"/>
    <n v="0"/>
  </r>
  <r>
    <x v="5"/>
    <x v="0"/>
    <s v="WA"/>
    <s v="No agreement"/>
    <s v="100% MBS Fee to 125% MBS Fee"/>
    <n v="0"/>
    <n v="0"/>
    <n v="0"/>
    <n v="0"/>
  </r>
  <r>
    <x v="5"/>
    <x v="0"/>
    <s v="WA"/>
    <s v="No agreement"/>
    <s v="More than 125% MBS Fee to 150% MBS Fee"/>
    <n v="0"/>
    <n v="0"/>
    <n v="0"/>
    <n v="0"/>
  </r>
  <r>
    <x v="5"/>
    <x v="0"/>
    <s v="WA"/>
    <s v="No agreement"/>
    <s v="More than 150% MBS Fee to 200% MBS Fee"/>
    <n v="0"/>
    <n v="0"/>
    <n v="0"/>
    <n v="0"/>
  </r>
  <r>
    <x v="5"/>
    <x v="0"/>
    <s v="WA"/>
    <s v="No agreement"/>
    <s v="More than 200% MBS Fee"/>
    <n v="0"/>
    <n v="0"/>
    <n v="0"/>
    <n v="0"/>
  </r>
  <r>
    <x v="5"/>
    <x v="0"/>
    <s v="WA"/>
    <s v="No agreement"/>
    <s v="Up to MBS Fee"/>
    <n v="0"/>
    <n v="0"/>
    <n v="0"/>
    <n v="0"/>
  </r>
  <r>
    <x v="5"/>
    <x v="0"/>
    <s v="WA"/>
    <s v="No gap agreement"/>
    <s v="100% MBS Fee to 125% MBS Fee"/>
    <n v="0"/>
    <n v="0"/>
    <n v="0"/>
    <n v="0"/>
  </r>
  <r>
    <x v="5"/>
    <x v="0"/>
    <s v="WA"/>
    <s v="No gap agreement"/>
    <s v="More than 125% MBS Fee to 150% MBS Fee"/>
    <n v="0"/>
    <n v="0"/>
    <n v="0"/>
    <n v="0"/>
  </r>
  <r>
    <x v="5"/>
    <x v="0"/>
    <s v="WA"/>
    <s v="No gap agreement"/>
    <s v="More than 150% MBS Fee to 200% MBS Fee"/>
    <n v="0"/>
    <n v="0"/>
    <n v="0"/>
    <n v="0"/>
  </r>
  <r>
    <x v="5"/>
    <x v="0"/>
    <s v="WA"/>
    <s v="No gap agreement"/>
    <s v="More than 200% MBS Fee"/>
    <n v="0"/>
    <n v="0"/>
    <n v="0"/>
    <n v="0"/>
  </r>
  <r>
    <x v="5"/>
    <x v="0"/>
    <s v="WA"/>
    <s v="No gap agreement"/>
    <s v="Up to MBS Fee"/>
    <n v="0"/>
    <n v="0"/>
    <n v="0"/>
    <n v="0"/>
  </r>
  <r>
    <x v="5"/>
    <x v="2"/>
    <s v="ACT"/>
    <s v="Known gap agreement"/>
    <s v="100% MBS Fee to 125% MBS Fee"/>
    <n v="0"/>
    <n v="0"/>
    <n v="0"/>
    <n v="0"/>
  </r>
  <r>
    <x v="5"/>
    <x v="2"/>
    <s v="ACT"/>
    <s v="Known gap agreement"/>
    <s v="More than 125% MBS Fee to 150% MBS Fee"/>
    <n v="0"/>
    <n v="0"/>
    <n v="0"/>
    <n v="0"/>
  </r>
  <r>
    <x v="5"/>
    <x v="2"/>
    <s v="ACT"/>
    <s v="Known gap agreement"/>
    <s v="More than 150% MBS Fee to 200% MBS Fee"/>
    <n v="0"/>
    <n v="0"/>
    <n v="0"/>
    <n v="0"/>
  </r>
  <r>
    <x v="5"/>
    <x v="2"/>
    <s v="ACT"/>
    <s v="Known gap agreement"/>
    <s v="More than 200% MBS Fee"/>
    <n v="0"/>
    <n v="0"/>
    <n v="0"/>
    <n v="0"/>
  </r>
  <r>
    <x v="5"/>
    <x v="2"/>
    <s v="ACT"/>
    <s v="No agreement"/>
    <s v="100% MBS Fee to 125% MBS Fee"/>
    <n v="0"/>
    <n v="0"/>
    <n v="0"/>
    <n v="0"/>
  </r>
  <r>
    <x v="5"/>
    <x v="2"/>
    <s v="ACT"/>
    <s v="No agreement"/>
    <s v="More than 125% MBS Fee to 150% MBS Fee"/>
    <n v="0"/>
    <n v="0"/>
    <n v="0"/>
    <n v="0"/>
  </r>
  <r>
    <x v="5"/>
    <x v="2"/>
    <s v="ACT"/>
    <s v="No agreement"/>
    <s v="More than 150% MBS Fee to 200% MBS Fee"/>
    <n v="0"/>
    <n v="0"/>
    <n v="0"/>
    <n v="0"/>
  </r>
  <r>
    <x v="5"/>
    <x v="2"/>
    <s v="ACT"/>
    <s v="No agreement"/>
    <s v="More than 200% MBS Fee"/>
    <n v="0"/>
    <n v="0"/>
    <n v="0"/>
    <n v="0"/>
  </r>
  <r>
    <x v="5"/>
    <x v="2"/>
    <s v="ACT"/>
    <s v="No agreement"/>
    <s v="Up to MBS Fee"/>
    <n v="0"/>
    <n v="0"/>
    <n v="0"/>
    <n v="0"/>
  </r>
  <r>
    <x v="5"/>
    <x v="2"/>
    <s v="ACT"/>
    <s v="No gap agreement"/>
    <s v="100% MBS Fee to 125% MBS Fee"/>
    <n v="0"/>
    <n v="0"/>
    <n v="0"/>
    <n v="0"/>
  </r>
  <r>
    <x v="5"/>
    <x v="2"/>
    <s v="ACT"/>
    <s v="No gap agreement"/>
    <s v="More than 125% MBS Fee to 150% MBS Fee"/>
    <n v="0"/>
    <n v="0"/>
    <n v="0"/>
    <n v="0"/>
  </r>
  <r>
    <x v="5"/>
    <x v="2"/>
    <s v="ACT"/>
    <s v="No gap agreement"/>
    <s v="More than 150% MBS Fee to 200% MBS Fee"/>
    <n v="0"/>
    <n v="0"/>
    <n v="0"/>
    <n v="0"/>
  </r>
  <r>
    <x v="5"/>
    <x v="2"/>
    <s v="ACT"/>
    <s v="No gap agreement"/>
    <s v="More than 200% MBS Fee"/>
    <n v="0"/>
    <n v="0"/>
    <n v="0"/>
    <n v="0"/>
  </r>
  <r>
    <x v="5"/>
    <x v="2"/>
    <s v="ACT"/>
    <s v="No gap agreement"/>
    <s v="Up to MBS Fee"/>
    <n v="0"/>
    <n v="0"/>
    <n v="0"/>
    <n v="0"/>
  </r>
  <r>
    <x v="5"/>
    <x v="2"/>
    <s v="NSW"/>
    <s v="Known gap agreement"/>
    <s v="100% MBS Fee to 125% MBS Fee"/>
    <n v="0"/>
    <n v="0"/>
    <n v="0"/>
    <n v="0"/>
  </r>
  <r>
    <x v="5"/>
    <x v="2"/>
    <s v="NSW"/>
    <s v="Known gap agreement"/>
    <s v="More than 125% MBS Fee to 150% MBS Fee"/>
    <n v="0"/>
    <n v="0"/>
    <n v="0"/>
    <n v="0"/>
  </r>
  <r>
    <x v="5"/>
    <x v="2"/>
    <s v="NSW"/>
    <s v="Known gap agreement"/>
    <s v="More than 150% MBS Fee to 200% MBS Fee"/>
    <n v="0"/>
    <n v="0"/>
    <n v="0"/>
    <n v="0"/>
  </r>
  <r>
    <x v="5"/>
    <x v="2"/>
    <s v="NSW"/>
    <s v="Known gap agreement"/>
    <s v="More than 200% MBS Fee"/>
    <n v="0"/>
    <n v="0"/>
    <n v="0"/>
    <n v="0"/>
  </r>
  <r>
    <x v="5"/>
    <x v="2"/>
    <s v="NSW"/>
    <s v="No agreement"/>
    <s v="100% MBS Fee to 125% MBS Fee"/>
    <n v="0"/>
    <n v="0"/>
    <n v="0"/>
    <n v="0"/>
  </r>
  <r>
    <x v="5"/>
    <x v="2"/>
    <s v="NSW"/>
    <s v="No agreement"/>
    <s v="More than 125% MBS Fee to 150% MBS Fee"/>
    <n v="0"/>
    <n v="0"/>
    <n v="0"/>
    <n v="0"/>
  </r>
  <r>
    <x v="5"/>
    <x v="2"/>
    <s v="NSW"/>
    <s v="No agreement"/>
    <s v="More than 150% MBS Fee to 200% MBS Fee"/>
    <n v="0"/>
    <n v="0"/>
    <n v="0"/>
    <n v="0"/>
  </r>
  <r>
    <x v="5"/>
    <x v="2"/>
    <s v="NSW"/>
    <s v="No agreement"/>
    <s v="More than 200% MBS Fee"/>
    <n v="0"/>
    <n v="0"/>
    <n v="0"/>
    <n v="0"/>
  </r>
  <r>
    <x v="5"/>
    <x v="2"/>
    <s v="NSW"/>
    <s v="No agreement"/>
    <s v="Up to MBS Fee"/>
    <n v="0"/>
    <n v="0"/>
    <n v="0"/>
    <n v="0"/>
  </r>
  <r>
    <x v="5"/>
    <x v="2"/>
    <s v="NSW"/>
    <s v="No gap agreement"/>
    <s v="100% MBS Fee to 125% MBS Fee"/>
    <n v="0"/>
    <n v="0"/>
    <n v="0"/>
    <n v="0"/>
  </r>
  <r>
    <x v="5"/>
    <x v="2"/>
    <s v="NSW"/>
    <s v="No gap agreement"/>
    <s v="More than 125% MBS Fee to 150% MBS Fee"/>
    <n v="0"/>
    <n v="0"/>
    <n v="0"/>
    <n v="0"/>
  </r>
  <r>
    <x v="5"/>
    <x v="2"/>
    <s v="NSW"/>
    <s v="No gap agreement"/>
    <s v="More than 150% MBS Fee to 200% MBS Fee"/>
    <n v="0"/>
    <n v="0"/>
    <n v="0"/>
    <n v="0"/>
  </r>
  <r>
    <x v="5"/>
    <x v="2"/>
    <s v="NSW"/>
    <s v="No gap agreement"/>
    <s v="More than 200% MBS Fee"/>
    <n v="0"/>
    <n v="0"/>
    <n v="0"/>
    <n v="0"/>
  </r>
  <r>
    <x v="5"/>
    <x v="2"/>
    <s v="NSW"/>
    <s v="No gap agreement"/>
    <s v="Up to MBS Fee"/>
    <n v="0"/>
    <n v="0"/>
    <n v="0"/>
    <n v="0"/>
  </r>
  <r>
    <x v="5"/>
    <x v="2"/>
    <s v="NT"/>
    <s v="Known gap agreement"/>
    <s v="100% MBS Fee to 125% MBS Fee"/>
    <n v="0"/>
    <n v="0"/>
    <n v="0"/>
    <n v="0"/>
  </r>
  <r>
    <x v="5"/>
    <x v="2"/>
    <s v="NT"/>
    <s v="Known gap agreement"/>
    <s v="More than 125% MBS Fee to 150% MBS Fee"/>
    <n v="0"/>
    <n v="0"/>
    <n v="0"/>
    <n v="0"/>
  </r>
  <r>
    <x v="5"/>
    <x v="2"/>
    <s v="NT"/>
    <s v="Known gap agreement"/>
    <s v="More than 150% MBS Fee to 200% MBS Fee"/>
    <n v="0"/>
    <n v="0"/>
    <n v="0"/>
    <n v="0"/>
  </r>
  <r>
    <x v="5"/>
    <x v="2"/>
    <s v="NT"/>
    <s v="Known gap agreement"/>
    <s v="More than 200% MBS Fee"/>
    <n v="0"/>
    <n v="0"/>
    <n v="0"/>
    <n v="0"/>
  </r>
  <r>
    <x v="5"/>
    <x v="2"/>
    <s v="NT"/>
    <s v="No agreement"/>
    <s v="100% MBS Fee to 125% MBS Fee"/>
    <n v="0"/>
    <n v="0"/>
    <n v="0"/>
    <n v="0"/>
  </r>
  <r>
    <x v="5"/>
    <x v="2"/>
    <s v="NT"/>
    <s v="No agreement"/>
    <s v="More than 125% MBS Fee to 150% MBS Fee"/>
    <n v="0"/>
    <n v="0"/>
    <n v="0"/>
    <n v="0"/>
  </r>
  <r>
    <x v="5"/>
    <x v="2"/>
    <s v="NT"/>
    <s v="No agreement"/>
    <s v="More than 150% MBS Fee to 200% MBS Fee"/>
    <n v="0"/>
    <n v="0"/>
    <n v="0"/>
    <n v="0"/>
  </r>
  <r>
    <x v="5"/>
    <x v="2"/>
    <s v="NT"/>
    <s v="No agreement"/>
    <s v="More than 200% MBS Fee"/>
    <n v="0"/>
    <n v="0"/>
    <n v="0"/>
    <n v="0"/>
  </r>
  <r>
    <x v="5"/>
    <x v="2"/>
    <s v="NT"/>
    <s v="No agreement"/>
    <s v="Up to MBS Fee"/>
    <n v="0"/>
    <n v="0"/>
    <n v="0"/>
    <n v="0"/>
  </r>
  <r>
    <x v="5"/>
    <x v="2"/>
    <s v="NT"/>
    <s v="No gap agreement"/>
    <s v="100% MBS Fee to 125% MBS Fee"/>
    <n v="0"/>
    <n v="0"/>
    <n v="0"/>
    <n v="0"/>
  </r>
  <r>
    <x v="5"/>
    <x v="2"/>
    <s v="NT"/>
    <s v="No gap agreement"/>
    <s v="More than 125% MBS Fee to 150% MBS Fee"/>
    <n v="0"/>
    <n v="0"/>
    <n v="0"/>
    <n v="0"/>
  </r>
  <r>
    <x v="5"/>
    <x v="2"/>
    <s v="NT"/>
    <s v="No gap agreement"/>
    <s v="More than 150% MBS Fee to 200% MBS Fee"/>
    <n v="0"/>
    <n v="0"/>
    <n v="0"/>
    <n v="0"/>
  </r>
  <r>
    <x v="5"/>
    <x v="2"/>
    <s v="NT"/>
    <s v="No gap agreement"/>
    <s v="More than 200% MBS Fee"/>
    <n v="0"/>
    <n v="0"/>
    <n v="0"/>
    <n v="0"/>
  </r>
  <r>
    <x v="5"/>
    <x v="2"/>
    <s v="NT"/>
    <s v="No gap agreement"/>
    <s v="Up to MBS Fee"/>
    <n v="0"/>
    <n v="0"/>
    <n v="0"/>
    <n v="0"/>
  </r>
  <r>
    <x v="5"/>
    <x v="2"/>
    <s v="QLD"/>
    <s v="Known gap agreement"/>
    <s v="100% MBS Fee to 125% MBS Fee"/>
    <n v="0"/>
    <n v="0"/>
    <n v="0"/>
    <n v="0"/>
  </r>
  <r>
    <x v="5"/>
    <x v="2"/>
    <s v="QLD"/>
    <s v="Known gap agreement"/>
    <s v="More than 125% MBS Fee to 150% MBS Fee"/>
    <n v="0"/>
    <n v="0"/>
    <n v="0"/>
    <n v="0"/>
  </r>
  <r>
    <x v="5"/>
    <x v="2"/>
    <s v="QLD"/>
    <s v="Known gap agreement"/>
    <s v="More than 150% MBS Fee to 200% MBS Fee"/>
    <n v="0"/>
    <n v="0"/>
    <n v="0"/>
    <n v="0"/>
  </r>
  <r>
    <x v="5"/>
    <x v="2"/>
    <s v="QLD"/>
    <s v="Known gap agreement"/>
    <s v="More than 200% MBS Fee"/>
    <n v="0"/>
    <n v="0"/>
    <n v="0"/>
    <n v="0"/>
  </r>
  <r>
    <x v="5"/>
    <x v="2"/>
    <s v="QLD"/>
    <s v="No agreement"/>
    <s v="100% MBS Fee to 125% MBS Fee"/>
    <n v="0"/>
    <n v="0"/>
    <n v="0"/>
    <n v="0"/>
  </r>
  <r>
    <x v="5"/>
    <x v="2"/>
    <s v="QLD"/>
    <s v="No agreement"/>
    <s v="More than 125% MBS Fee to 150% MBS Fee"/>
    <n v="0"/>
    <n v="0"/>
    <n v="0"/>
    <n v="0"/>
  </r>
  <r>
    <x v="5"/>
    <x v="2"/>
    <s v="QLD"/>
    <s v="No agreement"/>
    <s v="More than 150% MBS Fee to 200% MBS Fee"/>
    <n v="0"/>
    <n v="0"/>
    <n v="0"/>
    <n v="0"/>
  </r>
  <r>
    <x v="5"/>
    <x v="2"/>
    <s v="QLD"/>
    <s v="No agreement"/>
    <s v="More than 200% MBS Fee"/>
    <n v="0"/>
    <n v="0"/>
    <n v="0"/>
    <n v="0"/>
  </r>
  <r>
    <x v="5"/>
    <x v="2"/>
    <s v="QLD"/>
    <s v="No agreement"/>
    <s v="Up to MBS Fee"/>
    <n v="0"/>
    <n v="0"/>
    <n v="0"/>
    <n v="0"/>
  </r>
  <r>
    <x v="5"/>
    <x v="2"/>
    <s v="QLD"/>
    <s v="No gap agreement"/>
    <s v="100% MBS Fee to 125% MBS Fee"/>
    <n v="0"/>
    <n v="0"/>
    <n v="0"/>
    <n v="0"/>
  </r>
  <r>
    <x v="5"/>
    <x v="2"/>
    <s v="QLD"/>
    <s v="No gap agreement"/>
    <s v="More than 125% MBS Fee to 150% MBS Fee"/>
    <n v="0"/>
    <n v="0"/>
    <n v="0"/>
    <n v="0"/>
  </r>
  <r>
    <x v="5"/>
    <x v="2"/>
    <s v="QLD"/>
    <s v="No gap agreement"/>
    <s v="More than 150% MBS Fee to 200% MBS Fee"/>
    <n v="0"/>
    <n v="0"/>
    <n v="0"/>
    <n v="0"/>
  </r>
  <r>
    <x v="5"/>
    <x v="2"/>
    <s v="QLD"/>
    <s v="No gap agreement"/>
    <s v="More than 200% MBS Fee"/>
    <n v="0"/>
    <n v="0"/>
    <n v="0"/>
    <n v="0"/>
  </r>
  <r>
    <x v="5"/>
    <x v="2"/>
    <s v="QLD"/>
    <s v="No gap agreement"/>
    <s v="Up to MBS Fee"/>
    <n v="0"/>
    <n v="0"/>
    <n v="0"/>
    <n v="0"/>
  </r>
  <r>
    <x v="5"/>
    <x v="2"/>
    <s v="SA"/>
    <s v="Known gap agreement"/>
    <s v="100% MBS Fee to 125% MBS Fee"/>
    <n v="0"/>
    <n v="0"/>
    <n v="0"/>
    <n v="0"/>
  </r>
  <r>
    <x v="5"/>
    <x v="2"/>
    <s v="SA"/>
    <s v="Known gap agreement"/>
    <s v="More than 125% MBS Fee to 150% MBS Fee"/>
    <n v="0"/>
    <n v="0"/>
    <n v="0"/>
    <n v="0"/>
  </r>
  <r>
    <x v="5"/>
    <x v="2"/>
    <s v="SA"/>
    <s v="Known gap agreement"/>
    <s v="More than 150% MBS Fee to 200% MBS Fee"/>
    <n v="0"/>
    <n v="0"/>
    <n v="0"/>
    <n v="0"/>
  </r>
  <r>
    <x v="5"/>
    <x v="2"/>
    <s v="SA"/>
    <s v="Known gap agreement"/>
    <s v="More than 200% MBS Fee"/>
    <n v="0"/>
    <n v="0"/>
    <n v="0"/>
    <n v="0"/>
  </r>
  <r>
    <x v="5"/>
    <x v="2"/>
    <s v="SA"/>
    <s v="No agreement"/>
    <s v="100% MBS Fee to 125% MBS Fee"/>
    <n v="0"/>
    <n v="0"/>
    <n v="0"/>
    <n v="0"/>
  </r>
  <r>
    <x v="5"/>
    <x v="2"/>
    <s v="SA"/>
    <s v="No agreement"/>
    <s v="More than 125% MBS Fee to 150% MBS Fee"/>
    <n v="0"/>
    <n v="0"/>
    <n v="0"/>
    <n v="0"/>
  </r>
  <r>
    <x v="5"/>
    <x v="2"/>
    <s v="SA"/>
    <s v="No agreement"/>
    <s v="More than 150% MBS Fee to 200% MBS Fee"/>
    <n v="0"/>
    <n v="0"/>
    <n v="0"/>
    <n v="0"/>
  </r>
  <r>
    <x v="5"/>
    <x v="2"/>
    <s v="SA"/>
    <s v="No agreement"/>
    <s v="More than 200% MBS Fee"/>
    <n v="0"/>
    <n v="0"/>
    <n v="0"/>
    <n v="0"/>
  </r>
  <r>
    <x v="5"/>
    <x v="2"/>
    <s v="SA"/>
    <s v="No agreement"/>
    <s v="Up to MBS Fee"/>
    <n v="0"/>
    <n v="0"/>
    <n v="0"/>
    <n v="0"/>
  </r>
  <r>
    <x v="5"/>
    <x v="2"/>
    <s v="SA"/>
    <s v="No gap agreement"/>
    <s v="100% MBS Fee to 125% MBS Fee"/>
    <n v="0"/>
    <n v="0"/>
    <n v="0"/>
    <n v="0"/>
  </r>
  <r>
    <x v="5"/>
    <x v="2"/>
    <s v="SA"/>
    <s v="No gap agreement"/>
    <s v="More than 125% MBS Fee to 150% MBS Fee"/>
    <n v="0"/>
    <n v="0"/>
    <n v="0"/>
    <n v="0"/>
  </r>
  <r>
    <x v="5"/>
    <x v="2"/>
    <s v="SA"/>
    <s v="No gap agreement"/>
    <s v="More than 150% MBS Fee to 200% MBS Fee"/>
    <n v="0"/>
    <n v="0"/>
    <n v="0"/>
    <n v="0"/>
  </r>
  <r>
    <x v="5"/>
    <x v="2"/>
    <s v="SA"/>
    <s v="No gap agreement"/>
    <s v="More than 200% MBS Fee"/>
    <n v="0"/>
    <n v="0"/>
    <n v="0"/>
    <n v="0"/>
  </r>
  <r>
    <x v="5"/>
    <x v="2"/>
    <s v="SA"/>
    <s v="No gap agreement"/>
    <s v="Up to MBS Fee"/>
    <n v="0"/>
    <n v="0"/>
    <n v="0"/>
    <n v="0"/>
  </r>
  <r>
    <x v="5"/>
    <x v="2"/>
    <s v="TAS"/>
    <s v="Known gap agreement"/>
    <s v="100% MBS Fee to 125% MBS Fee"/>
    <n v="0"/>
    <n v="0"/>
    <n v="0"/>
    <n v="0"/>
  </r>
  <r>
    <x v="5"/>
    <x v="2"/>
    <s v="TAS"/>
    <s v="Known gap agreement"/>
    <s v="More than 125% MBS Fee to 150% MBS Fee"/>
    <n v="0"/>
    <n v="0"/>
    <n v="0"/>
    <n v="0"/>
  </r>
  <r>
    <x v="5"/>
    <x v="2"/>
    <s v="TAS"/>
    <s v="Known gap agreement"/>
    <s v="More than 150% MBS Fee to 200% MBS Fee"/>
    <n v="0"/>
    <n v="0"/>
    <n v="0"/>
    <n v="0"/>
  </r>
  <r>
    <x v="5"/>
    <x v="2"/>
    <s v="TAS"/>
    <s v="Known gap agreement"/>
    <s v="More than 200% MBS Fee"/>
    <n v="0"/>
    <n v="0"/>
    <n v="0"/>
    <n v="0"/>
  </r>
  <r>
    <x v="5"/>
    <x v="2"/>
    <s v="TAS"/>
    <s v="No agreement"/>
    <s v="100% MBS Fee to 125% MBS Fee"/>
    <n v="0"/>
    <n v="0"/>
    <n v="0"/>
    <n v="0"/>
  </r>
  <r>
    <x v="5"/>
    <x v="2"/>
    <s v="TAS"/>
    <s v="No agreement"/>
    <s v="More than 125% MBS Fee to 150% MBS Fee"/>
    <n v="0"/>
    <n v="0"/>
    <n v="0"/>
    <n v="0"/>
  </r>
  <r>
    <x v="5"/>
    <x v="2"/>
    <s v="TAS"/>
    <s v="No agreement"/>
    <s v="More than 150% MBS Fee to 200% MBS Fee"/>
    <n v="0"/>
    <n v="0"/>
    <n v="0"/>
    <n v="0"/>
  </r>
  <r>
    <x v="5"/>
    <x v="2"/>
    <s v="TAS"/>
    <s v="No agreement"/>
    <s v="More than 200% MBS Fee"/>
    <n v="0"/>
    <n v="0"/>
    <n v="0"/>
    <n v="0"/>
  </r>
  <r>
    <x v="5"/>
    <x v="2"/>
    <s v="TAS"/>
    <s v="No agreement"/>
    <s v="Up to MBS Fee"/>
    <n v="0"/>
    <n v="0"/>
    <n v="0"/>
    <n v="0"/>
  </r>
  <r>
    <x v="5"/>
    <x v="2"/>
    <s v="TAS"/>
    <s v="No gap agreement"/>
    <s v="100% MBS Fee to 125% MBS Fee"/>
    <n v="0"/>
    <n v="0"/>
    <n v="0"/>
    <n v="0"/>
  </r>
  <r>
    <x v="5"/>
    <x v="2"/>
    <s v="TAS"/>
    <s v="No gap agreement"/>
    <s v="More than 125% MBS Fee to 150% MBS Fee"/>
    <n v="0"/>
    <n v="0"/>
    <n v="0"/>
    <n v="0"/>
  </r>
  <r>
    <x v="5"/>
    <x v="2"/>
    <s v="TAS"/>
    <s v="No gap agreement"/>
    <s v="More than 150% MBS Fee to 200% MBS Fee"/>
    <n v="0"/>
    <n v="0"/>
    <n v="0"/>
    <n v="0"/>
  </r>
  <r>
    <x v="5"/>
    <x v="2"/>
    <s v="TAS"/>
    <s v="No gap agreement"/>
    <s v="More than 200% MBS Fee"/>
    <n v="0"/>
    <n v="0"/>
    <n v="0"/>
    <n v="0"/>
  </r>
  <r>
    <x v="5"/>
    <x v="2"/>
    <s v="TAS"/>
    <s v="No gap agreement"/>
    <s v="Up to MBS Fee"/>
    <n v="0"/>
    <n v="0"/>
    <n v="0"/>
    <n v="0"/>
  </r>
  <r>
    <x v="5"/>
    <x v="2"/>
    <s v="VIC"/>
    <s v="Known gap agreement"/>
    <s v="100% MBS Fee to 125% MBS Fee"/>
    <n v="0"/>
    <n v="0"/>
    <n v="0"/>
    <n v="0"/>
  </r>
  <r>
    <x v="5"/>
    <x v="2"/>
    <s v="VIC"/>
    <s v="Known gap agreement"/>
    <s v="More than 125% MBS Fee to 150% MBS Fee"/>
    <n v="0"/>
    <n v="0"/>
    <n v="0"/>
    <n v="0"/>
  </r>
  <r>
    <x v="5"/>
    <x v="2"/>
    <s v="VIC"/>
    <s v="Known gap agreement"/>
    <s v="More than 150% MBS Fee to 200% MBS Fee"/>
    <n v="0"/>
    <n v="0"/>
    <n v="0"/>
    <n v="0"/>
  </r>
  <r>
    <x v="5"/>
    <x v="2"/>
    <s v="VIC"/>
    <s v="Known gap agreement"/>
    <s v="More than 200% MBS Fee"/>
    <n v="0"/>
    <n v="0"/>
    <n v="0"/>
    <n v="0"/>
  </r>
  <r>
    <x v="5"/>
    <x v="2"/>
    <s v="VIC"/>
    <s v="No agreement"/>
    <s v="100% MBS Fee to 125% MBS Fee"/>
    <n v="0"/>
    <n v="0"/>
    <n v="0"/>
    <n v="0"/>
  </r>
  <r>
    <x v="5"/>
    <x v="2"/>
    <s v="VIC"/>
    <s v="No agreement"/>
    <s v="More than 125% MBS Fee to 150% MBS Fee"/>
    <n v="0"/>
    <n v="0"/>
    <n v="0"/>
    <n v="0"/>
  </r>
  <r>
    <x v="5"/>
    <x v="2"/>
    <s v="VIC"/>
    <s v="No agreement"/>
    <s v="More than 150% MBS Fee to 200% MBS Fee"/>
    <n v="0"/>
    <n v="0"/>
    <n v="0"/>
    <n v="0"/>
  </r>
  <r>
    <x v="5"/>
    <x v="2"/>
    <s v="VIC"/>
    <s v="No agreement"/>
    <s v="More than 200% MBS Fee"/>
    <n v="0"/>
    <n v="0"/>
    <n v="0"/>
    <n v="0"/>
  </r>
  <r>
    <x v="5"/>
    <x v="2"/>
    <s v="VIC"/>
    <s v="No agreement"/>
    <s v="Up to MBS Fee"/>
    <n v="0"/>
    <n v="0"/>
    <n v="0"/>
    <n v="0"/>
  </r>
  <r>
    <x v="5"/>
    <x v="2"/>
    <s v="VIC"/>
    <s v="No gap agreement"/>
    <s v="100% MBS Fee to 125% MBS Fee"/>
    <n v="0"/>
    <n v="0"/>
    <n v="0"/>
    <n v="0"/>
  </r>
  <r>
    <x v="5"/>
    <x v="2"/>
    <s v="VIC"/>
    <s v="No gap agreement"/>
    <s v="More than 125% MBS Fee to 150% MBS Fee"/>
    <n v="0"/>
    <n v="0"/>
    <n v="0"/>
    <n v="0"/>
  </r>
  <r>
    <x v="5"/>
    <x v="2"/>
    <s v="VIC"/>
    <s v="No gap agreement"/>
    <s v="More than 150% MBS Fee to 200% MBS Fee"/>
    <n v="0"/>
    <n v="0"/>
    <n v="0"/>
    <n v="0"/>
  </r>
  <r>
    <x v="5"/>
    <x v="2"/>
    <s v="VIC"/>
    <s v="No gap agreement"/>
    <s v="More than 200% MBS Fee"/>
    <n v="0"/>
    <n v="0"/>
    <n v="0"/>
    <n v="0"/>
  </r>
  <r>
    <x v="5"/>
    <x v="2"/>
    <s v="VIC"/>
    <s v="No gap agreement"/>
    <s v="Up to MBS Fee"/>
    <n v="0"/>
    <n v="0"/>
    <n v="0"/>
    <n v="0"/>
  </r>
  <r>
    <x v="5"/>
    <x v="2"/>
    <s v="WA"/>
    <s v="Known gap agreement"/>
    <s v="100% MBS Fee to 125% MBS Fee"/>
    <n v="0"/>
    <n v="0"/>
    <n v="0"/>
    <n v="0"/>
  </r>
  <r>
    <x v="5"/>
    <x v="2"/>
    <s v="WA"/>
    <s v="Known gap agreement"/>
    <s v="More than 125% MBS Fee to 150% MBS Fee"/>
    <n v="0"/>
    <n v="0"/>
    <n v="0"/>
    <n v="0"/>
  </r>
  <r>
    <x v="5"/>
    <x v="2"/>
    <s v="WA"/>
    <s v="Known gap agreement"/>
    <s v="More than 150% MBS Fee to 200% MBS Fee"/>
    <n v="0"/>
    <n v="0"/>
    <n v="0"/>
    <n v="0"/>
  </r>
  <r>
    <x v="5"/>
    <x v="2"/>
    <s v="WA"/>
    <s v="Known gap agreement"/>
    <s v="More than 200% MBS Fee"/>
    <n v="0"/>
    <n v="0"/>
    <n v="0"/>
    <n v="0"/>
  </r>
  <r>
    <x v="5"/>
    <x v="2"/>
    <s v="WA"/>
    <s v="No agreement"/>
    <s v="100% MBS Fee to 125% MBS Fee"/>
    <n v="0"/>
    <n v="0"/>
    <n v="0"/>
    <n v="0"/>
  </r>
  <r>
    <x v="5"/>
    <x v="2"/>
    <s v="WA"/>
    <s v="No agreement"/>
    <s v="More than 125% MBS Fee to 150% MBS Fee"/>
    <n v="0"/>
    <n v="0"/>
    <n v="0"/>
    <n v="0"/>
  </r>
  <r>
    <x v="5"/>
    <x v="2"/>
    <s v="WA"/>
    <s v="No agreement"/>
    <s v="More than 150% MBS Fee to 200% MBS Fee"/>
    <n v="0"/>
    <n v="0"/>
    <n v="0"/>
    <n v="0"/>
  </r>
  <r>
    <x v="5"/>
    <x v="2"/>
    <s v="WA"/>
    <s v="No agreement"/>
    <s v="More than 200% MBS Fee"/>
    <n v="0"/>
    <n v="0"/>
    <n v="0"/>
    <n v="0"/>
  </r>
  <r>
    <x v="5"/>
    <x v="2"/>
    <s v="WA"/>
    <s v="No agreement"/>
    <s v="Up to MBS Fee"/>
    <n v="0"/>
    <n v="0"/>
    <n v="0"/>
    <n v="0"/>
  </r>
  <r>
    <x v="5"/>
    <x v="2"/>
    <s v="WA"/>
    <s v="No gap agreement"/>
    <s v="100% MBS Fee to 125% MBS Fee"/>
    <n v="0"/>
    <n v="0"/>
    <n v="0"/>
    <n v="0"/>
  </r>
  <r>
    <x v="5"/>
    <x v="2"/>
    <s v="WA"/>
    <s v="No gap agreement"/>
    <s v="More than 125% MBS Fee to 150% MBS Fee"/>
    <n v="0"/>
    <n v="0"/>
    <n v="0"/>
    <n v="0"/>
  </r>
  <r>
    <x v="5"/>
    <x v="2"/>
    <s v="WA"/>
    <s v="No gap agreement"/>
    <s v="More than 150% MBS Fee to 200% MBS Fee"/>
    <n v="0"/>
    <n v="0"/>
    <n v="0"/>
    <n v="0"/>
  </r>
  <r>
    <x v="5"/>
    <x v="2"/>
    <s v="WA"/>
    <s v="No gap agreement"/>
    <s v="More than 200% MBS Fee"/>
    <n v="0"/>
    <n v="0"/>
    <n v="0"/>
    <n v="0"/>
  </r>
  <r>
    <x v="5"/>
    <x v="2"/>
    <s v="WA"/>
    <s v="No gap agreement"/>
    <s v="Up to MBS Fee"/>
    <n v="0"/>
    <n v="0"/>
    <n v="0"/>
    <n v="0"/>
  </r>
  <r>
    <x v="5"/>
    <x v="3"/>
    <s v="ACT"/>
    <s v="Known gap agreement"/>
    <s v="100% MBS Fee to 125% MBS Fee"/>
    <n v="0"/>
    <n v="0"/>
    <n v="0"/>
    <n v="0"/>
  </r>
  <r>
    <x v="5"/>
    <x v="3"/>
    <s v="ACT"/>
    <s v="Known gap agreement"/>
    <s v="More than 125% MBS Fee to 150% MBS Fee"/>
    <n v="0"/>
    <n v="0"/>
    <n v="0"/>
    <n v="0"/>
  </r>
  <r>
    <x v="5"/>
    <x v="3"/>
    <s v="ACT"/>
    <s v="Known gap agreement"/>
    <s v="More than 150% MBS Fee to 200% MBS Fee"/>
    <n v="0"/>
    <n v="0"/>
    <n v="0"/>
    <n v="0"/>
  </r>
  <r>
    <x v="5"/>
    <x v="3"/>
    <s v="ACT"/>
    <s v="Known gap agreement"/>
    <s v="More than 200% MBS Fee"/>
    <n v="0"/>
    <n v="0"/>
    <n v="0"/>
    <n v="0"/>
  </r>
  <r>
    <x v="5"/>
    <x v="3"/>
    <s v="ACT"/>
    <s v="No agreement"/>
    <s v="100% MBS Fee to 125% MBS Fee"/>
    <n v="0"/>
    <n v="0"/>
    <n v="0"/>
    <n v="0"/>
  </r>
  <r>
    <x v="5"/>
    <x v="3"/>
    <s v="ACT"/>
    <s v="No agreement"/>
    <s v="More than 125% MBS Fee to 150% MBS Fee"/>
    <n v="0"/>
    <n v="0"/>
    <n v="0"/>
    <n v="0"/>
  </r>
  <r>
    <x v="5"/>
    <x v="3"/>
    <s v="ACT"/>
    <s v="No agreement"/>
    <s v="More than 150% MBS Fee to 200% MBS Fee"/>
    <n v="0"/>
    <n v="0"/>
    <n v="0"/>
    <n v="0"/>
  </r>
  <r>
    <x v="5"/>
    <x v="3"/>
    <s v="ACT"/>
    <s v="No agreement"/>
    <s v="More than 200% MBS Fee"/>
    <n v="0"/>
    <n v="0"/>
    <n v="0"/>
    <n v="0"/>
  </r>
  <r>
    <x v="5"/>
    <x v="3"/>
    <s v="ACT"/>
    <s v="No agreement"/>
    <s v="Up to MBS Fee"/>
    <n v="0"/>
    <n v="0"/>
    <n v="0"/>
    <n v="0"/>
  </r>
  <r>
    <x v="5"/>
    <x v="3"/>
    <s v="ACT"/>
    <s v="No gap agreement"/>
    <s v="100% MBS Fee to 125% MBS Fee"/>
    <n v="0"/>
    <n v="0"/>
    <n v="0"/>
    <n v="0"/>
  </r>
  <r>
    <x v="5"/>
    <x v="3"/>
    <s v="ACT"/>
    <s v="No gap agreement"/>
    <s v="More than 125% MBS Fee to 150% MBS Fee"/>
    <n v="0"/>
    <n v="0"/>
    <n v="0"/>
    <n v="0"/>
  </r>
  <r>
    <x v="5"/>
    <x v="3"/>
    <s v="ACT"/>
    <s v="No gap agreement"/>
    <s v="More than 150% MBS Fee to 200% MBS Fee"/>
    <n v="0"/>
    <n v="0"/>
    <n v="0"/>
    <n v="0"/>
  </r>
  <r>
    <x v="5"/>
    <x v="3"/>
    <s v="ACT"/>
    <s v="No gap agreement"/>
    <s v="More than 200% MBS Fee"/>
    <n v="0"/>
    <n v="0"/>
    <n v="0"/>
    <n v="0"/>
  </r>
  <r>
    <x v="5"/>
    <x v="3"/>
    <s v="ACT"/>
    <s v="No gap agreement"/>
    <s v="Up to MBS Fee"/>
    <n v="0"/>
    <n v="0"/>
    <n v="0"/>
    <n v="0"/>
  </r>
  <r>
    <x v="5"/>
    <x v="3"/>
    <s v="NSW"/>
    <s v="Known gap agreement"/>
    <s v="100% MBS Fee to 125% MBS Fee"/>
    <n v="0"/>
    <n v="0"/>
    <n v="0"/>
    <n v="0"/>
  </r>
  <r>
    <x v="5"/>
    <x v="3"/>
    <s v="NSW"/>
    <s v="Known gap agreement"/>
    <s v="More than 125% MBS Fee to 150% MBS Fee"/>
    <n v="0"/>
    <n v="0"/>
    <n v="0"/>
    <n v="0"/>
  </r>
  <r>
    <x v="5"/>
    <x v="3"/>
    <s v="NSW"/>
    <s v="Known gap agreement"/>
    <s v="More than 150% MBS Fee to 200% MBS Fee"/>
    <n v="0"/>
    <n v="0"/>
    <n v="0"/>
    <n v="0"/>
  </r>
  <r>
    <x v="5"/>
    <x v="3"/>
    <s v="NSW"/>
    <s v="Known gap agreement"/>
    <s v="More than 200% MBS Fee"/>
    <n v="0"/>
    <n v="0"/>
    <n v="0"/>
    <n v="0"/>
  </r>
  <r>
    <x v="5"/>
    <x v="3"/>
    <s v="NSW"/>
    <s v="No agreement"/>
    <s v="100% MBS Fee to 125% MBS Fee"/>
    <n v="0"/>
    <n v="0"/>
    <n v="0"/>
    <n v="0"/>
  </r>
  <r>
    <x v="5"/>
    <x v="3"/>
    <s v="NSW"/>
    <s v="No agreement"/>
    <s v="More than 125% MBS Fee to 150% MBS Fee"/>
    <n v="0"/>
    <n v="0"/>
    <n v="0"/>
    <n v="0"/>
  </r>
  <r>
    <x v="5"/>
    <x v="3"/>
    <s v="NSW"/>
    <s v="No agreement"/>
    <s v="More than 150% MBS Fee to 200% MBS Fee"/>
    <n v="0"/>
    <n v="0"/>
    <n v="0"/>
    <n v="0"/>
  </r>
  <r>
    <x v="5"/>
    <x v="3"/>
    <s v="NSW"/>
    <s v="No agreement"/>
    <s v="More than 200% MBS Fee"/>
    <n v="0"/>
    <n v="0"/>
    <n v="0"/>
    <n v="0"/>
  </r>
  <r>
    <x v="5"/>
    <x v="3"/>
    <s v="NSW"/>
    <s v="No agreement"/>
    <s v="Up to MBS Fee"/>
    <n v="0"/>
    <n v="0"/>
    <n v="0"/>
    <n v="0"/>
  </r>
  <r>
    <x v="5"/>
    <x v="3"/>
    <s v="NSW"/>
    <s v="No gap agreement"/>
    <s v="100% MBS Fee to 125% MBS Fee"/>
    <n v="0"/>
    <n v="0"/>
    <n v="0"/>
    <n v="0"/>
  </r>
  <r>
    <x v="5"/>
    <x v="3"/>
    <s v="NSW"/>
    <s v="No gap agreement"/>
    <s v="More than 125% MBS Fee to 150% MBS Fee"/>
    <n v="0"/>
    <n v="0"/>
    <n v="0"/>
    <n v="0"/>
  </r>
  <r>
    <x v="5"/>
    <x v="3"/>
    <s v="NSW"/>
    <s v="No gap agreement"/>
    <s v="More than 150% MBS Fee to 200% MBS Fee"/>
    <n v="0"/>
    <n v="0"/>
    <n v="0"/>
    <n v="0"/>
  </r>
  <r>
    <x v="5"/>
    <x v="3"/>
    <s v="NSW"/>
    <s v="No gap agreement"/>
    <s v="More than 200% MBS Fee"/>
    <n v="0"/>
    <n v="0"/>
    <n v="0"/>
    <n v="0"/>
  </r>
  <r>
    <x v="5"/>
    <x v="3"/>
    <s v="NSW"/>
    <s v="No gap agreement"/>
    <s v="Up to MBS Fee"/>
    <n v="0"/>
    <n v="0"/>
    <n v="0"/>
    <n v="0"/>
  </r>
  <r>
    <x v="5"/>
    <x v="3"/>
    <s v="NT"/>
    <s v="Known gap agreement"/>
    <s v="100% MBS Fee to 125% MBS Fee"/>
    <n v="0"/>
    <n v="0"/>
    <n v="0"/>
    <n v="0"/>
  </r>
  <r>
    <x v="5"/>
    <x v="3"/>
    <s v="NT"/>
    <s v="Known gap agreement"/>
    <s v="More than 125% MBS Fee to 150% MBS Fee"/>
    <n v="0"/>
    <n v="0"/>
    <n v="0"/>
    <n v="0"/>
  </r>
  <r>
    <x v="5"/>
    <x v="3"/>
    <s v="NT"/>
    <s v="Known gap agreement"/>
    <s v="More than 150% MBS Fee to 200% MBS Fee"/>
    <n v="0"/>
    <n v="0"/>
    <n v="0"/>
    <n v="0"/>
  </r>
  <r>
    <x v="5"/>
    <x v="3"/>
    <s v="NT"/>
    <s v="Known gap agreement"/>
    <s v="More than 200% MBS Fee"/>
    <n v="0"/>
    <n v="0"/>
    <n v="0"/>
    <n v="0"/>
  </r>
  <r>
    <x v="5"/>
    <x v="3"/>
    <s v="NT"/>
    <s v="No agreement"/>
    <s v="100% MBS Fee to 125% MBS Fee"/>
    <n v="0"/>
    <n v="0"/>
    <n v="0"/>
    <n v="0"/>
  </r>
  <r>
    <x v="5"/>
    <x v="3"/>
    <s v="NT"/>
    <s v="No agreement"/>
    <s v="More than 125% MBS Fee to 150% MBS Fee"/>
    <n v="0"/>
    <n v="0"/>
    <n v="0"/>
    <n v="0"/>
  </r>
  <r>
    <x v="5"/>
    <x v="3"/>
    <s v="NT"/>
    <s v="No agreement"/>
    <s v="More than 150% MBS Fee to 200% MBS Fee"/>
    <n v="0"/>
    <n v="0"/>
    <n v="0"/>
    <n v="0"/>
  </r>
  <r>
    <x v="5"/>
    <x v="3"/>
    <s v="NT"/>
    <s v="No agreement"/>
    <s v="More than 200% MBS Fee"/>
    <n v="0"/>
    <n v="0"/>
    <n v="0"/>
    <n v="0"/>
  </r>
  <r>
    <x v="5"/>
    <x v="3"/>
    <s v="NT"/>
    <s v="No agreement"/>
    <s v="Up to MBS Fee"/>
    <n v="0"/>
    <n v="0"/>
    <n v="0"/>
    <n v="0"/>
  </r>
  <r>
    <x v="5"/>
    <x v="3"/>
    <s v="NT"/>
    <s v="No gap agreement"/>
    <s v="100% MBS Fee to 125% MBS Fee"/>
    <n v="0"/>
    <n v="0"/>
    <n v="0"/>
    <n v="0"/>
  </r>
  <r>
    <x v="5"/>
    <x v="3"/>
    <s v="NT"/>
    <s v="No gap agreement"/>
    <s v="More than 125% MBS Fee to 150% MBS Fee"/>
    <n v="0"/>
    <n v="0"/>
    <n v="0"/>
    <n v="0"/>
  </r>
  <r>
    <x v="5"/>
    <x v="3"/>
    <s v="NT"/>
    <s v="No gap agreement"/>
    <s v="More than 150% MBS Fee to 200% MBS Fee"/>
    <n v="0"/>
    <n v="0"/>
    <n v="0"/>
    <n v="0"/>
  </r>
  <r>
    <x v="5"/>
    <x v="3"/>
    <s v="NT"/>
    <s v="No gap agreement"/>
    <s v="More than 200% MBS Fee"/>
    <n v="0"/>
    <n v="0"/>
    <n v="0"/>
    <n v="0"/>
  </r>
  <r>
    <x v="5"/>
    <x v="3"/>
    <s v="NT"/>
    <s v="No gap agreement"/>
    <s v="Up to MBS Fee"/>
    <n v="0"/>
    <n v="0"/>
    <n v="0"/>
    <n v="0"/>
  </r>
  <r>
    <x v="5"/>
    <x v="3"/>
    <s v="QLD"/>
    <s v="Known gap agreement"/>
    <s v="100% MBS Fee to 125% MBS Fee"/>
    <n v="0"/>
    <n v="0"/>
    <n v="0"/>
    <n v="0"/>
  </r>
  <r>
    <x v="5"/>
    <x v="3"/>
    <s v="QLD"/>
    <s v="Known gap agreement"/>
    <s v="More than 125% MBS Fee to 150% MBS Fee"/>
    <n v="0"/>
    <n v="0"/>
    <n v="0"/>
    <n v="0"/>
  </r>
  <r>
    <x v="5"/>
    <x v="3"/>
    <s v="QLD"/>
    <s v="Known gap agreement"/>
    <s v="More than 150% MBS Fee to 200% MBS Fee"/>
    <n v="0"/>
    <n v="0"/>
    <n v="0"/>
    <n v="0"/>
  </r>
  <r>
    <x v="5"/>
    <x v="3"/>
    <s v="QLD"/>
    <s v="Known gap agreement"/>
    <s v="More than 200% MBS Fee"/>
    <n v="0"/>
    <n v="0"/>
    <n v="0"/>
    <n v="0"/>
  </r>
  <r>
    <x v="5"/>
    <x v="3"/>
    <s v="QLD"/>
    <s v="No agreement"/>
    <s v="100% MBS Fee to 125% MBS Fee"/>
    <n v="0"/>
    <n v="0"/>
    <n v="0"/>
    <n v="0"/>
  </r>
  <r>
    <x v="5"/>
    <x v="3"/>
    <s v="QLD"/>
    <s v="No agreement"/>
    <s v="More than 125% MBS Fee to 150% MBS Fee"/>
    <n v="0"/>
    <n v="0"/>
    <n v="0"/>
    <n v="0"/>
  </r>
  <r>
    <x v="5"/>
    <x v="3"/>
    <s v="QLD"/>
    <s v="No agreement"/>
    <s v="More than 150% MBS Fee to 200% MBS Fee"/>
    <n v="0"/>
    <n v="0"/>
    <n v="0"/>
    <n v="0"/>
  </r>
  <r>
    <x v="5"/>
    <x v="3"/>
    <s v="QLD"/>
    <s v="No agreement"/>
    <s v="More than 200% MBS Fee"/>
    <n v="0"/>
    <n v="0"/>
    <n v="0"/>
    <n v="0"/>
  </r>
  <r>
    <x v="5"/>
    <x v="3"/>
    <s v="QLD"/>
    <s v="No agreement"/>
    <s v="Up to MBS Fee"/>
    <n v="0"/>
    <n v="0"/>
    <n v="0"/>
    <n v="0"/>
  </r>
  <r>
    <x v="5"/>
    <x v="3"/>
    <s v="QLD"/>
    <s v="No gap agreement"/>
    <s v="100% MBS Fee to 125% MBS Fee"/>
    <n v="0"/>
    <n v="0"/>
    <n v="0"/>
    <n v="0"/>
  </r>
  <r>
    <x v="5"/>
    <x v="3"/>
    <s v="QLD"/>
    <s v="No gap agreement"/>
    <s v="More than 125% MBS Fee to 150% MBS Fee"/>
    <n v="0"/>
    <n v="0"/>
    <n v="0"/>
    <n v="0"/>
  </r>
  <r>
    <x v="5"/>
    <x v="3"/>
    <s v="QLD"/>
    <s v="No gap agreement"/>
    <s v="More than 150% MBS Fee to 200% MBS Fee"/>
    <n v="0"/>
    <n v="0"/>
    <n v="0"/>
    <n v="0"/>
  </r>
  <r>
    <x v="5"/>
    <x v="3"/>
    <s v="QLD"/>
    <s v="No gap agreement"/>
    <s v="More than 200% MBS Fee"/>
    <n v="0"/>
    <n v="0"/>
    <n v="0"/>
    <n v="0"/>
  </r>
  <r>
    <x v="5"/>
    <x v="3"/>
    <s v="QLD"/>
    <s v="No gap agreement"/>
    <s v="Up to MBS Fee"/>
    <n v="0"/>
    <n v="0"/>
    <n v="0"/>
    <n v="0"/>
  </r>
  <r>
    <x v="5"/>
    <x v="3"/>
    <s v="SA"/>
    <s v="Known gap agreement"/>
    <s v="100% MBS Fee to 125% MBS Fee"/>
    <n v="0"/>
    <n v="0"/>
    <n v="0"/>
    <n v="0"/>
  </r>
  <r>
    <x v="5"/>
    <x v="3"/>
    <s v="SA"/>
    <s v="Known gap agreement"/>
    <s v="More than 125% MBS Fee to 150% MBS Fee"/>
    <n v="0"/>
    <n v="0"/>
    <n v="0"/>
    <n v="0"/>
  </r>
  <r>
    <x v="5"/>
    <x v="3"/>
    <s v="SA"/>
    <s v="Known gap agreement"/>
    <s v="More than 150% MBS Fee to 200% MBS Fee"/>
    <n v="0"/>
    <n v="0"/>
    <n v="0"/>
    <n v="0"/>
  </r>
  <r>
    <x v="5"/>
    <x v="3"/>
    <s v="SA"/>
    <s v="Known gap agreement"/>
    <s v="More than 200% MBS Fee"/>
    <n v="0"/>
    <n v="0"/>
    <n v="0"/>
    <n v="0"/>
  </r>
  <r>
    <x v="5"/>
    <x v="3"/>
    <s v="SA"/>
    <s v="No agreement"/>
    <s v="100% MBS Fee to 125% MBS Fee"/>
    <n v="0"/>
    <n v="0"/>
    <n v="0"/>
    <n v="0"/>
  </r>
  <r>
    <x v="5"/>
    <x v="3"/>
    <s v="SA"/>
    <s v="No agreement"/>
    <s v="More than 125% MBS Fee to 150% MBS Fee"/>
    <n v="0"/>
    <n v="0"/>
    <n v="0"/>
    <n v="0"/>
  </r>
  <r>
    <x v="5"/>
    <x v="3"/>
    <s v="SA"/>
    <s v="No agreement"/>
    <s v="More than 150% MBS Fee to 200% MBS Fee"/>
    <n v="0"/>
    <n v="0"/>
    <n v="0"/>
    <n v="0"/>
  </r>
  <r>
    <x v="5"/>
    <x v="3"/>
    <s v="SA"/>
    <s v="No agreement"/>
    <s v="More than 200% MBS Fee"/>
    <n v="0"/>
    <n v="0"/>
    <n v="0"/>
    <n v="0"/>
  </r>
  <r>
    <x v="5"/>
    <x v="3"/>
    <s v="SA"/>
    <s v="No agreement"/>
    <s v="Up to MBS Fee"/>
    <n v="0"/>
    <n v="0"/>
    <n v="0"/>
    <n v="0"/>
  </r>
  <r>
    <x v="5"/>
    <x v="3"/>
    <s v="SA"/>
    <s v="No gap agreement"/>
    <s v="100% MBS Fee to 125% MBS Fee"/>
    <n v="0"/>
    <n v="0"/>
    <n v="0"/>
    <n v="0"/>
  </r>
  <r>
    <x v="5"/>
    <x v="3"/>
    <s v="SA"/>
    <s v="No gap agreement"/>
    <s v="More than 125% MBS Fee to 150% MBS Fee"/>
    <n v="0"/>
    <n v="0"/>
    <n v="0"/>
    <n v="0"/>
  </r>
  <r>
    <x v="5"/>
    <x v="3"/>
    <s v="SA"/>
    <s v="No gap agreement"/>
    <s v="More than 150% MBS Fee to 200% MBS Fee"/>
    <n v="0"/>
    <n v="0"/>
    <n v="0"/>
    <n v="0"/>
  </r>
  <r>
    <x v="5"/>
    <x v="3"/>
    <s v="SA"/>
    <s v="No gap agreement"/>
    <s v="More than 200% MBS Fee"/>
    <n v="0"/>
    <n v="0"/>
    <n v="0"/>
    <n v="0"/>
  </r>
  <r>
    <x v="5"/>
    <x v="3"/>
    <s v="SA"/>
    <s v="No gap agreement"/>
    <s v="Up to MBS Fee"/>
    <n v="0"/>
    <n v="0"/>
    <n v="0"/>
    <n v="0"/>
  </r>
  <r>
    <x v="5"/>
    <x v="3"/>
    <s v="TAS"/>
    <s v="Known gap agreement"/>
    <s v="100% MBS Fee to 125% MBS Fee"/>
    <n v="0"/>
    <n v="0"/>
    <n v="0"/>
    <n v="0"/>
  </r>
  <r>
    <x v="5"/>
    <x v="3"/>
    <s v="TAS"/>
    <s v="Known gap agreement"/>
    <s v="More than 125% MBS Fee to 150% MBS Fee"/>
    <n v="0"/>
    <n v="0"/>
    <n v="0"/>
    <n v="0"/>
  </r>
  <r>
    <x v="5"/>
    <x v="3"/>
    <s v="TAS"/>
    <s v="Known gap agreement"/>
    <s v="More than 150% MBS Fee to 200% MBS Fee"/>
    <n v="0"/>
    <n v="0"/>
    <n v="0"/>
    <n v="0"/>
  </r>
  <r>
    <x v="5"/>
    <x v="3"/>
    <s v="TAS"/>
    <s v="Known gap agreement"/>
    <s v="More than 200% MBS Fee"/>
    <n v="0"/>
    <n v="0"/>
    <n v="0"/>
    <n v="0"/>
  </r>
  <r>
    <x v="5"/>
    <x v="3"/>
    <s v="TAS"/>
    <s v="No agreement"/>
    <s v="100% MBS Fee to 125% MBS Fee"/>
    <n v="0"/>
    <n v="0"/>
    <n v="0"/>
    <n v="0"/>
  </r>
  <r>
    <x v="5"/>
    <x v="3"/>
    <s v="TAS"/>
    <s v="No agreement"/>
    <s v="More than 125% MBS Fee to 150% MBS Fee"/>
    <n v="0"/>
    <n v="0"/>
    <n v="0"/>
    <n v="0"/>
  </r>
  <r>
    <x v="5"/>
    <x v="3"/>
    <s v="TAS"/>
    <s v="No agreement"/>
    <s v="More than 150% MBS Fee to 200% MBS Fee"/>
    <n v="0"/>
    <n v="0"/>
    <n v="0"/>
    <n v="0"/>
  </r>
  <r>
    <x v="5"/>
    <x v="3"/>
    <s v="TAS"/>
    <s v="No agreement"/>
    <s v="More than 200% MBS Fee"/>
    <n v="0"/>
    <n v="0"/>
    <n v="0"/>
    <n v="0"/>
  </r>
  <r>
    <x v="5"/>
    <x v="3"/>
    <s v="TAS"/>
    <s v="No agreement"/>
    <s v="Up to MBS Fee"/>
    <n v="0"/>
    <n v="0"/>
    <n v="0"/>
    <n v="0"/>
  </r>
  <r>
    <x v="5"/>
    <x v="3"/>
    <s v="TAS"/>
    <s v="No gap agreement"/>
    <s v="100% MBS Fee to 125% MBS Fee"/>
    <n v="0"/>
    <n v="0"/>
    <n v="0"/>
    <n v="0"/>
  </r>
  <r>
    <x v="5"/>
    <x v="3"/>
    <s v="TAS"/>
    <s v="No gap agreement"/>
    <s v="More than 125% MBS Fee to 150% MBS Fee"/>
    <n v="0"/>
    <n v="0"/>
    <n v="0"/>
    <n v="0"/>
  </r>
  <r>
    <x v="5"/>
    <x v="3"/>
    <s v="TAS"/>
    <s v="No gap agreement"/>
    <s v="More than 150% MBS Fee to 200% MBS Fee"/>
    <n v="0"/>
    <n v="0"/>
    <n v="0"/>
    <n v="0"/>
  </r>
  <r>
    <x v="5"/>
    <x v="3"/>
    <s v="TAS"/>
    <s v="No gap agreement"/>
    <s v="More than 200% MBS Fee"/>
    <n v="0"/>
    <n v="0"/>
    <n v="0"/>
    <n v="0"/>
  </r>
  <r>
    <x v="5"/>
    <x v="3"/>
    <s v="TAS"/>
    <s v="No gap agreement"/>
    <s v="Up to MBS Fee"/>
    <n v="0"/>
    <n v="0"/>
    <n v="0"/>
    <n v="0"/>
  </r>
  <r>
    <x v="5"/>
    <x v="3"/>
    <s v="VIC"/>
    <s v="Known gap agreement"/>
    <s v="100% MBS Fee to 125% MBS Fee"/>
    <n v="0"/>
    <n v="0"/>
    <n v="0"/>
    <n v="0"/>
  </r>
  <r>
    <x v="5"/>
    <x v="3"/>
    <s v="VIC"/>
    <s v="Known gap agreement"/>
    <s v="More than 125% MBS Fee to 150% MBS Fee"/>
    <n v="0"/>
    <n v="0"/>
    <n v="0"/>
    <n v="0"/>
  </r>
  <r>
    <x v="5"/>
    <x v="3"/>
    <s v="VIC"/>
    <s v="Known gap agreement"/>
    <s v="More than 150% MBS Fee to 200% MBS Fee"/>
    <n v="0"/>
    <n v="0"/>
    <n v="0"/>
    <n v="0"/>
  </r>
  <r>
    <x v="5"/>
    <x v="3"/>
    <s v="VIC"/>
    <s v="Known gap agreement"/>
    <s v="More than 200% MBS Fee"/>
    <n v="0"/>
    <n v="0"/>
    <n v="0"/>
    <n v="0"/>
  </r>
  <r>
    <x v="5"/>
    <x v="3"/>
    <s v="VIC"/>
    <s v="No agreement"/>
    <s v="100% MBS Fee to 125% MBS Fee"/>
    <n v="0"/>
    <n v="0"/>
    <n v="0"/>
    <n v="0"/>
  </r>
  <r>
    <x v="5"/>
    <x v="3"/>
    <s v="VIC"/>
    <s v="No agreement"/>
    <s v="More than 125% MBS Fee to 150% MBS Fee"/>
    <n v="0"/>
    <n v="0"/>
    <n v="0"/>
    <n v="0"/>
  </r>
  <r>
    <x v="5"/>
    <x v="3"/>
    <s v="VIC"/>
    <s v="No agreement"/>
    <s v="More than 150% MBS Fee to 200% MBS Fee"/>
    <n v="0"/>
    <n v="0"/>
    <n v="0"/>
    <n v="0"/>
  </r>
  <r>
    <x v="5"/>
    <x v="3"/>
    <s v="VIC"/>
    <s v="No agreement"/>
    <s v="More than 200% MBS Fee"/>
    <n v="0"/>
    <n v="0"/>
    <n v="0"/>
    <n v="0"/>
  </r>
  <r>
    <x v="5"/>
    <x v="3"/>
    <s v="VIC"/>
    <s v="No agreement"/>
    <s v="Up to MBS Fee"/>
    <n v="0"/>
    <n v="0"/>
    <n v="0"/>
    <n v="0"/>
  </r>
  <r>
    <x v="5"/>
    <x v="3"/>
    <s v="VIC"/>
    <s v="No gap agreement"/>
    <s v="100% MBS Fee to 125% MBS Fee"/>
    <n v="0"/>
    <n v="0"/>
    <n v="0"/>
    <n v="0"/>
  </r>
  <r>
    <x v="5"/>
    <x v="3"/>
    <s v="VIC"/>
    <s v="No gap agreement"/>
    <s v="More than 125% MBS Fee to 150% MBS Fee"/>
    <n v="0"/>
    <n v="0"/>
    <n v="0"/>
    <n v="0"/>
  </r>
  <r>
    <x v="5"/>
    <x v="3"/>
    <s v="VIC"/>
    <s v="No gap agreement"/>
    <s v="More than 150% MBS Fee to 200% MBS Fee"/>
    <n v="0"/>
    <n v="0"/>
    <n v="0"/>
    <n v="0"/>
  </r>
  <r>
    <x v="5"/>
    <x v="3"/>
    <s v="VIC"/>
    <s v="No gap agreement"/>
    <s v="More than 200% MBS Fee"/>
    <n v="0"/>
    <n v="0"/>
    <n v="0"/>
    <n v="0"/>
  </r>
  <r>
    <x v="5"/>
    <x v="3"/>
    <s v="VIC"/>
    <s v="No gap agreement"/>
    <s v="Up to MBS Fee"/>
    <n v="0"/>
    <n v="0"/>
    <n v="0"/>
    <n v="0"/>
  </r>
  <r>
    <x v="5"/>
    <x v="3"/>
    <s v="WA"/>
    <s v="Known gap agreement"/>
    <s v="100% MBS Fee to 125% MBS Fee"/>
    <n v="0"/>
    <n v="0"/>
    <n v="0"/>
    <n v="0"/>
  </r>
  <r>
    <x v="5"/>
    <x v="3"/>
    <s v="WA"/>
    <s v="Known gap agreement"/>
    <s v="More than 125% MBS Fee to 150% MBS Fee"/>
    <n v="0"/>
    <n v="0"/>
    <n v="0"/>
    <n v="0"/>
  </r>
  <r>
    <x v="5"/>
    <x v="3"/>
    <s v="WA"/>
    <s v="Known gap agreement"/>
    <s v="More than 150% MBS Fee to 200% MBS Fee"/>
    <n v="0"/>
    <n v="0"/>
    <n v="0"/>
    <n v="0"/>
  </r>
  <r>
    <x v="5"/>
    <x v="3"/>
    <s v="WA"/>
    <s v="Known gap agreement"/>
    <s v="More than 200% MBS Fee"/>
    <n v="0"/>
    <n v="0"/>
    <n v="0"/>
    <n v="0"/>
  </r>
  <r>
    <x v="5"/>
    <x v="3"/>
    <s v="WA"/>
    <s v="No agreement"/>
    <s v="100% MBS Fee to 125% MBS Fee"/>
    <n v="0"/>
    <n v="0"/>
    <n v="0"/>
    <n v="0"/>
  </r>
  <r>
    <x v="5"/>
    <x v="3"/>
    <s v="WA"/>
    <s v="No agreement"/>
    <s v="More than 125% MBS Fee to 150% MBS Fee"/>
    <n v="0"/>
    <n v="0"/>
    <n v="0"/>
    <n v="0"/>
  </r>
  <r>
    <x v="5"/>
    <x v="3"/>
    <s v="WA"/>
    <s v="No agreement"/>
    <s v="More than 150% MBS Fee to 200% MBS Fee"/>
    <n v="0"/>
    <n v="0"/>
    <n v="0"/>
    <n v="0"/>
  </r>
  <r>
    <x v="5"/>
    <x v="3"/>
    <s v="WA"/>
    <s v="No agreement"/>
    <s v="More than 200% MBS Fee"/>
    <n v="0"/>
    <n v="0"/>
    <n v="0"/>
    <n v="0"/>
  </r>
  <r>
    <x v="5"/>
    <x v="3"/>
    <s v="WA"/>
    <s v="No agreement"/>
    <s v="Up to MBS Fee"/>
    <n v="0"/>
    <n v="0"/>
    <n v="0"/>
    <n v="0"/>
  </r>
  <r>
    <x v="5"/>
    <x v="3"/>
    <s v="WA"/>
    <s v="No gap agreement"/>
    <s v="100% MBS Fee to 125% MBS Fee"/>
    <n v="0"/>
    <n v="0"/>
    <n v="0"/>
    <n v="0"/>
  </r>
  <r>
    <x v="5"/>
    <x v="3"/>
    <s v="WA"/>
    <s v="No gap agreement"/>
    <s v="More than 125% MBS Fee to 150% MBS Fee"/>
    <n v="0"/>
    <n v="0"/>
    <n v="0"/>
    <n v="0"/>
  </r>
  <r>
    <x v="5"/>
    <x v="3"/>
    <s v="WA"/>
    <s v="No gap agreement"/>
    <s v="More than 150% MBS Fee to 200% MBS Fee"/>
    <n v="0"/>
    <n v="0"/>
    <n v="0"/>
    <n v="0"/>
  </r>
  <r>
    <x v="5"/>
    <x v="3"/>
    <s v="WA"/>
    <s v="No gap agreement"/>
    <s v="More than 200% MBS Fee"/>
    <n v="0"/>
    <n v="0"/>
    <n v="0"/>
    <n v="0"/>
  </r>
  <r>
    <x v="5"/>
    <x v="3"/>
    <s v="WA"/>
    <s v="No gap agreement"/>
    <s v="Up to MBS Fee"/>
    <n v="0"/>
    <n v="0"/>
    <n v="0"/>
    <n v="0"/>
  </r>
  <r>
    <x v="5"/>
    <x v="1"/>
    <s v="ACT"/>
    <s v="Known gap agreement"/>
    <s v="100% MBS Fee to 125% MBS Fee"/>
    <n v="0"/>
    <n v="0"/>
    <n v="0"/>
    <n v="0"/>
  </r>
  <r>
    <x v="5"/>
    <x v="1"/>
    <s v="ACT"/>
    <s v="Known gap agreement"/>
    <s v="More than 125% MBS Fee to 150% MBS Fee"/>
    <n v="0"/>
    <n v="0"/>
    <n v="0"/>
    <n v="0"/>
  </r>
  <r>
    <x v="5"/>
    <x v="1"/>
    <s v="ACT"/>
    <s v="Known gap agreement"/>
    <s v="More than 150% MBS Fee to 200% MBS Fee"/>
    <n v="0"/>
    <n v="0"/>
    <n v="0"/>
    <n v="0"/>
  </r>
  <r>
    <x v="5"/>
    <x v="1"/>
    <s v="ACT"/>
    <s v="Known gap agreement"/>
    <s v="More than 200% MBS Fee"/>
    <n v="0"/>
    <n v="0"/>
    <n v="0"/>
    <n v="0"/>
  </r>
  <r>
    <x v="5"/>
    <x v="1"/>
    <s v="ACT"/>
    <s v="No agreement"/>
    <s v="100% MBS Fee to 125% MBS Fee"/>
    <n v="0"/>
    <n v="0"/>
    <n v="0"/>
    <n v="0"/>
  </r>
  <r>
    <x v="5"/>
    <x v="1"/>
    <s v="ACT"/>
    <s v="No agreement"/>
    <s v="More than 125% MBS Fee to 150% MBS Fee"/>
    <n v="0"/>
    <n v="0"/>
    <n v="0"/>
    <n v="0"/>
  </r>
  <r>
    <x v="5"/>
    <x v="1"/>
    <s v="ACT"/>
    <s v="No agreement"/>
    <s v="More than 150% MBS Fee to 200% MBS Fee"/>
    <n v="0"/>
    <n v="0"/>
    <n v="0"/>
    <n v="0"/>
  </r>
  <r>
    <x v="5"/>
    <x v="1"/>
    <s v="ACT"/>
    <s v="No agreement"/>
    <s v="More than 200% MBS Fee"/>
    <n v="0"/>
    <n v="0"/>
    <n v="0"/>
    <n v="0"/>
  </r>
  <r>
    <x v="5"/>
    <x v="1"/>
    <s v="ACT"/>
    <s v="No agreement"/>
    <s v="Up to MBS Fee"/>
    <n v="0"/>
    <n v="0"/>
    <n v="0"/>
    <n v="0"/>
  </r>
  <r>
    <x v="5"/>
    <x v="1"/>
    <s v="ACT"/>
    <s v="No gap agreement"/>
    <s v="100% MBS Fee to 125% MBS Fee"/>
    <n v="0"/>
    <n v="0"/>
    <n v="0"/>
    <n v="0"/>
  </r>
  <r>
    <x v="5"/>
    <x v="1"/>
    <s v="ACT"/>
    <s v="No gap agreement"/>
    <s v="More than 125% MBS Fee to 150% MBS Fee"/>
    <n v="0"/>
    <n v="0"/>
    <n v="0"/>
    <n v="0"/>
  </r>
  <r>
    <x v="5"/>
    <x v="1"/>
    <s v="ACT"/>
    <s v="No gap agreement"/>
    <s v="More than 150% MBS Fee to 200% MBS Fee"/>
    <n v="0"/>
    <n v="0"/>
    <n v="0"/>
    <n v="0"/>
  </r>
  <r>
    <x v="5"/>
    <x v="1"/>
    <s v="ACT"/>
    <s v="No gap agreement"/>
    <s v="More than 200% MBS Fee"/>
    <n v="0"/>
    <n v="0"/>
    <n v="0"/>
    <n v="0"/>
  </r>
  <r>
    <x v="5"/>
    <x v="1"/>
    <s v="ACT"/>
    <s v="No gap agreement"/>
    <s v="Up to MBS Fee"/>
    <n v="0"/>
    <n v="0"/>
    <n v="0"/>
    <n v="0"/>
  </r>
  <r>
    <x v="5"/>
    <x v="1"/>
    <s v="NSW"/>
    <s v="Known gap agreement"/>
    <s v="100% MBS Fee to 125% MBS Fee"/>
    <n v="0"/>
    <n v="0"/>
    <n v="0"/>
    <n v="0"/>
  </r>
  <r>
    <x v="5"/>
    <x v="1"/>
    <s v="NSW"/>
    <s v="Known gap agreement"/>
    <s v="More than 125% MBS Fee to 150% MBS Fee"/>
    <n v="0"/>
    <n v="0"/>
    <n v="0"/>
    <n v="0"/>
  </r>
  <r>
    <x v="5"/>
    <x v="1"/>
    <s v="NSW"/>
    <s v="Known gap agreement"/>
    <s v="More than 150% MBS Fee to 200% MBS Fee"/>
    <n v="0"/>
    <n v="0"/>
    <n v="0"/>
    <n v="0"/>
  </r>
  <r>
    <x v="5"/>
    <x v="1"/>
    <s v="NSW"/>
    <s v="Known gap agreement"/>
    <s v="More than 200% MBS Fee"/>
    <n v="0"/>
    <n v="0"/>
    <n v="0"/>
    <n v="0"/>
  </r>
  <r>
    <x v="5"/>
    <x v="1"/>
    <s v="NSW"/>
    <s v="No agreement"/>
    <s v="100% MBS Fee to 125% MBS Fee"/>
    <n v="0"/>
    <n v="0"/>
    <n v="0"/>
    <n v="0"/>
  </r>
  <r>
    <x v="5"/>
    <x v="1"/>
    <s v="NSW"/>
    <s v="No agreement"/>
    <s v="More than 125% MBS Fee to 150% MBS Fee"/>
    <n v="0"/>
    <n v="0"/>
    <n v="0"/>
    <n v="0"/>
  </r>
  <r>
    <x v="5"/>
    <x v="1"/>
    <s v="NSW"/>
    <s v="No agreement"/>
    <s v="More than 150% MBS Fee to 200% MBS Fee"/>
    <n v="0"/>
    <n v="0"/>
    <n v="0"/>
    <n v="0"/>
  </r>
  <r>
    <x v="5"/>
    <x v="1"/>
    <s v="NSW"/>
    <s v="No agreement"/>
    <s v="More than 200% MBS Fee"/>
    <n v="0"/>
    <n v="0"/>
    <n v="0"/>
    <n v="0"/>
  </r>
  <r>
    <x v="5"/>
    <x v="1"/>
    <s v="NSW"/>
    <s v="No agreement"/>
    <s v="Up to MBS Fee"/>
    <n v="0"/>
    <n v="0"/>
    <n v="0"/>
    <n v="0"/>
  </r>
  <r>
    <x v="5"/>
    <x v="1"/>
    <s v="NSW"/>
    <s v="No gap agreement"/>
    <s v="100% MBS Fee to 125% MBS Fee"/>
    <n v="0"/>
    <n v="0"/>
    <n v="0"/>
    <n v="0"/>
  </r>
  <r>
    <x v="5"/>
    <x v="1"/>
    <s v="NSW"/>
    <s v="No gap agreement"/>
    <s v="More than 125% MBS Fee to 150% MBS Fee"/>
    <n v="0"/>
    <n v="0"/>
    <n v="0"/>
    <n v="0"/>
  </r>
  <r>
    <x v="5"/>
    <x v="1"/>
    <s v="NSW"/>
    <s v="No gap agreement"/>
    <s v="More than 150% MBS Fee to 200% MBS Fee"/>
    <n v="0"/>
    <n v="0"/>
    <n v="0"/>
    <n v="0"/>
  </r>
  <r>
    <x v="5"/>
    <x v="1"/>
    <s v="NSW"/>
    <s v="No gap agreement"/>
    <s v="More than 200% MBS Fee"/>
    <n v="0"/>
    <n v="0"/>
    <n v="0"/>
    <n v="0"/>
  </r>
  <r>
    <x v="5"/>
    <x v="1"/>
    <s v="NSW"/>
    <s v="No gap agreement"/>
    <s v="Up to MBS Fee"/>
    <n v="0"/>
    <n v="0"/>
    <n v="0"/>
    <n v="0"/>
  </r>
  <r>
    <x v="5"/>
    <x v="1"/>
    <s v="NT"/>
    <s v="Known gap agreement"/>
    <s v="100% MBS Fee to 125% MBS Fee"/>
    <n v="0"/>
    <n v="0"/>
    <n v="0"/>
    <n v="0"/>
  </r>
  <r>
    <x v="5"/>
    <x v="1"/>
    <s v="NT"/>
    <s v="Known gap agreement"/>
    <s v="More than 125% MBS Fee to 150% MBS Fee"/>
    <n v="0"/>
    <n v="0"/>
    <n v="0"/>
    <n v="0"/>
  </r>
  <r>
    <x v="5"/>
    <x v="1"/>
    <s v="NT"/>
    <s v="Known gap agreement"/>
    <s v="More than 150% MBS Fee to 200% MBS Fee"/>
    <n v="0"/>
    <n v="0"/>
    <n v="0"/>
    <n v="0"/>
  </r>
  <r>
    <x v="5"/>
    <x v="1"/>
    <s v="NT"/>
    <s v="Known gap agreement"/>
    <s v="More than 200% MBS Fee"/>
    <n v="0"/>
    <n v="0"/>
    <n v="0"/>
    <n v="0"/>
  </r>
  <r>
    <x v="5"/>
    <x v="1"/>
    <s v="NT"/>
    <s v="No agreement"/>
    <s v="100% MBS Fee to 125% MBS Fee"/>
    <n v="0"/>
    <n v="0"/>
    <n v="0"/>
    <n v="0"/>
  </r>
  <r>
    <x v="5"/>
    <x v="1"/>
    <s v="NT"/>
    <s v="No agreement"/>
    <s v="More than 125% MBS Fee to 150% MBS Fee"/>
    <n v="0"/>
    <n v="0"/>
    <n v="0"/>
    <n v="0"/>
  </r>
  <r>
    <x v="5"/>
    <x v="1"/>
    <s v="NT"/>
    <s v="No agreement"/>
    <s v="More than 150% MBS Fee to 200% MBS Fee"/>
    <n v="0"/>
    <n v="0"/>
    <n v="0"/>
    <n v="0"/>
  </r>
  <r>
    <x v="5"/>
    <x v="1"/>
    <s v="NT"/>
    <s v="No agreement"/>
    <s v="More than 200% MBS Fee"/>
    <n v="0"/>
    <n v="0"/>
    <n v="0"/>
    <n v="0"/>
  </r>
  <r>
    <x v="5"/>
    <x v="1"/>
    <s v="NT"/>
    <s v="No agreement"/>
    <s v="Up to MBS Fee"/>
    <n v="0"/>
    <n v="0"/>
    <n v="0"/>
    <n v="0"/>
  </r>
  <r>
    <x v="5"/>
    <x v="1"/>
    <s v="NT"/>
    <s v="No gap agreement"/>
    <s v="100% MBS Fee to 125% MBS Fee"/>
    <n v="0"/>
    <n v="0"/>
    <n v="0"/>
    <n v="0"/>
  </r>
  <r>
    <x v="5"/>
    <x v="1"/>
    <s v="NT"/>
    <s v="No gap agreement"/>
    <s v="More than 125% MBS Fee to 150% MBS Fee"/>
    <n v="0"/>
    <n v="0"/>
    <n v="0"/>
    <n v="0"/>
  </r>
  <r>
    <x v="5"/>
    <x v="1"/>
    <s v="NT"/>
    <s v="No gap agreement"/>
    <s v="More than 150% MBS Fee to 200% MBS Fee"/>
    <n v="0"/>
    <n v="0"/>
    <n v="0"/>
    <n v="0"/>
  </r>
  <r>
    <x v="5"/>
    <x v="1"/>
    <s v="NT"/>
    <s v="No gap agreement"/>
    <s v="More than 200% MBS Fee"/>
    <n v="0"/>
    <n v="0"/>
    <n v="0"/>
    <n v="0"/>
  </r>
  <r>
    <x v="5"/>
    <x v="1"/>
    <s v="NT"/>
    <s v="No gap agreement"/>
    <s v="Up to MBS Fee"/>
    <n v="0"/>
    <n v="0"/>
    <n v="0"/>
    <n v="0"/>
  </r>
  <r>
    <x v="5"/>
    <x v="1"/>
    <s v="QLD"/>
    <s v="Known gap agreement"/>
    <s v="100% MBS Fee to 125% MBS Fee"/>
    <n v="0"/>
    <n v="0"/>
    <n v="0"/>
    <n v="0"/>
  </r>
  <r>
    <x v="5"/>
    <x v="1"/>
    <s v="QLD"/>
    <s v="Known gap agreement"/>
    <s v="More than 125% MBS Fee to 150% MBS Fee"/>
    <n v="0"/>
    <n v="0"/>
    <n v="0"/>
    <n v="0"/>
  </r>
  <r>
    <x v="5"/>
    <x v="1"/>
    <s v="QLD"/>
    <s v="Known gap agreement"/>
    <s v="More than 150% MBS Fee to 200% MBS Fee"/>
    <n v="0"/>
    <n v="0"/>
    <n v="0"/>
    <n v="0"/>
  </r>
  <r>
    <x v="5"/>
    <x v="1"/>
    <s v="QLD"/>
    <s v="Known gap agreement"/>
    <s v="More than 200% MBS Fee"/>
    <n v="0"/>
    <n v="0"/>
    <n v="0"/>
    <n v="0"/>
  </r>
  <r>
    <x v="5"/>
    <x v="1"/>
    <s v="QLD"/>
    <s v="No agreement"/>
    <s v="100% MBS Fee to 125% MBS Fee"/>
    <n v="0"/>
    <n v="0"/>
    <n v="0"/>
    <n v="0"/>
  </r>
  <r>
    <x v="5"/>
    <x v="1"/>
    <s v="QLD"/>
    <s v="No agreement"/>
    <s v="More than 125% MBS Fee to 150% MBS Fee"/>
    <n v="0"/>
    <n v="0"/>
    <n v="0"/>
    <n v="0"/>
  </r>
  <r>
    <x v="5"/>
    <x v="1"/>
    <s v="QLD"/>
    <s v="No agreement"/>
    <s v="More than 150% MBS Fee to 200% MBS Fee"/>
    <n v="0"/>
    <n v="0"/>
    <n v="0"/>
    <n v="0"/>
  </r>
  <r>
    <x v="5"/>
    <x v="1"/>
    <s v="QLD"/>
    <s v="No agreement"/>
    <s v="More than 200% MBS Fee"/>
    <n v="0"/>
    <n v="0"/>
    <n v="0"/>
    <n v="0"/>
  </r>
  <r>
    <x v="5"/>
    <x v="1"/>
    <s v="QLD"/>
    <s v="No agreement"/>
    <s v="Up to MBS Fee"/>
    <n v="0"/>
    <n v="0"/>
    <n v="0"/>
    <n v="0"/>
  </r>
  <r>
    <x v="5"/>
    <x v="1"/>
    <s v="QLD"/>
    <s v="No gap agreement"/>
    <s v="100% MBS Fee to 125% MBS Fee"/>
    <n v="0"/>
    <n v="0"/>
    <n v="0"/>
    <n v="0"/>
  </r>
  <r>
    <x v="5"/>
    <x v="1"/>
    <s v="QLD"/>
    <s v="No gap agreement"/>
    <s v="More than 125% MBS Fee to 150% MBS Fee"/>
    <n v="0"/>
    <n v="0"/>
    <n v="0"/>
    <n v="0"/>
  </r>
  <r>
    <x v="5"/>
    <x v="1"/>
    <s v="QLD"/>
    <s v="No gap agreement"/>
    <s v="More than 150% MBS Fee to 200% MBS Fee"/>
    <n v="0"/>
    <n v="0"/>
    <n v="0"/>
    <n v="0"/>
  </r>
  <r>
    <x v="5"/>
    <x v="1"/>
    <s v="QLD"/>
    <s v="No gap agreement"/>
    <s v="More than 200% MBS Fee"/>
    <n v="0"/>
    <n v="0"/>
    <n v="0"/>
    <n v="0"/>
  </r>
  <r>
    <x v="5"/>
    <x v="1"/>
    <s v="QLD"/>
    <s v="No gap agreement"/>
    <s v="Up to MBS Fee"/>
    <n v="0"/>
    <n v="0"/>
    <n v="0"/>
    <n v="0"/>
  </r>
  <r>
    <x v="5"/>
    <x v="1"/>
    <s v="SA"/>
    <s v="Known gap agreement"/>
    <s v="100% MBS Fee to 125% MBS Fee"/>
    <n v="0"/>
    <n v="0"/>
    <n v="0"/>
    <n v="0"/>
  </r>
  <r>
    <x v="5"/>
    <x v="1"/>
    <s v="SA"/>
    <s v="Known gap agreement"/>
    <s v="More than 125% MBS Fee to 150% MBS Fee"/>
    <n v="0"/>
    <n v="0"/>
    <n v="0"/>
    <n v="0"/>
  </r>
  <r>
    <x v="5"/>
    <x v="1"/>
    <s v="SA"/>
    <s v="Known gap agreement"/>
    <s v="More than 150% MBS Fee to 200% MBS Fee"/>
    <n v="0"/>
    <n v="0"/>
    <n v="0"/>
    <n v="0"/>
  </r>
  <r>
    <x v="5"/>
    <x v="1"/>
    <s v="SA"/>
    <s v="Known gap agreement"/>
    <s v="More than 200% MBS Fee"/>
    <n v="0"/>
    <n v="0"/>
    <n v="0"/>
    <n v="0"/>
  </r>
  <r>
    <x v="5"/>
    <x v="1"/>
    <s v="SA"/>
    <s v="No agreement"/>
    <s v="100% MBS Fee to 125% MBS Fee"/>
    <n v="0"/>
    <n v="0"/>
    <n v="0"/>
    <n v="0"/>
  </r>
  <r>
    <x v="5"/>
    <x v="1"/>
    <s v="SA"/>
    <s v="No agreement"/>
    <s v="More than 125% MBS Fee to 150% MBS Fee"/>
    <n v="0"/>
    <n v="0"/>
    <n v="0"/>
    <n v="0"/>
  </r>
  <r>
    <x v="5"/>
    <x v="1"/>
    <s v="SA"/>
    <s v="No agreement"/>
    <s v="More than 150% MBS Fee to 200% MBS Fee"/>
    <n v="0"/>
    <n v="0"/>
    <n v="0"/>
    <n v="0"/>
  </r>
  <r>
    <x v="5"/>
    <x v="1"/>
    <s v="SA"/>
    <s v="No agreement"/>
    <s v="More than 200% MBS Fee"/>
    <n v="0"/>
    <n v="0"/>
    <n v="0"/>
    <n v="0"/>
  </r>
  <r>
    <x v="5"/>
    <x v="1"/>
    <s v="SA"/>
    <s v="No agreement"/>
    <s v="Up to MBS Fee"/>
    <n v="0"/>
    <n v="0"/>
    <n v="0"/>
    <n v="0"/>
  </r>
  <r>
    <x v="5"/>
    <x v="1"/>
    <s v="SA"/>
    <s v="No gap agreement"/>
    <s v="100% MBS Fee to 125% MBS Fee"/>
    <n v="0"/>
    <n v="0"/>
    <n v="0"/>
    <n v="0"/>
  </r>
  <r>
    <x v="5"/>
    <x v="1"/>
    <s v="SA"/>
    <s v="No gap agreement"/>
    <s v="More than 125% MBS Fee to 150% MBS Fee"/>
    <n v="0"/>
    <n v="0"/>
    <n v="0"/>
    <n v="0"/>
  </r>
  <r>
    <x v="5"/>
    <x v="1"/>
    <s v="SA"/>
    <s v="No gap agreement"/>
    <s v="More than 150% MBS Fee to 200% MBS Fee"/>
    <n v="0"/>
    <n v="0"/>
    <n v="0"/>
    <n v="0"/>
  </r>
  <r>
    <x v="5"/>
    <x v="1"/>
    <s v="SA"/>
    <s v="No gap agreement"/>
    <s v="More than 200% MBS Fee"/>
    <n v="0"/>
    <n v="0"/>
    <n v="0"/>
    <n v="0"/>
  </r>
  <r>
    <x v="5"/>
    <x v="1"/>
    <s v="SA"/>
    <s v="No gap agreement"/>
    <s v="Up to MBS Fee"/>
    <n v="0"/>
    <n v="0"/>
    <n v="0"/>
    <n v="0"/>
  </r>
  <r>
    <x v="5"/>
    <x v="1"/>
    <s v="TAS"/>
    <s v="Known gap agreement"/>
    <s v="100% MBS Fee to 125% MBS Fee"/>
    <n v="0"/>
    <n v="0"/>
    <n v="0"/>
    <n v="0"/>
  </r>
  <r>
    <x v="5"/>
    <x v="1"/>
    <s v="TAS"/>
    <s v="Known gap agreement"/>
    <s v="More than 125% MBS Fee to 150% MBS Fee"/>
    <n v="0"/>
    <n v="0"/>
    <n v="0"/>
    <n v="0"/>
  </r>
  <r>
    <x v="5"/>
    <x v="1"/>
    <s v="TAS"/>
    <s v="Known gap agreement"/>
    <s v="More than 150% MBS Fee to 200% MBS Fee"/>
    <n v="0"/>
    <n v="0"/>
    <n v="0"/>
    <n v="0"/>
  </r>
  <r>
    <x v="5"/>
    <x v="1"/>
    <s v="TAS"/>
    <s v="Known gap agreement"/>
    <s v="More than 200% MBS Fee"/>
    <n v="0"/>
    <n v="0"/>
    <n v="0"/>
    <n v="0"/>
  </r>
  <r>
    <x v="5"/>
    <x v="1"/>
    <s v="TAS"/>
    <s v="No agreement"/>
    <s v="100% MBS Fee to 125% MBS Fee"/>
    <n v="0"/>
    <n v="0"/>
    <n v="0"/>
    <n v="0"/>
  </r>
  <r>
    <x v="5"/>
    <x v="1"/>
    <s v="TAS"/>
    <s v="No agreement"/>
    <s v="More than 125% MBS Fee to 150% MBS Fee"/>
    <n v="0"/>
    <n v="0"/>
    <n v="0"/>
    <n v="0"/>
  </r>
  <r>
    <x v="5"/>
    <x v="1"/>
    <s v="TAS"/>
    <s v="No agreement"/>
    <s v="More than 150% MBS Fee to 200% MBS Fee"/>
    <n v="0"/>
    <n v="0"/>
    <n v="0"/>
    <n v="0"/>
  </r>
  <r>
    <x v="5"/>
    <x v="1"/>
    <s v="TAS"/>
    <s v="No agreement"/>
    <s v="More than 200% MBS Fee"/>
    <n v="0"/>
    <n v="0"/>
    <n v="0"/>
    <n v="0"/>
  </r>
  <r>
    <x v="5"/>
    <x v="1"/>
    <s v="TAS"/>
    <s v="No agreement"/>
    <s v="Up to MBS Fee"/>
    <n v="0"/>
    <n v="0"/>
    <n v="0"/>
    <n v="0"/>
  </r>
  <r>
    <x v="5"/>
    <x v="1"/>
    <s v="TAS"/>
    <s v="No gap agreement"/>
    <s v="100% MBS Fee to 125% MBS Fee"/>
    <n v="0"/>
    <n v="0"/>
    <n v="0"/>
    <n v="0"/>
  </r>
  <r>
    <x v="5"/>
    <x v="1"/>
    <s v="TAS"/>
    <s v="No gap agreement"/>
    <s v="More than 125% MBS Fee to 150% MBS Fee"/>
    <n v="0"/>
    <n v="0"/>
    <n v="0"/>
    <n v="0"/>
  </r>
  <r>
    <x v="5"/>
    <x v="1"/>
    <s v="TAS"/>
    <s v="No gap agreement"/>
    <s v="More than 150% MBS Fee to 200% MBS Fee"/>
    <n v="0"/>
    <n v="0"/>
    <n v="0"/>
    <n v="0"/>
  </r>
  <r>
    <x v="5"/>
    <x v="1"/>
    <s v="TAS"/>
    <s v="No gap agreement"/>
    <s v="More than 200% MBS Fee"/>
    <n v="0"/>
    <n v="0"/>
    <n v="0"/>
    <n v="0"/>
  </r>
  <r>
    <x v="5"/>
    <x v="1"/>
    <s v="TAS"/>
    <s v="No gap agreement"/>
    <s v="Up to MBS Fee"/>
    <n v="0"/>
    <n v="0"/>
    <n v="0"/>
    <n v="0"/>
  </r>
  <r>
    <x v="5"/>
    <x v="1"/>
    <s v="VIC"/>
    <s v="Known gap agreement"/>
    <s v="100% MBS Fee to 125% MBS Fee"/>
    <n v="0"/>
    <n v="0"/>
    <n v="0"/>
    <n v="0"/>
  </r>
  <r>
    <x v="5"/>
    <x v="1"/>
    <s v="VIC"/>
    <s v="Known gap agreement"/>
    <s v="More than 125% MBS Fee to 150% MBS Fee"/>
    <n v="0"/>
    <n v="0"/>
    <n v="0"/>
    <n v="0"/>
  </r>
  <r>
    <x v="5"/>
    <x v="1"/>
    <s v="VIC"/>
    <s v="Known gap agreement"/>
    <s v="More than 150% MBS Fee to 200% MBS Fee"/>
    <n v="0"/>
    <n v="0"/>
    <n v="0"/>
    <n v="0"/>
  </r>
  <r>
    <x v="5"/>
    <x v="1"/>
    <s v="VIC"/>
    <s v="Known gap agreement"/>
    <s v="More than 200% MBS Fee"/>
    <n v="0"/>
    <n v="0"/>
    <n v="0"/>
    <n v="0"/>
  </r>
  <r>
    <x v="5"/>
    <x v="1"/>
    <s v="VIC"/>
    <s v="No agreement"/>
    <s v="100% MBS Fee to 125% MBS Fee"/>
    <n v="0"/>
    <n v="0"/>
    <n v="0"/>
    <n v="0"/>
  </r>
  <r>
    <x v="5"/>
    <x v="1"/>
    <s v="VIC"/>
    <s v="No agreement"/>
    <s v="More than 125% MBS Fee to 150% MBS Fee"/>
    <n v="0"/>
    <n v="0"/>
    <n v="0"/>
    <n v="0"/>
  </r>
  <r>
    <x v="5"/>
    <x v="1"/>
    <s v="VIC"/>
    <s v="No agreement"/>
    <s v="More than 150% MBS Fee to 200% MBS Fee"/>
    <n v="0"/>
    <n v="0"/>
    <n v="0"/>
    <n v="0"/>
  </r>
  <r>
    <x v="5"/>
    <x v="1"/>
    <s v="VIC"/>
    <s v="No agreement"/>
    <s v="More than 200% MBS Fee"/>
    <n v="0"/>
    <n v="0"/>
    <n v="0"/>
    <n v="0"/>
  </r>
  <r>
    <x v="5"/>
    <x v="1"/>
    <s v="VIC"/>
    <s v="No agreement"/>
    <s v="Up to MBS Fee"/>
    <n v="0"/>
    <n v="0"/>
    <n v="0"/>
    <n v="0"/>
  </r>
  <r>
    <x v="5"/>
    <x v="1"/>
    <s v="VIC"/>
    <s v="No gap agreement"/>
    <s v="100% MBS Fee to 125% MBS Fee"/>
    <n v="0"/>
    <n v="0"/>
    <n v="0"/>
    <n v="0"/>
  </r>
  <r>
    <x v="5"/>
    <x v="1"/>
    <s v="VIC"/>
    <s v="No gap agreement"/>
    <s v="More than 125% MBS Fee to 150% MBS Fee"/>
    <n v="0"/>
    <n v="0"/>
    <n v="0"/>
    <n v="0"/>
  </r>
  <r>
    <x v="5"/>
    <x v="1"/>
    <s v="VIC"/>
    <s v="No gap agreement"/>
    <s v="More than 150% MBS Fee to 200% MBS Fee"/>
    <n v="0"/>
    <n v="0"/>
    <n v="0"/>
    <n v="0"/>
  </r>
  <r>
    <x v="5"/>
    <x v="1"/>
    <s v="VIC"/>
    <s v="No gap agreement"/>
    <s v="More than 200% MBS Fee"/>
    <n v="0"/>
    <n v="0"/>
    <n v="0"/>
    <n v="0"/>
  </r>
  <r>
    <x v="5"/>
    <x v="1"/>
    <s v="VIC"/>
    <s v="No gap agreement"/>
    <s v="Up to MBS Fee"/>
    <n v="0"/>
    <n v="0"/>
    <n v="0"/>
    <n v="0"/>
  </r>
  <r>
    <x v="5"/>
    <x v="1"/>
    <s v="WA"/>
    <s v="Known gap agreement"/>
    <s v="100% MBS Fee to 125% MBS Fee"/>
    <n v="0"/>
    <n v="0"/>
    <n v="0"/>
    <n v="0"/>
  </r>
  <r>
    <x v="5"/>
    <x v="1"/>
    <s v="WA"/>
    <s v="Known gap agreement"/>
    <s v="More than 125% MBS Fee to 150% MBS Fee"/>
    <n v="0"/>
    <n v="0"/>
    <n v="0"/>
    <n v="0"/>
  </r>
  <r>
    <x v="5"/>
    <x v="1"/>
    <s v="WA"/>
    <s v="Known gap agreement"/>
    <s v="More than 150% MBS Fee to 200% MBS Fee"/>
    <n v="0"/>
    <n v="0"/>
    <n v="0"/>
    <n v="0"/>
  </r>
  <r>
    <x v="5"/>
    <x v="1"/>
    <s v="WA"/>
    <s v="Known gap agreement"/>
    <s v="More than 200% MBS Fee"/>
    <n v="0"/>
    <n v="0"/>
    <n v="0"/>
    <n v="0"/>
  </r>
  <r>
    <x v="5"/>
    <x v="1"/>
    <s v="WA"/>
    <s v="No agreement"/>
    <s v="100% MBS Fee to 125% MBS Fee"/>
    <n v="0"/>
    <n v="0"/>
    <n v="0"/>
    <n v="0"/>
  </r>
  <r>
    <x v="5"/>
    <x v="1"/>
    <s v="WA"/>
    <s v="No agreement"/>
    <s v="More than 125% MBS Fee to 150% MBS Fee"/>
    <n v="0"/>
    <n v="0"/>
    <n v="0"/>
    <n v="0"/>
  </r>
  <r>
    <x v="5"/>
    <x v="1"/>
    <s v="WA"/>
    <s v="No agreement"/>
    <s v="More than 150% MBS Fee to 200% MBS Fee"/>
    <n v="0"/>
    <n v="0"/>
    <n v="0"/>
    <n v="0"/>
  </r>
  <r>
    <x v="5"/>
    <x v="1"/>
    <s v="WA"/>
    <s v="No agreement"/>
    <s v="More than 200% MBS Fee"/>
    <n v="0"/>
    <n v="0"/>
    <n v="0"/>
    <n v="0"/>
  </r>
  <r>
    <x v="5"/>
    <x v="1"/>
    <s v="WA"/>
    <s v="No agreement"/>
    <s v="Up to MBS Fee"/>
    <n v="0"/>
    <n v="0"/>
    <n v="0"/>
    <n v="0"/>
  </r>
  <r>
    <x v="5"/>
    <x v="1"/>
    <s v="WA"/>
    <s v="No gap agreement"/>
    <s v="100% MBS Fee to 125% MBS Fee"/>
    <n v="0"/>
    <n v="0"/>
    <n v="0"/>
    <n v="0"/>
  </r>
  <r>
    <x v="5"/>
    <x v="1"/>
    <s v="WA"/>
    <s v="No gap agreement"/>
    <s v="More than 125% MBS Fee to 150% MBS Fee"/>
    <n v="0"/>
    <n v="0"/>
    <n v="0"/>
    <n v="0"/>
  </r>
  <r>
    <x v="5"/>
    <x v="1"/>
    <s v="WA"/>
    <s v="No gap agreement"/>
    <s v="More than 150% MBS Fee to 200% MBS Fee"/>
    <n v="0"/>
    <n v="0"/>
    <n v="0"/>
    <n v="0"/>
  </r>
  <r>
    <x v="5"/>
    <x v="1"/>
    <s v="WA"/>
    <s v="No gap agreement"/>
    <s v="More than 200% MBS Fee"/>
    <n v="0"/>
    <n v="0"/>
    <n v="0"/>
    <n v="0"/>
  </r>
  <r>
    <x v="5"/>
    <x v="1"/>
    <s v="WA"/>
    <s v="No gap agreement"/>
    <s v="Up to MBS Fee"/>
    <n v="0"/>
    <n v="0"/>
    <n v="0"/>
    <n v="0"/>
  </r>
  <r>
    <x v="6"/>
    <x v="0"/>
    <s v="ACT"/>
    <s v="Known gap agreement"/>
    <s v="100% MBS Fee to 125% MBS Fee"/>
    <n v="0"/>
    <n v="0"/>
    <n v="0"/>
    <n v="0"/>
  </r>
  <r>
    <x v="6"/>
    <x v="0"/>
    <s v="ACT"/>
    <s v="Known gap agreement"/>
    <s v="More than 125% MBS Fee to 150% MBS Fee"/>
    <n v="0"/>
    <n v="0"/>
    <n v="0"/>
    <n v="0"/>
  </r>
  <r>
    <x v="6"/>
    <x v="0"/>
    <s v="ACT"/>
    <s v="Known gap agreement"/>
    <s v="More than 150% MBS Fee to 200% MBS Fee"/>
    <n v="0"/>
    <n v="0"/>
    <n v="0"/>
    <n v="0"/>
  </r>
  <r>
    <x v="6"/>
    <x v="0"/>
    <s v="ACT"/>
    <s v="Known gap agreement"/>
    <s v="More than 200% MBS Fee"/>
    <n v="0"/>
    <n v="0"/>
    <n v="0"/>
    <n v="0"/>
  </r>
  <r>
    <x v="6"/>
    <x v="0"/>
    <s v="ACT"/>
    <s v="No agreement"/>
    <s v="100% MBS Fee to 125% MBS Fee"/>
    <n v="0"/>
    <n v="0"/>
    <n v="0"/>
    <n v="0"/>
  </r>
  <r>
    <x v="6"/>
    <x v="0"/>
    <s v="ACT"/>
    <s v="No agreement"/>
    <s v="More than 125% MBS Fee to 150% MBS Fee"/>
    <n v="0"/>
    <n v="0"/>
    <n v="0"/>
    <n v="0"/>
  </r>
  <r>
    <x v="6"/>
    <x v="0"/>
    <s v="ACT"/>
    <s v="No agreement"/>
    <s v="More than 150% MBS Fee to 200% MBS Fee"/>
    <n v="0"/>
    <n v="0"/>
    <n v="0"/>
    <n v="0"/>
  </r>
  <r>
    <x v="6"/>
    <x v="0"/>
    <s v="ACT"/>
    <s v="No agreement"/>
    <s v="More than 200% MBS Fee"/>
    <n v="0"/>
    <n v="0"/>
    <n v="0"/>
    <n v="0"/>
  </r>
  <r>
    <x v="6"/>
    <x v="0"/>
    <s v="ACT"/>
    <s v="No agreement"/>
    <s v="Up to MBS Fee"/>
    <n v="0"/>
    <n v="0"/>
    <n v="0"/>
    <n v="0"/>
  </r>
  <r>
    <x v="6"/>
    <x v="0"/>
    <s v="ACT"/>
    <s v="No gap agreement"/>
    <s v="100% MBS Fee to 125% MBS Fee"/>
    <n v="0"/>
    <n v="0"/>
    <n v="0"/>
    <n v="0"/>
  </r>
  <r>
    <x v="6"/>
    <x v="0"/>
    <s v="ACT"/>
    <s v="No gap agreement"/>
    <s v="More than 125% MBS Fee to 150% MBS Fee"/>
    <n v="0"/>
    <n v="0"/>
    <n v="0"/>
    <n v="0"/>
  </r>
  <r>
    <x v="6"/>
    <x v="0"/>
    <s v="ACT"/>
    <s v="No gap agreement"/>
    <s v="More than 150% MBS Fee to 200% MBS Fee"/>
    <n v="0"/>
    <n v="0"/>
    <n v="0"/>
    <n v="0"/>
  </r>
  <r>
    <x v="6"/>
    <x v="0"/>
    <s v="ACT"/>
    <s v="No gap agreement"/>
    <s v="More than 200% MBS Fee"/>
    <n v="0"/>
    <n v="0"/>
    <n v="0"/>
    <n v="0"/>
  </r>
  <r>
    <x v="6"/>
    <x v="0"/>
    <s v="ACT"/>
    <s v="No gap agreement"/>
    <s v="Up to MBS Fee"/>
    <n v="0"/>
    <n v="0"/>
    <n v="0"/>
    <n v="0"/>
  </r>
  <r>
    <x v="6"/>
    <x v="0"/>
    <s v="NSW"/>
    <s v="Known gap agreement"/>
    <s v="100% MBS Fee to 125% MBS Fee"/>
    <n v="1418037"/>
    <n v="911363"/>
    <n v="467806"/>
    <n v="11927"/>
  </r>
  <r>
    <x v="6"/>
    <x v="0"/>
    <s v="NSW"/>
    <s v="Known gap agreement"/>
    <s v="More than 125% MBS Fee to 150% MBS Fee"/>
    <n v="2726704"/>
    <n v="1474826"/>
    <n v="1161411"/>
    <n v="14598"/>
  </r>
  <r>
    <x v="6"/>
    <x v="0"/>
    <s v="NSW"/>
    <s v="Known gap agreement"/>
    <s v="More than 150% MBS Fee to 200% MBS Fee"/>
    <n v="1044528"/>
    <n v="462257"/>
    <n v="379505"/>
    <n v="3680"/>
  </r>
  <r>
    <x v="6"/>
    <x v="0"/>
    <s v="NSW"/>
    <s v="Known gap agreement"/>
    <s v="More than 200% MBS Fee"/>
    <n v="1072738"/>
    <n v="282883"/>
    <n v="352460"/>
    <n v="2789"/>
  </r>
  <r>
    <x v="6"/>
    <x v="0"/>
    <s v="NSW"/>
    <s v="No agreement"/>
    <s v="100% MBS Fee to 125% MBS Fee"/>
    <n v="9573068"/>
    <n v="6400830"/>
    <n v="2166915"/>
    <n v="78044"/>
  </r>
  <r>
    <x v="6"/>
    <x v="0"/>
    <s v="NSW"/>
    <s v="No agreement"/>
    <s v="More than 125% MBS Fee to 150% MBS Fee"/>
    <n v="11580562"/>
    <n v="6284652"/>
    <n v="2109582"/>
    <n v="65877"/>
  </r>
  <r>
    <x v="6"/>
    <x v="0"/>
    <s v="NSW"/>
    <s v="No agreement"/>
    <s v="More than 150% MBS Fee to 200% MBS Fee"/>
    <n v="23033072"/>
    <n v="9973545"/>
    <n v="3382809"/>
    <n v="92267"/>
  </r>
  <r>
    <x v="6"/>
    <x v="0"/>
    <s v="NSW"/>
    <s v="No agreement"/>
    <s v="More than 200% MBS Fee"/>
    <n v="26089844"/>
    <n v="7442312"/>
    <n v="2636338"/>
    <n v="54284"/>
  </r>
  <r>
    <x v="6"/>
    <x v="0"/>
    <s v="NSW"/>
    <s v="No agreement"/>
    <s v="Up to MBS Fee"/>
    <n v="26919196"/>
    <n v="20245610"/>
    <n v="6673603"/>
    <n v="411789"/>
  </r>
  <r>
    <x v="6"/>
    <x v="0"/>
    <s v="NSW"/>
    <s v="No gap agreement"/>
    <s v="100% MBS Fee to 125% MBS Fee"/>
    <n v="19628176"/>
    <n v="12713250"/>
    <n v="6914926"/>
    <n v="226465"/>
  </r>
  <r>
    <x v="6"/>
    <x v="0"/>
    <s v="NSW"/>
    <s v="No gap agreement"/>
    <s v="More than 125% MBS Fee to 150% MBS Fee"/>
    <n v="24547681"/>
    <n v="13406328"/>
    <n v="11141353"/>
    <n v="136807"/>
  </r>
  <r>
    <x v="6"/>
    <x v="0"/>
    <s v="NSW"/>
    <s v="No gap agreement"/>
    <s v="More than 150% MBS Fee to 200% MBS Fee"/>
    <n v="1521952"/>
    <n v="726511"/>
    <n v="795439"/>
    <n v="6470"/>
  </r>
  <r>
    <x v="6"/>
    <x v="0"/>
    <s v="NSW"/>
    <s v="No gap agreement"/>
    <s v="More than 200% MBS Fee"/>
    <n v="3262839"/>
    <n v="1130593"/>
    <n v="2132246"/>
    <n v="7275"/>
  </r>
  <r>
    <x v="6"/>
    <x v="0"/>
    <s v="NSW"/>
    <s v="No gap agreement"/>
    <s v="Up to MBS Fee"/>
    <n v="1532956"/>
    <n v="1246871"/>
    <n v="286094"/>
    <n v="31570"/>
  </r>
  <r>
    <x v="6"/>
    <x v="0"/>
    <s v="NT"/>
    <s v="Known gap agreement"/>
    <s v="100% MBS Fee to 125% MBS Fee"/>
    <n v="28336"/>
    <n v="17868"/>
    <n v="10184"/>
    <n v="282"/>
  </r>
  <r>
    <x v="6"/>
    <x v="0"/>
    <s v="NT"/>
    <s v="Known gap agreement"/>
    <s v="More than 125% MBS Fee to 150% MBS Fee"/>
    <n v="69865"/>
    <n v="38258"/>
    <n v="31023"/>
    <n v="246"/>
  </r>
  <r>
    <x v="6"/>
    <x v="0"/>
    <s v="NT"/>
    <s v="Known gap agreement"/>
    <s v="More than 150% MBS Fee to 200% MBS Fee"/>
    <n v="15257"/>
    <n v="6668"/>
    <n v="5231"/>
    <n v="40"/>
  </r>
  <r>
    <x v="6"/>
    <x v="0"/>
    <s v="NT"/>
    <s v="Known gap agreement"/>
    <s v="More than 200% MBS Fee"/>
    <n v="3341"/>
    <n v="949"/>
    <n v="658"/>
    <n v="19"/>
  </r>
  <r>
    <x v="6"/>
    <x v="0"/>
    <s v="NT"/>
    <s v="No agreement"/>
    <s v="100% MBS Fee to 125% MBS Fee"/>
    <n v="134104"/>
    <n v="90962"/>
    <n v="30295"/>
    <n v="775"/>
  </r>
  <r>
    <x v="6"/>
    <x v="0"/>
    <s v="NT"/>
    <s v="No agreement"/>
    <s v="More than 125% MBS Fee to 150% MBS Fee"/>
    <n v="112395"/>
    <n v="61149"/>
    <n v="20393"/>
    <n v="732"/>
  </r>
  <r>
    <x v="6"/>
    <x v="0"/>
    <s v="NT"/>
    <s v="No agreement"/>
    <s v="More than 150% MBS Fee to 200% MBS Fee"/>
    <n v="266336"/>
    <n v="113293"/>
    <n v="38193"/>
    <n v="1386"/>
  </r>
  <r>
    <x v="6"/>
    <x v="0"/>
    <s v="NT"/>
    <s v="No agreement"/>
    <s v="More than 200% MBS Fee"/>
    <n v="285364"/>
    <n v="78031"/>
    <n v="25705"/>
    <n v="474"/>
  </r>
  <r>
    <x v="6"/>
    <x v="0"/>
    <s v="NT"/>
    <s v="No agreement"/>
    <s v="Up to MBS Fee"/>
    <n v="283214"/>
    <n v="213303"/>
    <n v="69911"/>
    <n v="3827"/>
  </r>
  <r>
    <x v="6"/>
    <x v="0"/>
    <s v="NT"/>
    <s v="No gap agreement"/>
    <s v="100% MBS Fee to 125% MBS Fee"/>
    <n v="239025"/>
    <n v="153503"/>
    <n v="85522"/>
    <n v="2697"/>
  </r>
  <r>
    <x v="6"/>
    <x v="0"/>
    <s v="NT"/>
    <s v="No gap agreement"/>
    <s v="More than 125% MBS Fee to 150% MBS Fee"/>
    <n v="583888"/>
    <n v="321659"/>
    <n v="262229"/>
    <n v="2881"/>
  </r>
  <r>
    <x v="6"/>
    <x v="0"/>
    <s v="NT"/>
    <s v="No gap agreement"/>
    <s v="More than 150% MBS Fee to 200% MBS Fee"/>
    <n v="114852"/>
    <n v="56393"/>
    <n v="58459"/>
    <n v="470"/>
  </r>
  <r>
    <x v="6"/>
    <x v="0"/>
    <s v="NT"/>
    <s v="No gap agreement"/>
    <s v="More than 200% MBS Fee"/>
    <n v="112029"/>
    <n v="38904"/>
    <n v="73125"/>
    <n v="278"/>
  </r>
  <r>
    <x v="6"/>
    <x v="0"/>
    <s v="NT"/>
    <s v="No gap agreement"/>
    <s v="Up to MBS Fee"/>
    <n v="35040"/>
    <n v="28901"/>
    <n v="6140"/>
    <n v="475"/>
  </r>
  <r>
    <x v="6"/>
    <x v="0"/>
    <s v="QLD"/>
    <s v="Known gap agreement"/>
    <s v="100% MBS Fee to 125% MBS Fee"/>
    <n v="1179817"/>
    <n v="750012"/>
    <n v="414494"/>
    <n v="11958"/>
  </r>
  <r>
    <x v="6"/>
    <x v="0"/>
    <s v="QLD"/>
    <s v="Known gap agreement"/>
    <s v="More than 125% MBS Fee to 150% MBS Fee"/>
    <n v="2360437"/>
    <n v="1276088"/>
    <n v="1020642"/>
    <n v="10580"/>
  </r>
  <r>
    <x v="6"/>
    <x v="0"/>
    <s v="QLD"/>
    <s v="Known gap agreement"/>
    <s v="More than 150% MBS Fee to 200% MBS Fee"/>
    <n v="1024307"/>
    <n v="451785"/>
    <n v="372506"/>
    <n v="3616"/>
  </r>
  <r>
    <x v="6"/>
    <x v="0"/>
    <s v="QLD"/>
    <s v="Known gap agreement"/>
    <s v="More than 200% MBS Fee"/>
    <n v="701545"/>
    <n v="205508"/>
    <n v="253131"/>
    <n v="1569"/>
  </r>
  <r>
    <x v="6"/>
    <x v="0"/>
    <s v="QLD"/>
    <s v="No agreement"/>
    <s v="100% MBS Fee to 125% MBS Fee"/>
    <n v="7204040"/>
    <n v="4811079"/>
    <n v="1648423"/>
    <n v="58953"/>
  </r>
  <r>
    <x v="6"/>
    <x v="0"/>
    <s v="QLD"/>
    <s v="No agreement"/>
    <s v="More than 125% MBS Fee to 150% MBS Fee"/>
    <n v="7678098"/>
    <n v="4205069"/>
    <n v="1415127"/>
    <n v="46822"/>
  </r>
  <r>
    <x v="6"/>
    <x v="0"/>
    <s v="QLD"/>
    <s v="No agreement"/>
    <s v="More than 150% MBS Fee to 200% MBS Fee"/>
    <n v="11584073"/>
    <n v="5070276"/>
    <n v="1726852"/>
    <n v="50856"/>
  </r>
  <r>
    <x v="6"/>
    <x v="0"/>
    <s v="QLD"/>
    <s v="No agreement"/>
    <s v="More than 200% MBS Fee"/>
    <n v="8791726"/>
    <n v="2444534"/>
    <n v="846006"/>
    <n v="18690"/>
  </r>
  <r>
    <x v="6"/>
    <x v="0"/>
    <s v="QLD"/>
    <s v="No agreement"/>
    <s v="Up to MBS Fee"/>
    <n v="13576123"/>
    <n v="10208145"/>
    <n v="3367953"/>
    <n v="188185"/>
  </r>
  <r>
    <x v="6"/>
    <x v="0"/>
    <s v="QLD"/>
    <s v="No gap agreement"/>
    <s v="100% MBS Fee to 125% MBS Fee"/>
    <n v="16400529"/>
    <n v="10622893"/>
    <n v="5777636"/>
    <n v="270260"/>
  </r>
  <r>
    <x v="6"/>
    <x v="0"/>
    <s v="QLD"/>
    <s v="No gap agreement"/>
    <s v="More than 125% MBS Fee to 150% MBS Fee"/>
    <n v="20211967"/>
    <n v="11012431"/>
    <n v="9199537"/>
    <n v="102350"/>
  </r>
  <r>
    <x v="6"/>
    <x v="0"/>
    <s v="QLD"/>
    <s v="No gap agreement"/>
    <s v="More than 150% MBS Fee to 200% MBS Fee"/>
    <n v="1314394"/>
    <n v="617531"/>
    <n v="696862"/>
    <n v="5739"/>
  </r>
  <r>
    <x v="6"/>
    <x v="0"/>
    <s v="QLD"/>
    <s v="No gap agreement"/>
    <s v="More than 200% MBS Fee"/>
    <n v="2713350"/>
    <n v="903599"/>
    <n v="1809751"/>
    <n v="7183"/>
  </r>
  <r>
    <x v="6"/>
    <x v="0"/>
    <s v="QLD"/>
    <s v="No gap agreement"/>
    <s v="Up to MBS Fee"/>
    <n v="847120"/>
    <n v="739941"/>
    <n v="107211"/>
    <n v="18707"/>
  </r>
  <r>
    <x v="6"/>
    <x v="0"/>
    <s v="SA"/>
    <s v="Known gap agreement"/>
    <s v="100% MBS Fee to 125% MBS Fee"/>
    <n v="239487"/>
    <n v="152334"/>
    <n v="83386"/>
    <n v="1812"/>
  </r>
  <r>
    <x v="6"/>
    <x v="0"/>
    <s v="SA"/>
    <s v="Known gap agreement"/>
    <s v="More than 125% MBS Fee to 150% MBS Fee"/>
    <n v="636984"/>
    <n v="347169"/>
    <n v="280013"/>
    <n v="3053"/>
  </r>
  <r>
    <x v="6"/>
    <x v="0"/>
    <s v="SA"/>
    <s v="Known gap agreement"/>
    <s v="More than 150% MBS Fee to 200% MBS Fee"/>
    <n v="121157"/>
    <n v="55935"/>
    <n v="50095"/>
    <n v="532"/>
  </r>
  <r>
    <x v="6"/>
    <x v="0"/>
    <s v="SA"/>
    <s v="Known gap agreement"/>
    <s v="More than 200% MBS Fee"/>
    <n v="87847"/>
    <n v="23259"/>
    <n v="34548"/>
    <n v="193"/>
  </r>
  <r>
    <x v="6"/>
    <x v="0"/>
    <s v="SA"/>
    <s v="No agreement"/>
    <s v="100% MBS Fee to 125% MBS Fee"/>
    <n v="1809963"/>
    <n v="1222422"/>
    <n v="413876"/>
    <n v="21929"/>
  </r>
  <r>
    <x v="6"/>
    <x v="0"/>
    <s v="SA"/>
    <s v="No agreement"/>
    <s v="More than 125% MBS Fee to 150% MBS Fee"/>
    <n v="690986"/>
    <n v="380331"/>
    <n v="132732"/>
    <n v="4536"/>
  </r>
  <r>
    <x v="6"/>
    <x v="0"/>
    <s v="SA"/>
    <s v="No agreement"/>
    <s v="More than 150% MBS Fee to 200% MBS Fee"/>
    <n v="687523"/>
    <n v="296383"/>
    <n v="103177"/>
    <n v="3140"/>
  </r>
  <r>
    <x v="6"/>
    <x v="0"/>
    <s v="SA"/>
    <s v="No agreement"/>
    <s v="More than 200% MBS Fee"/>
    <n v="496099"/>
    <n v="149992"/>
    <n v="67041"/>
    <n v="1450"/>
  </r>
  <r>
    <x v="6"/>
    <x v="0"/>
    <s v="SA"/>
    <s v="No agreement"/>
    <s v="Up to MBS Fee"/>
    <n v="4600308"/>
    <n v="3452628"/>
    <n v="1146640"/>
    <n v="85122"/>
  </r>
  <r>
    <x v="6"/>
    <x v="0"/>
    <s v="SA"/>
    <s v="No gap agreement"/>
    <s v="100% MBS Fee to 125% MBS Fee"/>
    <n v="9134941"/>
    <n v="5991040"/>
    <n v="3143901"/>
    <n v="126928"/>
  </r>
  <r>
    <x v="6"/>
    <x v="0"/>
    <s v="SA"/>
    <s v="No gap agreement"/>
    <s v="More than 125% MBS Fee to 150% MBS Fee"/>
    <n v="18830761"/>
    <n v="10296435"/>
    <n v="8534325"/>
    <n v="87814"/>
  </r>
  <r>
    <x v="6"/>
    <x v="0"/>
    <s v="SA"/>
    <s v="No gap agreement"/>
    <s v="More than 150% MBS Fee to 200% MBS Fee"/>
    <n v="2023624"/>
    <n v="938096"/>
    <n v="1085527"/>
    <n v="11807"/>
  </r>
  <r>
    <x v="6"/>
    <x v="0"/>
    <s v="SA"/>
    <s v="No gap agreement"/>
    <s v="More than 200% MBS Fee"/>
    <n v="895661"/>
    <n v="303137"/>
    <n v="592523"/>
    <n v="1476"/>
  </r>
  <r>
    <x v="6"/>
    <x v="0"/>
    <s v="SA"/>
    <s v="No gap agreement"/>
    <s v="Up to MBS Fee"/>
    <n v="1385531"/>
    <n v="1052911"/>
    <n v="334112"/>
    <n v="11180"/>
  </r>
  <r>
    <x v="6"/>
    <x v="0"/>
    <s v="TAS"/>
    <s v="Known gap agreement"/>
    <s v="100% MBS Fee to 125% MBS Fee"/>
    <n v="101372"/>
    <n v="63933"/>
    <n v="35200"/>
    <n v="956"/>
  </r>
  <r>
    <x v="6"/>
    <x v="0"/>
    <s v="TAS"/>
    <s v="Known gap agreement"/>
    <s v="More than 125% MBS Fee to 150% MBS Fee"/>
    <n v="313934"/>
    <n v="168915"/>
    <n v="140252"/>
    <n v="1652"/>
  </r>
  <r>
    <x v="6"/>
    <x v="0"/>
    <s v="TAS"/>
    <s v="Known gap agreement"/>
    <s v="More than 150% MBS Fee to 200% MBS Fee"/>
    <n v="45856"/>
    <n v="20458"/>
    <n v="16536"/>
    <n v="300"/>
  </r>
  <r>
    <x v="6"/>
    <x v="0"/>
    <s v="TAS"/>
    <s v="Known gap agreement"/>
    <s v="More than 200% MBS Fee"/>
    <n v="47461"/>
    <n v="13159"/>
    <n v="12323"/>
    <n v="108"/>
  </r>
  <r>
    <x v="6"/>
    <x v="0"/>
    <s v="TAS"/>
    <s v="No agreement"/>
    <s v="100% MBS Fee to 125% MBS Fee"/>
    <n v="750410"/>
    <n v="499810"/>
    <n v="168666"/>
    <n v="6667"/>
  </r>
  <r>
    <x v="6"/>
    <x v="0"/>
    <s v="TAS"/>
    <s v="No agreement"/>
    <s v="More than 125% MBS Fee to 150% MBS Fee"/>
    <n v="686098"/>
    <n v="375517"/>
    <n v="126506"/>
    <n v="4690"/>
  </r>
  <r>
    <x v="6"/>
    <x v="0"/>
    <s v="TAS"/>
    <s v="No agreement"/>
    <s v="More than 150% MBS Fee to 200% MBS Fee"/>
    <n v="810926"/>
    <n v="354267"/>
    <n v="118425"/>
    <n v="3974"/>
  </r>
  <r>
    <x v="6"/>
    <x v="0"/>
    <s v="TAS"/>
    <s v="No agreement"/>
    <s v="More than 200% MBS Fee"/>
    <n v="1551412"/>
    <n v="412165"/>
    <n v="138706"/>
    <n v="3741"/>
  </r>
  <r>
    <x v="6"/>
    <x v="0"/>
    <s v="TAS"/>
    <s v="No agreement"/>
    <s v="Up to MBS Fee"/>
    <n v="1977882"/>
    <n v="1485716"/>
    <n v="492167"/>
    <n v="29016"/>
  </r>
  <r>
    <x v="6"/>
    <x v="0"/>
    <s v="TAS"/>
    <s v="No gap agreement"/>
    <s v="100% MBS Fee to 125% MBS Fee"/>
    <n v="1893221"/>
    <n v="1228469"/>
    <n v="664753"/>
    <n v="23602"/>
  </r>
  <r>
    <x v="6"/>
    <x v="0"/>
    <s v="TAS"/>
    <s v="No gap agreement"/>
    <s v="More than 125% MBS Fee to 150% MBS Fee"/>
    <n v="2002903"/>
    <n v="1097602"/>
    <n v="905301"/>
    <n v="7674"/>
  </r>
  <r>
    <x v="6"/>
    <x v="0"/>
    <s v="TAS"/>
    <s v="No gap agreement"/>
    <s v="More than 150% MBS Fee to 200% MBS Fee"/>
    <n v="377874"/>
    <n v="179207"/>
    <n v="198667"/>
    <n v="821"/>
  </r>
  <r>
    <x v="6"/>
    <x v="0"/>
    <s v="TAS"/>
    <s v="No gap agreement"/>
    <s v="More than 200% MBS Fee"/>
    <n v="347158"/>
    <n v="121404"/>
    <n v="225753"/>
    <n v="1113"/>
  </r>
  <r>
    <x v="6"/>
    <x v="0"/>
    <s v="TAS"/>
    <s v="No gap agreement"/>
    <s v="Up to MBS Fee"/>
    <n v="220536"/>
    <n v="180357"/>
    <n v="40179"/>
    <n v="5013"/>
  </r>
  <r>
    <x v="6"/>
    <x v="0"/>
    <s v="VIC"/>
    <s v="Known gap agreement"/>
    <s v="100% MBS Fee to 125% MBS Fee"/>
    <n v="1622669"/>
    <n v="1034043"/>
    <n v="546907"/>
    <n v="13525"/>
  </r>
  <r>
    <x v="6"/>
    <x v="0"/>
    <s v="VIC"/>
    <s v="Known gap agreement"/>
    <s v="More than 125% MBS Fee to 150% MBS Fee"/>
    <n v="4185691"/>
    <n v="2261573"/>
    <n v="1717338"/>
    <n v="19377"/>
  </r>
  <r>
    <x v="6"/>
    <x v="0"/>
    <s v="VIC"/>
    <s v="Known gap agreement"/>
    <s v="More than 150% MBS Fee to 200% MBS Fee"/>
    <n v="2199098"/>
    <n v="984748"/>
    <n v="727410"/>
    <n v="8368"/>
  </r>
  <r>
    <x v="6"/>
    <x v="0"/>
    <s v="VIC"/>
    <s v="Known gap agreement"/>
    <s v="More than 200% MBS Fee"/>
    <n v="1119570"/>
    <n v="334363"/>
    <n v="314598"/>
    <n v="3079"/>
  </r>
  <r>
    <x v="6"/>
    <x v="0"/>
    <s v="VIC"/>
    <s v="No agreement"/>
    <s v="100% MBS Fee to 125% MBS Fee"/>
    <n v="6627191"/>
    <n v="4447612"/>
    <n v="1517624"/>
    <n v="52175"/>
  </r>
  <r>
    <x v="6"/>
    <x v="0"/>
    <s v="VIC"/>
    <s v="No agreement"/>
    <s v="More than 125% MBS Fee to 150% MBS Fee"/>
    <n v="6201103"/>
    <n v="3382473"/>
    <n v="1140804"/>
    <n v="37453"/>
  </r>
  <r>
    <x v="6"/>
    <x v="0"/>
    <s v="VIC"/>
    <s v="No agreement"/>
    <s v="More than 150% MBS Fee to 200% MBS Fee"/>
    <n v="8585529"/>
    <n v="3777831"/>
    <n v="1296319"/>
    <n v="48955"/>
  </r>
  <r>
    <x v="6"/>
    <x v="0"/>
    <s v="VIC"/>
    <s v="No agreement"/>
    <s v="More than 200% MBS Fee"/>
    <n v="5674567"/>
    <n v="1496282"/>
    <n v="517956"/>
    <n v="12166"/>
  </r>
  <r>
    <x v="6"/>
    <x v="0"/>
    <s v="VIC"/>
    <s v="No agreement"/>
    <s v="Up to MBS Fee"/>
    <n v="15619001"/>
    <n v="11761963"/>
    <n v="3857019"/>
    <n v="218370"/>
  </r>
  <r>
    <x v="6"/>
    <x v="0"/>
    <s v="VIC"/>
    <s v="No gap agreement"/>
    <s v="100% MBS Fee to 125% MBS Fee"/>
    <n v="21144648"/>
    <n v="13427175"/>
    <n v="7717472"/>
    <n v="236933"/>
  </r>
  <r>
    <x v="6"/>
    <x v="0"/>
    <s v="VIC"/>
    <s v="No gap agreement"/>
    <s v="More than 125% MBS Fee to 150% MBS Fee"/>
    <n v="33143996"/>
    <n v="18207387"/>
    <n v="14936609"/>
    <n v="253784"/>
  </r>
  <r>
    <x v="6"/>
    <x v="0"/>
    <s v="VIC"/>
    <s v="No gap agreement"/>
    <s v="More than 150% MBS Fee to 200% MBS Fee"/>
    <n v="5357151"/>
    <n v="2505189"/>
    <n v="2851960"/>
    <n v="26523"/>
  </r>
  <r>
    <x v="6"/>
    <x v="0"/>
    <s v="VIC"/>
    <s v="No gap agreement"/>
    <s v="More than 200% MBS Fee"/>
    <n v="2310043"/>
    <n v="794101"/>
    <n v="1515943"/>
    <n v="4353"/>
  </r>
  <r>
    <x v="6"/>
    <x v="0"/>
    <s v="VIC"/>
    <s v="No gap agreement"/>
    <s v="Up to MBS Fee"/>
    <n v="2156825"/>
    <n v="1644447"/>
    <n v="512171"/>
    <n v="18622"/>
  </r>
  <r>
    <x v="6"/>
    <x v="0"/>
    <s v="WA"/>
    <s v="Known gap agreement"/>
    <s v="100% MBS Fee to 125% MBS Fee"/>
    <n v="441580"/>
    <n v="289564"/>
    <n v="132047"/>
    <n v="4340"/>
  </r>
  <r>
    <x v="6"/>
    <x v="0"/>
    <s v="WA"/>
    <s v="Known gap agreement"/>
    <s v="More than 125% MBS Fee to 150% MBS Fee"/>
    <n v="894374"/>
    <n v="483910"/>
    <n v="366350"/>
    <n v="3872"/>
  </r>
  <r>
    <x v="6"/>
    <x v="0"/>
    <s v="WA"/>
    <s v="Known gap agreement"/>
    <s v="More than 150% MBS Fee to 200% MBS Fee"/>
    <n v="753468"/>
    <n v="336067"/>
    <n v="264047"/>
    <n v="3223"/>
  </r>
  <r>
    <x v="6"/>
    <x v="0"/>
    <s v="WA"/>
    <s v="Known gap agreement"/>
    <s v="More than 200% MBS Fee"/>
    <n v="540493"/>
    <n v="154173"/>
    <n v="178046"/>
    <n v="1484"/>
  </r>
  <r>
    <x v="6"/>
    <x v="0"/>
    <s v="WA"/>
    <s v="No agreement"/>
    <s v="100% MBS Fee to 125% MBS Fee"/>
    <n v="2112028"/>
    <n v="1377050"/>
    <n v="468739"/>
    <n v="20176"/>
  </r>
  <r>
    <x v="6"/>
    <x v="0"/>
    <s v="WA"/>
    <s v="No agreement"/>
    <s v="More than 125% MBS Fee to 150% MBS Fee"/>
    <n v="2249082"/>
    <n v="1226866"/>
    <n v="424745"/>
    <n v="10702"/>
  </r>
  <r>
    <x v="6"/>
    <x v="0"/>
    <s v="WA"/>
    <s v="No agreement"/>
    <s v="More than 150% MBS Fee to 200% MBS Fee"/>
    <n v="2708052"/>
    <n v="1179580"/>
    <n v="415136"/>
    <n v="10900"/>
  </r>
  <r>
    <x v="6"/>
    <x v="0"/>
    <s v="WA"/>
    <s v="No agreement"/>
    <s v="More than 200% MBS Fee"/>
    <n v="2097817"/>
    <n v="565290"/>
    <n v="259088"/>
    <n v="4993"/>
  </r>
  <r>
    <x v="6"/>
    <x v="0"/>
    <s v="WA"/>
    <s v="No agreement"/>
    <s v="Up to MBS Fee"/>
    <n v="2919131"/>
    <n v="2192967"/>
    <n v="726165"/>
    <n v="36308"/>
  </r>
  <r>
    <x v="6"/>
    <x v="0"/>
    <s v="WA"/>
    <s v="No gap agreement"/>
    <s v="100% MBS Fee to 125% MBS Fee"/>
    <n v="8314210"/>
    <n v="5402713"/>
    <n v="2911496"/>
    <n v="91474"/>
  </r>
  <r>
    <x v="6"/>
    <x v="0"/>
    <s v="WA"/>
    <s v="No gap agreement"/>
    <s v="More than 125% MBS Fee to 150% MBS Fee"/>
    <n v="8326814"/>
    <n v="4564234"/>
    <n v="3762581"/>
    <n v="41532"/>
  </r>
  <r>
    <x v="6"/>
    <x v="0"/>
    <s v="WA"/>
    <s v="No gap agreement"/>
    <s v="More than 150% MBS Fee to 200% MBS Fee"/>
    <n v="4473431"/>
    <n v="2000599"/>
    <n v="2472832"/>
    <n v="20654"/>
  </r>
  <r>
    <x v="6"/>
    <x v="0"/>
    <s v="WA"/>
    <s v="No gap agreement"/>
    <s v="More than 200% MBS Fee"/>
    <n v="2341261"/>
    <n v="700477"/>
    <n v="1640785"/>
    <n v="5878"/>
  </r>
  <r>
    <x v="6"/>
    <x v="0"/>
    <s v="WA"/>
    <s v="No gap agreement"/>
    <s v="Up to MBS Fee"/>
    <n v="3055791"/>
    <n v="2313133"/>
    <n v="742658"/>
    <n v="42262"/>
  </r>
  <r>
    <x v="6"/>
    <x v="2"/>
    <s v="ACT"/>
    <s v="Known gap agreement"/>
    <s v="100% MBS Fee to 125% MBS Fee"/>
    <n v="0"/>
    <n v="0"/>
    <n v="0"/>
    <n v="0"/>
  </r>
  <r>
    <x v="6"/>
    <x v="2"/>
    <s v="ACT"/>
    <s v="Known gap agreement"/>
    <s v="More than 125% MBS Fee to 150% MBS Fee"/>
    <n v="0"/>
    <n v="0"/>
    <n v="0"/>
    <n v="0"/>
  </r>
  <r>
    <x v="6"/>
    <x v="2"/>
    <s v="ACT"/>
    <s v="Known gap agreement"/>
    <s v="More than 150% MBS Fee to 200% MBS Fee"/>
    <n v="0"/>
    <n v="0"/>
    <n v="0"/>
    <n v="0"/>
  </r>
  <r>
    <x v="6"/>
    <x v="2"/>
    <s v="ACT"/>
    <s v="Known gap agreement"/>
    <s v="More than 200% MBS Fee"/>
    <n v="0"/>
    <n v="0"/>
    <n v="0"/>
    <n v="0"/>
  </r>
  <r>
    <x v="6"/>
    <x v="2"/>
    <s v="ACT"/>
    <s v="No agreement"/>
    <s v="100% MBS Fee to 125% MBS Fee"/>
    <n v="0"/>
    <n v="0"/>
    <n v="0"/>
    <n v="0"/>
  </r>
  <r>
    <x v="6"/>
    <x v="2"/>
    <s v="ACT"/>
    <s v="No agreement"/>
    <s v="More than 125% MBS Fee to 150% MBS Fee"/>
    <n v="0"/>
    <n v="0"/>
    <n v="0"/>
    <n v="0"/>
  </r>
  <r>
    <x v="6"/>
    <x v="2"/>
    <s v="ACT"/>
    <s v="No agreement"/>
    <s v="More than 150% MBS Fee to 200% MBS Fee"/>
    <n v="0"/>
    <n v="0"/>
    <n v="0"/>
    <n v="0"/>
  </r>
  <r>
    <x v="6"/>
    <x v="2"/>
    <s v="ACT"/>
    <s v="No agreement"/>
    <s v="More than 200% MBS Fee"/>
    <n v="0"/>
    <n v="0"/>
    <n v="0"/>
    <n v="0"/>
  </r>
  <r>
    <x v="6"/>
    <x v="2"/>
    <s v="ACT"/>
    <s v="No agreement"/>
    <s v="Up to MBS Fee"/>
    <n v="0"/>
    <n v="0"/>
    <n v="0"/>
    <n v="0"/>
  </r>
  <r>
    <x v="6"/>
    <x v="2"/>
    <s v="ACT"/>
    <s v="No gap agreement"/>
    <s v="100% MBS Fee to 125% MBS Fee"/>
    <n v="0"/>
    <n v="0"/>
    <n v="0"/>
    <n v="0"/>
  </r>
  <r>
    <x v="6"/>
    <x v="2"/>
    <s v="ACT"/>
    <s v="No gap agreement"/>
    <s v="More than 125% MBS Fee to 150% MBS Fee"/>
    <n v="0"/>
    <n v="0"/>
    <n v="0"/>
    <n v="0"/>
  </r>
  <r>
    <x v="6"/>
    <x v="2"/>
    <s v="ACT"/>
    <s v="No gap agreement"/>
    <s v="More than 150% MBS Fee to 200% MBS Fee"/>
    <n v="0"/>
    <n v="0"/>
    <n v="0"/>
    <n v="0"/>
  </r>
  <r>
    <x v="6"/>
    <x v="2"/>
    <s v="ACT"/>
    <s v="No gap agreement"/>
    <s v="More than 200% MBS Fee"/>
    <n v="0"/>
    <n v="0"/>
    <n v="0"/>
    <n v="0"/>
  </r>
  <r>
    <x v="6"/>
    <x v="2"/>
    <s v="ACT"/>
    <s v="No gap agreement"/>
    <s v="Up to MBS Fee"/>
    <n v="0"/>
    <n v="0"/>
    <n v="0"/>
    <n v="0"/>
  </r>
  <r>
    <x v="6"/>
    <x v="2"/>
    <s v="NSW"/>
    <s v="Known gap agreement"/>
    <s v="100% MBS Fee to 125% MBS Fee"/>
    <n v="1022537"/>
    <n v="662370"/>
    <n v="329977"/>
    <n v="8478"/>
  </r>
  <r>
    <x v="6"/>
    <x v="2"/>
    <s v="NSW"/>
    <s v="Known gap agreement"/>
    <s v="More than 125% MBS Fee to 150% MBS Fee"/>
    <n v="1238741"/>
    <n v="673308"/>
    <n v="504339"/>
    <n v="5729"/>
  </r>
  <r>
    <x v="6"/>
    <x v="2"/>
    <s v="NSW"/>
    <s v="Known gap agreement"/>
    <s v="More than 150% MBS Fee to 200% MBS Fee"/>
    <n v="343186"/>
    <n v="149953"/>
    <n v="92728"/>
    <n v="1422"/>
  </r>
  <r>
    <x v="6"/>
    <x v="2"/>
    <s v="NSW"/>
    <s v="Known gap agreement"/>
    <s v="More than 200% MBS Fee"/>
    <n v="550204"/>
    <n v="155012"/>
    <n v="169547"/>
    <n v="1367"/>
  </r>
  <r>
    <x v="6"/>
    <x v="2"/>
    <s v="NSW"/>
    <s v="No agreement"/>
    <s v="100% MBS Fee to 125% MBS Fee"/>
    <n v="13412779"/>
    <n v="8990753"/>
    <n v="3015734"/>
    <n v="113563"/>
  </r>
  <r>
    <x v="6"/>
    <x v="2"/>
    <s v="NSW"/>
    <s v="No agreement"/>
    <s v="More than 125% MBS Fee to 150% MBS Fee"/>
    <n v="14427379"/>
    <n v="7840008"/>
    <n v="2636909"/>
    <n v="90251"/>
  </r>
  <r>
    <x v="6"/>
    <x v="2"/>
    <s v="NSW"/>
    <s v="No agreement"/>
    <s v="More than 150% MBS Fee to 200% MBS Fee"/>
    <n v="23762738"/>
    <n v="10314128"/>
    <n v="3459241"/>
    <n v="94399"/>
  </r>
  <r>
    <x v="6"/>
    <x v="2"/>
    <s v="NSW"/>
    <s v="No agreement"/>
    <s v="More than 200% MBS Fee"/>
    <n v="24259455"/>
    <n v="6837875"/>
    <n v="2323750"/>
    <n v="47767"/>
  </r>
  <r>
    <x v="6"/>
    <x v="2"/>
    <s v="NSW"/>
    <s v="No agreement"/>
    <s v="Up to MBS Fee"/>
    <n v="29609028"/>
    <n v="22267174"/>
    <n v="7341855"/>
    <n v="453232"/>
  </r>
  <r>
    <x v="6"/>
    <x v="2"/>
    <s v="NSW"/>
    <s v="No gap agreement"/>
    <s v="100% MBS Fee to 125% MBS Fee"/>
    <n v="14873848"/>
    <n v="9717016"/>
    <n v="5156832"/>
    <n v="163404"/>
  </r>
  <r>
    <x v="6"/>
    <x v="2"/>
    <s v="NSW"/>
    <s v="No gap agreement"/>
    <s v="More than 125% MBS Fee to 150% MBS Fee"/>
    <n v="15509142"/>
    <n v="8467641"/>
    <n v="7041502"/>
    <n v="78132"/>
  </r>
  <r>
    <x v="6"/>
    <x v="2"/>
    <s v="NSW"/>
    <s v="No gap agreement"/>
    <s v="More than 150% MBS Fee to 200% MBS Fee"/>
    <n v="828987"/>
    <n v="392771"/>
    <n v="436216"/>
    <n v="2673"/>
  </r>
  <r>
    <x v="6"/>
    <x v="2"/>
    <s v="NSW"/>
    <s v="No gap agreement"/>
    <s v="More than 200% MBS Fee"/>
    <n v="1571154"/>
    <n v="535988"/>
    <n v="1035167"/>
    <n v="3522"/>
  </r>
  <r>
    <x v="6"/>
    <x v="2"/>
    <s v="NSW"/>
    <s v="No gap agreement"/>
    <s v="Up to MBS Fee"/>
    <n v="1235212"/>
    <n v="935755"/>
    <n v="299456"/>
    <n v="11375"/>
  </r>
  <r>
    <x v="6"/>
    <x v="2"/>
    <s v="NT"/>
    <s v="Known gap agreement"/>
    <s v="100% MBS Fee to 125% MBS Fee"/>
    <n v="13238"/>
    <n v="8296"/>
    <n v="4883"/>
    <n v="103"/>
  </r>
  <r>
    <x v="6"/>
    <x v="2"/>
    <s v="NT"/>
    <s v="Known gap agreement"/>
    <s v="More than 125% MBS Fee to 150% MBS Fee"/>
    <n v="133126"/>
    <n v="69977"/>
    <n v="62817"/>
    <n v="814"/>
  </r>
  <r>
    <x v="6"/>
    <x v="2"/>
    <s v="NT"/>
    <s v="Known gap agreement"/>
    <s v="More than 150% MBS Fee to 200% MBS Fee"/>
    <n v="10853"/>
    <n v="4561"/>
    <n v="3520"/>
    <n v="22"/>
  </r>
  <r>
    <x v="6"/>
    <x v="2"/>
    <s v="NT"/>
    <s v="Known gap agreement"/>
    <s v="More than 200% MBS Fee"/>
    <n v="34134"/>
    <n v="9434"/>
    <n v="18990"/>
    <n v="49"/>
  </r>
  <r>
    <x v="6"/>
    <x v="2"/>
    <s v="NT"/>
    <s v="No agreement"/>
    <s v="100% MBS Fee to 125% MBS Fee"/>
    <n v="127724"/>
    <n v="85088"/>
    <n v="28590"/>
    <n v="889"/>
  </r>
  <r>
    <x v="6"/>
    <x v="2"/>
    <s v="NT"/>
    <s v="No agreement"/>
    <s v="More than 125% MBS Fee to 150% MBS Fee"/>
    <n v="172355"/>
    <n v="94035"/>
    <n v="31311"/>
    <n v="1433"/>
  </r>
  <r>
    <x v="6"/>
    <x v="2"/>
    <s v="NT"/>
    <s v="No agreement"/>
    <s v="More than 150% MBS Fee to 200% MBS Fee"/>
    <n v="305782"/>
    <n v="131490"/>
    <n v="43794"/>
    <n v="1324"/>
  </r>
  <r>
    <x v="6"/>
    <x v="2"/>
    <s v="NT"/>
    <s v="No agreement"/>
    <s v="More than 200% MBS Fee"/>
    <n v="330389"/>
    <n v="98224"/>
    <n v="32712"/>
    <n v="562"/>
  </r>
  <r>
    <x v="6"/>
    <x v="2"/>
    <s v="NT"/>
    <s v="No agreement"/>
    <s v="Up to MBS Fee"/>
    <n v="297711"/>
    <n v="224600"/>
    <n v="73111"/>
    <n v="3842"/>
  </r>
  <r>
    <x v="6"/>
    <x v="2"/>
    <s v="NT"/>
    <s v="No gap agreement"/>
    <s v="100% MBS Fee to 125% MBS Fee"/>
    <n v="124890"/>
    <n v="81972"/>
    <n v="42917"/>
    <n v="1189"/>
  </r>
  <r>
    <x v="6"/>
    <x v="2"/>
    <s v="NT"/>
    <s v="No gap agreement"/>
    <s v="More than 125% MBS Fee to 150% MBS Fee"/>
    <n v="334725"/>
    <n v="188321"/>
    <n v="146404"/>
    <n v="1330"/>
  </r>
  <r>
    <x v="6"/>
    <x v="2"/>
    <s v="NT"/>
    <s v="No gap agreement"/>
    <s v="More than 150% MBS Fee to 200% MBS Fee"/>
    <n v="41514"/>
    <n v="20004"/>
    <n v="21510"/>
    <n v="195"/>
  </r>
  <r>
    <x v="6"/>
    <x v="2"/>
    <s v="NT"/>
    <s v="No gap agreement"/>
    <s v="More than 200% MBS Fee"/>
    <n v="51947"/>
    <n v="15723"/>
    <n v="36224"/>
    <n v="60"/>
  </r>
  <r>
    <x v="6"/>
    <x v="2"/>
    <s v="NT"/>
    <s v="No gap agreement"/>
    <s v="Up to MBS Fee"/>
    <n v="14757"/>
    <n v="11273"/>
    <n v="3484"/>
    <n v="66"/>
  </r>
  <r>
    <x v="6"/>
    <x v="2"/>
    <s v="QLD"/>
    <s v="Known gap agreement"/>
    <s v="100% MBS Fee to 125% MBS Fee"/>
    <n v="709279"/>
    <n v="449599"/>
    <n v="251208"/>
    <n v="5598"/>
  </r>
  <r>
    <x v="6"/>
    <x v="2"/>
    <s v="QLD"/>
    <s v="Known gap agreement"/>
    <s v="More than 125% MBS Fee to 150% MBS Fee"/>
    <n v="1960613"/>
    <n v="1055911"/>
    <n v="867009"/>
    <n v="10230"/>
  </r>
  <r>
    <x v="6"/>
    <x v="2"/>
    <s v="QLD"/>
    <s v="Known gap agreement"/>
    <s v="More than 150% MBS Fee to 200% MBS Fee"/>
    <n v="340695"/>
    <n v="150590"/>
    <n v="105901"/>
    <n v="1013"/>
  </r>
  <r>
    <x v="6"/>
    <x v="2"/>
    <s v="QLD"/>
    <s v="Known gap agreement"/>
    <s v="More than 200% MBS Fee"/>
    <n v="497693"/>
    <n v="140217"/>
    <n v="206349"/>
    <n v="696"/>
  </r>
  <r>
    <x v="6"/>
    <x v="2"/>
    <s v="QLD"/>
    <s v="No agreement"/>
    <s v="100% MBS Fee to 125% MBS Fee"/>
    <n v="10106814"/>
    <n v="6759929"/>
    <n v="2251954"/>
    <n v="79468"/>
  </r>
  <r>
    <x v="6"/>
    <x v="2"/>
    <s v="QLD"/>
    <s v="No agreement"/>
    <s v="More than 125% MBS Fee to 150% MBS Fee"/>
    <n v="10196028"/>
    <n v="5612659"/>
    <n v="1865643"/>
    <n v="75661"/>
  </r>
  <r>
    <x v="6"/>
    <x v="2"/>
    <s v="QLD"/>
    <s v="No agreement"/>
    <s v="More than 150% MBS Fee to 200% MBS Fee"/>
    <n v="12593482"/>
    <n v="5543682"/>
    <n v="1843675"/>
    <n v="50688"/>
  </r>
  <r>
    <x v="6"/>
    <x v="2"/>
    <s v="QLD"/>
    <s v="No agreement"/>
    <s v="More than 200% MBS Fee"/>
    <n v="8454464"/>
    <n v="2387263"/>
    <n v="802803"/>
    <n v="17082"/>
  </r>
  <r>
    <x v="6"/>
    <x v="2"/>
    <s v="QLD"/>
    <s v="No agreement"/>
    <s v="Up to MBS Fee"/>
    <n v="17243940"/>
    <n v="12978661"/>
    <n v="4265279"/>
    <n v="259245"/>
  </r>
  <r>
    <x v="6"/>
    <x v="2"/>
    <s v="QLD"/>
    <s v="No gap agreement"/>
    <s v="100% MBS Fee to 125% MBS Fee"/>
    <n v="9073199"/>
    <n v="5922670"/>
    <n v="3150529"/>
    <n v="132640"/>
  </r>
  <r>
    <x v="6"/>
    <x v="2"/>
    <s v="QLD"/>
    <s v="No gap agreement"/>
    <s v="More than 125% MBS Fee to 150% MBS Fee"/>
    <n v="12529015"/>
    <n v="6783238"/>
    <n v="5745762"/>
    <n v="66487"/>
  </r>
  <r>
    <x v="6"/>
    <x v="2"/>
    <s v="QLD"/>
    <s v="No gap agreement"/>
    <s v="More than 150% MBS Fee to 200% MBS Fee"/>
    <n v="266741"/>
    <n v="123818"/>
    <n v="142924"/>
    <n v="1181"/>
  </r>
  <r>
    <x v="6"/>
    <x v="2"/>
    <s v="QLD"/>
    <s v="No gap agreement"/>
    <s v="More than 200% MBS Fee"/>
    <n v="1907180"/>
    <n v="624158"/>
    <n v="1283021"/>
    <n v="5137"/>
  </r>
  <r>
    <x v="6"/>
    <x v="2"/>
    <s v="QLD"/>
    <s v="No gap agreement"/>
    <s v="Up to MBS Fee"/>
    <n v="670193"/>
    <n v="508250"/>
    <n v="161944"/>
    <n v="8988"/>
  </r>
  <r>
    <x v="6"/>
    <x v="2"/>
    <s v="SA"/>
    <s v="Known gap agreement"/>
    <s v="100% MBS Fee to 125% MBS Fee"/>
    <n v="448416"/>
    <n v="286904"/>
    <n v="155604"/>
    <n v="3563"/>
  </r>
  <r>
    <x v="6"/>
    <x v="2"/>
    <s v="SA"/>
    <s v="Known gap agreement"/>
    <s v="More than 125% MBS Fee to 150% MBS Fee"/>
    <n v="1585988"/>
    <n v="859535"/>
    <n v="688289"/>
    <n v="8743"/>
  </r>
  <r>
    <x v="6"/>
    <x v="2"/>
    <s v="SA"/>
    <s v="Known gap agreement"/>
    <s v="More than 150% MBS Fee to 200% MBS Fee"/>
    <n v="78128"/>
    <n v="33577"/>
    <n v="27729"/>
    <n v="176"/>
  </r>
  <r>
    <x v="6"/>
    <x v="2"/>
    <s v="SA"/>
    <s v="Known gap agreement"/>
    <s v="More than 200% MBS Fee"/>
    <n v="138737"/>
    <n v="38080"/>
    <n v="51186"/>
    <n v="213"/>
  </r>
  <r>
    <x v="6"/>
    <x v="2"/>
    <s v="SA"/>
    <s v="No agreement"/>
    <s v="100% MBS Fee to 125% MBS Fee"/>
    <n v="2095753"/>
    <n v="1395465"/>
    <n v="466981"/>
    <n v="22228"/>
  </r>
  <r>
    <x v="6"/>
    <x v="2"/>
    <s v="SA"/>
    <s v="No agreement"/>
    <s v="More than 125% MBS Fee to 150% MBS Fee"/>
    <n v="923944"/>
    <n v="511121"/>
    <n v="174160"/>
    <n v="5321"/>
  </r>
  <r>
    <x v="6"/>
    <x v="2"/>
    <s v="SA"/>
    <s v="No agreement"/>
    <s v="More than 150% MBS Fee to 200% MBS Fee"/>
    <n v="871147"/>
    <n v="384645"/>
    <n v="129740"/>
    <n v="4058"/>
  </r>
  <r>
    <x v="6"/>
    <x v="2"/>
    <s v="SA"/>
    <s v="No agreement"/>
    <s v="More than 200% MBS Fee"/>
    <n v="580367"/>
    <n v="129064"/>
    <n v="44013"/>
    <n v="1195"/>
  </r>
  <r>
    <x v="6"/>
    <x v="2"/>
    <s v="SA"/>
    <s v="No agreement"/>
    <s v="Up to MBS Fee"/>
    <n v="4963202"/>
    <n v="3728004"/>
    <n v="1234946"/>
    <n v="83441"/>
  </r>
  <r>
    <x v="6"/>
    <x v="2"/>
    <s v="SA"/>
    <s v="No gap agreement"/>
    <s v="100% MBS Fee to 125% MBS Fee"/>
    <n v="7385714"/>
    <n v="4849194"/>
    <n v="2536521"/>
    <n v="101101"/>
  </r>
  <r>
    <x v="6"/>
    <x v="2"/>
    <s v="SA"/>
    <s v="No gap agreement"/>
    <s v="More than 125% MBS Fee to 150% MBS Fee"/>
    <n v="16098186"/>
    <n v="8899991"/>
    <n v="7198197"/>
    <n v="75295"/>
  </r>
  <r>
    <x v="6"/>
    <x v="2"/>
    <s v="SA"/>
    <s v="No gap agreement"/>
    <s v="More than 150% MBS Fee to 200% MBS Fee"/>
    <n v="173150"/>
    <n v="81529"/>
    <n v="91621"/>
    <n v="706"/>
  </r>
  <r>
    <x v="6"/>
    <x v="2"/>
    <s v="SA"/>
    <s v="No gap agreement"/>
    <s v="More than 200% MBS Fee"/>
    <n v="629562"/>
    <n v="203372"/>
    <n v="426189"/>
    <n v="1039"/>
  </r>
  <r>
    <x v="6"/>
    <x v="2"/>
    <s v="SA"/>
    <s v="No gap agreement"/>
    <s v="Up to MBS Fee"/>
    <n v="925124"/>
    <n v="700842"/>
    <n v="224328"/>
    <n v="4725"/>
  </r>
  <r>
    <x v="6"/>
    <x v="2"/>
    <s v="TAS"/>
    <s v="Known gap agreement"/>
    <s v="100% MBS Fee to 125% MBS Fee"/>
    <n v="45867"/>
    <n v="29349"/>
    <n v="15763"/>
    <n v="355"/>
  </r>
  <r>
    <x v="6"/>
    <x v="2"/>
    <s v="TAS"/>
    <s v="Known gap agreement"/>
    <s v="More than 125% MBS Fee to 150% MBS Fee"/>
    <n v="64018"/>
    <n v="34322"/>
    <n v="28299"/>
    <n v="304"/>
  </r>
  <r>
    <x v="6"/>
    <x v="2"/>
    <s v="TAS"/>
    <s v="Known gap agreement"/>
    <s v="More than 150% MBS Fee to 200% MBS Fee"/>
    <n v="25048"/>
    <n v="11519"/>
    <n v="10243"/>
    <n v="131"/>
  </r>
  <r>
    <x v="6"/>
    <x v="2"/>
    <s v="TAS"/>
    <s v="Known gap agreement"/>
    <s v="More than 200% MBS Fee"/>
    <n v="21630"/>
    <n v="6037"/>
    <n v="10500"/>
    <n v="53"/>
  </r>
  <r>
    <x v="6"/>
    <x v="2"/>
    <s v="TAS"/>
    <s v="No agreement"/>
    <s v="100% MBS Fee to 125% MBS Fee"/>
    <n v="1286065"/>
    <n v="856686"/>
    <n v="288110"/>
    <n v="9580"/>
  </r>
  <r>
    <x v="6"/>
    <x v="2"/>
    <s v="TAS"/>
    <s v="No agreement"/>
    <s v="More than 125% MBS Fee to 150% MBS Fee"/>
    <n v="931176"/>
    <n v="511465"/>
    <n v="170338"/>
    <n v="6435"/>
  </r>
  <r>
    <x v="6"/>
    <x v="2"/>
    <s v="TAS"/>
    <s v="No agreement"/>
    <s v="More than 150% MBS Fee to 200% MBS Fee"/>
    <n v="1001366"/>
    <n v="442342"/>
    <n v="147814"/>
    <n v="4497"/>
  </r>
  <r>
    <x v="6"/>
    <x v="2"/>
    <s v="TAS"/>
    <s v="No agreement"/>
    <s v="More than 200% MBS Fee"/>
    <n v="1736109"/>
    <n v="465317"/>
    <n v="158913"/>
    <n v="4161"/>
  </r>
  <r>
    <x v="6"/>
    <x v="2"/>
    <s v="TAS"/>
    <s v="No agreement"/>
    <s v="Up to MBS Fee"/>
    <n v="2575010"/>
    <n v="1935543"/>
    <n v="639413"/>
    <n v="43207"/>
  </r>
  <r>
    <x v="6"/>
    <x v="2"/>
    <s v="TAS"/>
    <s v="No gap agreement"/>
    <s v="100% MBS Fee to 125% MBS Fee"/>
    <n v="1333488"/>
    <n v="877824"/>
    <n v="455663"/>
    <n v="13126"/>
  </r>
  <r>
    <x v="6"/>
    <x v="2"/>
    <s v="TAS"/>
    <s v="No gap agreement"/>
    <s v="More than 125% MBS Fee to 150% MBS Fee"/>
    <n v="921428"/>
    <n v="503602"/>
    <n v="417827"/>
    <n v="3611"/>
  </r>
  <r>
    <x v="6"/>
    <x v="2"/>
    <s v="TAS"/>
    <s v="No gap agreement"/>
    <s v="More than 150% MBS Fee to 200% MBS Fee"/>
    <n v="312921"/>
    <n v="147035"/>
    <n v="165885"/>
    <n v="394"/>
  </r>
  <r>
    <x v="6"/>
    <x v="2"/>
    <s v="TAS"/>
    <s v="No gap agreement"/>
    <s v="More than 200% MBS Fee"/>
    <n v="245723"/>
    <n v="75652"/>
    <n v="170072"/>
    <n v="279"/>
  </r>
  <r>
    <x v="6"/>
    <x v="2"/>
    <s v="TAS"/>
    <s v="No gap agreement"/>
    <s v="Up to MBS Fee"/>
    <n v="95377"/>
    <n v="72296"/>
    <n v="23080"/>
    <n v="1001"/>
  </r>
  <r>
    <x v="6"/>
    <x v="2"/>
    <s v="VIC"/>
    <s v="Known gap agreement"/>
    <s v="100% MBS Fee to 125% MBS Fee"/>
    <n v="2229690"/>
    <n v="1422058"/>
    <n v="772901"/>
    <n v="16545"/>
  </r>
  <r>
    <x v="6"/>
    <x v="2"/>
    <s v="VIC"/>
    <s v="Known gap agreement"/>
    <s v="More than 125% MBS Fee to 150% MBS Fee"/>
    <n v="5198222"/>
    <n v="2816074"/>
    <n v="2254520"/>
    <n v="26876"/>
  </r>
  <r>
    <x v="6"/>
    <x v="2"/>
    <s v="VIC"/>
    <s v="Known gap agreement"/>
    <s v="More than 150% MBS Fee to 200% MBS Fee"/>
    <n v="1202913"/>
    <n v="528720"/>
    <n v="400136"/>
    <n v="4065"/>
  </r>
  <r>
    <x v="6"/>
    <x v="2"/>
    <s v="VIC"/>
    <s v="Known gap agreement"/>
    <s v="More than 200% MBS Fee"/>
    <n v="1204776"/>
    <n v="291815"/>
    <n v="423159"/>
    <n v="2108"/>
  </r>
  <r>
    <x v="6"/>
    <x v="2"/>
    <s v="VIC"/>
    <s v="No agreement"/>
    <s v="100% MBS Fee to 125% MBS Fee"/>
    <n v="9392639"/>
    <n v="6298887"/>
    <n v="2144524"/>
    <n v="70294"/>
  </r>
  <r>
    <x v="6"/>
    <x v="2"/>
    <s v="VIC"/>
    <s v="No agreement"/>
    <s v="More than 125% MBS Fee to 150% MBS Fee"/>
    <n v="7902428"/>
    <n v="4314583"/>
    <n v="1448153"/>
    <n v="45095"/>
  </r>
  <r>
    <x v="6"/>
    <x v="2"/>
    <s v="VIC"/>
    <s v="No agreement"/>
    <s v="More than 150% MBS Fee to 200% MBS Fee"/>
    <n v="10518477"/>
    <n v="4658351"/>
    <n v="1560560"/>
    <n v="45926"/>
  </r>
  <r>
    <x v="6"/>
    <x v="2"/>
    <s v="VIC"/>
    <s v="No agreement"/>
    <s v="More than 200% MBS Fee"/>
    <n v="6080948"/>
    <n v="1616179"/>
    <n v="556650"/>
    <n v="12975"/>
  </r>
  <r>
    <x v="6"/>
    <x v="2"/>
    <s v="VIC"/>
    <s v="No agreement"/>
    <s v="Up to MBS Fee"/>
    <n v="18401930"/>
    <n v="13838433"/>
    <n v="4563495"/>
    <n v="251593"/>
  </r>
  <r>
    <x v="6"/>
    <x v="2"/>
    <s v="VIC"/>
    <s v="No gap agreement"/>
    <s v="100% MBS Fee to 125% MBS Fee"/>
    <n v="17179867"/>
    <n v="10981923"/>
    <n v="6197936"/>
    <n v="193138"/>
  </r>
  <r>
    <x v="6"/>
    <x v="2"/>
    <s v="VIC"/>
    <s v="No gap agreement"/>
    <s v="More than 125% MBS Fee to 150% MBS Fee"/>
    <n v="21946542"/>
    <n v="12025556"/>
    <n v="9920986"/>
    <n v="149206"/>
  </r>
  <r>
    <x v="6"/>
    <x v="2"/>
    <s v="VIC"/>
    <s v="No gap agreement"/>
    <s v="More than 150% MBS Fee to 200% MBS Fee"/>
    <n v="3413088"/>
    <n v="1644682"/>
    <n v="1768406"/>
    <n v="15139"/>
  </r>
  <r>
    <x v="6"/>
    <x v="2"/>
    <s v="VIC"/>
    <s v="No gap agreement"/>
    <s v="More than 200% MBS Fee"/>
    <n v="1254713"/>
    <n v="407867"/>
    <n v="846846"/>
    <n v="1791"/>
  </r>
  <r>
    <x v="6"/>
    <x v="2"/>
    <s v="VIC"/>
    <s v="No gap agreement"/>
    <s v="Up to MBS Fee"/>
    <n v="2067051"/>
    <n v="1568597"/>
    <n v="498454"/>
    <n v="14700"/>
  </r>
  <r>
    <x v="6"/>
    <x v="2"/>
    <s v="WA"/>
    <s v="Known gap agreement"/>
    <s v="100% MBS Fee to 125% MBS Fee"/>
    <n v="366432"/>
    <n v="243322"/>
    <n v="109287"/>
    <n v="3197"/>
  </r>
  <r>
    <x v="6"/>
    <x v="2"/>
    <s v="WA"/>
    <s v="Known gap agreement"/>
    <s v="More than 125% MBS Fee to 150% MBS Fee"/>
    <n v="759802"/>
    <n v="407562"/>
    <n v="319496"/>
    <n v="3675"/>
  </r>
  <r>
    <x v="6"/>
    <x v="2"/>
    <s v="WA"/>
    <s v="Known gap agreement"/>
    <s v="More than 150% MBS Fee to 200% MBS Fee"/>
    <n v="553034"/>
    <n v="246018"/>
    <n v="197277"/>
    <n v="1904"/>
  </r>
  <r>
    <x v="6"/>
    <x v="2"/>
    <s v="WA"/>
    <s v="Known gap agreement"/>
    <s v="More than 200% MBS Fee"/>
    <n v="356564"/>
    <n v="103279"/>
    <n v="150736"/>
    <n v="769"/>
  </r>
  <r>
    <x v="6"/>
    <x v="2"/>
    <s v="WA"/>
    <s v="No agreement"/>
    <s v="100% MBS Fee to 125% MBS Fee"/>
    <n v="2330921"/>
    <n v="1560690"/>
    <n v="521678"/>
    <n v="20845"/>
  </r>
  <r>
    <x v="6"/>
    <x v="2"/>
    <s v="WA"/>
    <s v="No agreement"/>
    <s v="More than 125% MBS Fee to 150% MBS Fee"/>
    <n v="2367165"/>
    <n v="1297236"/>
    <n v="444212"/>
    <n v="12694"/>
  </r>
  <r>
    <x v="6"/>
    <x v="2"/>
    <s v="WA"/>
    <s v="No agreement"/>
    <s v="More than 150% MBS Fee to 200% MBS Fee"/>
    <n v="2755847"/>
    <n v="1207901"/>
    <n v="414709"/>
    <n v="11079"/>
  </r>
  <r>
    <x v="6"/>
    <x v="2"/>
    <s v="WA"/>
    <s v="No agreement"/>
    <s v="More than 200% MBS Fee"/>
    <n v="2005517"/>
    <n v="565764"/>
    <n v="218105"/>
    <n v="5126"/>
  </r>
  <r>
    <x v="6"/>
    <x v="2"/>
    <s v="WA"/>
    <s v="No agreement"/>
    <s v="Up to MBS Fee"/>
    <n v="3417594"/>
    <n v="2590661"/>
    <n v="826933"/>
    <n v="36521"/>
  </r>
  <r>
    <x v="6"/>
    <x v="2"/>
    <s v="WA"/>
    <s v="No gap agreement"/>
    <s v="100% MBS Fee to 125% MBS Fee"/>
    <n v="7333736"/>
    <n v="4805531"/>
    <n v="2528205"/>
    <n v="78512"/>
  </r>
  <r>
    <x v="6"/>
    <x v="2"/>
    <s v="WA"/>
    <s v="No gap agreement"/>
    <s v="More than 125% MBS Fee to 150% MBS Fee"/>
    <n v="6964450"/>
    <n v="3836122"/>
    <n v="3128327"/>
    <n v="36106"/>
  </r>
  <r>
    <x v="6"/>
    <x v="2"/>
    <s v="WA"/>
    <s v="No gap agreement"/>
    <s v="More than 150% MBS Fee to 200% MBS Fee"/>
    <n v="4201498"/>
    <n v="1880435"/>
    <n v="2321063"/>
    <n v="18060"/>
  </r>
  <r>
    <x v="6"/>
    <x v="2"/>
    <s v="WA"/>
    <s v="No gap agreement"/>
    <s v="More than 200% MBS Fee"/>
    <n v="2184178"/>
    <n v="653138"/>
    <n v="1531040"/>
    <n v="5238"/>
  </r>
  <r>
    <x v="6"/>
    <x v="2"/>
    <s v="WA"/>
    <s v="No gap agreement"/>
    <s v="Up to MBS Fee"/>
    <n v="3592826"/>
    <n v="2735202"/>
    <n v="857625"/>
    <n v="43409"/>
  </r>
  <r>
    <x v="6"/>
    <x v="3"/>
    <s v="ACT"/>
    <s v="Known gap agreement"/>
    <s v="100% MBS Fee to 125% MBS Fee"/>
    <n v="0"/>
    <n v="0"/>
    <n v="0"/>
    <n v="0"/>
  </r>
  <r>
    <x v="6"/>
    <x v="3"/>
    <s v="ACT"/>
    <s v="Known gap agreement"/>
    <s v="More than 125% MBS Fee to 150% MBS Fee"/>
    <n v="0"/>
    <n v="0"/>
    <n v="0"/>
    <n v="0"/>
  </r>
  <r>
    <x v="6"/>
    <x v="3"/>
    <s v="ACT"/>
    <s v="Known gap agreement"/>
    <s v="More than 150% MBS Fee to 200% MBS Fee"/>
    <n v="0"/>
    <n v="0"/>
    <n v="0"/>
    <n v="0"/>
  </r>
  <r>
    <x v="6"/>
    <x v="3"/>
    <s v="ACT"/>
    <s v="Known gap agreement"/>
    <s v="More than 200% MBS Fee"/>
    <n v="0"/>
    <n v="0"/>
    <n v="0"/>
    <n v="0"/>
  </r>
  <r>
    <x v="6"/>
    <x v="3"/>
    <s v="ACT"/>
    <s v="No agreement"/>
    <s v="100% MBS Fee to 125% MBS Fee"/>
    <n v="0"/>
    <n v="0"/>
    <n v="0"/>
    <n v="0"/>
  </r>
  <r>
    <x v="6"/>
    <x v="3"/>
    <s v="ACT"/>
    <s v="No agreement"/>
    <s v="More than 125% MBS Fee to 150% MBS Fee"/>
    <n v="0"/>
    <n v="0"/>
    <n v="0"/>
    <n v="0"/>
  </r>
  <r>
    <x v="6"/>
    <x v="3"/>
    <s v="ACT"/>
    <s v="No agreement"/>
    <s v="More than 150% MBS Fee to 200% MBS Fee"/>
    <n v="0"/>
    <n v="0"/>
    <n v="0"/>
    <n v="0"/>
  </r>
  <r>
    <x v="6"/>
    <x v="3"/>
    <s v="ACT"/>
    <s v="No agreement"/>
    <s v="More than 200% MBS Fee"/>
    <n v="0"/>
    <n v="0"/>
    <n v="0"/>
    <n v="0"/>
  </r>
  <r>
    <x v="6"/>
    <x v="3"/>
    <s v="ACT"/>
    <s v="No agreement"/>
    <s v="Up to MBS Fee"/>
    <n v="0"/>
    <n v="0"/>
    <n v="0"/>
    <n v="0"/>
  </r>
  <r>
    <x v="6"/>
    <x v="3"/>
    <s v="ACT"/>
    <s v="No gap agreement"/>
    <s v="100% MBS Fee to 125% MBS Fee"/>
    <n v="0"/>
    <n v="0"/>
    <n v="0"/>
    <n v="0"/>
  </r>
  <r>
    <x v="6"/>
    <x v="3"/>
    <s v="ACT"/>
    <s v="No gap agreement"/>
    <s v="More than 125% MBS Fee to 150% MBS Fee"/>
    <n v="0"/>
    <n v="0"/>
    <n v="0"/>
    <n v="0"/>
  </r>
  <r>
    <x v="6"/>
    <x v="3"/>
    <s v="ACT"/>
    <s v="No gap agreement"/>
    <s v="More than 150% MBS Fee to 200% MBS Fee"/>
    <n v="0"/>
    <n v="0"/>
    <n v="0"/>
    <n v="0"/>
  </r>
  <r>
    <x v="6"/>
    <x v="3"/>
    <s v="ACT"/>
    <s v="No gap agreement"/>
    <s v="More than 200% MBS Fee"/>
    <n v="0"/>
    <n v="0"/>
    <n v="0"/>
    <n v="0"/>
  </r>
  <r>
    <x v="6"/>
    <x v="3"/>
    <s v="ACT"/>
    <s v="No gap agreement"/>
    <s v="Up to MBS Fee"/>
    <n v="0"/>
    <n v="0"/>
    <n v="0"/>
    <n v="0"/>
  </r>
  <r>
    <x v="6"/>
    <x v="3"/>
    <s v="NSW"/>
    <s v="Known gap agreement"/>
    <s v="100% MBS Fee to 125% MBS Fee"/>
    <n v="850553"/>
    <n v="555114"/>
    <n v="269019"/>
    <n v="7146"/>
  </r>
  <r>
    <x v="6"/>
    <x v="3"/>
    <s v="NSW"/>
    <s v="Known gap agreement"/>
    <s v="More than 125% MBS Fee to 150% MBS Fee"/>
    <n v="834071"/>
    <n v="458563"/>
    <n v="331772"/>
    <n v="3607"/>
  </r>
  <r>
    <x v="6"/>
    <x v="3"/>
    <s v="NSW"/>
    <s v="Known gap agreement"/>
    <s v="More than 150% MBS Fee to 200% MBS Fee"/>
    <n v="252288"/>
    <n v="110474"/>
    <n v="66303"/>
    <n v="1019"/>
  </r>
  <r>
    <x v="6"/>
    <x v="3"/>
    <s v="NSW"/>
    <s v="Known gap agreement"/>
    <s v="More than 200% MBS Fee"/>
    <n v="332141"/>
    <n v="95431"/>
    <n v="110789"/>
    <n v="850"/>
  </r>
  <r>
    <x v="6"/>
    <x v="3"/>
    <s v="NSW"/>
    <s v="No agreement"/>
    <s v="100% MBS Fee to 125% MBS Fee"/>
    <n v="14591302"/>
    <n v="9743149"/>
    <n v="3236792"/>
    <n v="121624"/>
  </r>
  <r>
    <x v="6"/>
    <x v="3"/>
    <s v="NSW"/>
    <s v="No agreement"/>
    <s v="More than 125% MBS Fee to 150% MBS Fee"/>
    <n v="14884107"/>
    <n v="8073306"/>
    <n v="2692123"/>
    <n v="94609"/>
  </r>
  <r>
    <x v="6"/>
    <x v="3"/>
    <s v="NSW"/>
    <s v="No agreement"/>
    <s v="More than 150% MBS Fee to 200% MBS Fee"/>
    <n v="21891692"/>
    <n v="9461921"/>
    <n v="3168867"/>
    <n v="86123"/>
  </r>
  <r>
    <x v="6"/>
    <x v="3"/>
    <s v="NSW"/>
    <s v="No agreement"/>
    <s v="More than 200% MBS Fee"/>
    <n v="21915144"/>
    <n v="6114999"/>
    <n v="2023853"/>
    <n v="40778"/>
  </r>
  <r>
    <x v="6"/>
    <x v="3"/>
    <s v="NSW"/>
    <s v="No agreement"/>
    <s v="Up to MBS Fee"/>
    <n v="30266411"/>
    <n v="22672719"/>
    <n v="7339934"/>
    <n v="456126"/>
  </r>
  <r>
    <x v="6"/>
    <x v="3"/>
    <s v="NSW"/>
    <s v="No gap agreement"/>
    <s v="100% MBS Fee to 125% MBS Fee"/>
    <n v="11328418"/>
    <n v="7452551"/>
    <n v="3873973"/>
    <n v="119086"/>
  </r>
  <r>
    <x v="6"/>
    <x v="3"/>
    <s v="NSW"/>
    <s v="No gap agreement"/>
    <s v="More than 125% MBS Fee to 150% MBS Fee"/>
    <n v="10140944"/>
    <n v="5595841"/>
    <n v="4538951"/>
    <n v="48177"/>
  </r>
  <r>
    <x v="6"/>
    <x v="3"/>
    <s v="NSW"/>
    <s v="No gap agreement"/>
    <s v="More than 150% MBS Fee to 200% MBS Fee"/>
    <n v="669435"/>
    <n v="314578"/>
    <n v="354315"/>
    <n v="2450"/>
  </r>
  <r>
    <x v="6"/>
    <x v="3"/>
    <s v="NSW"/>
    <s v="No gap agreement"/>
    <s v="More than 200% MBS Fee"/>
    <n v="1207450"/>
    <n v="408292"/>
    <n v="798966"/>
    <n v="2581"/>
  </r>
  <r>
    <x v="6"/>
    <x v="3"/>
    <s v="NSW"/>
    <s v="No gap agreement"/>
    <s v="Up to MBS Fee"/>
    <n v="1204310"/>
    <n v="921023"/>
    <n v="283243"/>
    <n v="16858"/>
  </r>
  <r>
    <x v="6"/>
    <x v="3"/>
    <s v="NT"/>
    <s v="Known gap agreement"/>
    <s v="100% MBS Fee to 125% MBS Fee"/>
    <n v="28277"/>
    <n v="18246"/>
    <n v="9519"/>
    <n v="280"/>
  </r>
  <r>
    <x v="6"/>
    <x v="3"/>
    <s v="NT"/>
    <s v="Known gap agreement"/>
    <s v="More than 125% MBS Fee to 150% MBS Fee"/>
    <n v="166149"/>
    <n v="90120"/>
    <n v="75962"/>
    <n v="901"/>
  </r>
  <r>
    <x v="6"/>
    <x v="3"/>
    <s v="NT"/>
    <s v="Known gap agreement"/>
    <s v="More than 150% MBS Fee to 200% MBS Fee"/>
    <n v="10400"/>
    <n v="4416"/>
    <n v="3229"/>
    <n v="32"/>
  </r>
  <r>
    <x v="6"/>
    <x v="3"/>
    <s v="NT"/>
    <s v="Known gap agreement"/>
    <s v="More than 200% MBS Fee"/>
    <n v="41759"/>
    <n v="11806"/>
    <n v="26714"/>
    <n v="66"/>
  </r>
  <r>
    <x v="6"/>
    <x v="3"/>
    <s v="NT"/>
    <s v="No agreement"/>
    <s v="100% MBS Fee to 125% MBS Fee"/>
    <n v="151590"/>
    <n v="104146"/>
    <n v="29204"/>
    <n v="1034"/>
  </r>
  <r>
    <x v="6"/>
    <x v="3"/>
    <s v="NT"/>
    <s v="No agreement"/>
    <s v="More than 125% MBS Fee to 150% MBS Fee"/>
    <n v="191675"/>
    <n v="105345"/>
    <n v="29987"/>
    <n v="1549"/>
  </r>
  <r>
    <x v="6"/>
    <x v="3"/>
    <s v="NT"/>
    <s v="No agreement"/>
    <s v="More than 150% MBS Fee to 200% MBS Fee"/>
    <n v="317220"/>
    <n v="138939"/>
    <n v="37588"/>
    <n v="1069"/>
  </r>
  <r>
    <x v="6"/>
    <x v="3"/>
    <s v="NT"/>
    <s v="No agreement"/>
    <s v="More than 200% MBS Fee"/>
    <n v="288401"/>
    <n v="91131"/>
    <n v="20935"/>
    <n v="417"/>
  </r>
  <r>
    <x v="6"/>
    <x v="3"/>
    <s v="NT"/>
    <s v="No agreement"/>
    <s v="Up to MBS Fee"/>
    <n v="369767"/>
    <n v="283648"/>
    <n v="86120"/>
    <n v="4567"/>
  </r>
  <r>
    <x v="6"/>
    <x v="3"/>
    <s v="NT"/>
    <s v="No gap agreement"/>
    <s v="100% MBS Fee to 125% MBS Fee"/>
    <n v="137189"/>
    <n v="90184"/>
    <n v="47005"/>
    <n v="1227"/>
  </r>
  <r>
    <x v="6"/>
    <x v="3"/>
    <s v="NT"/>
    <s v="No gap agreement"/>
    <s v="More than 125% MBS Fee to 150% MBS Fee"/>
    <n v="289801"/>
    <n v="163464"/>
    <n v="126337"/>
    <n v="1014"/>
  </r>
  <r>
    <x v="6"/>
    <x v="3"/>
    <s v="NT"/>
    <s v="No gap agreement"/>
    <s v="More than 150% MBS Fee to 200% MBS Fee"/>
    <n v="50418"/>
    <n v="23422"/>
    <n v="26996"/>
    <n v="261"/>
  </r>
  <r>
    <x v="6"/>
    <x v="3"/>
    <s v="NT"/>
    <s v="No gap agreement"/>
    <s v="More than 200% MBS Fee"/>
    <n v="41810"/>
    <n v="12985"/>
    <n v="28825"/>
    <n v="46"/>
  </r>
  <r>
    <x v="6"/>
    <x v="3"/>
    <s v="NT"/>
    <s v="No gap agreement"/>
    <s v="Up to MBS Fee"/>
    <n v="17952"/>
    <n v="14056"/>
    <n v="3896"/>
    <n v="261"/>
  </r>
  <r>
    <x v="6"/>
    <x v="3"/>
    <s v="QLD"/>
    <s v="Known gap agreement"/>
    <s v="100% MBS Fee to 125% MBS Fee"/>
    <n v="837934"/>
    <n v="548010"/>
    <n v="282298"/>
    <n v="6870"/>
  </r>
  <r>
    <x v="6"/>
    <x v="3"/>
    <s v="QLD"/>
    <s v="Known gap agreement"/>
    <s v="More than 125% MBS Fee to 150% MBS Fee"/>
    <n v="1527857"/>
    <n v="839696"/>
    <n v="661757"/>
    <n v="7314"/>
  </r>
  <r>
    <x v="6"/>
    <x v="3"/>
    <s v="QLD"/>
    <s v="Known gap agreement"/>
    <s v="More than 150% MBS Fee to 200% MBS Fee"/>
    <n v="255297"/>
    <n v="114402"/>
    <n v="78336"/>
    <n v="574"/>
  </r>
  <r>
    <x v="6"/>
    <x v="3"/>
    <s v="QLD"/>
    <s v="Known gap agreement"/>
    <s v="More than 200% MBS Fee"/>
    <n v="495940"/>
    <n v="136645"/>
    <n v="221930"/>
    <n v="775"/>
  </r>
  <r>
    <x v="6"/>
    <x v="3"/>
    <s v="QLD"/>
    <s v="No agreement"/>
    <s v="100% MBS Fee to 125% MBS Fee"/>
    <n v="10900262"/>
    <n v="7222612"/>
    <n v="2410452"/>
    <n v="92294"/>
  </r>
  <r>
    <x v="6"/>
    <x v="3"/>
    <s v="QLD"/>
    <s v="No agreement"/>
    <s v="More than 125% MBS Fee to 150% MBS Fee"/>
    <n v="10644216"/>
    <n v="5796637"/>
    <n v="1931908"/>
    <n v="72415"/>
  </r>
  <r>
    <x v="6"/>
    <x v="3"/>
    <s v="QLD"/>
    <s v="No agreement"/>
    <s v="More than 150% MBS Fee to 200% MBS Fee"/>
    <n v="12127242"/>
    <n v="5298015"/>
    <n v="1766324"/>
    <n v="46505"/>
  </r>
  <r>
    <x v="6"/>
    <x v="3"/>
    <s v="QLD"/>
    <s v="No agreement"/>
    <s v="More than 200% MBS Fee"/>
    <n v="8011264"/>
    <n v="2292438"/>
    <n v="723249"/>
    <n v="13909"/>
  </r>
  <r>
    <x v="6"/>
    <x v="3"/>
    <s v="QLD"/>
    <s v="No agreement"/>
    <s v="Up to MBS Fee"/>
    <n v="18922948"/>
    <n v="14238921"/>
    <n v="4603674"/>
    <n v="292402"/>
  </r>
  <r>
    <x v="6"/>
    <x v="3"/>
    <s v="QLD"/>
    <s v="No gap agreement"/>
    <s v="100% MBS Fee to 125% MBS Fee"/>
    <n v="6318421"/>
    <n v="4158144"/>
    <n v="2160047"/>
    <n v="70247"/>
  </r>
  <r>
    <x v="6"/>
    <x v="3"/>
    <s v="QLD"/>
    <s v="No gap agreement"/>
    <s v="More than 125% MBS Fee to 150% MBS Fee"/>
    <n v="7892646"/>
    <n v="4344259"/>
    <n v="3551121"/>
    <n v="41924"/>
  </r>
  <r>
    <x v="6"/>
    <x v="3"/>
    <s v="QLD"/>
    <s v="No gap agreement"/>
    <s v="More than 150% MBS Fee to 200% MBS Fee"/>
    <n v="167490"/>
    <n v="77003"/>
    <n v="90487"/>
    <n v="899"/>
  </r>
  <r>
    <x v="6"/>
    <x v="3"/>
    <s v="QLD"/>
    <s v="No gap agreement"/>
    <s v="More than 200% MBS Fee"/>
    <n v="1549077"/>
    <n v="532122"/>
    <n v="1016036"/>
    <n v="5834"/>
  </r>
  <r>
    <x v="6"/>
    <x v="3"/>
    <s v="QLD"/>
    <s v="No gap agreement"/>
    <s v="Up to MBS Fee"/>
    <n v="371148"/>
    <n v="292157"/>
    <n v="78769"/>
    <n v="7053"/>
  </r>
  <r>
    <x v="6"/>
    <x v="3"/>
    <s v="SA"/>
    <s v="Known gap agreement"/>
    <s v="100% MBS Fee to 125% MBS Fee"/>
    <n v="466947"/>
    <n v="313171"/>
    <n v="147327"/>
    <n v="4231"/>
  </r>
  <r>
    <x v="6"/>
    <x v="3"/>
    <s v="SA"/>
    <s v="Known gap agreement"/>
    <s v="More than 125% MBS Fee to 150% MBS Fee"/>
    <n v="1516786"/>
    <n v="815805"/>
    <n v="652749"/>
    <n v="7512"/>
  </r>
  <r>
    <x v="6"/>
    <x v="3"/>
    <s v="SA"/>
    <s v="Known gap agreement"/>
    <s v="More than 150% MBS Fee to 200% MBS Fee"/>
    <n v="58493"/>
    <n v="25411"/>
    <n v="18052"/>
    <n v="182"/>
  </r>
  <r>
    <x v="6"/>
    <x v="3"/>
    <s v="SA"/>
    <s v="Known gap agreement"/>
    <s v="More than 200% MBS Fee"/>
    <n v="204332"/>
    <n v="57448"/>
    <n v="82428"/>
    <n v="395"/>
  </r>
  <r>
    <x v="6"/>
    <x v="3"/>
    <s v="SA"/>
    <s v="No agreement"/>
    <s v="100% MBS Fee to 125% MBS Fee"/>
    <n v="2042930"/>
    <n v="1383508"/>
    <n v="542502"/>
    <n v="23006"/>
  </r>
  <r>
    <x v="6"/>
    <x v="3"/>
    <s v="SA"/>
    <s v="No agreement"/>
    <s v="More than 125% MBS Fee to 150% MBS Fee"/>
    <n v="984450"/>
    <n v="540351"/>
    <n v="180877"/>
    <n v="5778"/>
  </r>
  <r>
    <x v="6"/>
    <x v="3"/>
    <s v="SA"/>
    <s v="No agreement"/>
    <s v="More than 150% MBS Fee to 200% MBS Fee"/>
    <n v="1651464"/>
    <n v="727511"/>
    <n v="241661"/>
    <n v="8818"/>
  </r>
  <r>
    <x v="6"/>
    <x v="3"/>
    <s v="SA"/>
    <s v="No agreement"/>
    <s v="More than 200% MBS Fee"/>
    <n v="1246838"/>
    <n v="159153"/>
    <n v="49585"/>
    <n v="1359"/>
  </r>
  <r>
    <x v="6"/>
    <x v="3"/>
    <s v="SA"/>
    <s v="No agreement"/>
    <s v="Up to MBS Fee"/>
    <n v="4613106"/>
    <n v="3382284"/>
    <n v="1150795"/>
    <n v="80303"/>
  </r>
  <r>
    <x v="6"/>
    <x v="3"/>
    <s v="SA"/>
    <s v="No gap agreement"/>
    <s v="100% MBS Fee to 125% MBS Fee"/>
    <n v="7714694"/>
    <n v="5051168"/>
    <n v="2662455"/>
    <n v="95335"/>
  </r>
  <r>
    <x v="6"/>
    <x v="3"/>
    <s v="SA"/>
    <s v="No gap agreement"/>
    <s v="More than 125% MBS Fee to 150% MBS Fee"/>
    <n v="15228065"/>
    <n v="8383593"/>
    <n v="6844161"/>
    <n v="72255"/>
  </r>
  <r>
    <x v="6"/>
    <x v="3"/>
    <s v="SA"/>
    <s v="No gap agreement"/>
    <s v="More than 150% MBS Fee to 200% MBS Fee"/>
    <n v="139752"/>
    <n v="66403"/>
    <n v="69470"/>
    <n v="757"/>
  </r>
  <r>
    <x v="6"/>
    <x v="3"/>
    <s v="SA"/>
    <s v="No gap agreement"/>
    <s v="More than 200% MBS Fee"/>
    <n v="735404"/>
    <n v="234956"/>
    <n v="496389"/>
    <n v="1222"/>
  </r>
  <r>
    <x v="6"/>
    <x v="3"/>
    <s v="SA"/>
    <s v="No gap agreement"/>
    <s v="Up to MBS Fee"/>
    <n v="820793"/>
    <n v="589141"/>
    <n v="235840"/>
    <n v="8381"/>
  </r>
  <r>
    <x v="6"/>
    <x v="3"/>
    <s v="TAS"/>
    <s v="Known gap agreement"/>
    <s v="100% MBS Fee to 125% MBS Fee"/>
    <n v="36565"/>
    <n v="24268"/>
    <n v="11766"/>
    <n v="313"/>
  </r>
  <r>
    <x v="6"/>
    <x v="3"/>
    <s v="TAS"/>
    <s v="Known gap agreement"/>
    <s v="More than 125% MBS Fee to 150% MBS Fee"/>
    <n v="58037"/>
    <n v="31286"/>
    <n v="24866"/>
    <n v="310"/>
  </r>
  <r>
    <x v="6"/>
    <x v="3"/>
    <s v="TAS"/>
    <s v="Known gap agreement"/>
    <s v="More than 150% MBS Fee to 200% MBS Fee"/>
    <n v="9703"/>
    <n v="4416"/>
    <n v="3279"/>
    <n v="25"/>
  </r>
  <r>
    <x v="6"/>
    <x v="3"/>
    <s v="TAS"/>
    <s v="Known gap agreement"/>
    <s v="More than 200% MBS Fee"/>
    <n v="29025"/>
    <n v="8554"/>
    <n v="15738"/>
    <n v="50"/>
  </r>
  <r>
    <x v="6"/>
    <x v="3"/>
    <s v="TAS"/>
    <s v="No agreement"/>
    <s v="100% MBS Fee to 125% MBS Fee"/>
    <n v="1361596"/>
    <n v="906768"/>
    <n v="302252"/>
    <n v="9547"/>
  </r>
  <r>
    <x v="6"/>
    <x v="3"/>
    <s v="TAS"/>
    <s v="No agreement"/>
    <s v="More than 125% MBS Fee to 150% MBS Fee"/>
    <n v="895963"/>
    <n v="489267"/>
    <n v="165251"/>
    <n v="6577"/>
  </r>
  <r>
    <x v="6"/>
    <x v="3"/>
    <s v="TAS"/>
    <s v="No agreement"/>
    <s v="More than 150% MBS Fee to 200% MBS Fee"/>
    <n v="807764"/>
    <n v="353165"/>
    <n v="118204"/>
    <n v="3884"/>
  </r>
  <r>
    <x v="6"/>
    <x v="3"/>
    <s v="TAS"/>
    <s v="No agreement"/>
    <s v="More than 200% MBS Fee"/>
    <n v="1571160"/>
    <n v="437808"/>
    <n v="143875"/>
    <n v="3673"/>
  </r>
  <r>
    <x v="6"/>
    <x v="3"/>
    <s v="TAS"/>
    <s v="No agreement"/>
    <s v="Up to MBS Fee"/>
    <n v="2323224"/>
    <n v="1748724"/>
    <n v="572199"/>
    <n v="35208"/>
  </r>
  <r>
    <x v="6"/>
    <x v="3"/>
    <s v="TAS"/>
    <s v="No gap agreement"/>
    <s v="100% MBS Fee to 125% MBS Fee"/>
    <n v="869499"/>
    <n v="582739"/>
    <n v="286436"/>
    <n v="7695"/>
  </r>
  <r>
    <x v="6"/>
    <x v="3"/>
    <s v="TAS"/>
    <s v="No gap agreement"/>
    <s v="More than 125% MBS Fee to 150% MBS Fee"/>
    <n v="641345"/>
    <n v="358590"/>
    <n v="281073"/>
    <n v="2476"/>
  </r>
  <r>
    <x v="6"/>
    <x v="3"/>
    <s v="TAS"/>
    <s v="No gap agreement"/>
    <s v="More than 150% MBS Fee to 200% MBS Fee"/>
    <n v="130803"/>
    <n v="61494"/>
    <n v="68563"/>
    <n v="195"/>
  </r>
  <r>
    <x v="6"/>
    <x v="3"/>
    <s v="TAS"/>
    <s v="No gap agreement"/>
    <s v="More than 200% MBS Fee"/>
    <n v="190554"/>
    <n v="58712"/>
    <n v="129673"/>
    <n v="255"/>
  </r>
  <r>
    <x v="6"/>
    <x v="3"/>
    <s v="TAS"/>
    <s v="No gap agreement"/>
    <s v="Up to MBS Fee"/>
    <n v="80651"/>
    <n v="60592"/>
    <n v="19950"/>
    <n v="974"/>
  </r>
  <r>
    <x v="6"/>
    <x v="3"/>
    <s v="VIC"/>
    <s v="Known gap agreement"/>
    <s v="100% MBS Fee to 125% MBS Fee"/>
    <n v="3060784"/>
    <n v="1772448"/>
    <n v="1031248"/>
    <n v="22630"/>
  </r>
  <r>
    <x v="6"/>
    <x v="3"/>
    <s v="VIC"/>
    <s v="Known gap agreement"/>
    <s v="More than 125% MBS Fee to 150% MBS Fee"/>
    <n v="4231082"/>
    <n v="2512516"/>
    <n v="1759412"/>
    <n v="19910"/>
  </r>
  <r>
    <x v="6"/>
    <x v="3"/>
    <s v="VIC"/>
    <s v="Known gap agreement"/>
    <s v="More than 150% MBS Fee to 200% MBS Fee"/>
    <n v="1537002"/>
    <n v="672790"/>
    <n v="604896"/>
    <n v="15607"/>
  </r>
  <r>
    <x v="6"/>
    <x v="3"/>
    <s v="VIC"/>
    <s v="Known gap agreement"/>
    <s v="More than 200% MBS Fee"/>
    <n v="1087971"/>
    <n v="341351"/>
    <n v="440371"/>
    <n v="2784"/>
  </r>
  <r>
    <x v="6"/>
    <x v="3"/>
    <s v="VIC"/>
    <s v="No agreement"/>
    <s v="100% MBS Fee to 125% MBS Fee"/>
    <n v="9738098"/>
    <n v="6535108"/>
    <n v="2181098"/>
    <n v="79487"/>
  </r>
  <r>
    <x v="6"/>
    <x v="3"/>
    <s v="VIC"/>
    <s v="No agreement"/>
    <s v="More than 125% MBS Fee to 150% MBS Fee"/>
    <n v="8384081"/>
    <n v="4547566"/>
    <n v="1521110"/>
    <n v="51282"/>
  </r>
  <r>
    <x v="6"/>
    <x v="3"/>
    <s v="VIC"/>
    <s v="No agreement"/>
    <s v="More than 150% MBS Fee to 200% MBS Fee"/>
    <n v="9760789"/>
    <n v="4268292"/>
    <n v="1427789"/>
    <n v="40245"/>
  </r>
  <r>
    <x v="6"/>
    <x v="3"/>
    <s v="VIC"/>
    <s v="No agreement"/>
    <s v="More than 200% MBS Fee"/>
    <n v="5669500"/>
    <n v="1534124"/>
    <n v="524612"/>
    <n v="12820"/>
  </r>
  <r>
    <x v="6"/>
    <x v="3"/>
    <s v="VIC"/>
    <s v="No agreement"/>
    <s v="Up to MBS Fee"/>
    <n v="18785994"/>
    <n v="14122560"/>
    <n v="4664763"/>
    <n v="270208"/>
  </r>
  <r>
    <x v="6"/>
    <x v="3"/>
    <s v="VIC"/>
    <s v="No gap agreement"/>
    <s v="100% MBS Fee to 125% MBS Fee"/>
    <n v="13821236"/>
    <n v="8995010"/>
    <n v="4826226"/>
    <n v="149426"/>
  </r>
  <r>
    <x v="6"/>
    <x v="3"/>
    <s v="VIC"/>
    <s v="No gap agreement"/>
    <s v="More than 125% MBS Fee to 150% MBS Fee"/>
    <n v="17961594"/>
    <n v="9881812"/>
    <n v="8079783"/>
    <n v="104431"/>
  </r>
  <r>
    <x v="6"/>
    <x v="3"/>
    <s v="VIC"/>
    <s v="No gap agreement"/>
    <s v="More than 150% MBS Fee to 200% MBS Fee"/>
    <n v="2690154"/>
    <n v="1237546"/>
    <n v="1452609"/>
    <n v="12322"/>
  </r>
  <r>
    <x v="6"/>
    <x v="3"/>
    <s v="VIC"/>
    <s v="No gap agreement"/>
    <s v="More than 200% MBS Fee"/>
    <n v="1347536"/>
    <n v="424583"/>
    <n v="922954"/>
    <n v="2422"/>
  </r>
  <r>
    <x v="6"/>
    <x v="3"/>
    <s v="VIC"/>
    <s v="No gap agreement"/>
    <s v="Up to MBS Fee"/>
    <n v="2109086"/>
    <n v="1633941"/>
    <n v="475144"/>
    <n v="29612"/>
  </r>
  <r>
    <x v="6"/>
    <x v="3"/>
    <s v="WA"/>
    <s v="Known gap agreement"/>
    <s v="100% MBS Fee to 125% MBS Fee"/>
    <n v="241593"/>
    <n v="160183"/>
    <n v="76472"/>
    <n v="1568"/>
  </r>
  <r>
    <x v="6"/>
    <x v="3"/>
    <s v="WA"/>
    <s v="Known gap agreement"/>
    <s v="More than 125% MBS Fee to 150% MBS Fee"/>
    <n v="530405"/>
    <n v="289107"/>
    <n v="219690"/>
    <n v="1900"/>
  </r>
  <r>
    <x v="6"/>
    <x v="3"/>
    <s v="WA"/>
    <s v="Known gap agreement"/>
    <s v="More than 150% MBS Fee to 200% MBS Fee"/>
    <n v="351197"/>
    <n v="156270"/>
    <n v="120986"/>
    <n v="1092"/>
  </r>
  <r>
    <x v="6"/>
    <x v="3"/>
    <s v="WA"/>
    <s v="Known gap agreement"/>
    <s v="More than 200% MBS Fee"/>
    <n v="280772"/>
    <n v="79932"/>
    <n v="125954"/>
    <n v="527"/>
  </r>
  <r>
    <x v="6"/>
    <x v="3"/>
    <s v="WA"/>
    <s v="No agreement"/>
    <s v="100% MBS Fee to 125% MBS Fee"/>
    <n v="2666365"/>
    <n v="1770095"/>
    <n v="597994"/>
    <n v="23225"/>
  </r>
  <r>
    <x v="6"/>
    <x v="3"/>
    <s v="WA"/>
    <s v="No agreement"/>
    <s v="More than 125% MBS Fee to 150% MBS Fee"/>
    <n v="2418027"/>
    <n v="1321655"/>
    <n v="484896"/>
    <n v="13287"/>
  </r>
  <r>
    <x v="6"/>
    <x v="3"/>
    <s v="WA"/>
    <s v="No agreement"/>
    <s v="More than 150% MBS Fee to 200% MBS Fee"/>
    <n v="2814007"/>
    <n v="1239143"/>
    <n v="462596"/>
    <n v="13772"/>
  </r>
  <r>
    <x v="6"/>
    <x v="3"/>
    <s v="WA"/>
    <s v="No agreement"/>
    <s v="More than 200% MBS Fee"/>
    <n v="2182298"/>
    <n v="617718"/>
    <n v="232348"/>
    <n v="5697"/>
  </r>
  <r>
    <x v="6"/>
    <x v="3"/>
    <s v="WA"/>
    <s v="No agreement"/>
    <s v="Up to MBS Fee"/>
    <n v="3335154"/>
    <n v="2514972"/>
    <n v="808924"/>
    <n v="37291"/>
  </r>
  <r>
    <x v="6"/>
    <x v="3"/>
    <s v="WA"/>
    <s v="No gap agreement"/>
    <s v="100% MBS Fee to 125% MBS Fee"/>
    <n v="7106870"/>
    <n v="4693435"/>
    <n v="2413210"/>
    <n v="75472"/>
  </r>
  <r>
    <x v="6"/>
    <x v="3"/>
    <s v="WA"/>
    <s v="No gap agreement"/>
    <s v="More than 125% MBS Fee to 150% MBS Fee"/>
    <n v="6161453"/>
    <n v="3404412"/>
    <n v="2756991"/>
    <n v="31830"/>
  </r>
  <r>
    <x v="6"/>
    <x v="3"/>
    <s v="WA"/>
    <s v="No gap agreement"/>
    <s v="More than 150% MBS Fee to 200% MBS Fee"/>
    <n v="4051869"/>
    <n v="1824672"/>
    <n v="2227314"/>
    <n v="15215"/>
  </r>
  <r>
    <x v="6"/>
    <x v="3"/>
    <s v="WA"/>
    <s v="No gap agreement"/>
    <s v="More than 200% MBS Fee"/>
    <n v="1876497"/>
    <n v="578722"/>
    <n v="1297380"/>
    <n v="4405"/>
  </r>
  <r>
    <x v="6"/>
    <x v="3"/>
    <s v="WA"/>
    <s v="No gap agreement"/>
    <s v="Up to MBS Fee"/>
    <n v="3704203"/>
    <n v="2811293"/>
    <n v="893338"/>
    <n v="44932"/>
  </r>
  <r>
    <x v="6"/>
    <x v="1"/>
    <s v="ACT"/>
    <s v="Known gap agreement"/>
    <s v="100% MBS Fee to 125% MBS Fee"/>
    <n v="0"/>
    <n v="0"/>
    <n v="0"/>
    <n v="0"/>
  </r>
  <r>
    <x v="6"/>
    <x v="1"/>
    <s v="ACT"/>
    <s v="Known gap agreement"/>
    <s v="More than 125% MBS Fee to 150% MBS Fee"/>
    <n v="0"/>
    <n v="0"/>
    <n v="0"/>
    <n v="0"/>
  </r>
  <r>
    <x v="6"/>
    <x v="1"/>
    <s v="ACT"/>
    <s v="Known gap agreement"/>
    <s v="More than 150% MBS Fee to 200% MBS Fee"/>
    <n v="0"/>
    <n v="0"/>
    <n v="0"/>
    <n v="0"/>
  </r>
  <r>
    <x v="6"/>
    <x v="1"/>
    <s v="ACT"/>
    <s v="Known gap agreement"/>
    <s v="More than 200% MBS Fee"/>
    <n v="0"/>
    <n v="0"/>
    <n v="0"/>
    <n v="0"/>
  </r>
  <r>
    <x v="6"/>
    <x v="1"/>
    <s v="ACT"/>
    <s v="No agreement"/>
    <s v="100% MBS Fee to 125% MBS Fee"/>
    <n v="0"/>
    <n v="0"/>
    <n v="0"/>
    <n v="0"/>
  </r>
  <r>
    <x v="6"/>
    <x v="1"/>
    <s v="ACT"/>
    <s v="No agreement"/>
    <s v="More than 125% MBS Fee to 150% MBS Fee"/>
    <n v="0"/>
    <n v="0"/>
    <n v="0"/>
    <n v="0"/>
  </r>
  <r>
    <x v="6"/>
    <x v="1"/>
    <s v="ACT"/>
    <s v="No agreement"/>
    <s v="More than 150% MBS Fee to 200% MBS Fee"/>
    <n v="0"/>
    <n v="0"/>
    <n v="0"/>
    <n v="0"/>
  </r>
  <r>
    <x v="6"/>
    <x v="1"/>
    <s v="ACT"/>
    <s v="No agreement"/>
    <s v="More than 200% MBS Fee"/>
    <n v="0"/>
    <n v="0"/>
    <n v="0"/>
    <n v="0"/>
  </r>
  <r>
    <x v="6"/>
    <x v="1"/>
    <s v="ACT"/>
    <s v="No agreement"/>
    <s v="Up to MBS Fee"/>
    <n v="0"/>
    <n v="0"/>
    <n v="0"/>
    <n v="0"/>
  </r>
  <r>
    <x v="6"/>
    <x v="1"/>
    <s v="ACT"/>
    <s v="No gap agreement"/>
    <s v="100% MBS Fee to 125% MBS Fee"/>
    <n v="0"/>
    <n v="0"/>
    <n v="0"/>
    <n v="0"/>
  </r>
  <r>
    <x v="6"/>
    <x v="1"/>
    <s v="ACT"/>
    <s v="No gap agreement"/>
    <s v="More than 125% MBS Fee to 150% MBS Fee"/>
    <n v="0"/>
    <n v="0"/>
    <n v="0"/>
    <n v="0"/>
  </r>
  <r>
    <x v="6"/>
    <x v="1"/>
    <s v="ACT"/>
    <s v="No gap agreement"/>
    <s v="More than 150% MBS Fee to 200% MBS Fee"/>
    <n v="0"/>
    <n v="0"/>
    <n v="0"/>
    <n v="0"/>
  </r>
  <r>
    <x v="6"/>
    <x v="1"/>
    <s v="ACT"/>
    <s v="No gap agreement"/>
    <s v="More than 200% MBS Fee"/>
    <n v="0"/>
    <n v="0"/>
    <n v="0"/>
    <n v="0"/>
  </r>
  <r>
    <x v="6"/>
    <x v="1"/>
    <s v="ACT"/>
    <s v="No gap agreement"/>
    <s v="Up to MBS Fee"/>
    <n v="0"/>
    <n v="0"/>
    <n v="0"/>
    <n v="0"/>
  </r>
  <r>
    <x v="6"/>
    <x v="1"/>
    <s v="NSW"/>
    <s v="Known gap agreement"/>
    <s v="100% MBS Fee to 125% MBS Fee"/>
    <n v="1013685"/>
    <n v="661279"/>
    <n v="321495"/>
    <n v="10092"/>
  </r>
  <r>
    <x v="6"/>
    <x v="1"/>
    <s v="NSW"/>
    <s v="Known gap agreement"/>
    <s v="More than 125% MBS Fee to 150% MBS Fee"/>
    <n v="1972051"/>
    <n v="1067113"/>
    <n v="830852"/>
    <n v="10799"/>
  </r>
  <r>
    <x v="6"/>
    <x v="1"/>
    <s v="NSW"/>
    <s v="Known gap agreement"/>
    <s v="More than 150% MBS Fee to 200% MBS Fee"/>
    <n v="704885"/>
    <n v="315474"/>
    <n v="239921"/>
    <n v="2242"/>
  </r>
  <r>
    <x v="6"/>
    <x v="1"/>
    <s v="NSW"/>
    <s v="Known gap agreement"/>
    <s v="More than 200% MBS Fee"/>
    <n v="645676"/>
    <n v="178758"/>
    <n v="200113"/>
    <n v="1513"/>
  </r>
  <r>
    <x v="6"/>
    <x v="1"/>
    <s v="NSW"/>
    <s v="No agreement"/>
    <s v="100% MBS Fee to 125% MBS Fee"/>
    <n v="12290000"/>
    <n v="8178233"/>
    <n v="2736621"/>
    <n v="103264"/>
  </r>
  <r>
    <x v="6"/>
    <x v="1"/>
    <s v="NSW"/>
    <s v="No agreement"/>
    <s v="More than 125% MBS Fee to 150% MBS Fee"/>
    <n v="13711517"/>
    <n v="7441735"/>
    <n v="2500378"/>
    <n v="80696"/>
  </r>
  <r>
    <x v="6"/>
    <x v="1"/>
    <s v="NSW"/>
    <s v="No agreement"/>
    <s v="More than 150% MBS Fee to 200% MBS Fee"/>
    <n v="25589880"/>
    <n v="11085060"/>
    <n v="3723620"/>
    <n v="99783"/>
  </r>
  <r>
    <x v="6"/>
    <x v="1"/>
    <s v="NSW"/>
    <s v="No agreement"/>
    <s v="More than 200% MBS Fee"/>
    <n v="27182685"/>
    <n v="7670180"/>
    <n v="2646490"/>
    <n v="53948"/>
  </r>
  <r>
    <x v="6"/>
    <x v="1"/>
    <s v="NSW"/>
    <s v="No agreement"/>
    <s v="Up to MBS Fee"/>
    <n v="30300803"/>
    <n v="22794100"/>
    <n v="7506552"/>
    <n v="458062"/>
  </r>
  <r>
    <x v="6"/>
    <x v="1"/>
    <s v="NSW"/>
    <s v="No gap agreement"/>
    <s v="100% MBS Fee to 125% MBS Fee"/>
    <n v="18571251"/>
    <n v="12074728"/>
    <n v="6496523"/>
    <n v="209213"/>
  </r>
  <r>
    <x v="6"/>
    <x v="1"/>
    <s v="NSW"/>
    <s v="No gap agreement"/>
    <s v="More than 125% MBS Fee to 150% MBS Fee"/>
    <n v="21464925"/>
    <n v="11726584"/>
    <n v="9738342"/>
    <n v="111663"/>
  </r>
  <r>
    <x v="6"/>
    <x v="1"/>
    <s v="NSW"/>
    <s v="No gap agreement"/>
    <s v="More than 150% MBS Fee to 200% MBS Fee"/>
    <n v="1180723"/>
    <n v="562627"/>
    <n v="618097"/>
    <n v="4513"/>
  </r>
  <r>
    <x v="6"/>
    <x v="1"/>
    <s v="NSW"/>
    <s v="No gap agreement"/>
    <s v="More than 200% MBS Fee"/>
    <n v="2545522"/>
    <n v="910968"/>
    <n v="1634555"/>
    <n v="5918"/>
  </r>
  <r>
    <x v="6"/>
    <x v="1"/>
    <s v="NSW"/>
    <s v="No gap agreement"/>
    <s v="Up to MBS Fee"/>
    <n v="1154322"/>
    <n v="955168"/>
    <n v="199154"/>
    <n v="21948"/>
  </r>
  <r>
    <x v="6"/>
    <x v="1"/>
    <s v="NT"/>
    <s v="Known gap agreement"/>
    <s v="100% MBS Fee to 125% MBS Fee"/>
    <n v="25572"/>
    <n v="16019"/>
    <n v="9391"/>
    <n v="226"/>
  </r>
  <r>
    <x v="6"/>
    <x v="1"/>
    <s v="NT"/>
    <s v="Known gap agreement"/>
    <s v="More than 125% MBS Fee to 150% MBS Fee"/>
    <n v="45276"/>
    <n v="24665"/>
    <n v="19983"/>
    <n v="135"/>
  </r>
  <r>
    <x v="6"/>
    <x v="1"/>
    <s v="NT"/>
    <s v="Known gap agreement"/>
    <s v="More than 150% MBS Fee to 200% MBS Fee"/>
    <n v="10260"/>
    <n v="4527"/>
    <n v="3317"/>
    <n v="35"/>
  </r>
  <r>
    <x v="6"/>
    <x v="1"/>
    <s v="NT"/>
    <s v="Known gap agreement"/>
    <s v="More than 200% MBS Fee"/>
    <n v="3472"/>
    <n v="1095"/>
    <n v="777"/>
    <n v="11"/>
  </r>
  <r>
    <x v="6"/>
    <x v="1"/>
    <s v="NT"/>
    <s v="No agreement"/>
    <s v="100% MBS Fee to 125% MBS Fee"/>
    <n v="162679"/>
    <n v="110114"/>
    <n v="27815"/>
    <n v="793"/>
  </r>
  <r>
    <x v="6"/>
    <x v="1"/>
    <s v="NT"/>
    <s v="No agreement"/>
    <s v="More than 125% MBS Fee to 150% MBS Fee"/>
    <n v="153454"/>
    <n v="83610"/>
    <n v="27011"/>
    <n v="935"/>
  </r>
  <r>
    <x v="6"/>
    <x v="1"/>
    <s v="NT"/>
    <s v="No agreement"/>
    <s v="More than 150% MBS Fee to 200% MBS Fee"/>
    <n v="269372"/>
    <n v="117011"/>
    <n v="37017"/>
    <n v="1227"/>
  </r>
  <r>
    <x v="6"/>
    <x v="1"/>
    <s v="NT"/>
    <s v="No agreement"/>
    <s v="More than 200% MBS Fee"/>
    <n v="328756"/>
    <n v="95453"/>
    <n v="31066"/>
    <n v="559"/>
  </r>
  <r>
    <x v="6"/>
    <x v="1"/>
    <s v="NT"/>
    <s v="No agreement"/>
    <s v="Up to MBS Fee"/>
    <n v="269486"/>
    <n v="203432"/>
    <n v="66054"/>
    <n v="3611"/>
  </r>
  <r>
    <x v="6"/>
    <x v="1"/>
    <s v="NT"/>
    <s v="No gap agreement"/>
    <s v="100% MBS Fee to 125% MBS Fee"/>
    <n v="203005"/>
    <n v="131510"/>
    <n v="71495"/>
    <n v="1764"/>
  </r>
  <r>
    <x v="6"/>
    <x v="1"/>
    <s v="NT"/>
    <s v="No gap agreement"/>
    <s v="More than 125% MBS Fee to 150% MBS Fee"/>
    <n v="588601"/>
    <n v="325949"/>
    <n v="262652"/>
    <n v="3003"/>
  </r>
  <r>
    <x v="6"/>
    <x v="1"/>
    <s v="NT"/>
    <s v="No gap agreement"/>
    <s v="More than 150% MBS Fee to 200% MBS Fee"/>
    <n v="75634"/>
    <n v="35825"/>
    <n v="39810"/>
    <n v="291"/>
  </r>
  <r>
    <x v="6"/>
    <x v="1"/>
    <s v="NT"/>
    <s v="No gap agreement"/>
    <s v="More than 200% MBS Fee"/>
    <n v="119811"/>
    <n v="39755"/>
    <n v="80056"/>
    <n v="197"/>
  </r>
  <r>
    <x v="6"/>
    <x v="1"/>
    <s v="NT"/>
    <s v="No gap agreement"/>
    <s v="Up to MBS Fee"/>
    <n v="20586"/>
    <n v="16969"/>
    <n v="3617"/>
    <n v="213"/>
  </r>
  <r>
    <x v="6"/>
    <x v="1"/>
    <s v="QLD"/>
    <s v="Known gap agreement"/>
    <s v="100% MBS Fee to 125% MBS Fee"/>
    <n v="627009"/>
    <n v="399207"/>
    <n v="218534"/>
    <n v="5746"/>
  </r>
  <r>
    <x v="6"/>
    <x v="1"/>
    <s v="QLD"/>
    <s v="Known gap agreement"/>
    <s v="More than 125% MBS Fee to 150% MBS Fee"/>
    <n v="1321008"/>
    <n v="714167"/>
    <n v="562614"/>
    <n v="6590"/>
  </r>
  <r>
    <x v="6"/>
    <x v="1"/>
    <s v="QLD"/>
    <s v="Known gap agreement"/>
    <s v="More than 150% MBS Fee to 200% MBS Fee"/>
    <n v="369769"/>
    <n v="165996"/>
    <n v="129266"/>
    <n v="1075"/>
  </r>
  <r>
    <x v="6"/>
    <x v="1"/>
    <s v="QLD"/>
    <s v="Known gap agreement"/>
    <s v="More than 200% MBS Fee"/>
    <n v="347439"/>
    <n v="99384"/>
    <n v="115780"/>
    <n v="654"/>
  </r>
  <r>
    <x v="6"/>
    <x v="1"/>
    <s v="QLD"/>
    <s v="No agreement"/>
    <s v="100% MBS Fee to 125% MBS Fee"/>
    <n v="9142854"/>
    <n v="6141135"/>
    <n v="2008871"/>
    <n v="75089"/>
  </r>
  <r>
    <x v="6"/>
    <x v="1"/>
    <s v="QLD"/>
    <s v="No agreement"/>
    <s v="More than 125% MBS Fee to 150% MBS Fee"/>
    <n v="9645683"/>
    <n v="5300087"/>
    <n v="1768896"/>
    <n v="70469"/>
  </r>
  <r>
    <x v="6"/>
    <x v="1"/>
    <s v="QLD"/>
    <s v="No agreement"/>
    <s v="More than 150% MBS Fee to 200% MBS Fee"/>
    <n v="12798282"/>
    <n v="5620965"/>
    <n v="1869291"/>
    <n v="51932"/>
  </r>
  <r>
    <x v="6"/>
    <x v="1"/>
    <s v="QLD"/>
    <s v="No agreement"/>
    <s v="More than 200% MBS Fee"/>
    <n v="9099437"/>
    <n v="2538607"/>
    <n v="852671"/>
    <n v="17714"/>
  </r>
  <r>
    <x v="6"/>
    <x v="1"/>
    <s v="QLD"/>
    <s v="No agreement"/>
    <s v="Up to MBS Fee"/>
    <n v="16692328"/>
    <n v="12561522"/>
    <n v="4130801"/>
    <n v="244265"/>
  </r>
  <r>
    <x v="6"/>
    <x v="1"/>
    <s v="QLD"/>
    <s v="No gap agreement"/>
    <s v="100% MBS Fee to 125% MBS Fee"/>
    <n v="12360274"/>
    <n v="8010798"/>
    <n v="4349476"/>
    <n v="183064"/>
  </r>
  <r>
    <x v="6"/>
    <x v="1"/>
    <s v="QLD"/>
    <s v="No gap agreement"/>
    <s v="More than 125% MBS Fee to 150% MBS Fee"/>
    <n v="17644699"/>
    <n v="9618883"/>
    <n v="8025817"/>
    <n v="91314"/>
  </r>
  <r>
    <x v="6"/>
    <x v="1"/>
    <s v="QLD"/>
    <s v="No gap agreement"/>
    <s v="More than 150% MBS Fee to 200% MBS Fee"/>
    <n v="914717"/>
    <n v="433820"/>
    <n v="480896"/>
    <n v="3025"/>
  </r>
  <r>
    <x v="6"/>
    <x v="1"/>
    <s v="QLD"/>
    <s v="No gap agreement"/>
    <s v="More than 200% MBS Fee"/>
    <n v="2523233"/>
    <n v="846933"/>
    <n v="1676300"/>
    <n v="6520"/>
  </r>
  <r>
    <x v="6"/>
    <x v="1"/>
    <s v="QLD"/>
    <s v="No gap agreement"/>
    <s v="Up to MBS Fee"/>
    <n v="780472"/>
    <n v="672902"/>
    <n v="107567"/>
    <n v="15815"/>
  </r>
  <r>
    <x v="6"/>
    <x v="1"/>
    <s v="SA"/>
    <s v="Known gap agreement"/>
    <s v="100% MBS Fee to 125% MBS Fee"/>
    <n v="153170"/>
    <n v="99463"/>
    <n v="53899"/>
    <n v="1460"/>
  </r>
  <r>
    <x v="6"/>
    <x v="1"/>
    <s v="SA"/>
    <s v="Known gap agreement"/>
    <s v="More than 125% MBS Fee to 150% MBS Fee"/>
    <n v="693952"/>
    <n v="380249"/>
    <n v="314968"/>
    <n v="3568"/>
  </r>
  <r>
    <x v="6"/>
    <x v="1"/>
    <s v="SA"/>
    <s v="Known gap agreement"/>
    <s v="More than 150% MBS Fee to 200% MBS Fee"/>
    <n v="69529"/>
    <n v="30607"/>
    <n v="25442"/>
    <n v="272"/>
  </r>
  <r>
    <x v="6"/>
    <x v="1"/>
    <s v="SA"/>
    <s v="Known gap agreement"/>
    <s v="More than 200% MBS Fee"/>
    <n v="169474"/>
    <n v="51346"/>
    <n v="55313"/>
    <n v="275"/>
  </r>
  <r>
    <x v="6"/>
    <x v="1"/>
    <s v="SA"/>
    <s v="No agreement"/>
    <s v="100% MBS Fee to 125% MBS Fee"/>
    <n v="2156140"/>
    <n v="1446746"/>
    <n v="494480"/>
    <n v="26094"/>
  </r>
  <r>
    <x v="6"/>
    <x v="1"/>
    <s v="SA"/>
    <s v="No agreement"/>
    <s v="More than 125% MBS Fee to 150% MBS Fee"/>
    <n v="896764"/>
    <n v="493281"/>
    <n v="174334"/>
    <n v="5399"/>
  </r>
  <r>
    <x v="6"/>
    <x v="1"/>
    <s v="SA"/>
    <s v="No agreement"/>
    <s v="More than 150% MBS Fee to 200% MBS Fee"/>
    <n v="787861"/>
    <n v="340219"/>
    <n v="116628"/>
    <n v="3355"/>
  </r>
  <r>
    <x v="6"/>
    <x v="1"/>
    <s v="SA"/>
    <s v="No agreement"/>
    <s v="More than 200% MBS Fee"/>
    <n v="387540"/>
    <n v="144047"/>
    <n v="55444"/>
    <n v="1404"/>
  </r>
  <r>
    <x v="6"/>
    <x v="1"/>
    <s v="SA"/>
    <s v="No agreement"/>
    <s v="Up to MBS Fee"/>
    <n v="5383823"/>
    <n v="4060988"/>
    <n v="1322723"/>
    <n v="89563"/>
  </r>
  <r>
    <x v="6"/>
    <x v="1"/>
    <s v="SA"/>
    <s v="No gap agreement"/>
    <s v="100% MBS Fee to 125% MBS Fee"/>
    <n v="9215964"/>
    <n v="6070964"/>
    <n v="3145001"/>
    <n v="120143"/>
  </r>
  <r>
    <x v="6"/>
    <x v="1"/>
    <s v="SA"/>
    <s v="No gap agreement"/>
    <s v="More than 125% MBS Fee to 150% MBS Fee"/>
    <n v="21264045"/>
    <n v="11738560"/>
    <n v="9525520"/>
    <n v="101909"/>
  </r>
  <r>
    <x v="6"/>
    <x v="1"/>
    <s v="SA"/>
    <s v="No gap agreement"/>
    <s v="More than 150% MBS Fee to 200% MBS Fee"/>
    <n v="727778"/>
    <n v="358100"/>
    <n v="369678"/>
    <n v="2574"/>
  </r>
  <r>
    <x v="6"/>
    <x v="1"/>
    <s v="SA"/>
    <s v="No gap agreement"/>
    <s v="More than 200% MBS Fee"/>
    <n v="865948"/>
    <n v="292277"/>
    <n v="573670"/>
    <n v="1465"/>
  </r>
  <r>
    <x v="6"/>
    <x v="1"/>
    <s v="SA"/>
    <s v="No gap agreement"/>
    <s v="Up to MBS Fee"/>
    <n v="925028"/>
    <n v="713182"/>
    <n v="211937"/>
    <n v="5420"/>
  </r>
  <r>
    <x v="6"/>
    <x v="1"/>
    <s v="TAS"/>
    <s v="Known gap agreement"/>
    <s v="100% MBS Fee to 125% MBS Fee"/>
    <n v="66219"/>
    <n v="42035"/>
    <n v="23536"/>
    <n v="666"/>
  </r>
  <r>
    <x v="6"/>
    <x v="1"/>
    <s v="TAS"/>
    <s v="Known gap agreement"/>
    <s v="More than 125% MBS Fee to 150% MBS Fee"/>
    <n v="142114"/>
    <n v="78693"/>
    <n v="61511"/>
    <n v="394"/>
  </r>
  <r>
    <x v="6"/>
    <x v="1"/>
    <s v="TAS"/>
    <s v="Known gap agreement"/>
    <s v="More than 150% MBS Fee to 200% MBS Fee"/>
    <n v="29533"/>
    <n v="13786"/>
    <n v="12201"/>
    <n v="150"/>
  </r>
  <r>
    <x v="6"/>
    <x v="1"/>
    <s v="TAS"/>
    <s v="Known gap agreement"/>
    <s v="More than 200% MBS Fee"/>
    <n v="24080"/>
    <n v="5745"/>
    <n v="4808"/>
    <n v="37"/>
  </r>
  <r>
    <x v="6"/>
    <x v="1"/>
    <s v="TAS"/>
    <s v="No agreement"/>
    <s v="100% MBS Fee to 125% MBS Fee"/>
    <n v="1009424"/>
    <n v="670001"/>
    <n v="222483"/>
    <n v="8171"/>
  </r>
  <r>
    <x v="6"/>
    <x v="1"/>
    <s v="TAS"/>
    <s v="No agreement"/>
    <s v="More than 125% MBS Fee to 150% MBS Fee"/>
    <n v="914195"/>
    <n v="500733"/>
    <n v="167675"/>
    <n v="6269"/>
  </r>
  <r>
    <x v="6"/>
    <x v="1"/>
    <s v="TAS"/>
    <s v="No agreement"/>
    <s v="More than 150% MBS Fee to 200% MBS Fee"/>
    <n v="1087231"/>
    <n v="478040"/>
    <n v="161628"/>
    <n v="4774"/>
  </r>
  <r>
    <x v="6"/>
    <x v="1"/>
    <s v="TAS"/>
    <s v="No agreement"/>
    <s v="More than 200% MBS Fee"/>
    <n v="1830011"/>
    <n v="483393"/>
    <n v="162333"/>
    <n v="4331"/>
  </r>
  <r>
    <x v="6"/>
    <x v="1"/>
    <s v="TAS"/>
    <s v="No agreement"/>
    <s v="Up to MBS Fee"/>
    <n v="2298363"/>
    <n v="1725651"/>
    <n v="572712"/>
    <n v="34913"/>
  </r>
  <r>
    <x v="6"/>
    <x v="1"/>
    <s v="TAS"/>
    <s v="No gap agreement"/>
    <s v="100% MBS Fee to 125% MBS Fee"/>
    <n v="1739110"/>
    <n v="1132239"/>
    <n v="606871"/>
    <n v="18395"/>
  </r>
  <r>
    <x v="6"/>
    <x v="1"/>
    <s v="TAS"/>
    <s v="No gap agreement"/>
    <s v="More than 125% MBS Fee to 150% MBS Fee"/>
    <n v="1755712"/>
    <n v="965203"/>
    <n v="790508"/>
    <n v="6088"/>
  </r>
  <r>
    <x v="6"/>
    <x v="1"/>
    <s v="TAS"/>
    <s v="No gap agreement"/>
    <s v="More than 150% MBS Fee to 200% MBS Fee"/>
    <n v="389811"/>
    <n v="183575"/>
    <n v="206236"/>
    <n v="560"/>
  </r>
  <r>
    <x v="6"/>
    <x v="1"/>
    <s v="TAS"/>
    <s v="No gap agreement"/>
    <s v="More than 200% MBS Fee"/>
    <n v="320299"/>
    <n v="103653"/>
    <n v="216645"/>
    <n v="577"/>
  </r>
  <r>
    <x v="6"/>
    <x v="1"/>
    <s v="TAS"/>
    <s v="No gap agreement"/>
    <s v="Up to MBS Fee"/>
    <n v="201890"/>
    <n v="163025"/>
    <n v="38804"/>
    <n v="4178"/>
  </r>
  <r>
    <x v="6"/>
    <x v="1"/>
    <s v="VIC"/>
    <s v="Known gap agreement"/>
    <s v="100% MBS Fee to 125% MBS Fee"/>
    <n v="1402838"/>
    <n v="897970"/>
    <n v="461098"/>
    <n v="11001"/>
  </r>
  <r>
    <x v="6"/>
    <x v="1"/>
    <s v="VIC"/>
    <s v="Known gap agreement"/>
    <s v="More than 125% MBS Fee to 150% MBS Fee"/>
    <n v="3110869"/>
    <n v="1684320"/>
    <n v="1239834"/>
    <n v="15208"/>
  </r>
  <r>
    <x v="6"/>
    <x v="1"/>
    <s v="VIC"/>
    <s v="Known gap agreement"/>
    <s v="More than 150% MBS Fee to 200% MBS Fee"/>
    <n v="1484811"/>
    <n v="659221"/>
    <n v="469236"/>
    <n v="5769"/>
  </r>
  <r>
    <x v="6"/>
    <x v="1"/>
    <s v="VIC"/>
    <s v="Known gap agreement"/>
    <s v="More than 200% MBS Fee"/>
    <n v="967095"/>
    <n v="274906"/>
    <n v="241994"/>
    <n v="2395"/>
  </r>
  <r>
    <x v="6"/>
    <x v="1"/>
    <s v="VIC"/>
    <s v="No agreement"/>
    <s v="100% MBS Fee to 125% MBS Fee"/>
    <n v="8566240"/>
    <n v="5802644"/>
    <n v="1960117"/>
    <n v="70050"/>
  </r>
  <r>
    <x v="6"/>
    <x v="1"/>
    <s v="VIC"/>
    <s v="No agreement"/>
    <s v="More than 125% MBS Fee to 150% MBS Fee"/>
    <n v="7946856"/>
    <n v="4344720"/>
    <n v="1459878"/>
    <n v="46874"/>
  </r>
  <r>
    <x v="6"/>
    <x v="1"/>
    <s v="VIC"/>
    <s v="No agreement"/>
    <s v="More than 150% MBS Fee to 200% MBS Fee"/>
    <n v="10791640"/>
    <n v="4745868"/>
    <n v="1589923"/>
    <n v="54519"/>
  </r>
  <r>
    <x v="6"/>
    <x v="1"/>
    <s v="VIC"/>
    <s v="No agreement"/>
    <s v="More than 200% MBS Fee"/>
    <n v="6185386"/>
    <n v="1771974"/>
    <n v="599062"/>
    <n v="13394"/>
  </r>
  <r>
    <x v="6"/>
    <x v="1"/>
    <s v="VIC"/>
    <s v="No agreement"/>
    <s v="Up to MBS Fee"/>
    <n v="18686223"/>
    <n v="14074280"/>
    <n v="4611855"/>
    <n v="249357"/>
  </r>
  <r>
    <x v="6"/>
    <x v="1"/>
    <s v="VIC"/>
    <s v="No gap agreement"/>
    <s v="100% MBS Fee to 125% MBS Fee"/>
    <n v="22669777"/>
    <n v="14432064"/>
    <n v="8237713"/>
    <n v="247060"/>
  </r>
  <r>
    <x v="6"/>
    <x v="1"/>
    <s v="VIC"/>
    <s v="No gap agreement"/>
    <s v="More than 125% MBS Fee to 150% MBS Fee"/>
    <n v="31004715"/>
    <n v="16959741"/>
    <n v="14044973"/>
    <n v="188862"/>
  </r>
  <r>
    <x v="6"/>
    <x v="1"/>
    <s v="VIC"/>
    <s v="No gap agreement"/>
    <s v="More than 150% MBS Fee to 200% MBS Fee"/>
    <n v="4697271"/>
    <n v="2185630"/>
    <n v="2511641"/>
    <n v="20469"/>
  </r>
  <r>
    <x v="6"/>
    <x v="1"/>
    <s v="VIC"/>
    <s v="No gap agreement"/>
    <s v="More than 200% MBS Fee"/>
    <n v="2159497"/>
    <n v="735534"/>
    <n v="1423963"/>
    <n v="3772"/>
  </r>
  <r>
    <x v="6"/>
    <x v="1"/>
    <s v="VIC"/>
    <s v="No gap agreement"/>
    <s v="Up to MBS Fee"/>
    <n v="1907919"/>
    <n v="1470260"/>
    <n v="437697"/>
    <n v="15901"/>
  </r>
  <r>
    <x v="6"/>
    <x v="1"/>
    <s v="WA"/>
    <s v="Known gap agreement"/>
    <s v="100% MBS Fee to 125% MBS Fee"/>
    <n v="418044"/>
    <n v="276047"/>
    <n v="121624"/>
    <n v="4154"/>
  </r>
  <r>
    <x v="6"/>
    <x v="1"/>
    <s v="WA"/>
    <s v="Known gap agreement"/>
    <s v="More than 125% MBS Fee to 150% MBS Fee"/>
    <n v="726820"/>
    <n v="393100"/>
    <n v="290125"/>
    <n v="3467"/>
  </r>
  <r>
    <x v="6"/>
    <x v="1"/>
    <s v="WA"/>
    <s v="Known gap agreement"/>
    <s v="More than 150% MBS Fee to 200% MBS Fee"/>
    <n v="645927"/>
    <n v="286749"/>
    <n v="221545"/>
    <n v="2450"/>
  </r>
  <r>
    <x v="6"/>
    <x v="1"/>
    <s v="WA"/>
    <s v="Known gap agreement"/>
    <s v="More than 200% MBS Fee"/>
    <n v="448576"/>
    <n v="125537"/>
    <n v="144167"/>
    <n v="1120"/>
  </r>
  <r>
    <x v="6"/>
    <x v="1"/>
    <s v="WA"/>
    <s v="No agreement"/>
    <s v="100% MBS Fee to 125% MBS Fee"/>
    <n v="2525000"/>
    <n v="1667002"/>
    <n v="519842"/>
    <n v="22646"/>
  </r>
  <r>
    <x v="6"/>
    <x v="1"/>
    <s v="WA"/>
    <s v="No agreement"/>
    <s v="More than 125% MBS Fee to 150% MBS Fee"/>
    <n v="2435165"/>
    <n v="1311484"/>
    <n v="437458"/>
    <n v="11746"/>
  </r>
  <r>
    <x v="6"/>
    <x v="1"/>
    <s v="WA"/>
    <s v="No agreement"/>
    <s v="More than 150% MBS Fee to 200% MBS Fee"/>
    <n v="3170846"/>
    <n v="1357461"/>
    <n v="468835"/>
    <n v="11931"/>
  </r>
  <r>
    <x v="6"/>
    <x v="1"/>
    <s v="WA"/>
    <s v="No agreement"/>
    <s v="More than 200% MBS Fee"/>
    <n v="2409273"/>
    <n v="650111"/>
    <n v="256094"/>
    <n v="5474"/>
  </r>
  <r>
    <x v="6"/>
    <x v="1"/>
    <s v="WA"/>
    <s v="No agreement"/>
    <s v="Up to MBS Fee"/>
    <n v="3584909"/>
    <n v="2720921"/>
    <n v="863988"/>
    <n v="38749"/>
  </r>
  <r>
    <x v="6"/>
    <x v="1"/>
    <s v="WA"/>
    <s v="No gap agreement"/>
    <s v="100% MBS Fee to 125% MBS Fee"/>
    <n v="8785540"/>
    <n v="5728270"/>
    <n v="3057268"/>
    <n v="95461"/>
  </r>
  <r>
    <x v="6"/>
    <x v="1"/>
    <s v="WA"/>
    <s v="No gap agreement"/>
    <s v="More than 125% MBS Fee to 150% MBS Fee"/>
    <n v="8643891"/>
    <n v="4765680"/>
    <n v="3878212"/>
    <n v="46387"/>
  </r>
  <r>
    <x v="6"/>
    <x v="1"/>
    <s v="WA"/>
    <s v="No gap agreement"/>
    <s v="More than 150% MBS Fee to 200% MBS Fee"/>
    <n v="4979621"/>
    <n v="2230838"/>
    <n v="2748783"/>
    <n v="21804"/>
  </r>
  <r>
    <x v="6"/>
    <x v="1"/>
    <s v="WA"/>
    <s v="No gap agreement"/>
    <s v="More than 200% MBS Fee"/>
    <n v="2594326"/>
    <n v="781819"/>
    <n v="1812507"/>
    <n v="6773"/>
  </r>
  <r>
    <x v="6"/>
    <x v="1"/>
    <s v="WA"/>
    <s v="No gap agreement"/>
    <s v="Up to MBS Fee"/>
    <n v="3524315"/>
    <n v="2684521"/>
    <n v="839795"/>
    <n v="43795"/>
  </r>
  <r>
    <x v="7"/>
    <x v="0"/>
    <s v="ACT"/>
    <s v="Known gap agreement"/>
    <s v="100% MBS Fee to 125% MBS Fee"/>
    <n v="0"/>
    <n v="0"/>
    <n v="0"/>
    <n v="0"/>
  </r>
  <r>
    <x v="7"/>
    <x v="0"/>
    <s v="ACT"/>
    <s v="Known gap agreement"/>
    <s v="More than 125% MBS Fee to 150% MBS Fee"/>
    <n v="0"/>
    <n v="0"/>
    <n v="0"/>
    <n v="0"/>
  </r>
  <r>
    <x v="7"/>
    <x v="0"/>
    <s v="ACT"/>
    <s v="Known gap agreement"/>
    <s v="More than 150% MBS Fee to 200% MBS Fee"/>
    <n v="0"/>
    <n v="0"/>
    <n v="0"/>
    <n v="0"/>
  </r>
  <r>
    <x v="7"/>
    <x v="0"/>
    <s v="ACT"/>
    <s v="Known gap agreement"/>
    <s v="More than 200% MBS Fee"/>
    <n v="0"/>
    <n v="0"/>
    <n v="0"/>
    <n v="0"/>
  </r>
  <r>
    <x v="7"/>
    <x v="0"/>
    <s v="ACT"/>
    <s v="No agreement"/>
    <s v="100% MBS Fee to 125% MBS Fee"/>
    <n v="0"/>
    <n v="0"/>
    <n v="0"/>
    <n v="0"/>
  </r>
  <r>
    <x v="7"/>
    <x v="0"/>
    <s v="ACT"/>
    <s v="No agreement"/>
    <s v="More than 125% MBS Fee to 150% MBS Fee"/>
    <n v="0"/>
    <n v="0"/>
    <n v="0"/>
    <n v="0"/>
  </r>
  <r>
    <x v="7"/>
    <x v="0"/>
    <s v="ACT"/>
    <s v="No agreement"/>
    <s v="More than 150% MBS Fee to 200% MBS Fee"/>
    <n v="0"/>
    <n v="0"/>
    <n v="0"/>
    <n v="0"/>
  </r>
  <r>
    <x v="7"/>
    <x v="0"/>
    <s v="ACT"/>
    <s v="No agreement"/>
    <s v="More than 200% MBS Fee"/>
    <n v="0"/>
    <n v="0"/>
    <n v="0"/>
    <n v="0"/>
  </r>
  <r>
    <x v="7"/>
    <x v="0"/>
    <s v="ACT"/>
    <s v="No agreement"/>
    <s v="Up to MBS Fee"/>
    <n v="0"/>
    <n v="0"/>
    <n v="0"/>
    <n v="0"/>
  </r>
  <r>
    <x v="7"/>
    <x v="0"/>
    <s v="ACT"/>
    <s v="No gap agreement"/>
    <s v="100% MBS Fee to 125% MBS Fee"/>
    <n v="0"/>
    <n v="0"/>
    <n v="0"/>
    <n v="0"/>
  </r>
  <r>
    <x v="7"/>
    <x v="0"/>
    <s v="ACT"/>
    <s v="No gap agreement"/>
    <s v="More than 125% MBS Fee to 150% MBS Fee"/>
    <n v="0"/>
    <n v="0"/>
    <n v="0"/>
    <n v="0"/>
  </r>
  <r>
    <x v="7"/>
    <x v="0"/>
    <s v="ACT"/>
    <s v="No gap agreement"/>
    <s v="More than 150% MBS Fee to 200% MBS Fee"/>
    <n v="0"/>
    <n v="0"/>
    <n v="0"/>
    <n v="0"/>
  </r>
  <r>
    <x v="7"/>
    <x v="0"/>
    <s v="ACT"/>
    <s v="No gap agreement"/>
    <s v="More than 200% MBS Fee"/>
    <n v="0"/>
    <n v="0"/>
    <n v="0"/>
    <n v="0"/>
  </r>
  <r>
    <x v="7"/>
    <x v="0"/>
    <s v="ACT"/>
    <s v="No gap agreement"/>
    <s v="Up to MBS Fee"/>
    <n v="0"/>
    <n v="0"/>
    <n v="0"/>
    <n v="0"/>
  </r>
  <r>
    <x v="7"/>
    <x v="0"/>
    <s v="NSW"/>
    <s v="Known gap agreement"/>
    <s v="100% MBS Fee to 125% MBS Fee"/>
    <n v="755396"/>
    <n v="491505"/>
    <n v="212094"/>
    <n v="5641"/>
  </r>
  <r>
    <x v="7"/>
    <x v="0"/>
    <s v="NSW"/>
    <s v="Known gap agreement"/>
    <s v="More than 125% MBS Fee to 150% MBS Fee"/>
    <n v="1721461"/>
    <n v="934361"/>
    <n v="593196"/>
    <n v="12635"/>
  </r>
  <r>
    <x v="7"/>
    <x v="0"/>
    <s v="NSW"/>
    <s v="Known gap agreement"/>
    <s v="More than 150% MBS Fee to 200% MBS Fee"/>
    <n v="2497748"/>
    <n v="1100453"/>
    <n v="896802"/>
    <n v="11761"/>
  </r>
  <r>
    <x v="7"/>
    <x v="0"/>
    <s v="NSW"/>
    <s v="Known gap agreement"/>
    <s v="More than 200% MBS Fee"/>
    <n v="2177359"/>
    <n v="632079"/>
    <n v="573056"/>
    <n v="6731"/>
  </r>
  <r>
    <x v="7"/>
    <x v="0"/>
    <s v="NSW"/>
    <s v="No agreement"/>
    <s v="100% MBS Fee to 125% MBS Fee"/>
    <n v="6384066"/>
    <n v="4217330"/>
    <n v="1432689"/>
    <n v="52636"/>
  </r>
  <r>
    <x v="7"/>
    <x v="0"/>
    <s v="NSW"/>
    <s v="No agreement"/>
    <s v="More than 125% MBS Fee to 150% MBS Fee"/>
    <n v="8603323"/>
    <n v="4676539"/>
    <n v="1593783"/>
    <n v="55943"/>
  </r>
  <r>
    <x v="7"/>
    <x v="0"/>
    <s v="NSW"/>
    <s v="No agreement"/>
    <s v="More than 150% MBS Fee to 200% MBS Fee"/>
    <n v="22773267"/>
    <n v="9771511"/>
    <n v="3284331"/>
    <n v="98348"/>
  </r>
  <r>
    <x v="7"/>
    <x v="0"/>
    <s v="NSW"/>
    <s v="No agreement"/>
    <s v="More than 200% MBS Fee"/>
    <n v="33700512"/>
    <n v="9719402"/>
    <n v="3316897"/>
    <n v="82292"/>
  </r>
  <r>
    <x v="7"/>
    <x v="0"/>
    <s v="NSW"/>
    <s v="No agreement"/>
    <s v="Up to MBS Fee"/>
    <n v="22519744"/>
    <n v="17003110"/>
    <n v="5516635"/>
    <n v="374579"/>
  </r>
  <r>
    <x v="7"/>
    <x v="0"/>
    <s v="NSW"/>
    <s v="No gap agreement"/>
    <s v="100% MBS Fee to 125% MBS Fee"/>
    <n v="21801407"/>
    <n v="14048208"/>
    <n v="7752699"/>
    <n v="269728"/>
  </r>
  <r>
    <x v="7"/>
    <x v="0"/>
    <s v="NSW"/>
    <s v="No gap agreement"/>
    <s v="More than 125% MBS Fee to 150% MBS Fee"/>
    <n v="36156147"/>
    <n v="19612879"/>
    <n v="16542598"/>
    <n v="215249"/>
  </r>
  <r>
    <x v="7"/>
    <x v="0"/>
    <s v="NSW"/>
    <s v="No gap agreement"/>
    <s v="More than 150% MBS Fee to 200% MBS Fee"/>
    <n v="4918226"/>
    <n v="2322626"/>
    <n v="2595493"/>
    <n v="34974"/>
  </r>
  <r>
    <x v="7"/>
    <x v="0"/>
    <s v="NSW"/>
    <s v="No gap agreement"/>
    <s v="More than 200% MBS Fee"/>
    <n v="5758326"/>
    <n v="1455880"/>
    <n v="4303756"/>
    <n v="5328"/>
  </r>
  <r>
    <x v="7"/>
    <x v="0"/>
    <s v="NSW"/>
    <s v="No gap agreement"/>
    <s v="Up to MBS Fee"/>
    <n v="1518316"/>
    <n v="1142843"/>
    <n v="375467"/>
    <n v="27592"/>
  </r>
  <r>
    <x v="7"/>
    <x v="0"/>
    <s v="NT"/>
    <s v="Known gap agreement"/>
    <s v="100% MBS Fee to 125% MBS Fee"/>
    <n v="9891"/>
    <n v="6406"/>
    <n v="2843"/>
    <n v="51"/>
  </r>
  <r>
    <x v="7"/>
    <x v="0"/>
    <s v="NT"/>
    <s v="Known gap agreement"/>
    <s v="More than 125% MBS Fee to 150% MBS Fee"/>
    <n v="24958"/>
    <n v="13595"/>
    <n v="9008"/>
    <n v="112"/>
  </r>
  <r>
    <x v="7"/>
    <x v="0"/>
    <s v="NT"/>
    <s v="Known gap agreement"/>
    <s v="More than 150% MBS Fee to 200% MBS Fee"/>
    <n v="45014"/>
    <n v="19706"/>
    <n v="17151"/>
    <n v="152"/>
  </r>
  <r>
    <x v="7"/>
    <x v="0"/>
    <s v="NT"/>
    <s v="Known gap agreement"/>
    <s v="More than 200% MBS Fee"/>
    <n v="58674"/>
    <n v="14643"/>
    <n v="20835"/>
    <n v="101"/>
  </r>
  <r>
    <x v="7"/>
    <x v="0"/>
    <s v="NT"/>
    <s v="No agreement"/>
    <s v="100% MBS Fee to 125% MBS Fee"/>
    <n v="81038"/>
    <n v="55256"/>
    <n v="18394"/>
    <n v="366"/>
  </r>
  <r>
    <x v="7"/>
    <x v="0"/>
    <s v="NT"/>
    <s v="No agreement"/>
    <s v="More than 125% MBS Fee to 150% MBS Fee"/>
    <n v="76861"/>
    <n v="42381"/>
    <n v="14088"/>
    <n v="426"/>
  </r>
  <r>
    <x v="7"/>
    <x v="0"/>
    <s v="NT"/>
    <s v="No agreement"/>
    <s v="More than 150% MBS Fee to 200% MBS Fee"/>
    <n v="206749"/>
    <n v="88181"/>
    <n v="29203"/>
    <n v="1009"/>
  </r>
  <r>
    <x v="7"/>
    <x v="0"/>
    <s v="NT"/>
    <s v="No agreement"/>
    <s v="More than 200% MBS Fee"/>
    <n v="290194"/>
    <n v="90989"/>
    <n v="30300"/>
    <n v="814"/>
  </r>
  <r>
    <x v="7"/>
    <x v="0"/>
    <s v="NT"/>
    <s v="No agreement"/>
    <s v="Up to MBS Fee"/>
    <n v="218679"/>
    <n v="164984"/>
    <n v="53695"/>
    <n v="3002"/>
  </r>
  <r>
    <x v="7"/>
    <x v="0"/>
    <s v="NT"/>
    <s v="No gap agreement"/>
    <s v="100% MBS Fee to 125% MBS Fee"/>
    <n v="243588"/>
    <n v="155843"/>
    <n v="87745"/>
    <n v="2898"/>
  </r>
  <r>
    <x v="7"/>
    <x v="0"/>
    <s v="NT"/>
    <s v="No gap agreement"/>
    <s v="More than 125% MBS Fee to 150% MBS Fee"/>
    <n v="689615"/>
    <n v="373704"/>
    <n v="315912"/>
    <n v="4332"/>
  </r>
  <r>
    <x v="7"/>
    <x v="0"/>
    <s v="NT"/>
    <s v="No gap agreement"/>
    <s v="More than 150% MBS Fee to 200% MBS Fee"/>
    <n v="155348"/>
    <n v="73740"/>
    <n v="81606"/>
    <n v="1105"/>
  </r>
  <r>
    <x v="7"/>
    <x v="0"/>
    <s v="NT"/>
    <s v="No gap agreement"/>
    <s v="More than 200% MBS Fee"/>
    <n v="110320"/>
    <n v="33250"/>
    <n v="77070"/>
    <n v="130"/>
  </r>
  <r>
    <x v="7"/>
    <x v="0"/>
    <s v="NT"/>
    <s v="No gap agreement"/>
    <s v="Up to MBS Fee"/>
    <n v="22694"/>
    <n v="17195"/>
    <n v="5500"/>
    <n v="358"/>
  </r>
  <r>
    <x v="7"/>
    <x v="0"/>
    <s v="QLD"/>
    <s v="Known gap agreement"/>
    <s v="100% MBS Fee to 125% MBS Fee"/>
    <n v="760088"/>
    <n v="477781"/>
    <n v="230736"/>
    <n v="8502"/>
  </r>
  <r>
    <x v="7"/>
    <x v="0"/>
    <s v="QLD"/>
    <s v="Known gap agreement"/>
    <s v="More than 125% MBS Fee to 150% MBS Fee"/>
    <n v="1199765"/>
    <n v="648524"/>
    <n v="424979"/>
    <n v="6421"/>
  </r>
  <r>
    <x v="7"/>
    <x v="0"/>
    <s v="QLD"/>
    <s v="Known gap agreement"/>
    <s v="More than 150% MBS Fee to 200% MBS Fee"/>
    <n v="3683306"/>
    <n v="1596611"/>
    <n v="1399112"/>
    <n v="13573"/>
  </r>
  <r>
    <x v="7"/>
    <x v="0"/>
    <s v="QLD"/>
    <s v="Known gap agreement"/>
    <s v="More than 200% MBS Fee"/>
    <n v="2510371"/>
    <n v="742771"/>
    <n v="745229"/>
    <n v="8122"/>
  </r>
  <r>
    <x v="7"/>
    <x v="0"/>
    <s v="QLD"/>
    <s v="No agreement"/>
    <s v="100% MBS Fee to 125% MBS Fee"/>
    <n v="4740469"/>
    <n v="3140900"/>
    <n v="1093972"/>
    <n v="39515"/>
  </r>
  <r>
    <x v="7"/>
    <x v="0"/>
    <s v="QLD"/>
    <s v="No agreement"/>
    <s v="More than 125% MBS Fee to 150% MBS Fee"/>
    <n v="5931484"/>
    <n v="3268036"/>
    <n v="1123990"/>
    <n v="41177"/>
  </r>
  <r>
    <x v="7"/>
    <x v="0"/>
    <s v="QLD"/>
    <s v="No agreement"/>
    <s v="More than 150% MBS Fee to 200% MBS Fee"/>
    <n v="11071928"/>
    <n v="4786719"/>
    <n v="1588612"/>
    <n v="51219"/>
  </r>
  <r>
    <x v="7"/>
    <x v="0"/>
    <s v="QLD"/>
    <s v="No agreement"/>
    <s v="More than 200% MBS Fee"/>
    <n v="9407311"/>
    <n v="2777813"/>
    <n v="931432"/>
    <n v="29324"/>
  </r>
  <r>
    <x v="7"/>
    <x v="0"/>
    <s v="QLD"/>
    <s v="No agreement"/>
    <s v="Up to MBS Fee"/>
    <n v="10239899"/>
    <n v="7761011"/>
    <n v="2478887"/>
    <n v="150857"/>
  </r>
  <r>
    <x v="7"/>
    <x v="0"/>
    <s v="QLD"/>
    <s v="No gap agreement"/>
    <s v="100% MBS Fee to 125% MBS Fee"/>
    <n v="19124272"/>
    <n v="12344581"/>
    <n v="6779635"/>
    <n v="329802"/>
  </r>
  <r>
    <x v="7"/>
    <x v="0"/>
    <s v="QLD"/>
    <s v="No gap agreement"/>
    <s v="More than 125% MBS Fee to 150% MBS Fee"/>
    <n v="30920892"/>
    <n v="16774388"/>
    <n v="14146292"/>
    <n v="187950"/>
  </r>
  <r>
    <x v="7"/>
    <x v="0"/>
    <s v="QLD"/>
    <s v="No gap agreement"/>
    <s v="More than 150% MBS Fee to 200% MBS Fee"/>
    <n v="4190749"/>
    <n v="1998744"/>
    <n v="2191964"/>
    <n v="36868"/>
  </r>
  <r>
    <x v="7"/>
    <x v="0"/>
    <s v="QLD"/>
    <s v="No gap agreement"/>
    <s v="More than 200% MBS Fee"/>
    <n v="2858186"/>
    <n v="845670"/>
    <n v="2012825"/>
    <n v="3407"/>
  </r>
  <r>
    <x v="7"/>
    <x v="0"/>
    <s v="QLD"/>
    <s v="No gap agreement"/>
    <s v="Up to MBS Fee"/>
    <n v="824836"/>
    <n v="624810"/>
    <n v="200026"/>
    <n v="11725"/>
  </r>
  <r>
    <x v="7"/>
    <x v="0"/>
    <s v="SA"/>
    <s v="Known gap agreement"/>
    <s v="100% MBS Fee to 125% MBS Fee"/>
    <n v="361417"/>
    <n v="236634"/>
    <n v="106061"/>
    <n v="3418"/>
  </r>
  <r>
    <x v="7"/>
    <x v="0"/>
    <s v="SA"/>
    <s v="Known gap agreement"/>
    <s v="More than 125% MBS Fee to 150% MBS Fee"/>
    <n v="671026"/>
    <n v="365409"/>
    <n v="264325"/>
    <n v="2996"/>
  </r>
  <r>
    <x v="7"/>
    <x v="0"/>
    <s v="SA"/>
    <s v="Known gap agreement"/>
    <s v="More than 150% MBS Fee to 200% MBS Fee"/>
    <n v="691240"/>
    <n v="304018"/>
    <n v="274743"/>
    <n v="3533"/>
  </r>
  <r>
    <x v="7"/>
    <x v="0"/>
    <s v="SA"/>
    <s v="Known gap agreement"/>
    <s v="More than 200% MBS Fee"/>
    <n v="334758"/>
    <n v="81579"/>
    <n v="78507"/>
    <n v="711"/>
  </r>
  <r>
    <x v="7"/>
    <x v="0"/>
    <s v="SA"/>
    <s v="No agreement"/>
    <s v="100% MBS Fee to 125% MBS Fee"/>
    <n v="774367"/>
    <n v="521702"/>
    <n v="175980"/>
    <n v="6128"/>
  </r>
  <r>
    <x v="7"/>
    <x v="0"/>
    <s v="SA"/>
    <s v="No agreement"/>
    <s v="More than 125% MBS Fee to 150% MBS Fee"/>
    <n v="603358"/>
    <n v="325254"/>
    <n v="112280"/>
    <n v="4597"/>
  </r>
  <r>
    <x v="7"/>
    <x v="0"/>
    <s v="SA"/>
    <s v="No agreement"/>
    <s v="More than 150% MBS Fee to 200% MBS Fee"/>
    <n v="774208"/>
    <n v="338711"/>
    <n v="115126"/>
    <n v="4506"/>
  </r>
  <r>
    <x v="7"/>
    <x v="0"/>
    <s v="SA"/>
    <s v="No agreement"/>
    <s v="More than 200% MBS Fee"/>
    <n v="646687"/>
    <n v="179287"/>
    <n v="62239"/>
    <n v="1990"/>
  </r>
  <r>
    <x v="7"/>
    <x v="0"/>
    <s v="SA"/>
    <s v="No agreement"/>
    <s v="Up to MBS Fee"/>
    <n v="3919739"/>
    <n v="2952930"/>
    <n v="966773"/>
    <n v="71352"/>
  </r>
  <r>
    <x v="7"/>
    <x v="0"/>
    <s v="SA"/>
    <s v="No gap agreement"/>
    <s v="100% MBS Fee to 125% MBS Fee"/>
    <n v="9779294"/>
    <n v="6383878"/>
    <n v="3395419"/>
    <n v="155373"/>
  </r>
  <r>
    <x v="7"/>
    <x v="0"/>
    <s v="SA"/>
    <s v="No gap agreement"/>
    <s v="More than 125% MBS Fee to 150% MBS Fee"/>
    <n v="17815140"/>
    <n v="9723330"/>
    <n v="8091810"/>
    <n v="79728"/>
  </r>
  <r>
    <x v="7"/>
    <x v="0"/>
    <s v="SA"/>
    <s v="No gap agreement"/>
    <s v="More than 150% MBS Fee to 200% MBS Fee"/>
    <n v="6765808"/>
    <n v="3260645"/>
    <n v="3505163"/>
    <n v="47905"/>
  </r>
  <r>
    <x v="7"/>
    <x v="0"/>
    <s v="SA"/>
    <s v="No gap agreement"/>
    <s v="More than 200% MBS Fee"/>
    <n v="1327682"/>
    <n v="391494"/>
    <n v="936188"/>
    <n v="1911"/>
  </r>
  <r>
    <x v="7"/>
    <x v="0"/>
    <s v="SA"/>
    <s v="No gap agreement"/>
    <s v="Up to MBS Fee"/>
    <n v="1135235"/>
    <n v="856005"/>
    <n v="279228"/>
    <n v="12323"/>
  </r>
  <r>
    <x v="7"/>
    <x v="0"/>
    <s v="TAS"/>
    <s v="Known gap agreement"/>
    <s v="100% MBS Fee to 125% MBS Fee"/>
    <n v="27835"/>
    <n v="18097"/>
    <n v="7664"/>
    <n v="179"/>
  </r>
  <r>
    <x v="7"/>
    <x v="0"/>
    <s v="TAS"/>
    <s v="Known gap agreement"/>
    <s v="More than 125% MBS Fee to 150% MBS Fee"/>
    <n v="79526"/>
    <n v="43386"/>
    <n v="27543"/>
    <n v="401"/>
  </r>
  <r>
    <x v="7"/>
    <x v="0"/>
    <s v="TAS"/>
    <s v="Known gap agreement"/>
    <s v="More than 150% MBS Fee to 200% MBS Fee"/>
    <n v="196891"/>
    <n v="87641"/>
    <n v="77533"/>
    <n v="921"/>
  </r>
  <r>
    <x v="7"/>
    <x v="0"/>
    <s v="TAS"/>
    <s v="Known gap agreement"/>
    <s v="More than 200% MBS Fee"/>
    <n v="167482"/>
    <n v="46943"/>
    <n v="45550"/>
    <n v="552"/>
  </r>
  <r>
    <x v="7"/>
    <x v="0"/>
    <s v="TAS"/>
    <s v="No agreement"/>
    <s v="100% MBS Fee to 125% MBS Fee"/>
    <n v="456981"/>
    <n v="305536"/>
    <n v="103408"/>
    <n v="3227"/>
  </r>
  <r>
    <x v="7"/>
    <x v="0"/>
    <s v="TAS"/>
    <s v="No agreement"/>
    <s v="More than 125% MBS Fee to 150% MBS Fee"/>
    <n v="500135"/>
    <n v="273819"/>
    <n v="91733"/>
    <n v="3012"/>
  </r>
  <r>
    <x v="7"/>
    <x v="0"/>
    <s v="TAS"/>
    <s v="No agreement"/>
    <s v="More than 150% MBS Fee to 200% MBS Fee"/>
    <n v="714677"/>
    <n v="308100"/>
    <n v="103899"/>
    <n v="3717"/>
  </r>
  <r>
    <x v="7"/>
    <x v="0"/>
    <s v="TAS"/>
    <s v="No agreement"/>
    <s v="More than 200% MBS Fee"/>
    <n v="1142772"/>
    <n v="313379"/>
    <n v="109760"/>
    <n v="3221"/>
  </r>
  <r>
    <x v="7"/>
    <x v="0"/>
    <s v="TAS"/>
    <s v="No agreement"/>
    <s v="Up to MBS Fee"/>
    <n v="1285439"/>
    <n v="975052"/>
    <n v="310386"/>
    <n v="21423"/>
  </r>
  <r>
    <x v="7"/>
    <x v="0"/>
    <s v="TAS"/>
    <s v="No gap agreement"/>
    <s v="100% MBS Fee to 125% MBS Fee"/>
    <n v="2393592"/>
    <n v="1546259"/>
    <n v="847424"/>
    <n v="33883"/>
  </r>
  <r>
    <x v="7"/>
    <x v="0"/>
    <s v="TAS"/>
    <s v="No gap agreement"/>
    <s v="More than 125% MBS Fee to 150% MBS Fee"/>
    <n v="3918693"/>
    <n v="2126966"/>
    <n v="1791728"/>
    <n v="21427"/>
  </r>
  <r>
    <x v="7"/>
    <x v="0"/>
    <s v="TAS"/>
    <s v="No gap agreement"/>
    <s v="More than 150% MBS Fee to 200% MBS Fee"/>
    <n v="913806"/>
    <n v="433353"/>
    <n v="480453"/>
    <n v="5230"/>
  </r>
  <r>
    <x v="7"/>
    <x v="0"/>
    <s v="TAS"/>
    <s v="No gap agreement"/>
    <s v="More than 200% MBS Fee"/>
    <n v="366159"/>
    <n v="108874"/>
    <n v="257285"/>
    <n v="405"/>
  </r>
  <r>
    <x v="7"/>
    <x v="0"/>
    <s v="TAS"/>
    <s v="No gap agreement"/>
    <s v="Up to MBS Fee"/>
    <n v="115719"/>
    <n v="92117"/>
    <n v="23601"/>
    <n v="1157"/>
  </r>
  <r>
    <x v="7"/>
    <x v="0"/>
    <s v="VIC"/>
    <s v="Known gap agreement"/>
    <s v="100% MBS Fee to 125% MBS Fee"/>
    <n v="1094517"/>
    <n v="716475"/>
    <n v="331127"/>
    <n v="7720"/>
  </r>
  <r>
    <x v="7"/>
    <x v="0"/>
    <s v="VIC"/>
    <s v="Known gap agreement"/>
    <s v="More than 125% MBS Fee to 150% MBS Fee"/>
    <n v="2947798"/>
    <n v="1595070"/>
    <n v="1045533"/>
    <n v="16809"/>
  </r>
  <r>
    <x v="7"/>
    <x v="0"/>
    <s v="VIC"/>
    <s v="Known gap agreement"/>
    <s v="More than 150% MBS Fee to 200% MBS Fee"/>
    <n v="5346967"/>
    <n v="2353824"/>
    <n v="1985373"/>
    <n v="27566"/>
  </r>
  <r>
    <x v="7"/>
    <x v="0"/>
    <s v="VIC"/>
    <s v="Known gap agreement"/>
    <s v="More than 200% MBS Fee"/>
    <n v="3115983"/>
    <n v="879670"/>
    <n v="848498"/>
    <n v="11249"/>
  </r>
  <r>
    <x v="7"/>
    <x v="0"/>
    <s v="VIC"/>
    <s v="No agreement"/>
    <s v="100% MBS Fee to 125% MBS Fee"/>
    <n v="4262897"/>
    <n v="2836233"/>
    <n v="957300"/>
    <n v="30459"/>
  </r>
  <r>
    <x v="7"/>
    <x v="0"/>
    <s v="VIC"/>
    <s v="No agreement"/>
    <s v="More than 125% MBS Fee to 150% MBS Fee"/>
    <n v="4314330"/>
    <n v="2343038"/>
    <n v="793757"/>
    <n v="27209"/>
  </r>
  <r>
    <x v="7"/>
    <x v="0"/>
    <s v="VIC"/>
    <s v="No agreement"/>
    <s v="More than 150% MBS Fee to 200% MBS Fee"/>
    <n v="7698362"/>
    <n v="3363298"/>
    <n v="1121689"/>
    <n v="43766"/>
  </r>
  <r>
    <x v="7"/>
    <x v="0"/>
    <s v="VIC"/>
    <s v="No agreement"/>
    <s v="More than 200% MBS Fee"/>
    <n v="6269045"/>
    <n v="1796345"/>
    <n v="615589"/>
    <n v="16944"/>
  </r>
  <r>
    <x v="7"/>
    <x v="0"/>
    <s v="VIC"/>
    <s v="No agreement"/>
    <s v="Up to MBS Fee"/>
    <n v="12393550"/>
    <n v="9360441"/>
    <n v="3032983"/>
    <n v="174837"/>
  </r>
  <r>
    <x v="7"/>
    <x v="0"/>
    <s v="VIC"/>
    <s v="No gap agreement"/>
    <s v="100% MBS Fee to 125% MBS Fee"/>
    <n v="22617966"/>
    <n v="14341455"/>
    <n v="8276531"/>
    <n v="263461"/>
  </r>
  <r>
    <x v="7"/>
    <x v="0"/>
    <s v="VIC"/>
    <s v="No gap agreement"/>
    <s v="More than 125% MBS Fee to 150% MBS Fee"/>
    <n v="46802735"/>
    <n v="25768076"/>
    <n v="21034922"/>
    <n v="359603"/>
  </r>
  <r>
    <x v="7"/>
    <x v="0"/>
    <s v="VIC"/>
    <s v="No gap agreement"/>
    <s v="More than 150% MBS Fee to 200% MBS Fee"/>
    <n v="12135566"/>
    <n v="5867154"/>
    <n v="6268420"/>
    <n v="93976"/>
  </r>
  <r>
    <x v="7"/>
    <x v="0"/>
    <s v="VIC"/>
    <s v="No gap agreement"/>
    <s v="More than 200% MBS Fee"/>
    <n v="2630806"/>
    <n v="819971"/>
    <n v="1810542"/>
    <n v="3287"/>
  </r>
  <r>
    <x v="7"/>
    <x v="0"/>
    <s v="VIC"/>
    <s v="No gap agreement"/>
    <s v="Up to MBS Fee"/>
    <n v="2967681"/>
    <n v="2240724"/>
    <n v="726976"/>
    <n v="36405"/>
  </r>
  <r>
    <x v="7"/>
    <x v="0"/>
    <s v="WA"/>
    <s v="Known gap agreement"/>
    <s v="100% MBS Fee to 125% MBS Fee"/>
    <n v="166276"/>
    <n v="108890"/>
    <n v="39679"/>
    <n v="1159"/>
  </r>
  <r>
    <x v="7"/>
    <x v="0"/>
    <s v="WA"/>
    <s v="Known gap agreement"/>
    <s v="More than 125% MBS Fee to 150% MBS Fee"/>
    <n v="753095"/>
    <n v="403452"/>
    <n v="277785"/>
    <n v="3557"/>
  </r>
  <r>
    <x v="7"/>
    <x v="0"/>
    <s v="WA"/>
    <s v="Known gap agreement"/>
    <s v="More than 150% MBS Fee to 200% MBS Fee"/>
    <n v="1458776"/>
    <n v="644865"/>
    <n v="552821"/>
    <n v="6439"/>
  </r>
  <r>
    <x v="7"/>
    <x v="0"/>
    <s v="WA"/>
    <s v="Known gap agreement"/>
    <s v="More than 200% MBS Fee"/>
    <n v="1143199"/>
    <n v="329855"/>
    <n v="364620"/>
    <n v="3815"/>
  </r>
  <r>
    <x v="7"/>
    <x v="0"/>
    <s v="WA"/>
    <s v="No agreement"/>
    <s v="100% MBS Fee to 125% MBS Fee"/>
    <n v="1703554"/>
    <n v="1121975"/>
    <n v="363653"/>
    <n v="12946"/>
  </r>
  <r>
    <x v="7"/>
    <x v="0"/>
    <s v="WA"/>
    <s v="No agreement"/>
    <s v="More than 125% MBS Fee to 150% MBS Fee"/>
    <n v="2641554"/>
    <n v="1437782"/>
    <n v="489011"/>
    <n v="15849"/>
  </r>
  <r>
    <x v="7"/>
    <x v="0"/>
    <s v="WA"/>
    <s v="No agreement"/>
    <s v="More than 150% MBS Fee to 200% MBS Fee"/>
    <n v="2994457"/>
    <n v="1308004"/>
    <n v="440640"/>
    <n v="14072"/>
  </r>
  <r>
    <x v="7"/>
    <x v="0"/>
    <s v="WA"/>
    <s v="No agreement"/>
    <s v="More than 200% MBS Fee"/>
    <n v="2970022"/>
    <n v="742354"/>
    <n v="282095"/>
    <n v="7506"/>
  </r>
  <r>
    <x v="7"/>
    <x v="0"/>
    <s v="WA"/>
    <s v="No agreement"/>
    <s v="Up to MBS Fee"/>
    <n v="2715292"/>
    <n v="2052306"/>
    <n v="662985"/>
    <n v="35820"/>
  </r>
  <r>
    <x v="7"/>
    <x v="0"/>
    <s v="WA"/>
    <s v="No gap agreement"/>
    <s v="100% MBS Fee to 125% MBS Fee"/>
    <n v="8665149"/>
    <n v="5609716"/>
    <n v="3055433"/>
    <n v="94466"/>
  </r>
  <r>
    <x v="7"/>
    <x v="0"/>
    <s v="WA"/>
    <s v="No gap agreement"/>
    <s v="More than 125% MBS Fee to 150% MBS Fee"/>
    <n v="10394193"/>
    <n v="5681163"/>
    <n v="4713030"/>
    <n v="57262"/>
  </r>
  <r>
    <x v="7"/>
    <x v="0"/>
    <s v="WA"/>
    <s v="No gap agreement"/>
    <s v="More than 150% MBS Fee to 200% MBS Fee"/>
    <n v="6666254"/>
    <n v="2962735"/>
    <n v="3703520"/>
    <n v="43821"/>
  </r>
  <r>
    <x v="7"/>
    <x v="0"/>
    <s v="WA"/>
    <s v="No gap agreement"/>
    <s v="More than 200% MBS Fee"/>
    <n v="2817479"/>
    <n v="827406"/>
    <n v="1990076"/>
    <n v="7206"/>
  </r>
  <r>
    <x v="7"/>
    <x v="0"/>
    <s v="WA"/>
    <s v="No gap agreement"/>
    <s v="Up to MBS Fee"/>
    <n v="2706822"/>
    <n v="2045646"/>
    <n v="661177"/>
    <n v="39121"/>
  </r>
  <r>
    <x v="7"/>
    <x v="2"/>
    <s v="ACT"/>
    <s v="Known gap agreement"/>
    <s v="100% MBS Fee to 125% MBS Fee"/>
    <n v="0"/>
    <n v="0"/>
    <n v="0"/>
    <n v="0"/>
  </r>
  <r>
    <x v="7"/>
    <x v="2"/>
    <s v="ACT"/>
    <s v="Known gap agreement"/>
    <s v="More than 125% MBS Fee to 150% MBS Fee"/>
    <n v="0"/>
    <n v="0"/>
    <n v="0"/>
    <n v="0"/>
  </r>
  <r>
    <x v="7"/>
    <x v="2"/>
    <s v="ACT"/>
    <s v="Known gap agreement"/>
    <s v="More than 150% MBS Fee to 200% MBS Fee"/>
    <n v="0"/>
    <n v="0"/>
    <n v="0"/>
    <n v="0"/>
  </r>
  <r>
    <x v="7"/>
    <x v="2"/>
    <s v="ACT"/>
    <s v="Known gap agreement"/>
    <s v="More than 200% MBS Fee"/>
    <n v="0"/>
    <n v="0"/>
    <n v="0"/>
    <n v="0"/>
  </r>
  <r>
    <x v="7"/>
    <x v="2"/>
    <s v="ACT"/>
    <s v="No agreement"/>
    <s v="100% MBS Fee to 125% MBS Fee"/>
    <n v="0"/>
    <n v="0"/>
    <n v="0"/>
    <n v="0"/>
  </r>
  <r>
    <x v="7"/>
    <x v="2"/>
    <s v="ACT"/>
    <s v="No agreement"/>
    <s v="More than 125% MBS Fee to 150% MBS Fee"/>
    <n v="0"/>
    <n v="0"/>
    <n v="0"/>
    <n v="0"/>
  </r>
  <r>
    <x v="7"/>
    <x v="2"/>
    <s v="ACT"/>
    <s v="No agreement"/>
    <s v="More than 150% MBS Fee to 200% MBS Fee"/>
    <n v="0"/>
    <n v="0"/>
    <n v="0"/>
    <n v="0"/>
  </r>
  <r>
    <x v="7"/>
    <x v="2"/>
    <s v="ACT"/>
    <s v="No agreement"/>
    <s v="More than 200% MBS Fee"/>
    <n v="0"/>
    <n v="0"/>
    <n v="0"/>
    <n v="0"/>
  </r>
  <r>
    <x v="7"/>
    <x v="2"/>
    <s v="ACT"/>
    <s v="No agreement"/>
    <s v="Up to MBS Fee"/>
    <n v="0"/>
    <n v="0"/>
    <n v="0"/>
    <n v="0"/>
  </r>
  <r>
    <x v="7"/>
    <x v="2"/>
    <s v="ACT"/>
    <s v="No gap agreement"/>
    <s v="100% MBS Fee to 125% MBS Fee"/>
    <n v="0"/>
    <n v="0"/>
    <n v="0"/>
    <n v="0"/>
  </r>
  <r>
    <x v="7"/>
    <x v="2"/>
    <s v="ACT"/>
    <s v="No gap agreement"/>
    <s v="More than 125% MBS Fee to 150% MBS Fee"/>
    <n v="0"/>
    <n v="0"/>
    <n v="0"/>
    <n v="0"/>
  </r>
  <r>
    <x v="7"/>
    <x v="2"/>
    <s v="ACT"/>
    <s v="No gap agreement"/>
    <s v="More than 150% MBS Fee to 200% MBS Fee"/>
    <n v="0"/>
    <n v="0"/>
    <n v="0"/>
    <n v="0"/>
  </r>
  <r>
    <x v="7"/>
    <x v="2"/>
    <s v="ACT"/>
    <s v="No gap agreement"/>
    <s v="More than 200% MBS Fee"/>
    <n v="0"/>
    <n v="0"/>
    <n v="0"/>
    <n v="0"/>
  </r>
  <r>
    <x v="7"/>
    <x v="2"/>
    <s v="ACT"/>
    <s v="No gap agreement"/>
    <s v="Up to MBS Fee"/>
    <n v="0"/>
    <n v="0"/>
    <n v="0"/>
    <n v="0"/>
  </r>
  <r>
    <x v="7"/>
    <x v="2"/>
    <s v="NSW"/>
    <s v="Known gap agreement"/>
    <s v="100% MBS Fee to 125% MBS Fee"/>
    <n v="982477"/>
    <n v="656184"/>
    <n v="273831"/>
    <n v="9097"/>
  </r>
  <r>
    <x v="7"/>
    <x v="2"/>
    <s v="NSW"/>
    <s v="Known gap agreement"/>
    <s v="More than 125% MBS Fee to 150% MBS Fee"/>
    <n v="1741879"/>
    <n v="946889"/>
    <n v="597069"/>
    <n v="11946"/>
  </r>
  <r>
    <x v="7"/>
    <x v="2"/>
    <s v="NSW"/>
    <s v="Known gap agreement"/>
    <s v="More than 150% MBS Fee to 200% MBS Fee"/>
    <n v="1957694"/>
    <n v="851668"/>
    <n v="684094"/>
    <n v="7505"/>
  </r>
  <r>
    <x v="7"/>
    <x v="2"/>
    <s v="NSW"/>
    <s v="Known gap agreement"/>
    <s v="More than 200% MBS Fee"/>
    <n v="2459958"/>
    <n v="595804"/>
    <n v="778661"/>
    <n v="6333"/>
  </r>
  <r>
    <x v="7"/>
    <x v="2"/>
    <s v="NSW"/>
    <s v="No agreement"/>
    <s v="100% MBS Fee to 125% MBS Fee"/>
    <n v="8433111"/>
    <n v="5646033"/>
    <n v="1920783"/>
    <n v="75354"/>
  </r>
  <r>
    <x v="7"/>
    <x v="2"/>
    <s v="NSW"/>
    <s v="No agreement"/>
    <s v="More than 125% MBS Fee to 150% MBS Fee"/>
    <n v="10347718"/>
    <n v="5611460"/>
    <n v="1909576"/>
    <n v="65513"/>
  </r>
  <r>
    <x v="7"/>
    <x v="2"/>
    <s v="NSW"/>
    <s v="No agreement"/>
    <s v="More than 150% MBS Fee to 200% MBS Fee"/>
    <n v="24712160"/>
    <n v="10636676"/>
    <n v="3579637"/>
    <n v="105554"/>
  </r>
  <r>
    <x v="7"/>
    <x v="2"/>
    <s v="NSW"/>
    <s v="No agreement"/>
    <s v="More than 200% MBS Fee"/>
    <n v="30525517"/>
    <n v="8950528"/>
    <n v="3281036"/>
    <n v="74645"/>
  </r>
  <r>
    <x v="7"/>
    <x v="2"/>
    <s v="NSW"/>
    <s v="No agreement"/>
    <s v="Up to MBS Fee"/>
    <n v="23827989"/>
    <n v="18004061"/>
    <n v="5824113"/>
    <n v="387394"/>
  </r>
  <r>
    <x v="7"/>
    <x v="2"/>
    <s v="NSW"/>
    <s v="No gap agreement"/>
    <s v="100% MBS Fee to 125% MBS Fee"/>
    <n v="20889003"/>
    <n v="13469398"/>
    <n v="7419607"/>
    <n v="255167"/>
  </r>
  <r>
    <x v="7"/>
    <x v="2"/>
    <s v="NSW"/>
    <s v="No gap agreement"/>
    <s v="More than 125% MBS Fee to 150% MBS Fee"/>
    <n v="37579117"/>
    <n v="20370087"/>
    <n v="17209033"/>
    <n v="227851"/>
  </r>
  <r>
    <x v="7"/>
    <x v="2"/>
    <s v="NSW"/>
    <s v="No gap agreement"/>
    <s v="More than 150% MBS Fee to 200% MBS Fee"/>
    <n v="2561333"/>
    <n v="1200520"/>
    <n v="1360815"/>
    <n v="15316"/>
  </r>
  <r>
    <x v="7"/>
    <x v="2"/>
    <s v="NSW"/>
    <s v="No gap agreement"/>
    <s v="More than 200% MBS Fee"/>
    <n v="4170030"/>
    <n v="1204813"/>
    <n v="2965215"/>
    <n v="4299"/>
  </r>
  <r>
    <x v="7"/>
    <x v="2"/>
    <s v="NSW"/>
    <s v="No gap agreement"/>
    <s v="Up to MBS Fee"/>
    <n v="1545548"/>
    <n v="1165858"/>
    <n v="379690"/>
    <n v="29963"/>
  </r>
  <r>
    <x v="7"/>
    <x v="2"/>
    <s v="NT"/>
    <s v="Known gap agreement"/>
    <s v="100% MBS Fee to 125% MBS Fee"/>
    <n v="1657"/>
    <n v="1008"/>
    <n v="471"/>
    <n v="12"/>
  </r>
  <r>
    <x v="7"/>
    <x v="2"/>
    <s v="NT"/>
    <s v="Known gap agreement"/>
    <s v="More than 125% MBS Fee to 150% MBS Fee"/>
    <n v="29080"/>
    <n v="16104"/>
    <n v="10726"/>
    <n v="71"/>
  </r>
  <r>
    <x v="7"/>
    <x v="2"/>
    <s v="NT"/>
    <s v="Known gap agreement"/>
    <s v="More than 150% MBS Fee to 200% MBS Fee"/>
    <n v="24801"/>
    <n v="10796"/>
    <n v="9270"/>
    <n v="74"/>
  </r>
  <r>
    <x v="7"/>
    <x v="2"/>
    <s v="NT"/>
    <s v="Known gap agreement"/>
    <s v="More than 200% MBS Fee"/>
    <n v="34995"/>
    <n v="10415"/>
    <n v="10560"/>
    <n v="71"/>
  </r>
  <r>
    <x v="7"/>
    <x v="2"/>
    <s v="NT"/>
    <s v="No agreement"/>
    <s v="100% MBS Fee to 125% MBS Fee"/>
    <n v="107471"/>
    <n v="72691"/>
    <n v="24192"/>
    <n v="552"/>
  </r>
  <r>
    <x v="7"/>
    <x v="2"/>
    <s v="NT"/>
    <s v="No agreement"/>
    <s v="More than 125% MBS Fee to 150% MBS Fee"/>
    <n v="92040"/>
    <n v="50297"/>
    <n v="16796"/>
    <n v="554"/>
  </r>
  <r>
    <x v="7"/>
    <x v="2"/>
    <s v="NT"/>
    <s v="No agreement"/>
    <s v="More than 150% MBS Fee to 200% MBS Fee"/>
    <n v="209825"/>
    <n v="89931"/>
    <n v="29786"/>
    <n v="955"/>
  </r>
  <r>
    <x v="7"/>
    <x v="2"/>
    <s v="NT"/>
    <s v="No agreement"/>
    <s v="More than 200% MBS Fee"/>
    <n v="303473"/>
    <n v="95320"/>
    <n v="31718"/>
    <n v="793"/>
  </r>
  <r>
    <x v="7"/>
    <x v="2"/>
    <s v="NT"/>
    <s v="No agreement"/>
    <s v="Up to MBS Fee"/>
    <n v="234394"/>
    <n v="178282"/>
    <n v="56112"/>
    <n v="3447"/>
  </r>
  <r>
    <x v="7"/>
    <x v="2"/>
    <s v="NT"/>
    <s v="No gap agreement"/>
    <s v="100% MBS Fee to 125% MBS Fee"/>
    <n v="176651"/>
    <n v="112692"/>
    <n v="63958"/>
    <n v="1997"/>
  </r>
  <r>
    <x v="7"/>
    <x v="2"/>
    <s v="NT"/>
    <s v="No gap agreement"/>
    <s v="More than 125% MBS Fee to 150% MBS Fee"/>
    <n v="742461"/>
    <n v="400431"/>
    <n v="342030"/>
    <n v="4502"/>
  </r>
  <r>
    <x v="7"/>
    <x v="2"/>
    <s v="NT"/>
    <s v="No gap agreement"/>
    <s v="More than 150% MBS Fee to 200% MBS Fee"/>
    <n v="120232"/>
    <n v="56809"/>
    <n v="63424"/>
    <n v="694"/>
  </r>
  <r>
    <x v="7"/>
    <x v="2"/>
    <s v="NT"/>
    <s v="No gap agreement"/>
    <s v="More than 200% MBS Fee"/>
    <n v="158672"/>
    <n v="46471"/>
    <n v="112200"/>
    <n v="180"/>
  </r>
  <r>
    <x v="7"/>
    <x v="2"/>
    <s v="NT"/>
    <s v="No gap agreement"/>
    <s v="Up to MBS Fee"/>
    <n v="25044"/>
    <n v="18856"/>
    <n v="6187"/>
    <n v="465"/>
  </r>
  <r>
    <x v="7"/>
    <x v="2"/>
    <s v="QLD"/>
    <s v="Known gap agreement"/>
    <s v="100% MBS Fee to 125% MBS Fee"/>
    <n v="418348"/>
    <n v="278200"/>
    <n v="114346"/>
    <n v="5268"/>
  </r>
  <r>
    <x v="7"/>
    <x v="2"/>
    <s v="QLD"/>
    <s v="Known gap agreement"/>
    <s v="More than 125% MBS Fee to 150% MBS Fee"/>
    <n v="1338190"/>
    <n v="718027"/>
    <n v="484304"/>
    <n v="6213"/>
  </r>
  <r>
    <x v="7"/>
    <x v="2"/>
    <s v="QLD"/>
    <s v="Known gap agreement"/>
    <s v="More than 150% MBS Fee to 200% MBS Fee"/>
    <n v="2959947"/>
    <n v="1287538"/>
    <n v="1091146"/>
    <n v="9641"/>
  </r>
  <r>
    <x v="7"/>
    <x v="2"/>
    <s v="QLD"/>
    <s v="Known gap agreement"/>
    <s v="More than 200% MBS Fee"/>
    <n v="2079427"/>
    <n v="627395"/>
    <n v="580059"/>
    <n v="7324"/>
  </r>
  <r>
    <x v="7"/>
    <x v="2"/>
    <s v="QLD"/>
    <s v="No agreement"/>
    <s v="100% MBS Fee to 125% MBS Fee"/>
    <n v="6129489"/>
    <n v="4110980"/>
    <n v="1437425"/>
    <n v="54195"/>
  </r>
  <r>
    <x v="7"/>
    <x v="2"/>
    <s v="QLD"/>
    <s v="No agreement"/>
    <s v="More than 125% MBS Fee to 150% MBS Fee"/>
    <n v="6509269"/>
    <n v="3560316"/>
    <n v="1195722"/>
    <n v="41588"/>
  </r>
  <r>
    <x v="7"/>
    <x v="2"/>
    <s v="QLD"/>
    <s v="No agreement"/>
    <s v="More than 150% MBS Fee to 200% MBS Fee"/>
    <n v="11449519"/>
    <n v="4999827"/>
    <n v="1670214"/>
    <n v="55881"/>
  </r>
  <r>
    <x v="7"/>
    <x v="2"/>
    <s v="QLD"/>
    <s v="No agreement"/>
    <s v="More than 200% MBS Fee"/>
    <n v="8066461"/>
    <n v="2418287"/>
    <n v="824390"/>
    <n v="26069"/>
  </r>
  <r>
    <x v="7"/>
    <x v="2"/>
    <s v="QLD"/>
    <s v="No agreement"/>
    <s v="Up to MBS Fee"/>
    <n v="11223423"/>
    <n v="8527411"/>
    <n v="2696013"/>
    <n v="161515"/>
  </r>
  <r>
    <x v="7"/>
    <x v="2"/>
    <s v="QLD"/>
    <s v="No gap agreement"/>
    <s v="100% MBS Fee to 125% MBS Fee"/>
    <n v="17356682"/>
    <n v="11196683"/>
    <n v="6158996"/>
    <n v="296066"/>
  </r>
  <r>
    <x v="7"/>
    <x v="2"/>
    <s v="QLD"/>
    <s v="No gap agreement"/>
    <s v="More than 125% MBS Fee to 150% MBS Fee"/>
    <n v="32439773"/>
    <n v="17574890"/>
    <n v="14864885"/>
    <n v="190621"/>
  </r>
  <r>
    <x v="7"/>
    <x v="2"/>
    <s v="QLD"/>
    <s v="No gap agreement"/>
    <s v="More than 150% MBS Fee to 200% MBS Fee"/>
    <n v="2311968"/>
    <n v="1102574"/>
    <n v="1209392"/>
    <n v="20994"/>
  </r>
  <r>
    <x v="7"/>
    <x v="2"/>
    <s v="QLD"/>
    <s v="No gap agreement"/>
    <s v="More than 200% MBS Fee"/>
    <n v="3132858"/>
    <n v="936321"/>
    <n v="2196540"/>
    <n v="3555"/>
  </r>
  <r>
    <x v="7"/>
    <x v="2"/>
    <s v="QLD"/>
    <s v="No gap agreement"/>
    <s v="Up to MBS Fee"/>
    <n v="737418"/>
    <n v="559661"/>
    <n v="178759"/>
    <n v="11296"/>
  </r>
  <r>
    <x v="7"/>
    <x v="2"/>
    <s v="SA"/>
    <s v="Known gap agreement"/>
    <s v="100% MBS Fee to 125% MBS Fee"/>
    <n v="627318"/>
    <n v="429118"/>
    <n v="173477"/>
    <n v="10846"/>
  </r>
  <r>
    <x v="7"/>
    <x v="2"/>
    <s v="SA"/>
    <s v="Known gap agreement"/>
    <s v="More than 125% MBS Fee to 150% MBS Fee"/>
    <n v="680852"/>
    <n v="367051"/>
    <n v="274128"/>
    <n v="3314"/>
  </r>
  <r>
    <x v="7"/>
    <x v="2"/>
    <s v="SA"/>
    <s v="Known gap agreement"/>
    <s v="More than 150% MBS Fee to 200% MBS Fee"/>
    <n v="522380"/>
    <n v="234423"/>
    <n v="204697"/>
    <n v="2663"/>
  </r>
  <r>
    <x v="7"/>
    <x v="2"/>
    <s v="SA"/>
    <s v="Known gap agreement"/>
    <s v="More than 200% MBS Fee"/>
    <n v="324096"/>
    <n v="71498"/>
    <n v="78752"/>
    <n v="630"/>
  </r>
  <r>
    <x v="7"/>
    <x v="2"/>
    <s v="SA"/>
    <s v="No agreement"/>
    <s v="100% MBS Fee to 125% MBS Fee"/>
    <n v="1579926"/>
    <n v="1060358"/>
    <n v="353941"/>
    <n v="19685"/>
  </r>
  <r>
    <x v="7"/>
    <x v="2"/>
    <s v="SA"/>
    <s v="No agreement"/>
    <s v="More than 125% MBS Fee to 150% MBS Fee"/>
    <n v="711008"/>
    <n v="385662"/>
    <n v="133302"/>
    <n v="4955"/>
  </r>
  <r>
    <x v="7"/>
    <x v="2"/>
    <s v="SA"/>
    <s v="No agreement"/>
    <s v="More than 150% MBS Fee to 200% MBS Fee"/>
    <n v="742844"/>
    <n v="326031"/>
    <n v="109758"/>
    <n v="4396"/>
  </r>
  <r>
    <x v="7"/>
    <x v="2"/>
    <s v="SA"/>
    <s v="No agreement"/>
    <s v="More than 200% MBS Fee"/>
    <n v="584734"/>
    <n v="170492"/>
    <n v="75390"/>
    <n v="2011"/>
  </r>
  <r>
    <x v="7"/>
    <x v="2"/>
    <s v="SA"/>
    <s v="No agreement"/>
    <s v="Up to MBS Fee"/>
    <n v="4168913"/>
    <n v="3140531"/>
    <n v="1028400"/>
    <n v="82028"/>
  </r>
  <r>
    <x v="7"/>
    <x v="2"/>
    <s v="SA"/>
    <s v="No gap agreement"/>
    <s v="100% MBS Fee to 125% MBS Fee"/>
    <n v="8128913"/>
    <n v="5331348"/>
    <n v="2797565"/>
    <n v="132822"/>
  </r>
  <r>
    <x v="7"/>
    <x v="2"/>
    <s v="SA"/>
    <s v="No gap agreement"/>
    <s v="More than 125% MBS Fee to 150% MBS Fee"/>
    <n v="18466064"/>
    <n v="10083230"/>
    <n v="8382835"/>
    <n v="86334"/>
  </r>
  <r>
    <x v="7"/>
    <x v="2"/>
    <s v="SA"/>
    <s v="No gap agreement"/>
    <s v="More than 150% MBS Fee to 200% MBS Fee"/>
    <n v="5557223"/>
    <n v="2711416"/>
    <n v="2845806"/>
    <n v="41465"/>
  </r>
  <r>
    <x v="7"/>
    <x v="2"/>
    <s v="SA"/>
    <s v="No gap agreement"/>
    <s v="More than 200% MBS Fee"/>
    <n v="1162707"/>
    <n v="357406"/>
    <n v="805301"/>
    <n v="1800"/>
  </r>
  <r>
    <x v="7"/>
    <x v="2"/>
    <s v="SA"/>
    <s v="No gap agreement"/>
    <s v="Up to MBS Fee"/>
    <n v="770440"/>
    <n v="585043"/>
    <n v="185429"/>
    <n v="5319"/>
  </r>
  <r>
    <x v="7"/>
    <x v="2"/>
    <s v="TAS"/>
    <s v="Known gap agreement"/>
    <s v="100% MBS Fee to 125% MBS Fee"/>
    <n v="30290"/>
    <n v="20190"/>
    <n v="7490"/>
    <n v="243"/>
  </r>
  <r>
    <x v="7"/>
    <x v="2"/>
    <s v="TAS"/>
    <s v="Known gap agreement"/>
    <s v="More than 125% MBS Fee to 150% MBS Fee"/>
    <n v="63277"/>
    <n v="33907"/>
    <n v="20956"/>
    <n v="262"/>
  </r>
  <r>
    <x v="7"/>
    <x v="2"/>
    <s v="TAS"/>
    <s v="Known gap agreement"/>
    <s v="More than 150% MBS Fee to 200% MBS Fee"/>
    <n v="122298"/>
    <n v="54301"/>
    <n v="42535"/>
    <n v="578"/>
  </r>
  <r>
    <x v="7"/>
    <x v="2"/>
    <s v="TAS"/>
    <s v="Known gap agreement"/>
    <s v="More than 200% MBS Fee"/>
    <n v="168467"/>
    <n v="41719"/>
    <n v="32932"/>
    <n v="532"/>
  </r>
  <r>
    <x v="7"/>
    <x v="2"/>
    <s v="TAS"/>
    <s v="No agreement"/>
    <s v="100% MBS Fee to 125% MBS Fee"/>
    <n v="547564"/>
    <n v="366708"/>
    <n v="125256"/>
    <n v="3938"/>
  </r>
  <r>
    <x v="7"/>
    <x v="2"/>
    <s v="TAS"/>
    <s v="No agreement"/>
    <s v="More than 125% MBS Fee to 150% MBS Fee"/>
    <n v="586654"/>
    <n v="321093"/>
    <n v="122871"/>
    <n v="3585"/>
  </r>
  <r>
    <x v="7"/>
    <x v="2"/>
    <s v="TAS"/>
    <s v="No agreement"/>
    <s v="More than 150% MBS Fee to 200% MBS Fee"/>
    <n v="721357"/>
    <n v="312080"/>
    <n v="106713"/>
    <n v="3891"/>
  </r>
  <r>
    <x v="7"/>
    <x v="2"/>
    <s v="TAS"/>
    <s v="No agreement"/>
    <s v="More than 200% MBS Fee"/>
    <n v="1282436"/>
    <n v="361620"/>
    <n v="129228"/>
    <n v="3318"/>
  </r>
  <r>
    <x v="7"/>
    <x v="2"/>
    <s v="TAS"/>
    <s v="No agreement"/>
    <s v="Up to MBS Fee"/>
    <n v="1657366"/>
    <n v="1260470"/>
    <n v="398303"/>
    <n v="25383"/>
  </r>
  <r>
    <x v="7"/>
    <x v="2"/>
    <s v="TAS"/>
    <s v="No gap agreement"/>
    <s v="100% MBS Fee to 125% MBS Fee"/>
    <n v="1969112"/>
    <n v="1273304"/>
    <n v="695809"/>
    <n v="27488"/>
  </r>
  <r>
    <x v="7"/>
    <x v="2"/>
    <s v="TAS"/>
    <s v="No gap agreement"/>
    <s v="More than 125% MBS Fee to 150% MBS Fee"/>
    <n v="3564756"/>
    <n v="1927402"/>
    <n v="1637354"/>
    <n v="19998"/>
  </r>
  <r>
    <x v="7"/>
    <x v="2"/>
    <s v="TAS"/>
    <s v="No gap agreement"/>
    <s v="More than 150% MBS Fee to 200% MBS Fee"/>
    <n v="662520"/>
    <n v="313850"/>
    <n v="348669"/>
    <n v="3541"/>
  </r>
  <r>
    <x v="7"/>
    <x v="2"/>
    <s v="TAS"/>
    <s v="No gap agreement"/>
    <s v="More than 200% MBS Fee"/>
    <n v="361283"/>
    <n v="107995"/>
    <n v="253289"/>
    <n v="370"/>
  </r>
  <r>
    <x v="7"/>
    <x v="2"/>
    <s v="TAS"/>
    <s v="No gap agreement"/>
    <s v="Up to MBS Fee"/>
    <n v="145498"/>
    <n v="110085"/>
    <n v="35412"/>
    <n v="1857"/>
  </r>
  <r>
    <x v="7"/>
    <x v="2"/>
    <s v="VIC"/>
    <s v="Known gap agreement"/>
    <s v="100% MBS Fee to 125% MBS Fee"/>
    <n v="1024942"/>
    <n v="675558"/>
    <n v="303681"/>
    <n v="5985"/>
  </r>
  <r>
    <x v="7"/>
    <x v="2"/>
    <s v="VIC"/>
    <s v="Known gap agreement"/>
    <s v="More than 125% MBS Fee to 150% MBS Fee"/>
    <n v="2906809"/>
    <n v="1562884"/>
    <n v="1015010"/>
    <n v="17852"/>
  </r>
  <r>
    <x v="7"/>
    <x v="2"/>
    <s v="VIC"/>
    <s v="Known gap agreement"/>
    <s v="More than 150% MBS Fee to 200% MBS Fee"/>
    <n v="4376969"/>
    <n v="1940987"/>
    <n v="1554343"/>
    <n v="21544"/>
  </r>
  <r>
    <x v="7"/>
    <x v="2"/>
    <s v="VIC"/>
    <s v="Known gap agreement"/>
    <s v="More than 200% MBS Fee"/>
    <n v="2868177"/>
    <n v="751544"/>
    <n v="712470"/>
    <n v="9478"/>
  </r>
  <r>
    <x v="7"/>
    <x v="2"/>
    <s v="VIC"/>
    <s v="No agreement"/>
    <s v="100% MBS Fee to 125% MBS Fee"/>
    <n v="5909495"/>
    <n v="3980990"/>
    <n v="1373618"/>
    <n v="47580"/>
  </r>
  <r>
    <x v="7"/>
    <x v="2"/>
    <s v="VIC"/>
    <s v="No agreement"/>
    <s v="More than 125% MBS Fee to 150% MBS Fee"/>
    <n v="5716256"/>
    <n v="3109388"/>
    <n v="1069224"/>
    <n v="38050"/>
  </r>
  <r>
    <x v="7"/>
    <x v="2"/>
    <s v="VIC"/>
    <s v="No agreement"/>
    <s v="More than 150% MBS Fee to 200% MBS Fee"/>
    <n v="8799581"/>
    <n v="3862661"/>
    <n v="1297131"/>
    <n v="54845"/>
  </r>
  <r>
    <x v="7"/>
    <x v="2"/>
    <s v="VIC"/>
    <s v="No agreement"/>
    <s v="More than 200% MBS Fee"/>
    <n v="6168551"/>
    <n v="1711055"/>
    <n v="586201"/>
    <n v="17436"/>
  </r>
  <r>
    <x v="7"/>
    <x v="2"/>
    <s v="VIC"/>
    <s v="No agreement"/>
    <s v="Up to MBS Fee"/>
    <n v="14306420"/>
    <n v="10798844"/>
    <n v="3508423"/>
    <n v="194291"/>
  </r>
  <r>
    <x v="7"/>
    <x v="2"/>
    <s v="VIC"/>
    <s v="No gap agreement"/>
    <s v="100% MBS Fee to 125% MBS Fee"/>
    <n v="22035190"/>
    <n v="13957267"/>
    <n v="8077923"/>
    <n v="270957"/>
  </r>
  <r>
    <x v="7"/>
    <x v="2"/>
    <s v="VIC"/>
    <s v="No gap agreement"/>
    <s v="More than 125% MBS Fee to 150% MBS Fee"/>
    <n v="48198669"/>
    <n v="26456851"/>
    <n v="21741821"/>
    <n v="379675"/>
  </r>
  <r>
    <x v="7"/>
    <x v="2"/>
    <s v="VIC"/>
    <s v="No gap agreement"/>
    <s v="More than 150% MBS Fee to 200% MBS Fee"/>
    <n v="9280214"/>
    <n v="4527785"/>
    <n v="4752409"/>
    <n v="74172"/>
  </r>
  <r>
    <x v="7"/>
    <x v="2"/>
    <s v="VIC"/>
    <s v="No gap agreement"/>
    <s v="More than 200% MBS Fee"/>
    <n v="2551368"/>
    <n v="798417"/>
    <n v="1752953"/>
    <n v="3139"/>
  </r>
  <r>
    <x v="7"/>
    <x v="2"/>
    <s v="VIC"/>
    <s v="No gap agreement"/>
    <s v="Up to MBS Fee"/>
    <n v="2554416"/>
    <n v="1933390"/>
    <n v="621355"/>
    <n v="22581"/>
  </r>
  <r>
    <x v="7"/>
    <x v="2"/>
    <s v="WA"/>
    <s v="Known gap agreement"/>
    <s v="100% MBS Fee to 125% MBS Fee"/>
    <n v="233116"/>
    <n v="154893"/>
    <n v="58834"/>
    <n v="2498"/>
  </r>
  <r>
    <x v="7"/>
    <x v="2"/>
    <s v="WA"/>
    <s v="Known gap agreement"/>
    <s v="More than 125% MBS Fee to 150% MBS Fee"/>
    <n v="675959"/>
    <n v="359832"/>
    <n v="241060"/>
    <n v="2712"/>
  </r>
  <r>
    <x v="7"/>
    <x v="2"/>
    <s v="WA"/>
    <s v="Known gap agreement"/>
    <s v="More than 150% MBS Fee to 200% MBS Fee"/>
    <n v="1422058"/>
    <n v="628556"/>
    <n v="531409"/>
    <n v="6363"/>
  </r>
  <r>
    <x v="7"/>
    <x v="2"/>
    <s v="WA"/>
    <s v="Known gap agreement"/>
    <s v="More than 200% MBS Fee"/>
    <n v="980477"/>
    <n v="270832"/>
    <n v="299281"/>
    <n v="2939"/>
  </r>
  <r>
    <x v="7"/>
    <x v="2"/>
    <s v="WA"/>
    <s v="No agreement"/>
    <s v="100% MBS Fee to 125% MBS Fee"/>
    <n v="2148132"/>
    <n v="1428346"/>
    <n v="469389"/>
    <n v="21011"/>
  </r>
  <r>
    <x v="7"/>
    <x v="2"/>
    <s v="WA"/>
    <s v="No agreement"/>
    <s v="More than 125% MBS Fee to 150% MBS Fee"/>
    <n v="2888104"/>
    <n v="1571585"/>
    <n v="533449"/>
    <n v="13953"/>
  </r>
  <r>
    <x v="7"/>
    <x v="2"/>
    <s v="WA"/>
    <s v="No agreement"/>
    <s v="More than 150% MBS Fee to 200% MBS Fee"/>
    <n v="3249160"/>
    <n v="1378935"/>
    <n v="482879"/>
    <n v="14467"/>
  </r>
  <r>
    <x v="7"/>
    <x v="2"/>
    <s v="WA"/>
    <s v="No agreement"/>
    <s v="More than 200% MBS Fee"/>
    <n v="2577792"/>
    <n v="601382"/>
    <n v="409311"/>
    <n v="7130"/>
  </r>
  <r>
    <x v="7"/>
    <x v="2"/>
    <s v="WA"/>
    <s v="No agreement"/>
    <s v="Up to MBS Fee"/>
    <n v="2932039"/>
    <n v="2226026"/>
    <n v="706013"/>
    <n v="34493"/>
  </r>
  <r>
    <x v="7"/>
    <x v="2"/>
    <s v="WA"/>
    <s v="No gap agreement"/>
    <s v="100% MBS Fee to 125% MBS Fee"/>
    <n v="9258241"/>
    <n v="6037241"/>
    <n v="3221002"/>
    <n v="97188"/>
  </r>
  <r>
    <x v="7"/>
    <x v="2"/>
    <s v="WA"/>
    <s v="No gap agreement"/>
    <s v="More than 125% MBS Fee to 150% MBS Fee"/>
    <n v="10922657"/>
    <n v="5968846"/>
    <n v="4953814"/>
    <n v="60459"/>
  </r>
  <r>
    <x v="7"/>
    <x v="2"/>
    <s v="WA"/>
    <s v="No gap agreement"/>
    <s v="More than 150% MBS Fee to 200% MBS Fee"/>
    <n v="6208259"/>
    <n v="2782032"/>
    <n v="3426227"/>
    <n v="40621"/>
  </r>
  <r>
    <x v="7"/>
    <x v="2"/>
    <s v="WA"/>
    <s v="No gap agreement"/>
    <s v="More than 200% MBS Fee"/>
    <n v="2585799"/>
    <n v="777440"/>
    <n v="1808359"/>
    <n v="5852"/>
  </r>
  <r>
    <x v="7"/>
    <x v="2"/>
    <s v="WA"/>
    <s v="No gap agreement"/>
    <s v="Up to MBS Fee"/>
    <n v="2984826"/>
    <n v="2260535"/>
    <n v="724290"/>
    <n v="41982"/>
  </r>
  <r>
    <x v="7"/>
    <x v="3"/>
    <s v="ACT"/>
    <s v="Known gap agreement"/>
    <s v="100% MBS Fee to 125% MBS Fee"/>
    <n v="0"/>
    <n v="0"/>
    <n v="0"/>
    <n v="0"/>
  </r>
  <r>
    <x v="7"/>
    <x v="3"/>
    <s v="ACT"/>
    <s v="Known gap agreement"/>
    <s v="More than 125% MBS Fee to 150% MBS Fee"/>
    <n v="0"/>
    <n v="0"/>
    <n v="0"/>
    <n v="0"/>
  </r>
  <r>
    <x v="7"/>
    <x v="3"/>
    <s v="ACT"/>
    <s v="Known gap agreement"/>
    <s v="More than 150% MBS Fee to 200% MBS Fee"/>
    <n v="0"/>
    <n v="0"/>
    <n v="0"/>
    <n v="0"/>
  </r>
  <r>
    <x v="7"/>
    <x v="3"/>
    <s v="ACT"/>
    <s v="Known gap agreement"/>
    <s v="More than 200% MBS Fee"/>
    <n v="0"/>
    <n v="0"/>
    <n v="0"/>
    <n v="0"/>
  </r>
  <r>
    <x v="7"/>
    <x v="3"/>
    <s v="ACT"/>
    <s v="No agreement"/>
    <s v="100% MBS Fee to 125% MBS Fee"/>
    <n v="0"/>
    <n v="0"/>
    <n v="0"/>
    <n v="0"/>
  </r>
  <r>
    <x v="7"/>
    <x v="3"/>
    <s v="ACT"/>
    <s v="No agreement"/>
    <s v="More than 125% MBS Fee to 150% MBS Fee"/>
    <n v="0"/>
    <n v="0"/>
    <n v="0"/>
    <n v="0"/>
  </r>
  <r>
    <x v="7"/>
    <x v="3"/>
    <s v="ACT"/>
    <s v="No agreement"/>
    <s v="More than 150% MBS Fee to 200% MBS Fee"/>
    <n v="0"/>
    <n v="0"/>
    <n v="0"/>
    <n v="0"/>
  </r>
  <r>
    <x v="7"/>
    <x v="3"/>
    <s v="ACT"/>
    <s v="No agreement"/>
    <s v="More than 200% MBS Fee"/>
    <n v="0"/>
    <n v="0"/>
    <n v="0"/>
    <n v="0"/>
  </r>
  <r>
    <x v="7"/>
    <x v="3"/>
    <s v="ACT"/>
    <s v="No agreement"/>
    <s v="Up to MBS Fee"/>
    <n v="0"/>
    <n v="0"/>
    <n v="0"/>
    <n v="0"/>
  </r>
  <r>
    <x v="7"/>
    <x v="3"/>
    <s v="ACT"/>
    <s v="No gap agreement"/>
    <s v="100% MBS Fee to 125% MBS Fee"/>
    <n v="0"/>
    <n v="0"/>
    <n v="0"/>
    <n v="0"/>
  </r>
  <r>
    <x v="7"/>
    <x v="3"/>
    <s v="ACT"/>
    <s v="No gap agreement"/>
    <s v="More than 125% MBS Fee to 150% MBS Fee"/>
    <n v="0"/>
    <n v="0"/>
    <n v="0"/>
    <n v="0"/>
  </r>
  <r>
    <x v="7"/>
    <x v="3"/>
    <s v="ACT"/>
    <s v="No gap agreement"/>
    <s v="More than 150% MBS Fee to 200% MBS Fee"/>
    <n v="0"/>
    <n v="0"/>
    <n v="0"/>
    <n v="0"/>
  </r>
  <r>
    <x v="7"/>
    <x v="3"/>
    <s v="ACT"/>
    <s v="No gap agreement"/>
    <s v="More than 200% MBS Fee"/>
    <n v="0"/>
    <n v="0"/>
    <n v="0"/>
    <n v="0"/>
  </r>
  <r>
    <x v="7"/>
    <x v="3"/>
    <s v="ACT"/>
    <s v="No gap agreement"/>
    <s v="Up to MBS Fee"/>
    <n v="0"/>
    <n v="0"/>
    <n v="0"/>
    <n v="0"/>
  </r>
  <r>
    <x v="7"/>
    <x v="3"/>
    <s v="NSW"/>
    <s v="Known gap agreement"/>
    <s v="100% MBS Fee to 125% MBS Fee"/>
    <n v="1096843"/>
    <n v="707357"/>
    <n v="344728"/>
    <n v="9967"/>
  </r>
  <r>
    <x v="7"/>
    <x v="3"/>
    <s v="NSW"/>
    <s v="Known gap agreement"/>
    <s v="More than 125% MBS Fee to 150% MBS Fee"/>
    <n v="2734624"/>
    <n v="1476428"/>
    <n v="1162509"/>
    <n v="15319"/>
  </r>
  <r>
    <x v="7"/>
    <x v="3"/>
    <s v="NSW"/>
    <s v="Known gap agreement"/>
    <s v="More than 150% MBS Fee to 200% MBS Fee"/>
    <n v="1194969"/>
    <n v="531547"/>
    <n v="457636"/>
    <n v="6018"/>
  </r>
  <r>
    <x v="7"/>
    <x v="3"/>
    <s v="NSW"/>
    <s v="Known gap agreement"/>
    <s v="More than 200% MBS Fee"/>
    <n v="1023215"/>
    <n v="289725"/>
    <n v="340616"/>
    <n v="3437"/>
  </r>
  <r>
    <x v="7"/>
    <x v="3"/>
    <s v="NSW"/>
    <s v="No agreement"/>
    <s v="100% MBS Fee to 125% MBS Fee"/>
    <n v="8432295"/>
    <n v="5682819"/>
    <n v="1927103"/>
    <n v="73135"/>
  </r>
  <r>
    <x v="7"/>
    <x v="3"/>
    <s v="NSW"/>
    <s v="No agreement"/>
    <s v="More than 125% MBS Fee to 150% MBS Fee"/>
    <n v="10141524"/>
    <n v="5514470"/>
    <n v="1870693"/>
    <n v="64536"/>
  </r>
  <r>
    <x v="7"/>
    <x v="3"/>
    <s v="NSW"/>
    <s v="No agreement"/>
    <s v="More than 150% MBS Fee to 200% MBS Fee"/>
    <n v="21965081"/>
    <n v="9493249"/>
    <n v="3204200"/>
    <n v="94637"/>
  </r>
  <r>
    <x v="7"/>
    <x v="3"/>
    <s v="NSW"/>
    <s v="No agreement"/>
    <s v="More than 200% MBS Fee"/>
    <n v="26079673"/>
    <n v="7430666"/>
    <n v="2724133"/>
    <n v="61469"/>
  </r>
  <r>
    <x v="7"/>
    <x v="3"/>
    <s v="NSW"/>
    <s v="No agreement"/>
    <s v="Up to MBS Fee"/>
    <n v="23680999"/>
    <n v="17826551"/>
    <n v="5854725"/>
    <n v="367805"/>
  </r>
  <r>
    <x v="7"/>
    <x v="3"/>
    <s v="NSW"/>
    <s v="No gap agreement"/>
    <s v="100% MBS Fee to 125% MBS Fee"/>
    <n v="17132641"/>
    <n v="11079341"/>
    <n v="6053301"/>
    <n v="209683"/>
  </r>
  <r>
    <x v="7"/>
    <x v="3"/>
    <s v="NSW"/>
    <s v="No gap agreement"/>
    <s v="More than 125% MBS Fee to 150% MBS Fee"/>
    <n v="27527646"/>
    <n v="14979960"/>
    <n v="12547687"/>
    <n v="167346"/>
  </r>
  <r>
    <x v="7"/>
    <x v="3"/>
    <s v="NSW"/>
    <s v="No gap agreement"/>
    <s v="More than 150% MBS Fee to 200% MBS Fee"/>
    <n v="1872176"/>
    <n v="887183"/>
    <n v="984992"/>
    <n v="9356"/>
  </r>
  <r>
    <x v="7"/>
    <x v="3"/>
    <s v="NSW"/>
    <s v="No gap agreement"/>
    <s v="More than 200% MBS Fee"/>
    <n v="3775897"/>
    <n v="1228639"/>
    <n v="2547258"/>
    <n v="5456"/>
  </r>
  <r>
    <x v="7"/>
    <x v="3"/>
    <s v="NSW"/>
    <s v="No gap agreement"/>
    <s v="Up to MBS Fee"/>
    <n v="1435109"/>
    <n v="1111106"/>
    <n v="324002"/>
    <n v="29076"/>
  </r>
  <r>
    <x v="7"/>
    <x v="3"/>
    <s v="NT"/>
    <s v="Known gap agreement"/>
    <s v="100% MBS Fee to 125% MBS Fee"/>
    <n v="19937"/>
    <n v="12136"/>
    <n v="7446"/>
    <n v="246"/>
  </r>
  <r>
    <x v="7"/>
    <x v="3"/>
    <s v="NT"/>
    <s v="Known gap agreement"/>
    <s v="More than 125% MBS Fee to 150% MBS Fee"/>
    <n v="84015"/>
    <n v="45061"/>
    <n v="37967"/>
    <n v="290"/>
  </r>
  <r>
    <x v="7"/>
    <x v="3"/>
    <s v="NT"/>
    <s v="Known gap agreement"/>
    <s v="More than 150% MBS Fee to 200% MBS Fee"/>
    <n v="13544"/>
    <n v="6142"/>
    <n v="5521"/>
    <n v="77"/>
  </r>
  <r>
    <x v="7"/>
    <x v="3"/>
    <s v="NT"/>
    <s v="Known gap agreement"/>
    <s v="More than 200% MBS Fee"/>
    <n v="10293"/>
    <n v="3133"/>
    <n v="3913"/>
    <n v="31"/>
  </r>
  <r>
    <x v="7"/>
    <x v="3"/>
    <s v="NT"/>
    <s v="No agreement"/>
    <s v="100% MBS Fee to 125% MBS Fee"/>
    <n v="98480"/>
    <n v="66868"/>
    <n v="22376"/>
    <n v="679"/>
  </r>
  <r>
    <x v="7"/>
    <x v="3"/>
    <s v="NT"/>
    <s v="No agreement"/>
    <s v="More than 125% MBS Fee to 150% MBS Fee"/>
    <n v="100596"/>
    <n v="54948"/>
    <n v="18346"/>
    <n v="592"/>
  </r>
  <r>
    <x v="7"/>
    <x v="3"/>
    <s v="NT"/>
    <s v="No agreement"/>
    <s v="More than 150% MBS Fee to 200% MBS Fee"/>
    <n v="211038"/>
    <n v="91624"/>
    <n v="30597"/>
    <n v="1226"/>
  </r>
  <r>
    <x v="7"/>
    <x v="3"/>
    <s v="NT"/>
    <s v="No agreement"/>
    <s v="More than 200% MBS Fee"/>
    <n v="299734"/>
    <n v="96879"/>
    <n v="31278"/>
    <n v="706"/>
  </r>
  <r>
    <x v="7"/>
    <x v="3"/>
    <s v="NT"/>
    <s v="No agreement"/>
    <s v="Up to MBS Fee"/>
    <n v="296598"/>
    <n v="223117"/>
    <n v="73481"/>
    <n v="4090"/>
  </r>
  <r>
    <x v="7"/>
    <x v="3"/>
    <s v="NT"/>
    <s v="No gap agreement"/>
    <s v="100% MBS Fee to 125% MBS Fee"/>
    <n v="226145"/>
    <n v="145387"/>
    <n v="80758"/>
    <n v="2904"/>
  </r>
  <r>
    <x v="7"/>
    <x v="3"/>
    <s v="NT"/>
    <s v="No gap agreement"/>
    <s v="More than 125% MBS Fee to 150% MBS Fee"/>
    <n v="629591"/>
    <n v="343589"/>
    <n v="286002"/>
    <n v="3736"/>
  </r>
  <r>
    <x v="7"/>
    <x v="3"/>
    <s v="NT"/>
    <s v="No gap agreement"/>
    <s v="More than 150% MBS Fee to 200% MBS Fee"/>
    <n v="127298"/>
    <n v="62634"/>
    <n v="64664"/>
    <n v="722"/>
  </r>
  <r>
    <x v="7"/>
    <x v="3"/>
    <s v="NT"/>
    <s v="No gap agreement"/>
    <s v="More than 200% MBS Fee"/>
    <n v="133085"/>
    <n v="43249"/>
    <n v="89836"/>
    <n v="233"/>
  </r>
  <r>
    <x v="7"/>
    <x v="3"/>
    <s v="NT"/>
    <s v="No gap agreement"/>
    <s v="Up to MBS Fee"/>
    <n v="43874"/>
    <n v="33325"/>
    <n v="10549"/>
    <n v="519"/>
  </r>
  <r>
    <x v="7"/>
    <x v="3"/>
    <s v="QLD"/>
    <s v="Known gap agreement"/>
    <s v="100% MBS Fee to 125% MBS Fee"/>
    <n v="884218"/>
    <n v="562365"/>
    <n v="304892"/>
    <n v="10431"/>
  </r>
  <r>
    <x v="7"/>
    <x v="3"/>
    <s v="QLD"/>
    <s v="Known gap agreement"/>
    <s v="More than 125% MBS Fee to 150% MBS Fee"/>
    <n v="2658737"/>
    <n v="1429994"/>
    <n v="1156190"/>
    <n v="12656"/>
  </r>
  <r>
    <x v="7"/>
    <x v="3"/>
    <s v="QLD"/>
    <s v="Known gap agreement"/>
    <s v="More than 150% MBS Fee to 200% MBS Fee"/>
    <n v="1524894"/>
    <n v="669935"/>
    <n v="595996"/>
    <n v="7040"/>
  </r>
  <r>
    <x v="7"/>
    <x v="3"/>
    <s v="QLD"/>
    <s v="Known gap agreement"/>
    <s v="More than 200% MBS Fee"/>
    <n v="1117937"/>
    <n v="332131"/>
    <n v="376440"/>
    <n v="3801"/>
  </r>
  <r>
    <x v="7"/>
    <x v="3"/>
    <s v="QLD"/>
    <s v="No agreement"/>
    <s v="100% MBS Fee to 125% MBS Fee"/>
    <n v="6563491"/>
    <n v="4384694"/>
    <n v="1532852"/>
    <n v="57999"/>
  </r>
  <r>
    <x v="7"/>
    <x v="3"/>
    <s v="QLD"/>
    <s v="No agreement"/>
    <s v="More than 125% MBS Fee to 150% MBS Fee"/>
    <n v="6822643"/>
    <n v="3731891"/>
    <n v="1255563"/>
    <n v="42867"/>
  </r>
  <r>
    <x v="7"/>
    <x v="3"/>
    <s v="QLD"/>
    <s v="No agreement"/>
    <s v="More than 150% MBS Fee to 200% MBS Fee"/>
    <n v="10847386"/>
    <n v="4731998"/>
    <n v="1595319"/>
    <n v="54697"/>
  </r>
  <r>
    <x v="7"/>
    <x v="3"/>
    <s v="QLD"/>
    <s v="No agreement"/>
    <s v="More than 200% MBS Fee"/>
    <n v="7278169"/>
    <n v="2244533"/>
    <n v="767590"/>
    <n v="24231"/>
  </r>
  <r>
    <x v="7"/>
    <x v="3"/>
    <s v="QLD"/>
    <s v="No agreement"/>
    <s v="Up to MBS Fee"/>
    <n v="11269772"/>
    <n v="8481958"/>
    <n v="2787780"/>
    <n v="159092"/>
  </r>
  <r>
    <x v="7"/>
    <x v="3"/>
    <s v="QLD"/>
    <s v="No gap agreement"/>
    <s v="100% MBS Fee to 125% MBS Fee"/>
    <n v="14973763"/>
    <n v="9690690"/>
    <n v="5283073"/>
    <n v="266944"/>
  </r>
  <r>
    <x v="7"/>
    <x v="3"/>
    <s v="QLD"/>
    <s v="No gap agreement"/>
    <s v="More than 125% MBS Fee to 150% MBS Fee"/>
    <n v="22834629"/>
    <n v="12415444"/>
    <n v="10419184"/>
    <n v="129870"/>
  </r>
  <r>
    <x v="7"/>
    <x v="3"/>
    <s v="QLD"/>
    <s v="No gap agreement"/>
    <s v="More than 150% MBS Fee to 200% MBS Fee"/>
    <n v="2105931"/>
    <n v="1006273"/>
    <n v="1099657"/>
    <n v="13287"/>
  </r>
  <r>
    <x v="7"/>
    <x v="3"/>
    <s v="QLD"/>
    <s v="No gap agreement"/>
    <s v="More than 200% MBS Fee"/>
    <n v="2723453"/>
    <n v="878317"/>
    <n v="1845136"/>
    <n v="4472"/>
  </r>
  <r>
    <x v="7"/>
    <x v="3"/>
    <s v="QLD"/>
    <s v="No gap agreement"/>
    <s v="Up to MBS Fee"/>
    <n v="681482"/>
    <n v="547182"/>
    <n v="134301"/>
    <n v="12152"/>
  </r>
  <r>
    <x v="7"/>
    <x v="3"/>
    <s v="SA"/>
    <s v="Known gap agreement"/>
    <s v="100% MBS Fee to 125% MBS Fee"/>
    <n v="321953"/>
    <n v="203882"/>
    <n v="105658"/>
    <n v="2668"/>
  </r>
  <r>
    <x v="7"/>
    <x v="3"/>
    <s v="SA"/>
    <s v="Known gap agreement"/>
    <s v="More than 125% MBS Fee to 150% MBS Fee"/>
    <n v="622644"/>
    <n v="339493"/>
    <n v="269050"/>
    <n v="2752"/>
  </r>
  <r>
    <x v="7"/>
    <x v="3"/>
    <s v="SA"/>
    <s v="Known gap agreement"/>
    <s v="More than 150% MBS Fee to 200% MBS Fee"/>
    <n v="340165"/>
    <n v="159262"/>
    <n v="154169"/>
    <n v="2096"/>
  </r>
  <r>
    <x v="7"/>
    <x v="3"/>
    <s v="SA"/>
    <s v="Known gap agreement"/>
    <s v="More than 200% MBS Fee"/>
    <n v="96577"/>
    <n v="26556"/>
    <n v="32557"/>
    <n v="223"/>
  </r>
  <r>
    <x v="7"/>
    <x v="3"/>
    <s v="SA"/>
    <s v="No agreement"/>
    <s v="100% MBS Fee to 125% MBS Fee"/>
    <n v="1593590"/>
    <n v="1068336"/>
    <n v="355949"/>
    <n v="19050"/>
  </r>
  <r>
    <x v="7"/>
    <x v="3"/>
    <s v="SA"/>
    <s v="No agreement"/>
    <s v="More than 125% MBS Fee to 150% MBS Fee"/>
    <n v="678301"/>
    <n v="367886"/>
    <n v="126665"/>
    <n v="4786"/>
  </r>
  <r>
    <x v="7"/>
    <x v="3"/>
    <s v="SA"/>
    <s v="No agreement"/>
    <s v="More than 150% MBS Fee to 200% MBS Fee"/>
    <n v="839802"/>
    <n v="365541"/>
    <n v="128186"/>
    <n v="4418"/>
  </r>
  <r>
    <x v="7"/>
    <x v="3"/>
    <s v="SA"/>
    <s v="No agreement"/>
    <s v="More than 200% MBS Fee"/>
    <n v="525464"/>
    <n v="154145"/>
    <n v="57298"/>
    <n v="1749"/>
  </r>
  <r>
    <x v="7"/>
    <x v="3"/>
    <s v="SA"/>
    <s v="No agreement"/>
    <s v="Up to MBS Fee"/>
    <n v="4205836"/>
    <n v="3163949"/>
    <n v="1042024"/>
    <n v="80433"/>
  </r>
  <r>
    <x v="7"/>
    <x v="3"/>
    <s v="SA"/>
    <s v="No gap agreement"/>
    <s v="100% MBS Fee to 125% MBS Fee"/>
    <n v="7363672"/>
    <n v="4803858"/>
    <n v="2559814"/>
    <n v="111014"/>
  </r>
  <r>
    <x v="7"/>
    <x v="3"/>
    <s v="SA"/>
    <s v="No gap agreement"/>
    <s v="More than 125% MBS Fee to 150% MBS Fee"/>
    <n v="15008093"/>
    <n v="8199975"/>
    <n v="6808116"/>
    <n v="68730"/>
  </r>
  <r>
    <x v="7"/>
    <x v="3"/>
    <s v="SA"/>
    <s v="No gap agreement"/>
    <s v="More than 150% MBS Fee to 200% MBS Fee"/>
    <n v="4651426"/>
    <n v="2274081"/>
    <n v="2377343"/>
    <n v="33533"/>
  </r>
  <r>
    <x v="7"/>
    <x v="3"/>
    <s v="SA"/>
    <s v="No gap agreement"/>
    <s v="More than 200% MBS Fee"/>
    <n v="999098"/>
    <n v="329965"/>
    <n v="669133"/>
    <n v="1686"/>
  </r>
  <r>
    <x v="7"/>
    <x v="3"/>
    <s v="SA"/>
    <s v="No gap agreement"/>
    <s v="Up to MBS Fee"/>
    <n v="1380009"/>
    <n v="1061359"/>
    <n v="318672"/>
    <n v="12073"/>
  </r>
  <r>
    <x v="7"/>
    <x v="3"/>
    <s v="TAS"/>
    <s v="Known gap agreement"/>
    <s v="100% MBS Fee to 125% MBS Fee"/>
    <n v="64761"/>
    <n v="40919"/>
    <n v="22963"/>
    <n v="742"/>
  </r>
  <r>
    <x v="7"/>
    <x v="3"/>
    <s v="TAS"/>
    <s v="Known gap agreement"/>
    <s v="More than 125% MBS Fee to 150% MBS Fee"/>
    <n v="339386"/>
    <n v="181863"/>
    <n v="153794"/>
    <n v="1987"/>
  </r>
  <r>
    <x v="7"/>
    <x v="3"/>
    <s v="TAS"/>
    <s v="Known gap agreement"/>
    <s v="More than 150% MBS Fee to 200% MBS Fee"/>
    <n v="107409"/>
    <n v="49501"/>
    <n v="45788"/>
    <n v="1015"/>
  </r>
  <r>
    <x v="7"/>
    <x v="3"/>
    <s v="TAS"/>
    <s v="Known gap agreement"/>
    <s v="More than 200% MBS Fee"/>
    <n v="84646"/>
    <n v="22522"/>
    <n v="22048"/>
    <n v="307"/>
  </r>
  <r>
    <x v="7"/>
    <x v="3"/>
    <s v="TAS"/>
    <s v="No agreement"/>
    <s v="100% MBS Fee to 125% MBS Fee"/>
    <n v="559915"/>
    <n v="375164"/>
    <n v="124389"/>
    <n v="4377"/>
  </r>
  <r>
    <x v="7"/>
    <x v="3"/>
    <s v="TAS"/>
    <s v="No agreement"/>
    <s v="More than 125% MBS Fee to 150% MBS Fee"/>
    <n v="524596"/>
    <n v="286424"/>
    <n v="97479"/>
    <n v="3977"/>
  </r>
  <r>
    <x v="7"/>
    <x v="3"/>
    <s v="TAS"/>
    <s v="No agreement"/>
    <s v="More than 150% MBS Fee to 200% MBS Fee"/>
    <n v="662813"/>
    <n v="290685"/>
    <n v="99287"/>
    <n v="3633"/>
  </r>
  <r>
    <x v="7"/>
    <x v="3"/>
    <s v="TAS"/>
    <s v="No agreement"/>
    <s v="More than 200% MBS Fee"/>
    <n v="1138531"/>
    <n v="307399"/>
    <n v="103189"/>
    <n v="3288"/>
  </r>
  <r>
    <x v="7"/>
    <x v="3"/>
    <s v="TAS"/>
    <s v="No agreement"/>
    <s v="Up to MBS Fee"/>
    <n v="1431595"/>
    <n v="1078933"/>
    <n v="352662"/>
    <n v="20613"/>
  </r>
  <r>
    <x v="7"/>
    <x v="3"/>
    <s v="TAS"/>
    <s v="No gap agreement"/>
    <s v="100% MBS Fee to 125% MBS Fee"/>
    <n v="1697263"/>
    <n v="1101096"/>
    <n v="596166"/>
    <n v="22297"/>
  </r>
  <r>
    <x v="7"/>
    <x v="3"/>
    <s v="TAS"/>
    <s v="No gap agreement"/>
    <s v="More than 125% MBS Fee to 150% MBS Fee"/>
    <n v="2169385"/>
    <n v="1179982"/>
    <n v="989403"/>
    <n v="10455"/>
  </r>
  <r>
    <x v="7"/>
    <x v="3"/>
    <s v="TAS"/>
    <s v="No gap agreement"/>
    <s v="More than 150% MBS Fee to 200% MBS Fee"/>
    <n v="392944"/>
    <n v="189977"/>
    <n v="202968"/>
    <n v="1938"/>
  </r>
  <r>
    <x v="7"/>
    <x v="3"/>
    <s v="TAS"/>
    <s v="No gap agreement"/>
    <s v="More than 200% MBS Fee"/>
    <n v="278714"/>
    <n v="89309"/>
    <n v="189405"/>
    <n v="396"/>
  </r>
  <r>
    <x v="7"/>
    <x v="3"/>
    <s v="TAS"/>
    <s v="No gap agreement"/>
    <s v="Up to MBS Fee"/>
    <n v="161818"/>
    <n v="128092"/>
    <n v="33725"/>
    <n v="2681"/>
  </r>
  <r>
    <x v="7"/>
    <x v="3"/>
    <s v="VIC"/>
    <s v="Known gap agreement"/>
    <s v="100% MBS Fee to 125% MBS Fee"/>
    <n v="1445860"/>
    <n v="921494"/>
    <n v="488139"/>
    <n v="12841"/>
  </r>
  <r>
    <x v="7"/>
    <x v="3"/>
    <s v="VIC"/>
    <s v="Known gap agreement"/>
    <s v="More than 125% MBS Fee to 150% MBS Fee"/>
    <n v="4018689"/>
    <n v="2159982"/>
    <n v="1680480"/>
    <n v="20156"/>
  </r>
  <r>
    <x v="7"/>
    <x v="3"/>
    <s v="VIC"/>
    <s v="Known gap agreement"/>
    <s v="More than 150% MBS Fee to 200% MBS Fee"/>
    <n v="2534091"/>
    <n v="1132997"/>
    <n v="898011"/>
    <n v="14490"/>
  </r>
  <r>
    <x v="7"/>
    <x v="3"/>
    <s v="VIC"/>
    <s v="Known gap agreement"/>
    <s v="More than 200% MBS Fee"/>
    <n v="1427101"/>
    <n v="416205"/>
    <n v="394796"/>
    <n v="5367"/>
  </r>
  <r>
    <x v="7"/>
    <x v="3"/>
    <s v="VIC"/>
    <s v="No agreement"/>
    <s v="100% MBS Fee to 125% MBS Fee"/>
    <n v="5677454"/>
    <n v="3834093"/>
    <n v="1305538"/>
    <n v="47158"/>
  </r>
  <r>
    <x v="7"/>
    <x v="3"/>
    <s v="VIC"/>
    <s v="No agreement"/>
    <s v="More than 125% MBS Fee to 150% MBS Fee"/>
    <n v="5489190"/>
    <n v="2988401"/>
    <n v="1021599"/>
    <n v="36651"/>
  </r>
  <r>
    <x v="7"/>
    <x v="3"/>
    <s v="VIC"/>
    <s v="No agreement"/>
    <s v="More than 150% MBS Fee to 200% MBS Fee"/>
    <n v="7438330"/>
    <n v="3256652"/>
    <n v="1092978"/>
    <n v="40481"/>
  </r>
  <r>
    <x v="7"/>
    <x v="3"/>
    <s v="VIC"/>
    <s v="No agreement"/>
    <s v="More than 200% MBS Fee"/>
    <n v="5417872"/>
    <n v="1519579"/>
    <n v="522093"/>
    <n v="14999"/>
  </r>
  <r>
    <x v="7"/>
    <x v="3"/>
    <s v="VIC"/>
    <s v="No agreement"/>
    <s v="Up to MBS Fee"/>
    <n v="13758843"/>
    <n v="10362164"/>
    <n v="3396309"/>
    <n v="192355"/>
  </r>
  <r>
    <x v="7"/>
    <x v="3"/>
    <s v="VIC"/>
    <s v="No gap agreement"/>
    <s v="100% MBS Fee to 125% MBS Fee"/>
    <n v="19027361"/>
    <n v="12004682"/>
    <n v="7022677"/>
    <n v="240567"/>
  </r>
  <r>
    <x v="7"/>
    <x v="3"/>
    <s v="VIC"/>
    <s v="No gap agreement"/>
    <s v="More than 125% MBS Fee to 150% MBS Fee"/>
    <n v="32523872"/>
    <n v="17872771"/>
    <n v="14651100"/>
    <n v="257547"/>
  </r>
  <r>
    <x v="7"/>
    <x v="3"/>
    <s v="VIC"/>
    <s v="No gap agreement"/>
    <s v="More than 150% MBS Fee to 200% MBS Fee"/>
    <n v="7983795"/>
    <n v="3912023"/>
    <n v="4071774"/>
    <n v="63189"/>
  </r>
  <r>
    <x v="7"/>
    <x v="3"/>
    <s v="VIC"/>
    <s v="No gap agreement"/>
    <s v="More than 200% MBS Fee"/>
    <n v="2386789"/>
    <n v="809875"/>
    <n v="1576913"/>
    <n v="4309"/>
  </r>
  <r>
    <x v="7"/>
    <x v="3"/>
    <s v="VIC"/>
    <s v="No gap agreement"/>
    <s v="Up to MBS Fee"/>
    <n v="2060974"/>
    <n v="1564801"/>
    <n v="496175"/>
    <n v="17651"/>
  </r>
  <r>
    <x v="7"/>
    <x v="3"/>
    <s v="WA"/>
    <s v="Known gap agreement"/>
    <s v="100% MBS Fee to 125% MBS Fee"/>
    <n v="338729"/>
    <n v="221485"/>
    <n v="105562"/>
    <n v="3138"/>
  </r>
  <r>
    <x v="7"/>
    <x v="3"/>
    <s v="WA"/>
    <s v="Known gap agreement"/>
    <s v="More than 125% MBS Fee to 150% MBS Fee"/>
    <n v="1043434"/>
    <n v="562370"/>
    <n v="438879"/>
    <n v="4258"/>
  </r>
  <r>
    <x v="7"/>
    <x v="3"/>
    <s v="WA"/>
    <s v="Known gap agreement"/>
    <s v="More than 150% MBS Fee to 200% MBS Fee"/>
    <n v="789679"/>
    <n v="349475"/>
    <n v="296626"/>
    <n v="4528"/>
  </r>
  <r>
    <x v="7"/>
    <x v="3"/>
    <s v="WA"/>
    <s v="Known gap agreement"/>
    <s v="More than 200% MBS Fee"/>
    <n v="561011"/>
    <n v="162020"/>
    <n v="174567"/>
    <n v="1816"/>
  </r>
  <r>
    <x v="7"/>
    <x v="3"/>
    <s v="WA"/>
    <s v="No agreement"/>
    <s v="100% MBS Fee to 125% MBS Fee"/>
    <n v="2024966"/>
    <n v="1343812"/>
    <n v="450047"/>
    <n v="19593"/>
  </r>
  <r>
    <x v="7"/>
    <x v="3"/>
    <s v="WA"/>
    <s v="No agreement"/>
    <s v="More than 125% MBS Fee to 150% MBS Fee"/>
    <n v="2724036"/>
    <n v="1481660"/>
    <n v="524990"/>
    <n v="12702"/>
  </r>
  <r>
    <x v="7"/>
    <x v="3"/>
    <s v="WA"/>
    <s v="No agreement"/>
    <s v="More than 150% MBS Fee to 200% MBS Fee"/>
    <n v="2877063"/>
    <n v="1249270"/>
    <n v="449525"/>
    <n v="12936"/>
  </r>
  <r>
    <x v="7"/>
    <x v="3"/>
    <s v="WA"/>
    <s v="No agreement"/>
    <s v="More than 200% MBS Fee"/>
    <n v="2320919"/>
    <n v="581549"/>
    <n v="324836"/>
    <n v="6235"/>
  </r>
  <r>
    <x v="7"/>
    <x v="3"/>
    <s v="WA"/>
    <s v="No agreement"/>
    <s v="Up to MBS Fee"/>
    <n v="2716887"/>
    <n v="2051794"/>
    <n v="665092"/>
    <n v="32885"/>
  </r>
  <r>
    <x v="7"/>
    <x v="3"/>
    <s v="WA"/>
    <s v="No gap agreement"/>
    <s v="100% MBS Fee to 125% MBS Fee"/>
    <n v="8118296"/>
    <n v="5288661"/>
    <n v="2829634"/>
    <n v="88374"/>
  </r>
  <r>
    <x v="7"/>
    <x v="3"/>
    <s v="WA"/>
    <s v="No gap agreement"/>
    <s v="More than 125% MBS Fee to 150% MBS Fee"/>
    <n v="8453795"/>
    <n v="4611409"/>
    <n v="3842386"/>
    <n v="45471"/>
  </r>
  <r>
    <x v="7"/>
    <x v="3"/>
    <s v="WA"/>
    <s v="No gap agreement"/>
    <s v="More than 150% MBS Fee to 200% MBS Fee"/>
    <n v="5162527"/>
    <n v="2304138"/>
    <n v="2858389"/>
    <n v="31647"/>
  </r>
  <r>
    <x v="7"/>
    <x v="3"/>
    <s v="WA"/>
    <s v="No gap agreement"/>
    <s v="More than 200% MBS Fee"/>
    <n v="2193433"/>
    <n v="657211"/>
    <n v="1536223"/>
    <n v="5015"/>
  </r>
  <r>
    <x v="7"/>
    <x v="3"/>
    <s v="WA"/>
    <s v="No gap agreement"/>
    <s v="Up to MBS Fee"/>
    <n v="2725786"/>
    <n v="2066457"/>
    <n v="659328"/>
    <n v="38234"/>
  </r>
  <r>
    <x v="7"/>
    <x v="1"/>
    <s v="ACT"/>
    <s v="Known gap agreement"/>
    <s v="100% MBS Fee to 125% MBS Fee"/>
    <n v="0"/>
    <n v="0"/>
    <n v="0"/>
    <n v="0"/>
  </r>
  <r>
    <x v="7"/>
    <x v="1"/>
    <s v="ACT"/>
    <s v="Known gap agreement"/>
    <s v="More than 125% MBS Fee to 150% MBS Fee"/>
    <n v="0"/>
    <n v="0"/>
    <n v="0"/>
    <n v="0"/>
  </r>
  <r>
    <x v="7"/>
    <x v="1"/>
    <s v="ACT"/>
    <s v="Known gap agreement"/>
    <s v="More than 150% MBS Fee to 200% MBS Fee"/>
    <n v="0"/>
    <n v="0"/>
    <n v="0"/>
    <n v="0"/>
  </r>
  <r>
    <x v="7"/>
    <x v="1"/>
    <s v="ACT"/>
    <s v="Known gap agreement"/>
    <s v="More than 200% MBS Fee"/>
    <n v="0"/>
    <n v="0"/>
    <n v="0"/>
    <n v="0"/>
  </r>
  <r>
    <x v="7"/>
    <x v="1"/>
    <s v="ACT"/>
    <s v="No agreement"/>
    <s v="100% MBS Fee to 125% MBS Fee"/>
    <n v="0"/>
    <n v="0"/>
    <n v="0"/>
    <n v="0"/>
  </r>
  <r>
    <x v="7"/>
    <x v="1"/>
    <s v="ACT"/>
    <s v="No agreement"/>
    <s v="More than 125% MBS Fee to 150% MBS Fee"/>
    <n v="0"/>
    <n v="0"/>
    <n v="0"/>
    <n v="0"/>
  </r>
  <r>
    <x v="7"/>
    <x v="1"/>
    <s v="ACT"/>
    <s v="No agreement"/>
    <s v="More than 150% MBS Fee to 200% MBS Fee"/>
    <n v="0"/>
    <n v="0"/>
    <n v="0"/>
    <n v="0"/>
  </r>
  <r>
    <x v="7"/>
    <x v="1"/>
    <s v="ACT"/>
    <s v="No agreement"/>
    <s v="More than 200% MBS Fee"/>
    <n v="0"/>
    <n v="0"/>
    <n v="0"/>
    <n v="0"/>
  </r>
  <r>
    <x v="7"/>
    <x v="1"/>
    <s v="ACT"/>
    <s v="No agreement"/>
    <s v="Up to MBS Fee"/>
    <n v="0"/>
    <n v="0"/>
    <n v="0"/>
    <n v="0"/>
  </r>
  <r>
    <x v="7"/>
    <x v="1"/>
    <s v="ACT"/>
    <s v="No gap agreement"/>
    <s v="100% MBS Fee to 125% MBS Fee"/>
    <n v="0"/>
    <n v="0"/>
    <n v="0"/>
    <n v="0"/>
  </r>
  <r>
    <x v="7"/>
    <x v="1"/>
    <s v="ACT"/>
    <s v="No gap agreement"/>
    <s v="More than 125% MBS Fee to 150% MBS Fee"/>
    <n v="0"/>
    <n v="0"/>
    <n v="0"/>
    <n v="0"/>
  </r>
  <r>
    <x v="7"/>
    <x v="1"/>
    <s v="ACT"/>
    <s v="No gap agreement"/>
    <s v="More than 150% MBS Fee to 200% MBS Fee"/>
    <n v="0"/>
    <n v="0"/>
    <n v="0"/>
    <n v="0"/>
  </r>
  <r>
    <x v="7"/>
    <x v="1"/>
    <s v="ACT"/>
    <s v="No gap agreement"/>
    <s v="More than 200% MBS Fee"/>
    <n v="0"/>
    <n v="0"/>
    <n v="0"/>
    <n v="0"/>
  </r>
  <r>
    <x v="7"/>
    <x v="1"/>
    <s v="ACT"/>
    <s v="No gap agreement"/>
    <s v="Up to MBS Fee"/>
    <n v="0"/>
    <n v="0"/>
    <n v="0"/>
    <n v="0"/>
  </r>
  <r>
    <x v="7"/>
    <x v="1"/>
    <s v="NSW"/>
    <s v="Known gap agreement"/>
    <s v="100% MBS Fee to 125% MBS Fee"/>
    <n v="811457"/>
    <n v="532950"/>
    <n v="230241"/>
    <n v="6834"/>
  </r>
  <r>
    <x v="7"/>
    <x v="1"/>
    <s v="NSW"/>
    <s v="Known gap agreement"/>
    <s v="More than 125% MBS Fee to 150% MBS Fee"/>
    <n v="1802789"/>
    <n v="972732"/>
    <n v="641259"/>
    <n v="13000"/>
  </r>
  <r>
    <x v="7"/>
    <x v="1"/>
    <s v="NSW"/>
    <s v="Known gap agreement"/>
    <s v="More than 150% MBS Fee to 200% MBS Fee"/>
    <n v="1723652"/>
    <n v="751205"/>
    <n v="607607"/>
    <n v="7255"/>
  </r>
  <r>
    <x v="7"/>
    <x v="1"/>
    <s v="NSW"/>
    <s v="Known gap agreement"/>
    <s v="More than 200% MBS Fee"/>
    <n v="2966538"/>
    <n v="604593"/>
    <n v="813727"/>
    <n v="8488"/>
  </r>
  <r>
    <x v="7"/>
    <x v="1"/>
    <s v="NSW"/>
    <s v="No agreement"/>
    <s v="100% MBS Fee to 125% MBS Fee"/>
    <n v="8243424"/>
    <n v="5561753"/>
    <n v="1889504"/>
    <n v="74593"/>
  </r>
  <r>
    <x v="7"/>
    <x v="1"/>
    <s v="NSW"/>
    <s v="No agreement"/>
    <s v="More than 125% MBS Fee to 150% MBS Fee"/>
    <n v="9951206"/>
    <n v="5401353"/>
    <n v="1828881"/>
    <n v="63584"/>
  </r>
  <r>
    <x v="7"/>
    <x v="1"/>
    <s v="NSW"/>
    <s v="No agreement"/>
    <s v="More than 150% MBS Fee to 200% MBS Fee"/>
    <n v="24641633"/>
    <n v="10597361"/>
    <n v="3574848"/>
    <n v="107042"/>
  </r>
  <r>
    <x v="7"/>
    <x v="1"/>
    <s v="NSW"/>
    <s v="No agreement"/>
    <s v="More than 200% MBS Fee"/>
    <n v="33411774"/>
    <n v="9483487"/>
    <n v="3359265"/>
    <n v="80818"/>
  </r>
  <r>
    <x v="7"/>
    <x v="1"/>
    <s v="NSW"/>
    <s v="No agreement"/>
    <s v="Up to MBS Fee"/>
    <n v="23952395"/>
    <n v="18112584"/>
    <n v="5839923"/>
    <n v="397270"/>
  </r>
  <r>
    <x v="7"/>
    <x v="1"/>
    <s v="NSW"/>
    <s v="No gap agreement"/>
    <s v="100% MBS Fee to 125% MBS Fee"/>
    <n v="22848914"/>
    <n v="14732215"/>
    <n v="8116699"/>
    <n v="286078"/>
  </r>
  <r>
    <x v="7"/>
    <x v="1"/>
    <s v="NSW"/>
    <s v="No gap agreement"/>
    <s v="More than 125% MBS Fee to 150% MBS Fee"/>
    <n v="38411197"/>
    <n v="20786211"/>
    <n v="17624986"/>
    <n v="238356"/>
  </r>
  <r>
    <x v="7"/>
    <x v="1"/>
    <s v="NSW"/>
    <s v="No gap agreement"/>
    <s v="More than 150% MBS Fee to 200% MBS Fee"/>
    <n v="3305660"/>
    <n v="1553467"/>
    <n v="1752191"/>
    <n v="18141"/>
  </r>
  <r>
    <x v="7"/>
    <x v="1"/>
    <s v="NSW"/>
    <s v="No gap agreement"/>
    <s v="More than 200% MBS Fee"/>
    <n v="5195344"/>
    <n v="1352284"/>
    <n v="3843059"/>
    <n v="5129"/>
  </r>
  <r>
    <x v="7"/>
    <x v="1"/>
    <s v="NSW"/>
    <s v="No gap agreement"/>
    <s v="Up to MBS Fee"/>
    <n v="1552118"/>
    <n v="1170303"/>
    <n v="381813"/>
    <n v="28896"/>
  </r>
  <r>
    <x v="7"/>
    <x v="1"/>
    <s v="NT"/>
    <s v="Known gap agreement"/>
    <s v="100% MBS Fee to 125% MBS Fee"/>
    <n v="827"/>
    <n v="506"/>
    <n v="259"/>
    <n v="8"/>
  </r>
  <r>
    <x v="7"/>
    <x v="1"/>
    <s v="NT"/>
    <s v="Known gap agreement"/>
    <s v="More than 125% MBS Fee to 150% MBS Fee"/>
    <n v="14598"/>
    <n v="7802"/>
    <n v="4957"/>
    <n v="62"/>
  </r>
  <r>
    <x v="7"/>
    <x v="1"/>
    <s v="NT"/>
    <s v="Known gap agreement"/>
    <s v="More than 150% MBS Fee to 200% MBS Fee"/>
    <n v="33717"/>
    <n v="14565"/>
    <n v="12197"/>
    <n v="100"/>
  </r>
  <r>
    <x v="7"/>
    <x v="1"/>
    <s v="NT"/>
    <s v="Known gap agreement"/>
    <s v="More than 200% MBS Fee"/>
    <n v="34045"/>
    <n v="9054"/>
    <n v="12018"/>
    <n v="70"/>
  </r>
  <r>
    <x v="7"/>
    <x v="1"/>
    <s v="NT"/>
    <s v="No agreement"/>
    <s v="100% MBS Fee to 125% MBS Fee"/>
    <n v="81974"/>
    <n v="56401"/>
    <n v="18641"/>
    <n v="557"/>
  </r>
  <r>
    <x v="7"/>
    <x v="1"/>
    <s v="NT"/>
    <s v="No agreement"/>
    <s v="More than 125% MBS Fee to 150% MBS Fee"/>
    <n v="94773"/>
    <n v="51530"/>
    <n v="17143"/>
    <n v="514"/>
  </r>
  <r>
    <x v="7"/>
    <x v="1"/>
    <s v="NT"/>
    <s v="No agreement"/>
    <s v="More than 150% MBS Fee to 200% MBS Fee"/>
    <n v="220266"/>
    <n v="94206"/>
    <n v="31188"/>
    <n v="1102"/>
  </r>
  <r>
    <x v="7"/>
    <x v="1"/>
    <s v="NT"/>
    <s v="No agreement"/>
    <s v="More than 200% MBS Fee"/>
    <n v="289646"/>
    <n v="92206"/>
    <n v="34156"/>
    <n v="907"/>
  </r>
  <r>
    <x v="7"/>
    <x v="1"/>
    <s v="NT"/>
    <s v="No agreement"/>
    <s v="Up to MBS Fee"/>
    <n v="232850"/>
    <n v="176464"/>
    <n v="56385"/>
    <n v="3078"/>
  </r>
  <r>
    <x v="7"/>
    <x v="1"/>
    <s v="NT"/>
    <s v="No gap agreement"/>
    <s v="100% MBS Fee to 125% MBS Fee"/>
    <n v="229147"/>
    <n v="143787"/>
    <n v="85360"/>
    <n v="2695"/>
  </r>
  <r>
    <x v="7"/>
    <x v="1"/>
    <s v="NT"/>
    <s v="No gap agreement"/>
    <s v="More than 125% MBS Fee to 150% MBS Fee"/>
    <n v="703491"/>
    <n v="383336"/>
    <n v="320156"/>
    <n v="5103"/>
  </r>
  <r>
    <x v="7"/>
    <x v="1"/>
    <s v="NT"/>
    <s v="No gap agreement"/>
    <s v="More than 150% MBS Fee to 200% MBS Fee"/>
    <n v="129326"/>
    <n v="61034"/>
    <n v="68292"/>
    <n v="762"/>
  </r>
  <r>
    <x v="7"/>
    <x v="1"/>
    <s v="NT"/>
    <s v="No gap agreement"/>
    <s v="More than 200% MBS Fee"/>
    <n v="105818"/>
    <n v="30662"/>
    <n v="75156"/>
    <n v="110"/>
  </r>
  <r>
    <x v="7"/>
    <x v="1"/>
    <s v="NT"/>
    <s v="No gap agreement"/>
    <s v="Up to MBS Fee"/>
    <n v="27492"/>
    <n v="20759"/>
    <n v="6733"/>
    <n v="343"/>
  </r>
  <r>
    <x v="7"/>
    <x v="1"/>
    <s v="QLD"/>
    <s v="Known gap agreement"/>
    <s v="100% MBS Fee to 125% MBS Fee"/>
    <n v="411252"/>
    <n v="275362"/>
    <n v="110884"/>
    <n v="4517"/>
  </r>
  <r>
    <x v="7"/>
    <x v="1"/>
    <s v="QLD"/>
    <s v="Known gap agreement"/>
    <s v="More than 125% MBS Fee to 150% MBS Fee"/>
    <n v="1264915"/>
    <n v="680571"/>
    <n v="452076"/>
    <n v="6408"/>
  </r>
  <r>
    <x v="7"/>
    <x v="1"/>
    <s v="QLD"/>
    <s v="Known gap agreement"/>
    <s v="More than 150% MBS Fee to 200% MBS Fee"/>
    <n v="3187139"/>
    <n v="1379822"/>
    <n v="1166245"/>
    <n v="10490"/>
  </r>
  <r>
    <x v="7"/>
    <x v="1"/>
    <s v="QLD"/>
    <s v="Known gap agreement"/>
    <s v="More than 200% MBS Fee"/>
    <n v="2413763"/>
    <n v="712024"/>
    <n v="690100"/>
    <n v="8064"/>
  </r>
  <r>
    <x v="7"/>
    <x v="1"/>
    <s v="QLD"/>
    <s v="No agreement"/>
    <s v="100% MBS Fee to 125% MBS Fee"/>
    <n v="5913276"/>
    <n v="3972153"/>
    <n v="1403532"/>
    <n v="54573"/>
  </r>
  <r>
    <x v="7"/>
    <x v="1"/>
    <s v="QLD"/>
    <s v="No agreement"/>
    <s v="More than 125% MBS Fee to 150% MBS Fee"/>
    <n v="6221061"/>
    <n v="3418016"/>
    <n v="1151943"/>
    <n v="41624"/>
  </r>
  <r>
    <x v="7"/>
    <x v="1"/>
    <s v="QLD"/>
    <s v="No agreement"/>
    <s v="More than 150% MBS Fee to 200% MBS Fee"/>
    <n v="11655244"/>
    <n v="5062805"/>
    <n v="1688675"/>
    <n v="54463"/>
  </r>
  <r>
    <x v="7"/>
    <x v="1"/>
    <s v="QLD"/>
    <s v="No agreement"/>
    <s v="More than 200% MBS Fee"/>
    <n v="8817054"/>
    <n v="2639165"/>
    <n v="896205"/>
    <n v="28319"/>
  </r>
  <r>
    <x v="7"/>
    <x v="1"/>
    <s v="QLD"/>
    <s v="No agreement"/>
    <s v="Up to MBS Fee"/>
    <n v="11466985"/>
    <n v="8698469"/>
    <n v="2768527"/>
    <n v="172975"/>
  </r>
  <r>
    <x v="7"/>
    <x v="1"/>
    <s v="QLD"/>
    <s v="No gap agreement"/>
    <s v="100% MBS Fee to 125% MBS Fee"/>
    <n v="17930421"/>
    <n v="11570114"/>
    <n v="6360308"/>
    <n v="310260"/>
  </r>
  <r>
    <x v="7"/>
    <x v="1"/>
    <s v="QLD"/>
    <s v="No gap agreement"/>
    <s v="More than 125% MBS Fee to 150% MBS Fee"/>
    <n v="30814164"/>
    <n v="16679210"/>
    <n v="14134957"/>
    <n v="183200"/>
  </r>
  <r>
    <x v="7"/>
    <x v="1"/>
    <s v="QLD"/>
    <s v="No gap agreement"/>
    <s v="More than 150% MBS Fee to 200% MBS Fee"/>
    <n v="2462958"/>
    <n v="1169466"/>
    <n v="1293490"/>
    <n v="20317"/>
  </r>
  <r>
    <x v="7"/>
    <x v="1"/>
    <s v="QLD"/>
    <s v="No gap agreement"/>
    <s v="More than 200% MBS Fee"/>
    <n v="2930735"/>
    <n v="867762"/>
    <n v="2062978"/>
    <n v="3300"/>
  </r>
  <r>
    <x v="7"/>
    <x v="1"/>
    <s v="QLD"/>
    <s v="No gap agreement"/>
    <s v="Up to MBS Fee"/>
    <n v="698552"/>
    <n v="529134"/>
    <n v="169420"/>
    <n v="11366"/>
  </r>
  <r>
    <x v="7"/>
    <x v="1"/>
    <s v="SA"/>
    <s v="Known gap agreement"/>
    <s v="100% MBS Fee to 125% MBS Fee"/>
    <n v="318215"/>
    <n v="208900"/>
    <n v="91738"/>
    <n v="3521"/>
  </r>
  <r>
    <x v="7"/>
    <x v="1"/>
    <s v="SA"/>
    <s v="Known gap agreement"/>
    <s v="More than 125% MBS Fee to 150% MBS Fee"/>
    <n v="664826"/>
    <n v="362465"/>
    <n v="267236"/>
    <n v="3131"/>
  </r>
  <r>
    <x v="7"/>
    <x v="1"/>
    <s v="SA"/>
    <s v="Known gap agreement"/>
    <s v="More than 150% MBS Fee to 200% MBS Fee"/>
    <n v="592146"/>
    <n v="260670"/>
    <n v="231283"/>
    <n v="2987"/>
  </r>
  <r>
    <x v="7"/>
    <x v="1"/>
    <s v="SA"/>
    <s v="Known gap agreement"/>
    <s v="More than 200% MBS Fee"/>
    <n v="363113"/>
    <n v="72339"/>
    <n v="112923"/>
    <n v="745"/>
  </r>
  <r>
    <x v="7"/>
    <x v="1"/>
    <s v="SA"/>
    <s v="No agreement"/>
    <s v="100% MBS Fee to 125% MBS Fee"/>
    <n v="1286170"/>
    <n v="869596"/>
    <n v="290997"/>
    <n v="15141"/>
  </r>
  <r>
    <x v="7"/>
    <x v="1"/>
    <s v="SA"/>
    <s v="No agreement"/>
    <s v="More than 125% MBS Fee to 150% MBS Fee"/>
    <n v="741182"/>
    <n v="403468"/>
    <n v="138920"/>
    <n v="5399"/>
  </r>
  <r>
    <x v="7"/>
    <x v="1"/>
    <s v="SA"/>
    <s v="No agreement"/>
    <s v="More than 150% MBS Fee to 200% MBS Fee"/>
    <n v="822129"/>
    <n v="358868"/>
    <n v="125499"/>
    <n v="5326"/>
  </r>
  <r>
    <x v="7"/>
    <x v="1"/>
    <s v="SA"/>
    <s v="No agreement"/>
    <s v="More than 200% MBS Fee"/>
    <n v="594087"/>
    <n v="173772"/>
    <n v="67105"/>
    <n v="1884"/>
  </r>
  <r>
    <x v="7"/>
    <x v="1"/>
    <s v="SA"/>
    <s v="No agreement"/>
    <s v="Up to MBS Fee"/>
    <n v="4489742"/>
    <n v="3381392"/>
    <n v="1109514"/>
    <n v="87013"/>
  </r>
  <r>
    <x v="7"/>
    <x v="1"/>
    <s v="SA"/>
    <s v="No gap agreement"/>
    <s v="100% MBS Fee to 125% MBS Fee"/>
    <n v="9117742"/>
    <n v="5918845"/>
    <n v="3198904"/>
    <n v="130717"/>
  </r>
  <r>
    <x v="7"/>
    <x v="1"/>
    <s v="SA"/>
    <s v="No gap agreement"/>
    <s v="More than 125% MBS Fee to 150% MBS Fee"/>
    <n v="20036877"/>
    <n v="10958090"/>
    <n v="9078788"/>
    <n v="90117"/>
  </r>
  <r>
    <x v="7"/>
    <x v="1"/>
    <s v="SA"/>
    <s v="No gap agreement"/>
    <s v="More than 150% MBS Fee to 200% MBS Fee"/>
    <n v="6744062"/>
    <n v="3292508"/>
    <n v="3451554"/>
    <n v="48644"/>
  </r>
  <r>
    <x v="7"/>
    <x v="1"/>
    <s v="SA"/>
    <s v="No gap agreement"/>
    <s v="More than 200% MBS Fee"/>
    <n v="1148931"/>
    <n v="339787"/>
    <n v="809144"/>
    <n v="1719"/>
  </r>
  <r>
    <x v="7"/>
    <x v="1"/>
    <s v="SA"/>
    <s v="No gap agreement"/>
    <s v="Up to MBS Fee"/>
    <n v="1152399"/>
    <n v="870259"/>
    <n v="282183"/>
    <n v="12644"/>
  </r>
  <r>
    <x v="7"/>
    <x v="1"/>
    <s v="TAS"/>
    <s v="Known gap agreement"/>
    <s v="100% MBS Fee to 125% MBS Fee"/>
    <n v="27286"/>
    <n v="17723"/>
    <n v="7503"/>
    <n v="140"/>
  </r>
  <r>
    <x v="7"/>
    <x v="1"/>
    <s v="TAS"/>
    <s v="Known gap agreement"/>
    <s v="More than 125% MBS Fee to 150% MBS Fee"/>
    <n v="81456"/>
    <n v="44137"/>
    <n v="30049"/>
    <n v="304"/>
  </r>
  <r>
    <x v="7"/>
    <x v="1"/>
    <s v="TAS"/>
    <s v="Known gap agreement"/>
    <s v="More than 150% MBS Fee to 200% MBS Fee"/>
    <n v="160818"/>
    <n v="70372"/>
    <n v="60755"/>
    <n v="789"/>
  </r>
  <r>
    <x v="7"/>
    <x v="1"/>
    <s v="TAS"/>
    <s v="Known gap agreement"/>
    <s v="More than 200% MBS Fee"/>
    <n v="214954"/>
    <n v="57302"/>
    <n v="55560"/>
    <n v="735"/>
  </r>
  <r>
    <x v="7"/>
    <x v="1"/>
    <s v="TAS"/>
    <s v="No agreement"/>
    <s v="100% MBS Fee to 125% MBS Fee"/>
    <n v="532050"/>
    <n v="355944"/>
    <n v="118853"/>
    <n v="3447"/>
  </r>
  <r>
    <x v="7"/>
    <x v="1"/>
    <s v="TAS"/>
    <s v="No agreement"/>
    <s v="More than 125% MBS Fee to 150% MBS Fee"/>
    <n v="555345"/>
    <n v="304342"/>
    <n v="101706"/>
    <n v="3391"/>
  </r>
  <r>
    <x v="7"/>
    <x v="1"/>
    <s v="TAS"/>
    <s v="No agreement"/>
    <s v="More than 150% MBS Fee to 200% MBS Fee"/>
    <n v="775735"/>
    <n v="336792"/>
    <n v="113083"/>
    <n v="4104"/>
  </r>
  <r>
    <x v="7"/>
    <x v="1"/>
    <s v="TAS"/>
    <s v="No agreement"/>
    <s v="More than 200% MBS Fee"/>
    <n v="1436132"/>
    <n v="364260"/>
    <n v="118017"/>
    <n v="3280"/>
  </r>
  <r>
    <x v="7"/>
    <x v="1"/>
    <s v="TAS"/>
    <s v="No agreement"/>
    <s v="Up to MBS Fee"/>
    <n v="1550298"/>
    <n v="1174330"/>
    <n v="375139"/>
    <n v="24293"/>
  </r>
  <r>
    <x v="7"/>
    <x v="1"/>
    <s v="TAS"/>
    <s v="No gap agreement"/>
    <s v="100% MBS Fee to 125% MBS Fee"/>
    <n v="2143740"/>
    <n v="1385534"/>
    <n v="758155"/>
    <n v="28697"/>
  </r>
  <r>
    <x v="7"/>
    <x v="1"/>
    <s v="TAS"/>
    <s v="No gap agreement"/>
    <s v="More than 125% MBS Fee to 150% MBS Fee"/>
    <n v="3832707"/>
    <n v="2077514"/>
    <n v="1755218"/>
    <n v="22212"/>
  </r>
  <r>
    <x v="7"/>
    <x v="1"/>
    <s v="TAS"/>
    <s v="No gap agreement"/>
    <s v="More than 150% MBS Fee to 200% MBS Fee"/>
    <n v="768458"/>
    <n v="362297"/>
    <n v="406161"/>
    <n v="4008"/>
  </r>
  <r>
    <x v="7"/>
    <x v="1"/>
    <s v="TAS"/>
    <s v="No gap agreement"/>
    <s v="More than 200% MBS Fee"/>
    <n v="333978"/>
    <n v="99969"/>
    <n v="234009"/>
    <n v="366"/>
  </r>
  <r>
    <x v="7"/>
    <x v="1"/>
    <s v="TAS"/>
    <s v="No gap agreement"/>
    <s v="Up to MBS Fee"/>
    <n v="127556"/>
    <n v="101287"/>
    <n v="26269"/>
    <n v="1295"/>
  </r>
  <r>
    <x v="7"/>
    <x v="1"/>
    <s v="VIC"/>
    <s v="Known gap agreement"/>
    <s v="100% MBS Fee to 125% MBS Fee"/>
    <n v="1037538"/>
    <n v="682719"/>
    <n v="306922"/>
    <n v="6293"/>
  </r>
  <r>
    <x v="7"/>
    <x v="1"/>
    <s v="VIC"/>
    <s v="Known gap agreement"/>
    <s v="More than 125% MBS Fee to 150% MBS Fee"/>
    <n v="2548721"/>
    <n v="1373855"/>
    <n v="883453"/>
    <n v="15181"/>
  </r>
  <r>
    <x v="7"/>
    <x v="1"/>
    <s v="VIC"/>
    <s v="Known gap agreement"/>
    <s v="More than 150% MBS Fee to 200% MBS Fee"/>
    <n v="4949045"/>
    <n v="2174719"/>
    <n v="1805554"/>
    <n v="23779"/>
  </r>
  <r>
    <x v="7"/>
    <x v="1"/>
    <s v="VIC"/>
    <s v="Known gap agreement"/>
    <s v="More than 200% MBS Fee"/>
    <n v="3025515"/>
    <n v="851679"/>
    <n v="802259"/>
    <n v="11218"/>
  </r>
  <r>
    <x v="7"/>
    <x v="1"/>
    <s v="VIC"/>
    <s v="No agreement"/>
    <s v="100% MBS Fee to 125% MBS Fee"/>
    <n v="5506654"/>
    <n v="3721884"/>
    <n v="1251283"/>
    <n v="43506"/>
  </r>
  <r>
    <x v="7"/>
    <x v="1"/>
    <s v="VIC"/>
    <s v="No agreement"/>
    <s v="More than 125% MBS Fee to 150% MBS Fee"/>
    <n v="5480814"/>
    <n v="2976503"/>
    <n v="1014000"/>
    <n v="34608"/>
  </r>
  <r>
    <x v="7"/>
    <x v="1"/>
    <s v="VIC"/>
    <s v="No agreement"/>
    <s v="More than 150% MBS Fee to 200% MBS Fee"/>
    <n v="8507883"/>
    <n v="3725643"/>
    <n v="1247679"/>
    <n v="49172"/>
  </r>
  <r>
    <x v="7"/>
    <x v="1"/>
    <s v="VIC"/>
    <s v="No agreement"/>
    <s v="More than 200% MBS Fee"/>
    <n v="6312663"/>
    <n v="1744623"/>
    <n v="600942"/>
    <n v="17586"/>
  </r>
  <r>
    <x v="7"/>
    <x v="1"/>
    <s v="VIC"/>
    <s v="No agreement"/>
    <s v="Up to MBS Fee"/>
    <n v="14376426"/>
    <n v="10858565"/>
    <n v="3517867"/>
    <n v="203939"/>
  </r>
  <r>
    <x v="7"/>
    <x v="1"/>
    <s v="VIC"/>
    <s v="No gap agreement"/>
    <s v="100% MBS Fee to 125% MBS Fee"/>
    <n v="25206032"/>
    <n v="15942940"/>
    <n v="9263089"/>
    <n v="316638"/>
  </r>
  <r>
    <x v="7"/>
    <x v="1"/>
    <s v="VIC"/>
    <s v="No gap agreement"/>
    <s v="More than 125% MBS Fee to 150% MBS Fee"/>
    <n v="50532124"/>
    <n v="27712160"/>
    <n v="22819961"/>
    <n v="394997"/>
  </r>
  <r>
    <x v="7"/>
    <x v="1"/>
    <s v="VIC"/>
    <s v="No gap agreement"/>
    <s v="More than 150% MBS Fee to 200% MBS Fee"/>
    <n v="10989827"/>
    <n v="5361263"/>
    <n v="5628562"/>
    <n v="84897"/>
  </r>
  <r>
    <x v="7"/>
    <x v="1"/>
    <s v="VIC"/>
    <s v="No gap agreement"/>
    <s v="More than 200% MBS Fee"/>
    <n v="2608598"/>
    <n v="825711"/>
    <n v="1782887"/>
    <n v="3427"/>
  </r>
  <r>
    <x v="7"/>
    <x v="1"/>
    <s v="VIC"/>
    <s v="No gap agreement"/>
    <s v="Up to MBS Fee"/>
    <n v="3354781"/>
    <n v="2541155"/>
    <n v="813652"/>
    <n v="31040"/>
  </r>
  <r>
    <x v="7"/>
    <x v="1"/>
    <s v="WA"/>
    <s v="Known gap agreement"/>
    <s v="100% MBS Fee to 125% MBS Fee"/>
    <n v="195520"/>
    <n v="130109"/>
    <n v="49987"/>
    <n v="1748"/>
  </r>
  <r>
    <x v="7"/>
    <x v="1"/>
    <s v="WA"/>
    <s v="Known gap agreement"/>
    <s v="More than 125% MBS Fee to 150% MBS Fee"/>
    <n v="750593"/>
    <n v="400788"/>
    <n v="280009"/>
    <n v="3747"/>
  </r>
  <r>
    <x v="7"/>
    <x v="1"/>
    <s v="WA"/>
    <s v="Known gap agreement"/>
    <s v="More than 150% MBS Fee to 200% MBS Fee"/>
    <n v="1488071"/>
    <n v="653266"/>
    <n v="554609"/>
    <n v="6470"/>
  </r>
  <r>
    <x v="7"/>
    <x v="1"/>
    <s v="WA"/>
    <s v="Known gap agreement"/>
    <s v="More than 200% MBS Fee"/>
    <n v="1022498"/>
    <n v="294373"/>
    <n v="332097"/>
    <n v="3395"/>
  </r>
  <r>
    <x v="7"/>
    <x v="1"/>
    <s v="WA"/>
    <s v="No agreement"/>
    <s v="100% MBS Fee to 125% MBS Fee"/>
    <n v="1955829"/>
    <n v="1294706"/>
    <n v="426212"/>
    <n v="17022"/>
  </r>
  <r>
    <x v="7"/>
    <x v="1"/>
    <s v="WA"/>
    <s v="No agreement"/>
    <s v="More than 125% MBS Fee to 150% MBS Fee"/>
    <n v="2700001"/>
    <n v="1470341"/>
    <n v="510495"/>
    <n v="15443"/>
  </r>
  <r>
    <x v="7"/>
    <x v="1"/>
    <s v="WA"/>
    <s v="No agreement"/>
    <s v="More than 150% MBS Fee to 200% MBS Fee"/>
    <n v="3058588"/>
    <n v="1366556"/>
    <n v="479464"/>
    <n v="14461"/>
  </r>
  <r>
    <x v="7"/>
    <x v="1"/>
    <s v="WA"/>
    <s v="No agreement"/>
    <s v="More than 200% MBS Fee"/>
    <n v="2508481"/>
    <n v="701874"/>
    <n v="322060"/>
    <n v="6940"/>
  </r>
  <r>
    <x v="7"/>
    <x v="1"/>
    <s v="WA"/>
    <s v="No agreement"/>
    <s v="Up to MBS Fee"/>
    <n v="2714995"/>
    <n v="2055278"/>
    <n v="659718"/>
    <n v="36198"/>
  </r>
  <r>
    <x v="7"/>
    <x v="1"/>
    <s v="WA"/>
    <s v="No gap agreement"/>
    <s v="100% MBS Fee to 125% MBS Fee"/>
    <n v="9282432"/>
    <n v="6059574"/>
    <n v="3222860"/>
    <n v="95255"/>
  </r>
  <r>
    <x v="7"/>
    <x v="1"/>
    <s v="WA"/>
    <s v="No gap agreement"/>
    <s v="More than 125% MBS Fee to 150% MBS Fee"/>
    <n v="11540135"/>
    <n v="6291800"/>
    <n v="5248336"/>
    <n v="62660"/>
  </r>
  <r>
    <x v="7"/>
    <x v="1"/>
    <s v="WA"/>
    <s v="No gap agreement"/>
    <s v="More than 150% MBS Fee to 200% MBS Fee"/>
    <n v="6887361"/>
    <n v="3076455"/>
    <n v="3810905"/>
    <n v="45881"/>
  </r>
  <r>
    <x v="7"/>
    <x v="1"/>
    <s v="WA"/>
    <s v="No gap agreement"/>
    <s v="More than 200% MBS Fee"/>
    <n v="2575265"/>
    <n v="757415"/>
    <n v="1817851"/>
    <n v="5622"/>
  </r>
  <r>
    <x v="7"/>
    <x v="1"/>
    <s v="WA"/>
    <s v="No gap agreement"/>
    <s v="Up to MBS Fee"/>
    <n v="3115284"/>
    <n v="2361870"/>
    <n v="753413"/>
    <n v="42805"/>
  </r>
  <r>
    <x v="8"/>
    <x v="0"/>
    <s v="ACT"/>
    <s v="Known gap agreement"/>
    <s v="100% MBS Fee to 125% MBS Fee"/>
    <n v="0"/>
    <n v="0"/>
    <n v="0"/>
    <n v="0"/>
  </r>
  <r>
    <x v="8"/>
    <x v="0"/>
    <s v="ACT"/>
    <s v="Known gap agreement"/>
    <s v="More than 125% MBS Fee to 150% MBS Fee"/>
    <n v="0"/>
    <n v="0"/>
    <n v="0"/>
    <n v="0"/>
  </r>
  <r>
    <x v="8"/>
    <x v="0"/>
    <s v="ACT"/>
    <s v="Known gap agreement"/>
    <s v="More than 150% MBS Fee to 200% MBS Fee"/>
    <n v="0"/>
    <n v="0"/>
    <n v="0"/>
    <n v="0"/>
  </r>
  <r>
    <x v="8"/>
    <x v="0"/>
    <s v="ACT"/>
    <s v="Known gap agreement"/>
    <s v="More than 200% MBS Fee"/>
    <n v="0"/>
    <n v="0"/>
    <n v="0"/>
    <n v="0"/>
  </r>
  <r>
    <x v="8"/>
    <x v="0"/>
    <s v="ACT"/>
    <s v="No agreement"/>
    <s v="100% MBS Fee to 125% MBS Fee"/>
    <n v="0"/>
    <n v="0"/>
    <n v="0"/>
    <n v="0"/>
  </r>
  <r>
    <x v="8"/>
    <x v="0"/>
    <s v="ACT"/>
    <s v="No agreement"/>
    <s v="More than 125% MBS Fee to 150% MBS Fee"/>
    <n v="0"/>
    <n v="0"/>
    <n v="0"/>
    <n v="0"/>
  </r>
  <r>
    <x v="8"/>
    <x v="0"/>
    <s v="ACT"/>
    <s v="No agreement"/>
    <s v="More than 150% MBS Fee to 200% MBS Fee"/>
    <n v="0"/>
    <n v="0"/>
    <n v="0"/>
    <n v="0"/>
  </r>
  <r>
    <x v="8"/>
    <x v="0"/>
    <s v="ACT"/>
    <s v="No agreement"/>
    <s v="More than 200% MBS Fee"/>
    <n v="0"/>
    <n v="0"/>
    <n v="0"/>
    <n v="0"/>
  </r>
  <r>
    <x v="8"/>
    <x v="0"/>
    <s v="ACT"/>
    <s v="No agreement"/>
    <s v="Up to MBS Fee"/>
    <n v="0"/>
    <n v="0"/>
    <n v="0"/>
    <n v="0"/>
  </r>
  <r>
    <x v="8"/>
    <x v="0"/>
    <s v="ACT"/>
    <s v="No gap agreement"/>
    <s v="100% MBS Fee to 125% MBS Fee"/>
    <n v="0"/>
    <n v="0"/>
    <n v="0"/>
    <n v="0"/>
  </r>
  <r>
    <x v="8"/>
    <x v="0"/>
    <s v="ACT"/>
    <s v="No gap agreement"/>
    <s v="More than 125% MBS Fee to 150% MBS Fee"/>
    <n v="0"/>
    <n v="0"/>
    <n v="0"/>
    <n v="0"/>
  </r>
  <r>
    <x v="8"/>
    <x v="0"/>
    <s v="ACT"/>
    <s v="No gap agreement"/>
    <s v="More than 150% MBS Fee to 200% MBS Fee"/>
    <n v="0"/>
    <n v="0"/>
    <n v="0"/>
    <n v="0"/>
  </r>
  <r>
    <x v="8"/>
    <x v="0"/>
    <s v="ACT"/>
    <s v="No gap agreement"/>
    <s v="More than 200% MBS Fee"/>
    <n v="0"/>
    <n v="0"/>
    <n v="0"/>
    <n v="0"/>
  </r>
  <r>
    <x v="8"/>
    <x v="0"/>
    <s v="ACT"/>
    <s v="No gap agreement"/>
    <s v="Up to MBS Fee"/>
    <n v="0"/>
    <n v="0"/>
    <n v="0"/>
    <n v="0"/>
  </r>
  <r>
    <x v="8"/>
    <x v="0"/>
    <s v="NSW"/>
    <s v="Known gap agreement"/>
    <s v="100% MBS Fee to 125% MBS Fee"/>
    <n v="761758"/>
    <n v="496538"/>
    <n v="218748"/>
    <n v="6141"/>
  </r>
  <r>
    <x v="8"/>
    <x v="0"/>
    <s v="NSW"/>
    <s v="Known gap agreement"/>
    <s v="More than 125% MBS Fee to 150% MBS Fee"/>
    <n v="1389266"/>
    <n v="760960"/>
    <n v="462512"/>
    <n v="10807"/>
  </r>
  <r>
    <x v="8"/>
    <x v="0"/>
    <s v="NSW"/>
    <s v="Known gap agreement"/>
    <s v="More than 150% MBS Fee to 200% MBS Fee"/>
    <n v="2613757"/>
    <n v="1141144"/>
    <n v="943829"/>
    <n v="10024"/>
  </r>
  <r>
    <x v="8"/>
    <x v="0"/>
    <s v="NSW"/>
    <s v="Known gap agreement"/>
    <s v="More than 200% MBS Fee"/>
    <n v="2845019"/>
    <n v="789572"/>
    <n v="703352"/>
    <n v="8814"/>
  </r>
  <r>
    <x v="8"/>
    <x v="0"/>
    <s v="NSW"/>
    <s v="No agreement"/>
    <s v="100% MBS Fee to 125% MBS Fee"/>
    <n v="4883569"/>
    <n v="3231965"/>
    <n v="1094883"/>
    <n v="38123"/>
  </r>
  <r>
    <x v="8"/>
    <x v="0"/>
    <s v="NSW"/>
    <s v="No agreement"/>
    <s v="More than 125% MBS Fee to 150% MBS Fee"/>
    <n v="6521932"/>
    <n v="3551178"/>
    <n v="1240456"/>
    <n v="41383"/>
  </r>
  <r>
    <x v="8"/>
    <x v="0"/>
    <s v="NSW"/>
    <s v="No agreement"/>
    <s v="More than 150% MBS Fee to 200% MBS Fee"/>
    <n v="20846568"/>
    <n v="8886693"/>
    <n v="3068136"/>
    <n v="87053"/>
  </r>
  <r>
    <x v="8"/>
    <x v="0"/>
    <s v="NSW"/>
    <s v="No agreement"/>
    <s v="More than 200% MBS Fee"/>
    <n v="42945813"/>
    <n v="12051906"/>
    <n v="4109922"/>
    <n v="105066"/>
  </r>
  <r>
    <x v="8"/>
    <x v="0"/>
    <s v="NSW"/>
    <s v="No agreement"/>
    <s v="Up to MBS Fee"/>
    <n v="18811643"/>
    <n v="14269699"/>
    <n v="4541905"/>
    <n v="323243"/>
  </r>
  <r>
    <x v="8"/>
    <x v="0"/>
    <s v="NSW"/>
    <s v="No gap agreement"/>
    <s v="100% MBS Fee to 125% MBS Fee"/>
    <n v="24299335"/>
    <n v="15542169"/>
    <n v="8757168"/>
    <n v="305563"/>
  </r>
  <r>
    <x v="8"/>
    <x v="0"/>
    <s v="NSW"/>
    <s v="No gap agreement"/>
    <s v="More than 125% MBS Fee to 150% MBS Fee"/>
    <n v="32470328"/>
    <n v="17777993"/>
    <n v="14692579"/>
    <n v="151040"/>
  </r>
  <r>
    <x v="8"/>
    <x v="0"/>
    <s v="NSW"/>
    <s v="No gap agreement"/>
    <s v="More than 150% MBS Fee to 200% MBS Fee"/>
    <n v="19454757"/>
    <n v="9255388"/>
    <n v="10199126"/>
    <n v="148394"/>
  </r>
  <r>
    <x v="8"/>
    <x v="0"/>
    <s v="NSW"/>
    <s v="No gap agreement"/>
    <s v="More than 200% MBS Fee"/>
    <n v="4350849"/>
    <n v="1242307"/>
    <n v="3108541"/>
    <n v="4690"/>
  </r>
  <r>
    <x v="8"/>
    <x v="0"/>
    <s v="NSW"/>
    <s v="No gap agreement"/>
    <s v="Up to MBS Fee"/>
    <n v="3412838"/>
    <n v="2572545"/>
    <n v="840322"/>
    <n v="74305"/>
  </r>
  <r>
    <x v="8"/>
    <x v="0"/>
    <s v="NT"/>
    <s v="Known gap agreement"/>
    <s v="100% MBS Fee to 125% MBS Fee"/>
    <n v="15286"/>
    <n v="9712"/>
    <n v="4744"/>
    <n v="75"/>
  </r>
  <r>
    <x v="8"/>
    <x v="0"/>
    <s v="NT"/>
    <s v="Known gap agreement"/>
    <s v="More than 125% MBS Fee to 150% MBS Fee"/>
    <n v="15280"/>
    <n v="8453"/>
    <n v="5132"/>
    <n v="60"/>
  </r>
  <r>
    <x v="8"/>
    <x v="0"/>
    <s v="NT"/>
    <s v="Known gap agreement"/>
    <s v="More than 150% MBS Fee to 200% MBS Fee"/>
    <n v="46031"/>
    <n v="19702"/>
    <n v="16260"/>
    <n v="130"/>
  </r>
  <r>
    <x v="8"/>
    <x v="0"/>
    <s v="NT"/>
    <s v="Known gap agreement"/>
    <s v="More than 200% MBS Fee"/>
    <n v="54050"/>
    <n v="14499"/>
    <n v="18389"/>
    <n v="101"/>
  </r>
  <r>
    <x v="8"/>
    <x v="0"/>
    <s v="NT"/>
    <s v="No agreement"/>
    <s v="100% MBS Fee to 125% MBS Fee"/>
    <n v="58847"/>
    <n v="40699"/>
    <n v="13571"/>
    <n v="280"/>
  </r>
  <r>
    <x v="8"/>
    <x v="0"/>
    <s v="NT"/>
    <s v="No agreement"/>
    <s v="More than 125% MBS Fee to 150% MBS Fee"/>
    <n v="70492"/>
    <n v="38950"/>
    <n v="13067"/>
    <n v="363"/>
  </r>
  <r>
    <x v="8"/>
    <x v="0"/>
    <s v="NT"/>
    <s v="No agreement"/>
    <s v="More than 150% MBS Fee to 200% MBS Fee"/>
    <n v="175420"/>
    <n v="74350"/>
    <n v="24758"/>
    <n v="805"/>
  </r>
  <r>
    <x v="8"/>
    <x v="0"/>
    <s v="NT"/>
    <s v="No agreement"/>
    <s v="More than 200% MBS Fee"/>
    <n v="366312"/>
    <n v="110076"/>
    <n v="36424"/>
    <n v="881"/>
  </r>
  <r>
    <x v="8"/>
    <x v="0"/>
    <s v="NT"/>
    <s v="No agreement"/>
    <s v="Up to MBS Fee"/>
    <n v="143120"/>
    <n v="109792"/>
    <n v="33328"/>
    <n v="2260"/>
  </r>
  <r>
    <x v="8"/>
    <x v="0"/>
    <s v="NT"/>
    <s v="No gap agreement"/>
    <s v="100% MBS Fee to 125% MBS Fee"/>
    <n v="309205"/>
    <n v="195843"/>
    <n v="113363"/>
    <n v="4039"/>
  </r>
  <r>
    <x v="8"/>
    <x v="0"/>
    <s v="NT"/>
    <s v="No gap agreement"/>
    <s v="More than 125% MBS Fee to 150% MBS Fee"/>
    <n v="624763"/>
    <n v="343833"/>
    <n v="280931"/>
    <n v="3272"/>
  </r>
  <r>
    <x v="8"/>
    <x v="0"/>
    <s v="NT"/>
    <s v="No gap agreement"/>
    <s v="More than 150% MBS Fee to 200% MBS Fee"/>
    <n v="366361"/>
    <n v="173091"/>
    <n v="193271"/>
    <n v="2468"/>
  </r>
  <r>
    <x v="8"/>
    <x v="0"/>
    <s v="NT"/>
    <s v="No gap agreement"/>
    <s v="More than 200% MBS Fee"/>
    <n v="109928"/>
    <n v="31509"/>
    <n v="78419"/>
    <n v="104"/>
  </r>
  <r>
    <x v="8"/>
    <x v="0"/>
    <s v="NT"/>
    <s v="No gap agreement"/>
    <s v="Up to MBS Fee"/>
    <n v="34568"/>
    <n v="26224"/>
    <n v="8343"/>
    <n v="530"/>
  </r>
  <r>
    <x v="8"/>
    <x v="0"/>
    <s v="QLD"/>
    <s v="Known gap agreement"/>
    <s v="100% MBS Fee to 125% MBS Fee"/>
    <n v="952777"/>
    <n v="621431"/>
    <n v="291632"/>
    <n v="7525"/>
  </r>
  <r>
    <x v="8"/>
    <x v="0"/>
    <s v="QLD"/>
    <s v="Known gap agreement"/>
    <s v="More than 125% MBS Fee to 150% MBS Fee"/>
    <n v="950924"/>
    <n v="514310"/>
    <n v="327447"/>
    <n v="5430"/>
  </r>
  <r>
    <x v="8"/>
    <x v="0"/>
    <s v="QLD"/>
    <s v="Known gap agreement"/>
    <s v="More than 150% MBS Fee to 200% MBS Fee"/>
    <n v="3556078"/>
    <n v="1504127"/>
    <n v="1363993"/>
    <n v="12250"/>
  </r>
  <r>
    <x v="8"/>
    <x v="0"/>
    <s v="QLD"/>
    <s v="Known gap agreement"/>
    <s v="More than 200% MBS Fee"/>
    <n v="3231203"/>
    <n v="928141"/>
    <n v="976455"/>
    <n v="10626"/>
  </r>
  <r>
    <x v="8"/>
    <x v="0"/>
    <s v="QLD"/>
    <s v="No agreement"/>
    <s v="100% MBS Fee to 125% MBS Fee"/>
    <n v="3593266"/>
    <n v="2395126"/>
    <n v="795255"/>
    <n v="23339"/>
  </r>
  <r>
    <x v="8"/>
    <x v="0"/>
    <s v="QLD"/>
    <s v="No agreement"/>
    <s v="More than 125% MBS Fee to 150% MBS Fee"/>
    <n v="5259493"/>
    <n v="2895791"/>
    <n v="983744"/>
    <n v="33053"/>
  </r>
  <r>
    <x v="8"/>
    <x v="0"/>
    <s v="QLD"/>
    <s v="No agreement"/>
    <s v="More than 150% MBS Fee to 200% MBS Fee"/>
    <n v="10617843"/>
    <n v="4545139"/>
    <n v="1552950"/>
    <n v="46649"/>
  </r>
  <r>
    <x v="8"/>
    <x v="0"/>
    <s v="QLD"/>
    <s v="No agreement"/>
    <s v="More than 200% MBS Fee"/>
    <n v="11545905"/>
    <n v="3436155"/>
    <n v="1161140"/>
    <n v="34163"/>
  </r>
  <r>
    <x v="8"/>
    <x v="0"/>
    <s v="QLD"/>
    <s v="No agreement"/>
    <s v="Up to MBS Fee"/>
    <n v="8064723"/>
    <n v="6210077"/>
    <n v="1854617"/>
    <n v="108932"/>
  </r>
  <r>
    <x v="8"/>
    <x v="0"/>
    <s v="QLD"/>
    <s v="No gap agreement"/>
    <s v="100% MBS Fee to 125% MBS Fee"/>
    <n v="21481413"/>
    <n v="13815281"/>
    <n v="7668402"/>
    <n v="351765"/>
  </r>
  <r>
    <x v="8"/>
    <x v="0"/>
    <s v="QLD"/>
    <s v="No gap agreement"/>
    <s v="More than 125% MBS Fee to 150% MBS Fee"/>
    <n v="26075467"/>
    <n v="14379391"/>
    <n v="11699051"/>
    <n v="152952"/>
  </r>
  <r>
    <x v="8"/>
    <x v="0"/>
    <s v="QLD"/>
    <s v="No gap agreement"/>
    <s v="More than 150% MBS Fee to 200% MBS Fee"/>
    <n v="13553472"/>
    <n v="6510764"/>
    <n v="7045368"/>
    <n v="124188"/>
  </r>
  <r>
    <x v="8"/>
    <x v="0"/>
    <s v="QLD"/>
    <s v="No gap agreement"/>
    <s v="More than 200% MBS Fee"/>
    <n v="3071603"/>
    <n v="942027"/>
    <n v="2129607"/>
    <n v="3420"/>
  </r>
  <r>
    <x v="8"/>
    <x v="0"/>
    <s v="QLD"/>
    <s v="No gap agreement"/>
    <s v="Up to MBS Fee"/>
    <n v="1323319"/>
    <n v="996678"/>
    <n v="327001"/>
    <n v="24790"/>
  </r>
  <r>
    <x v="8"/>
    <x v="0"/>
    <s v="SA"/>
    <s v="Known gap agreement"/>
    <s v="100% MBS Fee to 125% MBS Fee"/>
    <n v="551420"/>
    <n v="390760"/>
    <n v="172677"/>
    <n v="4371"/>
  </r>
  <r>
    <x v="8"/>
    <x v="0"/>
    <s v="SA"/>
    <s v="Known gap agreement"/>
    <s v="More than 125% MBS Fee to 150% MBS Fee"/>
    <n v="580661"/>
    <n v="315704"/>
    <n v="200854"/>
    <n v="2764"/>
  </r>
  <r>
    <x v="8"/>
    <x v="0"/>
    <s v="SA"/>
    <s v="Known gap agreement"/>
    <s v="More than 150% MBS Fee to 200% MBS Fee"/>
    <n v="991345"/>
    <n v="436219"/>
    <n v="382119"/>
    <n v="3754"/>
  </r>
  <r>
    <x v="8"/>
    <x v="0"/>
    <s v="SA"/>
    <s v="Known gap agreement"/>
    <s v="More than 200% MBS Fee"/>
    <n v="684570"/>
    <n v="184579"/>
    <n v="176713"/>
    <n v="1492"/>
  </r>
  <r>
    <x v="8"/>
    <x v="0"/>
    <s v="SA"/>
    <s v="No agreement"/>
    <s v="100% MBS Fee to 125% MBS Fee"/>
    <n v="437498"/>
    <n v="294504"/>
    <n v="97654"/>
    <n v="3743"/>
  </r>
  <r>
    <x v="8"/>
    <x v="0"/>
    <s v="SA"/>
    <s v="No agreement"/>
    <s v="More than 125% MBS Fee to 150% MBS Fee"/>
    <n v="518962"/>
    <n v="282885"/>
    <n v="100780"/>
    <n v="3592"/>
  </r>
  <r>
    <x v="8"/>
    <x v="0"/>
    <s v="SA"/>
    <s v="No agreement"/>
    <s v="More than 150% MBS Fee to 200% MBS Fee"/>
    <n v="534184"/>
    <n v="227945"/>
    <n v="78821"/>
    <n v="2818"/>
  </r>
  <r>
    <x v="8"/>
    <x v="0"/>
    <s v="SA"/>
    <s v="No agreement"/>
    <s v="More than 200% MBS Fee"/>
    <n v="838014"/>
    <n v="219299"/>
    <n v="76319"/>
    <n v="2460"/>
  </r>
  <r>
    <x v="8"/>
    <x v="0"/>
    <s v="SA"/>
    <s v="No agreement"/>
    <s v="Up to MBS Fee"/>
    <n v="2671150"/>
    <n v="2026102"/>
    <n v="645010"/>
    <n v="50195"/>
  </r>
  <r>
    <x v="8"/>
    <x v="0"/>
    <s v="SA"/>
    <s v="No gap agreement"/>
    <s v="100% MBS Fee to 125% MBS Fee"/>
    <n v="9528197"/>
    <n v="6160059"/>
    <n v="3368137"/>
    <n v="149094"/>
  </r>
  <r>
    <x v="8"/>
    <x v="0"/>
    <s v="SA"/>
    <s v="No gap agreement"/>
    <s v="More than 125% MBS Fee to 150% MBS Fee"/>
    <n v="14711846"/>
    <n v="8053058"/>
    <n v="6658791"/>
    <n v="52182"/>
  </r>
  <r>
    <x v="8"/>
    <x v="0"/>
    <s v="SA"/>
    <s v="No gap agreement"/>
    <s v="More than 150% MBS Fee to 200% MBS Fee"/>
    <n v="11070519"/>
    <n v="5203375"/>
    <n v="5867144"/>
    <n v="75412"/>
  </r>
  <r>
    <x v="8"/>
    <x v="0"/>
    <s v="SA"/>
    <s v="No gap agreement"/>
    <s v="More than 200% MBS Fee"/>
    <n v="1023092"/>
    <n v="275447"/>
    <n v="747646"/>
    <n v="1024"/>
  </r>
  <r>
    <x v="8"/>
    <x v="0"/>
    <s v="SA"/>
    <s v="No gap agreement"/>
    <s v="Up to MBS Fee"/>
    <n v="1339182"/>
    <n v="1009240"/>
    <n v="329984"/>
    <n v="13954"/>
  </r>
  <r>
    <x v="8"/>
    <x v="0"/>
    <s v="TAS"/>
    <s v="Known gap agreement"/>
    <s v="100% MBS Fee to 125% MBS Fee"/>
    <n v="23315"/>
    <n v="15399"/>
    <n v="6456"/>
    <n v="130"/>
  </r>
  <r>
    <x v="8"/>
    <x v="0"/>
    <s v="TAS"/>
    <s v="Known gap agreement"/>
    <s v="More than 125% MBS Fee to 150% MBS Fee"/>
    <n v="101971"/>
    <n v="54574"/>
    <n v="40874"/>
    <n v="299"/>
  </r>
  <r>
    <x v="8"/>
    <x v="0"/>
    <s v="TAS"/>
    <s v="Known gap agreement"/>
    <s v="More than 150% MBS Fee to 200% MBS Fee"/>
    <n v="183896"/>
    <n v="78843"/>
    <n v="74324"/>
    <n v="654"/>
  </r>
  <r>
    <x v="8"/>
    <x v="0"/>
    <s v="TAS"/>
    <s v="Known gap agreement"/>
    <s v="More than 200% MBS Fee"/>
    <n v="222842"/>
    <n v="61610"/>
    <n v="62251"/>
    <n v="712"/>
  </r>
  <r>
    <x v="8"/>
    <x v="0"/>
    <s v="TAS"/>
    <s v="No agreement"/>
    <s v="100% MBS Fee to 125% MBS Fee"/>
    <n v="395757"/>
    <n v="264762"/>
    <n v="86266"/>
    <n v="2763"/>
  </r>
  <r>
    <x v="8"/>
    <x v="0"/>
    <s v="TAS"/>
    <s v="No agreement"/>
    <s v="More than 125% MBS Fee to 150% MBS Fee"/>
    <n v="406717"/>
    <n v="222062"/>
    <n v="73791"/>
    <n v="2347"/>
  </r>
  <r>
    <x v="8"/>
    <x v="0"/>
    <s v="TAS"/>
    <s v="No agreement"/>
    <s v="More than 150% MBS Fee to 200% MBS Fee"/>
    <n v="657573"/>
    <n v="282769"/>
    <n v="95697"/>
    <n v="3577"/>
  </r>
  <r>
    <x v="8"/>
    <x v="0"/>
    <s v="TAS"/>
    <s v="No agreement"/>
    <s v="More than 200% MBS Fee"/>
    <n v="1049654"/>
    <n v="271160"/>
    <n v="90775"/>
    <n v="2792"/>
  </r>
  <r>
    <x v="8"/>
    <x v="0"/>
    <s v="TAS"/>
    <s v="No agreement"/>
    <s v="Up to MBS Fee"/>
    <n v="1306902"/>
    <n v="993994"/>
    <n v="312908"/>
    <n v="21501"/>
  </r>
  <r>
    <x v="8"/>
    <x v="0"/>
    <s v="TAS"/>
    <s v="No gap agreement"/>
    <s v="100% MBS Fee to 125% MBS Fee"/>
    <n v="2177895"/>
    <n v="1410163"/>
    <n v="767733"/>
    <n v="28321"/>
  </r>
  <r>
    <x v="8"/>
    <x v="0"/>
    <s v="TAS"/>
    <s v="No gap agreement"/>
    <s v="More than 125% MBS Fee to 150% MBS Fee"/>
    <n v="3027732"/>
    <n v="1662961"/>
    <n v="1364771"/>
    <n v="12313"/>
  </r>
  <r>
    <x v="8"/>
    <x v="0"/>
    <s v="TAS"/>
    <s v="No gap agreement"/>
    <s v="More than 150% MBS Fee to 200% MBS Fee"/>
    <n v="2139495"/>
    <n v="1021879"/>
    <n v="1117614"/>
    <n v="15629"/>
  </r>
  <r>
    <x v="8"/>
    <x v="0"/>
    <s v="TAS"/>
    <s v="No gap agreement"/>
    <s v="More than 200% MBS Fee"/>
    <n v="417326"/>
    <n v="122850"/>
    <n v="294476"/>
    <n v="448"/>
  </r>
  <r>
    <x v="8"/>
    <x v="0"/>
    <s v="TAS"/>
    <s v="No gap agreement"/>
    <s v="Up to MBS Fee"/>
    <n v="122851"/>
    <n v="92860"/>
    <n v="29991"/>
    <n v="1544"/>
  </r>
  <r>
    <x v="8"/>
    <x v="0"/>
    <s v="VIC"/>
    <s v="Known gap agreement"/>
    <s v="100% MBS Fee to 125% MBS Fee"/>
    <n v="1511330"/>
    <n v="985613"/>
    <n v="443905"/>
    <n v="8071"/>
  </r>
  <r>
    <x v="8"/>
    <x v="0"/>
    <s v="VIC"/>
    <s v="Known gap agreement"/>
    <s v="More than 125% MBS Fee to 150% MBS Fee"/>
    <n v="3109955"/>
    <n v="1684886"/>
    <n v="1107742"/>
    <n v="13315"/>
  </r>
  <r>
    <x v="8"/>
    <x v="0"/>
    <s v="VIC"/>
    <s v="Known gap agreement"/>
    <s v="More than 150% MBS Fee to 200% MBS Fee"/>
    <n v="5789948"/>
    <n v="2520176"/>
    <n v="2099493"/>
    <n v="27551"/>
  </r>
  <r>
    <x v="8"/>
    <x v="0"/>
    <s v="VIC"/>
    <s v="Known gap agreement"/>
    <s v="More than 200% MBS Fee"/>
    <n v="3951615"/>
    <n v="1117892"/>
    <n v="1136009"/>
    <n v="13242"/>
  </r>
  <r>
    <x v="8"/>
    <x v="0"/>
    <s v="VIC"/>
    <s v="No agreement"/>
    <s v="100% MBS Fee to 125% MBS Fee"/>
    <n v="3320350"/>
    <n v="2200730"/>
    <n v="730556"/>
    <n v="24446"/>
  </r>
  <r>
    <x v="8"/>
    <x v="0"/>
    <s v="VIC"/>
    <s v="No agreement"/>
    <s v="More than 125% MBS Fee to 150% MBS Fee"/>
    <n v="3194171"/>
    <n v="1724637"/>
    <n v="628224"/>
    <n v="17661"/>
  </r>
  <r>
    <x v="8"/>
    <x v="0"/>
    <s v="VIC"/>
    <s v="No agreement"/>
    <s v="More than 150% MBS Fee to 200% MBS Fee"/>
    <n v="7031869"/>
    <n v="3049094"/>
    <n v="1062604"/>
    <n v="45004"/>
  </r>
  <r>
    <x v="8"/>
    <x v="0"/>
    <s v="VIC"/>
    <s v="No agreement"/>
    <s v="More than 200% MBS Fee"/>
    <n v="6783301"/>
    <n v="1872112"/>
    <n v="676177"/>
    <n v="17803"/>
  </r>
  <r>
    <x v="8"/>
    <x v="0"/>
    <s v="VIC"/>
    <s v="No agreement"/>
    <s v="Up to MBS Fee"/>
    <n v="11351525"/>
    <n v="8577823"/>
    <n v="2773388"/>
    <n v="153670"/>
  </r>
  <r>
    <x v="8"/>
    <x v="0"/>
    <s v="VIC"/>
    <s v="No gap agreement"/>
    <s v="100% MBS Fee to 125% MBS Fee"/>
    <n v="19748301"/>
    <n v="12651374"/>
    <n v="7096926"/>
    <n v="239868"/>
  </r>
  <r>
    <x v="8"/>
    <x v="0"/>
    <s v="VIC"/>
    <s v="No gap agreement"/>
    <s v="More than 125% MBS Fee to 150% MBS Fee"/>
    <n v="43356290"/>
    <n v="24189454"/>
    <n v="19166838"/>
    <n v="311017"/>
  </r>
  <r>
    <x v="8"/>
    <x v="0"/>
    <s v="VIC"/>
    <s v="No gap agreement"/>
    <s v="More than 150% MBS Fee to 200% MBS Fee"/>
    <n v="22217183"/>
    <n v="10501835"/>
    <n v="11715348"/>
    <n v="171553"/>
  </r>
  <r>
    <x v="8"/>
    <x v="0"/>
    <s v="VIC"/>
    <s v="No gap agreement"/>
    <s v="More than 200% MBS Fee"/>
    <n v="2256571"/>
    <n v="658375"/>
    <n v="1598193"/>
    <n v="2240"/>
  </r>
  <r>
    <x v="8"/>
    <x v="0"/>
    <s v="VIC"/>
    <s v="No gap agreement"/>
    <s v="Up to MBS Fee"/>
    <n v="3012783"/>
    <n v="2306948"/>
    <n v="705854"/>
    <n v="49273"/>
  </r>
  <r>
    <x v="8"/>
    <x v="0"/>
    <s v="WA"/>
    <s v="Known gap agreement"/>
    <s v="100% MBS Fee to 125% MBS Fee"/>
    <n v="570080"/>
    <n v="365861"/>
    <n v="156365"/>
    <n v="4574"/>
  </r>
  <r>
    <x v="8"/>
    <x v="0"/>
    <s v="WA"/>
    <s v="Known gap agreement"/>
    <s v="More than 125% MBS Fee to 150% MBS Fee"/>
    <n v="2183400"/>
    <n v="1169500"/>
    <n v="717731"/>
    <n v="7528"/>
  </r>
  <r>
    <x v="8"/>
    <x v="0"/>
    <s v="WA"/>
    <s v="Known gap agreement"/>
    <s v="More than 150% MBS Fee to 200% MBS Fee"/>
    <n v="4887320"/>
    <n v="2151567"/>
    <n v="1400841"/>
    <n v="28984"/>
  </r>
  <r>
    <x v="8"/>
    <x v="0"/>
    <s v="WA"/>
    <s v="Known gap agreement"/>
    <s v="More than 200% MBS Fee"/>
    <n v="3774955"/>
    <n v="1107571"/>
    <n v="774997"/>
    <n v="14310"/>
  </r>
  <r>
    <x v="8"/>
    <x v="0"/>
    <s v="WA"/>
    <s v="No agreement"/>
    <s v="100% MBS Fee to 125% MBS Fee"/>
    <n v="860228"/>
    <n v="563480"/>
    <n v="192108"/>
    <n v="5513"/>
  </r>
  <r>
    <x v="8"/>
    <x v="0"/>
    <s v="WA"/>
    <s v="No agreement"/>
    <s v="More than 125% MBS Fee to 150% MBS Fee"/>
    <n v="1448065"/>
    <n v="797966"/>
    <n v="278228"/>
    <n v="15244"/>
  </r>
  <r>
    <x v="8"/>
    <x v="0"/>
    <s v="WA"/>
    <s v="No agreement"/>
    <s v="More than 150% MBS Fee to 200% MBS Fee"/>
    <n v="1359287"/>
    <n v="592642"/>
    <n v="221800"/>
    <n v="7669"/>
  </r>
  <r>
    <x v="8"/>
    <x v="0"/>
    <s v="WA"/>
    <s v="No agreement"/>
    <s v="More than 200% MBS Fee"/>
    <n v="1290043"/>
    <n v="344138"/>
    <n v="179073"/>
    <n v="2685"/>
  </r>
  <r>
    <x v="8"/>
    <x v="0"/>
    <s v="WA"/>
    <s v="No agreement"/>
    <s v="Up to MBS Fee"/>
    <n v="1760170"/>
    <n v="1223731"/>
    <n v="536434"/>
    <n v="30672"/>
  </r>
  <r>
    <x v="8"/>
    <x v="0"/>
    <s v="WA"/>
    <s v="No gap agreement"/>
    <s v="100% MBS Fee to 125% MBS Fee"/>
    <n v="10142554"/>
    <n v="6401024"/>
    <n v="3741529"/>
    <n v="120903"/>
  </r>
  <r>
    <x v="8"/>
    <x v="0"/>
    <s v="WA"/>
    <s v="No gap agreement"/>
    <s v="More than 125% MBS Fee to 150% MBS Fee"/>
    <n v="12826168"/>
    <n v="6962248"/>
    <n v="5863914"/>
    <n v="48789"/>
  </r>
  <r>
    <x v="8"/>
    <x v="0"/>
    <s v="WA"/>
    <s v="No gap agreement"/>
    <s v="More than 150% MBS Fee to 200% MBS Fee"/>
    <n v="5708409"/>
    <n v="2711045"/>
    <n v="2997364"/>
    <n v="46391"/>
  </r>
  <r>
    <x v="8"/>
    <x v="0"/>
    <s v="WA"/>
    <s v="No gap agreement"/>
    <s v="More than 200% MBS Fee"/>
    <n v="1526360"/>
    <n v="396153"/>
    <n v="1130206"/>
    <n v="1489"/>
  </r>
  <r>
    <x v="8"/>
    <x v="0"/>
    <s v="WA"/>
    <s v="No gap agreement"/>
    <s v="Up to MBS Fee"/>
    <n v="1847386"/>
    <n v="1425129"/>
    <n v="422267"/>
    <n v="25841"/>
  </r>
  <r>
    <x v="8"/>
    <x v="2"/>
    <s v="ACT"/>
    <s v="Known gap agreement"/>
    <s v="100% MBS Fee to 125% MBS Fee"/>
    <n v="0"/>
    <n v="0"/>
    <n v="0"/>
    <n v="0"/>
  </r>
  <r>
    <x v="8"/>
    <x v="2"/>
    <s v="ACT"/>
    <s v="Known gap agreement"/>
    <s v="More than 125% MBS Fee to 150% MBS Fee"/>
    <n v="0"/>
    <n v="0"/>
    <n v="0"/>
    <n v="0"/>
  </r>
  <r>
    <x v="8"/>
    <x v="2"/>
    <s v="ACT"/>
    <s v="Known gap agreement"/>
    <s v="More than 150% MBS Fee to 200% MBS Fee"/>
    <n v="0"/>
    <n v="0"/>
    <n v="0"/>
    <n v="0"/>
  </r>
  <r>
    <x v="8"/>
    <x v="2"/>
    <s v="ACT"/>
    <s v="Known gap agreement"/>
    <s v="More than 200% MBS Fee"/>
    <n v="0"/>
    <n v="0"/>
    <n v="0"/>
    <n v="0"/>
  </r>
  <r>
    <x v="8"/>
    <x v="2"/>
    <s v="ACT"/>
    <s v="No agreement"/>
    <s v="100% MBS Fee to 125% MBS Fee"/>
    <n v="0"/>
    <n v="0"/>
    <n v="0"/>
    <n v="0"/>
  </r>
  <r>
    <x v="8"/>
    <x v="2"/>
    <s v="ACT"/>
    <s v="No agreement"/>
    <s v="More than 125% MBS Fee to 150% MBS Fee"/>
    <n v="0"/>
    <n v="0"/>
    <n v="0"/>
    <n v="0"/>
  </r>
  <r>
    <x v="8"/>
    <x v="2"/>
    <s v="ACT"/>
    <s v="No agreement"/>
    <s v="More than 150% MBS Fee to 200% MBS Fee"/>
    <n v="0"/>
    <n v="0"/>
    <n v="0"/>
    <n v="0"/>
  </r>
  <r>
    <x v="8"/>
    <x v="2"/>
    <s v="ACT"/>
    <s v="No agreement"/>
    <s v="More than 200% MBS Fee"/>
    <n v="0"/>
    <n v="0"/>
    <n v="0"/>
    <n v="0"/>
  </r>
  <r>
    <x v="8"/>
    <x v="2"/>
    <s v="ACT"/>
    <s v="No agreement"/>
    <s v="Up to MBS Fee"/>
    <n v="0"/>
    <n v="0"/>
    <n v="0"/>
    <n v="0"/>
  </r>
  <r>
    <x v="8"/>
    <x v="2"/>
    <s v="ACT"/>
    <s v="No gap agreement"/>
    <s v="100% MBS Fee to 125% MBS Fee"/>
    <n v="0"/>
    <n v="0"/>
    <n v="0"/>
    <n v="0"/>
  </r>
  <r>
    <x v="8"/>
    <x v="2"/>
    <s v="ACT"/>
    <s v="No gap agreement"/>
    <s v="More than 125% MBS Fee to 150% MBS Fee"/>
    <n v="0"/>
    <n v="0"/>
    <n v="0"/>
    <n v="0"/>
  </r>
  <r>
    <x v="8"/>
    <x v="2"/>
    <s v="ACT"/>
    <s v="No gap agreement"/>
    <s v="More than 150% MBS Fee to 200% MBS Fee"/>
    <n v="0"/>
    <n v="0"/>
    <n v="0"/>
    <n v="0"/>
  </r>
  <r>
    <x v="8"/>
    <x v="2"/>
    <s v="ACT"/>
    <s v="No gap agreement"/>
    <s v="More than 200% MBS Fee"/>
    <n v="0"/>
    <n v="0"/>
    <n v="0"/>
    <n v="0"/>
  </r>
  <r>
    <x v="8"/>
    <x v="2"/>
    <s v="ACT"/>
    <s v="No gap agreement"/>
    <s v="Up to MBS Fee"/>
    <n v="0"/>
    <n v="0"/>
    <n v="0"/>
    <n v="0"/>
  </r>
  <r>
    <x v="8"/>
    <x v="2"/>
    <s v="NSW"/>
    <s v="Known gap agreement"/>
    <s v="100% MBS Fee to 125% MBS Fee"/>
    <n v="708377"/>
    <n v="457548"/>
    <n v="195070"/>
    <n v="4616"/>
  </r>
  <r>
    <x v="8"/>
    <x v="2"/>
    <s v="NSW"/>
    <s v="Known gap agreement"/>
    <s v="More than 125% MBS Fee to 150% MBS Fee"/>
    <n v="1265439"/>
    <n v="689354"/>
    <n v="410337"/>
    <n v="7458"/>
  </r>
  <r>
    <x v="8"/>
    <x v="2"/>
    <s v="NSW"/>
    <s v="Known gap agreement"/>
    <s v="More than 150% MBS Fee to 200% MBS Fee"/>
    <n v="2095608"/>
    <n v="908958"/>
    <n v="739449"/>
    <n v="9000"/>
  </r>
  <r>
    <x v="8"/>
    <x v="2"/>
    <s v="NSW"/>
    <s v="Known gap agreement"/>
    <s v="More than 200% MBS Fee"/>
    <n v="2446797"/>
    <n v="702821"/>
    <n v="614080"/>
    <n v="7791"/>
  </r>
  <r>
    <x v="8"/>
    <x v="2"/>
    <s v="NSW"/>
    <s v="No agreement"/>
    <s v="100% MBS Fee to 125% MBS Fee"/>
    <n v="5235704"/>
    <n v="3482911"/>
    <n v="1148676"/>
    <n v="40482"/>
  </r>
  <r>
    <x v="8"/>
    <x v="2"/>
    <s v="NSW"/>
    <s v="No agreement"/>
    <s v="More than 125% MBS Fee to 150% MBS Fee"/>
    <n v="7492567"/>
    <n v="4087368"/>
    <n v="1361577"/>
    <n v="46146"/>
  </r>
  <r>
    <x v="8"/>
    <x v="2"/>
    <s v="NSW"/>
    <s v="No agreement"/>
    <s v="More than 150% MBS Fee to 200% MBS Fee"/>
    <n v="22147605"/>
    <n v="9455145"/>
    <n v="3167771"/>
    <n v="92843"/>
  </r>
  <r>
    <x v="8"/>
    <x v="2"/>
    <s v="NSW"/>
    <s v="No agreement"/>
    <s v="More than 200% MBS Fee"/>
    <n v="39582930"/>
    <n v="11282622"/>
    <n v="3860220"/>
    <n v="98664"/>
  </r>
  <r>
    <x v="8"/>
    <x v="2"/>
    <s v="NSW"/>
    <s v="No agreement"/>
    <s v="Up to MBS Fee"/>
    <n v="22698780"/>
    <n v="17238697"/>
    <n v="5459998"/>
    <n v="371683"/>
  </r>
  <r>
    <x v="8"/>
    <x v="2"/>
    <s v="NSW"/>
    <s v="No gap agreement"/>
    <s v="100% MBS Fee to 125% MBS Fee"/>
    <n v="24521136"/>
    <n v="15718365"/>
    <n v="8802770"/>
    <n v="302164"/>
  </r>
  <r>
    <x v="8"/>
    <x v="2"/>
    <s v="NSW"/>
    <s v="No gap agreement"/>
    <s v="More than 125% MBS Fee to 150% MBS Fee"/>
    <n v="32057051"/>
    <n v="17505273"/>
    <n v="14551776"/>
    <n v="147239"/>
  </r>
  <r>
    <x v="8"/>
    <x v="2"/>
    <s v="NSW"/>
    <s v="No gap agreement"/>
    <s v="More than 150% MBS Fee to 200% MBS Fee"/>
    <n v="15841703"/>
    <n v="7583594"/>
    <n v="8258109"/>
    <n v="125139"/>
  </r>
  <r>
    <x v="8"/>
    <x v="2"/>
    <s v="NSW"/>
    <s v="No gap agreement"/>
    <s v="More than 200% MBS Fee"/>
    <n v="3826513"/>
    <n v="1110153"/>
    <n v="2716362"/>
    <n v="3982"/>
  </r>
  <r>
    <x v="8"/>
    <x v="2"/>
    <s v="NSW"/>
    <s v="No gap agreement"/>
    <s v="Up to MBS Fee"/>
    <n v="1912557"/>
    <n v="1465604"/>
    <n v="446971"/>
    <n v="31626"/>
  </r>
  <r>
    <x v="8"/>
    <x v="2"/>
    <s v="NT"/>
    <s v="Known gap agreement"/>
    <s v="100% MBS Fee to 125% MBS Fee"/>
    <n v="2749"/>
    <n v="1904"/>
    <n v="785"/>
    <n v="18"/>
  </r>
  <r>
    <x v="8"/>
    <x v="2"/>
    <s v="NT"/>
    <s v="Known gap agreement"/>
    <s v="More than 125% MBS Fee to 150% MBS Fee"/>
    <n v="18086"/>
    <n v="9877"/>
    <n v="6243"/>
    <n v="80"/>
  </r>
  <r>
    <x v="8"/>
    <x v="2"/>
    <s v="NT"/>
    <s v="Known gap agreement"/>
    <s v="More than 150% MBS Fee to 200% MBS Fee"/>
    <n v="38898"/>
    <n v="17061"/>
    <n v="13353"/>
    <n v="153"/>
  </r>
  <r>
    <x v="8"/>
    <x v="2"/>
    <s v="NT"/>
    <s v="Known gap agreement"/>
    <s v="More than 200% MBS Fee"/>
    <n v="42557"/>
    <n v="11595"/>
    <n v="13742"/>
    <n v="94"/>
  </r>
  <r>
    <x v="8"/>
    <x v="2"/>
    <s v="NT"/>
    <s v="No agreement"/>
    <s v="100% MBS Fee to 125% MBS Fee"/>
    <n v="81186"/>
    <n v="56051"/>
    <n v="18593"/>
    <n v="434"/>
  </r>
  <r>
    <x v="8"/>
    <x v="2"/>
    <s v="NT"/>
    <s v="No agreement"/>
    <s v="More than 125% MBS Fee to 150% MBS Fee"/>
    <n v="73420"/>
    <n v="40022"/>
    <n v="13608"/>
    <n v="468"/>
  </r>
  <r>
    <x v="8"/>
    <x v="2"/>
    <s v="NT"/>
    <s v="No agreement"/>
    <s v="More than 150% MBS Fee to 200% MBS Fee"/>
    <n v="204151"/>
    <n v="87867"/>
    <n v="28885"/>
    <n v="960"/>
  </r>
  <r>
    <x v="8"/>
    <x v="2"/>
    <s v="NT"/>
    <s v="No agreement"/>
    <s v="More than 200% MBS Fee"/>
    <n v="382896"/>
    <n v="113442"/>
    <n v="38795"/>
    <n v="862"/>
  </r>
  <r>
    <x v="8"/>
    <x v="2"/>
    <s v="NT"/>
    <s v="No agreement"/>
    <s v="Up to MBS Fee"/>
    <n v="268696"/>
    <n v="203523"/>
    <n v="65173"/>
    <n v="3726"/>
  </r>
  <r>
    <x v="8"/>
    <x v="2"/>
    <s v="NT"/>
    <s v="No gap agreement"/>
    <s v="100% MBS Fee to 125% MBS Fee"/>
    <n v="312770"/>
    <n v="199394"/>
    <n v="113377"/>
    <n v="3881"/>
  </r>
  <r>
    <x v="8"/>
    <x v="2"/>
    <s v="NT"/>
    <s v="No gap agreement"/>
    <s v="More than 125% MBS Fee to 150% MBS Fee"/>
    <n v="522693"/>
    <n v="284553"/>
    <n v="238139"/>
    <n v="2710"/>
  </r>
  <r>
    <x v="8"/>
    <x v="2"/>
    <s v="NT"/>
    <s v="No gap agreement"/>
    <s v="More than 150% MBS Fee to 200% MBS Fee"/>
    <n v="310830"/>
    <n v="147011"/>
    <n v="163820"/>
    <n v="2195"/>
  </r>
  <r>
    <x v="8"/>
    <x v="2"/>
    <s v="NT"/>
    <s v="No gap agreement"/>
    <s v="More than 200% MBS Fee"/>
    <n v="106517"/>
    <n v="30292"/>
    <n v="76225"/>
    <n v="105"/>
  </r>
  <r>
    <x v="8"/>
    <x v="2"/>
    <s v="NT"/>
    <s v="No gap agreement"/>
    <s v="Up to MBS Fee"/>
    <n v="37800"/>
    <n v="28612"/>
    <n v="9186"/>
    <n v="521"/>
  </r>
  <r>
    <x v="8"/>
    <x v="2"/>
    <s v="QLD"/>
    <s v="Known gap agreement"/>
    <s v="100% MBS Fee to 125% MBS Fee"/>
    <n v="443804"/>
    <n v="289715"/>
    <n v="126974"/>
    <n v="3182"/>
  </r>
  <r>
    <x v="8"/>
    <x v="2"/>
    <s v="QLD"/>
    <s v="Known gap agreement"/>
    <s v="More than 125% MBS Fee to 150% MBS Fee"/>
    <n v="999963"/>
    <n v="543142"/>
    <n v="340973"/>
    <n v="4520"/>
  </r>
  <r>
    <x v="8"/>
    <x v="2"/>
    <s v="QLD"/>
    <s v="Known gap agreement"/>
    <s v="More than 150% MBS Fee to 200% MBS Fee"/>
    <n v="3009908"/>
    <n v="1280468"/>
    <n v="1135162"/>
    <n v="9916"/>
  </r>
  <r>
    <x v="8"/>
    <x v="2"/>
    <s v="QLD"/>
    <s v="Known gap agreement"/>
    <s v="More than 200% MBS Fee"/>
    <n v="2539883"/>
    <n v="717296"/>
    <n v="747613"/>
    <n v="8498"/>
  </r>
  <r>
    <x v="8"/>
    <x v="2"/>
    <s v="QLD"/>
    <s v="No agreement"/>
    <s v="100% MBS Fee to 125% MBS Fee"/>
    <n v="3766804"/>
    <n v="2509356"/>
    <n v="853922"/>
    <n v="26305"/>
  </r>
  <r>
    <x v="8"/>
    <x v="2"/>
    <s v="QLD"/>
    <s v="No agreement"/>
    <s v="More than 125% MBS Fee to 150% MBS Fee"/>
    <n v="5562462"/>
    <n v="3066283"/>
    <n v="1047423"/>
    <n v="34821"/>
  </r>
  <r>
    <x v="8"/>
    <x v="2"/>
    <s v="QLD"/>
    <s v="No agreement"/>
    <s v="More than 150% MBS Fee to 200% MBS Fee"/>
    <n v="10583066"/>
    <n v="4556481"/>
    <n v="1515585"/>
    <n v="48551"/>
  </r>
  <r>
    <x v="8"/>
    <x v="2"/>
    <s v="QLD"/>
    <s v="No agreement"/>
    <s v="More than 200% MBS Fee"/>
    <n v="10178015"/>
    <n v="3032752"/>
    <n v="1018532"/>
    <n v="29515"/>
  </r>
  <r>
    <x v="8"/>
    <x v="2"/>
    <s v="QLD"/>
    <s v="No agreement"/>
    <s v="Up to MBS Fee"/>
    <n v="8979114"/>
    <n v="6824666"/>
    <n v="2154445"/>
    <n v="124782"/>
  </r>
  <r>
    <x v="8"/>
    <x v="2"/>
    <s v="QLD"/>
    <s v="No gap agreement"/>
    <s v="100% MBS Fee to 125% MBS Fee"/>
    <n v="20346476"/>
    <n v="13061785"/>
    <n v="7284691"/>
    <n v="300669"/>
  </r>
  <r>
    <x v="8"/>
    <x v="2"/>
    <s v="QLD"/>
    <s v="No gap agreement"/>
    <s v="More than 125% MBS Fee to 150% MBS Fee"/>
    <n v="26681160"/>
    <n v="14605662"/>
    <n v="12075503"/>
    <n v="147783"/>
  </r>
  <r>
    <x v="8"/>
    <x v="2"/>
    <s v="QLD"/>
    <s v="No gap agreement"/>
    <s v="More than 150% MBS Fee to 200% MBS Fee"/>
    <n v="11959560"/>
    <n v="5751544"/>
    <n v="6208019"/>
    <n v="107317"/>
  </r>
  <r>
    <x v="8"/>
    <x v="2"/>
    <s v="QLD"/>
    <s v="No gap agreement"/>
    <s v="More than 200% MBS Fee"/>
    <n v="3165301"/>
    <n v="937505"/>
    <n v="2227795"/>
    <n v="3583"/>
  </r>
  <r>
    <x v="8"/>
    <x v="2"/>
    <s v="QLD"/>
    <s v="No gap agreement"/>
    <s v="Up to MBS Fee"/>
    <n v="959855"/>
    <n v="726182"/>
    <n v="233674"/>
    <n v="13119"/>
  </r>
  <r>
    <x v="8"/>
    <x v="2"/>
    <s v="SA"/>
    <s v="Known gap agreement"/>
    <s v="100% MBS Fee to 125% MBS Fee"/>
    <n v="521389"/>
    <n v="337466"/>
    <n v="136900"/>
    <n v="3011"/>
  </r>
  <r>
    <x v="8"/>
    <x v="2"/>
    <s v="SA"/>
    <s v="Known gap agreement"/>
    <s v="More than 125% MBS Fee to 150% MBS Fee"/>
    <n v="561727"/>
    <n v="309486"/>
    <n v="189449"/>
    <n v="2424"/>
  </r>
  <r>
    <x v="8"/>
    <x v="2"/>
    <s v="SA"/>
    <s v="Known gap agreement"/>
    <s v="More than 150% MBS Fee to 200% MBS Fee"/>
    <n v="839844"/>
    <n v="371491"/>
    <n v="319803"/>
    <n v="3343"/>
  </r>
  <r>
    <x v="8"/>
    <x v="2"/>
    <s v="SA"/>
    <s v="Known gap agreement"/>
    <s v="More than 200% MBS Fee"/>
    <n v="735121"/>
    <n v="194159"/>
    <n v="183905"/>
    <n v="1706"/>
  </r>
  <r>
    <x v="8"/>
    <x v="2"/>
    <s v="SA"/>
    <s v="No agreement"/>
    <s v="100% MBS Fee to 125% MBS Fee"/>
    <n v="535687"/>
    <n v="359565"/>
    <n v="118892"/>
    <n v="4034"/>
  </r>
  <r>
    <x v="8"/>
    <x v="2"/>
    <s v="SA"/>
    <s v="No agreement"/>
    <s v="More than 125% MBS Fee to 150% MBS Fee"/>
    <n v="533794"/>
    <n v="288207"/>
    <n v="97128"/>
    <n v="3741"/>
  </r>
  <r>
    <x v="8"/>
    <x v="2"/>
    <s v="SA"/>
    <s v="No agreement"/>
    <s v="More than 150% MBS Fee to 200% MBS Fee"/>
    <n v="580174"/>
    <n v="252167"/>
    <n v="87358"/>
    <n v="3102"/>
  </r>
  <r>
    <x v="8"/>
    <x v="2"/>
    <s v="SA"/>
    <s v="No agreement"/>
    <s v="More than 200% MBS Fee"/>
    <n v="797741"/>
    <n v="222273"/>
    <n v="72355"/>
    <n v="2453"/>
  </r>
  <r>
    <x v="8"/>
    <x v="2"/>
    <s v="SA"/>
    <s v="No agreement"/>
    <s v="Up to MBS Fee"/>
    <n v="2920348"/>
    <n v="2203221"/>
    <n v="717077"/>
    <n v="49824"/>
  </r>
  <r>
    <x v="8"/>
    <x v="2"/>
    <s v="SA"/>
    <s v="No gap agreement"/>
    <s v="100% MBS Fee to 125% MBS Fee"/>
    <n v="9773695"/>
    <n v="6308378"/>
    <n v="3465315"/>
    <n v="144836"/>
  </r>
  <r>
    <x v="8"/>
    <x v="2"/>
    <s v="SA"/>
    <s v="No gap agreement"/>
    <s v="More than 125% MBS Fee to 150% MBS Fee"/>
    <n v="13970752"/>
    <n v="7645853"/>
    <n v="6324898"/>
    <n v="48151"/>
  </r>
  <r>
    <x v="8"/>
    <x v="2"/>
    <s v="SA"/>
    <s v="No gap agreement"/>
    <s v="More than 150% MBS Fee to 200% MBS Fee"/>
    <n v="11005548"/>
    <n v="5203650"/>
    <n v="5801899"/>
    <n v="72932"/>
  </r>
  <r>
    <x v="8"/>
    <x v="2"/>
    <s v="SA"/>
    <s v="No gap agreement"/>
    <s v="More than 200% MBS Fee"/>
    <n v="961599"/>
    <n v="255623"/>
    <n v="705980"/>
    <n v="1001"/>
  </r>
  <r>
    <x v="8"/>
    <x v="2"/>
    <s v="SA"/>
    <s v="No gap agreement"/>
    <s v="Up to MBS Fee"/>
    <n v="1348201"/>
    <n v="1015392"/>
    <n v="332812"/>
    <n v="14505"/>
  </r>
  <r>
    <x v="8"/>
    <x v="2"/>
    <s v="TAS"/>
    <s v="Known gap agreement"/>
    <s v="100% MBS Fee to 125% MBS Fee"/>
    <n v="22641"/>
    <n v="14478"/>
    <n v="6558"/>
    <n v="210"/>
  </r>
  <r>
    <x v="8"/>
    <x v="2"/>
    <s v="TAS"/>
    <s v="Known gap agreement"/>
    <s v="More than 125% MBS Fee to 150% MBS Fee"/>
    <n v="67640"/>
    <n v="36901"/>
    <n v="26353"/>
    <n v="228"/>
  </r>
  <r>
    <x v="8"/>
    <x v="2"/>
    <s v="TAS"/>
    <s v="Known gap agreement"/>
    <s v="More than 150% MBS Fee to 200% MBS Fee"/>
    <n v="146293"/>
    <n v="64049"/>
    <n v="59767"/>
    <n v="614"/>
  </r>
  <r>
    <x v="8"/>
    <x v="2"/>
    <s v="TAS"/>
    <s v="Known gap agreement"/>
    <s v="More than 200% MBS Fee"/>
    <n v="199775"/>
    <n v="55151"/>
    <n v="55935"/>
    <n v="573"/>
  </r>
  <r>
    <x v="8"/>
    <x v="2"/>
    <s v="TAS"/>
    <s v="No agreement"/>
    <s v="100% MBS Fee to 125% MBS Fee"/>
    <n v="446958"/>
    <n v="298648"/>
    <n v="99177"/>
    <n v="3065"/>
  </r>
  <r>
    <x v="8"/>
    <x v="2"/>
    <s v="TAS"/>
    <s v="No agreement"/>
    <s v="More than 125% MBS Fee to 150% MBS Fee"/>
    <n v="457278"/>
    <n v="251483"/>
    <n v="84687"/>
    <n v="2695"/>
  </r>
  <r>
    <x v="8"/>
    <x v="2"/>
    <s v="TAS"/>
    <s v="No agreement"/>
    <s v="More than 150% MBS Fee to 200% MBS Fee"/>
    <n v="732708"/>
    <n v="315243"/>
    <n v="106433"/>
    <n v="3634"/>
  </r>
  <r>
    <x v="8"/>
    <x v="2"/>
    <s v="TAS"/>
    <s v="No agreement"/>
    <s v="More than 200% MBS Fee"/>
    <n v="1199546"/>
    <n v="321576"/>
    <n v="111011"/>
    <n v="3190"/>
  </r>
  <r>
    <x v="8"/>
    <x v="2"/>
    <s v="TAS"/>
    <s v="No agreement"/>
    <s v="Up to MBS Fee"/>
    <n v="1405876"/>
    <n v="1066438"/>
    <n v="339439"/>
    <n v="22831"/>
  </r>
  <r>
    <x v="8"/>
    <x v="2"/>
    <s v="TAS"/>
    <s v="No gap agreement"/>
    <s v="100% MBS Fee to 125% MBS Fee"/>
    <n v="2460609"/>
    <n v="1594509"/>
    <n v="866100"/>
    <n v="32371"/>
  </r>
  <r>
    <x v="8"/>
    <x v="2"/>
    <s v="TAS"/>
    <s v="No gap agreement"/>
    <s v="More than 125% MBS Fee to 150% MBS Fee"/>
    <n v="3145780"/>
    <n v="1721221"/>
    <n v="1424556"/>
    <n v="13603"/>
  </r>
  <r>
    <x v="8"/>
    <x v="2"/>
    <s v="TAS"/>
    <s v="No gap agreement"/>
    <s v="More than 150% MBS Fee to 200% MBS Fee"/>
    <n v="2222354"/>
    <n v="1057611"/>
    <n v="1164741"/>
    <n v="15041"/>
  </r>
  <r>
    <x v="8"/>
    <x v="2"/>
    <s v="TAS"/>
    <s v="No gap agreement"/>
    <s v="More than 200% MBS Fee"/>
    <n v="379013"/>
    <n v="111511"/>
    <n v="267503"/>
    <n v="399"/>
  </r>
  <r>
    <x v="8"/>
    <x v="2"/>
    <s v="TAS"/>
    <s v="No gap agreement"/>
    <s v="Up to MBS Fee"/>
    <n v="137565"/>
    <n v="105975"/>
    <n v="31589"/>
    <n v="1577"/>
  </r>
  <r>
    <x v="8"/>
    <x v="2"/>
    <s v="VIC"/>
    <s v="Known gap agreement"/>
    <s v="100% MBS Fee to 125% MBS Fee"/>
    <n v="1326136"/>
    <n v="856570"/>
    <n v="390553"/>
    <n v="7016"/>
  </r>
  <r>
    <x v="8"/>
    <x v="2"/>
    <s v="VIC"/>
    <s v="Known gap agreement"/>
    <s v="More than 125% MBS Fee to 150% MBS Fee"/>
    <n v="3725032"/>
    <n v="2021862"/>
    <n v="1284253"/>
    <n v="15938"/>
  </r>
  <r>
    <x v="8"/>
    <x v="2"/>
    <s v="VIC"/>
    <s v="Known gap agreement"/>
    <s v="More than 150% MBS Fee to 200% MBS Fee"/>
    <n v="5561372"/>
    <n v="2418121"/>
    <n v="1995899"/>
    <n v="25134"/>
  </r>
  <r>
    <x v="8"/>
    <x v="2"/>
    <s v="VIC"/>
    <s v="Known gap agreement"/>
    <s v="More than 200% MBS Fee"/>
    <n v="3587647"/>
    <n v="1018202"/>
    <n v="1046208"/>
    <n v="11854"/>
  </r>
  <r>
    <x v="8"/>
    <x v="2"/>
    <s v="VIC"/>
    <s v="No agreement"/>
    <s v="100% MBS Fee to 125% MBS Fee"/>
    <n v="3547746"/>
    <n v="2361118"/>
    <n v="781368"/>
    <n v="25773"/>
  </r>
  <r>
    <x v="8"/>
    <x v="2"/>
    <s v="VIC"/>
    <s v="No agreement"/>
    <s v="More than 125% MBS Fee to 150% MBS Fee"/>
    <n v="3530181"/>
    <n v="1914508"/>
    <n v="643523"/>
    <n v="19260"/>
  </r>
  <r>
    <x v="8"/>
    <x v="2"/>
    <s v="VIC"/>
    <s v="No agreement"/>
    <s v="More than 150% MBS Fee to 200% MBS Fee"/>
    <n v="6939066"/>
    <n v="3021796"/>
    <n v="1014532"/>
    <n v="40467"/>
  </r>
  <r>
    <x v="8"/>
    <x v="2"/>
    <s v="VIC"/>
    <s v="No agreement"/>
    <s v="More than 200% MBS Fee"/>
    <n v="6574200"/>
    <n v="1837646"/>
    <n v="646228"/>
    <n v="17235"/>
  </r>
  <r>
    <x v="8"/>
    <x v="2"/>
    <s v="VIC"/>
    <s v="No agreement"/>
    <s v="Up to MBS Fee"/>
    <n v="11281061"/>
    <n v="8528533"/>
    <n v="2752389"/>
    <n v="148952"/>
  </r>
  <r>
    <x v="8"/>
    <x v="2"/>
    <s v="VIC"/>
    <s v="No gap agreement"/>
    <s v="100% MBS Fee to 125% MBS Fee"/>
    <n v="17735796"/>
    <n v="11370871"/>
    <n v="6364926"/>
    <n v="215097"/>
  </r>
  <r>
    <x v="8"/>
    <x v="2"/>
    <s v="VIC"/>
    <s v="No gap agreement"/>
    <s v="More than 125% MBS Fee to 150% MBS Fee"/>
    <n v="41526330"/>
    <n v="23182357"/>
    <n v="18343971"/>
    <n v="319822"/>
  </r>
  <r>
    <x v="8"/>
    <x v="2"/>
    <s v="VIC"/>
    <s v="No gap agreement"/>
    <s v="More than 150% MBS Fee to 200% MBS Fee"/>
    <n v="20958614"/>
    <n v="9954190"/>
    <n v="11004426"/>
    <n v="163017"/>
  </r>
  <r>
    <x v="8"/>
    <x v="2"/>
    <s v="VIC"/>
    <s v="No gap agreement"/>
    <s v="More than 200% MBS Fee"/>
    <n v="2071971"/>
    <n v="605241"/>
    <n v="1466726"/>
    <n v="2046"/>
  </r>
  <r>
    <x v="8"/>
    <x v="2"/>
    <s v="VIC"/>
    <s v="No gap agreement"/>
    <s v="Up to MBS Fee"/>
    <n v="2591928"/>
    <n v="1973636"/>
    <n v="618333"/>
    <n v="42225"/>
  </r>
  <r>
    <x v="8"/>
    <x v="2"/>
    <s v="WA"/>
    <s v="Known gap agreement"/>
    <s v="100% MBS Fee to 125% MBS Fee"/>
    <n v="586934"/>
    <n v="368767"/>
    <n v="157477"/>
    <n v="4174"/>
  </r>
  <r>
    <x v="8"/>
    <x v="2"/>
    <s v="WA"/>
    <s v="Known gap agreement"/>
    <s v="More than 125% MBS Fee to 150% MBS Fee"/>
    <n v="2262052"/>
    <n v="1211121"/>
    <n v="721371"/>
    <n v="8135"/>
  </r>
  <r>
    <x v="8"/>
    <x v="2"/>
    <s v="WA"/>
    <s v="Known gap agreement"/>
    <s v="More than 150% MBS Fee to 200% MBS Fee"/>
    <n v="4955049"/>
    <n v="2176418"/>
    <n v="1304637"/>
    <n v="28781"/>
  </r>
  <r>
    <x v="8"/>
    <x v="2"/>
    <s v="WA"/>
    <s v="Known gap agreement"/>
    <s v="More than 200% MBS Fee"/>
    <n v="3149131"/>
    <n v="954862"/>
    <n v="672578"/>
    <n v="12406"/>
  </r>
  <r>
    <x v="8"/>
    <x v="2"/>
    <s v="WA"/>
    <s v="No agreement"/>
    <s v="100% MBS Fee to 125% MBS Fee"/>
    <n v="1188876"/>
    <n v="776954"/>
    <n v="254074"/>
    <n v="10066"/>
  </r>
  <r>
    <x v="8"/>
    <x v="2"/>
    <s v="WA"/>
    <s v="No agreement"/>
    <s v="More than 125% MBS Fee to 150% MBS Fee"/>
    <n v="1307603"/>
    <n v="714179"/>
    <n v="242865"/>
    <n v="10929"/>
  </r>
  <r>
    <x v="8"/>
    <x v="2"/>
    <s v="WA"/>
    <s v="No agreement"/>
    <s v="More than 150% MBS Fee to 200% MBS Fee"/>
    <n v="1541464"/>
    <n v="670333"/>
    <n v="340440"/>
    <n v="8192"/>
  </r>
  <r>
    <x v="8"/>
    <x v="2"/>
    <s v="WA"/>
    <s v="No agreement"/>
    <s v="More than 200% MBS Fee"/>
    <n v="1285767"/>
    <n v="348683"/>
    <n v="169139"/>
    <n v="3496"/>
  </r>
  <r>
    <x v="8"/>
    <x v="2"/>
    <s v="WA"/>
    <s v="No agreement"/>
    <s v="Up to MBS Fee"/>
    <n v="1751970"/>
    <n v="1326019"/>
    <n v="425953"/>
    <n v="27092"/>
  </r>
  <r>
    <x v="8"/>
    <x v="2"/>
    <s v="WA"/>
    <s v="No gap agreement"/>
    <s v="100% MBS Fee to 125% MBS Fee"/>
    <n v="9945001"/>
    <n v="6301812"/>
    <n v="3642059"/>
    <n v="104073"/>
  </r>
  <r>
    <x v="8"/>
    <x v="2"/>
    <s v="WA"/>
    <s v="No gap agreement"/>
    <s v="More than 125% MBS Fee to 150% MBS Fee"/>
    <n v="11350720"/>
    <n v="6143195"/>
    <n v="5140652"/>
    <n v="53567"/>
  </r>
  <r>
    <x v="8"/>
    <x v="2"/>
    <s v="WA"/>
    <s v="No gap agreement"/>
    <s v="More than 150% MBS Fee to 200% MBS Fee"/>
    <n v="6001721"/>
    <n v="2825390"/>
    <n v="3081612"/>
    <n v="46390"/>
  </r>
  <r>
    <x v="8"/>
    <x v="2"/>
    <s v="WA"/>
    <s v="No gap agreement"/>
    <s v="More than 200% MBS Fee"/>
    <n v="2060248"/>
    <n v="505666"/>
    <n v="1281534"/>
    <n v="3130"/>
  </r>
  <r>
    <x v="8"/>
    <x v="2"/>
    <s v="WA"/>
    <s v="No gap agreement"/>
    <s v="Up to MBS Fee"/>
    <n v="1930652"/>
    <n v="1472302"/>
    <n v="458351"/>
    <n v="27122"/>
  </r>
  <r>
    <x v="8"/>
    <x v="3"/>
    <s v="ACT"/>
    <s v="Known gap agreement"/>
    <s v="100% MBS Fee to 125% MBS Fee"/>
    <n v="0"/>
    <n v="0"/>
    <n v="0"/>
    <n v="0"/>
  </r>
  <r>
    <x v="8"/>
    <x v="3"/>
    <s v="ACT"/>
    <s v="Known gap agreement"/>
    <s v="More than 125% MBS Fee to 150% MBS Fee"/>
    <n v="0"/>
    <n v="0"/>
    <n v="0"/>
    <n v="0"/>
  </r>
  <r>
    <x v="8"/>
    <x v="3"/>
    <s v="ACT"/>
    <s v="Known gap agreement"/>
    <s v="More than 150% MBS Fee to 200% MBS Fee"/>
    <n v="0"/>
    <n v="0"/>
    <n v="0"/>
    <n v="0"/>
  </r>
  <r>
    <x v="8"/>
    <x v="3"/>
    <s v="ACT"/>
    <s v="Known gap agreement"/>
    <s v="More than 200% MBS Fee"/>
    <n v="0"/>
    <n v="0"/>
    <n v="0"/>
    <n v="0"/>
  </r>
  <r>
    <x v="8"/>
    <x v="3"/>
    <s v="ACT"/>
    <s v="No agreement"/>
    <s v="100% MBS Fee to 125% MBS Fee"/>
    <n v="0"/>
    <n v="0"/>
    <n v="0"/>
    <n v="0"/>
  </r>
  <r>
    <x v="8"/>
    <x v="3"/>
    <s v="ACT"/>
    <s v="No agreement"/>
    <s v="More than 125% MBS Fee to 150% MBS Fee"/>
    <n v="0"/>
    <n v="0"/>
    <n v="0"/>
    <n v="0"/>
  </r>
  <r>
    <x v="8"/>
    <x v="3"/>
    <s v="ACT"/>
    <s v="No agreement"/>
    <s v="More than 150% MBS Fee to 200% MBS Fee"/>
    <n v="0"/>
    <n v="0"/>
    <n v="0"/>
    <n v="0"/>
  </r>
  <r>
    <x v="8"/>
    <x v="3"/>
    <s v="ACT"/>
    <s v="No agreement"/>
    <s v="More than 200% MBS Fee"/>
    <n v="0"/>
    <n v="0"/>
    <n v="0"/>
    <n v="0"/>
  </r>
  <r>
    <x v="8"/>
    <x v="3"/>
    <s v="ACT"/>
    <s v="No agreement"/>
    <s v="Up to MBS Fee"/>
    <n v="0"/>
    <n v="0"/>
    <n v="0"/>
    <n v="0"/>
  </r>
  <r>
    <x v="8"/>
    <x v="3"/>
    <s v="ACT"/>
    <s v="No gap agreement"/>
    <s v="100% MBS Fee to 125% MBS Fee"/>
    <n v="0"/>
    <n v="0"/>
    <n v="0"/>
    <n v="0"/>
  </r>
  <r>
    <x v="8"/>
    <x v="3"/>
    <s v="ACT"/>
    <s v="No gap agreement"/>
    <s v="More than 125% MBS Fee to 150% MBS Fee"/>
    <n v="0"/>
    <n v="0"/>
    <n v="0"/>
    <n v="0"/>
  </r>
  <r>
    <x v="8"/>
    <x v="3"/>
    <s v="ACT"/>
    <s v="No gap agreement"/>
    <s v="More than 150% MBS Fee to 200% MBS Fee"/>
    <n v="0"/>
    <n v="0"/>
    <n v="0"/>
    <n v="0"/>
  </r>
  <r>
    <x v="8"/>
    <x v="3"/>
    <s v="ACT"/>
    <s v="No gap agreement"/>
    <s v="More than 200% MBS Fee"/>
    <n v="0"/>
    <n v="0"/>
    <n v="0"/>
    <n v="0"/>
  </r>
  <r>
    <x v="8"/>
    <x v="3"/>
    <s v="ACT"/>
    <s v="No gap agreement"/>
    <s v="Up to MBS Fee"/>
    <n v="0"/>
    <n v="0"/>
    <n v="0"/>
    <n v="0"/>
  </r>
  <r>
    <x v="8"/>
    <x v="3"/>
    <s v="NSW"/>
    <s v="Known gap agreement"/>
    <s v="100% MBS Fee to 125% MBS Fee"/>
    <n v="638552"/>
    <n v="411933"/>
    <n v="178804"/>
    <n v="4584"/>
  </r>
  <r>
    <x v="8"/>
    <x v="3"/>
    <s v="NSW"/>
    <s v="Known gap agreement"/>
    <s v="More than 125% MBS Fee to 150% MBS Fee"/>
    <n v="1270176"/>
    <n v="690567"/>
    <n v="408456"/>
    <n v="8358"/>
  </r>
  <r>
    <x v="8"/>
    <x v="3"/>
    <s v="NSW"/>
    <s v="Known gap agreement"/>
    <s v="More than 150% MBS Fee to 200% MBS Fee"/>
    <n v="2177826"/>
    <n v="951375"/>
    <n v="772939"/>
    <n v="9116"/>
  </r>
  <r>
    <x v="8"/>
    <x v="3"/>
    <s v="NSW"/>
    <s v="Known gap agreement"/>
    <s v="More than 200% MBS Fee"/>
    <n v="2345900"/>
    <n v="635886"/>
    <n v="630370"/>
    <n v="8047"/>
  </r>
  <r>
    <x v="8"/>
    <x v="3"/>
    <s v="NSW"/>
    <s v="No agreement"/>
    <s v="100% MBS Fee to 125% MBS Fee"/>
    <n v="5401141"/>
    <n v="3687436"/>
    <n v="1241644"/>
    <n v="44623"/>
  </r>
  <r>
    <x v="8"/>
    <x v="3"/>
    <s v="NSW"/>
    <s v="No agreement"/>
    <s v="More than 125% MBS Fee to 150% MBS Fee"/>
    <n v="7606478"/>
    <n v="4144169"/>
    <n v="1417993"/>
    <n v="48877"/>
  </r>
  <r>
    <x v="8"/>
    <x v="3"/>
    <s v="NSW"/>
    <s v="No agreement"/>
    <s v="More than 150% MBS Fee to 200% MBS Fee"/>
    <n v="21161908"/>
    <n v="9060698"/>
    <n v="3046331"/>
    <n v="90384"/>
  </r>
  <r>
    <x v="8"/>
    <x v="3"/>
    <s v="NSW"/>
    <s v="No agreement"/>
    <s v="More than 200% MBS Fee"/>
    <n v="34932956"/>
    <n v="10050147"/>
    <n v="3475550"/>
    <n v="88345"/>
  </r>
  <r>
    <x v="8"/>
    <x v="3"/>
    <s v="NSW"/>
    <s v="No agreement"/>
    <s v="Up to MBS Fee"/>
    <n v="22564660"/>
    <n v="17041443"/>
    <n v="5523210"/>
    <n v="379216"/>
  </r>
  <r>
    <x v="8"/>
    <x v="3"/>
    <s v="NSW"/>
    <s v="No gap agreement"/>
    <s v="100% MBS Fee to 125% MBS Fee"/>
    <n v="20714416"/>
    <n v="13298963"/>
    <n v="7415454"/>
    <n v="254343"/>
  </r>
  <r>
    <x v="8"/>
    <x v="3"/>
    <s v="NSW"/>
    <s v="No gap agreement"/>
    <s v="More than 125% MBS Fee to 150% MBS Fee"/>
    <n v="29634824"/>
    <n v="16165240"/>
    <n v="13469586"/>
    <n v="154647"/>
  </r>
  <r>
    <x v="8"/>
    <x v="3"/>
    <s v="NSW"/>
    <s v="No gap agreement"/>
    <s v="More than 150% MBS Fee to 200% MBS Fee"/>
    <n v="12479521"/>
    <n v="5945947"/>
    <n v="6533574"/>
    <n v="99903"/>
  </r>
  <r>
    <x v="8"/>
    <x v="3"/>
    <s v="NSW"/>
    <s v="No gap agreement"/>
    <s v="More than 200% MBS Fee"/>
    <n v="4410858"/>
    <n v="1215317"/>
    <n v="3195539"/>
    <n v="4443"/>
  </r>
  <r>
    <x v="8"/>
    <x v="3"/>
    <s v="NSW"/>
    <s v="No gap agreement"/>
    <s v="Up to MBS Fee"/>
    <n v="1596581"/>
    <n v="1208428"/>
    <n v="388154"/>
    <n v="28569"/>
  </r>
  <r>
    <x v="8"/>
    <x v="3"/>
    <s v="NT"/>
    <s v="Known gap agreement"/>
    <s v="100% MBS Fee to 125% MBS Fee"/>
    <n v="2483"/>
    <n v="1536"/>
    <n v="690"/>
    <n v="14"/>
  </r>
  <r>
    <x v="8"/>
    <x v="3"/>
    <s v="NT"/>
    <s v="Known gap agreement"/>
    <s v="More than 125% MBS Fee to 150% MBS Fee"/>
    <n v="17870"/>
    <n v="9999"/>
    <n v="6097"/>
    <n v="88"/>
  </r>
  <r>
    <x v="8"/>
    <x v="3"/>
    <s v="NT"/>
    <s v="Known gap agreement"/>
    <s v="More than 150% MBS Fee to 200% MBS Fee"/>
    <n v="23199"/>
    <n v="10242"/>
    <n v="8871"/>
    <n v="95"/>
  </r>
  <r>
    <x v="8"/>
    <x v="3"/>
    <s v="NT"/>
    <s v="Known gap agreement"/>
    <s v="More than 200% MBS Fee"/>
    <n v="52071"/>
    <n v="13720"/>
    <n v="17275"/>
    <n v="80"/>
  </r>
  <r>
    <x v="8"/>
    <x v="3"/>
    <s v="NT"/>
    <s v="No agreement"/>
    <s v="100% MBS Fee to 125% MBS Fee"/>
    <n v="71005"/>
    <n v="48218"/>
    <n v="16020"/>
    <n v="392"/>
  </r>
  <r>
    <x v="8"/>
    <x v="3"/>
    <s v="NT"/>
    <s v="No agreement"/>
    <s v="More than 125% MBS Fee to 150% MBS Fee"/>
    <n v="65704"/>
    <n v="35877"/>
    <n v="11992"/>
    <n v="384"/>
  </r>
  <r>
    <x v="8"/>
    <x v="3"/>
    <s v="NT"/>
    <s v="No agreement"/>
    <s v="More than 150% MBS Fee to 200% MBS Fee"/>
    <n v="191593"/>
    <n v="81629"/>
    <n v="26803"/>
    <n v="900"/>
  </r>
  <r>
    <x v="8"/>
    <x v="3"/>
    <s v="NT"/>
    <s v="No agreement"/>
    <s v="More than 200% MBS Fee"/>
    <n v="329553"/>
    <n v="98040"/>
    <n v="32210"/>
    <n v="839"/>
  </r>
  <r>
    <x v="8"/>
    <x v="3"/>
    <s v="NT"/>
    <s v="No agreement"/>
    <s v="Up to MBS Fee"/>
    <n v="218692"/>
    <n v="165268"/>
    <n v="53423"/>
    <n v="3482"/>
  </r>
  <r>
    <x v="8"/>
    <x v="3"/>
    <s v="NT"/>
    <s v="No gap agreement"/>
    <s v="100% MBS Fee to 125% MBS Fee"/>
    <n v="222978"/>
    <n v="142183"/>
    <n v="80794"/>
    <n v="2898"/>
  </r>
  <r>
    <x v="8"/>
    <x v="3"/>
    <s v="NT"/>
    <s v="No gap agreement"/>
    <s v="More than 125% MBS Fee to 150% MBS Fee"/>
    <n v="532969"/>
    <n v="292530"/>
    <n v="240437"/>
    <n v="2919"/>
  </r>
  <r>
    <x v="8"/>
    <x v="3"/>
    <s v="NT"/>
    <s v="No gap agreement"/>
    <s v="More than 150% MBS Fee to 200% MBS Fee"/>
    <n v="262461"/>
    <n v="124371"/>
    <n v="138090"/>
    <n v="2020"/>
  </r>
  <r>
    <x v="8"/>
    <x v="3"/>
    <s v="NT"/>
    <s v="No gap agreement"/>
    <s v="More than 200% MBS Fee"/>
    <n v="102705"/>
    <n v="30210"/>
    <n v="72495"/>
    <n v="107"/>
  </r>
  <r>
    <x v="8"/>
    <x v="3"/>
    <s v="NT"/>
    <s v="No gap agreement"/>
    <s v="Up to MBS Fee"/>
    <n v="28343"/>
    <n v="21356"/>
    <n v="6988"/>
    <n v="461"/>
  </r>
  <r>
    <x v="8"/>
    <x v="3"/>
    <s v="QLD"/>
    <s v="Known gap agreement"/>
    <s v="100% MBS Fee to 125% MBS Fee"/>
    <n v="387472"/>
    <n v="249040"/>
    <n v="119323"/>
    <n v="5845"/>
  </r>
  <r>
    <x v="8"/>
    <x v="3"/>
    <s v="QLD"/>
    <s v="Known gap agreement"/>
    <s v="More than 125% MBS Fee to 150% MBS Fee"/>
    <n v="978688"/>
    <n v="529644"/>
    <n v="341542"/>
    <n v="4664"/>
  </r>
  <r>
    <x v="8"/>
    <x v="3"/>
    <s v="QLD"/>
    <s v="Known gap agreement"/>
    <s v="More than 150% MBS Fee to 200% MBS Fee"/>
    <n v="3143123"/>
    <n v="1333837"/>
    <n v="1195792"/>
    <n v="10647"/>
  </r>
  <r>
    <x v="8"/>
    <x v="3"/>
    <s v="QLD"/>
    <s v="Known gap agreement"/>
    <s v="More than 200% MBS Fee"/>
    <n v="2396108"/>
    <n v="684459"/>
    <n v="723385"/>
    <n v="7809"/>
  </r>
  <r>
    <x v="8"/>
    <x v="3"/>
    <s v="QLD"/>
    <s v="No agreement"/>
    <s v="100% MBS Fee to 125% MBS Fee"/>
    <n v="4440819"/>
    <n v="2794264"/>
    <n v="983284"/>
    <n v="33977"/>
  </r>
  <r>
    <x v="8"/>
    <x v="3"/>
    <s v="QLD"/>
    <s v="No agreement"/>
    <s v="More than 125% MBS Fee to 150% MBS Fee"/>
    <n v="5539225"/>
    <n v="3054489"/>
    <n v="1067395"/>
    <n v="37611"/>
  </r>
  <r>
    <x v="8"/>
    <x v="3"/>
    <s v="QLD"/>
    <s v="No agreement"/>
    <s v="More than 150% MBS Fee to 200% MBS Fee"/>
    <n v="10904806"/>
    <n v="4685262"/>
    <n v="1558397"/>
    <n v="48742"/>
  </r>
  <r>
    <x v="8"/>
    <x v="3"/>
    <s v="QLD"/>
    <s v="No agreement"/>
    <s v="More than 200% MBS Fee"/>
    <n v="10551136"/>
    <n v="3025674"/>
    <n v="1028089"/>
    <n v="31598"/>
  </r>
  <r>
    <x v="8"/>
    <x v="3"/>
    <s v="QLD"/>
    <s v="No agreement"/>
    <s v="Up to MBS Fee"/>
    <n v="9304025"/>
    <n v="7060638"/>
    <n v="2243385"/>
    <n v="134455"/>
  </r>
  <r>
    <x v="8"/>
    <x v="3"/>
    <s v="QLD"/>
    <s v="No gap agreement"/>
    <s v="100% MBS Fee to 125% MBS Fee"/>
    <n v="18099673"/>
    <n v="11694302"/>
    <n v="6405369"/>
    <n v="284212"/>
  </r>
  <r>
    <x v="8"/>
    <x v="3"/>
    <s v="QLD"/>
    <s v="No gap agreement"/>
    <s v="More than 125% MBS Fee to 150% MBS Fee"/>
    <n v="25786829"/>
    <n v="14083110"/>
    <n v="11703720"/>
    <n v="159096"/>
  </r>
  <r>
    <x v="8"/>
    <x v="3"/>
    <s v="QLD"/>
    <s v="No gap agreement"/>
    <s v="More than 150% MBS Fee to 200% MBS Fee"/>
    <n v="8918292"/>
    <n v="4268300"/>
    <n v="4649990"/>
    <n v="79276"/>
  </r>
  <r>
    <x v="8"/>
    <x v="3"/>
    <s v="QLD"/>
    <s v="No gap agreement"/>
    <s v="More than 200% MBS Fee"/>
    <n v="2781157"/>
    <n v="830089"/>
    <n v="1951066"/>
    <n v="3157"/>
  </r>
  <r>
    <x v="8"/>
    <x v="3"/>
    <s v="QLD"/>
    <s v="No gap agreement"/>
    <s v="Up to MBS Fee"/>
    <n v="761289"/>
    <n v="576848"/>
    <n v="184438"/>
    <n v="11509"/>
  </r>
  <r>
    <x v="8"/>
    <x v="3"/>
    <s v="SA"/>
    <s v="Known gap agreement"/>
    <s v="100% MBS Fee to 125% MBS Fee"/>
    <n v="270310"/>
    <n v="174467"/>
    <n v="78606"/>
    <n v="2149"/>
  </r>
  <r>
    <x v="8"/>
    <x v="3"/>
    <s v="SA"/>
    <s v="Known gap agreement"/>
    <s v="More than 125% MBS Fee to 150% MBS Fee"/>
    <n v="707879"/>
    <n v="388994"/>
    <n v="262515"/>
    <n v="2830"/>
  </r>
  <r>
    <x v="8"/>
    <x v="3"/>
    <s v="SA"/>
    <s v="Known gap agreement"/>
    <s v="More than 150% MBS Fee to 200% MBS Fee"/>
    <n v="720833"/>
    <n v="326898"/>
    <n v="299551"/>
    <n v="3848"/>
  </r>
  <r>
    <x v="8"/>
    <x v="3"/>
    <s v="SA"/>
    <s v="Known gap agreement"/>
    <s v="More than 200% MBS Fee"/>
    <n v="350021"/>
    <n v="97181"/>
    <n v="89200"/>
    <n v="805"/>
  </r>
  <r>
    <x v="8"/>
    <x v="3"/>
    <s v="SA"/>
    <s v="No agreement"/>
    <s v="100% MBS Fee to 125% MBS Fee"/>
    <n v="642681"/>
    <n v="434624"/>
    <n v="147794"/>
    <n v="4924"/>
  </r>
  <r>
    <x v="8"/>
    <x v="3"/>
    <s v="SA"/>
    <s v="No agreement"/>
    <s v="More than 125% MBS Fee to 150% MBS Fee"/>
    <n v="519761"/>
    <n v="280317"/>
    <n v="97836"/>
    <n v="3640"/>
  </r>
  <r>
    <x v="8"/>
    <x v="3"/>
    <s v="SA"/>
    <s v="No agreement"/>
    <s v="More than 150% MBS Fee to 200% MBS Fee"/>
    <n v="675795"/>
    <n v="294729"/>
    <n v="102805"/>
    <n v="3702"/>
  </r>
  <r>
    <x v="8"/>
    <x v="3"/>
    <s v="SA"/>
    <s v="No agreement"/>
    <s v="More than 200% MBS Fee"/>
    <n v="808996"/>
    <n v="209582"/>
    <n v="83544"/>
    <n v="2527"/>
  </r>
  <r>
    <x v="8"/>
    <x v="3"/>
    <s v="SA"/>
    <s v="No agreement"/>
    <s v="Up to MBS Fee"/>
    <n v="2873553"/>
    <n v="2163856"/>
    <n v="709673"/>
    <n v="52880"/>
  </r>
  <r>
    <x v="8"/>
    <x v="3"/>
    <s v="SA"/>
    <s v="No gap agreement"/>
    <s v="100% MBS Fee to 125% MBS Fee"/>
    <n v="9163012"/>
    <n v="5941917"/>
    <n v="3221097"/>
    <n v="142059"/>
  </r>
  <r>
    <x v="8"/>
    <x v="3"/>
    <s v="SA"/>
    <s v="No gap agreement"/>
    <s v="More than 125% MBS Fee to 150% MBS Fee"/>
    <n v="14007328"/>
    <n v="7681697"/>
    <n v="6325631"/>
    <n v="53791"/>
  </r>
  <r>
    <x v="8"/>
    <x v="3"/>
    <s v="SA"/>
    <s v="No gap agreement"/>
    <s v="More than 150% MBS Fee to 200% MBS Fee"/>
    <n v="9653228"/>
    <n v="4590307"/>
    <n v="5062918"/>
    <n v="67313"/>
  </r>
  <r>
    <x v="8"/>
    <x v="3"/>
    <s v="SA"/>
    <s v="No gap agreement"/>
    <s v="More than 200% MBS Fee"/>
    <n v="1064937"/>
    <n v="319592"/>
    <n v="745343"/>
    <n v="1612"/>
  </r>
  <r>
    <x v="8"/>
    <x v="3"/>
    <s v="SA"/>
    <s v="No gap agreement"/>
    <s v="Up to MBS Fee"/>
    <n v="788717"/>
    <n v="597631"/>
    <n v="191085"/>
    <n v="7188"/>
  </r>
  <r>
    <x v="8"/>
    <x v="3"/>
    <s v="TAS"/>
    <s v="Known gap agreement"/>
    <s v="100% MBS Fee to 125% MBS Fee"/>
    <n v="19970"/>
    <n v="12746"/>
    <n v="5811"/>
    <n v="121"/>
  </r>
  <r>
    <x v="8"/>
    <x v="3"/>
    <s v="TAS"/>
    <s v="Known gap agreement"/>
    <s v="More than 125% MBS Fee to 150% MBS Fee"/>
    <n v="82144"/>
    <n v="45238"/>
    <n v="28838"/>
    <n v="352"/>
  </r>
  <r>
    <x v="8"/>
    <x v="3"/>
    <s v="TAS"/>
    <s v="Known gap agreement"/>
    <s v="More than 150% MBS Fee to 200% MBS Fee"/>
    <n v="101969"/>
    <n v="44338"/>
    <n v="41849"/>
    <n v="493"/>
  </r>
  <r>
    <x v="8"/>
    <x v="3"/>
    <s v="TAS"/>
    <s v="Known gap agreement"/>
    <s v="More than 200% MBS Fee"/>
    <n v="171750"/>
    <n v="47489"/>
    <n v="47194"/>
    <n v="533"/>
  </r>
  <r>
    <x v="8"/>
    <x v="3"/>
    <s v="TAS"/>
    <s v="No agreement"/>
    <s v="100% MBS Fee to 125% MBS Fee"/>
    <n v="406028"/>
    <n v="270713"/>
    <n v="91270"/>
    <n v="2819"/>
  </r>
  <r>
    <x v="8"/>
    <x v="3"/>
    <s v="TAS"/>
    <s v="No agreement"/>
    <s v="More than 125% MBS Fee to 150% MBS Fee"/>
    <n v="418585"/>
    <n v="231010"/>
    <n v="78449"/>
    <n v="2503"/>
  </r>
  <r>
    <x v="8"/>
    <x v="3"/>
    <s v="TAS"/>
    <s v="No agreement"/>
    <s v="More than 150% MBS Fee to 200% MBS Fee"/>
    <n v="698170"/>
    <n v="298723"/>
    <n v="100047"/>
    <n v="3614"/>
  </r>
  <r>
    <x v="8"/>
    <x v="3"/>
    <s v="TAS"/>
    <s v="No agreement"/>
    <s v="More than 200% MBS Fee"/>
    <n v="1206433"/>
    <n v="319443"/>
    <n v="110598"/>
    <n v="3059"/>
  </r>
  <r>
    <x v="8"/>
    <x v="3"/>
    <s v="TAS"/>
    <s v="No agreement"/>
    <s v="Up to MBS Fee"/>
    <n v="1296338"/>
    <n v="982811"/>
    <n v="313528"/>
    <n v="20709"/>
  </r>
  <r>
    <x v="8"/>
    <x v="3"/>
    <s v="TAS"/>
    <s v="No gap agreement"/>
    <s v="100% MBS Fee to 125% MBS Fee"/>
    <n v="1983888"/>
    <n v="1287209"/>
    <n v="696682"/>
    <n v="27385"/>
  </r>
  <r>
    <x v="8"/>
    <x v="3"/>
    <s v="TAS"/>
    <s v="No gap agreement"/>
    <s v="More than 125% MBS Fee to 150% MBS Fee"/>
    <n v="2826625"/>
    <n v="1540701"/>
    <n v="1285923"/>
    <n v="14132"/>
  </r>
  <r>
    <x v="8"/>
    <x v="3"/>
    <s v="TAS"/>
    <s v="No gap agreement"/>
    <s v="More than 150% MBS Fee to 200% MBS Fee"/>
    <n v="1218276"/>
    <n v="579428"/>
    <n v="638848"/>
    <n v="8234"/>
  </r>
  <r>
    <x v="8"/>
    <x v="3"/>
    <s v="TAS"/>
    <s v="No gap agreement"/>
    <s v="More than 200% MBS Fee"/>
    <n v="328692"/>
    <n v="97156"/>
    <n v="231534"/>
    <n v="331"/>
  </r>
  <r>
    <x v="8"/>
    <x v="3"/>
    <s v="TAS"/>
    <s v="No gap agreement"/>
    <s v="Up to MBS Fee"/>
    <n v="96634"/>
    <n v="73871"/>
    <n v="22761"/>
    <n v="1046"/>
  </r>
  <r>
    <x v="8"/>
    <x v="3"/>
    <s v="VIC"/>
    <s v="Known gap agreement"/>
    <s v="100% MBS Fee to 125% MBS Fee"/>
    <n v="814521"/>
    <n v="533734"/>
    <n v="234668"/>
    <n v="5029"/>
  </r>
  <r>
    <x v="8"/>
    <x v="3"/>
    <s v="VIC"/>
    <s v="Known gap agreement"/>
    <s v="More than 125% MBS Fee to 150% MBS Fee"/>
    <n v="2589901"/>
    <n v="1405103"/>
    <n v="890891"/>
    <n v="13370"/>
  </r>
  <r>
    <x v="8"/>
    <x v="3"/>
    <s v="VIC"/>
    <s v="Known gap agreement"/>
    <s v="More than 150% MBS Fee to 200% MBS Fee"/>
    <n v="4399630"/>
    <n v="1908313"/>
    <n v="1645939"/>
    <n v="21831"/>
  </r>
  <r>
    <x v="8"/>
    <x v="3"/>
    <s v="VIC"/>
    <s v="Known gap agreement"/>
    <s v="More than 200% MBS Fee"/>
    <n v="2890890"/>
    <n v="818854"/>
    <n v="838932"/>
    <n v="10462"/>
  </r>
  <r>
    <x v="8"/>
    <x v="3"/>
    <s v="VIC"/>
    <s v="No agreement"/>
    <s v="100% MBS Fee to 125% MBS Fee"/>
    <n v="3544908"/>
    <n v="2366073"/>
    <n v="790144"/>
    <n v="26405"/>
  </r>
  <r>
    <x v="8"/>
    <x v="3"/>
    <s v="VIC"/>
    <s v="No agreement"/>
    <s v="More than 125% MBS Fee to 150% MBS Fee"/>
    <n v="3461031"/>
    <n v="1880562"/>
    <n v="640789"/>
    <n v="20052"/>
  </r>
  <r>
    <x v="8"/>
    <x v="3"/>
    <s v="VIC"/>
    <s v="No agreement"/>
    <s v="More than 150% MBS Fee to 200% MBS Fee"/>
    <n v="6789269"/>
    <n v="2949700"/>
    <n v="996130"/>
    <n v="40554"/>
  </r>
  <r>
    <x v="8"/>
    <x v="3"/>
    <s v="VIC"/>
    <s v="No agreement"/>
    <s v="More than 200% MBS Fee"/>
    <n v="5926530"/>
    <n v="1678504"/>
    <n v="594475"/>
    <n v="17136"/>
  </r>
  <r>
    <x v="8"/>
    <x v="3"/>
    <s v="VIC"/>
    <s v="No agreement"/>
    <s v="Up to MBS Fee"/>
    <n v="10601794"/>
    <n v="8010652"/>
    <n v="2591146"/>
    <n v="142560"/>
  </r>
  <r>
    <x v="8"/>
    <x v="3"/>
    <s v="VIC"/>
    <s v="No gap agreement"/>
    <s v="100% MBS Fee to 125% MBS Fee"/>
    <n v="16613287"/>
    <n v="10652498"/>
    <n v="5960793"/>
    <n v="209692"/>
  </r>
  <r>
    <x v="8"/>
    <x v="3"/>
    <s v="VIC"/>
    <s v="No gap agreement"/>
    <s v="More than 125% MBS Fee to 150% MBS Fee"/>
    <n v="39216809"/>
    <n v="21884401"/>
    <n v="17332411"/>
    <n v="299252"/>
  </r>
  <r>
    <x v="8"/>
    <x v="3"/>
    <s v="VIC"/>
    <s v="No gap agreement"/>
    <s v="More than 150% MBS Fee to 200% MBS Fee"/>
    <n v="19200512"/>
    <n v="9158897"/>
    <n v="10041618"/>
    <n v="154204"/>
  </r>
  <r>
    <x v="8"/>
    <x v="3"/>
    <s v="VIC"/>
    <s v="No gap agreement"/>
    <s v="More than 200% MBS Fee"/>
    <n v="2473161"/>
    <n v="773363"/>
    <n v="1699800"/>
    <n v="3015"/>
  </r>
  <r>
    <x v="8"/>
    <x v="3"/>
    <s v="VIC"/>
    <s v="No gap agreement"/>
    <s v="Up to MBS Fee"/>
    <n v="2999626"/>
    <n v="2264864"/>
    <n v="734761"/>
    <n v="41173"/>
  </r>
  <r>
    <x v="8"/>
    <x v="3"/>
    <s v="WA"/>
    <s v="Known gap agreement"/>
    <s v="100% MBS Fee to 125% MBS Fee"/>
    <n v="213298"/>
    <n v="140082"/>
    <n v="52648"/>
    <n v="1443"/>
  </r>
  <r>
    <x v="8"/>
    <x v="3"/>
    <s v="WA"/>
    <s v="Known gap agreement"/>
    <s v="More than 125% MBS Fee to 150% MBS Fee"/>
    <n v="818063"/>
    <n v="443021"/>
    <n v="297960"/>
    <n v="3744"/>
  </r>
  <r>
    <x v="8"/>
    <x v="3"/>
    <s v="WA"/>
    <s v="Known gap agreement"/>
    <s v="More than 150% MBS Fee to 200% MBS Fee"/>
    <n v="1449397"/>
    <n v="639367"/>
    <n v="559415"/>
    <n v="6755"/>
  </r>
  <r>
    <x v="8"/>
    <x v="3"/>
    <s v="WA"/>
    <s v="Known gap agreement"/>
    <s v="More than 200% MBS Fee"/>
    <n v="1086048"/>
    <n v="315291"/>
    <n v="365118"/>
    <n v="4065"/>
  </r>
  <r>
    <x v="8"/>
    <x v="3"/>
    <s v="WA"/>
    <s v="No agreement"/>
    <s v="100% MBS Fee to 125% MBS Fee"/>
    <n v="1504084"/>
    <n v="987157"/>
    <n v="267379"/>
    <n v="11208"/>
  </r>
  <r>
    <x v="8"/>
    <x v="3"/>
    <s v="WA"/>
    <s v="No agreement"/>
    <s v="More than 125% MBS Fee to 150% MBS Fee"/>
    <n v="1935060"/>
    <n v="1055336"/>
    <n v="304563"/>
    <n v="12739"/>
  </r>
  <r>
    <x v="8"/>
    <x v="3"/>
    <s v="WA"/>
    <s v="No agreement"/>
    <s v="More than 150% MBS Fee to 200% MBS Fee"/>
    <n v="2330372"/>
    <n v="1013741"/>
    <n v="306979"/>
    <n v="11278"/>
  </r>
  <r>
    <x v="8"/>
    <x v="3"/>
    <s v="WA"/>
    <s v="No agreement"/>
    <s v="More than 200% MBS Fee"/>
    <n v="1915495"/>
    <n v="565019"/>
    <n v="177318"/>
    <n v="5838"/>
  </r>
  <r>
    <x v="8"/>
    <x v="3"/>
    <s v="WA"/>
    <s v="No agreement"/>
    <s v="Up to MBS Fee"/>
    <n v="2045429"/>
    <n v="1574307"/>
    <n v="471121"/>
    <n v="29711"/>
  </r>
  <r>
    <x v="8"/>
    <x v="3"/>
    <s v="WA"/>
    <s v="No gap agreement"/>
    <s v="100% MBS Fee to 125% MBS Fee"/>
    <n v="9563658"/>
    <n v="6106328"/>
    <n v="3457329"/>
    <n v="101166"/>
  </r>
  <r>
    <x v="8"/>
    <x v="3"/>
    <s v="WA"/>
    <s v="No gap agreement"/>
    <s v="More than 125% MBS Fee to 150% MBS Fee"/>
    <n v="10973666"/>
    <n v="6028981"/>
    <n v="4944687"/>
    <n v="49910"/>
  </r>
  <r>
    <x v="8"/>
    <x v="3"/>
    <s v="WA"/>
    <s v="No gap agreement"/>
    <s v="More than 150% MBS Fee to 200% MBS Fee"/>
    <n v="8242126"/>
    <n v="3893009"/>
    <n v="4349115"/>
    <n v="58518"/>
  </r>
  <r>
    <x v="8"/>
    <x v="3"/>
    <s v="WA"/>
    <s v="No gap agreement"/>
    <s v="More than 200% MBS Fee"/>
    <n v="3442307"/>
    <n v="1092150"/>
    <n v="2350161"/>
    <n v="11687"/>
  </r>
  <r>
    <x v="8"/>
    <x v="3"/>
    <s v="WA"/>
    <s v="No gap agreement"/>
    <s v="Up to MBS Fee"/>
    <n v="2245508"/>
    <n v="1706260"/>
    <n v="539247"/>
    <n v="34595"/>
  </r>
  <r>
    <x v="8"/>
    <x v="1"/>
    <s v="ACT"/>
    <s v="Known gap agreement"/>
    <s v="100% MBS Fee to 125% MBS Fee"/>
    <n v="0"/>
    <n v="0"/>
    <n v="0"/>
    <n v="0"/>
  </r>
  <r>
    <x v="8"/>
    <x v="1"/>
    <s v="ACT"/>
    <s v="Known gap agreement"/>
    <s v="More than 125% MBS Fee to 150% MBS Fee"/>
    <n v="0"/>
    <n v="0"/>
    <n v="0"/>
    <n v="0"/>
  </r>
  <r>
    <x v="8"/>
    <x v="1"/>
    <s v="ACT"/>
    <s v="Known gap agreement"/>
    <s v="More than 150% MBS Fee to 200% MBS Fee"/>
    <n v="0"/>
    <n v="0"/>
    <n v="0"/>
    <n v="0"/>
  </r>
  <r>
    <x v="8"/>
    <x v="1"/>
    <s v="ACT"/>
    <s v="Known gap agreement"/>
    <s v="More than 200% MBS Fee"/>
    <n v="0"/>
    <n v="0"/>
    <n v="0"/>
    <n v="0"/>
  </r>
  <r>
    <x v="8"/>
    <x v="1"/>
    <s v="ACT"/>
    <s v="No agreement"/>
    <s v="100% MBS Fee to 125% MBS Fee"/>
    <n v="0"/>
    <n v="0"/>
    <n v="0"/>
    <n v="0"/>
  </r>
  <r>
    <x v="8"/>
    <x v="1"/>
    <s v="ACT"/>
    <s v="No agreement"/>
    <s v="More than 125% MBS Fee to 150% MBS Fee"/>
    <n v="0"/>
    <n v="0"/>
    <n v="0"/>
    <n v="0"/>
  </r>
  <r>
    <x v="8"/>
    <x v="1"/>
    <s v="ACT"/>
    <s v="No agreement"/>
    <s v="More than 150% MBS Fee to 200% MBS Fee"/>
    <n v="0"/>
    <n v="0"/>
    <n v="0"/>
    <n v="0"/>
  </r>
  <r>
    <x v="8"/>
    <x v="1"/>
    <s v="ACT"/>
    <s v="No agreement"/>
    <s v="More than 200% MBS Fee"/>
    <n v="0"/>
    <n v="0"/>
    <n v="0"/>
    <n v="0"/>
  </r>
  <r>
    <x v="8"/>
    <x v="1"/>
    <s v="ACT"/>
    <s v="No agreement"/>
    <s v="Up to MBS Fee"/>
    <n v="0"/>
    <n v="0"/>
    <n v="0"/>
    <n v="0"/>
  </r>
  <r>
    <x v="8"/>
    <x v="1"/>
    <s v="ACT"/>
    <s v="No gap agreement"/>
    <s v="100% MBS Fee to 125% MBS Fee"/>
    <n v="0"/>
    <n v="0"/>
    <n v="0"/>
    <n v="0"/>
  </r>
  <r>
    <x v="8"/>
    <x v="1"/>
    <s v="ACT"/>
    <s v="No gap agreement"/>
    <s v="More than 125% MBS Fee to 150% MBS Fee"/>
    <n v="0"/>
    <n v="0"/>
    <n v="0"/>
    <n v="0"/>
  </r>
  <r>
    <x v="8"/>
    <x v="1"/>
    <s v="ACT"/>
    <s v="No gap agreement"/>
    <s v="More than 150% MBS Fee to 200% MBS Fee"/>
    <n v="0"/>
    <n v="0"/>
    <n v="0"/>
    <n v="0"/>
  </r>
  <r>
    <x v="8"/>
    <x v="1"/>
    <s v="ACT"/>
    <s v="No gap agreement"/>
    <s v="More than 200% MBS Fee"/>
    <n v="0"/>
    <n v="0"/>
    <n v="0"/>
    <n v="0"/>
  </r>
  <r>
    <x v="8"/>
    <x v="1"/>
    <s v="ACT"/>
    <s v="No gap agreement"/>
    <s v="Up to MBS Fee"/>
    <n v="0"/>
    <n v="0"/>
    <n v="0"/>
    <n v="0"/>
  </r>
  <r>
    <x v="8"/>
    <x v="1"/>
    <s v="NSW"/>
    <s v="Known gap agreement"/>
    <s v="100% MBS Fee to 125% MBS Fee"/>
    <n v="877519"/>
    <n v="569906"/>
    <n v="241030"/>
    <n v="5950"/>
  </r>
  <r>
    <x v="8"/>
    <x v="1"/>
    <s v="NSW"/>
    <s v="Known gap agreement"/>
    <s v="More than 125% MBS Fee to 150% MBS Fee"/>
    <n v="1495405"/>
    <n v="817425"/>
    <n v="484513"/>
    <n v="11200"/>
  </r>
  <r>
    <x v="8"/>
    <x v="1"/>
    <s v="NSW"/>
    <s v="Known gap agreement"/>
    <s v="More than 150% MBS Fee to 200% MBS Fee"/>
    <n v="2854663"/>
    <n v="1250873"/>
    <n v="1006209"/>
    <n v="11612"/>
  </r>
  <r>
    <x v="8"/>
    <x v="1"/>
    <s v="NSW"/>
    <s v="Known gap agreement"/>
    <s v="More than 200% MBS Fee"/>
    <n v="3457316"/>
    <n v="955229"/>
    <n v="794992"/>
    <n v="10850"/>
  </r>
  <r>
    <x v="8"/>
    <x v="1"/>
    <s v="NSW"/>
    <s v="No agreement"/>
    <s v="100% MBS Fee to 125% MBS Fee"/>
    <n v="5416884"/>
    <n v="3586618"/>
    <n v="1189557"/>
    <n v="40981"/>
  </r>
  <r>
    <x v="8"/>
    <x v="1"/>
    <s v="NSW"/>
    <s v="No agreement"/>
    <s v="More than 125% MBS Fee to 150% MBS Fee"/>
    <n v="7324132"/>
    <n v="3986190"/>
    <n v="1328742"/>
    <n v="45354"/>
  </r>
  <r>
    <x v="8"/>
    <x v="1"/>
    <s v="NSW"/>
    <s v="No agreement"/>
    <s v="More than 150% MBS Fee to 200% MBS Fee"/>
    <n v="22633027"/>
    <n v="9659871"/>
    <n v="3233615"/>
    <n v="95481"/>
  </r>
  <r>
    <x v="8"/>
    <x v="1"/>
    <s v="NSW"/>
    <s v="No agreement"/>
    <s v="More than 200% MBS Fee"/>
    <n v="43479216"/>
    <n v="12334445"/>
    <n v="4249544"/>
    <n v="107355"/>
  </r>
  <r>
    <x v="8"/>
    <x v="1"/>
    <s v="NSW"/>
    <s v="No agreement"/>
    <s v="Up to MBS Fee"/>
    <n v="23276808"/>
    <n v="17633477"/>
    <n v="5643293"/>
    <n v="388398"/>
  </r>
  <r>
    <x v="8"/>
    <x v="1"/>
    <s v="NSW"/>
    <s v="No gap agreement"/>
    <s v="100% MBS Fee to 125% MBS Fee"/>
    <n v="25964502"/>
    <n v="16608099"/>
    <n v="9356402"/>
    <n v="324253"/>
  </r>
  <r>
    <x v="8"/>
    <x v="1"/>
    <s v="NSW"/>
    <s v="No gap agreement"/>
    <s v="More than 125% MBS Fee to 150% MBS Fee"/>
    <n v="36401353"/>
    <n v="19910685"/>
    <n v="16490673"/>
    <n v="167204"/>
  </r>
  <r>
    <x v="8"/>
    <x v="1"/>
    <s v="NSW"/>
    <s v="No gap agreement"/>
    <s v="More than 150% MBS Fee to 200% MBS Fee"/>
    <n v="20176673"/>
    <n v="9655688"/>
    <n v="10520987"/>
    <n v="164790"/>
  </r>
  <r>
    <x v="8"/>
    <x v="1"/>
    <s v="NSW"/>
    <s v="No gap agreement"/>
    <s v="More than 200% MBS Fee"/>
    <n v="4507101"/>
    <n v="1285638"/>
    <n v="3221465"/>
    <n v="4538"/>
  </r>
  <r>
    <x v="8"/>
    <x v="1"/>
    <s v="NSW"/>
    <s v="No gap agreement"/>
    <s v="Up to MBS Fee"/>
    <n v="2833906"/>
    <n v="2142630"/>
    <n v="691758"/>
    <n v="51863"/>
  </r>
  <r>
    <x v="8"/>
    <x v="1"/>
    <s v="NT"/>
    <s v="Known gap agreement"/>
    <s v="100% MBS Fee to 125% MBS Fee"/>
    <n v="7348"/>
    <n v="4642"/>
    <n v="1902"/>
    <n v="38"/>
  </r>
  <r>
    <x v="8"/>
    <x v="1"/>
    <s v="NT"/>
    <s v="Known gap agreement"/>
    <s v="More than 125% MBS Fee to 150% MBS Fee"/>
    <n v="31681"/>
    <n v="17285"/>
    <n v="9033"/>
    <n v="98"/>
  </r>
  <r>
    <x v="8"/>
    <x v="1"/>
    <s v="NT"/>
    <s v="Known gap agreement"/>
    <s v="More than 150% MBS Fee to 200% MBS Fee"/>
    <n v="44898"/>
    <n v="19645"/>
    <n v="16372"/>
    <n v="159"/>
  </r>
  <r>
    <x v="8"/>
    <x v="1"/>
    <s v="NT"/>
    <s v="Known gap agreement"/>
    <s v="More than 200% MBS Fee"/>
    <n v="67332"/>
    <n v="17526"/>
    <n v="20336"/>
    <n v="128"/>
  </r>
  <r>
    <x v="8"/>
    <x v="1"/>
    <s v="NT"/>
    <s v="No agreement"/>
    <s v="100% MBS Fee to 125% MBS Fee"/>
    <n v="62478"/>
    <n v="43549"/>
    <n v="14161"/>
    <n v="361"/>
  </r>
  <r>
    <x v="8"/>
    <x v="1"/>
    <s v="NT"/>
    <s v="No agreement"/>
    <s v="More than 125% MBS Fee to 150% MBS Fee"/>
    <n v="71002"/>
    <n v="39203"/>
    <n v="13121"/>
    <n v="369"/>
  </r>
  <r>
    <x v="8"/>
    <x v="1"/>
    <s v="NT"/>
    <s v="No agreement"/>
    <s v="More than 150% MBS Fee to 200% MBS Fee"/>
    <n v="192104"/>
    <n v="81242"/>
    <n v="26816"/>
    <n v="864"/>
  </r>
  <r>
    <x v="8"/>
    <x v="1"/>
    <s v="NT"/>
    <s v="No agreement"/>
    <s v="More than 200% MBS Fee"/>
    <n v="328512"/>
    <n v="103139"/>
    <n v="34800"/>
    <n v="815"/>
  </r>
  <r>
    <x v="8"/>
    <x v="1"/>
    <s v="NT"/>
    <s v="No agreement"/>
    <s v="Up to MBS Fee"/>
    <n v="147452"/>
    <n v="113394"/>
    <n v="34060"/>
    <n v="2826"/>
  </r>
  <r>
    <x v="8"/>
    <x v="1"/>
    <s v="NT"/>
    <s v="No gap agreement"/>
    <s v="100% MBS Fee to 125% MBS Fee"/>
    <n v="276877"/>
    <n v="175289"/>
    <n v="101589"/>
    <n v="3593"/>
  </r>
  <r>
    <x v="8"/>
    <x v="1"/>
    <s v="NT"/>
    <s v="No gap agreement"/>
    <s v="More than 125% MBS Fee to 150% MBS Fee"/>
    <n v="656828"/>
    <n v="358454"/>
    <n v="298374"/>
    <n v="3502"/>
  </r>
  <r>
    <x v="8"/>
    <x v="1"/>
    <s v="NT"/>
    <s v="No gap agreement"/>
    <s v="More than 150% MBS Fee to 200% MBS Fee"/>
    <n v="379874"/>
    <n v="180312"/>
    <n v="199562"/>
    <n v="2754"/>
  </r>
  <r>
    <x v="8"/>
    <x v="1"/>
    <s v="NT"/>
    <s v="No gap agreement"/>
    <s v="More than 200% MBS Fee"/>
    <n v="121828"/>
    <n v="35171"/>
    <n v="86657"/>
    <n v="128"/>
  </r>
  <r>
    <x v="8"/>
    <x v="1"/>
    <s v="NT"/>
    <s v="No gap agreement"/>
    <s v="Up to MBS Fee"/>
    <n v="45574"/>
    <n v="35682"/>
    <n v="9892"/>
    <n v="599"/>
  </r>
  <r>
    <x v="8"/>
    <x v="1"/>
    <s v="QLD"/>
    <s v="Known gap agreement"/>
    <s v="100% MBS Fee to 125% MBS Fee"/>
    <n v="956638"/>
    <n v="626452"/>
    <n v="284862"/>
    <n v="7341"/>
  </r>
  <r>
    <x v="8"/>
    <x v="1"/>
    <s v="QLD"/>
    <s v="Known gap agreement"/>
    <s v="More than 125% MBS Fee to 150% MBS Fee"/>
    <n v="1188695"/>
    <n v="643446"/>
    <n v="399346"/>
    <n v="5451"/>
  </r>
  <r>
    <x v="8"/>
    <x v="1"/>
    <s v="QLD"/>
    <s v="Known gap agreement"/>
    <s v="More than 150% MBS Fee to 200% MBS Fee"/>
    <n v="4195966"/>
    <n v="1781560"/>
    <n v="1576570"/>
    <n v="13884"/>
  </r>
  <r>
    <x v="8"/>
    <x v="1"/>
    <s v="QLD"/>
    <s v="Known gap agreement"/>
    <s v="More than 200% MBS Fee"/>
    <n v="3725089"/>
    <n v="1056613"/>
    <n v="1100474"/>
    <n v="12574"/>
  </r>
  <r>
    <x v="8"/>
    <x v="1"/>
    <s v="QLD"/>
    <s v="No agreement"/>
    <s v="100% MBS Fee to 125% MBS Fee"/>
    <n v="3835124"/>
    <n v="2558211"/>
    <n v="846049"/>
    <n v="25112"/>
  </r>
  <r>
    <x v="8"/>
    <x v="1"/>
    <s v="QLD"/>
    <s v="No agreement"/>
    <s v="More than 125% MBS Fee to 150% MBS Fee"/>
    <n v="5519208"/>
    <n v="3037368"/>
    <n v="1021004"/>
    <n v="35190"/>
  </r>
  <r>
    <x v="8"/>
    <x v="1"/>
    <s v="QLD"/>
    <s v="No agreement"/>
    <s v="More than 150% MBS Fee to 200% MBS Fee"/>
    <n v="10744451"/>
    <n v="4617428"/>
    <n v="1538839"/>
    <n v="48678"/>
  </r>
  <r>
    <x v="8"/>
    <x v="1"/>
    <s v="QLD"/>
    <s v="No agreement"/>
    <s v="More than 200% MBS Fee"/>
    <n v="11092714"/>
    <n v="3240692"/>
    <n v="1097621"/>
    <n v="32466"/>
  </r>
  <r>
    <x v="8"/>
    <x v="1"/>
    <s v="QLD"/>
    <s v="No agreement"/>
    <s v="Up to MBS Fee"/>
    <n v="9093034"/>
    <n v="6915512"/>
    <n v="2177323"/>
    <n v="127610"/>
  </r>
  <r>
    <x v="8"/>
    <x v="1"/>
    <s v="QLD"/>
    <s v="No gap agreement"/>
    <s v="100% MBS Fee to 125% MBS Fee"/>
    <n v="21414655"/>
    <n v="13736412"/>
    <n v="7678246"/>
    <n v="338937"/>
  </r>
  <r>
    <x v="8"/>
    <x v="1"/>
    <s v="QLD"/>
    <s v="No gap agreement"/>
    <s v="More than 125% MBS Fee to 150% MBS Fee"/>
    <n v="30220022"/>
    <n v="16618950"/>
    <n v="13601071"/>
    <n v="172589"/>
  </r>
  <r>
    <x v="8"/>
    <x v="1"/>
    <s v="QLD"/>
    <s v="No gap agreement"/>
    <s v="More than 150% MBS Fee to 200% MBS Fee"/>
    <n v="14892661"/>
    <n v="7165302"/>
    <n v="7727359"/>
    <n v="136703"/>
  </r>
  <r>
    <x v="8"/>
    <x v="1"/>
    <s v="QLD"/>
    <s v="No gap agreement"/>
    <s v="More than 200% MBS Fee"/>
    <n v="3504460"/>
    <n v="1025022"/>
    <n v="2479437"/>
    <n v="3755"/>
  </r>
  <r>
    <x v="8"/>
    <x v="1"/>
    <s v="QLD"/>
    <s v="No gap agreement"/>
    <s v="Up to MBS Fee"/>
    <n v="1073065"/>
    <n v="813718"/>
    <n v="259345"/>
    <n v="16868"/>
  </r>
  <r>
    <x v="8"/>
    <x v="1"/>
    <s v="SA"/>
    <s v="Known gap agreement"/>
    <s v="100% MBS Fee to 125% MBS Fee"/>
    <n v="653637"/>
    <n v="426126"/>
    <n v="192938"/>
    <n v="4606"/>
  </r>
  <r>
    <x v="8"/>
    <x v="1"/>
    <s v="SA"/>
    <s v="Known gap agreement"/>
    <s v="More than 125% MBS Fee to 150% MBS Fee"/>
    <n v="632359"/>
    <n v="346097"/>
    <n v="219068"/>
    <n v="2883"/>
  </r>
  <r>
    <x v="8"/>
    <x v="1"/>
    <s v="SA"/>
    <s v="Known gap agreement"/>
    <s v="More than 150% MBS Fee to 200% MBS Fee"/>
    <n v="1049415"/>
    <n v="462010"/>
    <n v="389937"/>
    <n v="4329"/>
  </r>
  <r>
    <x v="8"/>
    <x v="1"/>
    <s v="SA"/>
    <s v="Known gap agreement"/>
    <s v="More than 200% MBS Fee"/>
    <n v="704939"/>
    <n v="188239"/>
    <n v="203379"/>
    <n v="1487"/>
  </r>
  <r>
    <x v="8"/>
    <x v="1"/>
    <s v="SA"/>
    <s v="No agreement"/>
    <s v="100% MBS Fee to 125% MBS Fee"/>
    <n v="503213"/>
    <n v="343433"/>
    <n v="114559"/>
    <n v="4430"/>
  </r>
  <r>
    <x v="8"/>
    <x v="1"/>
    <s v="SA"/>
    <s v="No agreement"/>
    <s v="More than 125% MBS Fee to 150% MBS Fee"/>
    <n v="614873"/>
    <n v="332435"/>
    <n v="113336"/>
    <n v="4341"/>
  </r>
  <r>
    <x v="8"/>
    <x v="1"/>
    <s v="SA"/>
    <s v="No agreement"/>
    <s v="More than 150% MBS Fee to 200% MBS Fee"/>
    <n v="622045"/>
    <n v="269535"/>
    <n v="90654"/>
    <n v="3250"/>
  </r>
  <r>
    <x v="8"/>
    <x v="1"/>
    <s v="SA"/>
    <s v="No agreement"/>
    <s v="More than 200% MBS Fee"/>
    <n v="829979"/>
    <n v="235480"/>
    <n v="84233"/>
    <n v="2698"/>
  </r>
  <r>
    <x v="8"/>
    <x v="1"/>
    <s v="SA"/>
    <s v="No agreement"/>
    <s v="Up to MBS Fee"/>
    <n v="3044939"/>
    <n v="2299295"/>
    <n v="745555"/>
    <n v="57643"/>
  </r>
  <r>
    <x v="8"/>
    <x v="1"/>
    <s v="SA"/>
    <s v="No gap agreement"/>
    <s v="100% MBS Fee to 125% MBS Fee"/>
    <n v="10704536"/>
    <n v="6904926"/>
    <n v="3799605"/>
    <n v="160757"/>
  </r>
  <r>
    <x v="8"/>
    <x v="1"/>
    <s v="SA"/>
    <s v="No gap agreement"/>
    <s v="More than 125% MBS Fee to 150% MBS Fee"/>
    <n v="16379415"/>
    <n v="8981775"/>
    <n v="7397637"/>
    <n v="59330"/>
  </r>
  <r>
    <x v="8"/>
    <x v="1"/>
    <s v="SA"/>
    <s v="No gap agreement"/>
    <s v="More than 150% MBS Fee to 200% MBS Fee"/>
    <n v="12466518"/>
    <n v="5905293"/>
    <n v="6561224"/>
    <n v="85715"/>
  </r>
  <r>
    <x v="8"/>
    <x v="1"/>
    <s v="SA"/>
    <s v="No gap agreement"/>
    <s v="More than 200% MBS Fee"/>
    <n v="1223645"/>
    <n v="329453"/>
    <n v="894194"/>
    <n v="1213"/>
  </r>
  <r>
    <x v="8"/>
    <x v="1"/>
    <s v="SA"/>
    <s v="No gap agreement"/>
    <s v="Up to MBS Fee"/>
    <n v="1394431"/>
    <n v="1050966"/>
    <n v="343469"/>
    <n v="14891"/>
  </r>
  <r>
    <x v="8"/>
    <x v="1"/>
    <s v="TAS"/>
    <s v="Known gap agreement"/>
    <s v="100% MBS Fee to 125% MBS Fee"/>
    <n v="39980"/>
    <n v="25700"/>
    <n v="12087"/>
    <n v="309"/>
  </r>
  <r>
    <x v="8"/>
    <x v="1"/>
    <s v="TAS"/>
    <s v="Known gap agreement"/>
    <s v="More than 125% MBS Fee to 150% MBS Fee"/>
    <n v="79359"/>
    <n v="43043"/>
    <n v="29190"/>
    <n v="290"/>
  </r>
  <r>
    <x v="8"/>
    <x v="1"/>
    <s v="TAS"/>
    <s v="Known gap agreement"/>
    <s v="More than 150% MBS Fee to 200% MBS Fee"/>
    <n v="217661"/>
    <n v="93811"/>
    <n v="87292"/>
    <n v="720"/>
  </r>
  <r>
    <x v="8"/>
    <x v="1"/>
    <s v="TAS"/>
    <s v="Known gap agreement"/>
    <s v="More than 200% MBS Fee"/>
    <n v="257858"/>
    <n v="72524"/>
    <n v="72480"/>
    <n v="786"/>
  </r>
  <r>
    <x v="8"/>
    <x v="1"/>
    <s v="TAS"/>
    <s v="No agreement"/>
    <s v="100% MBS Fee to 125% MBS Fee"/>
    <n v="412414"/>
    <n v="276329"/>
    <n v="91738"/>
    <n v="2624"/>
  </r>
  <r>
    <x v="8"/>
    <x v="1"/>
    <s v="TAS"/>
    <s v="No agreement"/>
    <s v="More than 125% MBS Fee to 150% MBS Fee"/>
    <n v="420182"/>
    <n v="230773"/>
    <n v="77089"/>
    <n v="2640"/>
  </r>
  <r>
    <x v="8"/>
    <x v="1"/>
    <s v="TAS"/>
    <s v="No agreement"/>
    <s v="More than 150% MBS Fee to 200% MBS Fee"/>
    <n v="747504"/>
    <n v="322582"/>
    <n v="108156"/>
    <n v="4103"/>
  </r>
  <r>
    <x v="8"/>
    <x v="1"/>
    <s v="TAS"/>
    <s v="No agreement"/>
    <s v="More than 200% MBS Fee"/>
    <n v="1315270"/>
    <n v="316711"/>
    <n v="106959"/>
    <n v="3140"/>
  </r>
  <r>
    <x v="8"/>
    <x v="1"/>
    <s v="TAS"/>
    <s v="No agreement"/>
    <s v="Up to MBS Fee"/>
    <n v="1346437"/>
    <n v="1024183"/>
    <n v="322256"/>
    <n v="21894"/>
  </r>
  <r>
    <x v="8"/>
    <x v="1"/>
    <s v="TAS"/>
    <s v="No gap agreement"/>
    <s v="100% MBS Fee to 125% MBS Fee"/>
    <n v="2378239"/>
    <n v="1537772"/>
    <n v="840469"/>
    <n v="32947"/>
  </r>
  <r>
    <x v="8"/>
    <x v="1"/>
    <s v="TAS"/>
    <s v="No gap agreement"/>
    <s v="More than 125% MBS Fee to 150% MBS Fee"/>
    <n v="3516926"/>
    <n v="1930073"/>
    <n v="1586854"/>
    <n v="15248"/>
  </r>
  <r>
    <x v="8"/>
    <x v="1"/>
    <s v="TAS"/>
    <s v="No gap agreement"/>
    <s v="More than 150% MBS Fee to 200% MBS Fee"/>
    <n v="2316331"/>
    <n v="1107227"/>
    <n v="1209105"/>
    <n v="17354"/>
  </r>
  <r>
    <x v="8"/>
    <x v="1"/>
    <s v="TAS"/>
    <s v="No gap agreement"/>
    <s v="More than 200% MBS Fee"/>
    <n v="395080"/>
    <n v="116531"/>
    <n v="278548"/>
    <n v="427"/>
  </r>
  <r>
    <x v="8"/>
    <x v="1"/>
    <s v="TAS"/>
    <s v="No gap agreement"/>
    <s v="Up to MBS Fee"/>
    <n v="147647"/>
    <n v="113967"/>
    <n v="33680"/>
    <n v="1753"/>
  </r>
  <r>
    <x v="8"/>
    <x v="1"/>
    <s v="VIC"/>
    <s v="Known gap agreement"/>
    <s v="100% MBS Fee to 125% MBS Fee"/>
    <n v="1637755"/>
    <n v="1072427"/>
    <n v="472356"/>
    <n v="9103"/>
  </r>
  <r>
    <x v="8"/>
    <x v="1"/>
    <s v="VIC"/>
    <s v="Known gap agreement"/>
    <s v="More than 125% MBS Fee to 150% MBS Fee"/>
    <n v="3555634"/>
    <n v="1926931"/>
    <n v="1249051"/>
    <n v="14793"/>
  </r>
  <r>
    <x v="8"/>
    <x v="1"/>
    <s v="VIC"/>
    <s v="Known gap agreement"/>
    <s v="More than 150% MBS Fee to 200% MBS Fee"/>
    <n v="6553868"/>
    <n v="2846652"/>
    <n v="2366896"/>
    <n v="30499"/>
  </r>
  <r>
    <x v="8"/>
    <x v="1"/>
    <s v="VIC"/>
    <s v="Known gap agreement"/>
    <s v="More than 200% MBS Fee"/>
    <n v="4301379"/>
    <n v="1209769"/>
    <n v="1213815"/>
    <n v="15272"/>
  </r>
  <r>
    <x v="8"/>
    <x v="1"/>
    <s v="VIC"/>
    <s v="No agreement"/>
    <s v="100% MBS Fee to 125% MBS Fee"/>
    <n v="3710660"/>
    <n v="2460868"/>
    <n v="817300"/>
    <n v="26427"/>
  </r>
  <r>
    <x v="8"/>
    <x v="1"/>
    <s v="VIC"/>
    <s v="No agreement"/>
    <s v="More than 125% MBS Fee to 150% MBS Fee"/>
    <n v="3276124"/>
    <n v="1773974"/>
    <n v="615761"/>
    <n v="17417"/>
  </r>
  <r>
    <x v="8"/>
    <x v="1"/>
    <s v="VIC"/>
    <s v="No agreement"/>
    <s v="More than 150% MBS Fee to 200% MBS Fee"/>
    <n v="7365648"/>
    <n v="3198771"/>
    <n v="1081075"/>
    <n v="47712"/>
  </r>
  <r>
    <x v="8"/>
    <x v="1"/>
    <s v="VIC"/>
    <s v="No agreement"/>
    <s v="More than 200% MBS Fee"/>
    <n v="6774366"/>
    <n v="1896485"/>
    <n v="673025"/>
    <n v="18452"/>
  </r>
  <r>
    <x v="8"/>
    <x v="1"/>
    <s v="VIC"/>
    <s v="No agreement"/>
    <s v="Up to MBS Fee"/>
    <n v="11742189"/>
    <n v="8875636"/>
    <n v="2866430"/>
    <n v="162201"/>
  </r>
  <r>
    <x v="8"/>
    <x v="1"/>
    <s v="VIC"/>
    <s v="No gap agreement"/>
    <s v="100% MBS Fee to 125% MBS Fee"/>
    <n v="21258839"/>
    <n v="13613619"/>
    <n v="7645220"/>
    <n v="258210"/>
  </r>
  <r>
    <x v="8"/>
    <x v="1"/>
    <s v="VIC"/>
    <s v="No gap agreement"/>
    <s v="More than 125% MBS Fee to 150% MBS Fee"/>
    <n v="51091531"/>
    <n v="28522491"/>
    <n v="22569036"/>
    <n v="363794"/>
  </r>
  <r>
    <x v="8"/>
    <x v="1"/>
    <s v="VIC"/>
    <s v="No gap agreement"/>
    <s v="More than 150% MBS Fee to 200% MBS Fee"/>
    <n v="26045953"/>
    <n v="12399254"/>
    <n v="13646697"/>
    <n v="213987"/>
  </r>
  <r>
    <x v="8"/>
    <x v="1"/>
    <s v="VIC"/>
    <s v="No gap agreement"/>
    <s v="More than 200% MBS Fee"/>
    <n v="2472721"/>
    <n v="727032"/>
    <n v="1745691"/>
    <n v="2400"/>
  </r>
  <r>
    <x v="8"/>
    <x v="1"/>
    <s v="VIC"/>
    <s v="No gap agreement"/>
    <s v="Up to MBS Fee"/>
    <n v="2920771"/>
    <n v="2228049"/>
    <n v="692876"/>
    <n v="48278"/>
  </r>
  <r>
    <x v="8"/>
    <x v="1"/>
    <s v="WA"/>
    <s v="Known gap agreement"/>
    <s v="100% MBS Fee to 125% MBS Fee"/>
    <n v="677922"/>
    <n v="427976"/>
    <n v="192010"/>
    <n v="5213"/>
  </r>
  <r>
    <x v="8"/>
    <x v="1"/>
    <s v="WA"/>
    <s v="Known gap agreement"/>
    <s v="More than 125% MBS Fee to 150% MBS Fee"/>
    <n v="2629016"/>
    <n v="1402273"/>
    <n v="863904"/>
    <n v="9142"/>
  </r>
  <r>
    <x v="8"/>
    <x v="1"/>
    <s v="WA"/>
    <s v="Known gap agreement"/>
    <s v="More than 150% MBS Fee to 200% MBS Fee"/>
    <n v="5523771"/>
    <n v="2440384"/>
    <n v="1577847"/>
    <n v="31999"/>
  </r>
  <r>
    <x v="8"/>
    <x v="1"/>
    <s v="WA"/>
    <s v="Known gap agreement"/>
    <s v="More than 200% MBS Fee"/>
    <n v="3983938"/>
    <n v="1166853"/>
    <n v="892683"/>
    <n v="15145"/>
  </r>
  <r>
    <x v="8"/>
    <x v="1"/>
    <s v="WA"/>
    <s v="No agreement"/>
    <s v="100% MBS Fee to 125% MBS Fee"/>
    <n v="1130967"/>
    <n v="741544"/>
    <n v="249244"/>
    <n v="8071"/>
  </r>
  <r>
    <x v="8"/>
    <x v="1"/>
    <s v="WA"/>
    <s v="No agreement"/>
    <s v="More than 125% MBS Fee to 150% MBS Fee"/>
    <n v="1399656"/>
    <n v="760813"/>
    <n v="268993"/>
    <n v="13363"/>
  </r>
  <r>
    <x v="8"/>
    <x v="1"/>
    <s v="WA"/>
    <s v="No agreement"/>
    <s v="More than 150% MBS Fee to 200% MBS Fee"/>
    <n v="1394826"/>
    <n v="602271"/>
    <n v="224086"/>
    <n v="8201"/>
  </r>
  <r>
    <x v="8"/>
    <x v="1"/>
    <s v="WA"/>
    <s v="No agreement"/>
    <s v="More than 200% MBS Fee"/>
    <n v="1302118"/>
    <n v="329203"/>
    <n v="145936"/>
    <n v="3226"/>
  </r>
  <r>
    <x v="8"/>
    <x v="1"/>
    <s v="WA"/>
    <s v="No agreement"/>
    <s v="Up to MBS Fee"/>
    <n v="1727286"/>
    <n v="1196760"/>
    <n v="530514"/>
    <n v="27613"/>
  </r>
  <r>
    <x v="8"/>
    <x v="1"/>
    <s v="WA"/>
    <s v="No gap agreement"/>
    <s v="100% MBS Fee to 125% MBS Fee"/>
    <n v="11670502"/>
    <n v="7372134"/>
    <n v="4298370"/>
    <n v="130368"/>
  </r>
  <r>
    <x v="8"/>
    <x v="1"/>
    <s v="WA"/>
    <s v="No gap agreement"/>
    <s v="More than 125% MBS Fee to 150% MBS Fee"/>
    <n v="13699221"/>
    <n v="7416659"/>
    <n v="6282560"/>
    <n v="56979"/>
  </r>
  <r>
    <x v="8"/>
    <x v="1"/>
    <s v="WA"/>
    <s v="No gap agreement"/>
    <s v="More than 150% MBS Fee to 200% MBS Fee"/>
    <n v="6475947"/>
    <n v="3091784"/>
    <n v="3384162"/>
    <n v="53706"/>
  </r>
  <r>
    <x v="8"/>
    <x v="1"/>
    <s v="WA"/>
    <s v="No gap agreement"/>
    <s v="More than 200% MBS Fee"/>
    <n v="1617510"/>
    <n v="422034"/>
    <n v="1195478"/>
    <n v="1682"/>
  </r>
  <r>
    <x v="8"/>
    <x v="1"/>
    <s v="WA"/>
    <s v="No gap agreement"/>
    <s v="Up to MBS Fee"/>
    <n v="2007712"/>
    <n v="1540057"/>
    <n v="467651"/>
    <n v="27205"/>
  </r>
  <r>
    <x v="9"/>
    <x v="0"/>
    <s v="ACT"/>
    <s v="Known gap agreement"/>
    <s v="100% MBS Fee to 125% MBS Fee"/>
    <n v="0"/>
    <n v="0"/>
    <n v="0"/>
    <n v="0"/>
  </r>
  <r>
    <x v="9"/>
    <x v="0"/>
    <s v="ACT"/>
    <s v="Known gap agreement"/>
    <s v="More than 125% MBS Fee to 150% MBS Fee"/>
    <n v="0"/>
    <n v="0"/>
    <n v="0"/>
    <n v="0"/>
  </r>
  <r>
    <x v="9"/>
    <x v="0"/>
    <s v="ACT"/>
    <s v="Known gap agreement"/>
    <s v="More than 150% MBS Fee to 200% MBS Fee"/>
    <n v="0"/>
    <n v="0"/>
    <n v="0"/>
    <n v="0"/>
  </r>
  <r>
    <x v="9"/>
    <x v="0"/>
    <s v="ACT"/>
    <s v="Known gap agreement"/>
    <s v="More than 200% MBS Fee"/>
    <n v="0"/>
    <n v="0"/>
    <n v="0"/>
    <n v="0"/>
  </r>
  <r>
    <x v="9"/>
    <x v="0"/>
    <s v="ACT"/>
    <s v="No agreement"/>
    <s v="100% MBS Fee to 125% MBS Fee"/>
    <n v="0"/>
    <n v="0"/>
    <n v="0"/>
    <n v="0"/>
  </r>
  <r>
    <x v="9"/>
    <x v="0"/>
    <s v="ACT"/>
    <s v="No agreement"/>
    <s v="More than 125% MBS Fee to 150% MBS Fee"/>
    <n v="0"/>
    <n v="0"/>
    <n v="0"/>
    <n v="0"/>
  </r>
  <r>
    <x v="9"/>
    <x v="0"/>
    <s v="ACT"/>
    <s v="No agreement"/>
    <s v="More than 150% MBS Fee to 200% MBS Fee"/>
    <n v="0"/>
    <n v="0"/>
    <n v="0"/>
    <n v="0"/>
  </r>
  <r>
    <x v="9"/>
    <x v="0"/>
    <s v="ACT"/>
    <s v="No agreement"/>
    <s v="More than 200% MBS Fee"/>
    <n v="0"/>
    <n v="0"/>
    <n v="0"/>
    <n v="0"/>
  </r>
  <r>
    <x v="9"/>
    <x v="0"/>
    <s v="ACT"/>
    <s v="No agreement"/>
    <s v="Up to MBS Fee"/>
    <n v="0"/>
    <n v="0"/>
    <n v="0"/>
    <n v="0"/>
  </r>
  <r>
    <x v="9"/>
    <x v="0"/>
    <s v="ACT"/>
    <s v="No gap agreement"/>
    <s v="100% MBS Fee to 125% MBS Fee"/>
    <n v="0"/>
    <n v="0"/>
    <n v="0"/>
    <n v="0"/>
  </r>
  <r>
    <x v="9"/>
    <x v="0"/>
    <s v="ACT"/>
    <s v="No gap agreement"/>
    <s v="More than 125% MBS Fee to 150% MBS Fee"/>
    <n v="0"/>
    <n v="0"/>
    <n v="0"/>
    <n v="0"/>
  </r>
  <r>
    <x v="9"/>
    <x v="0"/>
    <s v="ACT"/>
    <s v="No gap agreement"/>
    <s v="More than 150% MBS Fee to 200% MBS Fee"/>
    <n v="0"/>
    <n v="0"/>
    <n v="0"/>
    <n v="0"/>
  </r>
  <r>
    <x v="9"/>
    <x v="0"/>
    <s v="ACT"/>
    <s v="No gap agreement"/>
    <s v="More than 200% MBS Fee"/>
    <n v="0"/>
    <n v="0"/>
    <n v="0"/>
    <n v="0"/>
  </r>
  <r>
    <x v="9"/>
    <x v="0"/>
    <s v="ACT"/>
    <s v="No gap agreement"/>
    <s v="Up to MBS Fee"/>
    <n v="0"/>
    <n v="0"/>
    <n v="0"/>
    <n v="0"/>
  </r>
  <r>
    <x v="9"/>
    <x v="0"/>
    <s v="NSW"/>
    <s v="Known gap agreement"/>
    <s v="100% MBS Fee to 125% MBS Fee"/>
    <n v="696856"/>
    <n v="455432"/>
    <n v="206294"/>
    <n v="6032"/>
  </r>
  <r>
    <x v="9"/>
    <x v="0"/>
    <s v="NSW"/>
    <s v="Known gap agreement"/>
    <s v="More than 125% MBS Fee to 150% MBS Fee"/>
    <n v="1571751"/>
    <n v="858199"/>
    <n v="581200"/>
    <n v="10628"/>
  </r>
  <r>
    <x v="9"/>
    <x v="0"/>
    <s v="NSW"/>
    <s v="Known gap agreement"/>
    <s v="More than 150% MBS Fee to 200% MBS Fee"/>
    <n v="3008865"/>
    <n v="1296900"/>
    <n v="1121533"/>
    <n v="12140"/>
  </r>
  <r>
    <x v="9"/>
    <x v="0"/>
    <s v="NSW"/>
    <s v="Known gap agreement"/>
    <s v="More than 200% MBS Fee"/>
    <n v="4542161"/>
    <n v="1256862"/>
    <n v="1109322"/>
    <n v="13344"/>
  </r>
  <r>
    <x v="9"/>
    <x v="0"/>
    <s v="NSW"/>
    <s v="No agreement"/>
    <s v="100% MBS Fee to 125% MBS Fee"/>
    <n v="3999487"/>
    <n v="2680976"/>
    <n v="900702"/>
    <n v="28234"/>
  </r>
  <r>
    <x v="9"/>
    <x v="0"/>
    <s v="NSW"/>
    <s v="No agreement"/>
    <s v="More than 125% MBS Fee to 150% MBS Fee"/>
    <n v="6006733"/>
    <n v="3297644"/>
    <n v="1132923"/>
    <n v="42932"/>
  </r>
  <r>
    <x v="9"/>
    <x v="0"/>
    <s v="NSW"/>
    <s v="No agreement"/>
    <s v="More than 150% MBS Fee to 200% MBS Fee"/>
    <n v="18850076"/>
    <n v="8004635"/>
    <n v="2703562"/>
    <n v="80550"/>
  </r>
  <r>
    <x v="9"/>
    <x v="0"/>
    <s v="NSW"/>
    <s v="No agreement"/>
    <s v="More than 200% MBS Fee"/>
    <n v="53136096"/>
    <n v="14712144"/>
    <n v="5033993"/>
    <n v="124436"/>
  </r>
  <r>
    <x v="9"/>
    <x v="0"/>
    <s v="NSW"/>
    <s v="No agreement"/>
    <s v="Up to MBS Fee"/>
    <n v="19046808"/>
    <n v="14443359"/>
    <n v="4601628"/>
    <n v="309973"/>
  </r>
  <r>
    <x v="9"/>
    <x v="0"/>
    <s v="NSW"/>
    <s v="No gap agreement"/>
    <s v="100% MBS Fee to 125% MBS Fee"/>
    <n v="24492317"/>
    <n v="15717457"/>
    <n v="8774864"/>
    <n v="311173"/>
  </r>
  <r>
    <x v="9"/>
    <x v="0"/>
    <s v="NSW"/>
    <s v="No gap agreement"/>
    <s v="More than 125% MBS Fee to 150% MBS Fee"/>
    <n v="36896909"/>
    <n v="20325385"/>
    <n v="16571524"/>
    <n v="168504"/>
  </r>
  <r>
    <x v="9"/>
    <x v="0"/>
    <s v="NSW"/>
    <s v="No gap agreement"/>
    <s v="More than 150% MBS Fee to 200% MBS Fee"/>
    <n v="26432460"/>
    <n v="12409172"/>
    <n v="14023289"/>
    <n v="182961"/>
  </r>
  <r>
    <x v="9"/>
    <x v="0"/>
    <s v="NSW"/>
    <s v="No gap agreement"/>
    <s v="More than 200% MBS Fee"/>
    <n v="4411088"/>
    <n v="1174257"/>
    <n v="3236831"/>
    <n v="5038"/>
  </r>
  <r>
    <x v="9"/>
    <x v="0"/>
    <s v="NSW"/>
    <s v="No gap agreement"/>
    <s v="Up to MBS Fee"/>
    <n v="4852083"/>
    <n v="3649025"/>
    <n v="1203056"/>
    <n v="109495"/>
  </r>
  <r>
    <x v="9"/>
    <x v="0"/>
    <s v="NT"/>
    <s v="Known gap agreement"/>
    <s v="100% MBS Fee to 125% MBS Fee"/>
    <n v="13310"/>
    <n v="8256"/>
    <n v="4125"/>
    <n v="96"/>
  </r>
  <r>
    <x v="9"/>
    <x v="0"/>
    <s v="NT"/>
    <s v="Known gap agreement"/>
    <s v="More than 125% MBS Fee to 150% MBS Fee"/>
    <n v="27954"/>
    <n v="14926"/>
    <n v="10462"/>
    <n v="101"/>
  </r>
  <r>
    <x v="9"/>
    <x v="0"/>
    <s v="NT"/>
    <s v="Known gap agreement"/>
    <s v="More than 150% MBS Fee to 200% MBS Fee"/>
    <n v="92810"/>
    <n v="40715"/>
    <n v="32373"/>
    <n v="246"/>
  </r>
  <r>
    <x v="9"/>
    <x v="0"/>
    <s v="NT"/>
    <s v="Known gap agreement"/>
    <s v="More than 200% MBS Fee"/>
    <n v="96407"/>
    <n v="27427"/>
    <n v="30746"/>
    <n v="177"/>
  </r>
  <r>
    <x v="9"/>
    <x v="0"/>
    <s v="NT"/>
    <s v="No agreement"/>
    <s v="100% MBS Fee to 125% MBS Fee"/>
    <n v="58042"/>
    <n v="38935"/>
    <n v="12214"/>
    <n v="285"/>
  </r>
  <r>
    <x v="9"/>
    <x v="0"/>
    <s v="NT"/>
    <s v="No agreement"/>
    <s v="More than 125% MBS Fee to 150% MBS Fee"/>
    <n v="78376"/>
    <n v="44027"/>
    <n v="14752"/>
    <n v="543"/>
  </r>
  <r>
    <x v="9"/>
    <x v="0"/>
    <s v="NT"/>
    <s v="No agreement"/>
    <s v="More than 150% MBS Fee to 200% MBS Fee"/>
    <n v="192980"/>
    <n v="82176"/>
    <n v="27366"/>
    <n v="1373"/>
  </r>
  <r>
    <x v="9"/>
    <x v="0"/>
    <s v="NT"/>
    <s v="No agreement"/>
    <s v="More than 200% MBS Fee"/>
    <n v="401610"/>
    <n v="116535"/>
    <n v="38495"/>
    <n v="976"/>
  </r>
  <r>
    <x v="9"/>
    <x v="0"/>
    <s v="NT"/>
    <s v="No agreement"/>
    <s v="Up to MBS Fee"/>
    <n v="175805"/>
    <n v="132846"/>
    <n v="42958"/>
    <n v="2795"/>
  </r>
  <r>
    <x v="9"/>
    <x v="0"/>
    <s v="NT"/>
    <s v="No gap agreement"/>
    <s v="100% MBS Fee to 125% MBS Fee"/>
    <n v="228429"/>
    <n v="145931"/>
    <n v="82497"/>
    <n v="3012"/>
  </r>
  <r>
    <x v="9"/>
    <x v="0"/>
    <s v="NT"/>
    <s v="No gap agreement"/>
    <s v="More than 125% MBS Fee to 150% MBS Fee"/>
    <n v="671764"/>
    <n v="369315"/>
    <n v="302448"/>
    <n v="3205"/>
  </r>
  <r>
    <x v="9"/>
    <x v="0"/>
    <s v="NT"/>
    <s v="No gap agreement"/>
    <s v="More than 150% MBS Fee to 200% MBS Fee"/>
    <n v="409593"/>
    <n v="190477"/>
    <n v="219117"/>
    <n v="2833"/>
  </r>
  <r>
    <x v="9"/>
    <x v="0"/>
    <s v="NT"/>
    <s v="No gap agreement"/>
    <s v="More than 200% MBS Fee"/>
    <n v="92975"/>
    <n v="26264"/>
    <n v="66711"/>
    <n v="86"/>
  </r>
  <r>
    <x v="9"/>
    <x v="0"/>
    <s v="NT"/>
    <s v="No gap agreement"/>
    <s v="Up to MBS Fee"/>
    <n v="42446"/>
    <n v="32025"/>
    <n v="10420"/>
    <n v="522"/>
  </r>
  <r>
    <x v="9"/>
    <x v="0"/>
    <s v="QLD"/>
    <s v="Known gap agreement"/>
    <s v="100% MBS Fee to 125% MBS Fee"/>
    <n v="313101"/>
    <n v="205732"/>
    <n v="85960"/>
    <n v="1946"/>
  </r>
  <r>
    <x v="9"/>
    <x v="0"/>
    <s v="QLD"/>
    <s v="Known gap agreement"/>
    <s v="More than 125% MBS Fee to 150% MBS Fee"/>
    <n v="1443119"/>
    <n v="788491"/>
    <n v="536840"/>
    <n v="11834"/>
  </r>
  <r>
    <x v="9"/>
    <x v="0"/>
    <s v="QLD"/>
    <s v="Known gap agreement"/>
    <s v="More than 150% MBS Fee to 200% MBS Fee"/>
    <n v="3704535"/>
    <n v="1561814"/>
    <n v="1448183"/>
    <n v="12190"/>
  </r>
  <r>
    <x v="9"/>
    <x v="0"/>
    <s v="QLD"/>
    <s v="Known gap agreement"/>
    <s v="More than 200% MBS Fee"/>
    <n v="4711969"/>
    <n v="1318407"/>
    <n v="1385701"/>
    <n v="15363"/>
  </r>
  <r>
    <x v="9"/>
    <x v="0"/>
    <s v="QLD"/>
    <s v="No agreement"/>
    <s v="100% MBS Fee to 125% MBS Fee"/>
    <n v="3198524"/>
    <n v="2140660"/>
    <n v="718643"/>
    <n v="18655"/>
  </r>
  <r>
    <x v="9"/>
    <x v="0"/>
    <s v="QLD"/>
    <s v="No agreement"/>
    <s v="More than 125% MBS Fee to 150% MBS Fee"/>
    <n v="6007265"/>
    <n v="3297062"/>
    <n v="1117686"/>
    <n v="48344"/>
  </r>
  <r>
    <x v="9"/>
    <x v="0"/>
    <s v="QLD"/>
    <s v="No agreement"/>
    <s v="More than 150% MBS Fee to 200% MBS Fee"/>
    <n v="10543705"/>
    <n v="4501509"/>
    <n v="1529439"/>
    <n v="47056"/>
  </r>
  <r>
    <x v="9"/>
    <x v="0"/>
    <s v="QLD"/>
    <s v="No agreement"/>
    <s v="More than 200% MBS Fee"/>
    <n v="14762556"/>
    <n v="4358965"/>
    <n v="1496247"/>
    <n v="42615"/>
  </r>
  <r>
    <x v="9"/>
    <x v="0"/>
    <s v="QLD"/>
    <s v="No agreement"/>
    <s v="Up to MBS Fee"/>
    <n v="8635685"/>
    <n v="6575137"/>
    <n v="2060529"/>
    <n v="116091"/>
  </r>
  <r>
    <x v="9"/>
    <x v="0"/>
    <s v="QLD"/>
    <s v="No gap agreement"/>
    <s v="100% MBS Fee to 125% MBS Fee"/>
    <n v="21814057"/>
    <n v="14166874"/>
    <n v="7647184"/>
    <n v="343130"/>
  </r>
  <r>
    <x v="9"/>
    <x v="0"/>
    <s v="QLD"/>
    <s v="No gap agreement"/>
    <s v="More than 125% MBS Fee to 150% MBS Fee"/>
    <n v="32586801"/>
    <n v="18054260"/>
    <n v="14532540"/>
    <n v="190171"/>
  </r>
  <r>
    <x v="9"/>
    <x v="0"/>
    <s v="QLD"/>
    <s v="No gap agreement"/>
    <s v="More than 150% MBS Fee to 200% MBS Fee"/>
    <n v="16575423"/>
    <n v="7843052"/>
    <n v="8732372"/>
    <n v="137750"/>
  </r>
  <r>
    <x v="9"/>
    <x v="0"/>
    <s v="QLD"/>
    <s v="No gap agreement"/>
    <s v="More than 200% MBS Fee"/>
    <n v="3038276"/>
    <n v="884211"/>
    <n v="2154062"/>
    <n v="3375"/>
  </r>
  <r>
    <x v="9"/>
    <x v="0"/>
    <s v="QLD"/>
    <s v="No gap agreement"/>
    <s v="Up to MBS Fee"/>
    <n v="1357045"/>
    <n v="1025485"/>
    <n v="331569"/>
    <n v="28202"/>
  </r>
  <r>
    <x v="9"/>
    <x v="0"/>
    <s v="SA"/>
    <s v="Known gap agreement"/>
    <s v="100% MBS Fee to 125% MBS Fee"/>
    <n v="1095836"/>
    <n v="707365"/>
    <n v="346932"/>
    <n v="8755"/>
  </r>
  <r>
    <x v="9"/>
    <x v="0"/>
    <s v="SA"/>
    <s v="Known gap agreement"/>
    <s v="More than 125% MBS Fee to 150% MBS Fee"/>
    <n v="1566733"/>
    <n v="852841"/>
    <n v="666524"/>
    <n v="6837"/>
  </r>
  <r>
    <x v="9"/>
    <x v="0"/>
    <s v="SA"/>
    <s v="Known gap agreement"/>
    <s v="More than 150% MBS Fee to 200% MBS Fee"/>
    <n v="1671243"/>
    <n v="761549"/>
    <n v="766595"/>
    <n v="7971"/>
  </r>
  <r>
    <x v="9"/>
    <x v="0"/>
    <s v="SA"/>
    <s v="Known gap agreement"/>
    <s v="More than 200% MBS Fee"/>
    <n v="871815"/>
    <n v="226109"/>
    <n v="268763"/>
    <n v="1781"/>
  </r>
  <r>
    <x v="9"/>
    <x v="0"/>
    <s v="SA"/>
    <s v="No agreement"/>
    <s v="100% MBS Fee to 125% MBS Fee"/>
    <n v="606469"/>
    <n v="396897"/>
    <n v="165760"/>
    <n v="9963"/>
  </r>
  <r>
    <x v="9"/>
    <x v="0"/>
    <s v="SA"/>
    <s v="No agreement"/>
    <s v="More than 125% MBS Fee to 150% MBS Fee"/>
    <n v="694593"/>
    <n v="371508"/>
    <n v="176805"/>
    <n v="4653"/>
  </r>
  <r>
    <x v="9"/>
    <x v="0"/>
    <s v="SA"/>
    <s v="No agreement"/>
    <s v="More than 150% MBS Fee to 200% MBS Fee"/>
    <n v="451578"/>
    <n v="194739"/>
    <n v="75338"/>
    <n v="2699"/>
  </r>
  <r>
    <x v="9"/>
    <x v="0"/>
    <s v="SA"/>
    <s v="No agreement"/>
    <s v="More than 200% MBS Fee"/>
    <n v="853557"/>
    <n v="191787"/>
    <n v="105066"/>
    <n v="6449"/>
  </r>
  <r>
    <x v="9"/>
    <x v="0"/>
    <s v="SA"/>
    <s v="No agreement"/>
    <s v="Up to MBS Fee"/>
    <n v="2592591"/>
    <n v="1957906"/>
    <n v="633985"/>
    <n v="47632"/>
  </r>
  <r>
    <x v="9"/>
    <x v="0"/>
    <s v="SA"/>
    <s v="No gap agreement"/>
    <s v="100% MBS Fee to 125% MBS Fee"/>
    <n v="10041070"/>
    <n v="6487036"/>
    <n v="3554032"/>
    <n v="155484"/>
  </r>
  <r>
    <x v="9"/>
    <x v="0"/>
    <s v="SA"/>
    <s v="No gap agreement"/>
    <s v="More than 125% MBS Fee to 150% MBS Fee"/>
    <n v="14648551"/>
    <n v="7947933"/>
    <n v="6700622"/>
    <n v="51904"/>
  </r>
  <r>
    <x v="9"/>
    <x v="0"/>
    <s v="SA"/>
    <s v="No gap agreement"/>
    <s v="More than 150% MBS Fee to 200% MBS Fee"/>
    <n v="12255896"/>
    <n v="5657446"/>
    <n v="6598449"/>
    <n v="75873"/>
  </r>
  <r>
    <x v="9"/>
    <x v="0"/>
    <s v="SA"/>
    <s v="No gap agreement"/>
    <s v="More than 200% MBS Fee"/>
    <n v="1097493"/>
    <n v="280119"/>
    <n v="817373"/>
    <n v="1019"/>
  </r>
  <r>
    <x v="9"/>
    <x v="0"/>
    <s v="SA"/>
    <s v="No gap agreement"/>
    <s v="Up to MBS Fee"/>
    <n v="1310799"/>
    <n v="988021"/>
    <n v="322777"/>
    <n v="14080"/>
  </r>
  <r>
    <x v="9"/>
    <x v="0"/>
    <s v="TAS"/>
    <s v="Known gap agreement"/>
    <s v="100% MBS Fee to 125% MBS Fee"/>
    <n v="37985"/>
    <n v="24633"/>
    <n v="9819"/>
    <n v="262"/>
  </r>
  <r>
    <x v="9"/>
    <x v="0"/>
    <s v="TAS"/>
    <s v="Known gap agreement"/>
    <s v="More than 125% MBS Fee to 150% MBS Fee"/>
    <n v="68732"/>
    <n v="36605"/>
    <n v="27711"/>
    <n v="228"/>
  </r>
  <r>
    <x v="9"/>
    <x v="0"/>
    <s v="TAS"/>
    <s v="Known gap agreement"/>
    <s v="More than 150% MBS Fee to 200% MBS Fee"/>
    <n v="316298"/>
    <n v="133349"/>
    <n v="124392"/>
    <n v="1052"/>
  </r>
  <r>
    <x v="9"/>
    <x v="0"/>
    <s v="TAS"/>
    <s v="Known gap agreement"/>
    <s v="More than 200% MBS Fee"/>
    <n v="420442"/>
    <n v="123086"/>
    <n v="141844"/>
    <n v="1383"/>
  </r>
  <r>
    <x v="9"/>
    <x v="0"/>
    <s v="TAS"/>
    <s v="No agreement"/>
    <s v="100% MBS Fee to 125% MBS Fee"/>
    <n v="313382"/>
    <n v="206583"/>
    <n v="68943"/>
    <n v="2302"/>
  </r>
  <r>
    <x v="9"/>
    <x v="0"/>
    <s v="TAS"/>
    <s v="No agreement"/>
    <s v="More than 125% MBS Fee to 150% MBS Fee"/>
    <n v="316720"/>
    <n v="172796"/>
    <n v="57646"/>
    <n v="1996"/>
  </r>
  <r>
    <x v="9"/>
    <x v="0"/>
    <s v="TAS"/>
    <s v="No agreement"/>
    <s v="More than 150% MBS Fee to 200% MBS Fee"/>
    <n v="603444"/>
    <n v="257795"/>
    <n v="86147"/>
    <n v="2950"/>
  </r>
  <r>
    <x v="9"/>
    <x v="0"/>
    <s v="TAS"/>
    <s v="No agreement"/>
    <s v="More than 200% MBS Fee"/>
    <n v="1289392"/>
    <n v="346241"/>
    <n v="116644"/>
    <n v="2841"/>
  </r>
  <r>
    <x v="9"/>
    <x v="0"/>
    <s v="TAS"/>
    <s v="No agreement"/>
    <s v="Up to MBS Fee"/>
    <n v="1241164"/>
    <n v="940546"/>
    <n v="300620"/>
    <n v="19660"/>
  </r>
  <r>
    <x v="9"/>
    <x v="0"/>
    <s v="TAS"/>
    <s v="No gap agreement"/>
    <s v="100% MBS Fee to 125% MBS Fee"/>
    <n v="2232862"/>
    <n v="1450553"/>
    <n v="782309"/>
    <n v="30143"/>
  </r>
  <r>
    <x v="9"/>
    <x v="0"/>
    <s v="TAS"/>
    <s v="No gap agreement"/>
    <s v="More than 125% MBS Fee to 150% MBS Fee"/>
    <n v="3304355"/>
    <n v="1810672"/>
    <n v="1493683"/>
    <n v="13160"/>
  </r>
  <r>
    <x v="9"/>
    <x v="0"/>
    <s v="TAS"/>
    <s v="No gap agreement"/>
    <s v="More than 150% MBS Fee to 200% MBS Fee"/>
    <n v="2530901"/>
    <n v="1188174"/>
    <n v="1342727"/>
    <n v="17036"/>
  </r>
  <r>
    <x v="9"/>
    <x v="0"/>
    <s v="TAS"/>
    <s v="No gap agreement"/>
    <s v="More than 200% MBS Fee"/>
    <n v="327401"/>
    <n v="94208"/>
    <n v="233191"/>
    <n v="348"/>
  </r>
  <r>
    <x v="9"/>
    <x v="0"/>
    <s v="TAS"/>
    <s v="No gap agreement"/>
    <s v="Up to MBS Fee"/>
    <n v="130719"/>
    <n v="99356"/>
    <n v="31363"/>
    <n v="1918"/>
  </r>
  <r>
    <x v="9"/>
    <x v="0"/>
    <s v="VIC"/>
    <s v="Known gap agreement"/>
    <s v="100% MBS Fee to 125% MBS Fee"/>
    <n v="1524714"/>
    <n v="988663"/>
    <n v="454991"/>
    <n v="9186"/>
  </r>
  <r>
    <x v="9"/>
    <x v="0"/>
    <s v="VIC"/>
    <s v="Known gap agreement"/>
    <s v="More than 125% MBS Fee to 150% MBS Fee"/>
    <n v="3102933"/>
    <n v="1681334"/>
    <n v="1118693"/>
    <n v="12456"/>
  </r>
  <r>
    <x v="9"/>
    <x v="0"/>
    <s v="VIC"/>
    <s v="Known gap agreement"/>
    <s v="More than 150% MBS Fee to 200% MBS Fee"/>
    <n v="5997590"/>
    <n v="2589468"/>
    <n v="2217195"/>
    <n v="28795"/>
  </r>
  <r>
    <x v="9"/>
    <x v="0"/>
    <s v="VIC"/>
    <s v="Known gap agreement"/>
    <s v="More than 200% MBS Fee"/>
    <n v="5146781"/>
    <n v="1477639"/>
    <n v="1476029"/>
    <n v="17030"/>
  </r>
  <r>
    <x v="9"/>
    <x v="0"/>
    <s v="VIC"/>
    <s v="No agreement"/>
    <s v="100% MBS Fee to 125% MBS Fee"/>
    <n v="2988669"/>
    <n v="1982889"/>
    <n v="657407"/>
    <n v="24712"/>
  </r>
  <r>
    <x v="9"/>
    <x v="0"/>
    <s v="VIC"/>
    <s v="No agreement"/>
    <s v="More than 125% MBS Fee to 150% MBS Fee"/>
    <n v="3208681"/>
    <n v="1756723"/>
    <n v="603561"/>
    <n v="20872"/>
  </r>
  <r>
    <x v="9"/>
    <x v="0"/>
    <s v="VIC"/>
    <s v="No agreement"/>
    <s v="More than 150% MBS Fee to 200% MBS Fee"/>
    <n v="7738798"/>
    <n v="3336676"/>
    <n v="1115425"/>
    <n v="55068"/>
  </r>
  <r>
    <x v="9"/>
    <x v="0"/>
    <s v="VIC"/>
    <s v="No agreement"/>
    <s v="More than 200% MBS Fee"/>
    <n v="8770415"/>
    <n v="2422966"/>
    <n v="841500"/>
    <n v="23982"/>
  </r>
  <r>
    <x v="9"/>
    <x v="0"/>
    <s v="VIC"/>
    <s v="No agreement"/>
    <s v="Up to MBS Fee"/>
    <n v="12098998"/>
    <n v="9108178"/>
    <n v="2990562"/>
    <n v="174261"/>
  </r>
  <r>
    <x v="9"/>
    <x v="0"/>
    <s v="VIC"/>
    <s v="No gap agreement"/>
    <s v="100% MBS Fee to 125% MBS Fee"/>
    <n v="21172021"/>
    <n v="13597039"/>
    <n v="7574979"/>
    <n v="242713"/>
  </r>
  <r>
    <x v="9"/>
    <x v="0"/>
    <s v="VIC"/>
    <s v="No gap agreement"/>
    <s v="More than 125% MBS Fee to 150% MBS Fee"/>
    <n v="49414467"/>
    <n v="27396026"/>
    <n v="22018444"/>
    <n v="311491"/>
  </r>
  <r>
    <x v="9"/>
    <x v="0"/>
    <s v="VIC"/>
    <s v="No gap agreement"/>
    <s v="More than 150% MBS Fee to 200% MBS Fee"/>
    <n v="27074785"/>
    <n v="12591440"/>
    <n v="14483345"/>
    <n v="209935"/>
  </r>
  <r>
    <x v="9"/>
    <x v="0"/>
    <s v="VIC"/>
    <s v="No gap agreement"/>
    <s v="More than 200% MBS Fee"/>
    <n v="2267304"/>
    <n v="653593"/>
    <n v="1613710"/>
    <n v="2332"/>
  </r>
  <r>
    <x v="9"/>
    <x v="0"/>
    <s v="VIC"/>
    <s v="No gap agreement"/>
    <s v="Up to MBS Fee"/>
    <n v="3961912"/>
    <n v="2994369"/>
    <n v="967531"/>
    <n v="66305"/>
  </r>
  <r>
    <x v="9"/>
    <x v="0"/>
    <s v="WA"/>
    <s v="Known gap agreement"/>
    <s v="100% MBS Fee to 125% MBS Fee"/>
    <n v="497122"/>
    <n v="310851"/>
    <n v="182162"/>
    <n v="4291"/>
  </r>
  <r>
    <x v="9"/>
    <x v="0"/>
    <s v="WA"/>
    <s v="Known gap agreement"/>
    <s v="More than 125% MBS Fee to 150% MBS Fee"/>
    <n v="2391079"/>
    <n v="1285418"/>
    <n v="785789"/>
    <n v="6792"/>
  </r>
  <r>
    <x v="9"/>
    <x v="0"/>
    <s v="WA"/>
    <s v="Known gap agreement"/>
    <s v="More than 150% MBS Fee to 200% MBS Fee"/>
    <n v="5332431"/>
    <n v="2351937"/>
    <n v="1584640"/>
    <n v="28763"/>
  </r>
  <r>
    <x v="9"/>
    <x v="0"/>
    <s v="WA"/>
    <s v="Known gap agreement"/>
    <s v="More than 200% MBS Fee"/>
    <n v="4851921"/>
    <n v="1411058"/>
    <n v="973323"/>
    <n v="18556"/>
  </r>
  <r>
    <x v="9"/>
    <x v="0"/>
    <s v="WA"/>
    <s v="No agreement"/>
    <s v="100% MBS Fee to 125% MBS Fee"/>
    <n v="734078"/>
    <n v="487877"/>
    <n v="160635"/>
    <n v="4898"/>
  </r>
  <r>
    <x v="9"/>
    <x v="0"/>
    <s v="WA"/>
    <s v="No agreement"/>
    <s v="More than 125% MBS Fee to 150% MBS Fee"/>
    <n v="1452931"/>
    <n v="794461"/>
    <n v="269202"/>
    <n v="14922"/>
  </r>
  <r>
    <x v="9"/>
    <x v="0"/>
    <s v="WA"/>
    <s v="No agreement"/>
    <s v="More than 150% MBS Fee to 200% MBS Fee"/>
    <n v="1270255"/>
    <n v="556008"/>
    <n v="193604"/>
    <n v="9663"/>
  </r>
  <r>
    <x v="9"/>
    <x v="0"/>
    <s v="WA"/>
    <s v="No agreement"/>
    <s v="More than 200% MBS Fee"/>
    <n v="1547917"/>
    <n v="415584"/>
    <n v="161846"/>
    <n v="3914"/>
  </r>
  <r>
    <x v="9"/>
    <x v="0"/>
    <s v="WA"/>
    <s v="No agreement"/>
    <s v="Up to MBS Fee"/>
    <n v="1383848"/>
    <n v="1043320"/>
    <n v="340515"/>
    <n v="25840"/>
  </r>
  <r>
    <x v="9"/>
    <x v="0"/>
    <s v="WA"/>
    <s v="No gap agreement"/>
    <s v="100% MBS Fee to 125% MBS Fee"/>
    <n v="10154801"/>
    <n v="6448208"/>
    <n v="3706594"/>
    <n v="129230"/>
  </r>
  <r>
    <x v="9"/>
    <x v="0"/>
    <s v="WA"/>
    <s v="No gap agreement"/>
    <s v="More than 125% MBS Fee to 150% MBS Fee"/>
    <n v="17723453"/>
    <n v="9728659"/>
    <n v="7994790"/>
    <n v="65456"/>
  </r>
  <r>
    <x v="9"/>
    <x v="0"/>
    <s v="WA"/>
    <s v="No gap agreement"/>
    <s v="More than 150% MBS Fee to 200% MBS Fee"/>
    <n v="9715537"/>
    <n v="4488111"/>
    <n v="5227427"/>
    <n v="66062"/>
  </r>
  <r>
    <x v="9"/>
    <x v="0"/>
    <s v="WA"/>
    <s v="No gap agreement"/>
    <s v="More than 200% MBS Fee"/>
    <n v="2122161"/>
    <n v="510424"/>
    <n v="1611738"/>
    <n v="2439"/>
  </r>
  <r>
    <x v="9"/>
    <x v="0"/>
    <s v="WA"/>
    <s v="No gap agreement"/>
    <s v="Up to MBS Fee"/>
    <n v="1673230"/>
    <n v="1297857"/>
    <n v="375374"/>
    <n v="22733"/>
  </r>
  <r>
    <x v="9"/>
    <x v="2"/>
    <s v="ACT"/>
    <s v="Known gap agreement"/>
    <s v="100% MBS Fee to 125% MBS Fee"/>
    <n v="0"/>
    <n v="0"/>
    <n v="0"/>
    <n v="0"/>
  </r>
  <r>
    <x v="9"/>
    <x v="2"/>
    <s v="ACT"/>
    <s v="Known gap agreement"/>
    <s v="More than 125% MBS Fee to 150% MBS Fee"/>
    <n v="0"/>
    <n v="0"/>
    <n v="0"/>
    <n v="0"/>
  </r>
  <r>
    <x v="9"/>
    <x v="2"/>
    <s v="ACT"/>
    <s v="Known gap agreement"/>
    <s v="More than 150% MBS Fee to 200% MBS Fee"/>
    <n v="0"/>
    <n v="0"/>
    <n v="0"/>
    <n v="0"/>
  </r>
  <r>
    <x v="9"/>
    <x v="2"/>
    <s v="ACT"/>
    <s v="Known gap agreement"/>
    <s v="More than 200% MBS Fee"/>
    <n v="0"/>
    <n v="0"/>
    <n v="0"/>
    <n v="0"/>
  </r>
  <r>
    <x v="9"/>
    <x v="2"/>
    <s v="ACT"/>
    <s v="No agreement"/>
    <s v="100% MBS Fee to 125% MBS Fee"/>
    <n v="0"/>
    <n v="0"/>
    <n v="0"/>
    <n v="0"/>
  </r>
  <r>
    <x v="9"/>
    <x v="2"/>
    <s v="ACT"/>
    <s v="No agreement"/>
    <s v="More than 125% MBS Fee to 150% MBS Fee"/>
    <n v="0"/>
    <n v="0"/>
    <n v="0"/>
    <n v="0"/>
  </r>
  <r>
    <x v="9"/>
    <x v="2"/>
    <s v="ACT"/>
    <s v="No agreement"/>
    <s v="More than 150% MBS Fee to 200% MBS Fee"/>
    <n v="0"/>
    <n v="0"/>
    <n v="0"/>
    <n v="0"/>
  </r>
  <r>
    <x v="9"/>
    <x v="2"/>
    <s v="ACT"/>
    <s v="No agreement"/>
    <s v="More than 200% MBS Fee"/>
    <n v="0"/>
    <n v="0"/>
    <n v="0"/>
    <n v="0"/>
  </r>
  <r>
    <x v="9"/>
    <x v="2"/>
    <s v="ACT"/>
    <s v="No agreement"/>
    <s v="Up to MBS Fee"/>
    <n v="0"/>
    <n v="0"/>
    <n v="0"/>
    <n v="0"/>
  </r>
  <r>
    <x v="9"/>
    <x v="2"/>
    <s v="ACT"/>
    <s v="No gap agreement"/>
    <s v="100% MBS Fee to 125% MBS Fee"/>
    <n v="0"/>
    <n v="0"/>
    <n v="0"/>
    <n v="0"/>
  </r>
  <r>
    <x v="9"/>
    <x v="2"/>
    <s v="ACT"/>
    <s v="No gap agreement"/>
    <s v="More than 125% MBS Fee to 150% MBS Fee"/>
    <n v="0"/>
    <n v="0"/>
    <n v="0"/>
    <n v="0"/>
  </r>
  <r>
    <x v="9"/>
    <x v="2"/>
    <s v="ACT"/>
    <s v="No gap agreement"/>
    <s v="More than 150% MBS Fee to 200% MBS Fee"/>
    <n v="0"/>
    <n v="0"/>
    <n v="0"/>
    <n v="0"/>
  </r>
  <r>
    <x v="9"/>
    <x v="2"/>
    <s v="ACT"/>
    <s v="No gap agreement"/>
    <s v="More than 200% MBS Fee"/>
    <n v="0"/>
    <n v="0"/>
    <n v="0"/>
    <n v="0"/>
  </r>
  <r>
    <x v="9"/>
    <x v="2"/>
    <s v="ACT"/>
    <s v="No gap agreement"/>
    <s v="Up to MBS Fee"/>
    <n v="0"/>
    <n v="0"/>
    <n v="0"/>
    <n v="0"/>
  </r>
  <r>
    <x v="9"/>
    <x v="2"/>
    <s v="NSW"/>
    <s v="Known gap agreement"/>
    <s v="100% MBS Fee to 125% MBS Fee"/>
    <n v="625032"/>
    <n v="409627"/>
    <n v="180543"/>
    <n v="5359"/>
  </r>
  <r>
    <x v="9"/>
    <x v="2"/>
    <s v="NSW"/>
    <s v="Known gap agreement"/>
    <s v="More than 125% MBS Fee to 150% MBS Fee"/>
    <n v="1407178"/>
    <n v="766028"/>
    <n v="502692"/>
    <n v="8665"/>
  </r>
  <r>
    <x v="9"/>
    <x v="2"/>
    <s v="NSW"/>
    <s v="Known gap agreement"/>
    <s v="More than 150% MBS Fee to 200% MBS Fee"/>
    <n v="2689110"/>
    <n v="1163285"/>
    <n v="1038052"/>
    <n v="10719"/>
  </r>
  <r>
    <x v="9"/>
    <x v="2"/>
    <s v="NSW"/>
    <s v="Known gap agreement"/>
    <s v="More than 200% MBS Fee"/>
    <n v="4074630"/>
    <n v="1115612"/>
    <n v="1002820"/>
    <n v="12134"/>
  </r>
  <r>
    <x v="9"/>
    <x v="2"/>
    <s v="NSW"/>
    <s v="No agreement"/>
    <s v="100% MBS Fee to 125% MBS Fee"/>
    <n v="3970276"/>
    <n v="2621570"/>
    <n v="897239"/>
    <n v="28599"/>
  </r>
  <r>
    <x v="9"/>
    <x v="2"/>
    <s v="NSW"/>
    <s v="No agreement"/>
    <s v="More than 125% MBS Fee to 150% MBS Fee"/>
    <n v="6221246"/>
    <n v="3398802"/>
    <n v="1172789"/>
    <n v="45535"/>
  </r>
  <r>
    <x v="9"/>
    <x v="2"/>
    <s v="NSW"/>
    <s v="No agreement"/>
    <s v="More than 150% MBS Fee to 200% MBS Fee"/>
    <n v="18658748"/>
    <n v="7927449"/>
    <n v="2681793"/>
    <n v="80101"/>
  </r>
  <r>
    <x v="9"/>
    <x v="2"/>
    <s v="NSW"/>
    <s v="No agreement"/>
    <s v="More than 200% MBS Fee"/>
    <n v="48206519"/>
    <n v="13460289"/>
    <n v="4683198"/>
    <n v="114216"/>
  </r>
  <r>
    <x v="9"/>
    <x v="2"/>
    <s v="NSW"/>
    <s v="No agreement"/>
    <s v="Up to MBS Fee"/>
    <n v="17899386"/>
    <n v="13568663"/>
    <n v="4330613"/>
    <n v="294669"/>
  </r>
  <r>
    <x v="9"/>
    <x v="2"/>
    <s v="NSW"/>
    <s v="No gap agreement"/>
    <s v="100% MBS Fee to 125% MBS Fee"/>
    <n v="22420150"/>
    <n v="14375983"/>
    <n v="8044171"/>
    <n v="296415"/>
  </r>
  <r>
    <x v="9"/>
    <x v="2"/>
    <s v="NSW"/>
    <s v="No gap agreement"/>
    <s v="More than 125% MBS Fee to 150% MBS Fee"/>
    <n v="34788085"/>
    <n v="19199166"/>
    <n v="15588919"/>
    <n v="153581"/>
  </r>
  <r>
    <x v="9"/>
    <x v="2"/>
    <s v="NSW"/>
    <s v="No gap agreement"/>
    <s v="More than 150% MBS Fee to 200% MBS Fee"/>
    <n v="25848342"/>
    <n v="12129441"/>
    <n v="13718903"/>
    <n v="179482"/>
  </r>
  <r>
    <x v="9"/>
    <x v="2"/>
    <s v="NSW"/>
    <s v="No gap agreement"/>
    <s v="More than 200% MBS Fee"/>
    <n v="4171865"/>
    <n v="1110409"/>
    <n v="3061454"/>
    <n v="4820"/>
  </r>
  <r>
    <x v="9"/>
    <x v="2"/>
    <s v="NSW"/>
    <s v="No gap agreement"/>
    <s v="Up to MBS Fee"/>
    <n v="4484486"/>
    <n v="3391076"/>
    <n v="1093542"/>
    <n v="91419"/>
  </r>
  <r>
    <x v="9"/>
    <x v="2"/>
    <s v="NT"/>
    <s v="Known gap agreement"/>
    <s v="100% MBS Fee to 125% MBS Fee"/>
    <n v="15615"/>
    <n v="9787"/>
    <n v="4855"/>
    <n v="98"/>
  </r>
  <r>
    <x v="9"/>
    <x v="2"/>
    <s v="NT"/>
    <s v="Known gap agreement"/>
    <s v="More than 125% MBS Fee to 150% MBS Fee"/>
    <n v="27213"/>
    <n v="14795"/>
    <n v="10960"/>
    <n v="101"/>
  </r>
  <r>
    <x v="9"/>
    <x v="2"/>
    <s v="NT"/>
    <s v="Known gap agreement"/>
    <s v="More than 150% MBS Fee to 200% MBS Fee"/>
    <n v="69628"/>
    <n v="30590"/>
    <n v="26665"/>
    <n v="223"/>
  </r>
  <r>
    <x v="9"/>
    <x v="2"/>
    <s v="NT"/>
    <s v="Known gap agreement"/>
    <s v="More than 200% MBS Fee"/>
    <n v="70326"/>
    <n v="18710"/>
    <n v="22145"/>
    <n v="107"/>
  </r>
  <r>
    <x v="9"/>
    <x v="2"/>
    <s v="NT"/>
    <s v="No agreement"/>
    <s v="100% MBS Fee to 125% MBS Fee"/>
    <n v="51519"/>
    <n v="35053"/>
    <n v="11433"/>
    <n v="310"/>
  </r>
  <r>
    <x v="9"/>
    <x v="2"/>
    <s v="NT"/>
    <s v="No agreement"/>
    <s v="More than 125% MBS Fee to 150% MBS Fee"/>
    <n v="87570"/>
    <n v="48630"/>
    <n v="16436"/>
    <n v="479"/>
  </r>
  <r>
    <x v="9"/>
    <x v="2"/>
    <s v="NT"/>
    <s v="No agreement"/>
    <s v="More than 150% MBS Fee to 200% MBS Fee"/>
    <n v="200485"/>
    <n v="84444"/>
    <n v="28064"/>
    <n v="1111"/>
  </r>
  <r>
    <x v="9"/>
    <x v="2"/>
    <s v="NT"/>
    <s v="No agreement"/>
    <s v="More than 200% MBS Fee"/>
    <n v="501601"/>
    <n v="141180"/>
    <n v="47193"/>
    <n v="990"/>
  </r>
  <r>
    <x v="9"/>
    <x v="2"/>
    <s v="NT"/>
    <s v="No agreement"/>
    <s v="Up to MBS Fee"/>
    <n v="149616"/>
    <n v="114429"/>
    <n v="35051"/>
    <n v="2452"/>
  </r>
  <r>
    <x v="9"/>
    <x v="2"/>
    <s v="NT"/>
    <s v="No gap agreement"/>
    <s v="100% MBS Fee to 125% MBS Fee"/>
    <n v="295833"/>
    <n v="189423"/>
    <n v="106409"/>
    <n v="3722"/>
  </r>
  <r>
    <x v="9"/>
    <x v="2"/>
    <s v="NT"/>
    <s v="No gap agreement"/>
    <s v="More than 125% MBS Fee to 150% MBS Fee"/>
    <n v="683686"/>
    <n v="373779"/>
    <n v="309906"/>
    <n v="2697"/>
  </r>
  <r>
    <x v="9"/>
    <x v="2"/>
    <s v="NT"/>
    <s v="No gap agreement"/>
    <s v="More than 150% MBS Fee to 200% MBS Fee"/>
    <n v="420675"/>
    <n v="195960"/>
    <n v="224715"/>
    <n v="2827"/>
  </r>
  <r>
    <x v="9"/>
    <x v="2"/>
    <s v="NT"/>
    <s v="No gap agreement"/>
    <s v="More than 200% MBS Fee"/>
    <n v="80581"/>
    <n v="22982"/>
    <n v="57599"/>
    <n v="75"/>
  </r>
  <r>
    <x v="9"/>
    <x v="2"/>
    <s v="NT"/>
    <s v="No gap agreement"/>
    <s v="Up to MBS Fee"/>
    <n v="42514"/>
    <n v="32123"/>
    <n v="10391"/>
    <n v="529"/>
  </r>
  <r>
    <x v="9"/>
    <x v="2"/>
    <s v="QLD"/>
    <s v="Known gap agreement"/>
    <s v="100% MBS Fee to 125% MBS Fee"/>
    <n v="277326"/>
    <n v="181268"/>
    <n v="74834"/>
    <n v="2133"/>
  </r>
  <r>
    <x v="9"/>
    <x v="2"/>
    <s v="QLD"/>
    <s v="Known gap agreement"/>
    <s v="More than 125% MBS Fee to 150% MBS Fee"/>
    <n v="1303898"/>
    <n v="710087"/>
    <n v="476005"/>
    <n v="10915"/>
  </r>
  <r>
    <x v="9"/>
    <x v="2"/>
    <s v="QLD"/>
    <s v="Known gap agreement"/>
    <s v="More than 150% MBS Fee to 200% MBS Fee"/>
    <n v="3638447"/>
    <n v="1527559"/>
    <n v="1398351"/>
    <n v="11317"/>
  </r>
  <r>
    <x v="9"/>
    <x v="2"/>
    <s v="QLD"/>
    <s v="Known gap agreement"/>
    <s v="More than 200% MBS Fee"/>
    <n v="4214614"/>
    <n v="1178156"/>
    <n v="1292757"/>
    <n v="13446"/>
  </r>
  <r>
    <x v="9"/>
    <x v="2"/>
    <s v="QLD"/>
    <s v="No agreement"/>
    <s v="100% MBS Fee to 125% MBS Fee"/>
    <n v="3246426"/>
    <n v="2163661"/>
    <n v="723836"/>
    <n v="19544"/>
  </r>
  <r>
    <x v="9"/>
    <x v="2"/>
    <s v="QLD"/>
    <s v="No agreement"/>
    <s v="More than 125% MBS Fee to 150% MBS Fee"/>
    <n v="5502684"/>
    <n v="3023401"/>
    <n v="1017980"/>
    <n v="39295"/>
  </r>
  <r>
    <x v="9"/>
    <x v="2"/>
    <s v="QLD"/>
    <s v="No agreement"/>
    <s v="More than 150% MBS Fee to 200% MBS Fee"/>
    <n v="10350850"/>
    <n v="4397806"/>
    <n v="1493657"/>
    <n v="45937"/>
  </r>
  <r>
    <x v="9"/>
    <x v="2"/>
    <s v="QLD"/>
    <s v="No agreement"/>
    <s v="More than 200% MBS Fee"/>
    <n v="13643618"/>
    <n v="4022191"/>
    <n v="1374607"/>
    <n v="39134"/>
  </r>
  <r>
    <x v="9"/>
    <x v="2"/>
    <s v="QLD"/>
    <s v="No agreement"/>
    <s v="Up to MBS Fee"/>
    <n v="7952167"/>
    <n v="6053040"/>
    <n v="1898751"/>
    <n v="107843"/>
  </r>
  <r>
    <x v="9"/>
    <x v="2"/>
    <s v="QLD"/>
    <s v="No gap agreement"/>
    <s v="100% MBS Fee to 125% MBS Fee"/>
    <n v="17571850"/>
    <n v="11422894"/>
    <n v="6148956"/>
    <n v="289521"/>
  </r>
  <r>
    <x v="9"/>
    <x v="2"/>
    <s v="QLD"/>
    <s v="No gap agreement"/>
    <s v="More than 125% MBS Fee to 150% MBS Fee"/>
    <n v="29794325"/>
    <n v="16532965"/>
    <n v="13261364"/>
    <n v="173212"/>
  </r>
  <r>
    <x v="9"/>
    <x v="2"/>
    <s v="QLD"/>
    <s v="No gap agreement"/>
    <s v="More than 150% MBS Fee to 200% MBS Fee"/>
    <n v="15953955"/>
    <n v="7548385"/>
    <n v="8405569"/>
    <n v="134838"/>
  </r>
  <r>
    <x v="9"/>
    <x v="2"/>
    <s v="QLD"/>
    <s v="No gap agreement"/>
    <s v="More than 200% MBS Fee"/>
    <n v="3142485"/>
    <n v="899843"/>
    <n v="2242638"/>
    <n v="3338"/>
  </r>
  <r>
    <x v="9"/>
    <x v="2"/>
    <s v="QLD"/>
    <s v="No gap agreement"/>
    <s v="Up to MBS Fee"/>
    <n v="1106274"/>
    <n v="839948"/>
    <n v="266620"/>
    <n v="21685"/>
  </r>
  <r>
    <x v="9"/>
    <x v="2"/>
    <s v="SA"/>
    <s v="Known gap agreement"/>
    <s v="100% MBS Fee to 125% MBS Fee"/>
    <n v="616589"/>
    <n v="402775"/>
    <n v="183381"/>
    <n v="5167"/>
  </r>
  <r>
    <x v="9"/>
    <x v="2"/>
    <s v="SA"/>
    <s v="Known gap agreement"/>
    <s v="More than 125% MBS Fee to 150% MBS Fee"/>
    <n v="525426"/>
    <n v="282375"/>
    <n v="192079"/>
    <n v="3871"/>
  </r>
  <r>
    <x v="9"/>
    <x v="2"/>
    <s v="SA"/>
    <s v="Known gap agreement"/>
    <s v="More than 150% MBS Fee to 200% MBS Fee"/>
    <n v="977809"/>
    <n v="427590"/>
    <n v="388731"/>
    <n v="3917"/>
  </r>
  <r>
    <x v="9"/>
    <x v="2"/>
    <s v="SA"/>
    <s v="Known gap agreement"/>
    <s v="More than 200% MBS Fee"/>
    <n v="754300"/>
    <n v="204070"/>
    <n v="203435"/>
    <n v="1722"/>
  </r>
  <r>
    <x v="9"/>
    <x v="2"/>
    <s v="SA"/>
    <s v="No agreement"/>
    <s v="100% MBS Fee to 125% MBS Fee"/>
    <n v="404748"/>
    <n v="270492"/>
    <n v="89916"/>
    <n v="4665"/>
  </r>
  <r>
    <x v="9"/>
    <x v="2"/>
    <s v="SA"/>
    <s v="No agreement"/>
    <s v="More than 125% MBS Fee to 150% MBS Fee"/>
    <n v="498286"/>
    <n v="270172"/>
    <n v="91045"/>
    <n v="3359"/>
  </r>
  <r>
    <x v="9"/>
    <x v="2"/>
    <s v="SA"/>
    <s v="No agreement"/>
    <s v="More than 150% MBS Fee to 200% MBS Fee"/>
    <n v="401040"/>
    <n v="171303"/>
    <n v="58471"/>
    <n v="2375"/>
  </r>
  <r>
    <x v="9"/>
    <x v="2"/>
    <s v="SA"/>
    <s v="No agreement"/>
    <s v="More than 200% MBS Fee"/>
    <n v="701574"/>
    <n v="198459"/>
    <n v="71555"/>
    <n v="2216"/>
  </r>
  <r>
    <x v="9"/>
    <x v="2"/>
    <s v="SA"/>
    <s v="No agreement"/>
    <s v="Up to MBS Fee"/>
    <n v="2499163"/>
    <n v="1890976"/>
    <n v="608135"/>
    <n v="48185"/>
  </r>
  <r>
    <x v="9"/>
    <x v="2"/>
    <s v="SA"/>
    <s v="No gap agreement"/>
    <s v="100% MBS Fee to 125% MBS Fee"/>
    <n v="9221154"/>
    <n v="5948894"/>
    <n v="3272264"/>
    <n v="145327"/>
  </r>
  <r>
    <x v="9"/>
    <x v="2"/>
    <s v="SA"/>
    <s v="No gap agreement"/>
    <s v="More than 125% MBS Fee to 150% MBS Fee"/>
    <n v="15278514"/>
    <n v="8293210"/>
    <n v="6985303"/>
    <n v="55665"/>
  </r>
  <r>
    <x v="9"/>
    <x v="2"/>
    <s v="SA"/>
    <s v="No gap agreement"/>
    <s v="More than 150% MBS Fee to 200% MBS Fee"/>
    <n v="12809792"/>
    <n v="5895527"/>
    <n v="6914268"/>
    <n v="78680"/>
  </r>
  <r>
    <x v="9"/>
    <x v="2"/>
    <s v="SA"/>
    <s v="No gap agreement"/>
    <s v="More than 200% MBS Fee"/>
    <n v="1248964"/>
    <n v="313073"/>
    <n v="935890"/>
    <n v="1194"/>
  </r>
  <r>
    <x v="9"/>
    <x v="2"/>
    <s v="SA"/>
    <s v="No gap agreement"/>
    <s v="Up to MBS Fee"/>
    <n v="1590007"/>
    <n v="1197803"/>
    <n v="392213"/>
    <n v="19332"/>
  </r>
  <r>
    <x v="9"/>
    <x v="2"/>
    <s v="TAS"/>
    <s v="Known gap agreement"/>
    <s v="100% MBS Fee to 125% MBS Fee"/>
    <n v="29015"/>
    <n v="18782"/>
    <n v="7314"/>
    <n v="191"/>
  </r>
  <r>
    <x v="9"/>
    <x v="2"/>
    <s v="TAS"/>
    <s v="Known gap agreement"/>
    <s v="More than 125% MBS Fee to 150% MBS Fee"/>
    <n v="88041"/>
    <n v="47737"/>
    <n v="32928"/>
    <n v="303"/>
  </r>
  <r>
    <x v="9"/>
    <x v="2"/>
    <s v="TAS"/>
    <s v="Known gap agreement"/>
    <s v="More than 150% MBS Fee to 200% MBS Fee"/>
    <n v="287924"/>
    <n v="121465"/>
    <n v="119600"/>
    <n v="940"/>
  </r>
  <r>
    <x v="9"/>
    <x v="2"/>
    <s v="TAS"/>
    <s v="Known gap agreement"/>
    <s v="More than 200% MBS Fee"/>
    <n v="350233"/>
    <n v="100827"/>
    <n v="118640"/>
    <n v="1256"/>
  </r>
  <r>
    <x v="9"/>
    <x v="2"/>
    <s v="TAS"/>
    <s v="No agreement"/>
    <s v="100% MBS Fee to 125% MBS Fee"/>
    <n v="295652"/>
    <n v="194041"/>
    <n v="64444"/>
    <n v="2198"/>
  </r>
  <r>
    <x v="9"/>
    <x v="2"/>
    <s v="TAS"/>
    <s v="No agreement"/>
    <s v="More than 125% MBS Fee to 150% MBS Fee"/>
    <n v="388098"/>
    <n v="210881"/>
    <n v="71193"/>
    <n v="2325"/>
  </r>
  <r>
    <x v="9"/>
    <x v="2"/>
    <s v="TAS"/>
    <s v="No agreement"/>
    <s v="More than 150% MBS Fee to 200% MBS Fee"/>
    <n v="616327"/>
    <n v="263663"/>
    <n v="87977"/>
    <n v="3066"/>
  </r>
  <r>
    <x v="9"/>
    <x v="2"/>
    <s v="TAS"/>
    <s v="No agreement"/>
    <s v="More than 200% MBS Fee"/>
    <n v="1132139"/>
    <n v="307891"/>
    <n v="102920"/>
    <n v="2903"/>
  </r>
  <r>
    <x v="9"/>
    <x v="2"/>
    <s v="TAS"/>
    <s v="No agreement"/>
    <s v="Up to MBS Fee"/>
    <n v="1242451"/>
    <n v="949693"/>
    <n v="292758"/>
    <n v="19614"/>
  </r>
  <r>
    <x v="9"/>
    <x v="2"/>
    <s v="TAS"/>
    <s v="No gap agreement"/>
    <s v="100% MBS Fee to 125% MBS Fee"/>
    <n v="2247599"/>
    <n v="1461036"/>
    <n v="786561"/>
    <n v="31848"/>
  </r>
  <r>
    <x v="9"/>
    <x v="2"/>
    <s v="TAS"/>
    <s v="No gap agreement"/>
    <s v="More than 125% MBS Fee to 150% MBS Fee"/>
    <n v="3639642"/>
    <n v="1998813"/>
    <n v="1640831"/>
    <n v="14718"/>
  </r>
  <r>
    <x v="9"/>
    <x v="2"/>
    <s v="TAS"/>
    <s v="No gap agreement"/>
    <s v="More than 150% MBS Fee to 200% MBS Fee"/>
    <n v="2768304"/>
    <n v="1292519"/>
    <n v="1475786"/>
    <n v="18845"/>
  </r>
  <r>
    <x v="9"/>
    <x v="2"/>
    <s v="TAS"/>
    <s v="No gap agreement"/>
    <s v="More than 200% MBS Fee"/>
    <n v="356610"/>
    <n v="102960"/>
    <n v="253650"/>
    <n v="388"/>
  </r>
  <r>
    <x v="9"/>
    <x v="2"/>
    <s v="TAS"/>
    <s v="No gap agreement"/>
    <s v="Up to MBS Fee"/>
    <n v="130283"/>
    <n v="98357"/>
    <n v="31924"/>
    <n v="1449"/>
  </r>
  <r>
    <x v="9"/>
    <x v="2"/>
    <s v="VIC"/>
    <s v="Known gap agreement"/>
    <s v="100% MBS Fee to 125% MBS Fee"/>
    <n v="1457349"/>
    <n v="954931"/>
    <n v="423195"/>
    <n v="8077"/>
  </r>
  <r>
    <x v="9"/>
    <x v="2"/>
    <s v="VIC"/>
    <s v="Known gap agreement"/>
    <s v="More than 125% MBS Fee to 150% MBS Fee"/>
    <n v="3145143"/>
    <n v="1707230"/>
    <n v="1113481"/>
    <n v="12624"/>
  </r>
  <r>
    <x v="9"/>
    <x v="2"/>
    <s v="VIC"/>
    <s v="Known gap agreement"/>
    <s v="More than 150% MBS Fee to 200% MBS Fee"/>
    <n v="6223806"/>
    <n v="2694330"/>
    <n v="2298699"/>
    <n v="29208"/>
  </r>
  <r>
    <x v="9"/>
    <x v="2"/>
    <s v="VIC"/>
    <s v="Known gap agreement"/>
    <s v="More than 200% MBS Fee"/>
    <n v="4899531"/>
    <n v="1424588"/>
    <n v="1435069"/>
    <n v="15798"/>
  </r>
  <r>
    <x v="9"/>
    <x v="2"/>
    <s v="VIC"/>
    <s v="No agreement"/>
    <s v="100% MBS Fee to 125% MBS Fee"/>
    <n v="3351498"/>
    <n v="2217641"/>
    <n v="727512"/>
    <n v="25063"/>
  </r>
  <r>
    <x v="9"/>
    <x v="2"/>
    <s v="VIC"/>
    <s v="No agreement"/>
    <s v="More than 125% MBS Fee to 150% MBS Fee"/>
    <n v="3478832"/>
    <n v="1899739"/>
    <n v="654068"/>
    <n v="21369"/>
  </r>
  <r>
    <x v="9"/>
    <x v="2"/>
    <s v="VIC"/>
    <s v="No agreement"/>
    <s v="More than 150% MBS Fee to 200% MBS Fee"/>
    <n v="7716266"/>
    <n v="3323996"/>
    <n v="1109241"/>
    <n v="53965"/>
  </r>
  <r>
    <x v="9"/>
    <x v="2"/>
    <s v="VIC"/>
    <s v="No agreement"/>
    <s v="More than 200% MBS Fee"/>
    <n v="8241807"/>
    <n v="2258882"/>
    <n v="793410"/>
    <n v="21854"/>
  </r>
  <r>
    <x v="9"/>
    <x v="2"/>
    <s v="VIC"/>
    <s v="No agreement"/>
    <s v="Up to MBS Fee"/>
    <n v="11848160"/>
    <n v="8962820"/>
    <n v="2885174"/>
    <n v="170993"/>
  </r>
  <r>
    <x v="9"/>
    <x v="2"/>
    <s v="VIC"/>
    <s v="No gap agreement"/>
    <s v="100% MBS Fee to 125% MBS Fee"/>
    <n v="19781918"/>
    <n v="12733233"/>
    <n v="7048690"/>
    <n v="236221"/>
  </r>
  <r>
    <x v="9"/>
    <x v="2"/>
    <s v="VIC"/>
    <s v="No gap agreement"/>
    <s v="More than 125% MBS Fee to 150% MBS Fee"/>
    <n v="50886371"/>
    <n v="28239801"/>
    <n v="22646571"/>
    <n v="332973"/>
  </r>
  <r>
    <x v="9"/>
    <x v="2"/>
    <s v="VIC"/>
    <s v="No gap agreement"/>
    <s v="More than 150% MBS Fee to 200% MBS Fee"/>
    <n v="27205213"/>
    <n v="12632787"/>
    <n v="14572424"/>
    <n v="209335"/>
  </r>
  <r>
    <x v="9"/>
    <x v="2"/>
    <s v="VIC"/>
    <s v="No gap agreement"/>
    <s v="More than 200% MBS Fee"/>
    <n v="2367483"/>
    <n v="686054"/>
    <n v="1681430"/>
    <n v="2361"/>
  </r>
  <r>
    <x v="9"/>
    <x v="2"/>
    <s v="VIC"/>
    <s v="No gap agreement"/>
    <s v="Up to MBS Fee"/>
    <n v="3557111"/>
    <n v="2691812"/>
    <n v="865307"/>
    <n v="57512"/>
  </r>
  <r>
    <x v="9"/>
    <x v="2"/>
    <s v="WA"/>
    <s v="Known gap agreement"/>
    <s v="100% MBS Fee to 125% MBS Fee"/>
    <n v="446190"/>
    <n v="279049"/>
    <n v="155722"/>
    <n v="3783"/>
  </r>
  <r>
    <x v="9"/>
    <x v="2"/>
    <s v="WA"/>
    <s v="Known gap agreement"/>
    <s v="More than 125% MBS Fee to 150% MBS Fee"/>
    <n v="2224935"/>
    <n v="1191574"/>
    <n v="742409"/>
    <n v="7068"/>
  </r>
  <r>
    <x v="9"/>
    <x v="2"/>
    <s v="WA"/>
    <s v="Known gap agreement"/>
    <s v="More than 150% MBS Fee to 200% MBS Fee"/>
    <n v="4946734"/>
    <n v="2174136"/>
    <n v="1506734"/>
    <n v="27946"/>
  </r>
  <r>
    <x v="9"/>
    <x v="2"/>
    <s v="WA"/>
    <s v="Known gap agreement"/>
    <s v="More than 200% MBS Fee"/>
    <n v="4238886"/>
    <n v="1205988"/>
    <n v="914126"/>
    <n v="16915"/>
  </r>
  <r>
    <x v="9"/>
    <x v="2"/>
    <s v="WA"/>
    <s v="No agreement"/>
    <s v="100% MBS Fee to 125% MBS Fee"/>
    <n v="794325"/>
    <n v="516660"/>
    <n v="169421"/>
    <n v="4859"/>
  </r>
  <r>
    <x v="9"/>
    <x v="2"/>
    <s v="WA"/>
    <s v="No agreement"/>
    <s v="More than 125% MBS Fee to 150% MBS Fee"/>
    <n v="1355781"/>
    <n v="748852"/>
    <n v="250308"/>
    <n v="14614"/>
  </r>
  <r>
    <x v="9"/>
    <x v="2"/>
    <s v="WA"/>
    <s v="No agreement"/>
    <s v="More than 150% MBS Fee to 200% MBS Fee"/>
    <n v="1257107"/>
    <n v="550447"/>
    <n v="195385"/>
    <n v="7883"/>
  </r>
  <r>
    <x v="9"/>
    <x v="2"/>
    <s v="WA"/>
    <s v="No agreement"/>
    <s v="More than 200% MBS Fee"/>
    <n v="1459221"/>
    <n v="383182"/>
    <n v="154354"/>
    <n v="3594"/>
  </r>
  <r>
    <x v="9"/>
    <x v="2"/>
    <s v="WA"/>
    <s v="No agreement"/>
    <s v="Up to MBS Fee"/>
    <n v="1418080"/>
    <n v="1075105"/>
    <n v="342800"/>
    <n v="25562"/>
  </r>
  <r>
    <x v="9"/>
    <x v="2"/>
    <s v="WA"/>
    <s v="No gap agreement"/>
    <s v="100% MBS Fee to 125% MBS Fee"/>
    <n v="8618873"/>
    <n v="5472081"/>
    <n v="3146846"/>
    <n v="116039"/>
  </r>
  <r>
    <x v="9"/>
    <x v="2"/>
    <s v="WA"/>
    <s v="No gap agreement"/>
    <s v="More than 125% MBS Fee to 150% MBS Fee"/>
    <n v="15254936"/>
    <n v="8394003"/>
    <n v="6860934"/>
    <n v="59974"/>
  </r>
  <r>
    <x v="9"/>
    <x v="2"/>
    <s v="WA"/>
    <s v="No gap agreement"/>
    <s v="More than 150% MBS Fee to 200% MBS Fee"/>
    <n v="8080250"/>
    <n v="3811431"/>
    <n v="4268913"/>
    <n v="52661"/>
  </r>
  <r>
    <x v="9"/>
    <x v="2"/>
    <s v="WA"/>
    <s v="No gap agreement"/>
    <s v="More than 200% MBS Fee"/>
    <n v="1957078"/>
    <n v="484938"/>
    <n v="1472140"/>
    <n v="1937"/>
  </r>
  <r>
    <x v="9"/>
    <x v="2"/>
    <s v="WA"/>
    <s v="No gap agreement"/>
    <s v="Up to MBS Fee"/>
    <n v="1708380"/>
    <n v="1322315"/>
    <n v="385916"/>
    <n v="23696"/>
  </r>
  <r>
    <x v="9"/>
    <x v="3"/>
    <s v="ACT"/>
    <s v="Known gap agreement"/>
    <s v="100% MBS Fee to 125% MBS Fee"/>
    <n v="0"/>
    <n v="0"/>
    <n v="0"/>
    <n v="0"/>
  </r>
  <r>
    <x v="9"/>
    <x v="3"/>
    <s v="ACT"/>
    <s v="Known gap agreement"/>
    <s v="More than 125% MBS Fee to 150% MBS Fee"/>
    <n v="0"/>
    <n v="0"/>
    <n v="0"/>
    <n v="0"/>
  </r>
  <r>
    <x v="9"/>
    <x v="3"/>
    <s v="ACT"/>
    <s v="Known gap agreement"/>
    <s v="More than 150% MBS Fee to 200% MBS Fee"/>
    <n v="0"/>
    <n v="0"/>
    <n v="0"/>
    <n v="0"/>
  </r>
  <r>
    <x v="9"/>
    <x v="3"/>
    <s v="ACT"/>
    <s v="Known gap agreement"/>
    <s v="More than 200% MBS Fee"/>
    <n v="0"/>
    <n v="0"/>
    <n v="0"/>
    <n v="0"/>
  </r>
  <r>
    <x v="9"/>
    <x v="3"/>
    <s v="ACT"/>
    <s v="No agreement"/>
    <s v="100% MBS Fee to 125% MBS Fee"/>
    <n v="0"/>
    <n v="0"/>
    <n v="0"/>
    <n v="0"/>
  </r>
  <r>
    <x v="9"/>
    <x v="3"/>
    <s v="ACT"/>
    <s v="No agreement"/>
    <s v="More than 125% MBS Fee to 150% MBS Fee"/>
    <n v="0"/>
    <n v="0"/>
    <n v="0"/>
    <n v="0"/>
  </r>
  <r>
    <x v="9"/>
    <x v="3"/>
    <s v="ACT"/>
    <s v="No agreement"/>
    <s v="More than 150% MBS Fee to 200% MBS Fee"/>
    <n v="0"/>
    <n v="0"/>
    <n v="0"/>
    <n v="0"/>
  </r>
  <r>
    <x v="9"/>
    <x v="3"/>
    <s v="ACT"/>
    <s v="No agreement"/>
    <s v="More than 200% MBS Fee"/>
    <n v="0"/>
    <n v="0"/>
    <n v="0"/>
    <n v="0"/>
  </r>
  <r>
    <x v="9"/>
    <x v="3"/>
    <s v="ACT"/>
    <s v="No agreement"/>
    <s v="Up to MBS Fee"/>
    <n v="0"/>
    <n v="0"/>
    <n v="0"/>
    <n v="0"/>
  </r>
  <r>
    <x v="9"/>
    <x v="3"/>
    <s v="ACT"/>
    <s v="No gap agreement"/>
    <s v="100% MBS Fee to 125% MBS Fee"/>
    <n v="0"/>
    <n v="0"/>
    <n v="0"/>
    <n v="0"/>
  </r>
  <r>
    <x v="9"/>
    <x v="3"/>
    <s v="ACT"/>
    <s v="No gap agreement"/>
    <s v="More than 125% MBS Fee to 150% MBS Fee"/>
    <n v="0"/>
    <n v="0"/>
    <n v="0"/>
    <n v="0"/>
  </r>
  <r>
    <x v="9"/>
    <x v="3"/>
    <s v="ACT"/>
    <s v="No gap agreement"/>
    <s v="More than 150% MBS Fee to 200% MBS Fee"/>
    <n v="0"/>
    <n v="0"/>
    <n v="0"/>
    <n v="0"/>
  </r>
  <r>
    <x v="9"/>
    <x v="3"/>
    <s v="ACT"/>
    <s v="No gap agreement"/>
    <s v="More than 200% MBS Fee"/>
    <n v="0"/>
    <n v="0"/>
    <n v="0"/>
    <n v="0"/>
  </r>
  <r>
    <x v="9"/>
    <x v="3"/>
    <s v="ACT"/>
    <s v="No gap agreement"/>
    <s v="Up to MBS Fee"/>
    <n v="0"/>
    <n v="0"/>
    <n v="0"/>
    <n v="0"/>
  </r>
  <r>
    <x v="9"/>
    <x v="3"/>
    <s v="NSW"/>
    <s v="Known gap agreement"/>
    <s v="100% MBS Fee to 125% MBS Fee"/>
    <n v="870431"/>
    <n v="569031"/>
    <n v="249488"/>
    <n v="6572"/>
  </r>
  <r>
    <x v="9"/>
    <x v="3"/>
    <s v="NSW"/>
    <s v="Known gap agreement"/>
    <s v="More than 125% MBS Fee to 150% MBS Fee"/>
    <n v="1492115"/>
    <n v="814701"/>
    <n v="511282"/>
    <n v="9910"/>
  </r>
  <r>
    <x v="9"/>
    <x v="3"/>
    <s v="NSW"/>
    <s v="Known gap agreement"/>
    <s v="More than 150% MBS Fee to 200% MBS Fee"/>
    <n v="2663711"/>
    <n v="1149535"/>
    <n v="975834"/>
    <n v="10542"/>
  </r>
  <r>
    <x v="9"/>
    <x v="3"/>
    <s v="NSW"/>
    <s v="Known gap agreement"/>
    <s v="More than 200% MBS Fee"/>
    <n v="3144217"/>
    <n v="899152"/>
    <n v="812959"/>
    <n v="9759"/>
  </r>
  <r>
    <x v="9"/>
    <x v="3"/>
    <s v="NSW"/>
    <s v="No agreement"/>
    <s v="100% MBS Fee to 125% MBS Fee"/>
    <n v="4399471"/>
    <n v="2917233"/>
    <n v="990968"/>
    <n v="34734"/>
  </r>
  <r>
    <x v="9"/>
    <x v="3"/>
    <s v="NSW"/>
    <s v="No agreement"/>
    <s v="More than 125% MBS Fee to 150% MBS Fee"/>
    <n v="6021143"/>
    <n v="3285096"/>
    <n v="1177085"/>
    <n v="41294"/>
  </r>
  <r>
    <x v="9"/>
    <x v="3"/>
    <s v="NSW"/>
    <s v="No agreement"/>
    <s v="More than 150% MBS Fee to 200% MBS Fee"/>
    <n v="18569330"/>
    <n v="7914071"/>
    <n v="2768834"/>
    <n v="79649"/>
  </r>
  <r>
    <x v="9"/>
    <x v="3"/>
    <s v="NSW"/>
    <s v="No agreement"/>
    <s v="More than 200% MBS Fee"/>
    <n v="46187769"/>
    <n v="12758128"/>
    <n v="4533631"/>
    <n v="107430"/>
  </r>
  <r>
    <x v="9"/>
    <x v="3"/>
    <s v="NSW"/>
    <s v="No agreement"/>
    <s v="Up to MBS Fee"/>
    <n v="19991457"/>
    <n v="15130782"/>
    <n v="4859792"/>
    <n v="344118"/>
  </r>
  <r>
    <x v="9"/>
    <x v="3"/>
    <s v="NSW"/>
    <s v="No gap agreement"/>
    <s v="100% MBS Fee to 125% MBS Fee"/>
    <n v="22746558"/>
    <n v="14574026"/>
    <n v="8172532"/>
    <n v="297669"/>
  </r>
  <r>
    <x v="9"/>
    <x v="3"/>
    <s v="NSW"/>
    <s v="No gap agreement"/>
    <s v="More than 125% MBS Fee to 150% MBS Fee"/>
    <n v="31599144"/>
    <n v="17426923"/>
    <n v="14172221"/>
    <n v="144251"/>
  </r>
  <r>
    <x v="9"/>
    <x v="3"/>
    <s v="NSW"/>
    <s v="No gap agreement"/>
    <s v="More than 150% MBS Fee to 200% MBS Fee"/>
    <n v="23335663"/>
    <n v="10956453"/>
    <n v="12379211"/>
    <n v="162882"/>
  </r>
  <r>
    <x v="9"/>
    <x v="3"/>
    <s v="NSW"/>
    <s v="No gap agreement"/>
    <s v="More than 200% MBS Fee"/>
    <n v="4016109"/>
    <n v="1083181"/>
    <n v="2932924"/>
    <n v="4427"/>
  </r>
  <r>
    <x v="9"/>
    <x v="3"/>
    <s v="NSW"/>
    <s v="No gap agreement"/>
    <s v="Up to MBS Fee"/>
    <n v="3545477"/>
    <n v="2672334"/>
    <n v="873160"/>
    <n v="74521"/>
  </r>
  <r>
    <x v="9"/>
    <x v="3"/>
    <s v="NT"/>
    <s v="Known gap agreement"/>
    <s v="100% MBS Fee to 125% MBS Fee"/>
    <n v="8209"/>
    <n v="5293"/>
    <n v="2431"/>
    <n v="49"/>
  </r>
  <r>
    <x v="9"/>
    <x v="3"/>
    <s v="NT"/>
    <s v="Known gap agreement"/>
    <s v="More than 125% MBS Fee to 150% MBS Fee"/>
    <n v="19518"/>
    <n v="10622"/>
    <n v="7637"/>
    <n v="72"/>
  </r>
  <r>
    <x v="9"/>
    <x v="3"/>
    <s v="NT"/>
    <s v="Known gap agreement"/>
    <s v="More than 150% MBS Fee to 200% MBS Fee"/>
    <n v="56577"/>
    <n v="24220"/>
    <n v="20393"/>
    <n v="141"/>
  </r>
  <r>
    <x v="9"/>
    <x v="3"/>
    <s v="NT"/>
    <s v="Known gap agreement"/>
    <s v="More than 200% MBS Fee"/>
    <n v="86738"/>
    <n v="21701"/>
    <n v="29198"/>
    <n v="125"/>
  </r>
  <r>
    <x v="9"/>
    <x v="3"/>
    <s v="NT"/>
    <s v="No agreement"/>
    <s v="100% MBS Fee to 125% MBS Fee"/>
    <n v="51035"/>
    <n v="34543"/>
    <n v="11382"/>
    <n v="337"/>
  </r>
  <r>
    <x v="9"/>
    <x v="3"/>
    <s v="NT"/>
    <s v="No agreement"/>
    <s v="More than 125% MBS Fee to 150% MBS Fee"/>
    <n v="79173"/>
    <n v="43723"/>
    <n v="14793"/>
    <n v="407"/>
  </r>
  <r>
    <x v="9"/>
    <x v="3"/>
    <s v="NT"/>
    <s v="No agreement"/>
    <s v="More than 150% MBS Fee to 200% MBS Fee"/>
    <n v="207576"/>
    <n v="87279"/>
    <n v="28584"/>
    <n v="925"/>
  </r>
  <r>
    <x v="9"/>
    <x v="3"/>
    <s v="NT"/>
    <s v="No agreement"/>
    <s v="More than 200% MBS Fee"/>
    <n v="414931"/>
    <n v="124655"/>
    <n v="40743"/>
    <n v="1034"/>
  </r>
  <r>
    <x v="9"/>
    <x v="3"/>
    <s v="NT"/>
    <s v="No agreement"/>
    <s v="Up to MBS Fee"/>
    <n v="126203"/>
    <n v="96261"/>
    <n v="29940"/>
    <n v="1953"/>
  </r>
  <r>
    <x v="9"/>
    <x v="3"/>
    <s v="NT"/>
    <s v="No gap agreement"/>
    <s v="100% MBS Fee to 125% MBS Fee"/>
    <n v="285118"/>
    <n v="182771"/>
    <n v="102347"/>
    <n v="4004"/>
  </r>
  <r>
    <x v="9"/>
    <x v="3"/>
    <s v="NT"/>
    <s v="No gap agreement"/>
    <s v="More than 125% MBS Fee to 150% MBS Fee"/>
    <n v="723689"/>
    <n v="398339"/>
    <n v="325353"/>
    <n v="3380"/>
  </r>
  <r>
    <x v="9"/>
    <x v="3"/>
    <s v="NT"/>
    <s v="No gap agreement"/>
    <s v="More than 150% MBS Fee to 200% MBS Fee"/>
    <n v="399047"/>
    <n v="187043"/>
    <n v="212004"/>
    <n v="2790"/>
  </r>
  <r>
    <x v="9"/>
    <x v="3"/>
    <s v="NT"/>
    <s v="No gap agreement"/>
    <s v="More than 200% MBS Fee"/>
    <n v="95892"/>
    <n v="27724"/>
    <n v="68169"/>
    <n v="91"/>
  </r>
  <r>
    <x v="9"/>
    <x v="3"/>
    <s v="NT"/>
    <s v="No gap agreement"/>
    <s v="Up to MBS Fee"/>
    <n v="27733"/>
    <n v="20968"/>
    <n v="6767"/>
    <n v="413"/>
  </r>
  <r>
    <x v="9"/>
    <x v="3"/>
    <s v="QLD"/>
    <s v="Known gap agreement"/>
    <s v="100% MBS Fee to 125% MBS Fee"/>
    <n v="443807"/>
    <n v="293797"/>
    <n v="115018"/>
    <n v="4136"/>
  </r>
  <r>
    <x v="9"/>
    <x v="3"/>
    <s v="QLD"/>
    <s v="Known gap agreement"/>
    <s v="More than 125% MBS Fee to 150% MBS Fee"/>
    <n v="1287852"/>
    <n v="700533"/>
    <n v="455347"/>
    <n v="10226"/>
  </r>
  <r>
    <x v="9"/>
    <x v="3"/>
    <s v="QLD"/>
    <s v="Known gap agreement"/>
    <s v="More than 150% MBS Fee to 200% MBS Fee"/>
    <n v="3512012"/>
    <n v="1478978"/>
    <n v="1337259"/>
    <n v="11813"/>
  </r>
  <r>
    <x v="9"/>
    <x v="3"/>
    <s v="QLD"/>
    <s v="Known gap agreement"/>
    <s v="More than 200% MBS Fee"/>
    <n v="3576483"/>
    <n v="1024441"/>
    <n v="1097119"/>
    <n v="11983"/>
  </r>
  <r>
    <x v="9"/>
    <x v="3"/>
    <s v="QLD"/>
    <s v="No agreement"/>
    <s v="100% MBS Fee to 125% MBS Fee"/>
    <n v="3490218"/>
    <n v="2325412"/>
    <n v="774303"/>
    <n v="22567"/>
  </r>
  <r>
    <x v="9"/>
    <x v="3"/>
    <s v="QLD"/>
    <s v="No agreement"/>
    <s v="More than 125% MBS Fee to 150% MBS Fee"/>
    <n v="5194614"/>
    <n v="2853169"/>
    <n v="999314"/>
    <n v="33047"/>
  </r>
  <r>
    <x v="9"/>
    <x v="3"/>
    <s v="QLD"/>
    <s v="No agreement"/>
    <s v="More than 150% MBS Fee to 200% MBS Fee"/>
    <n v="10354585"/>
    <n v="4423620"/>
    <n v="1546437"/>
    <n v="46651"/>
  </r>
  <r>
    <x v="9"/>
    <x v="3"/>
    <s v="QLD"/>
    <s v="No agreement"/>
    <s v="More than 200% MBS Fee"/>
    <n v="13034663"/>
    <n v="3860189"/>
    <n v="1295084"/>
    <n v="36937"/>
  </r>
  <r>
    <x v="9"/>
    <x v="3"/>
    <s v="QLD"/>
    <s v="No agreement"/>
    <s v="Up to MBS Fee"/>
    <n v="8729045"/>
    <n v="6642540"/>
    <n v="2086240"/>
    <n v="109982"/>
  </r>
  <r>
    <x v="9"/>
    <x v="3"/>
    <s v="QLD"/>
    <s v="No gap agreement"/>
    <s v="100% MBS Fee to 125% MBS Fee"/>
    <n v="20630567"/>
    <n v="13402473"/>
    <n v="7227769"/>
    <n v="335779"/>
  </r>
  <r>
    <x v="9"/>
    <x v="3"/>
    <s v="QLD"/>
    <s v="No gap agreement"/>
    <s v="More than 125% MBS Fee to 150% MBS Fee"/>
    <n v="27551468"/>
    <n v="15288487"/>
    <n v="12262979"/>
    <n v="165672"/>
  </r>
  <r>
    <x v="9"/>
    <x v="3"/>
    <s v="QLD"/>
    <s v="No gap agreement"/>
    <s v="More than 150% MBS Fee to 200% MBS Fee"/>
    <n v="14472187"/>
    <n v="6866153"/>
    <n v="7606034"/>
    <n v="127271"/>
  </r>
  <r>
    <x v="9"/>
    <x v="3"/>
    <s v="QLD"/>
    <s v="No gap agreement"/>
    <s v="More than 200% MBS Fee"/>
    <n v="3008997"/>
    <n v="873074"/>
    <n v="2135926"/>
    <n v="3207"/>
  </r>
  <r>
    <x v="9"/>
    <x v="3"/>
    <s v="QLD"/>
    <s v="No gap agreement"/>
    <s v="Up to MBS Fee"/>
    <n v="1396162"/>
    <n v="1056365"/>
    <n v="340081"/>
    <n v="27178"/>
  </r>
  <r>
    <x v="9"/>
    <x v="3"/>
    <s v="SA"/>
    <s v="Known gap agreement"/>
    <s v="100% MBS Fee to 125% MBS Fee"/>
    <n v="596347"/>
    <n v="389667"/>
    <n v="175904"/>
    <n v="4671"/>
  </r>
  <r>
    <x v="9"/>
    <x v="3"/>
    <s v="SA"/>
    <s v="Known gap agreement"/>
    <s v="More than 125% MBS Fee to 150% MBS Fee"/>
    <n v="570973"/>
    <n v="306708"/>
    <n v="204881"/>
    <n v="2854"/>
  </r>
  <r>
    <x v="9"/>
    <x v="3"/>
    <s v="SA"/>
    <s v="Known gap agreement"/>
    <s v="More than 150% MBS Fee to 200% MBS Fee"/>
    <n v="1007221"/>
    <n v="436841"/>
    <n v="398306"/>
    <n v="3982"/>
  </r>
  <r>
    <x v="9"/>
    <x v="3"/>
    <s v="SA"/>
    <s v="Known gap agreement"/>
    <s v="More than 200% MBS Fee"/>
    <n v="715071"/>
    <n v="187785"/>
    <n v="179825"/>
    <n v="1540"/>
  </r>
  <r>
    <x v="9"/>
    <x v="3"/>
    <s v="SA"/>
    <s v="No agreement"/>
    <s v="100% MBS Fee to 125% MBS Fee"/>
    <n v="462796"/>
    <n v="309786"/>
    <n v="104515"/>
    <n v="4945"/>
  </r>
  <r>
    <x v="9"/>
    <x v="3"/>
    <s v="SA"/>
    <s v="No agreement"/>
    <s v="More than 125% MBS Fee to 150% MBS Fee"/>
    <n v="458287"/>
    <n v="250110"/>
    <n v="92153"/>
    <n v="3060"/>
  </r>
  <r>
    <x v="9"/>
    <x v="3"/>
    <s v="SA"/>
    <s v="No agreement"/>
    <s v="More than 150% MBS Fee to 200% MBS Fee"/>
    <n v="498526"/>
    <n v="213737"/>
    <n v="77480"/>
    <n v="2552"/>
  </r>
  <r>
    <x v="9"/>
    <x v="3"/>
    <s v="SA"/>
    <s v="No agreement"/>
    <s v="More than 200% MBS Fee"/>
    <n v="713006"/>
    <n v="207940"/>
    <n v="73722"/>
    <n v="2158"/>
  </r>
  <r>
    <x v="9"/>
    <x v="3"/>
    <s v="SA"/>
    <s v="No agreement"/>
    <s v="Up to MBS Fee"/>
    <n v="2726901"/>
    <n v="2064868"/>
    <n v="662000"/>
    <n v="50859"/>
  </r>
  <r>
    <x v="9"/>
    <x v="3"/>
    <s v="SA"/>
    <s v="No gap agreement"/>
    <s v="100% MBS Fee to 125% MBS Fee"/>
    <n v="9360598"/>
    <n v="6065007"/>
    <n v="3295589"/>
    <n v="153940"/>
  </r>
  <r>
    <x v="9"/>
    <x v="3"/>
    <s v="SA"/>
    <s v="No gap agreement"/>
    <s v="More than 125% MBS Fee to 150% MBS Fee"/>
    <n v="14641836"/>
    <n v="7942479"/>
    <n v="6699353"/>
    <n v="56351"/>
  </r>
  <r>
    <x v="9"/>
    <x v="3"/>
    <s v="SA"/>
    <s v="No gap agreement"/>
    <s v="More than 150% MBS Fee to 200% MBS Fee"/>
    <n v="12592271"/>
    <n v="5786328"/>
    <n v="6805946"/>
    <n v="80068"/>
  </r>
  <r>
    <x v="9"/>
    <x v="3"/>
    <s v="SA"/>
    <s v="No gap agreement"/>
    <s v="More than 200% MBS Fee"/>
    <n v="1186644"/>
    <n v="308404"/>
    <n v="878238"/>
    <n v="1103"/>
  </r>
  <r>
    <x v="9"/>
    <x v="3"/>
    <s v="SA"/>
    <s v="No gap agreement"/>
    <s v="Up to MBS Fee"/>
    <n v="1458146"/>
    <n v="1100961"/>
    <n v="357184"/>
    <n v="14636"/>
  </r>
  <r>
    <x v="9"/>
    <x v="3"/>
    <s v="TAS"/>
    <s v="Known gap agreement"/>
    <s v="100% MBS Fee to 125% MBS Fee"/>
    <n v="26535"/>
    <n v="17402"/>
    <n v="7996"/>
    <n v="175"/>
  </r>
  <r>
    <x v="9"/>
    <x v="3"/>
    <s v="TAS"/>
    <s v="Known gap agreement"/>
    <s v="More than 125% MBS Fee to 150% MBS Fee"/>
    <n v="101298"/>
    <n v="55041"/>
    <n v="38564"/>
    <n v="334"/>
  </r>
  <r>
    <x v="9"/>
    <x v="3"/>
    <s v="TAS"/>
    <s v="Known gap agreement"/>
    <s v="More than 150% MBS Fee to 200% MBS Fee"/>
    <n v="227543"/>
    <n v="98306"/>
    <n v="90428"/>
    <n v="820"/>
  </r>
  <r>
    <x v="9"/>
    <x v="3"/>
    <s v="TAS"/>
    <s v="Known gap agreement"/>
    <s v="More than 200% MBS Fee"/>
    <n v="264300"/>
    <n v="75112"/>
    <n v="82493"/>
    <n v="820"/>
  </r>
  <r>
    <x v="9"/>
    <x v="3"/>
    <s v="TAS"/>
    <s v="No agreement"/>
    <s v="100% MBS Fee to 125% MBS Fee"/>
    <n v="359707"/>
    <n v="239241"/>
    <n v="79406"/>
    <n v="2542"/>
  </r>
  <r>
    <x v="9"/>
    <x v="3"/>
    <s v="TAS"/>
    <s v="No agreement"/>
    <s v="More than 125% MBS Fee to 150% MBS Fee"/>
    <n v="344277"/>
    <n v="186360"/>
    <n v="62962"/>
    <n v="1976"/>
  </r>
  <r>
    <x v="9"/>
    <x v="3"/>
    <s v="TAS"/>
    <s v="No agreement"/>
    <s v="More than 150% MBS Fee to 200% MBS Fee"/>
    <n v="623849"/>
    <n v="267557"/>
    <n v="88431"/>
    <n v="3253"/>
  </r>
  <r>
    <x v="9"/>
    <x v="3"/>
    <s v="TAS"/>
    <s v="No agreement"/>
    <s v="More than 200% MBS Fee"/>
    <n v="968018"/>
    <n v="290056"/>
    <n v="103570"/>
    <n v="2710"/>
  </r>
  <r>
    <x v="9"/>
    <x v="3"/>
    <s v="TAS"/>
    <s v="No agreement"/>
    <s v="Up to MBS Fee"/>
    <n v="1235994"/>
    <n v="936593"/>
    <n v="299396"/>
    <n v="18831"/>
  </r>
  <r>
    <x v="9"/>
    <x v="3"/>
    <s v="TAS"/>
    <s v="No gap agreement"/>
    <s v="100% MBS Fee to 125% MBS Fee"/>
    <n v="2139733"/>
    <n v="1389978"/>
    <n v="749756"/>
    <n v="27302"/>
  </r>
  <r>
    <x v="9"/>
    <x v="3"/>
    <s v="TAS"/>
    <s v="No gap agreement"/>
    <s v="More than 125% MBS Fee to 150% MBS Fee"/>
    <n v="2599311"/>
    <n v="1426330"/>
    <n v="1172979"/>
    <n v="10871"/>
  </r>
  <r>
    <x v="9"/>
    <x v="3"/>
    <s v="TAS"/>
    <s v="No gap agreement"/>
    <s v="More than 150% MBS Fee to 200% MBS Fee"/>
    <n v="2131986"/>
    <n v="1002973"/>
    <n v="1129013"/>
    <n v="14885"/>
  </r>
  <r>
    <x v="9"/>
    <x v="3"/>
    <s v="TAS"/>
    <s v="No gap agreement"/>
    <s v="More than 200% MBS Fee"/>
    <n v="336500"/>
    <n v="97771"/>
    <n v="238729"/>
    <n v="346"/>
  </r>
  <r>
    <x v="9"/>
    <x v="3"/>
    <s v="TAS"/>
    <s v="No gap agreement"/>
    <s v="Up to MBS Fee"/>
    <n v="111168"/>
    <n v="83202"/>
    <n v="27965"/>
    <n v="1269"/>
  </r>
  <r>
    <x v="9"/>
    <x v="3"/>
    <s v="VIC"/>
    <s v="Known gap agreement"/>
    <s v="100% MBS Fee to 125% MBS Fee"/>
    <n v="1410425"/>
    <n v="925672"/>
    <n v="419924"/>
    <n v="7457"/>
  </r>
  <r>
    <x v="9"/>
    <x v="3"/>
    <s v="VIC"/>
    <s v="Known gap agreement"/>
    <s v="More than 125% MBS Fee to 150% MBS Fee"/>
    <n v="3114842"/>
    <n v="1687051"/>
    <n v="1117747"/>
    <n v="12645"/>
  </r>
  <r>
    <x v="9"/>
    <x v="3"/>
    <s v="VIC"/>
    <s v="Known gap agreement"/>
    <s v="More than 150% MBS Fee to 200% MBS Fee"/>
    <n v="5692912"/>
    <n v="2464619"/>
    <n v="2097607"/>
    <n v="27514"/>
  </r>
  <r>
    <x v="9"/>
    <x v="3"/>
    <s v="VIC"/>
    <s v="Known gap agreement"/>
    <s v="More than 200% MBS Fee"/>
    <n v="4310882"/>
    <n v="1261079"/>
    <n v="1309732"/>
    <n v="13852"/>
  </r>
  <r>
    <x v="9"/>
    <x v="3"/>
    <s v="VIC"/>
    <s v="No agreement"/>
    <s v="100% MBS Fee to 125% MBS Fee"/>
    <n v="3117722"/>
    <n v="2068635"/>
    <n v="692347"/>
    <n v="24518"/>
  </r>
  <r>
    <x v="9"/>
    <x v="3"/>
    <s v="VIC"/>
    <s v="No agreement"/>
    <s v="More than 125% MBS Fee to 150% MBS Fee"/>
    <n v="3128219"/>
    <n v="1695099"/>
    <n v="649041"/>
    <n v="18154"/>
  </r>
  <r>
    <x v="9"/>
    <x v="3"/>
    <s v="VIC"/>
    <s v="No agreement"/>
    <s v="More than 150% MBS Fee to 200% MBS Fee"/>
    <n v="6471140"/>
    <n v="2800645"/>
    <n v="994368"/>
    <n v="41984"/>
  </r>
  <r>
    <x v="9"/>
    <x v="3"/>
    <s v="VIC"/>
    <s v="No agreement"/>
    <s v="More than 200% MBS Fee"/>
    <n v="6879285"/>
    <n v="1925447"/>
    <n v="681431"/>
    <n v="18518"/>
  </r>
  <r>
    <x v="9"/>
    <x v="3"/>
    <s v="VIC"/>
    <s v="No agreement"/>
    <s v="Up to MBS Fee"/>
    <n v="11142414"/>
    <n v="8416519"/>
    <n v="2725811"/>
    <n v="154245"/>
  </r>
  <r>
    <x v="9"/>
    <x v="3"/>
    <s v="VIC"/>
    <s v="No gap agreement"/>
    <s v="100% MBS Fee to 125% MBS Fee"/>
    <n v="19363594"/>
    <n v="12448657"/>
    <n v="6914936"/>
    <n v="247870"/>
  </r>
  <r>
    <x v="9"/>
    <x v="3"/>
    <s v="VIC"/>
    <s v="No gap agreement"/>
    <s v="More than 125% MBS Fee to 150% MBS Fee"/>
    <n v="46208486"/>
    <n v="25671986"/>
    <n v="20536503"/>
    <n v="310407"/>
  </r>
  <r>
    <x v="9"/>
    <x v="3"/>
    <s v="VIC"/>
    <s v="No gap agreement"/>
    <s v="More than 150% MBS Fee to 200% MBS Fee"/>
    <n v="24649195"/>
    <n v="11458476"/>
    <n v="13190721"/>
    <n v="195508"/>
  </r>
  <r>
    <x v="9"/>
    <x v="3"/>
    <s v="VIC"/>
    <s v="No gap agreement"/>
    <s v="More than 200% MBS Fee"/>
    <n v="2283509"/>
    <n v="661010"/>
    <n v="1622495"/>
    <n v="2333"/>
  </r>
  <r>
    <x v="9"/>
    <x v="3"/>
    <s v="VIC"/>
    <s v="No gap agreement"/>
    <s v="Up to MBS Fee"/>
    <n v="3233273"/>
    <n v="2451863"/>
    <n v="781444"/>
    <n v="51926"/>
  </r>
  <r>
    <x v="9"/>
    <x v="3"/>
    <s v="WA"/>
    <s v="Known gap agreement"/>
    <s v="100% MBS Fee to 125% MBS Fee"/>
    <n v="407557"/>
    <n v="265047"/>
    <n v="112858"/>
    <n v="3524"/>
  </r>
  <r>
    <x v="9"/>
    <x v="3"/>
    <s v="WA"/>
    <s v="Known gap agreement"/>
    <s v="More than 125% MBS Fee to 150% MBS Fee"/>
    <n v="2276042"/>
    <n v="1222527"/>
    <n v="749275"/>
    <n v="7337"/>
  </r>
  <r>
    <x v="9"/>
    <x v="3"/>
    <s v="WA"/>
    <s v="Known gap agreement"/>
    <s v="More than 150% MBS Fee to 200% MBS Fee"/>
    <n v="4879489"/>
    <n v="2151434"/>
    <n v="1452252"/>
    <n v="27966"/>
  </r>
  <r>
    <x v="9"/>
    <x v="3"/>
    <s v="WA"/>
    <s v="Known gap agreement"/>
    <s v="More than 200% MBS Fee"/>
    <n v="4190423"/>
    <n v="1237934"/>
    <n v="839414"/>
    <n v="16265"/>
  </r>
  <r>
    <x v="9"/>
    <x v="3"/>
    <s v="WA"/>
    <s v="No agreement"/>
    <s v="100% MBS Fee to 125% MBS Fee"/>
    <n v="777308"/>
    <n v="512124"/>
    <n v="168716"/>
    <n v="5065"/>
  </r>
  <r>
    <x v="9"/>
    <x v="3"/>
    <s v="WA"/>
    <s v="No agreement"/>
    <s v="More than 125% MBS Fee to 150% MBS Fee"/>
    <n v="1207620"/>
    <n v="666914"/>
    <n v="230230"/>
    <n v="12326"/>
  </r>
  <r>
    <x v="9"/>
    <x v="3"/>
    <s v="WA"/>
    <s v="No agreement"/>
    <s v="More than 150% MBS Fee to 200% MBS Fee"/>
    <n v="1204563"/>
    <n v="527565"/>
    <n v="191456"/>
    <n v="6548"/>
  </r>
  <r>
    <x v="9"/>
    <x v="3"/>
    <s v="WA"/>
    <s v="No agreement"/>
    <s v="More than 200% MBS Fee"/>
    <n v="1284327"/>
    <n v="342780"/>
    <n v="279655"/>
    <n v="3597"/>
  </r>
  <r>
    <x v="9"/>
    <x v="3"/>
    <s v="WA"/>
    <s v="No agreement"/>
    <s v="Up to MBS Fee"/>
    <n v="1384855"/>
    <n v="1060004"/>
    <n v="324851"/>
    <n v="24245"/>
  </r>
  <r>
    <x v="9"/>
    <x v="3"/>
    <s v="WA"/>
    <s v="No gap agreement"/>
    <s v="100% MBS Fee to 125% MBS Fee"/>
    <n v="8808388"/>
    <n v="5578125"/>
    <n v="3230260"/>
    <n v="117466"/>
  </r>
  <r>
    <x v="9"/>
    <x v="3"/>
    <s v="WA"/>
    <s v="No gap agreement"/>
    <s v="More than 125% MBS Fee to 150% MBS Fee"/>
    <n v="16162578"/>
    <n v="8835854"/>
    <n v="7326721"/>
    <n v="60266"/>
  </r>
  <r>
    <x v="9"/>
    <x v="3"/>
    <s v="WA"/>
    <s v="No gap agreement"/>
    <s v="More than 150% MBS Fee to 200% MBS Fee"/>
    <n v="7365079"/>
    <n v="3447931"/>
    <n v="3917146"/>
    <n v="53245"/>
  </r>
  <r>
    <x v="9"/>
    <x v="3"/>
    <s v="WA"/>
    <s v="No gap agreement"/>
    <s v="More than 200% MBS Fee"/>
    <n v="1878533"/>
    <n v="465575"/>
    <n v="1412956"/>
    <n v="1686"/>
  </r>
  <r>
    <x v="9"/>
    <x v="3"/>
    <s v="WA"/>
    <s v="No gap agreement"/>
    <s v="Up to MBS Fee"/>
    <n v="1691879"/>
    <n v="1305167"/>
    <n v="386714"/>
    <n v="24421"/>
  </r>
  <r>
    <x v="9"/>
    <x v="1"/>
    <s v="ACT"/>
    <s v="Known gap agreement"/>
    <s v="100% MBS Fee to 125% MBS Fee"/>
    <n v="0"/>
    <n v="0"/>
    <n v="0"/>
    <n v="0"/>
  </r>
  <r>
    <x v="9"/>
    <x v="1"/>
    <s v="ACT"/>
    <s v="Known gap agreement"/>
    <s v="More than 125% MBS Fee to 150% MBS Fee"/>
    <n v="0"/>
    <n v="0"/>
    <n v="0"/>
    <n v="0"/>
  </r>
  <r>
    <x v="9"/>
    <x v="1"/>
    <s v="ACT"/>
    <s v="Known gap agreement"/>
    <s v="More than 150% MBS Fee to 200% MBS Fee"/>
    <n v="0"/>
    <n v="0"/>
    <n v="0"/>
    <n v="0"/>
  </r>
  <r>
    <x v="9"/>
    <x v="1"/>
    <s v="ACT"/>
    <s v="Known gap agreement"/>
    <s v="More than 200% MBS Fee"/>
    <n v="0"/>
    <n v="0"/>
    <n v="0"/>
    <n v="0"/>
  </r>
  <r>
    <x v="9"/>
    <x v="1"/>
    <s v="ACT"/>
    <s v="No agreement"/>
    <s v="100% MBS Fee to 125% MBS Fee"/>
    <n v="0"/>
    <n v="0"/>
    <n v="0"/>
    <n v="0"/>
  </r>
  <r>
    <x v="9"/>
    <x v="1"/>
    <s v="ACT"/>
    <s v="No agreement"/>
    <s v="More than 125% MBS Fee to 150% MBS Fee"/>
    <n v="0"/>
    <n v="0"/>
    <n v="0"/>
    <n v="0"/>
  </r>
  <r>
    <x v="9"/>
    <x v="1"/>
    <s v="ACT"/>
    <s v="No agreement"/>
    <s v="More than 150% MBS Fee to 200% MBS Fee"/>
    <n v="0"/>
    <n v="0"/>
    <n v="0"/>
    <n v="0"/>
  </r>
  <r>
    <x v="9"/>
    <x v="1"/>
    <s v="ACT"/>
    <s v="No agreement"/>
    <s v="More than 200% MBS Fee"/>
    <n v="0"/>
    <n v="0"/>
    <n v="0"/>
    <n v="0"/>
  </r>
  <r>
    <x v="9"/>
    <x v="1"/>
    <s v="ACT"/>
    <s v="No agreement"/>
    <s v="Up to MBS Fee"/>
    <n v="0"/>
    <n v="0"/>
    <n v="0"/>
    <n v="0"/>
  </r>
  <r>
    <x v="9"/>
    <x v="1"/>
    <s v="ACT"/>
    <s v="No gap agreement"/>
    <s v="100% MBS Fee to 125% MBS Fee"/>
    <n v="0"/>
    <n v="0"/>
    <n v="0"/>
    <n v="0"/>
  </r>
  <r>
    <x v="9"/>
    <x v="1"/>
    <s v="ACT"/>
    <s v="No gap agreement"/>
    <s v="More than 125% MBS Fee to 150% MBS Fee"/>
    <n v="0"/>
    <n v="0"/>
    <n v="0"/>
    <n v="0"/>
  </r>
  <r>
    <x v="9"/>
    <x v="1"/>
    <s v="ACT"/>
    <s v="No gap agreement"/>
    <s v="More than 150% MBS Fee to 200% MBS Fee"/>
    <n v="0"/>
    <n v="0"/>
    <n v="0"/>
    <n v="0"/>
  </r>
  <r>
    <x v="9"/>
    <x v="1"/>
    <s v="ACT"/>
    <s v="No gap agreement"/>
    <s v="More than 200% MBS Fee"/>
    <n v="0"/>
    <n v="0"/>
    <n v="0"/>
    <n v="0"/>
  </r>
  <r>
    <x v="9"/>
    <x v="1"/>
    <s v="ACT"/>
    <s v="No gap agreement"/>
    <s v="Up to MBS Fee"/>
    <n v="0"/>
    <n v="0"/>
    <n v="0"/>
    <n v="0"/>
  </r>
  <r>
    <x v="9"/>
    <x v="1"/>
    <s v="NSW"/>
    <s v="Known gap agreement"/>
    <s v="100% MBS Fee to 125% MBS Fee"/>
    <n v="658820"/>
    <n v="428671"/>
    <n v="191465"/>
    <n v="4757"/>
  </r>
  <r>
    <x v="9"/>
    <x v="1"/>
    <s v="NSW"/>
    <s v="Known gap agreement"/>
    <s v="More than 125% MBS Fee to 150% MBS Fee"/>
    <n v="1464376"/>
    <n v="797209"/>
    <n v="540748"/>
    <n v="10078"/>
  </r>
  <r>
    <x v="9"/>
    <x v="1"/>
    <s v="NSW"/>
    <s v="Known gap agreement"/>
    <s v="More than 150% MBS Fee to 200% MBS Fee"/>
    <n v="3107717"/>
    <n v="1344632"/>
    <n v="1196542"/>
    <n v="12468"/>
  </r>
  <r>
    <x v="9"/>
    <x v="1"/>
    <s v="NSW"/>
    <s v="Known gap agreement"/>
    <s v="More than 200% MBS Fee"/>
    <n v="4975404"/>
    <n v="1248629"/>
    <n v="1105719"/>
    <n v="13214"/>
  </r>
  <r>
    <x v="9"/>
    <x v="1"/>
    <s v="NSW"/>
    <s v="No agreement"/>
    <s v="100% MBS Fee to 125% MBS Fee"/>
    <n v="4173113"/>
    <n v="2776649"/>
    <n v="932979"/>
    <n v="28308"/>
  </r>
  <r>
    <x v="9"/>
    <x v="1"/>
    <s v="NSW"/>
    <s v="No agreement"/>
    <s v="More than 125% MBS Fee to 150% MBS Fee"/>
    <n v="6495364"/>
    <n v="3549801"/>
    <n v="1235305"/>
    <n v="47208"/>
  </r>
  <r>
    <x v="9"/>
    <x v="1"/>
    <s v="NSW"/>
    <s v="No agreement"/>
    <s v="More than 150% MBS Fee to 200% MBS Fee"/>
    <n v="20150239"/>
    <n v="8569752"/>
    <n v="2896936"/>
    <n v="89307"/>
  </r>
  <r>
    <x v="9"/>
    <x v="1"/>
    <s v="NSW"/>
    <s v="No agreement"/>
    <s v="More than 200% MBS Fee"/>
    <n v="54102904"/>
    <n v="15084614"/>
    <n v="5211097"/>
    <n v="128500"/>
  </r>
  <r>
    <x v="9"/>
    <x v="1"/>
    <s v="NSW"/>
    <s v="No agreement"/>
    <s v="Up to MBS Fee"/>
    <n v="21711259"/>
    <n v="16400742"/>
    <n v="5310208"/>
    <n v="351708"/>
  </r>
  <r>
    <x v="9"/>
    <x v="1"/>
    <s v="NSW"/>
    <s v="No gap agreement"/>
    <s v="100% MBS Fee to 125% MBS Fee"/>
    <n v="25790584"/>
    <n v="16529792"/>
    <n v="9260791"/>
    <n v="340619"/>
  </r>
  <r>
    <x v="9"/>
    <x v="1"/>
    <s v="NSW"/>
    <s v="No gap agreement"/>
    <s v="More than 125% MBS Fee to 150% MBS Fee"/>
    <n v="40606041"/>
    <n v="22388351"/>
    <n v="18217689"/>
    <n v="178127"/>
  </r>
  <r>
    <x v="9"/>
    <x v="1"/>
    <s v="NSW"/>
    <s v="No gap agreement"/>
    <s v="More than 150% MBS Fee to 200% MBS Fee"/>
    <n v="30159466"/>
    <n v="14150403"/>
    <n v="16009065"/>
    <n v="209104"/>
  </r>
  <r>
    <x v="9"/>
    <x v="1"/>
    <s v="NSW"/>
    <s v="No gap agreement"/>
    <s v="More than 200% MBS Fee"/>
    <n v="4635811"/>
    <n v="1218514"/>
    <n v="3417297"/>
    <n v="5201"/>
  </r>
  <r>
    <x v="9"/>
    <x v="1"/>
    <s v="NSW"/>
    <s v="No gap agreement"/>
    <s v="Up to MBS Fee"/>
    <n v="4847111"/>
    <n v="3651587"/>
    <n v="1195522"/>
    <n v="108629"/>
  </r>
  <r>
    <x v="9"/>
    <x v="1"/>
    <s v="NT"/>
    <s v="Known gap agreement"/>
    <s v="100% MBS Fee to 125% MBS Fee"/>
    <n v="7259"/>
    <n v="4675"/>
    <n v="2063"/>
    <n v="44"/>
  </r>
  <r>
    <x v="9"/>
    <x v="1"/>
    <s v="NT"/>
    <s v="Known gap agreement"/>
    <s v="More than 125% MBS Fee to 150% MBS Fee"/>
    <n v="19784"/>
    <n v="10721"/>
    <n v="7203"/>
    <n v="69"/>
  </r>
  <r>
    <x v="9"/>
    <x v="1"/>
    <s v="NT"/>
    <s v="Known gap agreement"/>
    <s v="More than 150% MBS Fee to 200% MBS Fee"/>
    <n v="79916"/>
    <n v="34789"/>
    <n v="29450"/>
    <n v="240"/>
  </r>
  <r>
    <x v="9"/>
    <x v="1"/>
    <s v="NT"/>
    <s v="Known gap agreement"/>
    <s v="More than 200% MBS Fee"/>
    <n v="90341"/>
    <n v="24292"/>
    <n v="28584"/>
    <n v="145"/>
  </r>
  <r>
    <x v="9"/>
    <x v="1"/>
    <s v="NT"/>
    <s v="No agreement"/>
    <s v="100% MBS Fee to 125% MBS Fee"/>
    <n v="65088"/>
    <n v="44553"/>
    <n v="15016"/>
    <n v="413"/>
  </r>
  <r>
    <x v="9"/>
    <x v="1"/>
    <s v="NT"/>
    <s v="No agreement"/>
    <s v="More than 125% MBS Fee to 150% MBS Fee"/>
    <n v="96694"/>
    <n v="53424"/>
    <n v="17943"/>
    <n v="603"/>
  </r>
  <r>
    <x v="9"/>
    <x v="1"/>
    <s v="NT"/>
    <s v="No agreement"/>
    <s v="More than 150% MBS Fee to 200% MBS Fee"/>
    <n v="202518"/>
    <n v="85158"/>
    <n v="28790"/>
    <n v="1369"/>
  </r>
  <r>
    <x v="9"/>
    <x v="1"/>
    <s v="NT"/>
    <s v="No agreement"/>
    <s v="More than 200% MBS Fee"/>
    <n v="410578"/>
    <n v="121270"/>
    <n v="40516"/>
    <n v="918"/>
  </r>
  <r>
    <x v="9"/>
    <x v="1"/>
    <s v="NT"/>
    <s v="No agreement"/>
    <s v="Up to MBS Fee"/>
    <n v="162456"/>
    <n v="123369"/>
    <n v="39086"/>
    <n v="2542"/>
  </r>
  <r>
    <x v="9"/>
    <x v="1"/>
    <s v="NT"/>
    <s v="No gap agreement"/>
    <s v="100% MBS Fee to 125% MBS Fee"/>
    <n v="270273"/>
    <n v="174226"/>
    <n v="96047"/>
    <n v="3529"/>
  </r>
  <r>
    <x v="9"/>
    <x v="1"/>
    <s v="NT"/>
    <s v="No gap agreement"/>
    <s v="More than 125% MBS Fee to 150% MBS Fee"/>
    <n v="670503"/>
    <n v="368589"/>
    <n v="301919"/>
    <n v="3144"/>
  </r>
  <r>
    <x v="9"/>
    <x v="1"/>
    <s v="NT"/>
    <s v="No gap agreement"/>
    <s v="More than 150% MBS Fee to 200% MBS Fee"/>
    <n v="390886"/>
    <n v="181602"/>
    <n v="209284"/>
    <n v="2658"/>
  </r>
  <r>
    <x v="9"/>
    <x v="1"/>
    <s v="NT"/>
    <s v="No gap agreement"/>
    <s v="More than 200% MBS Fee"/>
    <n v="117968"/>
    <n v="33261"/>
    <n v="84708"/>
    <n v="110"/>
  </r>
  <r>
    <x v="9"/>
    <x v="1"/>
    <s v="NT"/>
    <s v="No gap agreement"/>
    <s v="Up to MBS Fee"/>
    <n v="48065"/>
    <n v="36129"/>
    <n v="11938"/>
    <n v="587"/>
  </r>
  <r>
    <x v="9"/>
    <x v="1"/>
    <s v="QLD"/>
    <s v="Known gap agreement"/>
    <s v="100% MBS Fee to 125% MBS Fee"/>
    <n v="314349"/>
    <n v="206204"/>
    <n v="86942"/>
    <n v="1906"/>
  </r>
  <r>
    <x v="9"/>
    <x v="1"/>
    <s v="QLD"/>
    <s v="Known gap agreement"/>
    <s v="More than 125% MBS Fee to 150% MBS Fee"/>
    <n v="1615695"/>
    <n v="885368"/>
    <n v="600749"/>
    <n v="14010"/>
  </r>
  <r>
    <x v="9"/>
    <x v="1"/>
    <s v="QLD"/>
    <s v="Known gap agreement"/>
    <s v="More than 150% MBS Fee to 200% MBS Fee"/>
    <n v="3785173"/>
    <n v="1586139"/>
    <n v="1456703"/>
    <n v="11986"/>
  </r>
  <r>
    <x v="9"/>
    <x v="1"/>
    <s v="QLD"/>
    <s v="Known gap agreement"/>
    <s v="More than 200% MBS Fee"/>
    <n v="4549850"/>
    <n v="1264277"/>
    <n v="1339834"/>
    <n v="14742"/>
  </r>
  <r>
    <x v="9"/>
    <x v="1"/>
    <s v="QLD"/>
    <s v="No agreement"/>
    <s v="100% MBS Fee to 125% MBS Fee"/>
    <n v="3265488"/>
    <n v="2181741"/>
    <n v="732057"/>
    <n v="18572"/>
  </r>
  <r>
    <x v="9"/>
    <x v="1"/>
    <s v="QLD"/>
    <s v="No agreement"/>
    <s v="More than 125% MBS Fee to 150% MBS Fee"/>
    <n v="5839410"/>
    <n v="3213084"/>
    <n v="1088947"/>
    <n v="45627"/>
  </r>
  <r>
    <x v="9"/>
    <x v="1"/>
    <s v="QLD"/>
    <s v="No agreement"/>
    <s v="More than 150% MBS Fee to 200% MBS Fee"/>
    <n v="11152896"/>
    <n v="4755920"/>
    <n v="1620180"/>
    <n v="49228"/>
  </r>
  <r>
    <x v="9"/>
    <x v="1"/>
    <s v="QLD"/>
    <s v="No agreement"/>
    <s v="More than 200% MBS Fee"/>
    <n v="15170381"/>
    <n v="4436791"/>
    <n v="1525966"/>
    <n v="43199"/>
  </r>
  <r>
    <x v="9"/>
    <x v="1"/>
    <s v="QLD"/>
    <s v="No agreement"/>
    <s v="Up to MBS Fee"/>
    <n v="9079747"/>
    <n v="6911812"/>
    <n v="2167152"/>
    <n v="125054"/>
  </r>
  <r>
    <x v="9"/>
    <x v="1"/>
    <s v="QLD"/>
    <s v="No gap agreement"/>
    <s v="100% MBS Fee to 125% MBS Fee"/>
    <n v="21666118"/>
    <n v="14071100"/>
    <n v="7595018"/>
    <n v="365483"/>
  </r>
  <r>
    <x v="9"/>
    <x v="1"/>
    <s v="QLD"/>
    <s v="No gap agreement"/>
    <s v="More than 125% MBS Fee to 150% MBS Fee"/>
    <n v="34188989"/>
    <n v="18951241"/>
    <n v="15237748"/>
    <n v="194902"/>
  </r>
  <r>
    <x v="9"/>
    <x v="1"/>
    <s v="QLD"/>
    <s v="No gap agreement"/>
    <s v="More than 150% MBS Fee to 200% MBS Fee"/>
    <n v="18295371"/>
    <n v="8656800"/>
    <n v="9638571"/>
    <n v="151157"/>
  </r>
  <r>
    <x v="9"/>
    <x v="1"/>
    <s v="QLD"/>
    <s v="No gap agreement"/>
    <s v="More than 200% MBS Fee"/>
    <n v="3263842"/>
    <n v="946890"/>
    <n v="2316951"/>
    <n v="3654"/>
  </r>
  <r>
    <x v="9"/>
    <x v="1"/>
    <s v="QLD"/>
    <s v="No gap agreement"/>
    <s v="Up to MBS Fee"/>
    <n v="1397794"/>
    <n v="1057648"/>
    <n v="340574"/>
    <n v="28731"/>
  </r>
  <r>
    <x v="9"/>
    <x v="1"/>
    <s v="SA"/>
    <s v="Known gap agreement"/>
    <s v="100% MBS Fee to 125% MBS Fee"/>
    <n v="678653"/>
    <n v="442631"/>
    <n v="194785"/>
    <n v="5260"/>
  </r>
  <r>
    <x v="9"/>
    <x v="1"/>
    <s v="SA"/>
    <s v="Known gap agreement"/>
    <s v="More than 125% MBS Fee to 150% MBS Fee"/>
    <n v="596781"/>
    <n v="314407"/>
    <n v="220706"/>
    <n v="2793"/>
  </r>
  <r>
    <x v="9"/>
    <x v="1"/>
    <s v="SA"/>
    <s v="Known gap agreement"/>
    <s v="More than 150% MBS Fee to 200% MBS Fee"/>
    <n v="1043903"/>
    <n v="449164"/>
    <n v="418673"/>
    <n v="3896"/>
  </r>
  <r>
    <x v="9"/>
    <x v="1"/>
    <s v="SA"/>
    <s v="Known gap agreement"/>
    <s v="More than 200% MBS Fee"/>
    <n v="919858"/>
    <n v="232000"/>
    <n v="223732"/>
    <n v="1878"/>
  </r>
  <r>
    <x v="9"/>
    <x v="1"/>
    <s v="SA"/>
    <s v="No agreement"/>
    <s v="100% MBS Fee to 125% MBS Fee"/>
    <n v="433007"/>
    <n v="288550"/>
    <n v="97367"/>
    <n v="4497"/>
  </r>
  <r>
    <x v="9"/>
    <x v="1"/>
    <s v="SA"/>
    <s v="No agreement"/>
    <s v="More than 125% MBS Fee to 150% MBS Fee"/>
    <n v="495870"/>
    <n v="270251"/>
    <n v="92932"/>
    <n v="3335"/>
  </r>
  <r>
    <x v="9"/>
    <x v="1"/>
    <s v="SA"/>
    <s v="No agreement"/>
    <s v="More than 150% MBS Fee to 200% MBS Fee"/>
    <n v="416941"/>
    <n v="179177"/>
    <n v="59712"/>
    <n v="2551"/>
  </r>
  <r>
    <x v="9"/>
    <x v="1"/>
    <s v="SA"/>
    <s v="No agreement"/>
    <s v="More than 200% MBS Fee"/>
    <n v="802215"/>
    <n v="226778"/>
    <n v="76327"/>
    <n v="2502"/>
  </r>
  <r>
    <x v="9"/>
    <x v="1"/>
    <s v="SA"/>
    <s v="No agreement"/>
    <s v="Up to MBS Fee"/>
    <n v="2934922"/>
    <n v="2224638"/>
    <n v="710203"/>
    <n v="54843"/>
  </r>
  <r>
    <x v="9"/>
    <x v="1"/>
    <s v="SA"/>
    <s v="No gap agreement"/>
    <s v="100% MBS Fee to 125% MBS Fee"/>
    <n v="11068778"/>
    <n v="7098430"/>
    <n v="3970349"/>
    <n v="168757"/>
  </r>
  <r>
    <x v="9"/>
    <x v="1"/>
    <s v="SA"/>
    <s v="No gap agreement"/>
    <s v="More than 125% MBS Fee to 150% MBS Fee"/>
    <n v="17373367"/>
    <n v="9375013"/>
    <n v="7998355"/>
    <n v="65422"/>
  </r>
  <r>
    <x v="9"/>
    <x v="1"/>
    <s v="SA"/>
    <s v="No gap agreement"/>
    <s v="More than 150% MBS Fee to 200% MBS Fee"/>
    <n v="14644397"/>
    <n v="6702515"/>
    <n v="7941883"/>
    <n v="91777"/>
  </r>
  <r>
    <x v="9"/>
    <x v="1"/>
    <s v="SA"/>
    <s v="No gap agreement"/>
    <s v="More than 200% MBS Fee"/>
    <n v="1197181"/>
    <n v="310818"/>
    <n v="886365"/>
    <n v="1152"/>
  </r>
  <r>
    <x v="9"/>
    <x v="1"/>
    <s v="SA"/>
    <s v="No gap agreement"/>
    <s v="Up to MBS Fee"/>
    <n v="1871392"/>
    <n v="1407708"/>
    <n v="463645"/>
    <n v="19146"/>
  </r>
  <r>
    <x v="9"/>
    <x v="1"/>
    <s v="TAS"/>
    <s v="Known gap agreement"/>
    <s v="100% MBS Fee to 125% MBS Fee"/>
    <n v="37060"/>
    <n v="24276"/>
    <n v="9495"/>
    <n v="242"/>
  </r>
  <r>
    <x v="9"/>
    <x v="1"/>
    <s v="TAS"/>
    <s v="Known gap agreement"/>
    <s v="More than 125% MBS Fee to 150% MBS Fee"/>
    <n v="70010"/>
    <n v="37832"/>
    <n v="26348"/>
    <n v="255"/>
  </r>
  <r>
    <x v="9"/>
    <x v="1"/>
    <s v="TAS"/>
    <s v="Known gap agreement"/>
    <s v="More than 150% MBS Fee to 200% MBS Fee"/>
    <n v="288716"/>
    <n v="121166"/>
    <n v="117954"/>
    <n v="980"/>
  </r>
  <r>
    <x v="9"/>
    <x v="1"/>
    <s v="TAS"/>
    <s v="Known gap agreement"/>
    <s v="More than 200% MBS Fee"/>
    <n v="386996"/>
    <n v="113035"/>
    <n v="127820"/>
    <n v="1260"/>
  </r>
  <r>
    <x v="9"/>
    <x v="1"/>
    <s v="TAS"/>
    <s v="No agreement"/>
    <s v="100% MBS Fee to 125% MBS Fee"/>
    <n v="317767"/>
    <n v="208289"/>
    <n v="69450"/>
    <n v="2173"/>
  </r>
  <r>
    <x v="9"/>
    <x v="1"/>
    <s v="TAS"/>
    <s v="No agreement"/>
    <s v="More than 125% MBS Fee to 150% MBS Fee"/>
    <n v="334708"/>
    <n v="182121"/>
    <n v="61529"/>
    <n v="2247"/>
  </r>
  <r>
    <x v="9"/>
    <x v="1"/>
    <s v="TAS"/>
    <s v="No agreement"/>
    <s v="More than 150% MBS Fee to 200% MBS Fee"/>
    <n v="614488"/>
    <n v="260166"/>
    <n v="86824"/>
    <n v="3140"/>
  </r>
  <r>
    <x v="9"/>
    <x v="1"/>
    <s v="TAS"/>
    <s v="No agreement"/>
    <s v="More than 200% MBS Fee"/>
    <n v="1201057"/>
    <n v="326020"/>
    <n v="109550"/>
    <n v="2759"/>
  </r>
  <r>
    <x v="9"/>
    <x v="1"/>
    <s v="TAS"/>
    <s v="No agreement"/>
    <s v="Up to MBS Fee"/>
    <n v="1503870"/>
    <n v="1140931"/>
    <n v="362940"/>
    <n v="23192"/>
  </r>
  <r>
    <x v="9"/>
    <x v="1"/>
    <s v="TAS"/>
    <s v="No gap agreement"/>
    <s v="100% MBS Fee to 125% MBS Fee"/>
    <n v="2426885"/>
    <n v="1578574"/>
    <n v="848312"/>
    <n v="33580"/>
  </r>
  <r>
    <x v="9"/>
    <x v="1"/>
    <s v="TAS"/>
    <s v="No gap agreement"/>
    <s v="More than 125% MBS Fee to 150% MBS Fee"/>
    <n v="3781606"/>
    <n v="2080145"/>
    <n v="1701460"/>
    <n v="15937"/>
  </r>
  <r>
    <x v="9"/>
    <x v="1"/>
    <s v="TAS"/>
    <s v="No gap agreement"/>
    <s v="More than 150% MBS Fee to 200% MBS Fee"/>
    <n v="2698978"/>
    <n v="1262552"/>
    <n v="1436429"/>
    <n v="18079"/>
  </r>
  <r>
    <x v="9"/>
    <x v="1"/>
    <s v="TAS"/>
    <s v="No gap agreement"/>
    <s v="More than 200% MBS Fee"/>
    <n v="331451"/>
    <n v="94980"/>
    <n v="236470"/>
    <n v="332"/>
  </r>
  <r>
    <x v="9"/>
    <x v="1"/>
    <s v="TAS"/>
    <s v="No gap agreement"/>
    <s v="Up to MBS Fee"/>
    <n v="141199"/>
    <n v="108190"/>
    <n v="33007"/>
    <n v="1355"/>
  </r>
  <r>
    <x v="9"/>
    <x v="1"/>
    <s v="VIC"/>
    <s v="Known gap agreement"/>
    <s v="100% MBS Fee to 125% MBS Fee"/>
    <n v="1393485"/>
    <n v="907548"/>
    <n v="411835"/>
    <n v="8908"/>
  </r>
  <r>
    <x v="9"/>
    <x v="1"/>
    <s v="VIC"/>
    <s v="Known gap agreement"/>
    <s v="More than 125% MBS Fee to 150% MBS Fee"/>
    <n v="3321725"/>
    <n v="1809722"/>
    <n v="1184852"/>
    <n v="15179"/>
  </r>
  <r>
    <x v="9"/>
    <x v="1"/>
    <s v="VIC"/>
    <s v="Known gap agreement"/>
    <s v="More than 150% MBS Fee to 200% MBS Fee"/>
    <n v="6091485"/>
    <n v="2620267"/>
    <n v="2254974"/>
    <n v="29850"/>
  </r>
  <r>
    <x v="9"/>
    <x v="1"/>
    <s v="VIC"/>
    <s v="Known gap agreement"/>
    <s v="More than 200% MBS Fee"/>
    <n v="5247171"/>
    <n v="1517241"/>
    <n v="1500189"/>
    <n v="16701"/>
  </r>
  <r>
    <x v="9"/>
    <x v="1"/>
    <s v="VIC"/>
    <s v="No agreement"/>
    <s v="100% MBS Fee to 125% MBS Fee"/>
    <n v="3354704"/>
    <n v="2229806"/>
    <n v="736676"/>
    <n v="26605"/>
  </r>
  <r>
    <x v="9"/>
    <x v="1"/>
    <s v="VIC"/>
    <s v="No agreement"/>
    <s v="More than 125% MBS Fee to 150% MBS Fee"/>
    <n v="3655314"/>
    <n v="1997974"/>
    <n v="681786"/>
    <n v="22172"/>
  </r>
  <r>
    <x v="9"/>
    <x v="1"/>
    <s v="VIC"/>
    <s v="No agreement"/>
    <s v="More than 150% MBS Fee to 200% MBS Fee"/>
    <n v="8259911"/>
    <n v="3564197"/>
    <n v="1196665"/>
    <n v="58963"/>
  </r>
  <r>
    <x v="9"/>
    <x v="1"/>
    <s v="VIC"/>
    <s v="No agreement"/>
    <s v="More than 200% MBS Fee"/>
    <n v="9181195"/>
    <n v="2498716"/>
    <n v="880771"/>
    <n v="25469"/>
  </r>
  <r>
    <x v="9"/>
    <x v="1"/>
    <s v="VIC"/>
    <s v="No agreement"/>
    <s v="Up to MBS Fee"/>
    <n v="13198145"/>
    <n v="9939821"/>
    <n v="3258289"/>
    <n v="193325"/>
  </r>
  <r>
    <x v="9"/>
    <x v="1"/>
    <s v="VIC"/>
    <s v="No gap agreement"/>
    <s v="100% MBS Fee to 125% MBS Fee"/>
    <n v="20087990"/>
    <n v="12952381"/>
    <n v="7135612"/>
    <n v="240691"/>
  </r>
  <r>
    <x v="9"/>
    <x v="1"/>
    <s v="VIC"/>
    <s v="No gap agreement"/>
    <s v="More than 125% MBS Fee to 150% MBS Fee"/>
    <n v="52347970"/>
    <n v="29054473"/>
    <n v="23293496"/>
    <n v="329156"/>
  </r>
  <r>
    <x v="9"/>
    <x v="1"/>
    <s v="VIC"/>
    <s v="No gap agreement"/>
    <s v="More than 150% MBS Fee to 200% MBS Fee"/>
    <n v="29301763"/>
    <n v="13614159"/>
    <n v="15687600"/>
    <n v="225468"/>
  </r>
  <r>
    <x v="9"/>
    <x v="1"/>
    <s v="VIC"/>
    <s v="No gap agreement"/>
    <s v="More than 200% MBS Fee"/>
    <n v="2364186"/>
    <n v="683258"/>
    <n v="1680928"/>
    <n v="2486"/>
  </r>
  <r>
    <x v="9"/>
    <x v="1"/>
    <s v="VIC"/>
    <s v="No gap agreement"/>
    <s v="Up to MBS Fee"/>
    <n v="4015610"/>
    <n v="3033032"/>
    <n v="982574"/>
    <n v="67642"/>
  </r>
  <r>
    <x v="9"/>
    <x v="1"/>
    <s v="WA"/>
    <s v="Known gap agreement"/>
    <s v="100% MBS Fee to 125% MBS Fee"/>
    <n v="514858"/>
    <n v="322412"/>
    <n v="146095"/>
    <n v="4543"/>
  </r>
  <r>
    <x v="9"/>
    <x v="1"/>
    <s v="WA"/>
    <s v="Known gap agreement"/>
    <s v="More than 125% MBS Fee to 150% MBS Fee"/>
    <n v="2318485"/>
    <n v="1242433"/>
    <n v="782401"/>
    <n v="6977"/>
  </r>
  <r>
    <x v="9"/>
    <x v="1"/>
    <s v="WA"/>
    <s v="Known gap agreement"/>
    <s v="More than 150% MBS Fee to 200% MBS Fee"/>
    <n v="5042834"/>
    <n v="2219692"/>
    <n v="1542429"/>
    <n v="28481"/>
  </r>
  <r>
    <x v="9"/>
    <x v="1"/>
    <s v="WA"/>
    <s v="Known gap agreement"/>
    <s v="More than 200% MBS Fee"/>
    <n v="4754783"/>
    <n v="1283095"/>
    <n v="972275"/>
    <n v="17145"/>
  </r>
  <r>
    <x v="9"/>
    <x v="1"/>
    <s v="WA"/>
    <s v="No agreement"/>
    <s v="100% MBS Fee to 125% MBS Fee"/>
    <n v="831671"/>
    <n v="538381"/>
    <n v="181092"/>
    <n v="5173"/>
  </r>
  <r>
    <x v="9"/>
    <x v="1"/>
    <s v="WA"/>
    <s v="No agreement"/>
    <s v="More than 125% MBS Fee to 150% MBS Fee"/>
    <n v="1542426"/>
    <n v="841653"/>
    <n v="290886"/>
    <n v="15579"/>
  </r>
  <r>
    <x v="9"/>
    <x v="1"/>
    <s v="WA"/>
    <s v="No agreement"/>
    <s v="More than 150% MBS Fee to 200% MBS Fee"/>
    <n v="1316385"/>
    <n v="579658"/>
    <n v="200539"/>
    <n v="9434"/>
  </r>
  <r>
    <x v="9"/>
    <x v="1"/>
    <s v="WA"/>
    <s v="No agreement"/>
    <s v="More than 200% MBS Fee"/>
    <n v="1369295"/>
    <n v="383299"/>
    <n v="151479"/>
    <n v="3687"/>
  </r>
  <r>
    <x v="9"/>
    <x v="1"/>
    <s v="WA"/>
    <s v="No agreement"/>
    <s v="Up to MBS Fee"/>
    <n v="1461252"/>
    <n v="1099699"/>
    <n v="361548"/>
    <n v="27337"/>
  </r>
  <r>
    <x v="9"/>
    <x v="1"/>
    <s v="WA"/>
    <s v="No gap agreement"/>
    <s v="100% MBS Fee to 125% MBS Fee"/>
    <n v="9424468"/>
    <n v="5981359"/>
    <n v="3443107"/>
    <n v="124203"/>
  </r>
  <r>
    <x v="9"/>
    <x v="1"/>
    <s v="WA"/>
    <s v="No gap agreement"/>
    <s v="More than 125% MBS Fee to 150% MBS Fee"/>
    <n v="16021829"/>
    <n v="8825468"/>
    <n v="7196365"/>
    <n v="64282"/>
  </r>
  <r>
    <x v="9"/>
    <x v="1"/>
    <s v="WA"/>
    <s v="No gap agreement"/>
    <s v="More than 150% MBS Fee to 200% MBS Fee"/>
    <n v="7851578"/>
    <n v="3706729"/>
    <n v="4144849"/>
    <n v="51169"/>
  </r>
  <r>
    <x v="9"/>
    <x v="1"/>
    <s v="WA"/>
    <s v="No gap agreement"/>
    <s v="More than 200% MBS Fee"/>
    <n v="1862452"/>
    <n v="459678"/>
    <n v="1402775"/>
    <n v="1930"/>
  </r>
  <r>
    <x v="9"/>
    <x v="1"/>
    <s v="WA"/>
    <s v="No gap agreement"/>
    <s v="Up to MBS Fee"/>
    <n v="1600714"/>
    <n v="1241154"/>
    <n v="359559"/>
    <n v="21430"/>
  </r>
  <r>
    <x v="10"/>
    <x v="0"/>
    <s v="ACT"/>
    <s v="Known gap agreement"/>
    <s v="100% MBS Fee to 125% MBS Fee"/>
    <n v="0"/>
    <n v="0"/>
    <n v="0"/>
    <n v="0"/>
  </r>
  <r>
    <x v="10"/>
    <x v="0"/>
    <s v="ACT"/>
    <s v="Known gap agreement"/>
    <s v="More than 125% MBS Fee to 150% MBS Fee"/>
    <n v="0"/>
    <n v="0"/>
    <n v="0"/>
    <n v="0"/>
  </r>
  <r>
    <x v="10"/>
    <x v="0"/>
    <s v="ACT"/>
    <s v="Known gap agreement"/>
    <s v="More than 150% MBS Fee to 200% MBS Fee"/>
    <n v="0"/>
    <n v="0"/>
    <n v="0"/>
    <n v="0"/>
  </r>
  <r>
    <x v="10"/>
    <x v="0"/>
    <s v="ACT"/>
    <s v="Known gap agreement"/>
    <s v="More than 200% MBS Fee"/>
    <n v="0"/>
    <n v="0"/>
    <n v="0"/>
    <n v="0"/>
  </r>
  <r>
    <x v="10"/>
    <x v="0"/>
    <s v="ACT"/>
    <s v="No agreement"/>
    <s v="100% MBS Fee to 125% MBS Fee"/>
    <n v="0"/>
    <n v="0"/>
    <n v="0"/>
    <n v="0"/>
  </r>
  <r>
    <x v="10"/>
    <x v="0"/>
    <s v="ACT"/>
    <s v="No agreement"/>
    <s v="More than 125% MBS Fee to 150% MBS Fee"/>
    <n v="0"/>
    <n v="0"/>
    <n v="0"/>
    <n v="0"/>
  </r>
  <r>
    <x v="10"/>
    <x v="0"/>
    <s v="ACT"/>
    <s v="No agreement"/>
    <s v="More than 150% MBS Fee to 200% MBS Fee"/>
    <n v="0"/>
    <n v="0"/>
    <n v="0"/>
    <n v="0"/>
  </r>
  <r>
    <x v="10"/>
    <x v="0"/>
    <s v="ACT"/>
    <s v="No agreement"/>
    <s v="More than 200% MBS Fee"/>
    <n v="0"/>
    <n v="0"/>
    <n v="0"/>
    <n v="0"/>
  </r>
  <r>
    <x v="10"/>
    <x v="0"/>
    <s v="ACT"/>
    <s v="No agreement"/>
    <s v="Up to MBS Fee"/>
    <n v="0"/>
    <n v="0"/>
    <n v="0"/>
    <n v="0"/>
  </r>
  <r>
    <x v="10"/>
    <x v="0"/>
    <s v="ACT"/>
    <s v="No gap agreement"/>
    <s v="100% MBS Fee to 125% MBS Fee"/>
    <n v="0"/>
    <n v="0"/>
    <n v="0"/>
    <n v="0"/>
  </r>
  <r>
    <x v="10"/>
    <x v="0"/>
    <s v="ACT"/>
    <s v="No gap agreement"/>
    <s v="More than 125% MBS Fee to 150% MBS Fee"/>
    <n v="0"/>
    <n v="0"/>
    <n v="0"/>
    <n v="0"/>
  </r>
  <r>
    <x v="10"/>
    <x v="0"/>
    <s v="ACT"/>
    <s v="No gap agreement"/>
    <s v="More than 150% MBS Fee to 200% MBS Fee"/>
    <n v="0"/>
    <n v="0"/>
    <n v="0"/>
    <n v="0"/>
  </r>
  <r>
    <x v="10"/>
    <x v="0"/>
    <s v="ACT"/>
    <s v="No gap agreement"/>
    <s v="More than 200% MBS Fee"/>
    <n v="0"/>
    <n v="0"/>
    <n v="0"/>
    <n v="0"/>
  </r>
  <r>
    <x v="10"/>
    <x v="0"/>
    <s v="ACT"/>
    <s v="No gap agreement"/>
    <s v="Up to MBS Fee"/>
    <n v="0"/>
    <n v="0"/>
    <n v="0"/>
    <n v="0"/>
  </r>
  <r>
    <x v="10"/>
    <x v="0"/>
    <s v="NSW"/>
    <s v="Known gap agreement"/>
    <s v="100% MBS Fee to 125% MBS Fee"/>
    <n v="717085.41"/>
    <n v="469031.47"/>
    <n v="214094.25"/>
    <n v="4865"/>
  </r>
  <r>
    <x v="10"/>
    <x v="0"/>
    <s v="NSW"/>
    <s v="Known gap agreement"/>
    <s v="More than 125% MBS Fee to 150% MBS Fee"/>
    <n v="1603217.88"/>
    <n v="870848.5"/>
    <n v="601226.80000000005"/>
    <n v="7545"/>
  </r>
  <r>
    <x v="10"/>
    <x v="0"/>
    <s v="NSW"/>
    <s v="Known gap agreement"/>
    <s v="More than 150% MBS Fee to 200% MBS Fee"/>
    <n v="3660387.14"/>
    <n v="1607086.22"/>
    <n v="1427512.62"/>
    <n v="14309"/>
  </r>
  <r>
    <x v="10"/>
    <x v="0"/>
    <s v="NSW"/>
    <s v="Known gap agreement"/>
    <s v="More than 200% MBS Fee"/>
    <n v="5216233.4400000004"/>
    <n v="1441851.04"/>
    <n v="1353221.01"/>
    <n v="14710"/>
  </r>
  <r>
    <x v="10"/>
    <x v="0"/>
    <s v="NSW"/>
    <s v="No agreement"/>
    <s v="100% MBS Fee to 125% MBS Fee"/>
    <n v="3268900.09"/>
    <n v="2171918.9900000002"/>
    <n v="715140.96"/>
    <n v="18894"/>
  </r>
  <r>
    <x v="10"/>
    <x v="0"/>
    <s v="NSW"/>
    <s v="No agreement"/>
    <s v="More than 125% MBS Fee to 150% MBS Fee"/>
    <n v="5032317.13"/>
    <n v="2751304.86"/>
    <n v="917503.45"/>
    <n v="36364"/>
  </r>
  <r>
    <x v="10"/>
    <x v="0"/>
    <s v="NSW"/>
    <s v="No agreement"/>
    <s v="More than 150% MBS Fee to 200% MBS Fee"/>
    <n v="16662783.949999999"/>
    <n v="7069499.7999999998"/>
    <n v="2368827.4700000002"/>
    <n v="67048"/>
  </r>
  <r>
    <x v="10"/>
    <x v="0"/>
    <s v="NSW"/>
    <s v="No agreement"/>
    <s v="More than 200% MBS Fee"/>
    <n v="56659285.689999998"/>
    <n v="15855690.880000001"/>
    <n v="5308443.05"/>
    <n v="131917"/>
  </r>
  <r>
    <x v="10"/>
    <x v="0"/>
    <s v="NSW"/>
    <s v="No agreement"/>
    <s v="Up to MBS Fee"/>
    <n v="19945401.579999998"/>
    <n v="15037808.68"/>
    <n v="4905742.0999999996"/>
    <n v="320166"/>
  </r>
  <r>
    <x v="10"/>
    <x v="0"/>
    <s v="NSW"/>
    <s v="No gap agreement"/>
    <s v="100% MBS Fee to 125% MBS Fee"/>
    <n v="24345906.5"/>
    <n v="15634825.01"/>
    <n v="8710897.8399999999"/>
    <n v="305904"/>
  </r>
  <r>
    <x v="10"/>
    <x v="0"/>
    <s v="NSW"/>
    <s v="No gap agreement"/>
    <s v="More than 125% MBS Fee to 150% MBS Fee"/>
    <n v="44164956.840000004"/>
    <n v="24257630.530000001"/>
    <n v="19907141.489999998"/>
    <n v="207746"/>
  </r>
  <r>
    <x v="10"/>
    <x v="0"/>
    <s v="NSW"/>
    <s v="No gap agreement"/>
    <s v="More than 150% MBS Fee to 200% MBS Fee"/>
    <n v="29050142.859999999"/>
    <n v="13634032.789999999"/>
    <n v="15415807.65"/>
    <n v="200271"/>
  </r>
  <r>
    <x v="10"/>
    <x v="0"/>
    <s v="NSW"/>
    <s v="No gap agreement"/>
    <s v="More than 200% MBS Fee"/>
    <n v="3586061.61"/>
    <n v="1063236.81"/>
    <n v="2522823.4"/>
    <n v="4483"/>
  </r>
  <r>
    <x v="10"/>
    <x v="0"/>
    <s v="NSW"/>
    <s v="No gap agreement"/>
    <s v="Up to MBS Fee"/>
    <n v="6257034.9800000004"/>
    <n v="4709155.43"/>
    <n v="1547988.92"/>
    <n v="149047"/>
  </r>
  <r>
    <x v="10"/>
    <x v="0"/>
    <s v="NT"/>
    <s v="Known gap agreement"/>
    <s v="100% MBS Fee to 125% MBS Fee"/>
    <n v="13634.4"/>
    <n v="8509.15"/>
    <n v="4153.8500000000004"/>
    <n v="77"/>
  </r>
  <r>
    <x v="10"/>
    <x v="0"/>
    <s v="NT"/>
    <s v="Known gap agreement"/>
    <s v="More than 125% MBS Fee to 150% MBS Fee"/>
    <n v="17563.13"/>
    <n v="9370.25"/>
    <n v="6954.43"/>
    <n v="92"/>
  </r>
  <r>
    <x v="10"/>
    <x v="0"/>
    <s v="NT"/>
    <s v="Known gap agreement"/>
    <s v="More than 150% MBS Fee to 200% MBS Fee"/>
    <n v="66912.97"/>
    <n v="28595"/>
    <n v="24563.14"/>
    <n v="150"/>
  </r>
  <r>
    <x v="10"/>
    <x v="0"/>
    <s v="NT"/>
    <s v="Known gap agreement"/>
    <s v="More than 200% MBS Fee"/>
    <n v="190113.47"/>
    <n v="57510.9"/>
    <n v="53384.05"/>
    <n v="510"/>
  </r>
  <r>
    <x v="10"/>
    <x v="0"/>
    <s v="NT"/>
    <s v="No agreement"/>
    <s v="100% MBS Fee to 125% MBS Fee"/>
    <n v="57621.7"/>
    <n v="38424.75"/>
    <n v="12806.85"/>
    <n v="290"/>
  </r>
  <r>
    <x v="10"/>
    <x v="0"/>
    <s v="NT"/>
    <s v="No agreement"/>
    <s v="More than 125% MBS Fee to 150% MBS Fee"/>
    <n v="65929"/>
    <n v="35858.959999999999"/>
    <n v="12106.14"/>
    <n v="405"/>
  </r>
  <r>
    <x v="10"/>
    <x v="0"/>
    <s v="NT"/>
    <s v="No agreement"/>
    <s v="More than 150% MBS Fee to 200% MBS Fee"/>
    <n v="175814.83"/>
    <n v="73603.3"/>
    <n v="24735.65"/>
    <n v="1209"/>
  </r>
  <r>
    <x v="10"/>
    <x v="0"/>
    <s v="NT"/>
    <s v="No agreement"/>
    <s v="More than 200% MBS Fee"/>
    <n v="440324.9"/>
    <n v="135667.20000000001"/>
    <n v="44419.55"/>
    <n v="1036"/>
  </r>
  <r>
    <x v="10"/>
    <x v="0"/>
    <s v="NT"/>
    <s v="No agreement"/>
    <s v="Up to MBS Fee"/>
    <n v="189696.59"/>
    <n v="143922.4"/>
    <n v="45772.94"/>
    <n v="1842"/>
  </r>
  <r>
    <x v="10"/>
    <x v="0"/>
    <s v="NT"/>
    <s v="No gap agreement"/>
    <s v="100% MBS Fee to 125% MBS Fee"/>
    <n v="272576.7"/>
    <n v="177300.95"/>
    <n v="95274.25"/>
    <n v="3269"/>
  </r>
  <r>
    <x v="10"/>
    <x v="0"/>
    <s v="NT"/>
    <s v="No gap agreement"/>
    <s v="More than 125% MBS Fee to 150% MBS Fee"/>
    <n v="819986.78"/>
    <n v="449708.64"/>
    <n v="370275.49"/>
    <n v="3489"/>
  </r>
  <r>
    <x v="10"/>
    <x v="0"/>
    <s v="NT"/>
    <s v="No gap agreement"/>
    <s v="More than 150% MBS Fee to 200% MBS Fee"/>
    <n v="514392.15"/>
    <n v="238620.45"/>
    <n v="275771.25"/>
    <n v="3297"/>
  </r>
  <r>
    <x v="10"/>
    <x v="0"/>
    <s v="NT"/>
    <s v="No gap agreement"/>
    <s v="More than 200% MBS Fee"/>
    <n v="56281.1"/>
    <n v="16697.650000000001"/>
    <n v="39582.449999999997"/>
    <n v="67"/>
  </r>
  <r>
    <x v="10"/>
    <x v="0"/>
    <s v="NT"/>
    <s v="No gap agreement"/>
    <s v="Up to MBS Fee"/>
    <n v="43139.62"/>
    <n v="32585.69"/>
    <n v="10553.93"/>
    <n v="525"/>
  </r>
  <r>
    <x v="10"/>
    <x v="0"/>
    <s v="QLD"/>
    <s v="Known gap agreement"/>
    <s v="100% MBS Fee to 125% MBS Fee"/>
    <n v="470289.68"/>
    <n v="309154.40000000002"/>
    <n v="140259.19"/>
    <n v="3460"/>
  </r>
  <r>
    <x v="10"/>
    <x v="0"/>
    <s v="QLD"/>
    <s v="Known gap agreement"/>
    <s v="More than 125% MBS Fee to 150% MBS Fee"/>
    <n v="1319771"/>
    <n v="709077.5"/>
    <n v="505599.07"/>
    <n v="6093"/>
  </r>
  <r>
    <x v="10"/>
    <x v="0"/>
    <s v="QLD"/>
    <s v="Known gap agreement"/>
    <s v="More than 150% MBS Fee to 200% MBS Fee"/>
    <n v="4409637.6100000003"/>
    <n v="1883650.42"/>
    <n v="1736312.41"/>
    <n v="13181"/>
  </r>
  <r>
    <x v="10"/>
    <x v="0"/>
    <s v="QLD"/>
    <s v="Known gap agreement"/>
    <s v="More than 200% MBS Fee"/>
    <n v="5787802.6900000004"/>
    <n v="1649435.67"/>
    <n v="1835031"/>
    <n v="18216"/>
  </r>
  <r>
    <x v="10"/>
    <x v="0"/>
    <s v="QLD"/>
    <s v="No agreement"/>
    <s v="100% MBS Fee to 125% MBS Fee"/>
    <n v="2760049.06"/>
    <n v="1835960.58"/>
    <n v="608923.01"/>
    <n v="16799"/>
  </r>
  <r>
    <x v="10"/>
    <x v="0"/>
    <s v="QLD"/>
    <s v="No agreement"/>
    <s v="More than 125% MBS Fee to 150% MBS Fee"/>
    <n v="5320628.29"/>
    <n v="2915879.77"/>
    <n v="980982.11"/>
    <n v="36358"/>
  </r>
  <r>
    <x v="10"/>
    <x v="0"/>
    <s v="QLD"/>
    <s v="No agreement"/>
    <s v="More than 150% MBS Fee to 200% MBS Fee"/>
    <n v="10395457.470000001"/>
    <n v="4423139.4400000004"/>
    <n v="1476172.22"/>
    <n v="41241"/>
  </r>
  <r>
    <x v="10"/>
    <x v="0"/>
    <s v="QLD"/>
    <s v="No agreement"/>
    <s v="More than 200% MBS Fee"/>
    <n v="17767331"/>
    <n v="5193570.8"/>
    <n v="1735690.02"/>
    <n v="49519"/>
  </r>
  <r>
    <x v="10"/>
    <x v="0"/>
    <s v="QLD"/>
    <s v="No agreement"/>
    <s v="Up to MBS Fee"/>
    <n v="7271728.8200000003"/>
    <n v="5548471.1299999999"/>
    <n v="1723130.54"/>
    <n v="97760"/>
  </r>
  <r>
    <x v="10"/>
    <x v="0"/>
    <s v="QLD"/>
    <s v="No gap agreement"/>
    <s v="100% MBS Fee to 125% MBS Fee"/>
    <n v="23646867.48"/>
    <n v="15390617.310000001"/>
    <n v="8256188.5999999996"/>
    <n v="373820"/>
  </r>
  <r>
    <x v="10"/>
    <x v="0"/>
    <s v="QLD"/>
    <s v="No gap agreement"/>
    <s v="More than 125% MBS Fee to 150% MBS Fee"/>
    <n v="37177732.590000004"/>
    <n v="20629260.219999999"/>
    <n v="16548398.59"/>
    <n v="220238"/>
  </r>
  <r>
    <x v="10"/>
    <x v="0"/>
    <s v="QLD"/>
    <s v="No gap agreement"/>
    <s v="More than 150% MBS Fee to 200% MBS Fee"/>
    <n v="20756515.780000001"/>
    <n v="9823715"/>
    <n v="10932708.710000001"/>
    <n v="161256"/>
  </r>
  <r>
    <x v="10"/>
    <x v="0"/>
    <s v="QLD"/>
    <s v="No gap agreement"/>
    <s v="More than 200% MBS Fee"/>
    <n v="3243924.45"/>
    <n v="935269.68"/>
    <n v="2308654.87"/>
    <n v="3457"/>
  </r>
  <r>
    <x v="10"/>
    <x v="0"/>
    <s v="QLD"/>
    <s v="No gap agreement"/>
    <s v="Up to MBS Fee"/>
    <n v="1820938.45"/>
    <n v="1379131.34"/>
    <n v="441807.11"/>
    <n v="34984"/>
  </r>
  <r>
    <x v="10"/>
    <x v="0"/>
    <s v="SA"/>
    <s v="Known gap agreement"/>
    <s v="100% MBS Fee to 125% MBS Fee"/>
    <n v="1234353.8899999999"/>
    <n v="796157.75"/>
    <n v="400117.89"/>
    <n v="9736"/>
  </r>
  <r>
    <x v="10"/>
    <x v="0"/>
    <s v="SA"/>
    <s v="Known gap agreement"/>
    <s v="More than 125% MBS Fee to 150% MBS Fee"/>
    <n v="1915452.7"/>
    <n v="1039771.52"/>
    <n v="814672.44"/>
    <n v="7448"/>
  </r>
  <r>
    <x v="10"/>
    <x v="0"/>
    <s v="SA"/>
    <s v="Known gap agreement"/>
    <s v="More than 150% MBS Fee to 200% MBS Fee"/>
    <n v="1995150.68"/>
    <n v="913000.1"/>
    <n v="937925.29"/>
    <n v="8611"/>
  </r>
  <r>
    <x v="10"/>
    <x v="0"/>
    <s v="SA"/>
    <s v="Known gap agreement"/>
    <s v="More than 200% MBS Fee"/>
    <n v="917304.07"/>
    <n v="246503.95"/>
    <n v="295568.5"/>
    <n v="2041"/>
  </r>
  <r>
    <x v="10"/>
    <x v="0"/>
    <s v="SA"/>
    <s v="No agreement"/>
    <s v="100% MBS Fee to 125% MBS Fee"/>
    <n v="478309.66"/>
    <n v="315012.65000000002"/>
    <n v="111008.92"/>
    <n v="4577"/>
  </r>
  <r>
    <x v="10"/>
    <x v="0"/>
    <s v="SA"/>
    <s v="No agreement"/>
    <s v="More than 125% MBS Fee to 150% MBS Fee"/>
    <n v="644314.57999999996"/>
    <n v="352595.14"/>
    <n v="132624.94"/>
    <n v="4688"/>
  </r>
  <r>
    <x v="10"/>
    <x v="0"/>
    <s v="SA"/>
    <s v="No agreement"/>
    <s v="More than 150% MBS Fee to 200% MBS Fee"/>
    <n v="540620.29"/>
    <n v="232070.99"/>
    <n v="84811.16"/>
    <n v="3336"/>
  </r>
  <r>
    <x v="10"/>
    <x v="0"/>
    <s v="SA"/>
    <s v="No agreement"/>
    <s v="More than 200% MBS Fee"/>
    <n v="976025.67"/>
    <n v="231861.88"/>
    <n v="109286.02"/>
    <n v="4746"/>
  </r>
  <r>
    <x v="10"/>
    <x v="0"/>
    <s v="SA"/>
    <s v="No agreement"/>
    <s v="Up to MBS Fee"/>
    <n v="6041686.3899999997"/>
    <n v="4540628.82"/>
    <n v="1500757.68"/>
    <n v="60843"/>
  </r>
  <r>
    <x v="10"/>
    <x v="0"/>
    <s v="SA"/>
    <s v="No gap agreement"/>
    <s v="100% MBS Fee to 125% MBS Fee"/>
    <n v="7546379.4900000002"/>
    <n v="5000468.53"/>
    <n v="2545829.9"/>
    <n v="128249"/>
  </r>
  <r>
    <x v="10"/>
    <x v="0"/>
    <s v="SA"/>
    <s v="No gap agreement"/>
    <s v="More than 125% MBS Fee to 150% MBS Fee"/>
    <n v="17567720"/>
    <n v="9648152.3699999992"/>
    <n v="7919536.8300000001"/>
    <n v="84972"/>
  </r>
  <r>
    <x v="10"/>
    <x v="0"/>
    <s v="SA"/>
    <s v="No gap agreement"/>
    <s v="More than 150% MBS Fee to 200% MBS Fee"/>
    <n v="13670928.060000001"/>
    <n v="6357668.3200000003"/>
    <n v="7313230.1699999999"/>
    <n v="73902"/>
  </r>
  <r>
    <x v="10"/>
    <x v="0"/>
    <s v="SA"/>
    <s v="No gap agreement"/>
    <s v="More than 200% MBS Fee"/>
    <n v="1019394.1"/>
    <n v="273822.8"/>
    <n v="745571.3"/>
    <n v="890"/>
  </r>
  <r>
    <x v="10"/>
    <x v="0"/>
    <s v="SA"/>
    <s v="No gap agreement"/>
    <s v="Up to MBS Fee"/>
    <n v="1670723.11"/>
    <n v="1258195.6599999999"/>
    <n v="412596.35"/>
    <n v="17500"/>
  </r>
  <r>
    <x v="10"/>
    <x v="0"/>
    <s v="TAS"/>
    <s v="Known gap agreement"/>
    <s v="100% MBS Fee to 125% MBS Fee"/>
    <n v="50038.75"/>
    <n v="33090.199999999997"/>
    <n v="14309.25"/>
    <n v="355"/>
  </r>
  <r>
    <x v="10"/>
    <x v="0"/>
    <s v="TAS"/>
    <s v="Known gap agreement"/>
    <s v="More than 125% MBS Fee to 150% MBS Fee"/>
    <n v="107760.58"/>
    <n v="58438.400000000001"/>
    <n v="40011.24"/>
    <n v="478"/>
  </r>
  <r>
    <x v="10"/>
    <x v="0"/>
    <s v="TAS"/>
    <s v="Known gap agreement"/>
    <s v="More than 150% MBS Fee to 200% MBS Fee"/>
    <n v="371164.35"/>
    <n v="157132.25"/>
    <n v="161492.57"/>
    <n v="1519"/>
  </r>
  <r>
    <x v="10"/>
    <x v="0"/>
    <s v="TAS"/>
    <s v="Known gap agreement"/>
    <s v="More than 200% MBS Fee"/>
    <n v="565925.4"/>
    <n v="166891.85"/>
    <n v="187230.52"/>
    <n v="2034"/>
  </r>
  <r>
    <x v="10"/>
    <x v="0"/>
    <s v="TAS"/>
    <s v="No agreement"/>
    <s v="100% MBS Fee to 125% MBS Fee"/>
    <n v="231733.77"/>
    <n v="151738.73000000001"/>
    <n v="50563.67"/>
    <n v="1519"/>
  </r>
  <r>
    <x v="10"/>
    <x v="0"/>
    <s v="TAS"/>
    <s v="No agreement"/>
    <s v="More than 125% MBS Fee to 150% MBS Fee"/>
    <n v="299627.90999999997"/>
    <n v="162854.42000000001"/>
    <n v="54688.79"/>
    <n v="1384"/>
  </r>
  <r>
    <x v="10"/>
    <x v="0"/>
    <s v="TAS"/>
    <s v="No agreement"/>
    <s v="More than 150% MBS Fee to 200% MBS Fee"/>
    <n v="490541.74"/>
    <n v="207955.64"/>
    <n v="69593.38"/>
    <n v="2667"/>
  </r>
  <r>
    <x v="10"/>
    <x v="0"/>
    <s v="TAS"/>
    <s v="No agreement"/>
    <s v="More than 200% MBS Fee"/>
    <n v="1244285.08"/>
    <n v="313988.42"/>
    <n v="108462.27"/>
    <n v="2530"/>
  </r>
  <r>
    <x v="10"/>
    <x v="0"/>
    <s v="TAS"/>
    <s v="No agreement"/>
    <s v="Up to MBS Fee"/>
    <n v="1411855.98"/>
    <n v="1062952.8600000001"/>
    <n v="348903.12"/>
    <n v="21112"/>
  </r>
  <r>
    <x v="10"/>
    <x v="0"/>
    <s v="TAS"/>
    <s v="No gap agreement"/>
    <s v="100% MBS Fee to 125% MBS Fee"/>
    <n v="2345724.56"/>
    <n v="1527896.11"/>
    <n v="817827.35"/>
    <n v="32569"/>
  </r>
  <r>
    <x v="10"/>
    <x v="0"/>
    <s v="TAS"/>
    <s v="No gap agreement"/>
    <s v="More than 125% MBS Fee to 150% MBS Fee"/>
    <n v="4149307.16"/>
    <n v="2272732.7000000002"/>
    <n v="1876571.55"/>
    <n v="15808"/>
  </r>
  <r>
    <x v="10"/>
    <x v="0"/>
    <s v="TAS"/>
    <s v="No gap agreement"/>
    <s v="More than 150% MBS Fee to 200% MBS Fee"/>
    <n v="3009775.41"/>
    <n v="1404561.05"/>
    <n v="1605215.23"/>
    <n v="19828"/>
  </r>
  <r>
    <x v="10"/>
    <x v="0"/>
    <s v="TAS"/>
    <s v="No gap agreement"/>
    <s v="More than 200% MBS Fee"/>
    <n v="409368.74"/>
    <n v="114693.65"/>
    <n v="294675.09000000003"/>
    <n v="360"/>
  </r>
  <r>
    <x v="10"/>
    <x v="0"/>
    <s v="TAS"/>
    <s v="No gap agreement"/>
    <s v="Up to MBS Fee"/>
    <n v="212730.11"/>
    <n v="161141.4"/>
    <n v="51588.71"/>
    <n v="2451"/>
  </r>
  <r>
    <x v="10"/>
    <x v="0"/>
    <s v="VIC"/>
    <s v="Known gap agreement"/>
    <s v="100% MBS Fee to 125% MBS Fee"/>
    <n v="2012958.3"/>
    <n v="1312405.8"/>
    <n v="607649.96"/>
    <n v="10998"/>
  </r>
  <r>
    <x v="10"/>
    <x v="0"/>
    <s v="VIC"/>
    <s v="Known gap agreement"/>
    <s v="More than 125% MBS Fee to 150% MBS Fee"/>
    <n v="3254840.82"/>
    <n v="1769933.3"/>
    <n v="1202613.07"/>
    <n v="11241"/>
  </r>
  <r>
    <x v="10"/>
    <x v="0"/>
    <s v="VIC"/>
    <s v="Known gap agreement"/>
    <s v="More than 150% MBS Fee to 200% MBS Fee"/>
    <n v="6790004.7400000002"/>
    <n v="2925645.35"/>
    <n v="2597938.71"/>
    <n v="31102"/>
  </r>
  <r>
    <x v="10"/>
    <x v="0"/>
    <s v="VIC"/>
    <s v="Known gap agreement"/>
    <s v="More than 200% MBS Fee"/>
    <n v="5864244.54"/>
    <n v="1701940.15"/>
    <n v="1684237.86"/>
    <n v="18321"/>
  </r>
  <r>
    <x v="10"/>
    <x v="0"/>
    <s v="VIC"/>
    <s v="No agreement"/>
    <s v="100% MBS Fee to 125% MBS Fee"/>
    <n v="2785128.88"/>
    <n v="1850092.07"/>
    <n v="611375.66"/>
    <n v="22963"/>
  </r>
  <r>
    <x v="10"/>
    <x v="0"/>
    <s v="VIC"/>
    <s v="No agreement"/>
    <s v="More than 125% MBS Fee to 150% MBS Fee"/>
    <n v="2732052.53"/>
    <n v="1497216.49"/>
    <n v="509102.62"/>
    <n v="15907"/>
  </r>
  <r>
    <x v="10"/>
    <x v="0"/>
    <s v="VIC"/>
    <s v="No agreement"/>
    <s v="More than 150% MBS Fee to 200% MBS Fee"/>
    <n v="7257574.2800000003"/>
    <n v="3124102.58"/>
    <n v="1049115.95"/>
    <n v="51397"/>
  </r>
  <r>
    <x v="10"/>
    <x v="0"/>
    <s v="VIC"/>
    <s v="No agreement"/>
    <s v="More than 200% MBS Fee"/>
    <n v="9739184.5299999993"/>
    <n v="2725162.92"/>
    <n v="924308.67"/>
    <n v="26689"/>
  </r>
  <r>
    <x v="10"/>
    <x v="0"/>
    <s v="VIC"/>
    <s v="No agreement"/>
    <s v="Up to MBS Fee"/>
    <n v="12703721.73"/>
    <n v="9568694.1999999993"/>
    <n v="3134909.33"/>
    <n v="166290"/>
  </r>
  <r>
    <x v="10"/>
    <x v="0"/>
    <s v="VIC"/>
    <s v="No gap agreement"/>
    <s v="100% MBS Fee to 125% MBS Fee"/>
    <n v="21772064.140000001"/>
    <n v="14028159.390000001"/>
    <n v="7743807.4699999997"/>
    <n v="267270"/>
  </r>
  <r>
    <x v="10"/>
    <x v="0"/>
    <s v="VIC"/>
    <s v="No gap agreement"/>
    <s v="More than 125% MBS Fee to 150% MBS Fee"/>
    <n v="53835736.020000003"/>
    <n v="29738040.760000002"/>
    <n v="24097614.489999998"/>
    <n v="325861"/>
  </r>
  <r>
    <x v="10"/>
    <x v="0"/>
    <s v="VIC"/>
    <s v="No gap agreement"/>
    <s v="More than 150% MBS Fee to 200% MBS Fee"/>
    <n v="31129042.219999999"/>
    <n v="14488593.550000001"/>
    <n v="16640361.859999999"/>
    <n v="231331"/>
  </r>
  <r>
    <x v="10"/>
    <x v="0"/>
    <s v="VIC"/>
    <s v="No gap agreement"/>
    <s v="More than 200% MBS Fee"/>
    <n v="2330556.25"/>
    <n v="664914.89"/>
    <n v="1665639.66"/>
    <n v="2280"/>
  </r>
  <r>
    <x v="10"/>
    <x v="0"/>
    <s v="VIC"/>
    <s v="No gap agreement"/>
    <s v="Up to MBS Fee"/>
    <n v="4983643.53"/>
    <n v="3757288.13"/>
    <n v="1226377.45"/>
    <n v="86383"/>
  </r>
  <r>
    <x v="10"/>
    <x v="0"/>
    <s v="WA"/>
    <s v="Known gap agreement"/>
    <s v="100% MBS Fee to 125% MBS Fee"/>
    <n v="1377563.72"/>
    <n v="929984.03"/>
    <n v="409348.43"/>
    <n v="10728"/>
  </r>
  <r>
    <x v="10"/>
    <x v="0"/>
    <s v="WA"/>
    <s v="Known gap agreement"/>
    <s v="More than 125% MBS Fee to 150% MBS Fee"/>
    <n v="3166190.3"/>
    <n v="1702478.15"/>
    <n v="1181579.44"/>
    <n v="12497"/>
  </r>
  <r>
    <x v="10"/>
    <x v="0"/>
    <s v="WA"/>
    <s v="Known gap agreement"/>
    <s v="More than 150% MBS Fee to 200% MBS Fee"/>
    <n v="4734122.4000000004"/>
    <n v="2084766.4"/>
    <n v="1463260.1599999999"/>
    <n v="21485"/>
  </r>
  <r>
    <x v="10"/>
    <x v="0"/>
    <s v="WA"/>
    <s v="Known gap agreement"/>
    <s v="More than 200% MBS Fee"/>
    <n v="6950815.8600000003"/>
    <n v="1660343.4"/>
    <n v="1292994.31"/>
    <n v="18993"/>
  </r>
  <r>
    <x v="10"/>
    <x v="0"/>
    <s v="WA"/>
    <s v="No agreement"/>
    <s v="100% MBS Fee to 125% MBS Fee"/>
    <n v="671693.5"/>
    <n v="434760.08"/>
    <n v="150049.46"/>
    <n v="4505"/>
  </r>
  <r>
    <x v="10"/>
    <x v="0"/>
    <s v="WA"/>
    <s v="No agreement"/>
    <s v="More than 125% MBS Fee to 150% MBS Fee"/>
    <n v="1480956.85"/>
    <n v="793291.31"/>
    <n v="277398.08"/>
    <n v="13798"/>
  </r>
  <r>
    <x v="10"/>
    <x v="0"/>
    <s v="WA"/>
    <s v="No agreement"/>
    <s v="More than 150% MBS Fee to 200% MBS Fee"/>
    <n v="1163736.98"/>
    <n v="506273.37"/>
    <n v="177113.12"/>
    <n v="8540"/>
  </r>
  <r>
    <x v="10"/>
    <x v="0"/>
    <s v="WA"/>
    <s v="No agreement"/>
    <s v="More than 200% MBS Fee"/>
    <n v="1649976.72"/>
    <n v="420920.61"/>
    <n v="153286.64000000001"/>
    <n v="4053"/>
  </r>
  <r>
    <x v="10"/>
    <x v="0"/>
    <s v="WA"/>
    <s v="No agreement"/>
    <s v="Up to MBS Fee"/>
    <n v="1389622.73"/>
    <n v="1048359.44"/>
    <n v="340890.74"/>
    <n v="27113"/>
  </r>
  <r>
    <x v="10"/>
    <x v="0"/>
    <s v="WA"/>
    <s v="No gap agreement"/>
    <s v="100% MBS Fee to 125% MBS Fee"/>
    <n v="9997397.7100000009"/>
    <n v="6325585.1699999999"/>
    <n v="3671807.18"/>
    <n v="124441"/>
  </r>
  <r>
    <x v="10"/>
    <x v="0"/>
    <s v="WA"/>
    <s v="No gap agreement"/>
    <s v="More than 125% MBS Fee to 150% MBS Fee"/>
    <n v="16737403.59"/>
    <n v="9198558.7699999996"/>
    <n v="7538840.1699999999"/>
    <n v="55997"/>
  </r>
  <r>
    <x v="10"/>
    <x v="0"/>
    <s v="WA"/>
    <s v="No gap agreement"/>
    <s v="More than 150% MBS Fee to 200% MBS Fee"/>
    <n v="11580193.84"/>
    <n v="5156685.6100000003"/>
    <n v="6423501.8499999996"/>
    <n v="78751"/>
  </r>
  <r>
    <x v="10"/>
    <x v="0"/>
    <s v="WA"/>
    <s v="No gap agreement"/>
    <s v="More than 200% MBS Fee"/>
    <n v="2218169.2200000002"/>
    <n v="532751.44999999995"/>
    <n v="1685417.77"/>
    <n v="1805"/>
  </r>
  <r>
    <x v="10"/>
    <x v="0"/>
    <s v="WA"/>
    <s v="No gap agreement"/>
    <s v="Up to MBS Fee"/>
    <n v="1090184.8600000001"/>
    <n v="827454.42"/>
    <n v="262730.44"/>
    <n v="19931"/>
  </r>
  <r>
    <x v="10"/>
    <x v="2"/>
    <s v="ACT"/>
    <s v="Known gap agreement"/>
    <s v="100% MBS Fee to 125% MBS Fee"/>
    <n v="0"/>
    <n v="0"/>
    <n v="0"/>
    <n v="0"/>
  </r>
  <r>
    <x v="10"/>
    <x v="2"/>
    <s v="ACT"/>
    <s v="Known gap agreement"/>
    <s v="More than 125% MBS Fee to 150% MBS Fee"/>
    <n v="0"/>
    <n v="0"/>
    <n v="0"/>
    <n v="0"/>
  </r>
  <r>
    <x v="10"/>
    <x v="2"/>
    <s v="ACT"/>
    <s v="Known gap agreement"/>
    <s v="More than 150% MBS Fee to 200% MBS Fee"/>
    <n v="0"/>
    <n v="0"/>
    <n v="0"/>
    <n v="0"/>
  </r>
  <r>
    <x v="10"/>
    <x v="2"/>
    <s v="ACT"/>
    <s v="Known gap agreement"/>
    <s v="More than 200% MBS Fee"/>
    <n v="0"/>
    <n v="0"/>
    <n v="0"/>
    <n v="0"/>
  </r>
  <r>
    <x v="10"/>
    <x v="2"/>
    <s v="ACT"/>
    <s v="No agreement"/>
    <s v="100% MBS Fee to 125% MBS Fee"/>
    <n v="0"/>
    <n v="0"/>
    <n v="0"/>
    <n v="0"/>
  </r>
  <r>
    <x v="10"/>
    <x v="2"/>
    <s v="ACT"/>
    <s v="No agreement"/>
    <s v="More than 125% MBS Fee to 150% MBS Fee"/>
    <n v="0"/>
    <n v="0"/>
    <n v="0"/>
    <n v="0"/>
  </r>
  <r>
    <x v="10"/>
    <x v="2"/>
    <s v="ACT"/>
    <s v="No agreement"/>
    <s v="More than 150% MBS Fee to 200% MBS Fee"/>
    <n v="0"/>
    <n v="0"/>
    <n v="0"/>
    <n v="0"/>
  </r>
  <r>
    <x v="10"/>
    <x v="2"/>
    <s v="ACT"/>
    <s v="No agreement"/>
    <s v="More than 200% MBS Fee"/>
    <n v="0"/>
    <n v="0"/>
    <n v="0"/>
    <n v="0"/>
  </r>
  <r>
    <x v="10"/>
    <x v="2"/>
    <s v="ACT"/>
    <s v="No agreement"/>
    <s v="Up to MBS Fee"/>
    <n v="0"/>
    <n v="0"/>
    <n v="0"/>
    <n v="0"/>
  </r>
  <r>
    <x v="10"/>
    <x v="2"/>
    <s v="ACT"/>
    <s v="No gap agreement"/>
    <s v="100% MBS Fee to 125% MBS Fee"/>
    <n v="0"/>
    <n v="0"/>
    <n v="0"/>
    <n v="0"/>
  </r>
  <r>
    <x v="10"/>
    <x v="2"/>
    <s v="ACT"/>
    <s v="No gap agreement"/>
    <s v="More than 125% MBS Fee to 150% MBS Fee"/>
    <n v="0"/>
    <n v="0"/>
    <n v="0"/>
    <n v="0"/>
  </r>
  <r>
    <x v="10"/>
    <x v="2"/>
    <s v="ACT"/>
    <s v="No gap agreement"/>
    <s v="More than 150% MBS Fee to 200% MBS Fee"/>
    <n v="0"/>
    <n v="0"/>
    <n v="0"/>
    <n v="0"/>
  </r>
  <r>
    <x v="10"/>
    <x v="2"/>
    <s v="ACT"/>
    <s v="No gap agreement"/>
    <s v="More than 200% MBS Fee"/>
    <n v="0"/>
    <n v="0"/>
    <n v="0"/>
    <n v="0"/>
  </r>
  <r>
    <x v="10"/>
    <x v="2"/>
    <s v="ACT"/>
    <s v="No gap agreement"/>
    <s v="Up to MBS Fee"/>
    <n v="0"/>
    <n v="0"/>
    <n v="0"/>
    <n v="0"/>
  </r>
  <r>
    <x v="10"/>
    <x v="2"/>
    <s v="NSW"/>
    <s v="Known gap agreement"/>
    <s v="100% MBS Fee to 125% MBS Fee"/>
    <n v="1048228.93"/>
    <n v="693582.15"/>
    <n v="312364.51"/>
    <n v="8926"/>
  </r>
  <r>
    <x v="10"/>
    <x v="2"/>
    <s v="NSW"/>
    <s v="Known gap agreement"/>
    <s v="More than 125% MBS Fee to 150% MBS Fee"/>
    <n v="2272999.02"/>
    <n v="1245439.51"/>
    <n v="848430.95"/>
    <n v="14953"/>
  </r>
  <r>
    <x v="10"/>
    <x v="2"/>
    <s v="NSW"/>
    <s v="Known gap agreement"/>
    <s v="More than 150% MBS Fee to 200% MBS Fee"/>
    <n v="4231505.8"/>
    <n v="1854285.63"/>
    <n v="1604886.06"/>
    <n v="17621"/>
  </r>
  <r>
    <x v="10"/>
    <x v="2"/>
    <s v="NSW"/>
    <s v="Known gap agreement"/>
    <s v="More than 200% MBS Fee"/>
    <n v="5524590"/>
    <n v="1562361"/>
    <n v="1400378"/>
    <n v="15765"/>
  </r>
  <r>
    <x v="10"/>
    <x v="2"/>
    <s v="NSW"/>
    <s v="No agreement"/>
    <s v="100% MBS Fee to 125% MBS Fee"/>
    <n v="3564408"/>
    <n v="2368667"/>
    <n v="784235"/>
    <n v="21814"/>
  </r>
  <r>
    <x v="10"/>
    <x v="2"/>
    <s v="NSW"/>
    <s v="No agreement"/>
    <s v="More than 125% MBS Fee to 150% MBS Fee"/>
    <n v="5972864"/>
    <n v="3272137"/>
    <n v="1091403"/>
    <n v="41012"/>
  </r>
  <r>
    <x v="10"/>
    <x v="2"/>
    <s v="NSW"/>
    <s v="No agreement"/>
    <s v="More than 150% MBS Fee to 200% MBS Fee"/>
    <n v="18036500"/>
    <n v="7674122"/>
    <n v="2547934"/>
    <n v="75003"/>
  </r>
  <r>
    <x v="10"/>
    <x v="2"/>
    <s v="NSW"/>
    <s v="No agreement"/>
    <s v="More than 200% MBS Fee"/>
    <n v="59416754"/>
    <n v="16811196"/>
    <n v="5719249"/>
    <n v="141412"/>
  </r>
  <r>
    <x v="10"/>
    <x v="2"/>
    <s v="NSW"/>
    <s v="No agreement"/>
    <s v="Up to MBS Fee"/>
    <n v="22259760"/>
    <n v="16828868"/>
    <n v="5430713"/>
    <n v="355641"/>
  </r>
  <r>
    <x v="10"/>
    <x v="2"/>
    <s v="NSW"/>
    <s v="No gap agreement"/>
    <s v="100% MBS Fee to 125% MBS Fee"/>
    <n v="24588099.899999999"/>
    <n v="15781268.65"/>
    <n v="8806831.8300000001"/>
    <n v="304462"/>
  </r>
  <r>
    <x v="10"/>
    <x v="2"/>
    <s v="NSW"/>
    <s v="No gap agreement"/>
    <s v="More than 125% MBS Fee to 150% MBS Fee"/>
    <n v="43786331.030000001"/>
    <n v="24012534.449999999"/>
    <n v="19773797.739999998"/>
    <n v="203475"/>
  </r>
  <r>
    <x v="10"/>
    <x v="2"/>
    <s v="NSW"/>
    <s v="No gap agreement"/>
    <s v="More than 150% MBS Fee to 200% MBS Fee"/>
    <n v="28970245.489999998"/>
    <n v="13580521.25"/>
    <n v="15389724.49"/>
    <n v="199453"/>
  </r>
  <r>
    <x v="10"/>
    <x v="2"/>
    <s v="NSW"/>
    <s v="No gap agreement"/>
    <s v="More than 200% MBS Fee"/>
    <n v="4097587"/>
    <n v="1160060.8400000001"/>
    <n v="2937526.05"/>
    <n v="5168"/>
  </r>
  <r>
    <x v="10"/>
    <x v="2"/>
    <s v="NSW"/>
    <s v="No gap agreement"/>
    <s v="Up to MBS Fee"/>
    <n v="5770766.3499999996"/>
    <n v="4347623.1900000004"/>
    <n v="1423185.99"/>
    <n v="129805"/>
  </r>
  <r>
    <x v="10"/>
    <x v="2"/>
    <s v="NT"/>
    <s v="Known gap agreement"/>
    <s v="100% MBS Fee to 125% MBS Fee"/>
    <n v="10090.65"/>
    <n v="6322.9"/>
    <n v="2869.15"/>
    <n v="51"/>
  </r>
  <r>
    <x v="10"/>
    <x v="2"/>
    <s v="NT"/>
    <s v="Known gap agreement"/>
    <s v="More than 125% MBS Fee to 150% MBS Fee"/>
    <n v="15868"/>
    <n v="8373"/>
    <n v="6281"/>
    <n v="62"/>
  </r>
  <r>
    <x v="10"/>
    <x v="2"/>
    <s v="NT"/>
    <s v="Known gap agreement"/>
    <s v="More than 150% MBS Fee to 200% MBS Fee"/>
    <n v="76890"/>
    <n v="33552"/>
    <n v="29322"/>
    <n v="205"/>
  </r>
  <r>
    <x v="10"/>
    <x v="2"/>
    <s v="NT"/>
    <s v="Known gap agreement"/>
    <s v="More than 200% MBS Fee"/>
    <n v="132152"/>
    <n v="36625"/>
    <n v="40743"/>
    <n v="362"/>
  </r>
  <r>
    <x v="10"/>
    <x v="2"/>
    <s v="NT"/>
    <s v="No agreement"/>
    <s v="100% MBS Fee to 125% MBS Fee"/>
    <n v="61430"/>
    <n v="40899"/>
    <n v="13661"/>
    <n v="433"/>
  </r>
  <r>
    <x v="10"/>
    <x v="2"/>
    <s v="NT"/>
    <s v="No agreement"/>
    <s v="More than 125% MBS Fee to 150% MBS Fee"/>
    <n v="75144"/>
    <n v="40821"/>
    <n v="13668"/>
    <n v="465"/>
  </r>
  <r>
    <x v="10"/>
    <x v="2"/>
    <s v="NT"/>
    <s v="No agreement"/>
    <s v="More than 150% MBS Fee to 200% MBS Fee"/>
    <n v="218998"/>
    <n v="92206"/>
    <n v="30518"/>
    <n v="1693"/>
  </r>
  <r>
    <x v="10"/>
    <x v="2"/>
    <s v="NT"/>
    <s v="No agreement"/>
    <s v="More than 200% MBS Fee"/>
    <n v="442387"/>
    <n v="132776"/>
    <n v="42749"/>
    <n v="999"/>
  </r>
  <r>
    <x v="10"/>
    <x v="2"/>
    <s v="NT"/>
    <s v="No agreement"/>
    <s v="Up to MBS Fee"/>
    <n v="234253"/>
    <n v="176281"/>
    <n v="57971"/>
    <n v="3403"/>
  </r>
  <r>
    <x v="10"/>
    <x v="2"/>
    <s v="NT"/>
    <s v="No gap agreement"/>
    <s v="100% MBS Fee to 125% MBS Fee"/>
    <n v="229965.27"/>
    <n v="148716.76999999999"/>
    <n v="81249.5"/>
    <n v="2873"/>
  </r>
  <r>
    <x v="10"/>
    <x v="2"/>
    <s v="NT"/>
    <s v="No gap agreement"/>
    <s v="More than 125% MBS Fee to 150% MBS Fee"/>
    <n v="747808.42"/>
    <n v="409591.15"/>
    <n v="338216.27"/>
    <n v="3343"/>
  </r>
  <r>
    <x v="10"/>
    <x v="2"/>
    <s v="NT"/>
    <s v="No gap agreement"/>
    <s v="More than 150% MBS Fee to 200% MBS Fee"/>
    <n v="477537.52"/>
    <n v="222418.87"/>
    <n v="255118.65"/>
    <n v="3164"/>
  </r>
  <r>
    <x v="10"/>
    <x v="2"/>
    <s v="NT"/>
    <s v="No gap agreement"/>
    <s v="More than 200% MBS Fee"/>
    <n v="46742"/>
    <n v="13765"/>
    <n v="32976"/>
    <n v="49"/>
  </r>
  <r>
    <x v="10"/>
    <x v="2"/>
    <s v="NT"/>
    <s v="No gap agreement"/>
    <s v="Up to MBS Fee"/>
    <n v="48991.8"/>
    <n v="36909.949999999997"/>
    <n v="12082.85"/>
    <n v="513"/>
  </r>
  <r>
    <x v="10"/>
    <x v="2"/>
    <s v="QLD"/>
    <s v="Known gap agreement"/>
    <s v="100% MBS Fee to 125% MBS Fee"/>
    <n v="584208.9"/>
    <n v="384061.2"/>
    <n v="173928.02"/>
    <n v="4931"/>
  </r>
  <r>
    <x v="10"/>
    <x v="2"/>
    <s v="QLD"/>
    <s v="Known gap agreement"/>
    <s v="More than 125% MBS Fee to 150% MBS Fee"/>
    <n v="1734837.46"/>
    <n v="943419.3"/>
    <n v="655415.68000000005"/>
    <n v="12447"/>
  </r>
  <r>
    <x v="10"/>
    <x v="2"/>
    <s v="QLD"/>
    <s v="Known gap agreement"/>
    <s v="More than 150% MBS Fee to 200% MBS Fee"/>
    <n v="4375236.4800000004"/>
    <n v="1883857.2"/>
    <n v="1709894.45"/>
    <n v="13930"/>
  </r>
  <r>
    <x v="10"/>
    <x v="2"/>
    <s v="QLD"/>
    <s v="Known gap agreement"/>
    <s v="More than 200% MBS Fee"/>
    <n v="5469119"/>
    <n v="1561361"/>
    <n v="1696069"/>
    <n v="17370"/>
  </r>
  <r>
    <x v="10"/>
    <x v="2"/>
    <s v="QLD"/>
    <s v="No agreement"/>
    <s v="100% MBS Fee to 125% MBS Fee"/>
    <n v="3053394"/>
    <n v="2045118"/>
    <n v="678790"/>
    <n v="18542"/>
  </r>
  <r>
    <x v="10"/>
    <x v="2"/>
    <s v="QLD"/>
    <s v="No agreement"/>
    <s v="More than 125% MBS Fee to 150% MBS Fee"/>
    <n v="5744220"/>
    <n v="3140185"/>
    <n v="1051294"/>
    <n v="43325"/>
  </r>
  <r>
    <x v="10"/>
    <x v="2"/>
    <s v="QLD"/>
    <s v="No agreement"/>
    <s v="More than 150% MBS Fee to 200% MBS Fee"/>
    <n v="10501819"/>
    <n v="4478395"/>
    <n v="1494106"/>
    <n v="43292"/>
  </r>
  <r>
    <x v="10"/>
    <x v="2"/>
    <s v="QLD"/>
    <s v="No agreement"/>
    <s v="More than 200% MBS Fee"/>
    <n v="20234310"/>
    <n v="5114273"/>
    <n v="1719146"/>
    <n v="50838"/>
  </r>
  <r>
    <x v="10"/>
    <x v="2"/>
    <s v="QLD"/>
    <s v="No agreement"/>
    <s v="Up to MBS Fee"/>
    <n v="8221916"/>
    <n v="6249937"/>
    <n v="1971771"/>
    <n v="108678"/>
  </r>
  <r>
    <x v="10"/>
    <x v="2"/>
    <s v="QLD"/>
    <s v="No gap agreement"/>
    <s v="100% MBS Fee to 125% MBS Fee"/>
    <n v="20322590.120000001"/>
    <n v="13217492.199999999"/>
    <n v="7105092.8300000001"/>
    <n v="331685"/>
  </r>
  <r>
    <x v="10"/>
    <x v="2"/>
    <s v="QLD"/>
    <s v="No gap agreement"/>
    <s v="More than 125% MBS Fee to 150% MBS Fee"/>
    <n v="34183379.5"/>
    <n v="18933865.449999999"/>
    <n v="15249510.07"/>
    <n v="200814"/>
  </r>
  <r>
    <x v="10"/>
    <x v="2"/>
    <s v="QLD"/>
    <s v="No gap agreement"/>
    <s v="More than 150% MBS Fee to 200% MBS Fee"/>
    <n v="19441746.18"/>
    <n v="9200799.0800000001"/>
    <n v="10240948.09"/>
    <n v="147755"/>
  </r>
  <r>
    <x v="10"/>
    <x v="2"/>
    <s v="QLD"/>
    <s v="No gap agreement"/>
    <s v="More than 200% MBS Fee"/>
    <n v="3247906"/>
    <n v="939607.1"/>
    <n v="2308298.7799999998"/>
    <n v="3449"/>
  </r>
  <r>
    <x v="10"/>
    <x v="2"/>
    <s v="QLD"/>
    <s v="No gap agreement"/>
    <s v="Up to MBS Fee"/>
    <n v="1230688.69"/>
    <n v="929961.6"/>
    <n v="300728.08"/>
    <n v="24467"/>
  </r>
  <r>
    <x v="10"/>
    <x v="2"/>
    <s v="SA"/>
    <s v="Known gap agreement"/>
    <s v="100% MBS Fee to 125% MBS Fee"/>
    <n v="1082294.49"/>
    <n v="706012.25"/>
    <n v="347182.06"/>
    <n v="8389"/>
  </r>
  <r>
    <x v="10"/>
    <x v="2"/>
    <s v="SA"/>
    <s v="Known gap agreement"/>
    <s v="More than 125% MBS Fee to 150% MBS Fee"/>
    <n v="1956594.41"/>
    <n v="1068085.1499999999"/>
    <n v="832474.13"/>
    <n v="10410"/>
  </r>
  <r>
    <x v="10"/>
    <x v="2"/>
    <s v="SA"/>
    <s v="Known gap agreement"/>
    <s v="More than 150% MBS Fee to 200% MBS Fee"/>
    <n v="1868083.55"/>
    <n v="853260.9"/>
    <n v="873962.53"/>
    <n v="8172"/>
  </r>
  <r>
    <x v="10"/>
    <x v="2"/>
    <s v="SA"/>
    <s v="Known gap agreement"/>
    <s v="More than 200% MBS Fee"/>
    <n v="1009977"/>
    <n v="259392"/>
    <n v="313172"/>
    <n v="2158"/>
  </r>
  <r>
    <x v="10"/>
    <x v="2"/>
    <s v="SA"/>
    <s v="No agreement"/>
    <s v="100% MBS Fee to 125% MBS Fee"/>
    <n v="479479"/>
    <n v="314889"/>
    <n v="102023"/>
    <n v="4674"/>
  </r>
  <r>
    <x v="10"/>
    <x v="2"/>
    <s v="SA"/>
    <s v="No agreement"/>
    <s v="More than 125% MBS Fee to 150% MBS Fee"/>
    <n v="800831"/>
    <n v="429744"/>
    <n v="132965"/>
    <n v="3874"/>
  </r>
  <r>
    <x v="10"/>
    <x v="2"/>
    <s v="SA"/>
    <s v="No agreement"/>
    <s v="More than 150% MBS Fee to 200% MBS Fee"/>
    <n v="547923"/>
    <n v="233691"/>
    <n v="91926"/>
    <n v="3470"/>
  </r>
  <r>
    <x v="10"/>
    <x v="2"/>
    <s v="SA"/>
    <s v="No agreement"/>
    <s v="More than 200% MBS Fee"/>
    <n v="1143636"/>
    <n v="266116"/>
    <n v="139639"/>
    <n v="6655"/>
  </r>
  <r>
    <x v="10"/>
    <x v="2"/>
    <s v="SA"/>
    <s v="No agreement"/>
    <s v="Up to MBS Fee"/>
    <n v="4783639"/>
    <n v="3597221"/>
    <n v="1186133"/>
    <n v="58213"/>
  </r>
  <r>
    <x v="10"/>
    <x v="2"/>
    <s v="SA"/>
    <s v="No gap agreement"/>
    <s v="100% MBS Fee to 125% MBS Fee"/>
    <n v="8960593.8599999994"/>
    <n v="5838181.5700000003"/>
    <n v="3122410.33"/>
    <n v="143906"/>
  </r>
  <r>
    <x v="10"/>
    <x v="2"/>
    <s v="SA"/>
    <s v="No gap agreement"/>
    <s v="More than 125% MBS Fee to 150% MBS Fee"/>
    <n v="15798686.390000001"/>
    <n v="8608492.2599999998"/>
    <n v="7190194.1399999997"/>
    <n v="66331"/>
  </r>
  <r>
    <x v="10"/>
    <x v="2"/>
    <s v="SA"/>
    <s v="No gap agreement"/>
    <s v="More than 150% MBS Fee to 200% MBS Fee"/>
    <n v="14218055.08"/>
    <n v="6603712.3799999999"/>
    <n v="7614341.6900000004"/>
    <n v="78949"/>
  </r>
  <r>
    <x v="10"/>
    <x v="2"/>
    <s v="SA"/>
    <s v="No gap agreement"/>
    <s v="More than 200% MBS Fee"/>
    <n v="1094011"/>
    <n v="287761.55"/>
    <n v="806249.22"/>
    <n v="978"/>
  </r>
  <r>
    <x v="10"/>
    <x v="2"/>
    <s v="SA"/>
    <s v="No gap agreement"/>
    <s v="Up to MBS Fee"/>
    <n v="1482853.29"/>
    <n v="1118051.8500000001"/>
    <n v="364820.43"/>
    <n v="14147"/>
  </r>
  <r>
    <x v="10"/>
    <x v="2"/>
    <s v="TAS"/>
    <s v="Known gap agreement"/>
    <s v="100% MBS Fee to 125% MBS Fee"/>
    <n v="60841.42"/>
    <n v="41284.15"/>
    <n v="16100.27"/>
    <n v="298"/>
  </r>
  <r>
    <x v="10"/>
    <x v="2"/>
    <s v="TAS"/>
    <s v="Known gap agreement"/>
    <s v="More than 125% MBS Fee to 150% MBS Fee"/>
    <n v="103827.31"/>
    <n v="56402.45"/>
    <n v="39026.35"/>
    <n v="449"/>
  </r>
  <r>
    <x v="10"/>
    <x v="2"/>
    <s v="TAS"/>
    <s v="Known gap agreement"/>
    <s v="More than 150% MBS Fee to 200% MBS Fee"/>
    <n v="380893.91"/>
    <n v="159871.45000000001"/>
    <n v="164567.47"/>
    <n v="1258"/>
  </r>
  <r>
    <x v="10"/>
    <x v="2"/>
    <s v="TAS"/>
    <s v="Known gap agreement"/>
    <s v="More than 200% MBS Fee"/>
    <n v="625804"/>
    <n v="192079"/>
    <n v="227082"/>
    <n v="2000"/>
  </r>
  <r>
    <x v="10"/>
    <x v="2"/>
    <s v="TAS"/>
    <s v="No agreement"/>
    <s v="100% MBS Fee to 125% MBS Fee"/>
    <n v="217863"/>
    <n v="141767"/>
    <n v="47152"/>
    <n v="1712"/>
  </r>
  <r>
    <x v="10"/>
    <x v="2"/>
    <s v="TAS"/>
    <s v="No agreement"/>
    <s v="More than 125% MBS Fee to 150% MBS Fee"/>
    <n v="351859"/>
    <n v="191492"/>
    <n v="65676"/>
    <n v="1610"/>
  </r>
  <r>
    <x v="10"/>
    <x v="2"/>
    <s v="TAS"/>
    <s v="No agreement"/>
    <s v="More than 150% MBS Fee to 200% MBS Fee"/>
    <n v="505381"/>
    <n v="217287"/>
    <n v="80413"/>
    <n v="2811"/>
  </r>
  <r>
    <x v="10"/>
    <x v="2"/>
    <s v="TAS"/>
    <s v="No agreement"/>
    <s v="More than 200% MBS Fee"/>
    <n v="1552428"/>
    <n v="364924"/>
    <n v="132325"/>
    <n v="2275"/>
  </r>
  <r>
    <x v="10"/>
    <x v="2"/>
    <s v="TAS"/>
    <s v="No agreement"/>
    <s v="Up to MBS Fee"/>
    <n v="1620416"/>
    <n v="1244105"/>
    <n v="376311"/>
    <n v="22009"/>
  </r>
  <r>
    <x v="10"/>
    <x v="2"/>
    <s v="TAS"/>
    <s v="No gap agreement"/>
    <s v="100% MBS Fee to 125% MBS Fee"/>
    <n v="2444430.7799999998"/>
    <n v="1603327.8"/>
    <n v="841099.97"/>
    <n v="34487"/>
  </r>
  <r>
    <x v="10"/>
    <x v="2"/>
    <s v="TAS"/>
    <s v="No gap agreement"/>
    <s v="More than 125% MBS Fee to 150% MBS Fee"/>
    <n v="3921630.82"/>
    <n v="2142848.16"/>
    <n v="1778782.66"/>
    <n v="15304"/>
  </r>
  <r>
    <x v="10"/>
    <x v="2"/>
    <s v="TAS"/>
    <s v="No gap agreement"/>
    <s v="More than 150% MBS Fee to 200% MBS Fee"/>
    <n v="3245433.16"/>
    <n v="1512959.69"/>
    <n v="1732473.47"/>
    <n v="20776"/>
  </r>
  <r>
    <x v="10"/>
    <x v="2"/>
    <s v="TAS"/>
    <s v="No gap agreement"/>
    <s v="More than 200% MBS Fee"/>
    <n v="444586"/>
    <n v="123876.85"/>
    <n v="320708.90000000002"/>
    <n v="415"/>
  </r>
  <r>
    <x v="10"/>
    <x v="2"/>
    <s v="TAS"/>
    <s v="No gap agreement"/>
    <s v="Up to MBS Fee"/>
    <n v="137660.37"/>
    <n v="109571.65"/>
    <n v="28089.72"/>
    <n v="1632"/>
  </r>
  <r>
    <x v="10"/>
    <x v="2"/>
    <s v="VIC"/>
    <s v="Known gap agreement"/>
    <s v="100% MBS Fee to 125% MBS Fee"/>
    <n v="1853472.59"/>
    <n v="1218037"/>
    <n v="555473.9"/>
    <n v="11438"/>
  </r>
  <r>
    <x v="10"/>
    <x v="2"/>
    <s v="VIC"/>
    <s v="Known gap agreement"/>
    <s v="More than 125% MBS Fee to 150% MBS Fee"/>
    <n v="3584278.71"/>
    <n v="1948542.88"/>
    <n v="1294806.8899999999"/>
    <n v="15434"/>
  </r>
  <r>
    <x v="10"/>
    <x v="2"/>
    <s v="VIC"/>
    <s v="Known gap agreement"/>
    <s v="More than 150% MBS Fee to 200% MBS Fee"/>
    <n v="7617121.7400000002"/>
    <n v="3295748.55"/>
    <n v="2949216.27"/>
    <n v="36397"/>
  </r>
  <r>
    <x v="10"/>
    <x v="2"/>
    <s v="VIC"/>
    <s v="Known gap agreement"/>
    <s v="More than 200% MBS Fee"/>
    <n v="5860016"/>
    <n v="1686889"/>
    <n v="1713035"/>
    <n v="18976"/>
  </r>
  <r>
    <x v="10"/>
    <x v="2"/>
    <s v="VIC"/>
    <s v="No agreement"/>
    <s v="100% MBS Fee to 125% MBS Fee"/>
    <n v="3067813"/>
    <n v="2033342"/>
    <n v="674051"/>
    <n v="23890"/>
  </r>
  <r>
    <x v="10"/>
    <x v="2"/>
    <s v="VIC"/>
    <s v="No agreement"/>
    <s v="More than 125% MBS Fee to 150% MBS Fee"/>
    <n v="3029437"/>
    <n v="1659366"/>
    <n v="561282"/>
    <n v="18266"/>
  </r>
  <r>
    <x v="10"/>
    <x v="2"/>
    <s v="VIC"/>
    <s v="No agreement"/>
    <s v="More than 150% MBS Fee to 200% MBS Fee"/>
    <n v="7890575"/>
    <n v="3406178"/>
    <n v="1132219"/>
    <n v="58907"/>
  </r>
  <r>
    <x v="10"/>
    <x v="2"/>
    <s v="VIC"/>
    <s v="No agreement"/>
    <s v="More than 200% MBS Fee"/>
    <n v="9979498"/>
    <n v="2769841"/>
    <n v="948734"/>
    <n v="28659"/>
  </r>
  <r>
    <x v="10"/>
    <x v="2"/>
    <s v="VIC"/>
    <s v="No agreement"/>
    <s v="Up to MBS Fee"/>
    <n v="12272312"/>
    <n v="9243530"/>
    <n v="3028664"/>
    <n v="171232"/>
  </r>
  <r>
    <x v="10"/>
    <x v="2"/>
    <s v="VIC"/>
    <s v="No gap agreement"/>
    <s v="100% MBS Fee to 125% MBS Fee"/>
    <n v="22923183.52"/>
    <n v="14681058.82"/>
    <n v="8242122.6600000001"/>
    <n v="271042"/>
  </r>
  <r>
    <x v="10"/>
    <x v="2"/>
    <s v="VIC"/>
    <s v="No gap agreement"/>
    <s v="More than 125% MBS Fee to 150% MBS Fee"/>
    <n v="50686027.899999999"/>
    <n v="27918859.309999999"/>
    <n v="22767162.640000001"/>
    <n v="288732"/>
  </r>
  <r>
    <x v="10"/>
    <x v="2"/>
    <s v="VIC"/>
    <s v="No gap agreement"/>
    <s v="More than 150% MBS Fee to 200% MBS Fee"/>
    <n v="28786237.73"/>
    <n v="13388133.16"/>
    <n v="15398106.560000001"/>
    <n v="212419"/>
  </r>
  <r>
    <x v="10"/>
    <x v="2"/>
    <s v="VIC"/>
    <s v="No gap agreement"/>
    <s v="More than 200% MBS Fee"/>
    <n v="2339337"/>
    <n v="673377.56"/>
    <n v="1665957.59"/>
    <n v="2314"/>
  </r>
  <r>
    <x v="10"/>
    <x v="2"/>
    <s v="VIC"/>
    <s v="No gap agreement"/>
    <s v="Up to MBS Fee"/>
    <n v="4911815.53"/>
    <n v="3704229.62"/>
    <n v="1207590.92"/>
    <n v="87664"/>
  </r>
  <r>
    <x v="10"/>
    <x v="2"/>
    <s v="WA"/>
    <s v="Known gap agreement"/>
    <s v="100% MBS Fee to 125% MBS Fee"/>
    <n v="514272.41"/>
    <n v="322765.5"/>
    <n v="128431.41"/>
    <n v="4236"/>
  </r>
  <r>
    <x v="10"/>
    <x v="2"/>
    <s v="WA"/>
    <s v="Known gap agreement"/>
    <s v="More than 125% MBS Fee to 150% MBS Fee"/>
    <n v="2274819.12"/>
    <n v="1215720.8999999999"/>
    <n v="776237.42"/>
    <n v="6327"/>
  </r>
  <r>
    <x v="10"/>
    <x v="2"/>
    <s v="WA"/>
    <s v="Known gap agreement"/>
    <s v="More than 150% MBS Fee to 200% MBS Fee"/>
    <n v="4524798.4400000004"/>
    <n v="1980756.95"/>
    <n v="1319748.02"/>
    <n v="20499"/>
  </r>
  <r>
    <x v="10"/>
    <x v="2"/>
    <s v="WA"/>
    <s v="Known gap agreement"/>
    <s v="More than 200% MBS Fee"/>
    <n v="5073413"/>
    <n v="1415400"/>
    <n v="1101112"/>
    <n v="17790"/>
  </r>
  <r>
    <x v="10"/>
    <x v="2"/>
    <s v="WA"/>
    <s v="No agreement"/>
    <s v="100% MBS Fee to 125% MBS Fee"/>
    <n v="840224"/>
    <n v="541076"/>
    <n v="181061"/>
    <n v="5811"/>
  </r>
  <r>
    <x v="10"/>
    <x v="2"/>
    <s v="WA"/>
    <s v="No agreement"/>
    <s v="More than 125% MBS Fee to 150% MBS Fee"/>
    <n v="1490604"/>
    <n v="811543"/>
    <n v="275113"/>
    <n v="15139"/>
  </r>
  <r>
    <x v="10"/>
    <x v="2"/>
    <s v="WA"/>
    <s v="No agreement"/>
    <s v="More than 150% MBS Fee to 200% MBS Fee"/>
    <n v="1333522"/>
    <n v="583020"/>
    <n v="200631"/>
    <n v="9706"/>
  </r>
  <r>
    <x v="10"/>
    <x v="2"/>
    <s v="WA"/>
    <s v="No agreement"/>
    <s v="More than 200% MBS Fee"/>
    <n v="1952986"/>
    <n v="506490"/>
    <n v="195196"/>
    <n v="5278"/>
  </r>
  <r>
    <x v="10"/>
    <x v="2"/>
    <s v="WA"/>
    <s v="No agreement"/>
    <s v="Up to MBS Fee"/>
    <n v="1217427"/>
    <n v="919934"/>
    <n v="297479"/>
    <n v="23603"/>
  </r>
  <r>
    <x v="10"/>
    <x v="2"/>
    <s v="WA"/>
    <s v="No gap agreement"/>
    <s v="100% MBS Fee to 125% MBS Fee"/>
    <n v="9916739"/>
    <n v="6290580.9100000001"/>
    <n v="3626148.09"/>
    <n v="126484"/>
  </r>
  <r>
    <x v="10"/>
    <x v="2"/>
    <s v="WA"/>
    <s v="No gap agreement"/>
    <s v="More than 125% MBS Fee to 150% MBS Fee"/>
    <n v="17771186.41"/>
    <n v="9730970.8900000006"/>
    <n v="8040218.5300000003"/>
    <n v="58563"/>
  </r>
  <r>
    <x v="10"/>
    <x v="2"/>
    <s v="WA"/>
    <s v="No gap agreement"/>
    <s v="More than 150% MBS Fee to 200% MBS Fee"/>
    <n v="10444684.800000001"/>
    <n v="4628899.46"/>
    <n v="5815784.5899999999"/>
    <n v="75553"/>
  </r>
  <r>
    <x v="10"/>
    <x v="2"/>
    <s v="WA"/>
    <s v="No gap agreement"/>
    <s v="More than 200% MBS Fee"/>
    <n v="2274063"/>
    <n v="541430.81999999995"/>
    <n v="1732634.18"/>
    <n v="2195"/>
  </r>
  <r>
    <x v="10"/>
    <x v="2"/>
    <s v="WA"/>
    <s v="No gap agreement"/>
    <s v="Up to MBS Fee"/>
    <n v="1454474.64"/>
    <n v="1142810.52"/>
    <n v="311674.13"/>
    <n v="19022"/>
  </r>
  <r>
    <x v="10"/>
    <x v="3"/>
    <s v="ACT"/>
    <s v="Known gap agreement"/>
    <s v="100% MBS Fee to 125% MBS Fee"/>
    <n v="0"/>
    <n v="0"/>
    <n v="0"/>
    <n v="0"/>
  </r>
  <r>
    <x v="10"/>
    <x v="3"/>
    <s v="ACT"/>
    <s v="Known gap agreement"/>
    <s v="More than 125% MBS Fee to 150% MBS Fee"/>
    <n v="0"/>
    <n v="0"/>
    <n v="0"/>
    <n v="0"/>
  </r>
  <r>
    <x v="10"/>
    <x v="3"/>
    <s v="ACT"/>
    <s v="Known gap agreement"/>
    <s v="More than 150% MBS Fee to 200% MBS Fee"/>
    <n v="0"/>
    <n v="0"/>
    <n v="0"/>
    <n v="0"/>
  </r>
  <r>
    <x v="10"/>
    <x v="3"/>
    <s v="ACT"/>
    <s v="Known gap agreement"/>
    <s v="More than 200% MBS Fee"/>
    <n v="0"/>
    <n v="0"/>
    <n v="0"/>
    <n v="0"/>
  </r>
  <r>
    <x v="10"/>
    <x v="3"/>
    <s v="ACT"/>
    <s v="No agreement"/>
    <s v="100% MBS Fee to 125% MBS Fee"/>
    <n v="0"/>
    <n v="0"/>
    <n v="0"/>
    <n v="0"/>
  </r>
  <r>
    <x v="10"/>
    <x v="3"/>
    <s v="ACT"/>
    <s v="No agreement"/>
    <s v="More than 125% MBS Fee to 150% MBS Fee"/>
    <n v="0"/>
    <n v="0"/>
    <n v="0"/>
    <n v="0"/>
  </r>
  <r>
    <x v="10"/>
    <x v="3"/>
    <s v="ACT"/>
    <s v="No agreement"/>
    <s v="More than 150% MBS Fee to 200% MBS Fee"/>
    <n v="0"/>
    <n v="0"/>
    <n v="0"/>
    <n v="0"/>
  </r>
  <r>
    <x v="10"/>
    <x v="3"/>
    <s v="ACT"/>
    <s v="No agreement"/>
    <s v="More than 200% MBS Fee"/>
    <n v="0"/>
    <n v="0"/>
    <n v="0"/>
    <n v="0"/>
  </r>
  <r>
    <x v="10"/>
    <x v="3"/>
    <s v="ACT"/>
    <s v="No agreement"/>
    <s v="Up to MBS Fee"/>
    <n v="0"/>
    <n v="0"/>
    <n v="0"/>
    <n v="0"/>
  </r>
  <r>
    <x v="10"/>
    <x v="3"/>
    <s v="ACT"/>
    <s v="No gap agreement"/>
    <s v="100% MBS Fee to 125% MBS Fee"/>
    <n v="0"/>
    <n v="0"/>
    <n v="0"/>
    <n v="0"/>
  </r>
  <r>
    <x v="10"/>
    <x v="3"/>
    <s v="ACT"/>
    <s v="No gap agreement"/>
    <s v="More than 125% MBS Fee to 150% MBS Fee"/>
    <n v="0"/>
    <n v="0"/>
    <n v="0"/>
    <n v="0"/>
  </r>
  <r>
    <x v="10"/>
    <x v="3"/>
    <s v="ACT"/>
    <s v="No gap agreement"/>
    <s v="More than 150% MBS Fee to 200% MBS Fee"/>
    <n v="0"/>
    <n v="0"/>
    <n v="0"/>
    <n v="0"/>
  </r>
  <r>
    <x v="10"/>
    <x v="3"/>
    <s v="ACT"/>
    <s v="No gap agreement"/>
    <s v="More than 200% MBS Fee"/>
    <n v="0"/>
    <n v="0"/>
    <n v="0"/>
    <n v="0"/>
  </r>
  <r>
    <x v="10"/>
    <x v="3"/>
    <s v="ACT"/>
    <s v="No gap agreement"/>
    <s v="Up to MBS Fee"/>
    <n v="0"/>
    <n v="0"/>
    <n v="0"/>
    <n v="0"/>
  </r>
  <r>
    <x v="10"/>
    <x v="3"/>
    <s v="NSW"/>
    <s v="Known gap agreement"/>
    <s v="100% MBS Fee to 125% MBS Fee"/>
    <n v="700435.4"/>
    <n v="462186.4"/>
    <n v="213119.47"/>
    <n v="6493"/>
  </r>
  <r>
    <x v="10"/>
    <x v="3"/>
    <s v="NSW"/>
    <s v="Known gap agreement"/>
    <s v="More than 125% MBS Fee to 150% MBS Fee"/>
    <n v="1832391.02"/>
    <n v="996910.4"/>
    <n v="709192.07"/>
    <n v="12225"/>
  </r>
  <r>
    <x v="10"/>
    <x v="3"/>
    <s v="NSW"/>
    <s v="Known gap agreement"/>
    <s v="More than 150% MBS Fee to 200% MBS Fee"/>
    <n v="3156542.47"/>
    <n v="1379595.57"/>
    <n v="1237128.45"/>
    <n v="13249"/>
  </r>
  <r>
    <x v="10"/>
    <x v="3"/>
    <s v="NSW"/>
    <s v="Known gap agreement"/>
    <s v="More than 200% MBS Fee"/>
    <n v="4156623"/>
    <n v="1136800"/>
    <n v="1065254"/>
    <n v="11553"/>
  </r>
  <r>
    <x v="10"/>
    <x v="3"/>
    <s v="NSW"/>
    <s v="No agreement"/>
    <s v="100% MBS Fee to 125% MBS Fee"/>
    <n v="3397674"/>
    <n v="2262394"/>
    <n v="755908"/>
    <n v="22099"/>
  </r>
  <r>
    <x v="10"/>
    <x v="3"/>
    <s v="NSW"/>
    <s v="No agreement"/>
    <s v="More than 125% MBS Fee to 150% MBS Fee"/>
    <n v="5253680"/>
    <n v="2881236"/>
    <n v="991761"/>
    <n v="38501"/>
  </r>
  <r>
    <x v="10"/>
    <x v="3"/>
    <s v="NSW"/>
    <s v="No agreement"/>
    <s v="More than 150% MBS Fee to 200% MBS Fee"/>
    <n v="15946133"/>
    <n v="6777092"/>
    <n v="2290882"/>
    <n v="69545"/>
  </r>
  <r>
    <x v="10"/>
    <x v="3"/>
    <s v="NSW"/>
    <s v="No agreement"/>
    <s v="More than 200% MBS Fee"/>
    <n v="48413782"/>
    <n v="13299281"/>
    <n v="4699506"/>
    <n v="119080"/>
  </r>
  <r>
    <x v="10"/>
    <x v="3"/>
    <s v="NSW"/>
    <s v="No agreement"/>
    <s v="Up to MBS Fee"/>
    <n v="18836628"/>
    <n v="14236276"/>
    <n v="4599949"/>
    <n v="310941"/>
  </r>
  <r>
    <x v="10"/>
    <x v="3"/>
    <s v="NSW"/>
    <s v="No gap agreement"/>
    <s v="100% MBS Fee to 125% MBS Fee"/>
    <n v="21974010.260000002"/>
    <n v="14091830.039999999"/>
    <n v="7882182.0700000003"/>
    <n v="262536"/>
  </r>
  <r>
    <x v="10"/>
    <x v="3"/>
    <s v="NSW"/>
    <s v="No gap agreement"/>
    <s v="More than 125% MBS Fee to 150% MBS Fee"/>
    <n v="36658848.710000001"/>
    <n v="20134292.390000001"/>
    <n v="16524552.33"/>
    <n v="175466"/>
  </r>
  <r>
    <x v="10"/>
    <x v="3"/>
    <s v="NSW"/>
    <s v="No gap agreement"/>
    <s v="More than 150% MBS Fee to 200% MBS Fee"/>
    <n v="23751272.510000002"/>
    <n v="11146317.75"/>
    <n v="12604959.01"/>
    <n v="165967"/>
  </r>
  <r>
    <x v="10"/>
    <x v="3"/>
    <s v="NSW"/>
    <s v="No gap agreement"/>
    <s v="More than 200% MBS Fee"/>
    <n v="4133759"/>
    <n v="1126537.77"/>
    <n v="3007217.5"/>
    <n v="4897"/>
  </r>
  <r>
    <x v="10"/>
    <x v="3"/>
    <s v="NSW"/>
    <s v="No gap agreement"/>
    <s v="Up to MBS Fee"/>
    <n v="4648497.0999999996"/>
    <n v="3503598.31"/>
    <n v="1144922.75"/>
    <n v="103655"/>
  </r>
  <r>
    <x v="10"/>
    <x v="3"/>
    <s v="NT"/>
    <s v="Known gap agreement"/>
    <s v="100% MBS Fee to 125% MBS Fee"/>
    <n v="8058.35"/>
    <n v="5008.3500000000004"/>
    <n v="2462.4499999999998"/>
    <n v="50"/>
  </r>
  <r>
    <x v="10"/>
    <x v="3"/>
    <s v="NT"/>
    <s v="Known gap agreement"/>
    <s v="More than 125% MBS Fee to 150% MBS Fee"/>
    <n v="31024"/>
    <n v="16615"/>
    <n v="8882"/>
    <n v="106"/>
  </r>
  <r>
    <x v="10"/>
    <x v="3"/>
    <s v="NT"/>
    <s v="Known gap agreement"/>
    <s v="More than 150% MBS Fee to 200% MBS Fee"/>
    <n v="87896"/>
    <n v="38328"/>
    <n v="32238"/>
    <n v="204"/>
  </r>
  <r>
    <x v="10"/>
    <x v="3"/>
    <s v="NT"/>
    <s v="Known gap agreement"/>
    <s v="More than 200% MBS Fee"/>
    <n v="126575"/>
    <n v="35872"/>
    <n v="36707"/>
    <n v="412"/>
  </r>
  <r>
    <x v="10"/>
    <x v="3"/>
    <s v="NT"/>
    <s v="No agreement"/>
    <s v="100% MBS Fee to 125% MBS Fee"/>
    <n v="65968"/>
    <n v="44386"/>
    <n v="14785"/>
    <n v="373"/>
  </r>
  <r>
    <x v="10"/>
    <x v="3"/>
    <s v="NT"/>
    <s v="No agreement"/>
    <s v="More than 125% MBS Fee to 150% MBS Fee"/>
    <n v="67237"/>
    <n v="36672"/>
    <n v="12508"/>
    <n v="431"/>
  </r>
  <r>
    <x v="10"/>
    <x v="3"/>
    <s v="NT"/>
    <s v="No agreement"/>
    <s v="More than 150% MBS Fee to 200% MBS Fee"/>
    <n v="165415"/>
    <n v="69614"/>
    <n v="23084"/>
    <n v="1227"/>
  </r>
  <r>
    <x v="10"/>
    <x v="3"/>
    <s v="NT"/>
    <s v="No agreement"/>
    <s v="More than 200% MBS Fee"/>
    <n v="398092"/>
    <n v="121162"/>
    <n v="39385"/>
    <n v="876"/>
  </r>
  <r>
    <x v="10"/>
    <x v="3"/>
    <s v="NT"/>
    <s v="No agreement"/>
    <s v="Up to MBS Fee"/>
    <n v="166448"/>
    <n v="126304"/>
    <n v="40145"/>
    <n v="2422"/>
  </r>
  <r>
    <x v="10"/>
    <x v="3"/>
    <s v="NT"/>
    <s v="No gap agreement"/>
    <s v="100% MBS Fee to 125% MBS Fee"/>
    <n v="226876.41"/>
    <n v="146478.35999999999"/>
    <n v="80398.05"/>
    <n v="2777"/>
  </r>
  <r>
    <x v="10"/>
    <x v="3"/>
    <s v="NT"/>
    <s v="No gap agreement"/>
    <s v="More than 125% MBS Fee to 150% MBS Fee"/>
    <n v="606072.26"/>
    <n v="332727.90000000002"/>
    <n v="273344.36"/>
    <n v="2827"/>
  </r>
  <r>
    <x v="10"/>
    <x v="3"/>
    <s v="NT"/>
    <s v="No gap agreement"/>
    <s v="More than 150% MBS Fee to 200% MBS Fee"/>
    <n v="368687"/>
    <n v="172221.6"/>
    <n v="196465.4"/>
    <n v="2512"/>
  </r>
  <r>
    <x v="10"/>
    <x v="3"/>
    <s v="NT"/>
    <s v="No gap agreement"/>
    <s v="More than 200% MBS Fee"/>
    <n v="88100"/>
    <n v="25899.599999999999"/>
    <n v="62198.95"/>
    <n v="92"/>
  </r>
  <r>
    <x v="10"/>
    <x v="3"/>
    <s v="NT"/>
    <s v="No gap agreement"/>
    <s v="Up to MBS Fee"/>
    <n v="56134.25"/>
    <n v="42193"/>
    <n v="13940.25"/>
    <n v="797"/>
  </r>
  <r>
    <x v="10"/>
    <x v="3"/>
    <s v="QLD"/>
    <s v="Known gap agreement"/>
    <s v="100% MBS Fee to 125% MBS Fee"/>
    <n v="436707.62"/>
    <n v="286506.09999999998"/>
    <n v="130594.75"/>
    <n v="3575"/>
  </r>
  <r>
    <x v="10"/>
    <x v="3"/>
    <s v="QLD"/>
    <s v="Known gap agreement"/>
    <s v="More than 125% MBS Fee to 150% MBS Fee"/>
    <n v="1518186.28"/>
    <n v="829447.39"/>
    <n v="589144.78"/>
    <n v="12793"/>
  </r>
  <r>
    <x v="10"/>
    <x v="3"/>
    <s v="QLD"/>
    <s v="Known gap agreement"/>
    <s v="More than 150% MBS Fee to 200% MBS Fee"/>
    <n v="3547082.34"/>
    <n v="1512742.47"/>
    <n v="1410886.51"/>
    <n v="11527"/>
  </r>
  <r>
    <x v="10"/>
    <x v="3"/>
    <s v="QLD"/>
    <s v="Known gap agreement"/>
    <s v="More than 200% MBS Fee"/>
    <n v="4848855"/>
    <n v="1372227"/>
    <n v="1462998"/>
    <n v="15773"/>
  </r>
  <r>
    <x v="10"/>
    <x v="3"/>
    <s v="QLD"/>
    <s v="No agreement"/>
    <s v="100% MBS Fee to 125% MBS Fee"/>
    <n v="3126936"/>
    <n v="2094976"/>
    <n v="705909"/>
    <n v="19256"/>
  </r>
  <r>
    <x v="10"/>
    <x v="3"/>
    <s v="QLD"/>
    <s v="No agreement"/>
    <s v="More than 125% MBS Fee to 150% MBS Fee"/>
    <n v="5501424"/>
    <n v="3012966"/>
    <n v="1029671"/>
    <n v="45492"/>
  </r>
  <r>
    <x v="10"/>
    <x v="3"/>
    <s v="QLD"/>
    <s v="No agreement"/>
    <s v="More than 150% MBS Fee to 200% MBS Fee"/>
    <n v="9886194"/>
    <n v="4225416"/>
    <n v="1447842"/>
    <n v="42520"/>
  </r>
  <r>
    <x v="10"/>
    <x v="3"/>
    <s v="QLD"/>
    <s v="No agreement"/>
    <s v="More than 200% MBS Fee"/>
    <n v="15691941"/>
    <n v="4454917"/>
    <n v="1575699"/>
    <n v="45915"/>
  </r>
  <r>
    <x v="10"/>
    <x v="3"/>
    <s v="QLD"/>
    <s v="No agreement"/>
    <s v="Up to MBS Fee"/>
    <n v="7912273"/>
    <n v="6008211"/>
    <n v="1904027"/>
    <n v="108214"/>
  </r>
  <r>
    <x v="10"/>
    <x v="3"/>
    <s v="QLD"/>
    <s v="No gap agreement"/>
    <s v="100% MBS Fee to 125% MBS Fee"/>
    <n v="20840532.050000001"/>
    <n v="13586588.789999999"/>
    <n v="7253944.3099999996"/>
    <n v="322190"/>
  </r>
  <r>
    <x v="10"/>
    <x v="3"/>
    <s v="QLD"/>
    <s v="No gap agreement"/>
    <s v="More than 125% MBS Fee to 150% MBS Fee"/>
    <n v="31820707.309999999"/>
    <n v="17589270.940000001"/>
    <n v="14231434.380000001"/>
    <n v="186268"/>
  </r>
  <r>
    <x v="10"/>
    <x v="3"/>
    <s v="QLD"/>
    <s v="No gap agreement"/>
    <s v="More than 150% MBS Fee to 200% MBS Fee"/>
    <n v="16227585.890000001"/>
    <n v="7697800.79"/>
    <n v="8529785.1300000008"/>
    <n v="133018"/>
  </r>
  <r>
    <x v="10"/>
    <x v="3"/>
    <s v="QLD"/>
    <s v="No gap agreement"/>
    <s v="More than 200% MBS Fee"/>
    <n v="3149288"/>
    <n v="907816.3"/>
    <n v="2241473.6"/>
    <n v="3386"/>
  </r>
  <r>
    <x v="10"/>
    <x v="3"/>
    <s v="QLD"/>
    <s v="No gap agreement"/>
    <s v="Up to MBS Fee"/>
    <n v="1225813.81"/>
    <n v="929225.17"/>
    <n v="296792.65000000002"/>
    <n v="26283"/>
  </r>
  <r>
    <x v="10"/>
    <x v="3"/>
    <s v="SA"/>
    <s v="Known gap agreement"/>
    <s v="100% MBS Fee to 125% MBS Fee"/>
    <n v="1078577.1599999999"/>
    <n v="698075.52"/>
    <n v="348367.96"/>
    <n v="8991"/>
  </r>
  <r>
    <x v="10"/>
    <x v="3"/>
    <s v="SA"/>
    <s v="Known gap agreement"/>
    <s v="More than 125% MBS Fee to 150% MBS Fee"/>
    <n v="1657073.73"/>
    <n v="895967.78"/>
    <n v="704358.49"/>
    <n v="7119"/>
  </r>
  <r>
    <x v="10"/>
    <x v="3"/>
    <s v="SA"/>
    <s v="Known gap agreement"/>
    <s v="More than 150% MBS Fee to 200% MBS Fee"/>
    <n v="1707624.03"/>
    <n v="727576.24"/>
    <n v="842848.31"/>
    <n v="10521"/>
  </r>
  <r>
    <x v="10"/>
    <x v="3"/>
    <s v="SA"/>
    <s v="Known gap agreement"/>
    <s v="More than 200% MBS Fee"/>
    <n v="833344"/>
    <n v="219837"/>
    <n v="274651"/>
    <n v="1674"/>
  </r>
  <r>
    <x v="10"/>
    <x v="3"/>
    <s v="SA"/>
    <s v="No agreement"/>
    <s v="100% MBS Fee to 125% MBS Fee"/>
    <n v="495898"/>
    <n v="329435"/>
    <n v="105141"/>
    <n v="4346"/>
  </r>
  <r>
    <x v="10"/>
    <x v="3"/>
    <s v="SA"/>
    <s v="No agreement"/>
    <s v="More than 125% MBS Fee to 150% MBS Fee"/>
    <n v="627477"/>
    <n v="346595"/>
    <n v="110195"/>
    <n v="3290"/>
  </r>
  <r>
    <x v="10"/>
    <x v="3"/>
    <s v="SA"/>
    <s v="No agreement"/>
    <s v="More than 150% MBS Fee to 200% MBS Fee"/>
    <n v="628905"/>
    <n v="273637"/>
    <n v="87780"/>
    <n v="3145"/>
  </r>
  <r>
    <x v="10"/>
    <x v="3"/>
    <s v="SA"/>
    <s v="No agreement"/>
    <s v="More than 200% MBS Fee"/>
    <n v="914717"/>
    <n v="206863"/>
    <n v="113871"/>
    <n v="5419"/>
  </r>
  <r>
    <x v="10"/>
    <x v="3"/>
    <s v="SA"/>
    <s v="No agreement"/>
    <s v="Up to MBS Fee"/>
    <n v="2897040"/>
    <n v="2184108"/>
    <n v="712695"/>
    <n v="47577"/>
  </r>
  <r>
    <x v="10"/>
    <x v="3"/>
    <s v="SA"/>
    <s v="No gap agreement"/>
    <s v="100% MBS Fee to 125% MBS Fee"/>
    <n v="9421468.7100000009"/>
    <n v="6089921.3499999996"/>
    <n v="3331546.33"/>
    <n v="145918"/>
  </r>
  <r>
    <x v="10"/>
    <x v="3"/>
    <s v="SA"/>
    <s v="No gap agreement"/>
    <s v="More than 125% MBS Fee to 150% MBS Fee"/>
    <n v="13430556.16"/>
    <n v="7297401.8700000001"/>
    <n v="6133154.29"/>
    <n v="51400"/>
  </r>
  <r>
    <x v="10"/>
    <x v="3"/>
    <s v="SA"/>
    <s v="No gap agreement"/>
    <s v="More than 150% MBS Fee to 200% MBS Fee"/>
    <n v="11206918.779999999"/>
    <n v="5204463.43"/>
    <n v="6002457.3399999999"/>
    <n v="69946"/>
  </r>
  <r>
    <x v="10"/>
    <x v="3"/>
    <s v="SA"/>
    <s v="No gap agreement"/>
    <s v="More than 200% MBS Fee"/>
    <n v="1130681"/>
    <n v="289877.95"/>
    <n v="840805.01"/>
    <n v="985"/>
  </r>
  <r>
    <x v="10"/>
    <x v="3"/>
    <s v="SA"/>
    <s v="No gap agreement"/>
    <s v="Up to MBS Fee"/>
    <n v="1376025.55"/>
    <n v="1037301.09"/>
    <n v="338806.46"/>
    <n v="14166"/>
  </r>
  <r>
    <x v="10"/>
    <x v="3"/>
    <s v="TAS"/>
    <s v="Known gap agreement"/>
    <s v="100% MBS Fee to 125% MBS Fee"/>
    <n v="39845.449999999997"/>
    <n v="26358"/>
    <n v="11462.6"/>
    <n v="273"/>
  </r>
  <r>
    <x v="10"/>
    <x v="3"/>
    <s v="TAS"/>
    <s v="Known gap agreement"/>
    <s v="More than 125% MBS Fee to 150% MBS Fee"/>
    <n v="107942.48"/>
    <n v="58766.3"/>
    <n v="44267.85"/>
    <n v="473"/>
  </r>
  <r>
    <x v="10"/>
    <x v="3"/>
    <s v="TAS"/>
    <s v="Known gap agreement"/>
    <s v="More than 150% MBS Fee to 200% MBS Fee"/>
    <n v="250395.15"/>
    <n v="107437.4"/>
    <n v="109217.55"/>
    <n v="928"/>
  </r>
  <r>
    <x v="10"/>
    <x v="3"/>
    <s v="TAS"/>
    <s v="Known gap agreement"/>
    <s v="More than 200% MBS Fee"/>
    <n v="350331"/>
    <n v="105206"/>
    <n v="122458"/>
    <n v="1193"/>
  </r>
  <r>
    <x v="10"/>
    <x v="3"/>
    <s v="TAS"/>
    <s v="No agreement"/>
    <s v="100% MBS Fee to 125% MBS Fee"/>
    <n v="345636"/>
    <n v="232864"/>
    <n v="77880"/>
    <n v="3529"/>
  </r>
  <r>
    <x v="10"/>
    <x v="3"/>
    <s v="TAS"/>
    <s v="No agreement"/>
    <s v="More than 125% MBS Fee to 150% MBS Fee"/>
    <n v="276840"/>
    <n v="150084"/>
    <n v="50722"/>
    <n v="1645"/>
  </r>
  <r>
    <x v="10"/>
    <x v="3"/>
    <s v="TAS"/>
    <s v="No agreement"/>
    <s v="More than 150% MBS Fee to 200% MBS Fee"/>
    <n v="425658"/>
    <n v="182489"/>
    <n v="63586"/>
    <n v="2277"/>
  </r>
  <r>
    <x v="10"/>
    <x v="3"/>
    <s v="TAS"/>
    <s v="No agreement"/>
    <s v="More than 200% MBS Fee"/>
    <n v="1051998"/>
    <n v="270168"/>
    <n v="123744"/>
    <n v="3090"/>
  </r>
  <r>
    <x v="10"/>
    <x v="3"/>
    <s v="TAS"/>
    <s v="No agreement"/>
    <s v="Up to MBS Fee"/>
    <n v="1112992"/>
    <n v="839890"/>
    <n v="273101"/>
    <n v="14235"/>
  </r>
  <r>
    <x v="10"/>
    <x v="3"/>
    <s v="TAS"/>
    <s v="No gap agreement"/>
    <s v="100% MBS Fee to 125% MBS Fee"/>
    <n v="1667595.76"/>
    <n v="1077774.8999999999"/>
    <n v="589817.86"/>
    <n v="21376"/>
  </r>
  <r>
    <x v="10"/>
    <x v="3"/>
    <s v="TAS"/>
    <s v="No gap agreement"/>
    <s v="More than 125% MBS Fee to 150% MBS Fee"/>
    <n v="2643200.56"/>
    <n v="1446750.04"/>
    <n v="1196447.5"/>
    <n v="10322"/>
  </r>
  <r>
    <x v="10"/>
    <x v="3"/>
    <s v="TAS"/>
    <s v="No gap agreement"/>
    <s v="More than 150% MBS Fee to 200% MBS Fee"/>
    <n v="1872245.36"/>
    <n v="880179.4"/>
    <n v="992063.97"/>
    <n v="12932"/>
  </r>
  <r>
    <x v="10"/>
    <x v="3"/>
    <s v="TAS"/>
    <s v="No gap agreement"/>
    <s v="More than 200% MBS Fee"/>
    <n v="215182"/>
    <n v="60857.15"/>
    <n v="154326.39999999999"/>
    <n v="198"/>
  </r>
  <r>
    <x v="10"/>
    <x v="3"/>
    <s v="TAS"/>
    <s v="No gap agreement"/>
    <s v="Up to MBS Fee"/>
    <n v="94365.92"/>
    <n v="72495.3"/>
    <n v="21868.62"/>
    <n v="1098"/>
  </r>
  <r>
    <x v="10"/>
    <x v="3"/>
    <s v="VIC"/>
    <s v="Known gap agreement"/>
    <s v="100% MBS Fee to 125% MBS Fee"/>
    <n v="1609437.03"/>
    <n v="1043845.9"/>
    <n v="486201.3"/>
    <n v="10394"/>
  </r>
  <r>
    <x v="10"/>
    <x v="3"/>
    <s v="VIC"/>
    <s v="Known gap agreement"/>
    <s v="More than 125% MBS Fee to 150% MBS Fee"/>
    <n v="3494747.82"/>
    <n v="1901314.33"/>
    <n v="1284847.04"/>
    <n v="15129"/>
  </r>
  <r>
    <x v="10"/>
    <x v="3"/>
    <s v="VIC"/>
    <s v="Known gap agreement"/>
    <s v="More than 150% MBS Fee to 200% MBS Fee"/>
    <n v="6189060.5099999998"/>
    <n v="2684254.4500000002"/>
    <n v="2330545.62"/>
    <n v="29787"/>
  </r>
  <r>
    <x v="10"/>
    <x v="3"/>
    <s v="VIC"/>
    <s v="Known gap agreement"/>
    <s v="More than 200% MBS Fee"/>
    <n v="4893884"/>
    <n v="1406071"/>
    <n v="1411665"/>
    <n v="16022"/>
  </r>
  <r>
    <x v="10"/>
    <x v="3"/>
    <s v="VIC"/>
    <s v="No agreement"/>
    <s v="100% MBS Fee to 125% MBS Fee"/>
    <n v="3049118"/>
    <n v="2031116"/>
    <n v="674649"/>
    <n v="24861"/>
  </r>
  <r>
    <x v="10"/>
    <x v="3"/>
    <s v="VIC"/>
    <s v="No agreement"/>
    <s v="More than 125% MBS Fee to 150% MBS Fee"/>
    <n v="2907631"/>
    <n v="1589983"/>
    <n v="547571"/>
    <n v="18716"/>
  </r>
  <r>
    <x v="10"/>
    <x v="3"/>
    <s v="VIC"/>
    <s v="No agreement"/>
    <s v="More than 150% MBS Fee to 200% MBS Fee"/>
    <n v="6859895"/>
    <n v="2954274"/>
    <n v="993569"/>
    <n v="51259"/>
  </r>
  <r>
    <x v="10"/>
    <x v="3"/>
    <s v="VIC"/>
    <s v="No agreement"/>
    <s v="More than 200% MBS Fee"/>
    <n v="8801973"/>
    <n v="2360356"/>
    <n v="857578"/>
    <n v="25657"/>
  </r>
  <r>
    <x v="10"/>
    <x v="3"/>
    <s v="VIC"/>
    <s v="No agreement"/>
    <s v="Up to MBS Fee"/>
    <n v="10828837"/>
    <n v="8164168"/>
    <n v="2664597"/>
    <n v="157877"/>
  </r>
  <r>
    <x v="10"/>
    <x v="3"/>
    <s v="VIC"/>
    <s v="No gap agreement"/>
    <s v="100% MBS Fee to 125% MBS Fee"/>
    <n v="21514291.969999999"/>
    <n v="13723085.619999999"/>
    <n v="7791205.3499999996"/>
    <n v="258157"/>
  </r>
  <r>
    <x v="10"/>
    <x v="3"/>
    <s v="VIC"/>
    <s v="No gap agreement"/>
    <s v="More than 125% MBS Fee to 150% MBS Fee"/>
    <n v="43440934.829999998"/>
    <n v="23949922.07"/>
    <n v="19491010.829999998"/>
    <n v="240971"/>
  </r>
  <r>
    <x v="10"/>
    <x v="3"/>
    <s v="VIC"/>
    <s v="No gap agreement"/>
    <s v="More than 150% MBS Fee to 200% MBS Fee"/>
    <n v="24065954.09"/>
    <n v="11233831.359999999"/>
    <n v="12832211.66"/>
    <n v="185573"/>
  </r>
  <r>
    <x v="10"/>
    <x v="3"/>
    <s v="VIC"/>
    <s v="No gap agreement"/>
    <s v="More than 200% MBS Fee"/>
    <n v="2222013"/>
    <n v="642419.74"/>
    <n v="1579595.95"/>
    <n v="2256"/>
  </r>
  <r>
    <x v="10"/>
    <x v="3"/>
    <s v="VIC"/>
    <s v="No gap agreement"/>
    <s v="Up to MBS Fee"/>
    <n v="4211377.08"/>
    <n v="3182711.16"/>
    <n v="1028659.91"/>
    <n v="77267"/>
  </r>
  <r>
    <x v="10"/>
    <x v="3"/>
    <s v="WA"/>
    <s v="Known gap agreement"/>
    <s v="100% MBS Fee to 125% MBS Fee"/>
    <n v="514873.42"/>
    <n v="322728.95"/>
    <n v="157092.35"/>
    <n v="4046"/>
  </r>
  <r>
    <x v="10"/>
    <x v="3"/>
    <s v="WA"/>
    <s v="Known gap agreement"/>
    <s v="More than 125% MBS Fee to 150% MBS Fee"/>
    <n v="1942206"/>
    <n v="1038410.65"/>
    <n v="653185.80000000005"/>
    <n v="5305"/>
  </r>
  <r>
    <x v="10"/>
    <x v="3"/>
    <s v="WA"/>
    <s v="Known gap agreement"/>
    <s v="More than 150% MBS Fee to 200% MBS Fee"/>
    <n v="3806585"/>
    <n v="1662861"/>
    <n v="1109090"/>
    <n v="18111"/>
  </r>
  <r>
    <x v="10"/>
    <x v="3"/>
    <s v="WA"/>
    <s v="Known gap agreement"/>
    <s v="More than 200% MBS Fee"/>
    <n v="4666326"/>
    <n v="1236973"/>
    <n v="983189"/>
    <n v="15379"/>
  </r>
  <r>
    <x v="10"/>
    <x v="3"/>
    <s v="WA"/>
    <s v="No agreement"/>
    <s v="100% MBS Fee to 125% MBS Fee"/>
    <n v="729462"/>
    <n v="470180"/>
    <n v="160899"/>
    <n v="5051"/>
  </r>
  <r>
    <x v="10"/>
    <x v="3"/>
    <s v="WA"/>
    <s v="No agreement"/>
    <s v="More than 125% MBS Fee to 150% MBS Fee"/>
    <n v="1326363"/>
    <n v="724621"/>
    <n v="247672"/>
    <n v="13871"/>
  </r>
  <r>
    <x v="10"/>
    <x v="3"/>
    <s v="WA"/>
    <s v="No agreement"/>
    <s v="More than 150% MBS Fee to 200% MBS Fee"/>
    <n v="1135874"/>
    <n v="496095"/>
    <n v="174992"/>
    <n v="8333"/>
  </r>
  <r>
    <x v="10"/>
    <x v="3"/>
    <s v="WA"/>
    <s v="No agreement"/>
    <s v="More than 200% MBS Fee"/>
    <n v="1485162"/>
    <n v="395767"/>
    <n v="163709"/>
    <n v="4696"/>
  </r>
  <r>
    <x v="10"/>
    <x v="3"/>
    <s v="WA"/>
    <s v="No agreement"/>
    <s v="Up to MBS Fee"/>
    <n v="1220657"/>
    <n v="918978"/>
    <n v="301679"/>
    <n v="22986"/>
  </r>
  <r>
    <x v="10"/>
    <x v="3"/>
    <s v="WA"/>
    <s v="No gap agreement"/>
    <s v="100% MBS Fee to 125% MBS Fee"/>
    <n v="8434379.9399999995"/>
    <n v="5351291.29"/>
    <n v="3083087.53"/>
    <n v="108474"/>
  </r>
  <r>
    <x v="10"/>
    <x v="3"/>
    <s v="WA"/>
    <s v="No gap agreement"/>
    <s v="More than 125% MBS Fee to 150% MBS Fee"/>
    <n v="14763896.02"/>
    <n v="8073686.1900000004"/>
    <n v="6690203.8499999996"/>
    <n v="52316"/>
  </r>
  <r>
    <x v="10"/>
    <x v="3"/>
    <s v="WA"/>
    <s v="No gap agreement"/>
    <s v="More than 150% MBS Fee to 200% MBS Fee"/>
    <n v="8366053.3700000001"/>
    <n v="3722736.42"/>
    <n v="4643319.08"/>
    <n v="61159"/>
  </r>
  <r>
    <x v="10"/>
    <x v="3"/>
    <s v="WA"/>
    <s v="No gap agreement"/>
    <s v="More than 200% MBS Fee"/>
    <n v="2031094"/>
    <n v="481478.15"/>
    <n v="1549614.66"/>
    <n v="2069"/>
  </r>
  <r>
    <x v="10"/>
    <x v="3"/>
    <s v="WA"/>
    <s v="No gap agreement"/>
    <s v="Up to MBS Fee"/>
    <n v="1360786.98"/>
    <n v="1054117.76"/>
    <n v="306673.21999999997"/>
    <n v="18987"/>
  </r>
  <r>
    <x v="10"/>
    <x v="1"/>
    <s v="ACT"/>
    <s v="Known gap agreement"/>
    <s v="100% MBS Fee to 125% MBS Fee"/>
    <n v="0"/>
    <n v="0"/>
    <n v="0"/>
    <n v="0"/>
  </r>
  <r>
    <x v="10"/>
    <x v="1"/>
    <s v="ACT"/>
    <s v="Known gap agreement"/>
    <s v="More than 125% MBS Fee to 150% MBS Fee"/>
    <n v="0"/>
    <n v="0"/>
    <n v="0"/>
    <n v="0"/>
  </r>
  <r>
    <x v="10"/>
    <x v="1"/>
    <s v="ACT"/>
    <s v="Known gap agreement"/>
    <s v="More than 150% MBS Fee to 200% MBS Fee"/>
    <n v="0"/>
    <n v="0"/>
    <n v="0"/>
    <n v="0"/>
  </r>
  <r>
    <x v="10"/>
    <x v="1"/>
    <s v="ACT"/>
    <s v="Known gap agreement"/>
    <s v="More than 200% MBS Fee"/>
    <n v="0"/>
    <n v="0"/>
    <n v="0"/>
    <n v="0"/>
  </r>
  <r>
    <x v="10"/>
    <x v="1"/>
    <s v="ACT"/>
    <s v="No agreement"/>
    <s v="100% MBS Fee to 125% MBS Fee"/>
    <n v="0"/>
    <n v="0"/>
    <n v="0"/>
    <n v="0"/>
  </r>
  <r>
    <x v="10"/>
    <x v="1"/>
    <s v="ACT"/>
    <s v="No agreement"/>
    <s v="More than 125% MBS Fee to 150% MBS Fee"/>
    <n v="0"/>
    <n v="0"/>
    <n v="0"/>
    <n v="0"/>
  </r>
  <r>
    <x v="10"/>
    <x v="1"/>
    <s v="ACT"/>
    <s v="No agreement"/>
    <s v="More than 150% MBS Fee to 200% MBS Fee"/>
    <n v="0"/>
    <n v="0"/>
    <n v="0"/>
    <n v="0"/>
  </r>
  <r>
    <x v="10"/>
    <x v="1"/>
    <s v="ACT"/>
    <s v="No agreement"/>
    <s v="More than 200% MBS Fee"/>
    <n v="0"/>
    <n v="0"/>
    <n v="0"/>
    <n v="0"/>
  </r>
  <r>
    <x v="10"/>
    <x v="1"/>
    <s v="ACT"/>
    <s v="No agreement"/>
    <s v="Up to MBS Fee"/>
    <n v="0"/>
    <n v="0"/>
    <n v="0"/>
    <n v="0"/>
  </r>
  <r>
    <x v="10"/>
    <x v="1"/>
    <s v="ACT"/>
    <s v="No gap agreement"/>
    <s v="100% MBS Fee to 125% MBS Fee"/>
    <n v="0"/>
    <n v="0"/>
    <n v="0"/>
    <n v="0"/>
  </r>
  <r>
    <x v="10"/>
    <x v="1"/>
    <s v="ACT"/>
    <s v="No gap agreement"/>
    <s v="More than 125% MBS Fee to 150% MBS Fee"/>
    <n v="0"/>
    <n v="0"/>
    <n v="0"/>
    <n v="0"/>
  </r>
  <r>
    <x v="10"/>
    <x v="1"/>
    <s v="ACT"/>
    <s v="No gap agreement"/>
    <s v="More than 150% MBS Fee to 200% MBS Fee"/>
    <n v="0"/>
    <n v="0"/>
    <n v="0"/>
    <n v="0"/>
  </r>
  <r>
    <x v="10"/>
    <x v="1"/>
    <s v="ACT"/>
    <s v="No gap agreement"/>
    <s v="More than 200% MBS Fee"/>
    <n v="0"/>
    <n v="0"/>
    <n v="0"/>
    <n v="0"/>
  </r>
  <r>
    <x v="10"/>
    <x v="1"/>
    <s v="ACT"/>
    <s v="No gap agreement"/>
    <s v="Up to MBS Fee"/>
    <n v="0"/>
    <n v="0"/>
    <n v="0"/>
    <n v="0"/>
  </r>
  <r>
    <x v="10"/>
    <x v="1"/>
    <s v="NSW"/>
    <s v="Known gap agreement"/>
    <s v="100% MBS Fee to 125% MBS Fee"/>
    <n v="943357.1"/>
    <n v="620270.35"/>
    <n v="286130.8"/>
    <n v="7749"/>
  </r>
  <r>
    <x v="10"/>
    <x v="1"/>
    <s v="NSW"/>
    <s v="Known gap agreement"/>
    <s v="More than 125% MBS Fee to 150% MBS Fee"/>
    <n v="2138852.0099999998"/>
    <n v="1172185.68"/>
    <n v="832337.75"/>
    <n v="15628"/>
  </r>
  <r>
    <x v="10"/>
    <x v="1"/>
    <s v="NSW"/>
    <s v="Known gap agreement"/>
    <s v="More than 150% MBS Fee to 200% MBS Fee"/>
    <n v="4032711.66"/>
    <n v="1768100.85"/>
    <n v="1573912.55"/>
    <n v="16630"/>
  </r>
  <r>
    <x v="10"/>
    <x v="1"/>
    <s v="NSW"/>
    <s v="Known gap agreement"/>
    <s v="More than 200% MBS Fee"/>
    <n v="5956588.8799999999"/>
    <n v="1626758.98"/>
    <n v="1455467.59"/>
    <n v="16555"/>
  </r>
  <r>
    <x v="10"/>
    <x v="1"/>
    <s v="NSW"/>
    <s v="No agreement"/>
    <s v="100% MBS Fee to 125% MBS Fee"/>
    <n v="3414940.89"/>
    <n v="2257023.25"/>
    <n v="752600.45"/>
    <n v="20570"/>
  </r>
  <r>
    <x v="10"/>
    <x v="1"/>
    <s v="NSW"/>
    <s v="No agreement"/>
    <s v="More than 125% MBS Fee to 150% MBS Fee"/>
    <n v="5632627.3300000001"/>
    <n v="3097877.65"/>
    <n v="1026400.2"/>
    <n v="38944"/>
  </r>
  <r>
    <x v="10"/>
    <x v="1"/>
    <s v="NSW"/>
    <s v="No agreement"/>
    <s v="More than 150% MBS Fee to 200% MBS Fee"/>
    <n v="17703339.41"/>
    <n v="7535829.5"/>
    <n v="2512272.35"/>
    <n v="72495"/>
  </r>
  <r>
    <x v="10"/>
    <x v="1"/>
    <s v="NSW"/>
    <s v="No agreement"/>
    <s v="More than 200% MBS Fee"/>
    <n v="59799034.289999999"/>
    <n v="16826598.399999999"/>
    <n v="5711528.5499999998"/>
    <n v="141913"/>
  </r>
  <r>
    <x v="10"/>
    <x v="1"/>
    <s v="NSW"/>
    <s v="No agreement"/>
    <s v="Up to MBS Fee"/>
    <n v="22315934"/>
    <n v="16852207"/>
    <n v="5463698"/>
    <n v="363879"/>
  </r>
  <r>
    <x v="10"/>
    <x v="1"/>
    <s v="NSW"/>
    <s v="No gap agreement"/>
    <s v="100% MBS Fee to 125% MBS Fee"/>
    <n v="25427541.27"/>
    <n v="16324851.98"/>
    <n v="9102686.1099999994"/>
    <n v="317776"/>
  </r>
  <r>
    <x v="10"/>
    <x v="1"/>
    <s v="NSW"/>
    <s v="No gap agreement"/>
    <s v="More than 125% MBS Fee to 150% MBS Fee"/>
    <n v="46630923.439999998"/>
    <n v="25608823.949999999"/>
    <n v="21022094.850000001"/>
    <n v="222832"/>
  </r>
  <r>
    <x v="10"/>
    <x v="1"/>
    <s v="NSW"/>
    <s v="No gap agreement"/>
    <s v="More than 150% MBS Fee to 200% MBS Fee"/>
    <n v="31079882.260000002"/>
    <n v="14578765.449999999"/>
    <n v="16501103.060000001"/>
    <n v="212294"/>
  </r>
  <r>
    <x v="10"/>
    <x v="1"/>
    <s v="NSW"/>
    <s v="No gap agreement"/>
    <s v="More than 200% MBS Fee"/>
    <n v="3846484"/>
    <n v="1133009.1499999999"/>
    <n v="2713474.91"/>
    <n v="4853"/>
  </r>
  <r>
    <x v="10"/>
    <x v="1"/>
    <s v="NSW"/>
    <s v="No gap agreement"/>
    <s v="Up to MBS Fee"/>
    <n v="6248282.1600000001"/>
    <n v="4707279.71"/>
    <n v="1541119.47"/>
    <n v="139247"/>
  </r>
  <r>
    <x v="10"/>
    <x v="1"/>
    <s v="NT"/>
    <s v="Known gap agreement"/>
    <s v="100% MBS Fee to 125% MBS Fee"/>
    <n v="10451.5"/>
    <n v="6509.65"/>
    <n v="3082.6"/>
    <n v="44"/>
  </r>
  <r>
    <x v="10"/>
    <x v="1"/>
    <s v="NT"/>
    <s v="Known gap agreement"/>
    <s v="More than 125% MBS Fee to 150% MBS Fee"/>
    <n v="14067.6"/>
    <n v="7430"/>
    <n v="5208.5"/>
    <n v="68"/>
  </r>
  <r>
    <x v="10"/>
    <x v="1"/>
    <s v="NT"/>
    <s v="Known gap agreement"/>
    <s v="More than 150% MBS Fee to 200% MBS Fee"/>
    <n v="60705"/>
    <n v="26292"/>
    <n v="23114"/>
    <n v="141"/>
  </r>
  <r>
    <x v="10"/>
    <x v="1"/>
    <s v="NT"/>
    <s v="Known gap agreement"/>
    <s v="More than 200% MBS Fee"/>
    <n v="165089"/>
    <n v="48442"/>
    <n v="48615"/>
    <n v="447"/>
  </r>
  <r>
    <x v="10"/>
    <x v="1"/>
    <s v="NT"/>
    <s v="No agreement"/>
    <s v="100% MBS Fee to 125% MBS Fee"/>
    <n v="58261"/>
    <n v="38229"/>
    <n v="12835"/>
    <n v="312"/>
  </r>
  <r>
    <x v="10"/>
    <x v="1"/>
    <s v="NT"/>
    <s v="No agreement"/>
    <s v="More than 125% MBS Fee to 150% MBS Fee"/>
    <n v="53031"/>
    <n v="28627"/>
    <n v="9621"/>
    <n v="383"/>
  </r>
  <r>
    <x v="10"/>
    <x v="1"/>
    <s v="NT"/>
    <s v="No agreement"/>
    <s v="More than 150% MBS Fee to 200% MBS Fee"/>
    <n v="210440"/>
    <n v="87525"/>
    <n v="30179"/>
    <n v="1469"/>
  </r>
  <r>
    <x v="10"/>
    <x v="1"/>
    <s v="NT"/>
    <s v="No agreement"/>
    <s v="More than 200% MBS Fee"/>
    <n v="450442"/>
    <n v="136001"/>
    <n v="46921"/>
    <n v="1069"/>
  </r>
  <r>
    <x v="10"/>
    <x v="1"/>
    <s v="NT"/>
    <s v="No agreement"/>
    <s v="Up to MBS Fee"/>
    <n v="194268"/>
    <n v="147056"/>
    <n v="47211"/>
    <n v="2123"/>
  </r>
  <r>
    <x v="10"/>
    <x v="1"/>
    <s v="NT"/>
    <s v="No gap agreement"/>
    <s v="100% MBS Fee to 125% MBS Fee"/>
    <n v="228383.79"/>
    <n v="148377.42000000001"/>
    <n v="80006.37"/>
    <n v="2732"/>
  </r>
  <r>
    <x v="10"/>
    <x v="1"/>
    <s v="NT"/>
    <s v="No gap agreement"/>
    <s v="More than 125% MBS Fee to 150% MBS Fee"/>
    <n v="643698.44999999995"/>
    <n v="354059.15"/>
    <n v="289639.3"/>
    <n v="2885"/>
  </r>
  <r>
    <x v="10"/>
    <x v="1"/>
    <s v="NT"/>
    <s v="No gap agreement"/>
    <s v="More than 150% MBS Fee to 200% MBS Fee"/>
    <n v="460309.42"/>
    <n v="214246.22"/>
    <n v="246064.2"/>
    <n v="3029"/>
  </r>
  <r>
    <x v="10"/>
    <x v="1"/>
    <s v="NT"/>
    <s v="No gap agreement"/>
    <s v="More than 200% MBS Fee"/>
    <n v="48146"/>
    <n v="14097"/>
    <n v="34049"/>
    <n v="49"/>
  </r>
  <r>
    <x v="10"/>
    <x v="1"/>
    <s v="NT"/>
    <s v="No gap agreement"/>
    <s v="Up to MBS Fee"/>
    <n v="51297.599999999999"/>
    <n v="38631.199999999997"/>
    <n v="12665.4"/>
    <n v="547"/>
  </r>
  <r>
    <x v="10"/>
    <x v="1"/>
    <s v="QLD"/>
    <s v="Known gap agreement"/>
    <s v="100% MBS Fee to 125% MBS Fee"/>
    <n v="456285.35"/>
    <n v="300991.96000000002"/>
    <n v="137667.84"/>
    <n v="3667"/>
  </r>
  <r>
    <x v="10"/>
    <x v="1"/>
    <s v="QLD"/>
    <s v="Known gap agreement"/>
    <s v="More than 125% MBS Fee to 150% MBS Fee"/>
    <n v="1503175.27"/>
    <n v="811704.6"/>
    <n v="576885.5"/>
    <n v="9081"/>
  </r>
  <r>
    <x v="10"/>
    <x v="1"/>
    <s v="QLD"/>
    <s v="Known gap agreement"/>
    <s v="More than 150% MBS Fee to 200% MBS Fee"/>
    <n v="4733064.6900000004"/>
    <n v="2022188.05"/>
    <n v="1860697.28"/>
    <n v="14386"/>
  </r>
  <r>
    <x v="10"/>
    <x v="1"/>
    <s v="QLD"/>
    <s v="Known gap agreement"/>
    <s v="More than 200% MBS Fee"/>
    <n v="5795307.8300000001"/>
    <n v="1646334.47"/>
    <n v="1801527.47"/>
    <n v="18244"/>
  </r>
  <r>
    <x v="10"/>
    <x v="1"/>
    <s v="QLD"/>
    <s v="No agreement"/>
    <s v="100% MBS Fee to 125% MBS Fee"/>
    <n v="3066413.69"/>
    <n v="2040882.7"/>
    <n v="677564.2"/>
    <n v="18667"/>
  </r>
  <r>
    <x v="10"/>
    <x v="1"/>
    <s v="QLD"/>
    <s v="No agreement"/>
    <s v="More than 125% MBS Fee to 150% MBS Fee"/>
    <n v="5651574.5599999996"/>
    <n v="3099930.85"/>
    <n v="1038283.45"/>
    <n v="41025"/>
  </r>
  <r>
    <x v="10"/>
    <x v="1"/>
    <s v="QLD"/>
    <s v="No agreement"/>
    <s v="More than 150% MBS Fee to 200% MBS Fee"/>
    <n v="10672752.470000001"/>
    <n v="4539563.45"/>
    <n v="1510952.2"/>
    <n v="43467"/>
  </r>
  <r>
    <x v="10"/>
    <x v="1"/>
    <s v="QLD"/>
    <s v="No agreement"/>
    <s v="More than 200% MBS Fee"/>
    <n v="17593397.489999998"/>
    <n v="5187679.9000000004"/>
    <n v="1736732.1"/>
    <n v="51544"/>
  </r>
  <r>
    <x v="10"/>
    <x v="1"/>
    <s v="QLD"/>
    <s v="No agreement"/>
    <s v="Up to MBS Fee"/>
    <n v="7732071.5899999999"/>
    <n v="5895837.3700000001"/>
    <n v="1836075.22"/>
    <n v="104682"/>
  </r>
  <r>
    <x v="10"/>
    <x v="1"/>
    <s v="QLD"/>
    <s v="No gap agreement"/>
    <s v="100% MBS Fee to 125% MBS Fee"/>
    <n v="23019749.109999999"/>
    <n v="14962328.35"/>
    <n v="8057424.8099999996"/>
    <n v="376869"/>
  </r>
  <r>
    <x v="10"/>
    <x v="1"/>
    <s v="QLD"/>
    <s v="No gap agreement"/>
    <s v="More than 125% MBS Fee to 150% MBS Fee"/>
    <n v="37256435.859999999"/>
    <n v="20657177.34"/>
    <n v="16599256.550000001"/>
    <n v="227476"/>
  </r>
  <r>
    <x v="10"/>
    <x v="1"/>
    <s v="QLD"/>
    <s v="No gap agreement"/>
    <s v="More than 150% MBS Fee to 200% MBS Fee"/>
    <n v="21905558.390000001"/>
    <n v="10360558.970000001"/>
    <n v="11544995.460000001"/>
    <n v="166289"/>
  </r>
  <r>
    <x v="10"/>
    <x v="1"/>
    <s v="QLD"/>
    <s v="No gap agreement"/>
    <s v="More than 200% MBS Fee"/>
    <n v="3388237.15"/>
    <n v="972555.48"/>
    <n v="2415676.0499999998"/>
    <n v="3547"/>
  </r>
  <r>
    <x v="10"/>
    <x v="1"/>
    <s v="QLD"/>
    <s v="No gap agreement"/>
    <s v="Up to MBS Fee"/>
    <n v="1816062.47"/>
    <n v="1369570.02"/>
    <n v="446494.45"/>
    <n v="37485"/>
  </r>
  <r>
    <x v="10"/>
    <x v="1"/>
    <s v="SA"/>
    <s v="Known gap agreement"/>
    <s v="100% MBS Fee to 125% MBS Fee"/>
    <n v="1236498.95"/>
    <n v="799062.75"/>
    <n v="400861.7"/>
    <n v="10107"/>
  </r>
  <r>
    <x v="10"/>
    <x v="1"/>
    <s v="SA"/>
    <s v="Known gap agreement"/>
    <s v="More than 125% MBS Fee to 150% MBS Fee"/>
    <n v="1804353.5"/>
    <n v="980797.2"/>
    <n v="764315.06"/>
    <n v="7337"/>
  </r>
  <r>
    <x v="10"/>
    <x v="1"/>
    <s v="SA"/>
    <s v="Known gap agreement"/>
    <s v="More than 150% MBS Fee to 200% MBS Fee"/>
    <n v="1881112.1"/>
    <n v="859211.35"/>
    <n v="880457.17"/>
    <n v="8500"/>
  </r>
  <r>
    <x v="10"/>
    <x v="1"/>
    <s v="SA"/>
    <s v="Known gap agreement"/>
    <s v="More than 200% MBS Fee"/>
    <n v="999724"/>
    <n v="265230"/>
    <n v="308441"/>
    <n v="2096"/>
  </r>
  <r>
    <x v="10"/>
    <x v="1"/>
    <s v="SA"/>
    <s v="No agreement"/>
    <s v="100% MBS Fee to 125% MBS Fee"/>
    <n v="611859"/>
    <n v="398108"/>
    <n v="153146"/>
    <n v="5044"/>
  </r>
  <r>
    <x v="10"/>
    <x v="1"/>
    <s v="SA"/>
    <s v="No agreement"/>
    <s v="More than 125% MBS Fee to 150% MBS Fee"/>
    <n v="686034"/>
    <n v="369613"/>
    <n v="156931"/>
    <n v="4258"/>
  </r>
  <r>
    <x v="10"/>
    <x v="1"/>
    <s v="SA"/>
    <s v="No agreement"/>
    <s v="More than 150% MBS Fee to 200% MBS Fee"/>
    <n v="553217"/>
    <n v="235242"/>
    <n v="85737"/>
    <n v="3457"/>
  </r>
  <r>
    <x v="10"/>
    <x v="1"/>
    <s v="SA"/>
    <s v="No agreement"/>
    <s v="More than 200% MBS Fee"/>
    <n v="1200218"/>
    <n v="244666"/>
    <n v="132155"/>
    <n v="6557"/>
  </r>
  <r>
    <x v="10"/>
    <x v="1"/>
    <s v="SA"/>
    <s v="No agreement"/>
    <s v="Up to MBS Fee"/>
    <n v="5590591"/>
    <n v="4209809"/>
    <n v="1380759"/>
    <n v="62138"/>
  </r>
  <r>
    <x v="10"/>
    <x v="1"/>
    <s v="SA"/>
    <s v="No gap agreement"/>
    <s v="100% MBS Fee to 125% MBS Fee"/>
    <n v="8421565.7100000009"/>
    <n v="5552977.4900000002"/>
    <n v="2868576.16"/>
    <n v="147319"/>
  </r>
  <r>
    <x v="10"/>
    <x v="1"/>
    <s v="SA"/>
    <s v="No gap agreement"/>
    <s v="More than 125% MBS Fee to 150% MBS Fee"/>
    <n v="17187183.760000002"/>
    <n v="9425681.1400000006"/>
    <n v="7761502.6600000001"/>
    <n v="82171"/>
  </r>
  <r>
    <x v="10"/>
    <x v="1"/>
    <s v="SA"/>
    <s v="No gap agreement"/>
    <s v="More than 150% MBS Fee to 200% MBS Fee"/>
    <n v="14667490.4"/>
    <n v="6824110.3899999997"/>
    <n v="7843376.9800000004"/>
    <n v="79428"/>
  </r>
  <r>
    <x v="10"/>
    <x v="1"/>
    <s v="SA"/>
    <s v="No gap agreement"/>
    <s v="More than 200% MBS Fee"/>
    <n v="1056672"/>
    <n v="277790.25"/>
    <n v="778881.12"/>
    <n v="889"/>
  </r>
  <r>
    <x v="10"/>
    <x v="1"/>
    <s v="SA"/>
    <s v="No gap agreement"/>
    <s v="Up to MBS Fee"/>
    <n v="1610900.88"/>
    <n v="1213155.18"/>
    <n v="397843.7"/>
    <n v="16028"/>
  </r>
  <r>
    <x v="10"/>
    <x v="1"/>
    <s v="TAS"/>
    <s v="Known gap agreement"/>
    <s v="100% MBS Fee to 125% MBS Fee"/>
    <n v="68693.399999999994"/>
    <n v="46232.2"/>
    <n v="18513.5"/>
    <n v="428"/>
  </r>
  <r>
    <x v="10"/>
    <x v="1"/>
    <s v="TAS"/>
    <s v="Known gap agreement"/>
    <s v="More than 125% MBS Fee to 150% MBS Fee"/>
    <n v="117246.63"/>
    <n v="64491.25"/>
    <n v="41924.050000000003"/>
    <n v="555"/>
  </r>
  <r>
    <x v="10"/>
    <x v="1"/>
    <s v="TAS"/>
    <s v="Known gap agreement"/>
    <s v="More than 150% MBS Fee to 200% MBS Fee"/>
    <n v="371908.08"/>
    <n v="158862.6"/>
    <n v="157815.45000000001"/>
    <n v="1275"/>
  </r>
  <r>
    <x v="10"/>
    <x v="1"/>
    <s v="TAS"/>
    <s v="Known gap agreement"/>
    <s v="More than 200% MBS Fee"/>
    <n v="562264"/>
    <n v="169421"/>
    <n v="199932"/>
    <n v="1943"/>
  </r>
  <r>
    <x v="10"/>
    <x v="1"/>
    <s v="TAS"/>
    <s v="No agreement"/>
    <s v="100% MBS Fee to 125% MBS Fee"/>
    <n v="270467"/>
    <n v="178254"/>
    <n v="59401"/>
    <n v="2040"/>
  </r>
  <r>
    <x v="10"/>
    <x v="1"/>
    <s v="TAS"/>
    <s v="No agreement"/>
    <s v="More than 125% MBS Fee to 150% MBS Fee"/>
    <n v="281485"/>
    <n v="153063"/>
    <n v="51905"/>
    <n v="1760"/>
  </r>
  <r>
    <x v="10"/>
    <x v="1"/>
    <s v="TAS"/>
    <s v="No agreement"/>
    <s v="More than 150% MBS Fee to 200% MBS Fee"/>
    <n v="497664"/>
    <n v="213384"/>
    <n v="75514"/>
    <n v="2855"/>
  </r>
  <r>
    <x v="10"/>
    <x v="1"/>
    <s v="TAS"/>
    <s v="No agreement"/>
    <s v="More than 200% MBS Fee"/>
    <n v="1404246"/>
    <n v="339322"/>
    <n v="116873"/>
    <n v="3318"/>
  </r>
  <r>
    <x v="10"/>
    <x v="1"/>
    <s v="TAS"/>
    <s v="No agreement"/>
    <s v="Up to MBS Fee"/>
    <n v="1714105"/>
    <n v="1307630"/>
    <n v="406474"/>
    <n v="24690"/>
  </r>
  <r>
    <x v="10"/>
    <x v="1"/>
    <s v="TAS"/>
    <s v="No gap agreement"/>
    <s v="100% MBS Fee to 125% MBS Fee"/>
    <n v="2476708.64"/>
    <n v="1613758.74"/>
    <n v="862947.89"/>
    <n v="34936"/>
  </r>
  <r>
    <x v="10"/>
    <x v="1"/>
    <s v="TAS"/>
    <s v="No gap agreement"/>
    <s v="More than 125% MBS Fee to 150% MBS Fee"/>
    <n v="3908612.93"/>
    <n v="2141332.58"/>
    <n v="1767284.35"/>
    <n v="15800"/>
  </r>
  <r>
    <x v="10"/>
    <x v="1"/>
    <s v="TAS"/>
    <s v="No gap agreement"/>
    <s v="More than 150% MBS Fee to 200% MBS Fee"/>
    <n v="3085662.74"/>
    <n v="1436113.76"/>
    <n v="1649549.96"/>
    <n v="19907"/>
  </r>
  <r>
    <x v="10"/>
    <x v="1"/>
    <s v="TAS"/>
    <s v="No gap agreement"/>
    <s v="More than 200% MBS Fee"/>
    <n v="376818"/>
    <n v="112974.5"/>
    <n v="263844.53999999998"/>
    <n v="385"/>
  </r>
  <r>
    <x v="10"/>
    <x v="1"/>
    <s v="TAS"/>
    <s v="No gap agreement"/>
    <s v="Up to MBS Fee"/>
    <n v="178811.9"/>
    <n v="146643.25"/>
    <n v="32168.65"/>
    <n v="2743"/>
  </r>
  <r>
    <x v="10"/>
    <x v="1"/>
    <s v="VIC"/>
    <s v="Known gap agreement"/>
    <s v="100% MBS Fee to 125% MBS Fee"/>
    <n v="1836950.34"/>
    <n v="1202650.6599999999"/>
    <n v="553048.39"/>
    <n v="11063"/>
  </r>
  <r>
    <x v="10"/>
    <x v="1"/>
    <s v="VIC"/>
    <s v="Known gap agreement"/>
    <s v="More than 125% MBS Fee to 150% MBS Fee"/>
    <n v="3472388.82"/>
    <n v="1894099.41"/>
    <n v="1259951.19"/>
    <n v="14156"/>
  </r>
  <r>
    <x v="10"/>
    <x v="1"/>
    <s v="VIC"/>
    <s v="Known gap agreement"/>
    <s v="More than 150% MBS Fee to 200% MBS Fee"/>
    <n v="7688888.2699999996"/>
    <n v="3311208.29"/>
    <n v="2960300.31"/>
    <n v="36765"/>
  </r>
  <r>
    <x v="10"/>
    <x v="1"/>
    <s v="VIC"/>
    <s v="Known gap agreement"/>
    <s v="More than 200% MBS Fee"/>
    <n v="6191340"/>
    <n v="1784042"/>
    <n v="1782830"/>
    <n v="20122"/>
  </r>
  <r>
    <x v="10"/>
    <x v="1"/>
    <s v="VIC"/>
    <s v="No agreement"/>
    <s v="100% MBS Fee to 125% MBS Fee"/>
    <n v="2846314"/>
    <n v="1881884"/>
    <n v="622876"/>
    <n v="22761"/>
  </r>
  <r>
    <x v="10"/>
    <x v="1"/>
    <s v="VIC"/>
    <s v="No agreement"/>
    <s v="More than 125% MBS Fee to 150% MBS Fee"/>
    <n v="3045116"/>
    <n v="1668754"/>
    <n v="572569"/>
    <n v="19073"/>
  </r>
  <r>
    <x v="10"/>
    <x v="1"/>
    <s v="VIC"/>
    <s v="No agreement"/>
    <s v="More than 150% MBS Fee to 200% MBS Fee"/>
    <n v="7818659"/>
    <n v="3373947"/>
    <n v="1123415"/>
    <n v="58235"/>
  </r>
  <r>
    <x v="10"/>
    <x v="1"/>
    <s v="VIC"/>
    <s v="No agreement"/>
    <s v="More than 200% MBS Fee"/>
    <n v="10424752"/>
    <n v="2898928"/>
    <n v="998132"/>
    <n v="30904"/>
  </r>
  <r>
    <x v="10"/>
    <x v="1"/>
    <s v="VIC"/>
    <s v="No agreement"/>
    <s v="Up to MBS Fee"/>
    <n v="12811265"/>
    <n v="9642414"/>
    <n v="3168716"/>
    <n v="176292"/>
  </r>
  <r>
    <x v="10"/>
    <x v="1"/>
    <s v="VIC"/>
    <s v="No gap agreement"/>
    <s v="100% MBS Fee to 125% MBS Fee"/>
    <n v="23740006.510000002"/>
    <n v="15267078.09"/>
    <n v="8472924.5500000007"/>
    <n v="285772"/>
  </r>
  <r>
    <x v="10"/>
    <x v="1"/>
    <s v="VIC"/>
    <s v="No gap agreement"/>
    <s v="More than 125% MBS Fee to 150% MBS Fee"/>
    <n v="57864974.990000002"/>
    <n v="31935280.23"/>
    <n v="25929698.780000001"/>
    <n v="348188"/>
  </r>
  <r>
    <x v="10"/>
    <x v="1"/>
    <s v="VIC"/>
    <s v="No gap agreement"/>
    <s v="More than 150% MBS Fee to 200% MBS Fee"/>
    <n v="32706323.699999999"/>
    <n v="15194951.58"/>
    <n v="17511370.059999999"/>
    <n v="244708"/>
  </r>
  <r>
    <x v="10"/>
    <x v="1"/>
    <s v="VIC"/>
    <s v="No gap agreement"/>
    <s v="More than 200% MBS Fee"/>
    <n v="2304053"/>
    <n v="658876.55000000005"/>
    <n v="1645174.41"/>
    <n v="2344"/>
  </r>
  <r>
    <x v="10"/>
    <x v="1"/>
    <s v="VIC"/>
    <s v="No gap agreement"/>
    <s v="Up to MBS Fee"/>
    <n v="5225190.16"/>
    <n v="3939990.33"/>
    <n v="1285200.82"/>
    <n v="95554"/>
  </r>
  <r>
    <x v="10"/>
    <x v="1"/>
    <s v="WA"/>
    <s v="Known gap agreement"/>
    <s v="100% MBS Fee to 125% MBS Fee"/>
    <n v="1274367.7"/>
    <n v="855465.95"/>
    <n v="389003.5"/>
    <n v="9206"/>
  </r>
  <r>
    <x v="10"/>
    <x v="1"/>
    <s v="WA"/>
    <s v="Known gap agreement"/>
    <s v="More than 125% MBS Fee to 150% MBS Fee"/>
    <n v="3145285.02"/>
    <n v="1691511.95"/>
    <n v="1215764.6599999999"/>
    <n v="12976"/>
  </r>
  <r>
    <x v="10"/>
    <x v="1"/>
    <s v="WA"/>
    <s v="Known gap agreement"/>
    <s v="More than 150% MBS Fee to 200% MBS Fee"/>
    <n v="4601332.0999999996"/>
    <n v="2010417.85"/>
    <n v="1411180.2"/>
    <n v="19720"/>
  </r>
  <r>
    <x v="10"/>
    <x v="1"/>
    <s v="WA"/>
    <s v="Known gap agreement"/>
    <s v="More than 200% MBS Fee"/>
    <n v="5970892"/>
    <n v="1577167"/>
    <n v="1230146"/>
    <n v="18393"/>
  </r>
  <r>
    <x v="10"/>
    <x v="1"/>
    <s v="WA"/>
    <s v="No agreement"/>
    <s v="100% MBS Fee to 125% MBS Fee"/>
    <n v="813321"/>
    <n v="528176"/>
    <n v="177882"/>
    <n v="5507"/>
  </r>
  <r>
    <x v="10"/>
    <x v="1"/>
    <s v="WA"/>
    <s v="No agreement"/>
    <s v="More than 125% MBS Fee to 150% MBS Fee"/>
    <n v="1550980"/>
    <n v="834940"/>
    <n v="283715"/>
    <n v="14923"/>
  </r>
  <r>
    <x v="10"/>
    <x v="1"/>
    <s v="WA"/>
    <s v="No agreement"/>
    <s v="More than 150% MBS Fee to 200% MBS Fee"/>
    <n v="1168050"/>
    <n v="508228"/>
    <n v="176399"/>
    <n v="8703"/>
  </r>
  <r>
    <x v="10"/>
    <x v="1"/>
    <s v="WA"/>
    <s v="No agreement"/>
    <s v="More than 200% MBS Fee"/>
    <n v="1833429"/>
    <n v="463775"/>
    <n v="167860"/>
    <n v="4814"/>
  </r>
  <r>
    <x v="10"/>
    <x v="1"/>
    <s v="WA"/>
    <s v="No agreement"/>
    <s v="Up to MBS Fee"/>
    <n v="1397529"/>
    <n v="1053091"/>
    <n v="344436"/>
    <n v="27354"/>
  </r>
  <r>
    <x v="10"/>
    <x v="1"/>
    <s v="WA"/>
    <s v="No gap agreement"/>
    <s v="100% MBS Fee to 125% MBS Fee"/>
    <n v="8974277.0700000003"/>
    <n v="5688914.2999999998"/>
    <n v="3285363.77"/>
    <n v="117328"/>
  </r>
  <r>
    <x v="10"/>
    <x v="1"/>
    <s v="WA"/>
    <s v="No gap agreement"/>
    <s v="More than 125% MBS Fee to 150% MBS Fee"/>
    <n v="16219343.67"/>
    <n v="8904228.4800000004"/>
    <n v="7315114.1900000004"/>
    <n v="55781"/>
  </r>
  <r>
    <x v="10"/>
    <x v="1"/>
    <s v="WA"/>
    <s v="No gap agreement"/>
    <s v="More than 150% MBS Fee to 200% MBS Fee"/>
    <n v="10364481.140000001"/>
    <n v="4603937.4400000004"/>
    <n v="5760543.7000000002"/>
    <n v="75615"/>
  </r>
  <r>
    <x v="10"/>
    <x v="1"/>
    <s v="WA"/>
    <s v="No gap agreement"/>
    <s v="More than 200% MBS Fee"/>
    <n v="1845952"/>
    <n v="443903.4"/>
    <n v="1402047.85"/>
    <n v="1393"/>
  </r>
  <r>
    <x v="10"/>
    <x v="1"/>
    <s v="WA"/>
    <s v="No gap agreement"/>
    <s v="Up to MBS Fee"/>
    <n v="1013366.94"/>
    <n v="768406.55"/>
    <n v="244998.39"/>
    <n v="17518"/>
  </r>
  <r>
    <x v="11"/>
    <x v="0"/>
    <s v="ACT"/>
    <s v="Known gap agreement"/>
    <s v="100% MBS Fee to 125% MBS Fee"/>
    <n v="0"/>
    <n v="0"/>
    <n v="0"/>
    <n v="0"/>
  </r>
  <r>
    <x v="11"/>
    <x v="0"/>
    <s v="ACT"/>
    <s v="Known gap agreement"/>
    <s v="More than 125% MBS Fee to 150% MBS Fee"/>
    <n v="0"/>
    <n v="0"/>
    <n v="0"/>
    <n v="0"/>
  </r>
  <r>
    <x v="11"/>
    <x v="0"/>
    <s v="ACT"/>
    <s v="Known gap agreement"/>
    <s v="More than 150% MBS Fee to 200% MBS Fee"/>
    <n v="0"/>
    <n v="0"/>
    <n v="0"/>
    <n v="0"/>
  </r>
  <r>
    <x v="11"/>
    <x v="0"/>
    <s v="ACT"/>
    <s v="Known gap agreement"/>
    <s v="More than 200% MBS Fee"/>
    <n v="0"/>
    <n v="0"/>
    <n v="0"/>
    <n v="0"/>
  </r>
  <r>
    <x v="11"/>
    <x v="0"/>
    <s v="ACT"/>
    <s v="No agreement"/>
    <s v="100% MBS Fee to 125% MBS Fee"/>
    <n v="0"/>
    <n v="0"/>
    <n v="0"/>
    <n v="0"/>
  </r>
  <r>
    <x v="11"/>
    <x v="0"/>
    <s v="ACT"/>
    <s v="No agreement"/>
    <s v="More than 125% MBS Fee to 150% MBS Fee"/>
    <n v="0"/>
    <n v="0"/>
    <n v="0"/>
    <n v="0"/>
  </r>
  <r>
    <x v="11"/>
    <x v="0"/>
    <s v="ACT"/>
    <s v="No agreement"/>
    <s v="More than 150% MBS Fee to 200% MBS Fee"/>
    <n v="0"/>
    <n v="0"/>
    <n v="0"/>
    <n v="0"/>
  </r>
  <r>
    <x v="11"/>
    <x v="0"/>
    <s v="ACT"/>
    <s v="No agreement"/>
    <s v="More than 200% MBS Fee"/>
    <n v="0"/>
    <n v="0"/>
    <n v="0"/>
    <n v="0"/>
  </r>
  <r>
    <x v="11"/>
    <x v="0"/>
    <s v="ACT"/>
    <s v="No agreement"/>
    <s v="Up to MBS Fee"/>
    <n v="0"/>
    <n v="0"/>
    <n v="0"/>
    <n v="0"/>
  </r>
  <r>
    <x v="11"/>
    <x v="0"/>
    <s v="ACT"/>
    <s v="No gap agreement"/>
    <s v="100% MBS Fee to 125% MBS Fee"/>
    <n v="0"/>
    <n v="0"/>
    <n v="0"/>
    <n v="0"/>
  </r>
  <r>
    <x v="11"/>
    <x v="0"/>
    <s v="ACT"/>
    <s v="No gap agreement"/>
    <s v="More than 125% MBS Fee to 150% MBS Fee"/>
    <n v="0"/>
    <n v="0"/>
    <n v="0"/>
    <n v="0"/>
  </r>
  <r>
    <x v="11"/>
    <x v="0"/>
    <s v="ACT"/>
    <s v="No gap agreement"/>
    <s v="More than 150% MBS Fee to 200% MBS Fee"/>
    <n v="0"/>
    <n v="0"/>
    <n v="0"/>
    <n v="0"/>
  </r>
  <r>
    <x v="11"/>
    <x v="0"/>
    <s v="ACT"/>
    <s v="No gap agreement"/>
    <s v="More than 200% MBS Fee"/>
    <n v="0"/>
    <n v="0"/>
    <n v="0"/>
    <n v="0"/>
  </r>
  <r>
    <x v="11"/>
    <x v="0"/>
    <s v="ACT"/>
    <s v="No gap agreement"/>
    <s v="Up to MBS Fee"/>
    <n v="0"/>
    <n v="0"/>
    <n v="0"/>
    <n v="0"/>
  </r>
  <r>
    <x v="11"/>
    <x v="0"/>
    <s v="NSW"/>
    <s v="Known gap agreement"/>
    <s v="100% MBS Fee to 125% MBS Fee"/>
    <n v="776187.68"/>
    <n v="514741.55"/>
    <n v="231302.08"/>
    <n v="5119"/>
  </r>
  <r>
    <x v="11"/>
    <x v="0"/>
    <s v="NSW"/>
    <s v="Known gap agreement"/>
    <s v="More than 125% MBS Fee to 150% MBS Fee"/>
    <n v="1619129.24"/>
    <n v="883892.57"/>
    <n v="613789.78"/>
    <n v="6974"/>
  </r>
  <r>
    <x v="11"/>
    <x v="0"/>
    <s v="NSW"/>
    <s v="Known gap agreement"/>
    <s v="More than 150% MBS Fee to 200% MBS Fee"/>
    <n v="4349694.1399999997"/>
    <n v="1896040.19"/>
    <n v="1774119.97"/>
    <n v="17304"/>
  </r>
  <r>
    <x v="11"/>
    <x v="0"/>
    <s v="NSW"/>
    <s v="Known gap agreement"/>
    <s v="More than 200% MBS Fee"/>
    <n v="6141993.6299999999"/>
    <n v="1645120.9"/>
    <n v="1570309.7"/>
    <n v="16803"/>
  </r>
  <r>
    <x v="11"/>
    <x v="0"/>
    <s v="NSW"/>
    <s v="No agreement"/>
    <s v="100% MBS Fee to 125% MBS Fee"/>
    <n v="3242812.66"/>
    <n v="2148196.0299999998"/>
    <n v="727808.4"/>
    <n v="18262"/>
  </r>
  <r>
    <x v="11"/>
    <x v="0"/>
    <s v="NSW"/>
    <s v="No agreement"/>
    <s v="More than 125% MBS Fee to 150% MBS Fee"/>
    <n v="4913220.9400000004"/>
    <n v="2691833.81"/>
    <n v="907207.97"/>
    <n v="37786"/>
  </r>
  <r>
    <x v="11"/>
    <x v="0"/>
    <s v="NSW"/>
    <s v="No agreement"/>
    <s v="More than 150% MBS Fee to 200% MBS Fee"/>
    <n v="16273049.35"/>
    <n v="6877661.9699999997"/>
    <n v="2335870.12"/>
    <n v="65417"/>
  </r>
  <r>
    <x v="11"/>
    <x v="0"/>
    <s v="NSW"/>
    <s v="No agreement"/>
    <s v="More than 200% MBS Fee"/>
    <n v="67576010.790000007"/>
    <n v="17892260.850000001"/>
    <n v="6049315.7699999996"/>
    <n v="138408"/>
  </r>
  <r>
    <x v="11"/>
    <x v="0"/>
    <s v="NSW"/>
    <s v="No agreement"/>
    <s v="Up to MBS Fee"/>
    <n v="21125743.969999999"/>
    <n v="16115748.48"/>
    <n v="5007950.8899999997"/>
    <n v="312428"/>
  </r>
  <r>
    <x v="11"/>
    <x v="0"/>
    <s v="NSW"/>
    <s v="No gap agreement"/>
    <s v="100% MBS Fee to 125% MBS Fee"/>
    <n v="25763942.530000001"/>
    <n v="16531598.970000001"/>
    <n v="9230707.3000000007"/>
    <n v="332377"/>
  </r>
  <r>
    <x v="11"/>
    <x v="0"/>
    <s v="NSW"/>
    <s v="No gap agreement"/>
    <s v="More than 125% MBS Fee to 150% MBS Fee"/>
    <n v="46774823.829999998"/>
    <n v="25687224.68"/>
    <n v="21087391.829999998"/>
    <n v="214531"/>
  </r>
  <r>
    <x v="11"/>
    <x v="0"/>
    <s v="NSW"/>
    <s v="No gap agreement"/>
    <s v="More than 150% MBS Fee to 200% MBS Fee"/>
    <n v="35600547.560000002"/>
    <n v="16621213.9"/>
    <n v="18979143.879999999"/>
    <n v="231837"/>
  </r>
  <r>
    <x v="11"/>
    <x v="0"/>
    <s v="NSW"/>
    <s v="No gap agreement"/>
    <s v="More than 200% MBS Fee"/>
    <n v="3895035.99"/>
    <n v="1128254.1499999999"/>
    <n v="2766777.85"/>
    <n v="4528"/>
  </r>
  <r>
    <x v="11"/>
    <x v="0"/>
    <s v="NSW"/>
    <s v="No gap agreement"/>
    <s v="Up to MBS Fee"/>
    <n v="6422378.9500000002"/>
    <n v="4840742.2"/>
    <n v="1583003.42"/>
    <n v="148262"/>
  </r>
  <r>
    <x v="11"/>
    <x v="0"/>
    <s v="NT"/>
    <s v="Known gap agreement"/>
    <s v="100% MBS Fee to 125% MBS Fee"/>
    <n v="14181.02"/>
    <n v="9211.25"/>
    <n v="4048"/>
    <n v="78"/>
  </r>
  <r>
    <x v="11"/>
    <x v="0"/>
    <s v="NT"/>
    <s v="Known gap agreement"/>
    <s v="More than 125% MBS Fee to 150% MBS Fee"/>
    <n v="21344.06"/>
    <n v="11306.2"/>
    <n v="6849.45"/>
    <n v="72"/>
  </r>
  <r>
    <x v="11"/>
    <x v="0"/>
    <s v="NT"/>
    <s v="Known gap agreement"/>
    <s v="More than 150% MBS Fee to 200% MBS Fee"/>
    <n v="96967.42"/>
    <n v="41145.050000000003"/>
    <n v="39195.4"/>
    <n v="159"/>
  </r>
  <r>
    <x v="11"/>
    <x v="0"/>
    <s v="NT"/>
    <s v="Known gap agreement"/>
    <s v="More than 200% MBS Fee"/>
    <n v="192356.91"/>
    <n v="53210.3"/>
    <n v="53342.37"/>
    <n v="518"/>
  </r>
  <r>
    <x v="11"/>
    <x v="0"/>
    <s v="NT"/>
    <s v="No agreement"/>
    <s v="100% MBS Fee to 125% MBS Fee"/>
    <n v="51707.4"/>
    <n v="33554"/>
    <n v="11256.85"/>
    <n v="286"/>
  </r>
  <r>
    <x v="11"/>
    <x v="0"/>
    <s v="NT"/>
    <s v="No agreement"/>
    <s v="More than 125% MBS Fee to 150% MBS Fee"/>
    <n v="66063.009999999995"/>
    <n v="35988.5"/>
    <n v="12239.45"/>
    <n v="319"/>
  </r>
  <r>
    <x v="11"/>
    <x v="0"/>
    <s v="NT"/>
    <s v="No agreement"/>
    <s v="More than 150% MBS Fee to 200% MBS Fee"/>
    <n v="153183.14000000001"/>
    <n v="65073.4"/>
    <n v="22477.99"/>
    <n v="1016"/>
  </r>
  <r>
    <x v="11"/>
    <x v="0"/>
    <s v="NT"/>
    <s v="No agreement"/>
    <s v="More than 200% MBS Fee"/>
    <n v="577326.80000000005"/>
    <n v="166616.54999999999"/>
    <n v="57116.21"/>
    <n v="1299"/>
  </r>
  <r>
    <x v="11"/>
    <x v="0"/>
    <s v="NT"/>
    <s v="No agreement"/>
    <s v="Up to MBS Fee"/>
    <n v="239683.69"/>
    <n v="182882.14"/>
    <n v="56801.55"/>
    <n v="2281"/>
  </r>
  <r>
    <x v="11"/>
    <x v="0"/>
    <s v="NT"/>
    <s v="No gap agreement"/>
    <s v="100% MBS Fee to 125% MBS Fee"/>
    <n v="232983.95"/>
    <n v="151274.70000000001"/>
    <n v="81709.100000000006"/>
    <n v="2425"/>
  </r>
  <r>
    <x v="11"/>
    <x v="0"/>
    <s v="NT"/>
    <s v="No gap agreement"/>
    <s v="More than 125% MBS Fee to 150% MBS Fee"/>
    <n v="713751.59"/>
    <n v="387510.17"/>
    <n v="326228.71999999997"/>
    <n v="2325"/>
  </r>
  <r>
    <x v="11"/>
    <x v="0"/>
    <s v="NT"/>
    <s v="No gap agreement"/>
    <s v="More than 150% MBS Fee to 200% MBS Fee"/>
    <n v="515389.08"/>
    <n v="236999.1"/>
    <n v="278366.73"/>
    <n v="2941"/>
  </r>
  <r>
    <x v="11"/>
    <x v="0"/>
    <s v="NT"/>
    <s v="No gap agreement"/>
    <s v="More than 200% MBS Fee"/>
    <n v="47589.45"/>
    <n v="14072.8"/>
    <n v="33516.65"/>
    <n v="815"/>
  </r>
  <r>
    <x v="11"/>
    <x v="0"/>
    <s v="NT"/>
    <s v="No gap agreement"/>
    <s v="Up to MBS Fee"/>
    <n v="47433.15"/>
    <n v="35859.9"/>
    <n v="11573.25"/>
    <n v="780"/>
  </r>
  <r>
    <x v="11"/>
    <x v="0"/>
    <s v="QLD"/>
    <s v="Known gap agreement"/>
    <s v="100% MBS Fee to 125% MBS Fee"/>
    <n v="552578.74"/>
    <n v="365136.18"/>
    <n v="163909.29999999999"/>
    <n v="3912"/>
  </r>
  <r>
    <x v="11"/>
    <x v="0"/>
    <s v="QLD"/>
    <s v="Known gap agreement"/>
    <s v="More than 125% MBS Fee to 150% MBS Fee"/>
    <n v="1332920.73"/>
    <n v="721676.46"/>
    <n v="495497.06"/>
    <n v="6334"/>
  </r>
  <r>
    <x v="11"/>
    <x v="0"/>
    <s v="QLD"/>
    <s v="Known gap agreement"/>
    <s v="More than 150% MBS Fee to 200% MBS Fee"/>
    <n v="4756822.03"/>
    <n v="2032227.04"/>
    <n v="1864192.82"/>
    <n v="14119"/>
  </r>
  <r>
    <x v="11"/>
    <x v="0"/>
    <s v="QLD"/>
    <s v="Known gap agreement"/>
    <s v="More than 200% MBS Fee"/>
    <n v="7646079.8799999999"/>
    <n v="2173602.81"/>
    <n v="2379656.1800000002"/>
    <n v="24261"/>
  </r>
  <r>
    <x v="11"/>
    <x v="0"/>
    <s v="QLD"/>
    <s v="No agreement"/>
    <s v="100% MBS Fee to 125% MBS Fee"/>
    <n v="2559543.85"/>
    <n v="1698234.34"/>
    <n v="570023.36"/>
    <n v="17218"/>
  </r>
  <r>
    <x v="11"/>
    <x v="0"/>
    <s v="QLD"/>
    <s v="No agreement"/>
    <s v="More than 125% MBS Fee to 150% MBS Fee"/>
    <n v="4747859.25"/>
    <n v="2597618.83"/>
    <n v="885523.7"/>
    <n v="26944"/>
  </r>
  <r>
    <x v="11"/>
    <x v="0"/>
    <s v="QLD"/>
    <s v="No agreement"/>
    <s v="More than 150% MBS Fee to 200% MBS Fee"/>
    <n v="11218513.289999999"/>
    <n v="4795173.7699999996"/>
    <n v="1624627.58"/>
    <n v="51993"/>
  </r>
  <r>
    <x v="11"/>
    <x v="0"/>
    <s v="QLD"/>
    <s v="No agreement"/>
    <s v="More than 200% MBS Fee"/>
    <n v="23513565.800000001"/>
    <n v="6317146.8200000003"/>
    <n v="2137041.86"/>
    <n v="56801"/>
  </r>
  <r>
    <x v="11"/>
    <x v="0"/>
    <s v="QLD"/>
    <s v="No agreement"/>
    <s v="Up to MBS Fee"/>
    <n v="7724117.5800000001"/>
    <n v="5879161.04"/>
    <n v="1844845.74"/>
    <n v="96319"/>
  </r>
  <r>
    <x v="11"/>
    <x v="0"/>
    <s v="QLD"/>
    <s v="No gap agreement"/>
    <s v="100% MBS Fee to 125% MBS Fee"/>
    <n v="24162189.609999999"/>
    <n v="15626493.060000001"/>
    <n v="8535591.1799999997"/>
    <n v="396956"/>
  </r>
  <r>
    <x v="11"/>
    <x v="0"/>
    <s v="QLD"/>
    <s v="No gap agreement"/>
    <s v="More than 125% MBS Fee to 150% MBS Fee"/>
    <n v="37503686.82"/>
    <n v="20705456.280000001"/>
    <n v="16798155.170000002"/>
    <n v="198673"/>
  </r>
  <r>
    <x v="11"/>
    <x v="0"/>
    <s v="QLD"/>
    <s v="No gap agreement"/>
    <s v="More than 150% MBS Fee to 200% MBS Fee"/>
    <n v="21737165.489999998"/>
    <n v="10222020.52"/>
    <n v="11515093.789999999"/>
    <n v="157029"/>
  </r>
  <r>
    <x v="11"/>
    <x v="0"/>
    <s v="QLD"/>
    <s v="No gap agreement"/>
    <s v="More than 200% MBS Fee"/>
    <n v="3214499.15"/>
    <n v="895578.5"/>
    <n v="2318920.65"/>
    <n v="3063"/>
  </r>
  <r>
    <x v="11"/>
    <x v="0"/>
    <s v="QLD"/>
    <s v="No gap agreement"/>
    <s v="Up to MBS Fee"/>
    <n v="1452952.02"/>
    <n v="1095788.1200000001"/>
    <n v="357163.9"/>
    <n v="29908"/>
  </r>
  <r>
    <x v="11"/>
    <x v="0"/>
    <s v="SA"/>
    <s v="Known gap agreement"/>
    <s v="100% MBS Fee to 125% MBS Fee"/>
    <n v="1260863.31"/>
    <n v="812268.6"/>
    <n v="398770.06"/>
    <n v="10151"/>
  </r>
  <r>
    <x v="11"/>
    <x v="0"/>
    <s v="SA"/>
    <s v="Known gap agreement"/>
    <s v="More than 125% MBS Fee to 150% MBS Fee"/>
    <n v="1742213.14"/>
    <n v="943203.05"/>
    <n v="725339.16"/>
    <n v="7171"/>
  </r>
  <r>
    <x v="11"/>
    <x v="0"/>
    <s v="SA"/>
    <s v="Known gap agreement"/>
    <s v="More than 150% MBS Fee to 200% MBS Fee"/>
    <n v="2141527.2400000002"/>
    <n v="974311.15"/>
    <n v="1000261.99"/>
    <n v="8771"/>
  </r>
  <r>
    <x v="11"/>
    <x v="0"/>
    <s v="SA"/>
    <s v="Known gap agreement"/>
    <s v="More than 200% MBS Fee"/>
    <n v="1121941.07"/>
    <n v="297078"/>
    <n v="356304.32"/>
    <n v="2560"/>
  </r>
  <r>
    <x v="11"/>
    <x v="0"/>
    <s v="SA"/>
    <s v="No agreement"/>
    <s v="100% MBS Fee to 125% MBS Fee"/>
    <n v="396376.54"/>
    <n v="260711.06"/>
    <n v="90922.5"/>
    <n v="4066"/>
  </r>
  <r>
    <x v="11"/>
    <x v="0"/>
    <s v="SA"/>
    <s v="No agreement"/>
    <s v="More than 125% MBS Fee to 150% MBS Fee"/>
    <n v="661038.43000000005"/>
    <n v="359280.36"/>
    <n v="141524.79"/>
    <n v="5051"/>
  </r>
  <r>
    <x v="11"/>
    <x v="0"/>
    <s v="SA"/>
    <s v="No agreement"/>
    <s v="More than 150% MBS Fee to 200% MBS Fee"/>
    <n v="608978.88"/>
    <n v="262952.31"/>
    <n v="119146.56"/>
    <n v="3787"/>
  </r>
  <r>
    <x v="11"/>
    <x v="0"/>
    <s v="SA"/>
    <s v="No agreement"/>
    <s v="More than 200% MBS Fee"/>
    <n v="1016864.79"/>
    <n v="279588.52"/>
    <n v="100615.79"/>
    <n v="2655"/>
  </r>
  <r>
    <x v="11"/>
    <x v="0"/>
    <s v="SA"/>
    <s v="No agreement"/>
    <s v="Up to MBS Fee"/>
    <n v="6643967.29"/>
    <n v="5009465.8499999996"/>
    <n v="1634270.49"/>
    <n v="57098"/>
  </r>
  <r>
    <x v="11"/>
    <x v="0"/>
    <s v="SA"/>
    <s v="No gap agreement"/>
    <s v="100% MBS Fee to 125% MBS Fee"/>
    <n v="8406182.1899999995"/>
    <n v="5621920.9100000001"/>
    <n v="2784167.63"/>
    <n v="146812"/>
  </r>
  <r>
    <x v="11"/>
    <x v="0"/>
    <s v="SA"/>
    <s v="No gap agreement"/>
    <s v="More than 125% MBS Fee to 150% MBS Fee"/>
    <n v="18661025.489999998"/>
    <n v="10208851.800000001"/>
    <n v="8452149.6999999993"/>
    <n v="89128"/>
  </r>
  <r>
    <x v="11"/>
    <x v="0"/>
    <s v="SA"/>
    <s v="No gap agreement"/>
    <s v="More than 150% MBS Fee to 200% MBS Fee"/>
    <n v="14958388.710000001"/>
    <n v="6907297.0800000001"/>
    <n v="8051067.71"/>
    <n v="76691"/>
  </r>
  <r>
    <x v="11"/>
    <x v="0"/>
    <s v="SA"/>
    <s v="No gap agreement"/>
    <s v="More than 200% MBS Fee"/>
    <n v="985289.12"/>
    <n v="261182.33"/>
    <n v="724106.79"/>
    <n v="789"/>
  </r>
  <r>
    <x v="11"/>
    <x v="0"/>
    <s v="SA"/>
    <s v="No gap agreement"/>
    <s v="Up to MBS Fee"/>
    <n v="2063674.69"/>
    <n v="1553275.31"/>
    <n v="510399.43"/>
    <n v="22053"/>
  </r>
  <r>
    <x v="11"/>
    <x v="0"/>
    <s v="TAS"/>
    <s v="Known gap agreement"/>
    <s v="100% MBS Fee to 125% MBS Fee"/>
    <n v="58997.56"/>
    <n v="39672.75"/>
    <n v="15872.29"/>
    <n v="309"/>
  </r>
  <r>
    <x v="11"/>
    <x v="0"/>
    <s v="TAS"/>
    <s v="Known gap agreement"/>
    <s v="More than 125% MBS Fee to 150% MBS Fee"/>
    <n v="81861.69"/>
    <n v="43830.2"/>
    <n v="31944.26"/>
    <n v="357"/>
  </r>
  <r>
    <x v="11"/>
    <x v="0"/>
    <s v="TAS"/>
    <s v="Known gap agreement"/>
    <s v="More than 150% MBS Fee to 200% MBS Fee"/>
    <n v="365815.43"/>
    <n v="157265.29999999999"/>
    <n v="159302.15"/>
    <n v="1096"/>
  </r>
  <r>
    <x v="11"/>
    <x v="0"/>
    <s v="TAS"/>
    <s v="Known gap agreement"/>
    <s v="More than 200% MBS Fee"/>
    <n v="759565.09"/>
    <n v="231866.95"/>
    <n v="260739.12"/>
    <n v="2706"/>
  </r>
  <r>
    <x v="11"/>
    <x v="0"/>
    <s v="TAS"/>
    <s v="No agreement"/>
    <s v="100% MBS Fee to 125% MBS Fee"/>
    <n v="233594.01"/>
    <n v="155219.95000000001"/>
    <n v="52567.01"/>
    <n v="1710"/>
  </r>
  <r>
    <x v="11"/>
    <x v="0"/>
    <s v="TAS"/>
    <s v="No agreement"/>
    <s v="More than 125% MBS Fee to 150% MBS Fee"/>
    <n v="317153.07"/>
    <n v="174075.83"/>
    <n v="58538.14"/>
    <n v="1118"/>
  </r>
  <r>
    <x v="11"/>
    <x v="0"/>
    <s v="TAS"/>
    <s v="No agreement"/>
    <s v="More than 150% MBS Fee to 200% MBS Fee"/>
    <n v="579196.30000000005"/>
    <n v="244066.25"/>
    <n v="83099.360000000001"/>
    <n v="2763"/>
  </r>
  <r>
    <x v="11"/>
    <x v="0"/>
    <s v="TAS"/>
    <s v="No agreement"/>
    <s v="More than 200% MBS Fee"/>
    <n v="1665790.38"/>
    <n v="422087.54"/>
    <n v="142803.51999999999"/>
    <n v="3306"/>
  </r>
  <r>
    <x v="11"/>
    <x v="0"/>
    <s v="TAS"/>
    <s v="No agreement"/>
    <s v="Up to MBS Fee"/>
    <n v="1427789.96"/>
    <n v="1077809.3899999999"/>
    <n v="349980.57"/>
    <n v="19546"/>
  </r>
  <r>
    <x v="11"/>
    <x v="0"/>
    <s v="TAS"/>
    <s v="No gap agreement"/>
    <s v="100% MBS Fee to 125% MBS Fee"/>
    <n v="2151315.62"/>
    <n v="1399328.31"/>
    <n v="751981.49"/>
    <n v="30493"/>
  </r>
  <r>
    <x v="11"/>
    <x v="0"/>
    <s v="TAS"/>
    <s v="No gap agreement"/>
    <s v="More than 125% MBS Fee to 150% MBS Fee"/>
    <n v="3812659.56"/>
    <n v="2084025.05"/>
    <n v="1729538.44"/>
    <n v="13736"/>
  </r>
  <r>
    <x v="11"/>
    <x v="0"/>
    <s v="TAS"/>
    <s v="No gap agreement"/>
    <s v="More than 150% MBS Fee to 200% MBS Fee"/>
    <n v="2662990.0699999998"/>
    <n v="1236687.22"/>
    <n v="1426301.05"/>
    <n v="18614"/>
  </r>
  <r>
    <x v="11"/>
    <x v="0"/>
    <s v="TAS"/>
    <s v="No gap agreement"/>
    <s v="More than 200% MBS Fee"/>
    <n v="327579.55"/>
    <n v="92116.05"/>
    <n v="234559.5"/>
    <n v="348"/>
  </r>
  <r>
    <x v="11"/>
    <x v="0"/>
    <s v="TAS"/>
    <s v="No gap agreement"/>
    <s v="Up to MBS Fee"/>
    <n v="160587.66"/>
    <n v="121644.73"/>
    <n v="38942.93"/>
    <n v="1747"/>
  </r>
  <r>
    <x v="11"/>
    <x v="0"/>
    <s v="VIC"/>
    <s v="Known gap agreement"/>
    <s v="100% MBS Fee to 125% MBS Fee"/>
    <n v="2159103.7999999998"/>
    <n v="1417821.25"/>
    <n v="654498.62"/>
    <n v="10824"/>
  </r>
  <r>
    <x v="11"/>
    <x v="0"/>
    <s v="VIC"/>
    <s v="Known gap agreement"/>
    <s v="More than 125% MBS Fee to 150% MBS Fee"/>
    <n v="3500051.43"/>
    <n v="1906478.71"/>
    <n v="1278471.31"/>
    <n v="14260"/>
  </r>
  <r>
    <x v="11"/>
    <x v="0"/>
    <s v="VIC"/>
    <s v="Known gap agreement"/>
    <s v="More than 150% MBS Fee to 200% MBS Fee"/>
    <n v="6957150.3300000001"/>
    <n v="2988505.75"/>
    <n v="2624014.83"/>
    <n v="29027"/>
  </r>
  <r>
    <x v="11"/>
    <x v="0"/>
    <s v="VIC"/>
    <s v="Known gap agreement"/>
    <s v="More than 200% MBS Fee"/>
    <n v="6556953.04"/>
    <n v="1909061.87"/>
    <n v="1895674.85"/>
    <n v="18597"/>
  </r>
  <r>
    <x v="11"/>
    <x v="0"/>
    <s v="VIC"/>
    <s v="No agreement"/>
    <s v="100% MBS Fee to 125% MBS Fee"/>
    <n v="2709639.34"/>
    <n v="1799596.41"/>
    <n v="612321.05000000005"/>
    <n v="20935"/>
  </r>
  <r>
    <x v="11"/>
    <x v="0"/>
    <s v="VIC"/>
    <s v="No agreement"/>
    <s v="More than 125% MBS Fee to 150% MBS Fee"/>
    <n v="2890389.87"/>
    <n v="1588913.52"/>
    <n v="580381.42000000004"/>
    <n v="16683"/>
  </r>
  <r>
    <x v="11"/>
    <x v="0"/>
    <s v="VIC"/>
    <s v="No agreement"/>
    <s v="More than 150% MBS Fee to 200% MBS Fee"/>
    <n v="6843245.9900000002"/>
    <n v="2921883.04"/>
    <n v="1018263.76"/>
    <n v="47137"/>
  </r>
  <r>
    <x v="11"/>
    <x v="0"/>
    <s v="VIC"/>
    <s v="No agreement"/>
    <s v="More than 200% MBS Fee"/>
    <n v="12119088.619999999"/>
    <n v="3219751.55"/>
    <n v="1119004"/>
    <n v="28734"/>
  </r>
  <r>
    <x v="11"/>
    <x v="0"/>
    <s v="VIC"/>
    <s v="No agreement"/>
    <s v="Up to MBS Fee"/>
    <n v="14068934.41"/>
    <n v="10598029.1"/>
    <n v="3470887.36"/>
    <n v="161540"/>
  </r>
  <r>
    <x v="11"/>
    <x v="0"/>
    <s v="VIC"/>
    <s v="No gap agreement"/>
    <s v="100% MBS Fee to 125% MBS Fee"/>
    <n v="25605979.829999998"/>
    <n v="16566050.869999999"/>
    <n v="9039831.8599999994"/>
    <n v="328989"/>
  </r>
  <r>
    <x v="11"/>
    <x v="0"/>
    <s v="VIC"/>
    <s v="No gap agreement"/>
    <s v="More than 125% MBS Fee to 150% MBS Fee"/>
    <n v="57895920.649999999"/>
    <n v="32014547.59"/>
    <n v="25881312.859999999"/>
    <n v="350814"/>
  </r>
  <r>
    <x v="11"/>
    <x v="0"/>
    <s v="VIC"/>
    <s v="No gap agreement"/>
    <s v="More than 150% MBS Fee to 200% MBS Fee"/>
    <n v="39843076.909999996"/>
    <n v="18439433.960000001"/>
    <n v="21403544.879999999"/>
    <n v="262797"/>
  </r>
  <r>
    <x v="11"/>
    <x v="0"/>
    <s v="VIC"/>
    <s v="No gap agreement"/>
    <s v="More than 200% MBS Fee"/>
    <n v="2593565.02"/>
    <n v="732021.65"/>
    <n v="1861543.77"/>
    <n v="2542"/>
  </r>
  <r>
    <x v="11"/>
    <x v="0"/>
    <s v="VIC"/>
    <s v="No gap agreement"/>
    <s v="Up to MBS Fee"/>
    <n v="6096165.5599999996"/>
    <n v="4592455.96"/>
    <n v="1503703.6"/>
    <n v="103337"/>
  </r>
  <r>
    <x v="11"/>
    <x v="0"/>
    <s v="WA"/>
    <s v="Known gap agreement"/>
    <s v="100% MBS Fee to 125% MBS Fee"/>
    <n v="1380105.58"/>
    <n v="934793"/>
    <n v="412348.94"/>
    <n v="10010"/>
  </r>
  <r>
    <x v="11"/>
    <x v="0"/>
    <s v="WA"/>
    <s v="Known gap agreement"/>
    <s v="More than 125% MBS Fee to 150% MBS Fee"/>
    <n v="3017099.06"/>
    <n v="1642650.35"/>
    <n v="1107161.97"/>
    <n v="13137"/>
  </r>
  <r>
    <x v="11"/>
    <x v="0"/>
    <s v="WA"/>
    <s v="Known gap agreement"/>
    <s v="More than 150% MBS Fee to 200% MBS Fee"/>
    <n v="4975502.26"/>
    <n v="2195220.85"/>
    <n v="1578889.54"/>
    <n v="19290"/>
  </r>
  <r>
    <x v="11"/>
    <x v="0"/>
    <s v="WA"/>
    <s v="Known gap agreement"/>
    <s v="More than 200% MBS Fee"/>
    <n v="7948363.7800000003"/>
    <n v="1778020.6"/>
    <n v="1414964.73"/>
    <n v="18015"/>
  </r>
  <r>
    <x v="11"/>
    <x v="0"/>
    <s v="WA"/>
    <s v="No agreement"/>
    <s v="100% MBS Fee to 125% MBS Fee"/>
    <n v="543439.12"/>
    <n v="354127.29"/>
    <n v="120691.69"/>
    <n v="3961"/>
  </r>
  <r>
    <x v="11"/>
    <x v="0"/>
    <s v="WA"/>
    <s v="No agreement"/>
    <s v="More than 125% MBS Fee to 150% MBS Fee"/>
    <n v="1431258.92"/>
    <n v="783448.51"/>
    <n v="268421.73"/>
    <n v="11037"/>
  </r>
  <r>
    <x v="11"/>
    <x v="0"/>
    <s v="WA"/>
    <s v="No agreement"/>
    <s v="More than 150% MBS Fee to 200% MBS Fee"/>
    <n v="1725948.65"/>
    <n v="751447.09"/>
    <n v="258198.48"/>
    <n v="15180"/>
  </r>
  <r>
    <x v="11"/>
    <x v="0"/>
    <s v="WA"/>
    <s v="No agreement"/>
    <s v="More than 200% MBS Fee"/>
    <n v="2434811.04"/>
    <n v="558253.5"/>
    <n v="191118.44"/>
    <n v="4532"/>
  </r>
  <r>
    <x v="11"/>
    <x v="0"/>
    <s v="WA"/>
    <s v="No agreement"/>
    <s v="Up to MBS Fee"/>
    <n v="1347183.06"/>
    <n v="1015159.67"/>
    <n v="332023.39"/>
    <n v="26784"/>
  </r>
  <r>
    <x v="11"/>
    <x v="0"/>
    <s v="WA"/>
    <s v="No gap agreement"/>
    <s v="100% MBS Fee to 125% MBS Fee"/>
    <n v="7987565.4199999999"/>
    <n v="5108652.8"/>
    <n v="2878905.05"/>
    <n v="94699"/>
  </r>
  <r>
    <x v="11"/>
    <x v="0"/>
    <s v="WA"/>
    <s v="No gap agreement"/>
    <s v="More than 125% MBS Fee to 150% MBS Fee"/>
    <n v="16907037.440000001"/>
    <n v="9394683.8699999992"/>
    <n v="7512345.5899999999"/>
    <n v="69080"/>
  </r>
  <r>
    <x v="11"/>
    <x v="0"/>
    <s v="WA"/>
    <s v="No gap agreement"/>
    <s v="More than 150% MBS Fee to 200% MBS Fee"/>
    <n v="14812071.07"/>
    <n v="6600819.0499999998"/>
    <n v="8211247.5999999996"/>
    <n v="95933"/>
  </r>
  <r>
    <x v="11"/>
    <x v="0"/>
    <s v="WA"/>
    <s v="No gap agreement"/>
    <s v="More than 200% MBS Fee"/>
    <n v="2104528.33"/>
    <n v="493251.15"/>
    <n v="1611276.78"/>
    <n v="1671"/>
  </r>
  <r>
    <x v="11"/>
    <x v="0"/>
    <s v="WA"/>
    <s v="No gap agreement"/>
    <s v="Up to MBS Fee"/>
    <n v="986314.06"/>
    <n v="747327.54"/>
    <n v="238986.47"/>
    <n v="15473"/>
  </r>
  <r>
    <x v="11"/>
    <x v="2"/>
    <s v="ACT"/>
    <s v="Known gap agreement"/>
    <s v="100% MBS Fee to 125% MBS Fee"/>
    <n v="0"/>
    <n v="0"/>
    <n v="0"/>
    <n v="0"/>
  </r>
  <r>
    <x v="11"/>
    <x v="2"/>
    <s v="ACT"/>
    <s v="Known gap agreement"/>
    <s v="More than 125% MBS Fee to 150% MBS Fee"/>
    <n v="0"/>
    <n v="0"/>
    <n v="0"/>
    <n v="0"/>
  </r>
  <r>
    <x v="11"/>
    <x v="2"/>
    <s v="ACT"/>
    <s v="Known gap agreement"/>
    <s v="More than 150% MBS Fee to 200% MBS Fee"/>
    <n v="0"/>
    <n v="0"/>
    <n v="0"/>
    <n v="0"/>
  </r>
  <r>
    <x v="11"/>
    <x v="2"/>
    <s v="ACT"/>
    <s v="Known gap agreement"/>
    <s v="More than 200% MBS Fee"/>
    <n v="0"/>
    <n v="0"/>
    <n v="0"/>
    <n v="0"/>
  </r>
  <r>
    <x v="11"/>
    <x v="2"/>
    <s v="ACT"/>
    <s v="No agreement"/>
    <s v="100% MBS Fee to 125% MBS Fee"/>
    <n v="0"/>
    <n v="0"/>
    <n v="0"/>
    <n v="0"/>
  </r>
  <r>
    <x v="11"/>
    <x v="2"/>
    <s v="ACT"/>
    <s v="No agreement"/>
    <s v="More than 125% MBS Fee to 150% MBS Fee"/>
    <n v="0"/>
    <n v="0"/>
    <n v="0"/>
    <n v="0"/>
  </r>
  <r>
    <x v="11"/>
    <x v="2"/>
    <s v="ACT"/>
    <s v="No agreement"/>
    <s v="More than 150% MBS Fee to 200% MBS Fee"/>
    <n v="0"/>
    <n v="0"/>
    <n v="0"/>
    <n v="0"/>
  </r>
  <r>
    <x v="11"/>
    <x v="2"/>
    <s v="ACT"/>
    <s v="No agreement"/>
    <s v="More than 200% MBS Fee"/>
    <n v="0"/>
    <n v="0"/>
    <n v="0"/>
    <n v="0"/>
  </r>
  <r>
    <x v="11"/>
    <x v="2"/>
    <s v="ACT"/>
    <s v="No agreement"/>
    <s v="Up to MBS Fee"/>
    <n v="0"/>
    <n v="0"/>
    <n v="0"/>
    <n v="0"/>
  </r>
  <r>
    <x v="11"/>
    <x v="2"/>
    <s v="ACT"/>
    <s v="No gap agreement"/>
    <s v="100% MBS Fee to 125% MBS Fee"/>
    <n v="0"/>
    <n v="0"/>
    <n v="0"/>
    <n v="0"/>
  </r>
  <r>
    <x v="11"/>
    <x v="2"/>
    <s v="ACT"/>
    <s v="No gap agreement"/>
    <s v="More than 125% MBS Fee to 150% MBS Fee"/>
    <n v="0"/>
    <n v="0"/>
    <n v="0"/>
    <n v="0"/>
  </r>
  <r>
    <x v="11"/>
    <x v="2"/>
    <s v="ACT"/>
    <s v="No gap agreement"/>
    <s v="More than 150% MBS Fee to 200% MBS Fee"/>
    <n v="0"/>
    <n v="0"/>
    <n v="0"/>
    <n v="0"/>
  </r>
  <r>
    <x v="11"/>
    <x v="2"/>
    <s v="ACT"/>
    <s v="No gap agreement"/>
    <s v="More than 200% MBS Fee"/>
    <n v="0"/>
    <n v="0"/>
    <n v="0"/>
    <n v="0"/>
  </r>
  <r>
    <x v="11"/>
    <x v="2"/>
    <s v="ACT"/>
    <s v="No gap agreement"/>
    <s v="Up to MBS Fee"/>
    <n v="0"/>
    <n v="0"/>
    <n v="0"/>
    <n v="0"/>
  </r>
  <r>
    <x v="11"/>
    <x v="2"/>
    <s v="NSW"/>
    <s v="Known gap agreement"/>
    <s v="100% MBS Fee to 125% MBS Fee"/>
    <n v="715350.34"/>
    <n v="471039.26"/>
    <n v="209263.42"/>
    <n v="4476"/>
  </r>
  <r>
    <x v="11"/>
    <x v="2"/>
    <s v="NSW"/>
    <s v="Known gap agreement"/>
    <s v="More than 125% MBS Fee to 150% MBS Fee"/>
    <n v="1682558.58"/>
    <n v="917514.47"/>
    <n v="618313.87"/>
    <n v="7327"/>
  </r>
  <r>
    <x v="11"/>
    <x v="2"/>
    <s v="NSW"/>
    <s v="Known gap agreement"/>
    <s v="More than 150% MBS Fee to 200% MBS Fee"/>
    <n v="3938854.38"/>
    <n v="1717503.54"/>
    <n v="1541156.8"/>
    <n v="14899"/>
  </r>
  <r>
    <x v="11"/>
    <x v="2"/>
    <s v="NSW"/>
    <s v="Known gap agreement"/>
    <s v="More than 200% MBS Fee"/>
    <n v="6206543.2999999998"/>
    <n v="1683676.12"/>
    <n v="1591930.36"/>
    <n v="16144"/>
  </r>
  <r>
    <x v="11"/>
    <x v="2"/>
    <s v="NSW"/>
    <s v="No agreement"/>
    <s v="100% MBS Fee to 125% MBS Fee"/>
    <n v="3353243.21"/>
    <n v="2228399.9"/>
    <n v="740845.07"/>
    <n v="17883"/>
  </r>
  <r>
    <x v="11"/>
    <x v="2"/>
    <s v="NSW"/>
    <s v="No agreement"/>
    <s v="More than 125% MBS Fee to 150% MBS Fee"/>
    <n v="5157344.4400000004"/>
    <n v="2834693.74"/>
    <n v="928594.68"/>
    <n v="37272"/>
  </r>
  <r>
    <x v="11"/>
    <x v="2"/>
    <s v="NSW"/>
    <s v="No agreement"/>
    <s v="More than 150% MBS Fee to 200% MBS Fee"/>
    <n v="16299970.18"/>
    <n v="6902229.3099999996"/>
    <n v="2313301.36"/>
    <n v="65269"/>
  </r>
  <r>
    <x v="11"/>
    <x v="2"/>
    <s v="NSW"/>
    <s v="No agreement"/>
    <s v="More than 200% MBS Fee"/>
    <n v="63158771.259999998"/>
    <n v="17263226.48"/>
    <n v="5823116.6699999999"/>
    <n v="134100"/>
  </r>
  <r>
    <x v="11"/>
    <x v="2"/>
    <s v="NSW"/>
    <s v="No agreement"/>
    <s v="Up to MBS Fee"/>
    <n v="21054580.59"/>
    <n v="15931601.08"/>
    <n v="5120838.28"/>
    <n v="334773"/>
  </r>
  <r>
    <x v="11"/>
    <x v="2"/>
    <s v="NSW"/>
    <s v="No gap agreement"/>
    <s v="100% MBS Fee to 125% MBS Fee"/>
    <n v="24610366.43"/>
    <n v="15822734.119999999"/>
    <n v="8787504.7899999991"/>
    <n v="307785"/>
  </r>
  <r>
    <x v="11"/>
    <x v="2"/>
    <s v="NSW"/>
    <s v="No gap agreement"/>
    <s v="More than 125% MBS Fee to 150% MBS Fee"/>
    <n v="46750243.469999999"/>
    <n v="25635678.510000002"/>
    <n v="21114330.300000001"/>
    <n v="219537"/>
  </r>
  <r>
    <x v="11"/>
    <x v="2"/>
    <s v="NSW"/>
    <s v="No gap agreement"/>
    <s v="More than 150% MBS Fee to 200% MBS Fee"/>
    <n v="33257416.079999998"/>
    <n v="15550483"/>
    <n v="17706683.34"/>
    <n v="220265"/>
  </r>
  <r>
    <x v="11"/>
    <x v="2"/>
    <s v="NSW"/>
    <s v="No gap agreement"/>
    <s v="More than 200% MBS Fee"/>
    <n v="3773216.17"/>
    <n v="1114533.6000000001"/>
    <n v="2658683.4900000002"/>
    <n v="4613"/>
  </r>
  <r>
    <x v="11"/>
    <x v="2"/>
    <s v="NSW"/>
    <s v="No gap agreement"/>
    <s v="Up to MBS Fee"/>
    <n v="6126503.75"/>
    <n v="4609776.63"/>
    <n v="1516759.93"/>
    <n v="138283"/>
  </r>
  <r>
    <x v="11"/>
    <x v="2"/>
    <s v="NT"/>
    <s v="Known gap agreement"/>
    <s v="100% MBS Fee to 125% MBS Fee"/>
    <n v="9265.56"/>
    <n v="5820.2"/>
    <n v="2566.35"/>
    <n v="47"/>
  </r>
  <r>
    <x v="11"/>
    <x v="2"/>
    <s v="NT"/>
    <s v="Known gap agreement"/>
    <s v="More than 125% MBS Fee to 150% MBS Fee"/>
    <n v="33135.35"/>
    <n v="17628.849999999999"/>
    <n v="12696.7"/>
    <n v="118"/>
  </r>
  <r>
    <x v="11"/>
    <x v="2"/>
    <s v="NT"/>
    <s v="Known gap agreement"/>
    <s v="More than 150% MBS Fee to 200% MBS Fee"/>
    <n v="76505.98"/>
    <n v="33385.75"/>
    <n v="30632.06"/>
    <n v="139"/>
  </r>
  <r>
    <x v="11"/>
    <x v="2"/>
    <s v="NT"/>
    <s v="Known gap agreement"/>
    <s v="More than 200% MBS Fee"/>
    <n v="164487.04000000001"/>
    <n v="46329.75"/>
    <n v="47290.65"/>
    <n v="454"/>
  </r>
  <r>
    <x v="11"/>
    <x v="2"/>
    <s v="NT"/>
    <s v="No agreement"/>
    <s v="100% MBS Fee to 125% MBS Fee"/>
    <n v="47170.97"/>
    <n v="31735.15"/>
    <n v="10561.1"/>
    <n v="288"/>
  </r>
  <r>
    <x v="11"/>
    <x v="2"/>
    <s v="NT"/>
    <s v="No agreement"/>
    <s v="More than 125% MBS Fee to 150% MBS Fee"/>
    <n v="70778.67"/>
    <n v="38160.050000000003"/>
    <n v="14105.28"/>
    <n v="283"/>
  </r>
  <r>
    <x v="11"/>
    <x v="2"/>
    <s v="NT"/>
    <s v="No agreement"/>
    <s v="More than 150% MBS Fee to 200% MBS Fee"/>
    <n v="149859.5"/>
    <n v="63300.84"/>
    <n v="21723.57"/>
    <n v="1085"/>
  </r>
  <r>
    <x v="11"/>
    <x v="2"/>
    <s v="NT"/>
    <s v="No agreement"/>
    <s v="More than 200% MBS Fee"/>
    <n v="590708.32999999996"/>
    <n v="160275.20000000001"/>
    <n v="53823.9"/>
    <n v="1340"/>
  </r>
  <r>
    <x v="11"/>
    <x v="2"/>
    <s v="NT"/>
    <s v="No agreement"/>
    <s v="Up to MBS Fee"/>
    <n v="236601.64"/>
    <n v="178907.7"/>
    <n v="57693.94"/>
    <n v="2648"/>
  </r>
  <r>
    <x v="11"/>
    <x v="2"/>
    <s v="NT"/>
    <s v="No gap agreement"/>
    <s v="100% MBS Fee to 125% MBS Fee"/>
    <n v="260937.29"/>
    <n v="169314.35"/>
    <n v="91622.64"/>
    <n v="3021"/>
  </r>
  <r>
    <x v="11"/>
    <x v="2"/>
    <s v="NT"/>
    <s v="No gap agreement"/>
    <s v="More than 125% MBS Fee to 150% MBS Fee"/>
    <n v="774637.15"/>
    <n v="422357.99"/>
    <n v="352276.26"/>
    <n v="2899"/>
  </r>
  <r>
    <x v="11"/>
    <x v="2"/>
    <s v="NT"/>
    <s v="No gap agreement"/>
    <s v="More than 150% MBS Fee to 200% MBS Fee"/>
    <n v="528792.6"/>
    <n v="244659.4"/>
    <n v="284128.55"/>
    <n v="3213"/>
  </r>
  <r>
    <x v="11"/>
    <x v="2"/>
    <s v="NT"/>
    <s v="No gap agreement"/>
    <s v="More than 200% MBS Fee"/>
    <n v="66217.100000000006"/>
    <n v="18953.349999999999"/>
    <n v="47263.75"/>
    <n v="67"/>
  </r>
  <r>
    <x v="11"/>
    <x v="2"/>
    <s v="NT"/>
    <s v="No gap agreement"/>
    <s v="Up to MBS Fee"/>
    <n v="52397.7"/>
    <n v="39520.050000000003"/>
    <n v="12877.65"/>
    <n v="493"/>
  </r>
  <r>
    <x v="11"/>
    <x v="2"/>
    <s v="QLD"/>
    <s v="Known gap agreement"/>
    <s v="100% MBS Fee to 125% MBS Fee"/>
    <n v="488582.15"/>
    <n v="320549.8"/>
    <n v="145094.62"/>
    <n v="3572"/>
  </r>
  <r>
    <x v="11"/>
    <x v="2"/>
    <s v="QLD"/>
    <s v="Known gap agreement"/>
    <s v="More than 125% MBS Fee to 150% MBS Fee"/>
    <n v="1335126.32"/>
    <n v="717472.4"/>
    <n v="504895.22"/>
    <n v="6490"/>
  </r>
  <r>
    <x v="11"/>
    <x v="2"/>
    <s v="QLD"/>
    <s v="Known gap agreement"/>
    <s v="More than 150% MBS Fee to 200% MBS Fee"/>
    <n v="4712540.6100000003"/>
    <n v="2013752.9"/>
    <n v="1850732.14"/>
    <n v="12963"/>
  </r>
  <r>
    <x v="11"/>
    <x v="2"/>
    <s v="QLD"/>
    <s v="Known gap agreement"/>
    <s v="More than 200% MBS Fee"/>
    <n v="7496696.0999999996"/>
    <n v="2163765.25"/>
    <n v="2371718.75"/>
    <n v="23176"/>
  </r>
  <r>
    <x v="11"/>
    <x v="2"/>
    <s v="QLD"/>
    <s v="No agreement"/>
    <s v="100% MBS Fee to 125% MBS Fee"/>
    <n v="2536658.5099999998"/>
    <n v="1690793.46"/>
    <n v="562447.76"/>
    <n v="16163"/>
  </r>
  <r>
    <x v="11"/>
    <x v="2"/>
    <s v="QLD"/>
    <s v="No agreement"/>
    <s v="More than 125% MBS Fee to 150% MBS Fee"/>
    <n v="5244039.6399999997"/>
    <n v="2856234.66"/>
    <n v="961985.03"/>
    <n v="33338"/>
  </r>
  <r>
    <x v="11"/>
    <x v="2"/>
    <s v="QLD"/>
    <s v="No agreement"/>
    <s v="More than 150% MBS Fee to 200% MBS Fee"/>
    <n v="10585580.619999999"/>
    <n v="4507527.41"/>
    <n v="1505053.1"/>
    <n v="42731"/>
  </r>
  <r>
    <x v="11"/>
    <x v="2"/>
    <s v="QLD"/>
    <s v="No agreement"/>
    <s v="More than 200% MBS Fee"/>
    <n v="19936268.010000002"/>
    <n v="5759594.9400000004"/>
    <n v="1930255.66"/>
    <n v="51291"/>
  </r>
  <r>
    <x v="11"/>
    <x v="2"/>
    <s v="QLD"/>
    <s v="No agreement"/>
    <s v="Up to MBS Fee"/>
    <n v="7194167.46"/>
    <n v="5479713.25"/>
    <n v="1714107.11"/>
    <n v="95482"/>
  </r>
  <r>
    <x v="11"/>
    <x v="2"/>
    <s v="QLD"/>
    <s v="No gap agreement"/>
    <s v="100% MBS Fee to 125% MBS Fee"/>
    <n v="24257667.940000001"/>
    <n v="15791430.970000001"/>
    <n v="8466213.5600000005"/>
    <n v="396752"/>
  </r>
  <r>
    <x v="11"/>
    <x v="2"/>
    <s v="QLD"/>
    <s v="No gap agreement"/>
    <s v="More than 125% MBS Fee to 150% MBS Fee"/>
    <n v="39731968.670000002"/>
    <n v="22012735.670000002"/>
    <n v="17719209.34"/>
    <n v="236884"/>
  </r>
  <r>
    <x v="11"/>
    <x v="2"/>
    <s v="QLD"/>
    <s v="No gap agreement"/>
    <s v="More than 150% MBS Fee to 200% MBS Fee"/>
    <n v="23035045.870000001"/>
    <n v="10849098.49"/>
    <n v="12185910.07"/>
    <n v="164881"/>
  </r>
  <r>
    <x v="11"/>
    <x v="2"/>
    <s v="QLD"/>
    <s v="No gap agreement"/>
    <s v="More than 200% MBS Fee"/>
    <n v="3465880.17"/>
    <n v="995967.65"/>
    <n v="2469911.7000000002"/>
    <n v="3748"/>
  </r>
  <r>
    <x v="11"/>
    <x v="2"/>
    <s v="QLD"/>
    <s v="No gap agreement"/>
    <s v="Up to MBS Fee"/>
    <n v="1780211.16"/>
    <n v="1344882.47"/>
    <n v="435327.44"/>
    <n v="33590"/>
  </r>
  <r>
    <x v="11"/>
    <x v="2"/>
    <s v="SA"/>
    <s v="Known gap agreement"/>
    <s v="100% MBS Fee to 125% MBS Fee"/>
    <n v="1575287.24"/>
    <n v="1020426.75"/>
    <n v="487295.83"/>
    <n v="11831"/>
  </r>
  <r>
    <x v="11"/>
    <x v="2"/>
    <s v="SA"/>
    <s v="Known gap agreement"/>
    <s v="More than 125% MBS Fee to 150% MBS Fee"/>
    <n v="2150327.91"/>
    <n v="1167903.05"/>
    <n v="899345.72"/>
    <n v="8414"/>
  </r>
  <r>
    <x v="11"/>
    <x v="2"/>
    <s v="SA"/>
    <s v="Known gap agreement"/>
    <s v="More than 150% MBS Fee to 200% MBS Fee"/>
    <n v="2311088.35"/>
    <n v="1055409.8999999999"/>
    <n v="1097478.29"/>
    <n v="9148"/>
  </r>
  <r>
    <x v="11"/>
    <x v="2"/>
    <s v="SA"/>
    <s v="Known gap agreement"/>
    <s v="More than 200% MBS Fee"/>
    <n v="1081758.8799999999"/>
    <n v="278238.25"/>
    <n v="356704.8"/>
    <n v="2447"/>
  </r>
  <r>
    <x v="11"/>
    <x v="2"/>
    <s v="SA"/>
    <s v="No agreement"/>
    <s v="100% MBS Fee to 125% MBS Fee"/>
    <n v="464391.2"/>
    <n v="304957.5"/>
    <n v="105369.77"/>
    <n v="4155"/>
  </r>
  <r>
    <x v="11"/>
    <x v="2"/>
    <s v="SA"/>
    <s v="No agreement"/>
    <s v="More than 125% MBS Fee to 150% MBS Fee"/>
    <n v="706875.99"/>
    <n v="383124.33"/>
    <n v="141506.79999999999"/>
    <n v="5424"/>
  </r>
  <r>
    <x v="11"/>
    <x v="2"/>
    <s v="SA"/>
    <s v="No agreement"/>
    <s v="More than 150% MBS Fee to 200% MBS Fee"/>
    <n v="647817.86"/>
    <n v="280261.15999999997"/>
    <n v="104494.79"/>
    <n v="3768"/>
  </r>
  <r>
    <x v="11"/>
    <x v="2"/>
    <s v="SA"/>
    <s v="No agreement"/>
    <s v="More than 200% MBS Fee"/>
    <n v="929960.04"/>
    <n v="257891.01"/>
    <n v="96825.31"/>
    <n v="2519"/>
  </r>
  <r>
    <x v="11"/>
    <x v="2"/>
    <s v="SA"/>
    <s v="No agreement"/>
    <s v="Up to MBS Fee"/>
    <n v="6800098.8300000001"/>
    <n v="5108747.6900000004"/>
    <n v="1691114.99"/>
    <n v="57804"/>
  </r>
  <r>
    <x v="11"/>
    <x v="2"/>
    <s v="SA"/>
    <s v="No gap agreement"/>
    <s v="100% MBS Fee to 125% MBS Fee"/>
    <n v="7897186.5300000003"/>
    <n v="5252744.92"/>
    <n v="2644425.9"/>
    <n v="144169"/>
  </r>
  <r>
    <x v="11"/>
    <x v="2"/>
    <s v="SA"/>
    <s v="No gap agreement"/>
    <s v="More than 125% MBS Fee to 150% MBS Fee"/>
    <n v="17985170.489999998"/>
    <n v="9858436.6500000004"/>
    <n v="8126720.54"/>
    <n v="84521"/>
  </r>
  <r>
    <x v="11"/>
    <x v="2"/>
    <s v="SA"/>
    <s v="No gap agreement"/>
    <s v="More than 150% MBS Fee to 200% MBS Fee"/>
    <n v="14240429.720000001"/>
    <n v="6599967.1500000004"/>
    <n v="7640436.4000000004"/>
    <n v="75551"/>
  </r>
  <r>
    <x v="11"/>
    <x v="2"/>
    <s v="SA"/>
    <s v="No gap agreement"/>
    <s v="More than 200% MBS Fee"/>
    <n v="937260.37"/>
    <n v="247073.85"/>
    <n v="690186.52"/>
    <n v="771"/>
  </r>
  <r>
    <x v="11"/>
    <x v="2"/>
    <s v="SA"/>
    <s v="No gap agreement"/>
    <s v="Up to MBS Fee"/>
    <n v="1930978.14"/>
    <n v="1453165.74"/>
    <n v="478008.2"/>
    <n v="19968"/>
  </r>
  <r>
    <x v="11"/>
    <x v="2"/>
    <s v="TAS"/>
    <s v="Known gap agreement"/>
    <s v="100% MBS Fee to 125% MBS Fee"/>
    <n v="74227.100000000006"/>
    <n v="50443.65"/>
    <n v="20223.41"/>
    <n v="370"/>
  </r>
  <r>
    <x v="11"/>
    <x v="2"/>
    <s v="TAS"/>
    <s v="Known gap agreement"/>
    <s v="More than 125% MBS Fee to 150% MBS Fee"/>
    <n v="97717.36"/>
    <n v="53029"/>
    <n v="38583.56"/>
    <n v="394"/>
  </r>
  <r>
    <x v="11"/>
    <x v="2"/>
    <s v="TAS"/>
    <s v="Known gap agreement"/>
    <s v="More than 150% MBS Fee to 200% MBS Fee"/>
    <n v="347947.25"/>
    <n v="149324.5"/>
    <n v="151606.63"/>
    <n v="1300"/>
  </r>
  <r>
    <x v="11"/>
    <x v="2"/>
    <s v="TAS"/>
    <s v="Known gap agreement"/>
    <s v="More than 200% MBS Fee"/>
    <n v="625635.42000000004"/>
    <n v="192604.1"/>
    <n v="212167.42"/>
    <n v="2109"/>
  </r>
  <r>
    <x v="11"/>
    <x v="2"/>
    <s v="TAS"/>
    <s v="No agreement"/>
    <s v="100% MBS Fee to 125% MBS Fee"/>
    <n v="255477.32"/>
    <n v="167206.60999999999"/>
    <n v="53745.86"/>
    <n v="1691"/>
  </r>
  <r>
    <x v="11"/>
    <x v="2"/>
    <s v="TAS"/>
    <s v="No agreement"/>
    <s v="More than 125% MBS Fee to 150% MBS Fee"/>
    <n v="254923.66"/>
    <n v="140571.65"/>
    <n v="46443.91"/>
    <n v="1065"/>
  </r>
  <r>
    <x v="11"/>
    <x v="2"/>
    <s v="TAS"/>
    <s v="No agreement"/>
    <s v="More than 150% MBS Fee to 200% MBS Fee"/>
    <n v="435981.3"/>
    <n v="187528.6"/>
    <n v="61512.65"/>
    <n v="2311"/>
  </r>
  <r>
    <x v="11"/>
    <x v="2"/>
    <s v="TAS"/>
    <s v="No agreement"/>
    <s v="More than 200% MBS Fee"/>
    <n v="1350206.75"/>
    <n v="340406.85"/>
    <n v="123493.12"/>
    <n v="2957"/>
  </r>
  <r>
    <x v="11"/>
    <x v="2"/>
    <s v="TAS"/>
    <s v="No agreement"/>
    <s v="Up to MBS Fee"/>
    <n v="1398427.19"/>
    <n v="1054471.3500000001"/>
    <n v="343955.84"/>
    <n v="18161"/>
  </r>
  <r>
    <x v="11"/>
    <x v="2"/>
    <s v="TAS"/>
    <s v="No gap agreement"/>
    <s v="100% MBS Fee to 125% MBS Fee"/>
    <n v="2168589.94"/>
    <n v="1423325.08"/>
    <n v="745264.86"/>
    <n v="28435"/>
  </r>
  <r>
    <x v="11"/>
    <x v="2"/>
    <s v="TAS"/>
    <s v="No gap agreement"/>
    <s v="More than 125% MBS Fee to 150% MBS Fee"/>
    <n v="4133039.57"/>
    <n v="2259765.35"/>
    <n v="1873273.76"/>
    <n v="15643"/>
  </r>
  <r>
    <x v="11"/>
    <x v="2"/>
    <s v="TAS"/>
    <s v="No gap agreement"/>
    <s v="More than 150% MBS Fee to 200% MBS Fee"/>
    <n v="2926230.93"/>
    <n v="1361348.8"/>
    <n v="1564882.13"/>
    <n v="20083"/>
  </r>
  <r>
    <x v="11"/>
    <x v="2"/>
    <s v="TAS"/>
    <s v="No gap agreement"/>
    <s v="More than 200% MBS Fee"/>
    <n v="329324.45"/>
    <n v="93664.05"/>
    <n v="235660.4"/>
    <n v="322"/>
  </r>
  <r>
    <x v="11"/>
    <x v="2"/>
    <s v="TAS"/>
    <s v="No gap agreement"/>
    <s v="Up to MBS Fee"/>
    <n v="123994.49"/>
    <n v="94810.64"/>
    <n v="29183.85"/>
    <n v="1718"/>
  </r>
  <r>
    <x v="11"/>
    <x v="2"/>
    <s v="VIC"/>
    <s v="Known gap agreement"/>
    <s v="100% MBS Fee to 125% MBS Fee"/>
    <n v="2220809.2999999998"/>
    <n v="1458709.75"/>
    <n v="667336.78"/>
    <n v="11540"/>
  </r>
  <r>
    <x v="11"/>
    <x v="2"/>
    <s v="VIC"/>
    <s v="Known gap agreement"/>
    <s v="More than 125% MBS Fee to 150% MBS Fee"/>
    <n v="3579844.64"/>
    <n v="1947504.2"/>
    <n v="1302702.33"/>
    <n v="14535"/>
  </r>
  <r>
    <x v="11"/>
    <x v="2"/>
    <s v="VIC"/>
    <s v="Known gap agreement"/>
    <s v="More than 150% MBS Fee to 200% MBS Fee"/>
    <n v="7630360.7000000002"/>
    <n v="3298960.85"/>
    <n v="2930581.48"/>
    <n v="32991"/>
  </r>
  <r>
    <x v="11"/>
    <x v="2"/>
    <s v="VIC"/>
    <s v="Known gap agreement"/>
    <s v="More than 200% MBS Fee"/>
    <n v="6898855.54"/>
    <n v="2010830.05"/>
    <n v="2006147.92"/>
    <n v="20225"/>
  </r>
  <r>
    <x v="11"/>
    <x v="2"/>
    <s v="VIC"/>
    <s v="No agreement"/>
    <s v="100% MBS Fee to 125% MBS Fee"/>
    <n v="2733060.34"/>
    <n v="1807212.67"/>
    <n v="602731.99"/>
    <n v="22539"/>
  </r>
  <r>
    <x v="11"/>
    <x v="2"/>
    <s v="VIC"/>
    <s v="No agreement"/>
    <s v="More than 125% MBS Fee to 150% MBS Fee"/>
    <n v="2779596.07"/>
    <n v="1525821.85"/>
    <n v="525420.31000000006"/>
    <n v="15689"/>
  </r>
  <r>
    <x v="11"/>
    <x v="2"/>
    <s v="VIC"/>
    <s v="No agreement"/>
    <s v="More than 150% MBS Fee to 200% MBS Fee"/>
    <n v="7123770.4199999999"/>
    <n v="3051290.26"/>
    <n v="1025509.47"/>
    <n v="48845"/>
  </r>
  <r>
    <x v="11"/>
    <x v="2"/>
    <s v="VIC"/>
    <s v="No agreement"/>
    <s v="More than 200% MBS Fee"/>
    <n v="11427080.359999999"/>
    <n v="3082751.14"/>
    <n v="1053430.5"/>
    <n v="27255"/>
  </r>
  <r>
    <x v="11"/>
    <x v="2"/>
    <s v="VIC"/>
    <s v="No agreement"/>
    <s v="Up to MBS Fee"/>
    <n v="14332827.77"/>
    <n v="10794909.01"/>
    <n v="3537751.16"/>
    <n v="171261"/>
  </r>
  <r>
    <x v="11"/>
    <x v="2"/>
    <s v="VIC"/>
    <s v="No gap agreement"/>
    <s v="100% MBS Fee to 125% MBS Fee"/>
    <n v="24307307.77"/>
    <n v="15764964.119999999"/>
    <n v="8542313.3599999994"/>
    <n v="309464"/>
  </r>
  <r>
    <x v="11"/>
    <x v="2"/>
    <s v="VIC"/>
    <s v="No gap agreement"/>
    <s v="More than 125% MBS Fee to 150% MBS Fee"/>
    <n v="56228321.090000004"/>
    <n v="31140236.870000001"/>
    <n v="25088033.02"/>
    <n v="340154"/>
  </r>
  <r>
    <x v="11"/>
    <x v="2"/>
    <s v="VIC"/>
    <s v="No gap agreement"/>
    <s v="More than 150% MBS Fee to 200% MBS Fee"/>
    <n v="34684568.710000001"/>
    <n v="16117064.24"/>
    <n v="18567425.649999999"/>
    <n v="240711"/>
  </r>
  <r>
    <x v="11"/>
    <x v="2"/>
    <s v="VIC"/>
    <s v="No gap agreement"/>
    <s v="More than 200% MBS Fee"/>
    <n v="2330178.9500000002"/>
    <n v="662873.77"/>
    <n v="1667305.18"/>
    <n v="2316"/>
  </r>
  <r>
    <x v="11"/>
    <x v="2"/>
    <s v="VIC"/>
    <s v="No gap agreement"/>
    <s v="Up to MBS Fee"/>
    <n v="5482583.3399999999"/>
    <n v="4133761.19"/>
    <n v="1348822.17"/>
    <n v="91846"/>
  </r>
  <r>
    <x v="11"/>
    <x v="2"/>
    <s v="WA"/>
    <s v="Known gap agreement"/>
    <s v="100% MBS Fee to 125% MBS Fee"/>
    <n v="1311288.8400000001"/>
    <n v="883553.05"/>
    <n v="382084.58"/>
    <n v="10289"/>
  </r>
  <r>
    <x v="11"/>
    <x v="2"/>
    <s v="WA"/>
    <s v="Known gap agreement"/>
    <s v="More than 125% MBS Fee to 150% MBS Fee"/>
    <n v="3053042.14"/>
    <n v="1661907.87"/>
    <n v="1102019.6200000001"/>
    <n v="13057"/>
  </r>
  <r>
    <x v="11"/>
    <x v="2"/>
    <s v="WA"/>
    <s v="Known gap agreement"/>
    <s v="More than 150% MBS Fee to 200% MBS Fee"/>
    <n v="5335888.3899999997"/>
    <n v="2358841.2999999998"/>
    <n v="1698832.53"/>
    <n v="22532"/>
  </r>
  <r>
    <x v="11"/>
    <x v="2"/>
    <s v="WA"/>
    <s v="Known gap agreement"/>
    <s v="More than 200% MBS Fee"/>
    <n v="7147045.0099999998"/>
    <n v="1835598.25"/>
    <n v="1423818.43"/>
    <n v="19744"/>
  </r>
  <r>
    <x v="11"/>
    <x v="2"/>
    <s v="WA"/>
    <s v="No agreement"/>
    <s v="100% MBS Fee to 125% MBS Fee"/>
    <n v="617005.17000000004"/>
    <n v="398510.54"/>
    <n v="136245.14000000001"/>
    <n v="3678"/>
  </r>
  <r>
    <x v="11"/>
    <x v="2"/>
    <s v="WA"/>
    <s v="No agreement"/>
    <s v="More than 125% MBS Fee to 150% MBS Fee"/>
    <n v="1268553.94"/>
    <n v="687852.08"/>
    <n v="240907.82"/>
    <n v="7720"/>
  </r>
  <r>
    <x v="11"/>
    <x v="2"/>
    <s v="WA"/>
    <s v="No agreement"/>
    <s v="More than 150% MBS Fee to 200% MBS Fee"/>
    <n v="1611021.12"/>
    <n v="715990.15"/>
    <n v="253546.79"/>
    <n v="16199"/>
  </r>
  <r>
    <x v="11"/>
    <x v="2"/>
    <s v="WA"/>
    <s v="No agreement"/>
    <s v="More than 200% MBS Fee"/>
    <n v="1829548.73"/>
    <n v="446479.37"/>
    <n v="167988.39"/>
    <n v="3787"/>
  </r>
  <r>
    <x v="11"/>
    <x v="2"/>
    <s v="WA"/>
    <s v="No agreement"/>
    <s v="Up to MBS Fee"/>
    <n v="1460744.49"/>
    <n v="1099598.6399999999"/>
    <n v="361145.85"/>
    <n v="27942"/>
  </r>
  <r>
    <x v="11"/>
    <x v="2"/>
    <s v="WA"/>
    <s v="No gap agreement"/>
    <s v="100% MBS Fee to 125% MBS Fee"/>
    <n v="8513154.2400000002"/>
    <n v="5425594.9800000004"/>
    <n v="3087556.85"/>
    <n v="112198"/>
  </r>
  <r>
    <x v="11"/>
    <x v="2"/>
    <s v="WA"/>
    <s v="No gap agreement"/>
    <s v="More than 125% MBS Fee to 150% MBS Fee"/>
    <n v="16732150.66"/>
    <n v="9297300.0500000007"/>
    <n v="7434849.0099999998"/>
    <n v="60153"/>
  </r>
  <r>
    <x v="11"/>
    <x v="2"/>
    <s v="WA"/>
    <s v="No gap agreement"/>
    <s v="More than 150% MBS Fee to 200% MBS Fee"/>
    <n v="13656685.27"/>
    <n v="6090389.0599999996"/>
    <n v="7566284.1900000004"/>
    <n v="83637"/>
  </r>
  <r>
    <x v="11"/>
    <x v="2"/>
    <s v="WA"/>
    <s v="No gap agreement"/>
    <s v="More than 200% MBS Fee"/>
    <n v="1960531.99"/>
    <n v="456185"/>
    <n v="1504346.99"/>
    <n v="1416"/>
  </r>
  <r>
    <x v="11"/>
    <x v="2"/>
    <s v="WA"/>
    <s v="No gap agreement"/>
    <s v="Up to MBS Fee"/>
    <n v="1159264.31"/>
    <n v="876415.4"/>
    <n v="282848.90999999997"/>
    <n v="19209"/>
  </r>
  <r>
    <x v="11"/>
    <x v="3"/>
    <s v="ACT"/>
    <s v="Known gap agreement"/>
    <s v="100% MBS Fee to 125% MBS Fee"/>
    <n v="0"/>
    <n v="0"/>
    <n v="0"/>
    <n v="0"/>
  </r>
  <r>
    <x v="11"/>
    <x v="3"/>
    <s v="ACT"/>
    <s v="Known gap agreement"/>
    <s v="More than 125% MBS Fee to 150% MBS Fee"/>
    <n v="0"/>
    <n v="0"/>
    <n v="0"/>
    <n v="0"/>
  </r>
  <r>
    <x v="11"/>
    <x v="3"/>
    <s v="ACT"/>
    <s v="Known gap agreement"/>
    <s v="More than 150% MBS Fee to 200% MBS Fee"/>
    <n v="0"/>
    <n v="0"/>
    <n v="0"/>
    <n v="0"/>
  </r>
  <r>
    <x v="11"/>
    <x v="3"/>
    <s v="ACT"/>
    <s v="Known gap agreement"/>
    <s v="More than 200% MBS Fee"/>
    <n v="0"/>
    <n v="0"/>
    <n v="0"/>
    <n v="0"/>
  </r>
  <r>
    <x v="11"/>
    <x v="3"/>
    <s v="ACT"/>
    <s v="No agreement"/>
    <s v="100% MBS Fee to 125% MBS Fee"/>
    <n v="0"/>
    <n v="0"/>
    <n v="0"/>
    <n v="0"/>
  </r>
  <r>
    <x v="11"/>
    <x v="3"/>
    <s v="ACT"/>
    <s v="No agreement"/>
    <s v="More than 125% MBS Fee to 150% MBS Fee"/>
    <n v="0"/>
    <n v="0"/>
    <n v="0"/>
    <n v="0"/>
  </r>
  <r>
    <x v="11"/>
    <x v="3"/>
    <s v="ACT"/>
    <s v="No agreement"/>
    <s v="More than 150% MBS Fee to 200% MBS Fee"/>
    <n v="0"/>
    <n v="0"/>
    <n v="0"/>
    <n v="0"/>
  </r>
  <r>
    <x v="11"/>
    <x v="3"/>
    <s v="ACT"/>
    <s v="No agreement"/>
    <s v="More than 200% MBS Fee"/>
    <n v="0"/>
    <n v="0"/>
    <n v="0"/>
    <n v="0"/>
  </r>
  <r>
    <x v="11"/>
    <x v="3"/>
    <s v="ACT"/>
    <s v="No agreement"/>
    <s v="Up to MBS Fee"/>
    <n v="0"/>
    <n v="0"/>
    <n v="0"/>
    <n v="0"/>
  </r>
  <r>
    <x v="11"/>
    <x v="3"/>
    <s v="ACT"/>
    <s v="No gap agreement"/>
    <s v="100% MBS Fee to 125% MBS Fee"/>
    <n v="0"/>
    <n v="0"/>
    <n v="0"/>
    <n v="0"/>
  </r>
  <r>
    <x v="11"/>
    <x v="3"/>
    <s v="ACT"/>
    <s v="No gap agreement"/>
    <s v="More than 125% MBS Fee to 150% MBS Fee"/>
    <n v="0"/>
    <n v="0"/>
    <n v="0"/>
    <n v="0"/>
  </r>
  <r>
    <x v="11"/>
    <x v="3"/>
    <s v="ACT"/>
    <s v="No gap agreement"/>
    <s v="More than 150% MBS Fee to 200% MBS Fee"/>
    <n v="0"/>
    <n v="0"/>
    <n v="0"/>
    <n v="0"/>
  </r>
  <r>
    <x v="11"/>
    <x v="3"/>
    <s v="ACT"/>
    <s v="No gap agreement"/>
    <s v="More than 200% MBS Fee"/>
    <n v="0"/>
    <n v="0"/>
    <n v="0"/>
    <n v="0"/>
  </r>
  <r>
    <x v="11"/>
    <x v="3"/>
    <s v="ACT"/>
    <s v="No gap agreement"/>
    <s v="Up to MBS Fee"/>
    <n v="0"/>
    <n v="0"/>
    <n v="0"/>
    <n v="0"/>
  </r>
  <r>
    <x v="11"/>
    <x v="3"/>
    <s v="NSW"/>
    <s v="Known gap agreement"/>
    <s v="100% MBS Fee to 125% MBS Fee"/>
    <n v="636021.66"/>
    <n v="415205.83"/>
    <n v="188099.68"/>
    <n v="4307"/>
  </r>
  <r>
    <x v="11"/>
    <x v="3"/>
    <s v="NSW"/>
    <s v="Known gap agreement"/>
    <s v="More than 125% MBS Fee to 150% MBS Fee"/>
    <n v="1473886.76"/>
    <n v="803164.09"/>
    <n v="540588.86"/>
    <n v="6409"/>
  </r>
  <r>
    <x v="11"/>
    <x v="3"/>
    <s v="NSW"/>
    <s v="Known gap agreement"/>
    <s v="More than 150% MBS Fee to 200% MBS Fee"/>
    <n v="3479662.62"/>
    <n v="1522389.55"/>
    <n v="1344170.03"/>
    <n v="13269"/>
  </r>
  <r>
    <x v="11"/>
    <x v="3"/>
    <s v="NSW"/>
    <s v="Known gap agreement"/>
    <s v="More than 200% MBS Fee"/>
    <n v="5478344.0700000003"/>
    <n v="1503764.51"/>
    <n v="1401173.08"/>
    <n v="14671"/>
  </r>
  <r>
    <x v="11"/>
    <x v="3"/>
    <s v="NSW"/>
    <s v="No agreement"/>
    <s v="100% MBS Fee to 125% MBS Fee"/>
    <n v="3335520.69"/>
    <n v="2217218.35"/>
    <n v="732695.56"/>
    <n v="18178"/>
  </r>
  <r>
    <x v="11"/>
    <x v="3"/>
    <s v="NSW"/>
    <s v="No agreement"/>
    <s v="More than 125% MBS Fee to 150% MBS Fee"/>
    <n v="5073852.51"/>
    <n v="2783545.32"/>
    <n v="919239.06"/>
    <n v="36953"/>
  </r>
  <r>
    <x v="11"/>
    <x v="3"/>
    <s v="NSW"/>
    <s v="No agreement"/>
    <s v="More than 150% MBS Fee to 200% MBS Fee"/>
    <n v="16150954.220000001"/>
    <n v="6846049.6100000003"/>
    <n v="2290842.85"/>
    <n v="64989"/>
  </r>
  <r>
    <x v="11"/>
    <x v="3"/>
    <s v="NSW"/>
    <s v="No agreement"/>
    <s v="More than 200% MBS Fee"/>
    <n v="57443852.079999998"/>
    <n v="16057665.5"/>
    <n v="5428228.96"/>
    <n v="127723"/>
  </r>
  <r>
    <x v="11"/>
    <x v="3"/>
    <s v="NSW"/>
    <s v="No agreement"/>
    <s v="Up to MBS Fee"/>
    <n v="20820039.77"/>
    <n v="15741658.220000001"/>
    <n v="5076946.95"/>
    <n v="331954"/>
  </r>
  <r>
    <x v="11"/>
    <x v="3"/>
    <s v="NSW"/>
    <s v="No gap agreement"/>
    <s v="100% MBS Fee to 125% MBS Fee"/>
    <n v="24197541.66"/>
    <n v="15551939.6"/>
    <n v="8645290.8800000008"/>
    <n v="302958"/>
  </r>
  <r>
    <x v="11"/>
    <x v="3"/>
    <s v="NSW"/>
    <s v="No gap agreement"/>
    <s v="More than 125% MBS Fee to 150% MBS Fee"/>
    <n v="43641082.409999996"/>
    <n v="23999226.879999999"/>
    <n v="19641660.289999999"/>
    <n v="207498"/>
  </r>
  <r>
    <x v="11"/>
    <x v="3"/>
    <s v="NSW"/>
    <s v="No gap agreement"/>
    <s v="More than 150% MBS Fee to 200% MBS Fee"/>
    <n v="31601250.059999999"/>
    <n v="14788150"/>
    <n v="16812876.43"/>
    <n v="206111"/>
  </r>
  <r>
    <x v="11"/>
    <x v="3"/>
    <s v="NSW"/>
    <s v="No gap agreement"/>
    <s v="More than 200% MBS Fee"/>
    <n v="3941960.06"/>
    <n v="1163399.92"/>
    <n v="2778555.14"/>
    <n v="4868"/>
  </r>
  <r>
    <x v="11"/>
    <x v="3"/>
    <s v="NSW"/>
    <s v="No gap agreement"/>
    <s v="Up to MBS Fee"/>
    <n v="5984928.3300000001"/>
    <n v="4504883.05"/>
    <n v="1480620.48"/>
    <n v="139912"/>
  </r>
  <r>
    <x v="11"/>
    <x v="3"/>
    <s v="NT"/>
    <s v="Known gap agreement"/>
    <s v="100% MBS Fee to 125% MBS Fee"/>
    <n v="12499.91"/>
    <n v="8493.65"/>
    <n v="3265.61"/>
    <n v="45"/>
  </r>
  <r>
    <x v="11"/>
    <x v="3"/>
    <s v="NT"/>
    <s v="Known gap agreement"/>
    <s v="More than 125% MBS Fee to 150% MBS Fee"/>
    <n v="19695.490000000002"/>
    <n v="10368.200000000001"/>
    <n v="6875.21"/>
    <n v="80"/>
  </r>
  <r>
    <x v="11"/>
    <x v="3"/>
    <s v="NT"/>
    <s v="Known gap agreement"/>
    <s v="More than 150% MBS Fee to 200% MBS Fee"/>
    <n v="79011.37"/>
    <n v="34030.9"/>
    <n v="30680.54"/>
    <n v="130"/>
  </r>
  <r>
    <x v="11"/>
    <x v="3"/>
    <s v="NT"/>
    <s v="Known gap agreement"/>
    <s v="More than 200% MBS Fee"/>
    <n v="154483.26999999999"/>
    <n v="44426.55"/>
    <n v="48049.75"/>
    <n v="491"/>
  </r>
  <r>
    <x v="11"/>
    <x v="3"/>
    <s v="NT"/>
    <s v="No agreement"/>
    <s v="100% MBS Fee to 125% MBS Fee"/>
    <n v="62631.67"/>
    <n v="41345.5"/>
    <n v="13777.2"/>
    <n v="315"/>
  </r>
  <r>
    <x v="11"/>
    <x v="3"/>
    <s v="NT"/>
    <s v="No agreement"/>
    <s v="More than 125% MBS Fee to 150% MBS Fee"/>
    <n v="73109.3"/>
    <n v="39525.699999999997"/>
    <n v="13256.17"/>
    <n v="346"/>
  </r>
  <r>
    <x v="11"/>
    <x v="3"/>
    <s v="NT"/>
    <s v="No agreement"/>
    <s v="More than 150% MBS Fee to 200% MBS Fee"/>
    <n v="147283.60999999999"/>
    <n v="61352.4"/>
    <n v="20498.73"/>
    <n v="886"/>
  </r>
  <r>
    <x v="11"/>
    <x v="3"/>
    <s v="NT"/>
    <s v="No agreement"/>
    <s v="More than 200% MBS Fee"/>
    <n v="460030.79"/>
    <n v="136644.35"/>
    <n v="45863.85"/>
    <n v="1147"/>
  </r>
  <r>
    <x v="11"/>
    <x v="3"/>
    <s v="NT"/>
    <s v="No agreement"/>
    <s v="Up to MBS Fee"/>
    <n v="177818.51"/>
    <n v="135275.17000000001"/>
    <n v="42543.34"/>
    <n v="2137"/>
  </r>
  <r>
    <x v="11"/>
    <x v="3"/>
    <s v="NT"/>
    <s v="No gap agreement"/>
    <s v="100% MBS Fee to 125% MBS Fee"/>
    <n v="256309.68"/>
    <n v="167725.9"/>
    <n v="88583.08"/>
    <n v="3073"/>
  </r>
  <r>
    <x v="11"/>
    <x v="3"/>
    <s v="NT"/>
    <s v="No gap agreement"/>
    <s v="More than 125% MBS Fee to 150% MBS Fee"/>
    <n v="737346.72"/>
    <n v="403558.39"/>
    <n v="333781.09000000003"/>
    <n v="3046"/>
  </r>
  <r>
    <x v="11"/>
    <x v="3"/>
    <s v="NT"/>
    <s v="No gap agreement"/>
    <s v="More than 150% MBS Fee to 200% MBS Fee"/>
    <n v="480520.7"/>
    <n v="223888.3"/>
    <n v="256627.55"/>
    <n v="3047"/>
  </r>
  <r>
    <x v="11"/>
    <x v="3"/>
    <s v="NT"/>
    <s v="No gap agreement"/>
    <s v="More than 200% MBS Fee"/>
    <n v="36855.35"/>
    <n v="11381.65"/>
    <n v="25473.7"/>
    <n v="50"/>
  </r>
  <r>
    <x v="11"/>
    <x v="3"/>
    <s v="NT"/>
    <s v="No gap agreement"/>
    <s v="Up to MBS Fee"/>
    <n v="48823.35"/>
    <n v="36768.800000000003"/>
    <n v="12054.55"/>
    <n v="531"/>
  </r>
  <r>
    <x v="11"/>
    <x v="3"/>
    <s v="QLD"/>
    <s v="Known gap agreement"/>
    <s v="100% MBS Fee to 125% MBS Fee"/>
    <n v="420537.42"/>
    <n v="275211.2"/>
    <n v="122584.93"/>
    <n v="3048"/>
  </r>
  <r>
    <x v="11"/>
    <x v="3"/>
    <s v="QLD"/>
    <s v="Known gap agreement"/>
    <s v="More than 125% MBS Fee to 150% MBS Fee"/>
    <n v="1363923.34"/>
    <n v="733716.55"/>
    <n v="503569.13"/>
    <n v="6418"/>
  </r>
  <r>
    <x v="11"/>
    <x v="3"/>
    <s v="QLD"/>
    <s v="Known gap agreement"/>
    <s v="More than 150% MBS Fee to 200% MBS Fee"/>
    <n v="4335852.53"/>
    <n v="1851435.05"/>
    <n v="1671440.45"/>
    <n v="12146"/>
  </r>
  <r>
    <x v="11"/>
    <x v="3"/>
    <s v="QLD"/>
    <s v="Known gap agreement"/>
    <s v="More than 200% MBS Fee"/>
    <n v="6559779.79"/>
    <n v="1881081.24"/>
    <n v="2032220.42"/>
    <n v="20116"/>
  </r>
  <r>
    <x v="11"/>
    <x v="3"/>
    <s v="QLD"/>
    <s v="No agreement"/>
    <s v="100% MBS Fee to 125% MBS Fee"/>
    <n v="2592622.92"/>
    <n v="1720316.73"/>
    <n v="570879.77"/>
    <n v="16317"/>
  </r>
  <r>
    <x v="11"/>
    <x v="3"/>
    <s v="QLD"/>
    <s v="No agreement"/>
    <s v="More than 125% MBS Fee to 150% MBS Fee"/>
    <n v="5334829.0999999996"/>
    <n v="2908592.7"/>
    <n v="972994.6"/>
    <n v="38139"/>
  </r>
  <r>
    <x v="11"/>
    <x v="3"/>
    <s v="QLD"/>
    <s v="No agreement"/>
    <s v="More than 150% MBS Fee to 200% MBS Fee"/>
    <n v="10554156.17"/>
    <n v="4491465.96"/>
    <n v="1497349.58"/>
    <n v="40940"/>
  </r>
  <r>
    <x v="11"/>
    <x v="3"/>
    <s v="QLD"/>
    <s v="No agreement"/>
    <s v="More than 200% MBS Fee"/>
    <n v="19272720.379999999"/>
    <n v="5636176.46"/>
    <n v="1899797.3"/>
    <n v="51187"/>
  </r>
  <r>
    <x v="11"/>
    <x v="3"/>
    <s v="QLD"/>
    <s v="No agreement"/>
    <s v="Up to MBS Fee"/>
    <n v="7293253.2400000002"/>
    <n v="5546520.1699999999"/>
    <n v="1745969.02"/>
    <n v="98200"/>
  </r>
  <r>
    <x v="11"/>
    <x v="3"/>
    <s v="QLD"/>
    <s v="No gap agreement"/>
    <s v="100% MBS Fee to 125% MBS Fee"/>
    <n v="23222897.620000001"/>
    <n v="15146322.279999999"/>
    <n v="8076678.7300000004"/>
    <n v="361489"/>
  </r>
  <r>
    <x v="11"/>
    <x v="3"/>
    <s v="QLD"/>
    <s v="No gap agreement"/>
    <s v="More than 125% MBS Fee to 150% MBS Fee"/>
    <n v="37084982.5"/>
    <n v="20566992.829999998"/>
    <n v="16518119.68"/>
    <n v="226360"/>
  </r>
  <r>
    <x v="11"/>
    <x v="3"/>
    <s v="QLD"/>
    <s v="No gap agreement"/>
    <s v="More than 150% MBS Fee to 200% MBS Fee"/>
    <n v="20270210.039999999"/>
    <n v="9564439.1899999995"/>
    <n v="10705752.6"/>
    <n v="150729"/>
  </r>
  <r>
    <x v="11"/>
    <x v="3"/>
    <s v="QLD"/>
    <s v="No gap agreement"/>
    <s v="More than 200% MBS Fee"/>
    <n v="3334235.57"/>
    <n v="963537.1"/>
    <n v="2370699.4700000002"/>
    <n v="3487"/>
  </r>
  <r>
    <x v="11"/>
    <x v="3"/>
    <s v="QLD"/>
    <s v="No gap agreement"/>
    <s v="Up to MBS Fee"/>
    <n v="1928950.81"/>
    <n v="1455906.33"/>
    <n v="472930.78"/>
    <n v="37507"/>
  </r>
  <r>
    <x v="11"/>
    <x v="3"/>
    <s v="SA"/>
    <s v="Known gap agreement"/>
    <s v="100% MBS Fee to 125% MBS Fee"/>
    <n v="1228127.04"/>
    <n v="798024.75"/>
    <n v="386958.25"/>
    <n v="9640"/>
  </r>
  <r>
    <x v="11"/>
    <x v="3"/>
    <s v="SA"/>
    <s v="Known gap agreement"/>
    <s v="More than 125% MBS Fee to 150% MBS Fee"/>
    <n v="1635455.59"/>
    <n v="888109.9"/>
    <n v="678919.36"/>
    <n v="6674"/>
  </r>
  <r>
    <x v="11"/>
    <x v="3"/>
    <s v="SA"/>
    <s v="Known gap agreement"/>
    <s v="More than 150% MBS Fee to 200% MBS Fee"/>
    <n v="1776798.53"/>
    <n v="811074.75"/>
    <n v="819348.47"/>
    <n v="7217"/>
  </r>
  <r>
    <x v="11"/>
    <x v="3"/>
    <s v="SA"/>
    <s v="Known gap agreement"/>
    <s v="More than 200% MBS Fee"/>
    <n v="987725.33"/>
    <n v="262117.75"/>
    <n v="314684.87"/>
    <n v="2260"/>
  </r>
  <r>
    <x v="11"/>
    <x v="3"/>
    <s v="SA"/>
    <s v="No agreement"/>
    <s v="100% MBS Fee to 125% MBS Fee"/>
    <n v="474180.16"/>
    <n v="311633.13"/>
    <n v="109537.51"/>
    <n v="4575"/>
  </r>
  <r>
    <x v="11"/>
    <x v="3"/>
    <s v="SA"/>
    <s v="No agreement"/>
    <s v="More than 125% MBS Fee to 150% MBS Fee"/>
    <n v="598266.34"/>
    <n v="323063.98"/>
    <n v="121396.7"/>
    <n v="4402"/>
  </r>
  <r>
    <x v="11"/>
    <x v="3"/>
    <s v="SA"/>
    <s v="No agreement"/>
    <s v="More than 150% MBS Fee to 200% MBS Fee"/>
    <n v="595119.35"/>
    <n v="255325.6"/>
    <n v="96838.79"/>
    <n v="3524"/>
  </r>
  <r>
    <x v="11"/>
    <x v="3"/>
    <s v="SA"/>
    <s v="No agreement"/>
    <s v="More than 200% MBS Fee"/>
    <n v="899980.72"/>
    <n v="252244.63"/>
    <n v="89697.83"/>
    <n v="2688"/>
  </r>
  <r>
    <x v="11"/>
    <x v="3"/>
    <s v="SA"/>
    <s v="No agreement"/>
    <s v="Up to MBS Fee"/>
    <n v="6159633.3099999996"/>
    <n v="4628091.91"/>
    <n v="1531316.3"/>
    <n v="59230"/>
  </r>
  <r>
    <x v="11"/>
    <x v="3"/>
    <s v="SA"/>
    <s v="No gap agreement"/>
    <s v="100% MBS Fee to 125% MBS Fee"/>
    <n v="6979494.04"/>
    <n v="4630767.18"/>
    <n v="2348667.71"/>
    <n v="125563"/>
  </r>
  <r>
    <x v="11"/>
    <x v="3"/>
    <s v="SA"/>
    <s v="No gap agreement"/>
    <s v="More than 125% MBS Fee to 150% MBS Fee"/>
    <n v="16544216.810000001"/>
    <n v="9095634.3800000008"/>
    <n v="7448560.5999999996"/>
    <n v="77470"/>
  </r>
  <r>
    <x v="11"/>
    <x v="3"/>
    <s v="SA"/>
    <s v="No gap agreement"/>
    <s v="More than 150% MBS Fee to 200% MBS Fee"/>
    <n v="11718266.869999999"/>
    <n v="5460901.4100000001"/>
    <n v="6257444.1600000001"/>
    <n v="66830"/>
  </r>
  <r>
    <x v="11"/>
    <x v="3"/>
    <s v="SA"/>
    <s v="No gap agreement"/>
    <s v="More than 200% MBS Fee"/>
    <n v="966529.38"/>
    <n v="264043.55"/>
    <n v="702484.13"/>
    <n v="843"/>
  </r>
  <r>
    <x v="11"/>
    <x v="3"/>
    <s v="SA"/>
    <s v="No gap agreement"/>
    <s v="Up to MBS Fee"/>
    <n v="1934033.12"/>
    <n v="1455975.55"/>
    <n v="478107.82"/>
    <n v="20307"/>
  </r>
  <r>
    <x v="11"/>
    <x v="3"/>
    <s v="TAS"/>
    <s v="Known gap agreement"/>
    <s v="100% MBS Fee to 125% MBS Fee"/>
    <n v="50827.21"/>
    <n v="34518.449999999997"/>
    <n v="13799.58"/>
    <n v="281"/>
  </r>
  <r>
    <x v="11"/>
    <x v="3"/>
    <s v="TAS"/>
    <s v="Known gap agreement"/>
    <s v="More than 125% MBS Fee to 150% MBS Fee"/>
    <n v="120835.71"/>
    <n v="65407.25"/>
    <n v="48903.01"/>
    <n v="531"/>
  </r>
  <r>
    <x v="11"/>
    <x v="3"/>
    <s v="TAS"/>
    <s v="Known gap agreement"/>
    <s v="More than 150% MBS Fee to 200% MBS Fee"/>
    <n v="316752.33"/>
    <n v="134904.04999999999"/>
    <n v="138886.03"/>
    <n v="1140"/>
  </r>
  <r>
    <x v="11"/>
    <x v="3"/>
    <s v="TAS"/>
    <s v="Known gap agreement"/>
    <s v="More than 200% MBS Fee"/>
    <n v="551870.06999999995"/>
    <n v="168697"/>
    <n v="189207.71"/>
    <n v="1841"/>
  </r>
  <r>
    <x v="11"/>
    <x v="3"/>
    <s v="TAS"/>
    <s v="No agreement"/>
    <s v="100% MBS Fee to 125% MBS Fee"/>
    <n v="258331.19"/>
    <n v="170301.75"/>
    <n v="55366.32"/>
    <n v="1737"/>
  </r>
  <r>
    <x v="11"/>
    <x v="3"/>
    <s v="TAS"/>
    <s v="No agreement"/>
    <s v="More than 125% MBS Fee to 150% MBS Fee"/>
    <n v="261211.43"/>
    <n v="142570.70000000001"/>
    <n v="47901.91"/>
    <n v="1119"/>
  </r>
  <r>
    <x v="11"/>
    <x v="3"/>
    <s v="TAS"/>
    <s v="No agreement"/>
    <s v="More than 150% MBS Fee to 200% MBS Fee"/>
    <n v="406660.67"/>
    <n v="175194.03"/>
    <n v="59160.24"/>
    <n v="2194"/>
  </r>
  <r>
    <x v="11"/>
    <x v="3"/>
    <s v="TAS"/>
    <s v="No agreement"/>
    <s v="More than 200% MBS Fee"/>
    <n v="1147282.44"/>
    <n v="290806.75"/>
    <n v="104940.08"/>
    <n v="2759"/>
  </r>
  <r>
    <x v="11"/>
    <x v="3"/>
    <s v="TAS"/>
    <s v="No agreement"/>
    <s v="Up to MBS Fee"/>
    <n v="1414708.86"/>
    <n v="1063058.8500000001"/>
    <n v="351650.01"/>
    <n v="21462"/>
  </r>
  <r>
    <x v="11"/>
    <x v="3"/>
    <s v="TAS"/>
    <s v="No gap agreement"/>
    <s v="100% MBS Fee to 125% MBS Fee"/>
    <n v="2263535.71"/>
    <n v="1478980.68"/>
    <n v="784554.33"/>
    <n v="30909"/>
  </r>
  <r>
    <x v="11"/>
    <x v="3"/>
    <s v="TAS"/>
    <s v="No gap agreement"/>
    <s v="More than 125% MBS Fee to 150% MBS Fee"/>
    <n v="3973566.31"/>
    <n v="2177713.7599999998"/>
    <n v="1795851.33"/>
    <n v="15373"/>
  </r>
  <r>
    <x v="11"/>
    <x v="3"/>
    <s v="TAS"/>
    <s v="No gap agreement"/>
    <s v="More than 150% MBS Fee to 200% MBS Fee"/>
    <n v="2929245.66"/>
    <n v="1365568.15"/>
    <n v="1563677.51"/>
    <n v="19944"/>
  </r>
  <r>
    <x v="11"/>
    <x v="3"/>
    <s v="TAS"/>
    <s v="No gap agreement"/>
    <s v="More than 200% MBS Fee"/>
    <n v="395229.36"/>
    <n v="110609.9"/>
    <n v="284619.46000000002"/>
    <n v="364"/>
  </r>
  <r>
    <x v="11"/>
    <x v="3"/>
    <s v="TAS"/>
    <s v="No gap agreement"/>
    <s v="Up to MBS Fee"/>
    <n v="141686.29999999999"/>
    <n v="110096.7"/>
    <n v="31589.599999999999"/>
    <n v="1976"/>
  </r>
  <r>
    <x v="11"/>
    <x v="3"/>
    <s v="VIC"/>
    <s v="Known gap agreement"/>
    <s v="100% MBS Fee to 125% MBS Fee"/>
    <n v="1806580.89"/>
    <n v="1180737.55"/>
    <n v="540920.43000000005"/>
    <n v="8643"/>
  </r>
  <r>
    <x v="11"/>
    <x v="3"/>
    <s v="VIC"/>
    <s v="Known gap agreement"/>
    <s v="More than 125% MBS Fee to 150% MBS Fee"/>
    <n v="3087470.3"/>
    <n v="1674627.32"/>
    <n v="1114756.1499999999"/>
    <n v="12389"/>
  </r>
  <r>
    <x v="11"/>
    <x v="3"/>
    <s v="VIC"/>
    <s v="Known gap agreement"/>
    <s v="More than 150% MBS Fee to 200% MBS Fee"/>
    <n v="6415470.8399999999"/>
    <n v="2769035.01"/>
    <n v="2405566.4900000002"/>
    <n v="28390"/>
  </r>
  <r>
    <x v="11"/>
    <x v="3"/>
    <s v="VIC"/>
    <s v="Known gap agreement"/>
    <s v="More than 200% MBS Fee"/>
    <n v="6145507.7300000004"/>
    <n v="1764217.34"/>
    <n v="1756419.36"/>
    <n v="18603"/>
  </r>
  <r>
    <x v="11"/>
    <x v="3"/>
    <s v="VIC"/>
    <s v="No agreement"/>
    <s v="100% MBS Fee to 125% MBS Fee"/>
    <n v="2789447.05"/>
    <n v="1848877.12"/>
    <n v="612727.46"/>
    <n v="23291"/>
  </r>
  <r>
    <x v="11"/>
    <x v="3"/>
    <s v="VIC"/>
    <s v="No agreement"/>
    <s v="More than 125% MBS Fee to 150% MBS Fee"/>
    <n v="2641508.73"/>
    <n v="1448525.24"/>
    <n v="484543.86"/>
    <n v="15529"/>
  </r>
  <r>
    <x v="11"/>
    <x v="3"/>
    <s v="VIC"/>
    <s v="No agreement"/>
    <s v="More than 150% MBS Fee to 200% MBS Fee"/>
    <n v="7051598.5999999996"/>
    <n v="3022968.59"/>
    <n v="1013126.05"/>
    <n v="50995"/>
  </r>
  <r>
    <x v="11"/>
    <x v="3"/>
    <s v="VIC"/>
    <s v="No agreement"/>
    <s v="More than 200% MBS Fee"/>
    <n v="10559613.08"/>
    <n v="2870879.76"/>
    <n v="970448.1"/>
    <n v="26248"/>
  </r>
  <r>
    <x v="11"/>
    <x v="3"/>
    <s v="VIC"/>
    <s v="No agreement"/>
    <s v="Up to MBS Fee"/>
    <n v="12819489.75"/>
    <n v="9647359.6500000004"/>
    <n v="3171814.75"/>
    <n v="164042"/>
  </r>
  <r>
    <x v="11"/>
    <x v="3"/>
    <s v="VIC"/>
    <s v="No gap agreement"/>
    <s v="100% MBS Fee to 125% MBS Fee"/>
    <n v="20916199.109999999"/>
    <n v="13543787.039999999"/>
    <n v="7372231.7800000003"/>
    <n v="255110"/>
  </r>
  <r>
    <x v="11"/>
    <x v="3"/>
    <s v="VIC"/>
    <s v="No gap agreement"/>
    <s v="More than 125% MBS Fee to 150% MBS Fee"/>
    <n v="53478029.68"/>
    <n v="29594498.399999999"/>
    <n v="23883517.210000001"/>
    <n v="312436"/>
  </r>
  <r>
    <x v="11"/>
    <x v="3"/>
    <s v="VIC"/>
    <s v="No gap agreement"/>
    <s v="More than 150% MBS Fee to 200% MBS Fee"/>
    <n v="29744756.27"/>
    <n v="13867462.75"/>
    <n v="15877190.640000001"/>
    <n v="218389"/>
  </r>
  <r>
    <x v="11"/>
    <x v="3"/>
    <s v="VIC"/>
    <s v="No gap agreement"/>
    <s v="More than 200% MBS Fee"/>
    <n v="2346863.85"/>
    <n v="672675.77"/>
    <n v="1674185.08"/>
    <n v="2312"/>
  </r>
  <r>
    <x v="11"/>
    <x v="3"/>
    <s v="VIC"/>
    <s v="No gap agreement"/>
    <s v="Up to MBS Fee"/>
    <n v="5142500.3899999997"/>
    <n v="3879446.36"/>
    <n v="1263217.8"/>
    <n v="82951"/>
  </r>
  <r>
    <x v="11"/>
    <x v="3"/>
    <s v="WA"/>
    <s v="Known gap agreement"/>
    <s v="100% MBS Fee to 125% MBS Fee"/>
    <n v="1364841.42"/>
    <n v="925785.05"/>
    <n v="411350.8"/>
    <n v="10481"/>
  </r>
  <r>
    <x v="11"/>
    <x v="3"/>
    <s v="WA"/>
    <s v="Known gap agreement"/>
    <s v="More than 125% MBS Fee to 150% MBS Fee"/>
    <n v="3102436.96"/>
    <n v="1682590.43"/>
    <n v="1147830.3"/>
    <n v="13162"/>
  </r>
  <r>
    <x v="11"/>
    <x v="3"/>
    <s v="WA"/>
    <s v="Known gap agreement"/>
    <s v="More than 150% MBS Fee to 200% MBS Fee"/>
    <n v="5168494.45"/>
    <n v="2282579.35"/>
    <n v="1608240.02"/>
    <n v="21666"/>
  </r>
  <r>
    <x v="11"/>
    <x v="3"/>
    <s v="WA"/>
    <s v="Known gap agreement"/>
    <s v="More than 200% MBS Fee"/>
    <n v="7106515.6299999999"/>
    <n v="1683864.3"/>
    <n v="1300468"/>
    <n v="18796"/>
  </r>
  <r>
    <x v="11"/>
    <x v="3"/>
    <s v="WA"/>
    <s v="No agreement"/>
    <s v="100% MBS Fee to 125% MBS Fee"/>
    <n v="666436.77"/>
    <n v="434572.6"/>
    <n v="147692.57"/>
    <n v="4002"/>
  </r>
  <r>
    <x v="11"/>
    <x v="3"/>
    <s v="WA"/>
    <s v="No agreement"/>
    <s v="More than 125% MBS Fee to 150% MBS Fee"/>
    <n v="1582279.42"/>
    <n v="850635.69"/>
    <n v="294104.94"/>
    <n v="14191"/>
  </r>
  <r>
    <x v="11"/>
    <x v="3"/>
    <s v="WA"/>
    <s v="No agreement"/>
    <s v="More than 150% MBS Fee to 200% MBS Fee"/>
    <n v="1245505.42"/>
    <n v="543557.56000000006"/>
    <n v="191889.01"/>
    <n v="9885"/>
  </r>
  <r>
    <x v="11"/>
    <x v="3"/>
    <s v="WA"/>
    <s v="No agreement"/>
    <s v="More than 200% MBS Fee"/>
    <n v="1820945.72"/>
    <n v="458552.04"/>
    <n v="170417.45"/>
    <n v="3813"/>
  </r>
  <r>
    <x v="11"/>
    <x v="3"/>
    <s v="WA"/>
    <s v="No agreement"/>
    <s v="Up to MBS Fee"/>
    <n v="1605236"/>
    <n v="1208498.08"/>
    <n v="396735.22"/>
    <n v="30242"/>
  </r>
  <r>
    <x v="11"/>
    <x v="3"/>
    <s v="WA"/>
    <s v="No gap agreement"/>
    <s v="100% MBS Fee to 125% MBS Fee"/>
    <n v="9439057.9499999993"/>
    <n v="5993851"/>
    <n v="3445222.41"/>
    <n v="117843"/>
  </r>
  <r>
    <x v="11"/>
    <x v="3"/>
    <s v="WA"/>
    <s v="No gap agreement"/>
    <s v="More than 125% MBS Fee to 150% MBS Fee"/>
    <n v="16017133.380000001"/>
    <n v="8877789.5399999991"/>
    <n v="7139340.1200000001"/>
    <n v="57587"/>
  </r>
  <r>
    <x v="11"/>
    <x v="3"/>
    <s v="WA"/>
    <s v="No gap agreement"/>
    <s v="More than 150% MBS Fee to 200% MBS Fee"/>
    <n v="13043620.09"/>
    <n v="5833536.5599999996"/>
    <n v="7210075.0499999998"/>
    <n v="76379"/>
  </r>
  <r>
    <x v="11"/>
    <x v="3"/>
    <s v="WA"/>
    <s v="No gap agreement"/>
    <s v="More than 200% MBS Fee"/>
    <n v="2116200.69"/>
    <n v="501628.8"/>
    <n v="1614571.89"/>
    <n v="1659"/>
  </r>
  <r>
    <x v="11"/>
    <x v="3"/>
    <s v="WA"/>
    <s v="No gap agreement"/>
    <s v="Up to MBS Fee"/>
    <n v="1134997.6399999999"/>
    <n v="861042.72"/>
    <n v="273945.3"/>
    <n v="20377"/>
  </r>
  <r>
    <x v="11"/>
    <x v="1"/>
    <s v="ACT"/>
    <s v="Known gap agreement"/>
    <s v="100% MBS Fee to 125% MBS Fee"/>
    <n v="0"/>
    <n v="0"/>
    <n v="0"/>
    <n v="0"/>
  </r>
  <r>
    <x v="11"/>
    <x v="1"/>
    <s v="ACT"/>
    <s v="Known gap agreement"/>
    <s v="More than 125% MBS Fee to 150% MBS Fee"/>
    <n v="0"/>
    <n v="0"/>
    <n v="0"/>
    <n v="0"/>
  </r>
  <r>
    <x v="11"/>
    <x v="1"/>
    <s v="ACT"/>
    <s v="Known gap agreement"/>
    <s v="More than 150% MBS Fee to 200% MBS Fee"/>
    <n v="0"/>
    <n v="0"/>
    <n v="0"/>
    <n v="0"/>
  </r>
  <r>
    <x v="11"/>
    <x v="1"/>
    <s v="ACT"/>
    <s v="Known gap agreement"/>
    <s v="More than 200% MBS Fee"/>
    <n v="0"/>
    <n v="0"/>
    <n v="0"/>
    <n v="0"/>
  </r>
  <r>
    <x v="11"/>
    <x v="1"/>
    <s v="ACT"/>
    <s v="No agreement"/>
    <s v="100% MBS Fee to 125% MBS Fee"/>
    <n v="0"/>
    <n v="0"/>
    <n v="0"/>
    <n v="0"/>
  </r>
  <r>
    <x v="11"/>
    <x v="1"/>
    <s v="ACT"/>
    <s v="No agreement"/>
    <s v="More than 125% MBS Fee to 150% MBS Fee"/>
    <n v="0"/>
    <n v="0"/>
    <n v="0"/>
    <n v="0"/>
  </r>
  <r>
    <x v="11"/>
    <x v="1"/>
    <s v="ACT"/>
    <s v="No agreement"/>
    <s v="More than 150% MBS Fee to 200% MBS Fee"/>
    <n v="0"/>
    <n v="0"/>
    <n v="0"/>
    <n v="0"/>
  </r>
  <r>
    <x v="11"/>
    <x v="1"/>
    <s v="ACT"/>
    <s v="No agreement"/>
    <s v="More than 200% MBS Fee"/>
    <n v="0"/>
    <n v="0"/>
    <n v="0"/>
    <n v="0"/>
  </r>
  <r>
    <x v="11"/>
    <x v="1"/>
    <s v="ACT"/>
    <s v="No agreement"/>
    <s v="Up to MBS Fee"/>
    <n v="0"/>
    <n v="0"/>
    <n v="0"/>
    <n v="0"/>
  </r>
  <r>
    <x v="11"/>
    <x v="1"/>
    <s v="ACT"/>
    <s v="No gap agreement"/>
    <s v="100% MBS Fee to 125% MBS Fee"/>
    <n v="0"/>
    <n v="0"/>
    <n v="0"/>
    <n v="0"/>
  </r>
  <r>
    <x v="11"/>
    <x v="1"/>
    <s v="ACT"/>
    <s v="No gap agreement"/>
    <s v="More than 125% MBS Fee to 150% MBS Fee"/>
    <n v="0"/>
    <n v="0"/>
    <n v="0"/>
    <n v="0"/>
  </r>
  <r>
    <x v="11"/>
    <x v="1"/>
    <s v="ACT"/>
    <s v="No gap agreement"/>
    <s v="More than 150% MBS Fee to 200% MBS Fee"/>
    <n v="0"/>
    <n v="0"/>
    <n v="0"/>
    <n v="0"/>
  </r>
  <r>
    <x v="11"/>
    <x v="1"/>
    <s v="ACT"/>
    <s v="No gap agreement"/>
    <s v="More than 200% MBS Fee"/>
    <n v="0"/>
    <n v="0"/>
    <n v="0"/>
    <n v="0"/>
  </r>
  <r>
    <x v="11"/>
    <x v="1"/>
    <s v="ACT"/>
    <s v="No gap agreement"/>
    <s v="Up to MBS Fee"/>
    <n v="0"/>
    <n v="0"/>
    <n v="0"/>
    <n v="0"/>
  </r>
  <r>
    <x v="11"/>
    <x v="1"/>
    <s v="NSW"/>
    <s v="Known gap agreement"/>
    <s v="100% MBS Fee to 125% MBS Fee"/>
    <n v="666102.91"/>
    <n v="439172.44"/>
    <n v="197511.65"/>
    <n v="4480"/>
  </r>
  <r>
    <x v="11"/>
    <x v="1"/>
    <s v="NSW"/>
    <s v="Known gap agreement"/>
    <s v="More than 125% MBS Fee to 150% MBS Fee"/>
    <n v="1580564.82"/>
    <n v="863058.19"/>
    <n v="580738.21"/>
    <n v="6878"/>
  </r>
  <r>
    <x v="11"/>
    <x v="1"/>
    <s v="NSW"/>
    <s v="Known gap agreement"/>
    <s v="More than 150% MBS Fee to 200% MBS Fee"/>
    <n v="3728065.38"/>
    <n v="1622125.22"/>
    <n v="1450721.02"/>
    <n v="14015"/>
  </r>
  <r>
    <x v="11"/>
    <x v="1"/>
    <s v="NSW"/>
    <s v="Known gap agreement"/>
    <s v="More than 200% MBS Fee"/>
    <n v="6037252.2800000003"/>
    <n v="1655472.68"/>
    <n v="1536182.41"/>
    <n v="16242"/>
  </r>
  <r>
    <x v="11"/>
    <x v="1"/>
    <s v="NSW"/>
    <s v="No agreement"/>
    <s v="100% MBS Fee to 125% MBS Fee"/>
    <n v="3448966.34"/>
    <n v="2283368.2400000002"/>
    <n v="765592.35"/>
    <n v="18327"/>
  </r>
  <r>
    <x v="11"/>
    <x v="1"/>
    <s v="NSW"/>
    <s v="No agreement"/>
    <s v="More than 125% MBS Fee to 150% MBS Fee"/>
    <n v="5442991.1299999999"/>
    <n v="2982000.39"/>
    <n v="985582.89"/>
    <n v="40410"/>
  </r>
  <r>
    <x v="11"/>
    <x v="1"/>
    <s v="NSW"/>
    <s v="No agreement"/>
    <s v="More than 150% MBS Fee to 200% MBS Fee"/>
    <n v="16978999.469999999"/>
    <n v="7186189.8200000003"/>
    <n v="2403438.39"/>
    <n v="69039"/>
  </r>
  <r>
    <x v="11"/>
    <x v="1"/>
    <s v="NSW"/>
    <s v="No agreement"/>
    <s v="More than 200% MBS Fee"/>
    <n v="66295699.719999999"/>
    <n v="18232506.850000001"/>
    <n v="6137596.4500000002"/>
    <n v="142654"/>
  </r>
  <r>
    <x v="11"/>
    <x v="1"/>
    <s v="NSW"/>
    <s v="No agreement"/>
    <s v="Up to MBS Fee"/>
    <n v="21407720.030000001"/>
    <n v="16168093.09"/>
    <n v="5236834.49"/>
    <n v="337327"/>
  </r>
  <r>
    <x v="11"/>
    <x v="1"/>
    <s v="NSW"/>
    <s v="No gap agreement"/>
    <s v="100% MBS Fee to 125% MBS Fee"/>
    <n v="26767018.969999999"/>
    <n v="17180053.57"/>
    <n v="9586895.5999999996"/>
    <n v="350951"/>
  </r>
  <r>
    <x v="11"/>
    <x v="1"/>
    <s v="NSW"/>
    <s v="No gap agreement"/>
    <s v="More than 125% MBS Fee to 150% MBS Fee"/>
    <n v="48618959.640000001"/>
    <n v="26665768.059999999"/>
    <n v="21952985.43"/>
    <n v="229282"/>
  </r>
  <r>
    <x v="11"/>
    <x v="1"/>
    <s v="NSW"/>
    <s v="No gap agreement"/>
    <s v="More than 150% MBS Fee to 200% MBS Fee"/>
    <n v="36305086.32"/>
    <n v="16992702.649999999"/>
    <n v="19312117.43"/>
    <n v="237004"/>
  </r>
  <r>
    <x v="11"/>
    <x v="1"/>
    <s v="NSW"/>
    <s v="No gap agreement"/>
    <s v="More than 200% MBS Fee"/>
    <n v="3865298.12"/>
    <n v="1142020.4099999999"/>
    <n v="2723276.59"/>
    <n v="4739"/>
  </r>
  <r>
    <x v="11"/>
    <x v="1"/>
    <s v="NSW"/>
    <s v="No gap agreement"/>
    <s v="Up to MBS Fee"/>
    <n v="6940923.5700000003"/>
    <n v="5224083.3600000003"/>
    <n v="1716997.55"/>
    <n v="159589"/>
  </r>
  <r>
    <x v="11"/>
    <x v="1"/>
    <s v="NT"/>
    <s v="Known gap agreement"/>
    <s v="100% MBS Fee to 125% MBS Fee"/>
    <n v="9054.56"/>
    <n v="5862.6"/>
    <n v="2361.9"/>
    <n v="56"/>
  </r>
  <r>
    <x v="11"/>
    <x v="1"/>
    <s v="NT"/>
    <s v="Known gap agreement"/>
    <s v="More than 125% MBS Fee to 150% MBS Fee"/>
    <n v="11981.85"/>
    <n v="6419.45"/>
    <n v="3861.57"/>
    <n v="56"/>
  </r>
  <r>
    <x v="11"/>
    <x v="1"/>
    <s v="NT"/>
    <s v="Known gap agreement"/>
    <s v="More than 150% MBS Fee to 200% MBS Fee"/>
    <n v="83641.91"/>
    <n v="35584.400000000001"/>
    <n v="31824.15"/>
    <n v="187"/>
  </r>
  <r>
    <x v="11"/>
    <x v="1"/>
    <s v="NT"/>
    <s v="Known gap agreement"/>
    <s v="More than 200% MBS Fee"/>
    <n v="174744.62"/>
    <n v="48779.05"/>
    <n v="49725.34"/>
    <n v="503"/>
  </r>
  <r>
    <x v="11"/>
    <x v="1"/>
    <s v="NT"/>
    <s v="No agreement"/>
    <s v="100% MBS Fee to 125% MBS Fee"/>
    <n v="55318.29"/>
    <n v="36523.9"/>
    <n v="12384"/>
    <n v="379"/>
  </r>
  <r>
    <x v="11"/>
    <x v="1"/>
    <s v="NT"/>
    <s v="No agreement"/>
    <s v="More than 125% MBS Fee to 150% MBS Fee"/>
    <n v="67555.070000000007"/>
    <n v="36581.35"/>
    <n v="13932.84"/>
    <n v="365"/>
  </r>
  <r>
    <x v="11"/>
    <x v="1"/>
    <s v="NT"/>
    <s v="No agreement"/>
    <s v="More than 150% MBS Fee to 200% MBS Fee"/>
    <n v="166669"/>
    <n v="70706.350000000006"/>
    <n v="27408.54"/>
    <n v="1202"/>
  </r>
  <r>
    <x v="11"/>
    <x v="1"/>
    <s v="NT"/>
    <s v="No agreement"/>
    <s v="More than 200% MBS Fee"/>
    <n v="499899.46"/>
    <n v="140492.85"/>
    <n v="51095.42"/>
    <n v="1146"/>
  </r>
  <r>
    <x v="11"/>
    <x v="1"/>
    <s v="NT"/>
    <s v="No agreement"/>
    <s v="Up to MBS Fee"/>
    <n v="218267.91"/>
    <n v="164538.26"/>
    <n v="53729.65"/>
    <n v="2314"/>
  </r>
  <r>
    <x v="11"/>
    <x v="1"/>
    <s v="NT"/>
    <s v="No gap agreement"/>
    <s v="100% MBS Fee to 125% MBS Fee"/>
    <n v="235949.68"/>
    <n v="152744.5"/>
    <n v="83197.13"/>
    <n v="2706"/>
  </r>
  <r>
    <x v="11"/>
    <x v="1"/>
    <s v="NT"/>
    <s v="No gap agreement"/>
    <s v="More than 125% MBS Fee to 150% MBS Fee"/>
    <n v="700851.43"/>
    <n v="380088.74"/>
    <n v="320753.69"/>
    <n v="2251"/>
  </r>
  <r>
    <x v="11"/>
    <x v="1"/>
    <s v="NT"/>
    <s v="No gap agreement"/>
    <s v="More than 150% MBS Fee to 200% MBS Fee"/>
    <n v="530008.25"/>
    <n v="244011.25"/>
    <n v="285980.40000000002"/>
    <n v="3101"/>
  </r>
  <r>
    <x v="11"/>
    <x v="1"/>
    <s v="NT"/>
    <s v="No gap agreement"/>
    <s v="More than 200% MBS Fee"/>
    <n v="46363.9"/>
    <n v="13138.05"/>
    <n v="33225.85"/>
    <n v="631"/>
  </r>
  <r>
    <x v="11"/>
    <x v="1"/>
    <s v="NT"/>
    <s v="No gap agreement"/>
    <s v="Up to MBS Fee"/>
    <n v="35769.08"/>
    <n v="26972.15"/>
    <n v="8796.93"/>
    <n v="864"/>
  </r>
  <r>
    <x v="11"/>
    <x v="1"/>
    <s v="QLD"/>
    <s v="Known gap agreement"/>
    <s v="100% MBS Fee to 125% MBS Fee"/>
    <n v="489029.62"/>
    <n v="323091.75"/>
    <n v="139251.22"/>
    <n v="3450"/>
  </r>
  <r>
    <x v="11"/>
    <x v="1"/>
    <s v="QLD"/>
    <s v="Known gap agreement"/>
    <s v="More than 125% MBS Fee to 150% MBS Fee"/>
    <n v="1171844.1399999999"/>
    <n v="630409.04"/>
    <n v="441387.56"/>
    <n v="6071"/>
  </r>
  <r>
    <x v="11"/>
    <x v="1"/>
    <s v="QLD"/>
    <s v="Known gap agreement"/>
    <s v="More than 150% MBS Fee to 200% MBS Fee"/>
    <n v="4404459.3"/>
    <n v="1875630.46"/>
    <n v="1736529.23"/>
    <n v="12463"/>
  </r>
  <r>
    <x v="11"/>
    <x v="1"/>
    <s v="QLD"/>
    <s v="Known gap agreement"/>
    <s v="More than 200% MBS Fee"/>
    <n v="7497718.1600000001"/>
    <n v="2152909.35"/>
    <n v="2309770.12"/>
    <n v="24169"/>
  </r>
  <r>
    <x v="11"/>
    <x v="1"/>
    <s v="QLD"/>
    <s v="No agreement"/>
    <s v="100% MBS Fee to 125% MBS Fee"/>
    <n v="2914315.43"/>
    <n v="1951999.79"/>
    <n v="686106.09"/>
    <n v="25217"/>
  </r>
  <r>
    <x v="11"/>
    <x v="1"/>
    <s v="QLD"/>
    <s v="No agreement"/>
    <s v="More than 125% MBS Fee to 150% MBS Fee"/>
    <n v="4886018.78"/>
    <n v="2676562.4500000002"/>
    <n v="966361.82"/>
    <n v="27973"/>
  </r>
  <r>
    <x v="11"/>
    <x v="1"/>
    <s v="QLD"/>
    <s v="No agreement"/>
    <s v="More than 150% MBS Fee to 200% MBS Fee"/>
    <n v="10951610.529999999"/>
    <n v="4688460.96"/>
    <n v="1622188.65"/>
    <n v="50597"/>
  </r>
  <r>
    <x v="11"/>
    <x v="1"/>
    <s v="QLD"/>
    <s v="No agreement"/>
    <s v="More than 200% MBS Fee"/>
    <n v="20692836.670000002"/>
    <n v="5772234.6799999997"/>
    <n v="2014826.69"/>
    <n v="47064"/>
  </r>
  <r>
    <x v="11"/>
    <x v="1"/>
    <s v="QLD"/>
    <s v="No agreement"/>
    <s v="Up to MBS Fee"/>
    <n v="7435369.4000000004"/>
    <n v="5636462.1900000004"/>
    <n v="1798866.41"/>
    <n v="93651"/>
  </r>
  <r>
    <x v="11"/>
    <x v="1"/>
    <s v="QLD"/>
    <s v="No gap agreement"/>
    <s v="100% MBS Fee to 125% MBS Fee"/>
    <n v="23388872.539999999"/>
    <n v="15148894.24"/>
    <n v="8239953.8700000001"/>
    <n v="392371"/>
  </r>
  <r>
    <x v="11"/>
    <x v="1"/>
    <s v="QLD"/>
    <s v="No gap agreement"/>
    <s v="More than 125% MBS Fee to 150% MBS Fee"/>
    <n v="35398431.600000001"/>
    <n v="19536682.280000001"/>
    <n v="15861739.529999999"/>
    <n v="201072"/>
  </r>
  <r>
    <x v="11"/>
    <x v="1"/>
    <s v="QLD"/>
    <s v="No gap agreement"/>
    <s v="More than 150% MBS Fee to 200% MBS Fee"/>
    <n v="21900310.5"/>
    <n v="10295578.359999999"/>
    <n v="11604682.439999999"/>
    <n v="155713"/>
  </r>
  <r>
    <x v="11"/>
    <x v="1"/>
    <s v="QLD"/>
    <s v="No gap agreement"/>
    <s v="More than 200% MBS Fee"/>
    <n v="3186807.03"/>
    <n v="880614.5"/>
    <n v="2306192.5299999998"/>
    <n v="2882"/>
  </r>
  <r>
    <x v="11"/>
    <x v="1"/>
    <s v="QLD"/>
    <s v="No gap agreement"/>
    <s v="Up to MBS Fee"/>
    <n v="1487890.49"/>
    <n v="1165666.7"/>
    <n v="322223.78999999998"/>
    <n v="32172"/>
  </r>
  <r>
    <x v="11"/>
    <x v="1"/>
    <s v="SA"/>
    <s v="Known gap agreement"/>
    <s v="100% MBS Fee to 125% MBS Fee"/>
    <n v="1348639.97"/>
    <n v="878069.3"/>
    <n v="426898.38"/>
    <n v="9914"/>
  </r>
  <r>
    <x v="11"/>
    <x v="1"/>
    <s v="SA"/>
    <s v="Known gap agreement"/>
    <s v="More than 125% MBS Fee to 150% MBS Fee"/>
    <n v="2009242.76"/>
    <n v="1092554.8999999999"/>
    <n v="839407.89"/>
    <n v="8429"/>
  </r>
  <r>
    <x v="11"/>
    <x v="1"/>
    <s v="SA"/>
    <s v="Known gap agreement"/>
    <s v="More than 150% MBS Fee to 200% MBS Fee"/>
    <n v="2278847.21"/>
    <n v="1040475.95"/>
    <n v="1071663.3500000001"/>
    <n v="9451"/>
  </r>
  <r>
    <x v="11"/>
    <x v="1"/>
    <s v="SA"/>
    <s v="Known gap agreement"/>
    <s v="More than 200% MBS Fee"/>
    <n v="1119337.9099999999"/>
    <n v="303534.3"/>
    <n v="346659.69"/>
    <n v="2459"/>
  </r>
  <r>
    <x v="11"/>
    <x v="1"/>
    <s v="SA"/>
    <s v="No agreement"/>
    <s v="100% MBS Fee to 125% MBS Fee"/>
    <n v="443415.06"/>
    <n v="294540.78999999998"/>
    <n v="104907.95"/>
    <n v="4237"/>
  </r>
  <r>
    <x v="11"/>
    <x v="1"/>
    <s v="SA"/>
    <s v="No agreement"/>
    <s v="More than 125% MBS Fee to 150% MBS Fee"/>
    <n v="753503.56"/>
    <n v="402539.45"/>
    <n v="148978.34"/>
    <n v="5701"/>
  </r>
  <r>
    <x v="11"/>
    <x v="1"/>
    <s v="SA"/>
    <s v="No agreement"/>
    <s v="More than 150% MBS Fee to 200% MBS Fee"/>
    <n v="649733.49"/>
    <n v="280477.89"/>
    <n v="112434.12"/>
    <n v="3897"/>
  </r>
  <r>
    <x v="11"/>
    <x v="1"/>
    <s v="SA"/>
    <s v="No agreement"/>
    <s v="More than 200% MBS Fee"/>
    <n v="1384845.95"/>
    <n v="314565.59000000003"/>
    <n v="110760.14"/>
    <n v="2654"/>
  </r>
  <r>
    <x v="11"/>
    <x v="1"/>
    <s v="SA"/>
    <s v="No agreement"/>
    <s v="Up to MBS Fee"/>
    <n v="7385171.9400000004"/>
    <n v="5583602.29"/>
    <n v="1801364.25"/>
    <n v="58406"/>
  </r>
  <r>
    <x v="11"/>
    <x v="1"/>
    <s v="SA"/>
    <s v="No gap agreement"/>
    <s v="100% MBS Fee to 125% MBS Fee"/>
    <n v="8677457.4299999997"/>
    <n v="5816841.6500000004"/>
    <n v="2860596.54"/>
    <n v="156932"/>
  </r>
  <r>
    <x v="11"/>
    <x v="1"/>
    <s v="SA"/>
    <s v="No gap agreement"/>
    <s v="More than 125% MBS Fee to 150% MBS Fee"/>
    <n v="17845426.949999999"/>
    <n v="9748708.4900000002"/>
    <n v="8096692.4400000004"/>
    <n v="87188"/>
  </r>
  <r>
    <x v="11"/>
    <x v="1"/>
    <s v="SA"/>
    <s v="No gap agreement"/>
    <s v="More than 150% MBS Fee to 200% MBS Fee"/>
    <n v="15895703.449999999"/>
    <n v="7330470.9400000004"/>
    <n v="8565215.9299999997"/>
    <n v="81554"/>
  </r>
  <r>
    <x v="11"/>
    <x v="1"/>
    <s v="SA"/>
    <s v="No gap agreement"/>
    <s v="More than 200% MBS Fee"/>
    <n v="1014416.97"/>
    <n v="267595.25"/>
    <n v="746821.72"/>
    <n v="840"/>
  </r>
  <r>
    <x v="11"/>
    <x v="1"/>
    <s v="SA"/>
    <s v="No gap agreement"/>
    <s v="Up to MBS Fee"/>
    <n v="1987261.55"/>
    <n v="1497342.71"/>
    <n v="489932.44"/>
    <n v="22081"/>
  </r>
  <r>
    <x v="11"/>
    <x v="1"/>
    <s v="TAS"/>
    <s v="Known gap agreement"/>
    <s v="100% MBS Fee to 125% MBS Fee"/>
    <n v="72233.210000000006"/>
    <n v="48932.5"/>
    <n v="18988.650000000001"/>
    <n v="373"/>
  </r>
  <r>
    <x v="11"/>
    <x v="1"/>
    <s v="TAS"/>
    <s v="Known gap agreement"/>
    <s v="More than 125% MBS Fee to 150% MBS Fee"/>
    <n v="79223.34"/>
    <n v="42901.55"/>
    <n v="30478.12"/>
    <n v="409"/>
  </r>
  <r>
    <x v="11"/>
    <x v="1"/>
    <s v="TAS"/>
    <s v="Known gap agreement"/>
    <s v="More than 150% MBS Fee to 200% MBS Fee"/>
    <n v="450732.08"/>
    <n v="189989.65"/>
    <n v="201600.26"/>
    <n v="1325"/>
  </r>
  <r>
    <x v="11"/>
    <x v="1"/>
    <s v="TAS"/>
    <s v="Known gap agreement"/>
    <s v="More than 200% MBS Fee"/>
    <n v="741391.19"/>
    <n v="230793.15"/>
    <n v="259609.4"/>
    <n v="2302"/>
  </r>
  <r>
    <x v="11"/>
    <x v="1"/>
    <s v="TAS"/>
    <s v="No agreement"/>
    <s v="100% MBS Fee to 125% MBS Fee"/>
    <n v="226485.41"/>
    <n v="149879.06"/>
    <n v="49806.23"/>
    <n v="1697"/>
  </r>
  <r>
    <x v="11"/>
    <x v="1"/>
    <s v="TAS"/>
    <s v="No agreement"/>
    <s v="More than 125% MBS Fee to 150% MBS Fee"/>
    <n v="326805.49"/>
    <n v="180050.22"/>
    <n v="60433.88"/>
    <n v="1208"/>
  </r>
  <r>
    <x v="11"/>
    <x v="1"/>
    <s v="TAS"/>
    <s v="No agreement"/>
    <s v="More than 150% MBS Fee to 200% MBS Fee"/>
    <n v="508672.08"/>
    <n v="217712.3"/>
    <n v="72974.95"/>
    <n v="2402"/>
  </r>
  <r>
    <x v="11"/>
    <x v="1"/>
    <s v="TAS"/>
    <s v="No agreement"/>
    <s v="More than 200% MBS Fee"/>
    <n v="1563695.99"/>
    <n v="379355"/>
    <n v="135167.42000000001"/>
    <n v="3026"/>
  </r>
  <r>
    <x v="11"/>
    <x v="1"/>
    <s v="TAS"/>
    <s v="No agreement"/>
    <s v="Up to MBS Fee"/>
    <n v="1573234.65"/>
    <n v="1185494.81"/>
    <n v="387739.84"/>
    <n v="24070"/>
  </r>
  <r>
    <x v="11"/>
    <x v="1"/>
    <s v="TAS"/>
    <s v="No gap agreement"/>
    <s v="100% MBS Fee to 125% MBS Fee"/>
    <n v="2384384.83"/>
    <n v="1546612.5"/>
    <n v="837772.26"/>
    <n v="34416"/>
  </r>
  <r>
    <x v="11"/>
    <x v="1"/>
    <s v="TAS"/>
    <s v="No gap agreement"/>
    <s v="More than 125% MBS Fee to 150% MBS Fee"/>
    <n v="4278524.79"/>
    <n v="2339606.67"/>
    <n v="1938918.06"/>
    <n v="17223"/>
  </r>
  <r>
    <x v="11"/>
    <x v="1"/>
    <s v="TAS"/>
    <s v="No gap agreement"/>
    <s v="More than 150% MBS Fee to 200% MBS Fee"/>
    <n v="3136069.04"/>
    <n v="1451519.7"/>
    <n v="1684548.47"/>
    <n v="21402"/>
  </r>
  <r>
    <x v="11"/>
    <x v="1"/>
    <s v="TAS"/>
    <s v="No gap agreement"/>
    <s v="More than 200% MBS Fee"/>
    <n v="374615.32"/>
    <n v="105315.25"/>
    <n v="269300.07"/>
    <n v="388"/>
  </r>
  <r>
    <x v="11"/>
    <x v="1"/>
    <s v="TAS"/>
    <s v="No gap agreement"/>
    <s v="Up to MBS Fee"/>
    <n v="145539.99"/>
    <n v="110708.11"/>
    <n v="34831.879999999997"/>
    <n v="1727"/>
  </r>
  <r>
    <x v="11"/>
    <x v="1"/>
    <s v="VIC"/>
    <s v="Known gap agreement"/>
    <s v="100% MBS Fee to 125% MBS Fee"/>
    <n v="2020258.07"/>
    <n v="1328046.2"/>
    <n v="607194.64"/>
    <n v="9909"/>
  </r>
  <r>
    <x v="11"/>
    <x v="1"/>
    <s v="VIC"/>
    <s v="Known gap agreement"/>
    <s v="More than 125% MBS Fee to 150% MBS Fee"/>
    <n v="3197695.6"/>
    <n v="1741725.95"/>
    <n v="1144833.53"/>
    <n v="12585"/>
  </r>
  <r>
    <x v="11"/>
    <x v="1"/>
    <s v="VIC"/>
    <s v="Known gap agreement"/>
    <s v="More than 150% MBS Fee to 200% MBS Fee"/>
    <n v="6700252.29"/>
    <n v="2881396.4"/>
    <n v="2546834.4"/>
    <n v="28835"/>
  </r>
  <r>
    <x v="11"/>
    <x v="1"/>
    <s v="VIC"/>
    <s v="Known gap agreement"/>
    <s v="More than 200% MBS Fee"/>
    <n v="6468576.9199999999"/>
    <n v="1869816.52"/>
    <n v="1882221.49"/>
    <n v="19614"/>
  </r>
  <r>
    <x v="11"/>
    <x v="1"/>
    <s v="VIC"/>
    <s v="No agreement"/>
    <s v="100% MBS Fee to 125% MBS Fee"/>
    <n v="2803140.4"/>
    <n v="1854355.55"/>
    <n v="628369.07999999996"/>
    <n v="22711"/>
  </r>
  <r>
    <x v="11"/>
    <x v="1"/>
    <s v="VIC"/>
    <s v="No agreement"/>
    <s v="More than 125% MBS Fee to 150% MBS Fee"/>
    <n v="2985024.33"/>
    <n v="1643480.84"/>
    <n v="568256.02"/>
    <n v="17352"/>
  </r>
  <r>
    <x v="11"/>
    <x v="1"/>
    <s v="VIC"/>
    <s v="No agreement"/>
    <s v="More than 150% MBS Fee to 200% MBS Fee"/>
    <n v="7053732.5599999996"/>
    <n v="3018277.19"/>
    <n v="1026202"/>
    <n v="47913"/>
  </r>
  <r>
    <x v="11"/>
    <x v="1"/>
    <s v="VIC"/>
    <s v="No agreement"/>
    <s v="More than 200% MBS Fee"/>
    <n v="12017584.619999999"/>
    <n v="3239931.41"/>
    <n v="1104044.8899999999"/>
    <n v="28769"/>
  </r>
  <r>
    <x v="11"/>
    <x v="1"/>
    <s v="VIC"/>
    <s v="No agreement"/>
    <s v="Up to MBS Fee"/>
    <n v="14403678.23"/>
    <n v="10855333.01"/>
    <n v="3548060.77"/>
    <n v="177073"/>
  </r>
  <r>
    <x v="11"/>
    <x v="1"/>
    <s v="VIC"/>
    <s v="No gap agreement"/>
    <s v="100% MBS Fee to 125% MBS Fee"/>
    <n v="24735392.609999999"/>
    <n v="16027635.76"/>
    <n v="8707702.4299999997"/>
    <n v="326208"/>
  </r>
  <r>
    <x v="11"/>
    <x v="1"/>
    <s v="VIC"/>
    <s v="No gap agreement"/>
    <s v="More than 125% MBS Fee to 150% MBS Fee"/>
    <n v="53650328.369999997"/>
    <n v="29712362.280000001"/>
    <n v="23937916.129999999"/>
    <n v="333912"/>
  </r>
  <r>
    <x v="11"/>
    <x v="1"/>
    <s v="VIC"/>
    <s v="No gap agreement"/>
    <s v="More than 150% MBS Fee to 200% MBS Fee"/>
    <n v="39927535.729999997"/>
    <n v="18504147.859999999"/>
    <n v="21423297.079999998"/>
    <n v="261692"/>
  </r>
  <r>
    <x v="11"/>
    <x v="1"/>
    <s v="VIC"/>
    <s v="No gap agreement"/>
    <s v="More than 200% MBS Fee"/>
    <n v="2427530.5499999998"/>
    <n v="689857.09"/>
    <n v="1737673.46"/>
    <n v="2438"/>
  </r>
  <r>
    <x v="11"/>
    <x v="1"/>
    <s v="VIC"/>
    <s v="No gap agreement"/>
    <s v="Up to MBS Fee"/>
    <n v="5733397.9299999997"/>
    <n v="4317928.46"/>
    <n v="1415468.62"/>
    <n v="96962"/>
  </r>
  <r>
    <x v="11"/>
    <x v="1"/>
    <s v="WA"/>
    <s v="Known gap agreement"/>
    <s v="100% MBS Fee to 125% MBS Fee"/>
    <n v="1328905.3700000001"/>
    <n v="899694.8"/>
    <n v="395905.04"/>
    <n v="10421"/>
  </r>
  <r>
    <x v="11"/>
    <x v="1"/>
    <s v="WA"/>
    <s v="Known gap agreement"/>
    <s v="More than 125% MBS Fee to 150% MBS Fee"/>
    <n v="3110309.79"/>
    <n v="1692856.87"/>
    <n v="1103572.6499999999"/>
    <n v="13817"/>
  </r>
  <r>
    <x v="11"/>
    <x v="1"/>
    <s v="WA"/>
    <s v="Known gap agreement"/>
    <s v="More than 150% MBS Fee to 200% MBS Fee"/>
    <n v="4938311.04"/>
    <n v="2184818.9500000002"/>
    <n v="1544631.53"/>
    <n v="20527"/>
  </r>
  <r>
    <x v="11"/>
    <x v="1"/>
    <s v="WA"/>
    <s v="Known gap agreement"/>
    <s v="More than 200% MBS Fee"/>
    <n v="7792703.9299999997"/>
    <n v="1853002.3"/>
    <n v="1418850.01"/>
    <n v="18934"/>
  </r>
  <r>
    <x v="11"/>
    <x v="1"/>
    <s v="WA"/>
    <s v="No agreement"/>
    <s v="100% MBS Fee to 125% MBS Fee"/>
    <n v="553895.03"/>
    <n v="360430.31"/>
    <n v="120818.75"/>
    <n v="3748"/>
  </r>
  <r>
    <x v="11"/>
    <x v="1"/>
    <s v="WA"/>
    <s v="No agreement"/>
    <s v="More than 125% MBS Fee to 150% MBS Fee"/>
    <n v="1403267.51"/>
    <n v="764604.01"/>
    <n v="260648.55"/>
    <n v="9105"/>
  </r>
  <r>
    <x v="11"/>
    <x v="1"/>
    <s v="WA"/>
    <s v="No agreement"/>
    <s v="More than 150% MBS Fee to 200% MBS Fee"/>
    <n v="1831513.54"/>
    <n v="804162.72"/>
    <n v="279955.28999999998"/>
    <n v="17791"/>
  </r>
  <r>
    <x v="11"/>
    <x v="1"/>
    <s v="WA"/>
    <s v="No agreement"/>
    <s v="More than 200% MBS Fee"/>
    <n v="2225747.7000000002"/>
    <n v="547592.42000000004"/>
    <n v="190332.72"/>
    <n v="4708"/>
  </r>
  <r>
    <x v="11"/>
    <x v="1"/>
    <s v="WA"/>
    <s v="No agreement"/>
    <s v="Up to MBS Fee"/>
    <n v="1376504.49"/>
    <n v="1037942.53"/>
    <n v="338511.01"/>
    <n v="25315"/>
  </r>
  <r>
    <x v="11"/>
    <x v="1"/>
    <s v="WA"/>
    <s v="No gap agreement"/>
    <s v="100% MBS Fee to 125% MBS Fee"/>
    <n v="8759212.1500000004"/>
    <n v="5588288.5999999996"/>
    <n v="3170920"/>
    <n v="112072"/>
  </r>
  <r>
    <x v="11"/>
    <x v="1"/>
    <s v="WA"/>
    <s v="No gap agreement"/>
    <s v="More than 125% MBS Fee to 150% MBS Fee"/>
    <n v="17643466.550000001"/>
    <n v="9791097.9900000002"/>
    <n v="7852368.4100000001"/>
    <n v="66731"/>
  </r>
  <r>
    <x v="11"/>
    <x v="1"/>
    <s v="WA"/>
    <s v="No gap agreement"/>
    <s v="More than 150% MBS Fee to 200% MBS Fee"/>
    <n v="15051430.289999999"/>
    <n v="6716130.0300000003"/>
    <n v="8335300.0899999999"/>
    <n v="92543"/>
  </r>
  <r>
    <x v="11"/>
    <x v="1"/>
    <s v="WA"/>
    <s v="No gap agreement"/>
    <s v="More than 200% MBS Fee"/>
    <n v="2077202.17"/>
    <n v="480337.75"/>
    <n v="1596864.42"/>
    <n v="1490"/>
  </r>
  <r>
    <x v="11"/>
    <x v="1"/>
    <s v="WA"/>
    <s v="No gap agreement"/>
    <s v="Up to MBS Fee"/>
    <n v="1143129.58"/>
    <n v="866529.64"/>
    <n v="276600.01"/>
    <n v="17657"/>
  </r>
  <r>
    <x v="12"/>
    <x v="0"/>
    <s v="NSW"/>
    <s v="No agreement"/>
    <s v="Up to MBS Fee"/>
    <n v="24363969.539999999"/>
    <n v="18592898.02"/>
    <n v="5770581.8899999997"/>
    <n v="451029"/>
  </r>
  <r>
    <x v="12"/>
    <x v="0"/>
    <s v="NSW"/>
    <s v="No agreement"/>
    <s v="100% MBS Fee to 125% MBS Fee"/>
    <n v="3636087.19"/>
    <n v="2426024.34"/>
    <n v="820209.98"/>
    <n v="19745"/>
  </r>
  <r>
    <x v="12"/>
    <x v="0"/>
    <s v="NSW"/>
    <s v="No agreement"/>
    <s v="More than 125% MBS Fee to 150% MBS Fee"/>
    <n v="5324489.7"/>
    <n v="2865238.72"/>
    <n v="1018497.93"/>
    <n v="52957"/>
  </r>
  <r>
    <x v="12"/>
    <x v="0"/>
    <s v="NSW"/>
    <s v="No agreement"/>
    <s v="More than 150% MBS Fee to 200% MBS Fee"/>
    <n v="17082362.789999999"/>
    <n v="7211188.9800000004"/>
    <n v="2498135.56"/>
    <n v="68698"/>
  </r>
  <r>
    <x v="12"/>
    <x v="0"/>
    <s v="NSW"/>
    <s v="No agreement"/>
    <s v="More than 200% MBS Fee"/>
    <n v="79429463.680000007"/>
    <n v="20697536.859999999"/>
    <n v="7023100.5999999996"/>
    <n v="152954"/>
  </r>
  <r>
    <x v="12"/>
    <x v="0"/>
    <s v="NSW"/>
    <s v="Known gap agreement"/>
    <s v="100% MBS Fee to 125% MBS Fee"/>
    <n v="675171.25"/>
    <n v="449014.48"/>
    <n v="201567.12"/>
    <n v="4208"/>
  </r>
  <r>
    <x v="12"/>
    <x v="0"/>
    <s v="NSW"/>
    <s v="Known gap agreement"/>
    <s v="More than 125% MBS Fee to 150% MBS Fee"/>
    <n v="1524252.28"/>
    <n v="825929.18"/>
    <n v="606114.31999999995"/>
    <n v="4623"/>
  </r>
  <r>
    <x v="12"/>
    <x v="0"/>
    <s v="NSW"/>
    <s v="Known gap agreement"/>
    <s v="More than 150% MBS Fee to 200% MBS Fee"/>
    <n v="3770335.73"/>
    <n v="1640116.71"/>
    <n v="1596784.45"/>
    <n v="14028"/>
  </r>
  <r>
    <x v="12"/>
    <x v="0"/>
    <s v="NSW"/>
    <s v="Known gap agreement"/>
    <s v="More than 200% MBS Fee"/>
    <n v="5909107.29"/>
    <n v="1554790.07"/>
    <n v="1772671.72"/>
    <n v="16397"/>
  </r>
  <r>
    <x v="12"/>
    <x v="0"/>
    <s v="NSW"/>
    <s v="No gap agreement"/>
    <s v="Up to MBS Fee"/>
    <n v="6959735.6900000004"/>
    <n v="5269923.57"/>
    <n v="1690113.8"/>
    <n v="194250"/>
  </r>
  <r>
    <x v="12"/>
    <x v="0"/>
    <s v="NSW"/>
    <s v="No gap agreement"/>
    <s v="100% MBS Fee to 125% MBS Fee"/>
    <n v="30231633.289999999"/>
    <n v="19416075.309999999"/>
    <n v="10815198.300000001"/>
    <n v="397907"/>
  </r>
  <r>
    <x v="12"/>
    <x v="0"/>
    <s v="NSW"/>
    <s v="No gap agreement"/>
    <s v="More than 125% MBS Fee to 150% MBS Fee"/>
    <n v="55180404.539999999"/>
    <n v="30341083.23"/>
    <n v="24838955.629999999"/>
    <n v="229184"/>
  </r>
  <r>
    <x v="12"/>
    <x v="0"/>
    <s v="NSW"/>
    <s v="No gap agreement"/>
    <s v="More than 150% MBS Fee to 200% MBS Fee"/>
    <n v="46481580"/>
    <n v="21637233.390000001"/>
    <n v="24844135.739999998"/>
    <n v="310705"/>
  </r>
  <r>
    <x v="12"/>
    <x v="0"/>
    <s v="NSW"/>
    <s v="No gap agreement"/>
    <s v="More than 200% MBS Fee"/>
    <n v="4309308.4800000004"/>
    <n v="1213142.3700000001"/>
    <n v="3096165.14"/>
    <n v="4721"/>
  </r>
  <r>
    <x v="12"/>
    <x v="0"/>
    <s v="VIC"/>
    <s v="No agreement"/>
    <s v="Up to MBS Fee"/>
    <n v="14149683.109999999"/>
    <n v="10668733.65"/>
    <n v="3480365.81"/>
    <n v="152701"/>
  </r>
  <r>
    <x v="12"/>
    <x v="0"/>
    <s v="VIC"/>
    <s v="No agreement"/>
    <s v="100% MBS Fee to 125% MBS Fee"/>
    <n v="2638004.12"/>
    <n v="1747988.57"/>
    <n v="617828.31999999995"/>
    <n v="18837"/>
  </r>
  <r>
    <x v="12"/>
    <x v="0"/>
    <s v="VIC"/>
    <s v="No agreement"/>
    <s v="More than 125% MBS Fee to 150% MBS Fee"/>
    <n v="2957659.66"/>
    <n v="1619871.52"/>
    <n v="654635.54"/>
    <n v="16214"/>
  </r>
  <r>
    <x v="12"/>
    <x v="0"/>
    <s v="VIC"/>
    <s v="No agreement"/>
    <s v="More than 150% MBS Fee to 200% MBS Fee"/>
    <n v="6632982.4800000004"/>
    <n v="2809122.94"/>
    <n v="1008625.14"/>
    <n v="43442"/>
  </r>
  <r>
    <x v="12"/>
    <x v="0"/>
    <s v="VIC"/>
    <s v="No agreement"/>
    <s v="More than 200% MBS Fee"/>
    <n v="14152367.130000001"/>
    <n v="3688954.47"/>
    <n v="1269286.1200000001"/>
    <n v="31767"/>
  </r>
  <r>
    <x v="12"/>
    <x v="0"/>
    <s v="VIC"/>
    <s v="Known gap agreement"/>
    <s v="100% MBS Fee to 125% MBS Fee"/>
    <n v="1652647.28"/>
    <n v="1085405.3999999999"/>
    <n v="470792.89"/>
    <n v="9411"/>
  </r>
  <r>
    <x v="12"/>
    <x v="0"/>
    <s v="VIC"/>
    <s v="Known gap agreement"/>
    <s v="More than 125% MBS Fee to 150% MBS Fee"/>
    <n v="3220464.14"/>
    <n v="1748414.29"/>
    <n v="1166364.8700000001"/>
    <n v="12535"/>
  </r>
  <r>
    <x v="12"/>
    <x v="0"/>
    <s v="VIC"/>
    <s v="Known gap agreement"/>
    <s v="More than 150% MBS Fee to 200% MBS Fee"/>
    <n v="6583180.2599999998"/>
    <n v="2808960.44"/>
    <n v="2481411.27"/>
    <n v="26349"/>
  </r>
  <r>
    <x v="12"/>
    <x v="0"/>
    <s v="VIC"/>
    <s v="Known gap agreement"/>
    <s v="More than 200% MBS Fee"/>
    <n v="7499129.0599999996"/>
    <n v="2135163.4500000002"/>
    <n v="2171447.52"/>
    <n v="21813"/>
  </r>
  <r>
    <x v="12"/>
    <x v="0"/>
    <s v="VIC"/>
    <s v="No gap agreement"/>
    <s v="Up to MBS Fee"/>
    <n v="7391557.2800000003"/>
    <n v="5592060.2800000003"/>
    <n v="1799496.54"/>
    <n v="148473"/>
  </r>
  <r>
    <x v="12"/>
    <x v="0"/>
    <s v="VIC"/>
    <s v="No gap agreement"/>
    <s v="100% MBS Fee to 125% MBS Fee"/>
    <n v="30220943.41"/>
    <n v="19543747.140000001"/>
    <n v="10677094.689999999"/>
    <n v="388034"/>
  </r>
  <r>
    <x v="12"/>
    <x v="0"/>
    <s v="VIC"/>
    <s v="No gap agreement"/>
    <s v="More than 125% MBS Fee to 150% MBS Fee"/>
    <n v="61160145.740000002"/>
    <n v="33676881.57"/>
    <n v="27483175.390000001"/>
    <n v="364496"/>
  </r>
  <r>
    <x v="12"/>
    <x v="0"/>
    <s v="VIC"/>
    <s v="No gap agreement"/>
    <s v="More than 150% MBS Fee to 200% MBS Fee"/>
    <n v="47083300.909999996"/>
    <n v="21574793.640000001"/>
    <n v="25508384.670000002"/>
    <n v="302113"/>
  </r>
  <r>
    <x v="12"/>
    <x v="0"/>
    <s v="VIC"/>
    <s v="No gap agreement"/>
    <s v="More than 200% MBS Fee"/>
    <n v="2667942.84"/>
    <n v="742635.03"/>
    <n v="1925308.31"/>
    <n v="2493"/>
  </r>
  <r>
    <x v="12"/>
    <x v="0"/>
    <s v="QLD"/>
    <s v="No agreement"/>
    <s v="Up to MBS Fee"/>
    <n v="6992525.1200000001"/>
    <n v="5277402.09"/>
    <n v="1712834.3"/>
    <n v="91459"/>
  </r>
  <r>
    <x v="12"/>
    <x v="0"/>
    <s v="QLD"/>
    <s v="No agreement"/>
    <s v="100% MBS Fee to 125% MBS Fee"/>
    <n v="2200650.5299999998"/>
    <n v="1484029.76"/>
    <n v="493367.81"/>
    <n v="13895"/>
  </r>
  <r>
    <x v="12"/>
    <x v="0"/>
    <s v="QLD"/>
    <s v="No agreement"/>
    <s v="More than 125% MBS Fee to 150% MBS Fee"/>
    <n v="4234810.12"/>
    <n v="2310160.4700000002"/>
    <n v="781916"/>
    <n v="22595"/>
  </r>
  <r>
    <x v="12"/>
    <x v="0"/>
    <s v="QLD"/>
    <s v="No agreement"/>
    <s v="More than 150% MBS Fee to 200% MBS Fee"/>
    <n v="10607871.92"/>
    <n v="4497206.7"/>
    <n v="1533345.74"/>
    <n v="45461"/>
  </r>
  <r>
    <x v="12"/>
    <x v="0"/>
    <s v="QLD"/>
    <s v="No agreement"/>
    <s v="More than 200% MBS Fee"/>
    <n v="27023139.5"/>
    <n v="7439208.7199999997"/>
    <n v="2510493.4"/>
    <n v="63763"/>
  </r>
  <r>
    <x v="12"/>
    <x v="0"/>
    <s v="QLD"/>
    <s v="Known gap agreement"/>
    <s v="100% MBS Fee to 125% MBS Fee"/>
    <n v="371313.75"/>
    <n v="236752.94"/>
    <n v="96655.94"/>
    <n v="2103"/>
  </r>
  <r>
    <x v="12"/>
    <x v="0"/>
    <s v="QLD"/>
    <s v="Known gap agreement"/>
    <s v="More than 125% MBS Fee to 150% MBS Fee"/>
    <n v="1062559.33"/>
    <n v="578337.81999999995"/>
    <n v="408152.54"/>
    <n v="4080"/>
  </r>
  <r>
    <x v="12"/>
    <x v="0"/>
    <s v="QLD"/>
    <s v="Known gap agreement"/>
    <s v="More than 150% MBS Fee to 200% MBS Fee"/>
    <n v="4102041.76"/>
    <n v="1725152.53"/>
    <n v="1629593.97"/>
    <n v="10957"/>
  </r>
  <r>
    <x v="12"/>
    <x v="0"/>
    <s v="QLD"/>
    <s v="Known gap agreement"/>
    <s v="More than 200% MBS Fee"/>
    <n v="7911714.1399999997"/>
    <n v="2208720.86"/>
    <n v="2483023.54"/>
    <n v="23542"/>
  </r>
  <r>
    <x v="12"/>
    <x v="0"/>
    <s v="QLD"/>
    <s v="No gap agreement"/>
    <s v="Up to MBS Fee"/>
    <n v="2251638.8199999998"/>
    <n v="1723064.29"/>
    <n v="529050.86"/>
    <n v="42378"/>
  </r>
  <r>
    <x v="12"/>
    <x v="0"/>
    <s v="QLD"/>
    <s v="No gap agreement"/>
    <s v="100% MBS Fee to 125% MBS Fee"/>
    <n v="29175174.530000001"/>
    <n v="18749525.390000001"/>
    <n v="10425535.619999999"/>
    <n v="466534"/>
  </r>
  <r>
    <x v="12"/>
    <x v="0"/>
    <s v="QLD"/>
    <s v="No gap agreement"/>
    <s v="More than 125% MBS Fee to 150% MBS Fee"/>
    <n v="43387909.990000002"/>
    <n v="23949500.52"/>
    <n v="19438421.219999999"/>
    <n v="212843"/>
  </r>
  <r>
    <x v="12"/>
    <x v="0"/>
    <s v="QLD"/>
    <s v="No gap agreement"/>
    <s v="More than 150% MBS Fee to 200% MBS Fee"/>
    <n v="29767353.359999999"/>
    <n v="13902733.220000001"/>
    <n v="15864507.199999999"/>
    <n v="219160"/>
  </r>
  <r>
    <x v="12"/>
    <x v="0"/>
    <s v="QLD"/>
    <s v="No gap agreement"/>
    <s v="More than 200% MBS Fee"/>
    <n v="3792327.01"/>
    <n v="1030607.24"/>
    <n v="2761717.71"/>
    <n v="3353"/>
  </r>
  <r>
    <x v="12"/>
    <x v="0"/>
    <s v="SA"/>
    <s v="No agreement"/>
    <s v="Up to MBS Fee"/>
    <n v="10034112.02"/>
    <n v="7531359.1600000001"/>
    <n v="2502739.96"/>
    <n v="79692"/>
  </r>
  <r>
    <x v="12"/>
    <x v="0"/>
    <s v="SA"/>
    <s v="No agreement"/>
    <s v="100% MBS Fee to 125% MBS Fee"/>
    <n v="396446.47"/>
    <n v="262645.26"/>
    <n v="92914.18"/>
    <n v="4135"/>
  </r>
  <r>
    <x v="12"/>
    <x v="0"/>
    <s v="SA"/>
    <s v="No agreement"/>
    <s v="More than 125% MBS Fee to 150% MBS Fee"/>
    <n v="757055.26"/>
    <n v="408445.99"/>
    <n v="151386.26"/>
    <n v="4910"/>
  </r>
  <r>
    <x v="12"/>
    <x v="0"/>
    <s v="SA"/>
    <s v="No agreement"/>
    <s v="More than 150% MBS Fee to 200% MBS Fee"/>
    <n v="637042.97"/>
    <n v="277493.81"/>
    <n v="155617.26999999999"/>
    <n v="3883"/>
  </r>
  <r>
    <x v="12"/>
    <x v="0"/>
    <s v="SA"/>
    <s v="No agreement"/>
    <s v="More than 200% MBS Fee"/>
    <n v="1104155.6399999999"/>
    <n v="299548.68"/>
    <n v="102663.65"/>
    <n v="2988"/>
  </r>
  <r>
    <x v="12"/>
    <x v="0"/>
    <s v="SA"/>
    <s v="Known gap agreement"/>
    <s v="100% MBS Fee to 125% MBS Fee"/>
    <n v="1150867.6000000001"/>
    <n v="762730.03"/>
    <n v="361830.81"/>
    <n v="8621"/>
  </r>
  <r>
    <x v="12"/>
    <x v="0"/>
    <s v="SA"/>
    <s v="Known gap agreement"/>
    <s v="More than 125% MBS Fee to 150% MBS Fee"/>
    <n v="1900618.85"/>
    <n v="1030407.2"/>
    <n v="796177.96"/>
    <n v="7841"/>
  </r>
  <r>
    <x v="12"/>
    <x v="0"/>
    <s v="SA"/>
    <s v="Known gap agreement"/>
    <s v="More than 150% MBS Fee to 200% MBS Fee"/>
    <n v="2375031.63"/>
    <n v="1070020.72"/>
    <n v="1103667.8400000001"/>
    <n v="8316"/>
  </r>
  <r>
    <x v="12"/>
    <x v="0"/>
    <s v="SA"/>
    <s v="Known gap agreement"/>
    <s v="More than 200% MBS Fee"/>
    <n v="1217127.3400000001"/>
    <n v="335688.29"/>
    <n v="409921.57"/>
    <n v="2531"/>
  </r>
  <r>
    <x v="12"/>
    <x v="0"/>
    <s v="SA"/>
    <s v="No gap agreement"/>
    <s v="Up to MBS Fee"/>
    <n v="2202830.41"/>
    <n v="1661750.74"/>
    <n v="541108.56999999995"/>
    <n v="22609"/>
  </r>
  <r>
    <x v="12"/>
    <x v="0"/>
    <s v="SA"/>
    <s v="No gap agreement"/>
    <s v="100% MBS Fee to 125% MBS Fee"/>
    <n v="8909405.1899999995"/>
    <n v="5933684.6299999999"/>
    <n v="2975634.95"/>
    <n v="152351"/>
  </r>
  <r>
    <x v="12"/>
    <x v="0"/>
    <s v="SA"/>
    <s v="No gap agreement"/>
    <s v="More than 125% MBS Fee to 150% MBS Fee"/>
    <n v="18685900.93"/>
    <n v="10157493.9"/>
    <n v="8528374.3900000006"/>
    <n v="86574"/>
  </r>
  <r>
    <x v="12"/>
    <x v="0"/>
    <s v="SA"/>
    <s v="No gap agreement"/>
    <s v="More than 150% MBS Fee to 200% MBS Fee"/>
    <n v="16043671.68"/>
    <n v="7356845.0700000003"/>
    <n v="8686802.8399999999"/>
    <n v="78022"/>
  </r>
  <r>
    <x v="12"/>
    <x v="0"/>
    <s v="SA"/>
    <s v="No gap agreement"/>
    <s v="More than 200% MBS Fee"/>
    <n v="1086480.7"/>
    <n v="281782.40000000002"/>
    <n v="804698.3"/>
    <n v="893"/>
  </r>
  <r>
    <x v="12"/>
    <x v="0"/>
    <s v="WA"/>
    <s v="No agreement"/>
    <s v="Up to MBS Fee"/>
    <n v="1900733.21"/>
    <n v="1435108.68"/>
    <n v="465622.68"/>
    <n v="50010"/>
  </r>
  <r>
    <x v="12"/>
    <x v="0"/>
    <s v="WA"/>
    <s v="No agreement"/>
    <s v="100% MBS Fee to 125% MBS Fee"/>
    <n v="507951.95"/>
    <n v="330503.48"/>
    <n v="113404.64"/>
    <n v="4977"/>
  </r>
  <r>
    <x v="12"/>
    <x v="0"/>
    <s v="WA"/>
    <s v="No agreement"/>
    <s v="More than 125% MBS Fee to 150% MBS Fee"/>
    <n v="1825891.5"/>
    <n v="997762.97"/>
    <n v="339899.97"/>
    <n v="19504"/>
  </r>
  <r>
    <x v="12"/>
    <x v="0"/>
    <s v="WA"/>
    <s v="No agreement"/>
    <s v="More than 150% MBS Fee to 200% MBS Fee"/>
    <n v="2863099.56"/>
    <n v="1237431.57"/>
    <n v="422464.31"/>
    <n v="27251"/>
  </r>
  <r>
    <x v="12"/>
    <x v="0"/>
    <s v="WA"/>
    <s v="No agreement"/>
    <s v="More than 200% MBS Fee"/>
    <n v="3994943.09"/>
    <n v="847900.63"/>
    <n v="291196.14"/>
    <n v="6411"/>
  </r>
  <r>
    <x v="12"/>
    <x v="0"/>
    <s v="WA"/>
    <s v="Known gap agreement"/>
    <s v="100% MBS Fee to 125% MBS Fee"/>
    <n v="1302083.24"/>
    <n v="892403.25"/>
    <n v="391242.27"/>
    <n v="9743"/>
  </r>
  <r>
    <x v="12"/>
    <x v="0"/>
    <s v="WA"/>
    <s v="Known gap agreement"/>
    <s v="More than 125% MBS Fee to 150% MBS Fee"/>
    <n v="3265233.02"/>
    <n v="1774688.94"/>
    <n v="1209585.83"/>
    <n v="12414"/>
  </r>
  <r>
    <x v="12"/>
    <x v="0"/>
    <s v="WA"/>
    <s v="Known gap agreement"/>
    <s v="More than 150% MBS Fee to 200% MBS Fee"/>
    <n v="5541943.9100000001"/>
    <n v="2433973.5099999998"/>
    <n v="1817452.88"/>
    <n v="21962"/>
  </r>
  <r>
    <x v="12"/>
    <x v="0"/>
    <s v="WA"/>
    <s v="Known gap agreement"/>
    <s v="More than 200% MBS Fee"/>
    <n v="8340823.3300000001"/>
    <n v="1905168.26"/>
    <n v="1507443.62"/>
    <n v="17710"/>
  </r>
  <r>
    <x v="12"/>
    <x v="0"/>
    <s v="WA"/>
    <s v="No gap agreement"/>
    <s v="Up to MBS Fee"/>
    <n v="819577.93"/>
    <n v="631481.62"/>
    <n v="188120.16"/>
    <n v="10293"/>
  </r>
  <r>
    <x v="12"/>
    <x v="0"/>
    <s v="WA"/>
    <s v="No gap agreement"/>
    <s v="100% MBS Fee to 125% MBS Fee"/>
    <n v="7982182.29"/>
    <n v="5085772.01"/>
    <n v="2896392.33"/>
    <n v="93425"/>
  </r>
  <r>
    <x v="12"/>
    <x v="0"/>
    <s v="WA"/>
    <s v="No gap agreement"/>
    <s v="More than 125% MBS Fee to 150% MBS Fee"/>
    <n v="16854596.260000002"/>
    <n v="9324039.2200000007"/>
    <n v="7530551.1600000001"/>
    <n v="70528"/>
  </r>
  <r>
    <x v="12"/>
    <x v="0"/>
    <s v="WA"/>
    <s v="No gap agreement"/>
    <s v="More than 150% MBS Fee to 200% MBS Fee"/>
    <n v="16711072.91"/>
    <n v="7415391.5499999998"/>
    <n v="9295669"/>
    <n v="98614"/>
  </r>
  <r>
    <x v="12"/>
    <x v="0"/>
    <s v="WA"/>
    <s v="No gap agreement"/>
    <s v="More than 200% MBS Fee"/>
    <n v="2113150.4900000002"/>
    <n v="496684.49"/>
    <n v="1616466"/>
    <n v="1711"/>
  </r>
  <r>
    <x v="12"/>
    <x v="0"/>
    <s v="TAS"/>
    <s v="No agreement"/>
    <s v="Up to MBS Fee"/>
    <n v="1364639.17"/>
    <n v="1026347.13"/>
    <n v="338292.05"/>
    <n v="20105"/>
  </r>
  <r>
    <x v="12"/>
    <x v="0"/>
    <s v="TAS"/>
    <s v="No agreement"/>
    <s v="100% MBS Fee to 125% MBS Fee"/>
    <n v="212974.92"/>
    <n v="142951.45000000001"/>
    <n v="47649.83"/>
    <n v="1300"/>
  </r>
  <r>
    <x v="12"/>
    <x v="0"/>
    <s v="TAS"/>
    <s v="No agreement"/>
    <s v="More than 125% MBS Fee to 150% MBS Fee"/>
    <n v="269487.05"/>
    <n v="146165.64000000001"/>
    <n v="50146.48"/>
    <n v="1180"/>
  </r>
  <r>
    <x v="12"/>
    <x v="0"/>
    <s v="TAS"/>
    <s v="No agreement"/>
    <s v="More than 150% MBS Fee to 200% MBS Fee"/>
    <n v="525586.29"/>
    <n v="224967.99"/>
    <n v="75707.45"/>
    <n v="2189"/>
  </r>
  <r>
    <x v="12"/>
    <x v="0"/>
    <s v="TAS"/>
    <s v="No agreement"/>
    <s v="More than 200% MBS Fee"/>
    <n v="1749591.49"/>
    <n v="438094.37"/>
    <n v="145977.94"/>
    <n v="3285"/>
  </r>
  <r>
    <x v="12"/>
    <x v="0"/>
    <s v="TAS"/>
    <s v="Known gap agreement"/>
    <s v="100% MBS Fee to 125% MBS Fee"/>
    <n v="45407.31"/>
    <n v="30278.75"/>
    <n v="12088.72"/>
    <n v="263"/>
  </r>
  <r>
    <x v="12"/>
    <x v="0"/>
    <s v="TAS"/>
    <s v="Known gap agreement"/>
    <s v="More than 125% MBS Fee to 150% MBS Fee"/>
    <n v="110020.41"/>
    <n v="59013.34"/>
    <n v="44230.67"/>
    <n v="432"/>
  </r>
  <r>
    <x v="12"/>
    <x v="0"/>
    <s v="TAS"/>
    <s v="Known gap agreement"/>
    <s v="More than 150% MBS Fee to 200% MBS Fee"/>
    <n v="446553.68"/>
    <n v="192327.01"/>
    <n v="197099.47"/>
    <n v="1330"/>
  </r>
  <r>
    <x v="12"/>
    <x v="0"/>
    <s v="TAS"/>
    <s v="Known gap agreement"/>
    <s v="More than 200% MBS Fee"/>
    <n v="805329.29"/>
    <n v="238685.15"/>
    <n v="278844.15000000002"/>
    <n v="2574"/>
  </r>
  <r>
    <x v="12"/>
    <x v="0"/>
    <s v="TAS"/>
    <s v="No gap agreement"/>
    <s v="Up to MBS Fee"/>
    <n v="256586.79"/>
    <n v="196661.56"/>
    <n v="59925.23"/>
    <n v="4366"/>
  </r>
  <r>
    <x v="12"/>
    <x v="0"/>
    <s v="TAS"/>
    <s v="No gap agreement"/>
    <s v="100% MBS Fee to 125% MBS Fee"/>
    <n v="2475886.35"/>
    <n v="1599294.57"/>
    <n v="876591.8"/>
    <n v="32870"/>
  </r>
  <r>
    <x v="12"/>
    <x v="0"/>
    <s v="TAS"/>
    <s v="No gap agreement"/>
    <s v="More than 125% MBS Fee to 150% MBS Fee"/>
    <n v="4782117.03"/>
    <n v="2610026.7799999998"/>
    <n v="2172085.65"/>
    <n v="15071"/>
  </r>
  <r>
    <x v="12"/>
    <x v="0"/>
    <s v="TAS"/>
    <s v="No gap agreement"/>
    <s v="More than 150% MBS Fee to 200% MBS Fee"/>
    <n v="3822449.3"/>
    <n v="1763784.08"/>
    <n v="2058663.61"/>
    <n v="26734"/>
  </r>
  <r>
    <x v="12"/>
    <x v="0"/>
    <s v="TAS"/>
    <s v="No gap agreement"/>
    <s v="More than 200% MBS Fee"/>
    <n v="399498.33"/>
    <n v="109076.95"/>
    <n v="290421.38"/>
    <n v="352"/>
  </r>
  <r>
    <x v="12"/>
    <x v="0"/>
    <s v="NT"/>
    <s v="No agreement"/>
    <s v="Up to MBS Fee"/>
    <n v="263417.90999999997"/>
    <n v="198149.16"/>
    <n v="65264.95"/>
    <n v="2815"/>
  </r>
  <r>
    <x v="12"/>
    <x v="0"/>
    <s v="NT"/>
    <s v="No agreement"/>
    <s v="100% MBS Fee to 125% MBS Fee"/>
    <n v="51415.45"/>
    <n v="34272.35"/>
    <n v="11411.47"/>
    <n v="302"/>
  </r>
  <r>
    <x v="12"/>
    <x v="0"/>
    <s v="NT"/>
    <s v="No agreement"/>
    <s v="More than 125% MBS Fee to 150% MBS Fee"/>
    <n v="49163.66"/>
    <n v="26604.33"/>
    <n v="9202.24"/>
    <n v="293"/>
  </r>
  <r>
    <x v="12"/>
    <x v="0"/>
    <s v="NT"/>
    <s v="No agreement"/>
    <s v="More than 150% MBS Fee to 200% MBS Fee"/>
    <n v="174387.72"/>
    <n v="73939.03"/>
    <n v="24758.080000000002"/>
    <n v="1276"/>
  </r>
  <r>
    <x v="12"/>
    <x v="0"/>
    <s v="NT"/>
    <s v="No agreement"/>
    <s v="More than 200% MBS Fee"/>
    <n v="644269.98"/>
    <n v="175437.08"/>
    <n v="58829.34"/>
    <n v="1328"/>
  </r>
  <r>
    <x v="12"/>
    <x v="0"/>
    <s v="NT"/>
    <s v="Known gap agreement"/>
    <s v="100% MBS Fee to 125% MBS Fee"/>
    <n v="10021.89"/>
    <n v="6359"/>
    <n v="2440.65"/>
    <n v="43"/>
  </r>
  <r>
    <x v="12"/>
    <x v="0"/>
    <s v="NT"/>
    <s v="Known gap agreement"/>
    <s v="More than 125% MBS Fee to 150% MBS Fee"/>
    <n v="30695.52"/>
    <n v="16608"/>
    <n v="11187.74"/>
    <n v="177"/>
  </r>
  <r>
    <x v="12"/>
    <x v="0"/>
    <s v="NT"/>
    <s v="Known gap agreement"/>
    <s v="More than 150% MBS Fee to 200% MBS Fee"/>
    <n v="108758.75"/>
    <n v="47088.45"/>
    <n v="45909.09"/>
    <n v="201"/>
  </r>
  <r>
    <x v="12"/>
    <x v="0"/>
    <s v="NT"/>
    <s v="Known gap agreement"/>
    <s v="More than 200% MBS Fee"/>
    <n v="232710.92"/>
    <n v="61989.15"/>
    <n v="66360.350000000006"/>
    <n v="599"/>
  </r>
  <r>
    <x v="12"/>
    <x v="0"/>
    <s v="NT"/>
    <s v="No gap agreement"/>
    <s v="Up to MBS Fee"/>
    <n v="45346.82"/>
    <n v="34108.35"/>
    <n v="11237.23"/>
    <n v="660"/>
  </r>
  <r>
    <x v="12"/>
    <x v="0"/>
    <s v="NT"/>
    <s v="No gap agreement"/>
    <s v="100% MBS Fee to 125% MBS Fee"/>
    <n v="305410.65000000002"/>
    <n v="197616.7"/>
    <n v="107793.77"/>
    <n v="4188"/>
  </r>
  <r>
    <x v="12"/>
    <x v="0"/>
    <s v="NT"/>
    <s v="No gap agreement"/>
    <s v="More than 125% MBS Fee to 150% MBS Fee"/>
    <n v="882200.06"/>
    <n v="479244.15"/>
    <n v="402954.07"/>
    <n v="2942"/>
  </r>
  <r>
    <x v="12"/>
    <x v="0"/>
    <s v="NT"/>
    <s v="No gap agreement"/>
    <s v="More than 150% MBS Fee to 200% MBS Fee"/>
    <n v="652676.51"/>
    <n v="296887.7"/>
    <n v="355776.19"/>
    <n v="4229"/>
  </r>
  <r>
    <x v="12"/>
    <x v="0"/>
    <s v="NT"/>
    <s v="No gap agreement"/>
    <s v="More than 200% MBS Fee"/>
    <n v="94813.55"/>
    <n v="26754.95"/>
    <n v="68058.600000000006"/>
    <n v="82"/>
  </r>
  <r>
    <x v="12"/>
    <x v="2"/>
    <s v="NSW"/>
    <s v="No agreement"/>
    <s v="Up to MBS Fee"/>
    <n v="22261309.32"/>
    <n v="16770625.060000001"/>
    <n v="5489179.21"/>
    <n v="346335"/>
  </r>
  <r>
    <x v="12"/>
    <x v="2"/>
    <s v="NSW"/>
    <s v="No agreement"/>
    <s v="100% MBS Fee to 125% MBS Fee"/>
    <n v="3376265.27"/>
    <n v="2241629.62"/>
    <n v="747932.62"/>
    <n v="17857"/>
  </r>
  <r>
    <x v="12"/>
    <x v="2"/>
    <s v="NSW"/>
    <s v="No agreement"/>
    <s v="More than 125% MBS Fee to 150% MBS Fee"/>
    <n v="5026806.2"/>
    <n v="2700775.34"/>
    <n v="925775.95"/>
    <n v="44356"/>
  </r>
  <r>
    <x v="12"/>
    <x v="2"/>
    <s v="NSW"/>
    <s v="No agreement"/>
    <s v="More than 150% MBS Fee to 200% MBS Fee"/>
    <n v="17201387"/>
    <n v="7302290.6100000003"/>
    <n v="2465306.8199999998"/>
    <n v="71214"/>
  </r>
  <r>
    <x v="12"/>
    <x v="2"/>
    <s v="NSW"/>
    <s v="No agreement"/>
    <s v="More than 200% MBS Fee"/>
    <n v="72482706.489999995"/>
    <n v="19223145.5"/>
    <n v="6450101.0800000001"/>
    <n v="144883"/>
  </r>
  <r>
    <x v="12"/>
    <x v="2"/>
    <s v="NSW"/>
    <s v="Known gap agreement"/>
    <s v="100% MBS Fee to 125% MBS Fee"/>
    <n v="655313.61"/>
    <n v="433215.75"/>
    <n v="199153.36"/>
    <n v="6849"/>
  </r>
  <r>
    <x v="12"/>
    <x v="2"/>
    <s v="NSW"/>
    <s v="Known gap agreement"/>
    <s v="More than 125% MBS Fee to 150% MBS Fee"/>
    <n v="1509567.04"/>
    <n v="814472.92"/>
    <n v="588987.18999999994"/>
    <n v="9481"/>
  </r>
  <r>
    <x v="12"/>
    <x v="2"/>
    <s v="NSW"/>
    <s v="Known gap agreement"/>
    <s v="More than 150% MBS Fee to 200% MBS Fee"/>
    <n v="4217595.34"/>
    <n v="1834345.09"/>
    <n v="1719061.17"/>
    <n v="20278"/>
  </r>
  <r>
    <x v="12"/>
    <x v="2"/>
    <s v="NSW"/>
    <s v="Known gap agreement"/>
    <s v="More than 200% MBS Fee"/>
    <n v="5778699.7400000002"/>
    <n v="1563699.46"/>
    <n v="1692213.31"/>
    <n v="15143"/>
  </r>
  <r>
    <x v="12"/>
    <x v="2"/>
    <s v="NSW"/>
    <s v="No gap agreement"/>
    <s v="Up to MBS Fee"/>
    <n v="6332644.4800000004"/>
    <n v="4804222.1399999997"/>
    <n v="1528379.45"/>
    <n v="141353"/>
  </r>
  <r>
    <x v="12"/>
    <x v="2"/>
    <s v="NSW"/>
    <s v="No gap agreement"/>
    <s v="100% MBS Fee to 125% MBS Fee"/>
    <n v="25525230.34"/>
    <n v="16441196.859999999"/>
    <n v="9083920.7799999993"/>
    <n v="316824"/>
  </r>
  <r>
    <x v="12"/>
    <x v="2"/>
    <s v="NSW"/>
    <s v="No gap agreement"/>
    <s v="More than 125% MBS Fee to 150% MBS Fee"/>
    <n v="52909031.25"/>
    <n v="29084373.879999999"/>
    <n v="23824490.75"/>
    <n v="217996"/>
  </r>
  <r>
    <x v="12"/>
    <x v="2"/>
    <s v="NSW"/>
    <s v="No gap agreement"/>
    <s v="More than 150% MBS Fee to 200% MBS Fee"/>
    <n v="43009130.640000001"/>
    <n v="19931452.27"/>
    <n v="23077530.210000001"/>
    <n v="287628"/>
  </r>
  <r>
    <x v="12"/>
    <x v="2"/>
    <s v="NSW"/>
    <s v="No gap agreement"/>
    <s v="More than 200% MBS Fee"/>
    <n v="4050596.52"/>
    <n v="1147146.3899999999"/>
    <n v="2903449.51"/>
    <n v="4704"/>
  </r>
  <r>
    <x v="12"/>
    <x v="2"/>
    <s v="VIC"/>
    <s v="No agreement"/>
    <s v="Up to MBS Fee"/>
    <n v="13481960.5"/>
    <n v="10153002.93"/>
    <n v="3328897.18"/>
    <n v="144152"/>
  </r>
  <r>
    <x v="12"/>
    <x v="2"/>
    <s v="VIC"/>
    <s v="No agreement"/>
    <s v="100% MBS Fee to 125% MBS Fee"/>
    <n v="2707834.12"/>
    <n v="1798564.78"/>
    <n v="614976.67000000004"/>
    <n v="21514"/>
  </r>
  <r>
    <x v="12"/>
    <x v="2"/>
    <s v="VIC"/>
    <s v="No agreement"/>
    <s v="More than 125% MBS Fee to 150% MBS Fee"/>
    <n v="2907388.71"/>
    <n v="1595523.43"/>
    <n v="609975.69999999995"/>
    <n v="15345"/>
  </r>
  <r>
    <x v="12"/>
    <x v="2"/>
    <s v="VIC"/>
    <s v="No agreement"/>
    <s v="More than 150% MBS Fee to 200% MBS Fee"/>
    <n v="7125214.7999999998"/>
    <n v="3025862.95"/>
    <n v="1052123.04"/>
    <n v="47784"/>
  </r>
  <r>
    <x v="12"/>
    <x v="2"/>
    <s v="VIC"/>
    <s v="No agreement"/>
    <s v="More than 200% MBS Fee"/>
    <n v="12691481.74"/>
    <n v="3423981.19"/>
    <n v="1166094.42"/>
    <n v="29571"/>
  </r>
  <r>
    <x v="12"/>
    <x v="2"/>
    <s v="VIC"/>
    <s v="Known gap agreement"/>
    <s v="100% MBS Fee to 125% MBS Fee"/>
    <n v="1943129.33"/>
    <n v="1268433.96"/>
    <n v="577264.37"/>
    <n v="9596"/>
  </r>
  <r>
    <x v="12"/>
    <x v="2"/>
    <s v="VIC"/>
    <s v="Known gap agreement"/>
    <s v="More than 125% MBS Fee to 150% MBS Fee"/>
    <n v="3048381.45"/>
    <n v="1649450.92"/>
    <n v="1108754.3799999999"/>
    <n v="12554"/>
  </r>
  <r>
    <x v="12"/>
    <x v="2"/>
    <s v="VIC"/>
    <s v="Known gap agreement"/>
    <s v="More than 150% MBS Fee to 200% MBS Fee"/>
    <n v="6708022.9000000004"/>
    <n v="2876404"/>
    <n v="2533764.91"/>
    <n v="25044"/>
  </r>
  <r>
    <x v="12"/>
    <x v="2"/>
    <s v="VIC"/>
    <s v="Known gap agreement"/>
    <s v="More than 200% MBS Fee"/>
    <n v="6953947.9699999997"/>
    <n v="2019057.7"/>
    <n v="2025251.63"/>
    <n v="20382"/>
  </r>
  <r>
    <x v="12"/>
    <x v="2"/>
    <s v="VIC"/>
    <s v="No gap agreement"/>
    <s v="Up to MBS Fee"/>
    <n v="6690601.0300000003"/>
    <n v="5050668.3600000003"/>
    <n v="1640118.82"/>
    <n v="111264"/>
  </r>
  <r>
    <x v="12"/>
    <x v="2"/>
    <s v="VIC"/>
    <s v="No gap agreement"/>
    <s v="100% MBS Fee to 125% MBS Fee"/>
    <n v="27429361.82"/>
    <n v="17720661.420000002"/>
    <n v="9708676.0399999991"/>
    <n v="331489"/>
  </r>
  <r>
    <x v="12"/>
    <x v="2"/>
    <s v="VIC"/>
    <s v="No gap agreement"/>
    <s v="More than 125% MBS Fee to 150% MBS Fee"/>
    <n v="64299741.740000002"/>
    <n v="35234952.719999999"/>
    <n v="29064729.07"/>
    <n v="337087"/>
  </r>
  <r>
    <x v="12"/>
    <x v="2"/>
    <s v="VIC"/>
    <s v="No gap agreement"/>
    <s v="More than 150% MBS Fee to 200% MBS Fee"/>
    <n v="43262621.170000002"/>
    <n v="19804289.850000001"/>
    <n v="23458229.600000001"/>
    <n v="286332"/>
  </r>
  <r>
    <x v="12"/>
    <x v="2"/>
    <s v="VIC"/>
    <s v="No gap agreement"/>
    <s v="More than 200% MBS Fee"/>
    <n v="2769771.29"/>
    <n v="778580.04"/>
    <n v="1991191.26"/>
    <n v="2590"/>
  </r>
  <r>
    <x v="12"/>
    <x v="2"/>
    <s v="QLD"/>
    <s v="No agreement"/>
    <s v="Up to MBS Fee"/>
    <n v="7229354.2000000002"/>
    <n v="5452714.21"/>
    <n v="1775174.79"/>
    <n v="92087"/>
  </r>
  <r>
    <x v="12"/>
    <x v="2"/>
    <s v="QLD"/>
    <s v="No agreement"/>
    <s v="100% MBS Fee to 125% MBS Fee"/>
    <n v="2247317.71"/>
    <n v="1490898.69"/>
    <n v="498371.48"/>
    <n v="14558"/>
  </r>
  <r>
    <x v="12"/>
    <x v="2"/>
    <s v="QLD"/>
    <s v="No agreement"/>
    <s v="More than 125% MBS Fee to 150% MBS Fee"/>
    <n v="4529051.0999999996"/>
    <n v="2479703.36"/>
    <n v="841110.99"/>
    <n v="24504"/>
  </r>
  <r>
    <x v="12"/>
    <x v="2"/>
    <s v="QLD"/>
    <s v="No agreement"/>
    <s v="More than 150% MBS Fee to 200% MBS Fee"/>
    <n v="10775170.529999999"/>
    <n v="4597964.2"/>
    <n v="1541876.56"/>
    <n v="49931"/>
  </r>
  <r>
    <x v="12"/>
    <x v="2"/>
    <s v="QLD"/>
    <s v="No agreement"/>
    <s v="More than 200% MBS Fee"/>
    <n v="24494420.640000001"/>
    <n v="6865619.9000000004"/>
    <n v="2305033.09"/>
    <n v="59040"/>
  </r>
  <r>
    <x v="12"/>
    <x v="2"/>
    <s v="QLD"/>
    <s v="Known gap agreement"/>
    <s v="100% MBS Fee to 125% MBS Fee"/>
    <n v="331841.77"/>
    <n v="215152.5"/>
    <n v="91087.11"/>
    <n v="2095"/>
  </r>
  <r>
    <x v="12"/>
    <x v="2"/>
    <s v="QLD"/>
    <s v="Known gap agreement"/>
    <s v="More than 125% MBS Fee to 150% MBS Fee"/>
    <n v="875687.11"/>
    <n v="471739.43"/>
    <n v="329596.34000000003"/>
    <n v="4457"/>
  </r>
  <r>
    <x v="12"/>
    <x v="2"/>
    <s v="QLD"/>
    <s v="Known gap agreement"/>
    <s v="More than 150% MBS Fee to 200% MBS Fee"/>
    <n v="4505111.1500000004"/>
    <n v="1908218.41"/>
    <n v="1741185.74"/>
    <n v="12416"/>
  </r>
  <r>
    <x v="12"/>
    <x v="2"/>
    <s v="QLD"/>
    <s v="Known gap agreement"/>
    <s v="More than 200% MBS Fee"/>
    <n v="8389255.4800000004"/>
    <n v="2382011.87"/>
    <n v="2538609.36"/>
    <n v="24356"/>
  </r>
  <r>
    <x v="12"/>
    <x v="2"/>
    <s v="QLD"/>
    <s v="No gap agreement"/>
    <s v="Up to MBS Fee"/>
    <n v="1495056.68"/>
    <n v="1140071.5900000001"/>
    <n v="355070.22"/>
    <n v="28187"/>
  </r>
  <r>
    <x v="12"/>
    <x v="2"/>
    <s v="QLD"/>
    <s v="No gap agreement"/>
    <s v="100% MBS Fee to 125% MBS Fee"/>
    <n v="23116265.73"/>
    <n v="14954893"/>
    <n v="8161308.1600000001"/>
    <n v="342662"/>
  </r>
  <r>
    <x v="12"/>
    <x v="2"/>
    <s v="QLD"/>
    <s v="No gap agreement"/>
    <s v="More than 125% MBS Fee to 150% MBS Fee"/>
    <n v="40999898.25"/>
    <n v="22629065.850000001"/>
    <n v="18370812.41"/>
    <n v="197530"/>
  </r>
  <r>
    <x v="12"/>
    <x v="2"/>
    <s v="QLD"/>
    <s v="No gap agreement"/>
    <s v="More than 150% MBS Fee to 200% MBS Fee"/>
    <n v="27690603.829999998"/>
    <n v="12890518.550000001"/>
    <n v="14800723.93"/>
    <n v="203164"/>
  </r>
  <r>
    <x v="12"/>
    <x v="2"/>
    <s v="QLD"/>
    <s v="No gap agreement"/>
    <s v="More than 200% MBS Fee"/>
    <n v="3881703.13"/>
    <n v="1067198.25"/>
    <n v="2814504.74"/>
    <n v="3519"/>
  </r>
  <r>
    <x v="12"/>
    <x v="2"/>
    <s v="SA"/>
    <s v="No agreement"/>
    <s v="Up to MBS Fee"/>
    <n v="8969127.6099999994"/>
    <n v="6729148.9400000004"/>
    <n v="2239979.0499999998"/>
    <n v="69260"/>
  </r>
  <r>
    <x v="12"/>
    <x v="2"/>
    <s v="SA"/>
    <s v="No agreement"/>
    <s v="100% MBS Fee to 125% MBS Fee"/>
    <n v="374284.28"/>
    <n v="248045.61"/>
    <n v="86055.81"/>
    <n v="4564"/>
  </r>
  <r>
    <x v="12"/>
    <x v="2"/>
    <s v="SA"/>
    <s v="No agreement"/>
    <s v="More than 125% MBS Fee to 150% MBS Fee"/>
    <n v="805521.72"/>
    <n v="435207.05"/>
    <n v="166459.68"/>
    <n v="5534"/>
  </r>
  <r>
    <x v="12"/>
    <x v="2"/>
    <s v="SA"/>
    <s v="No agreement"/>
    <s v="More than 150% MBS Fee to 200% MBS Fee"/>
    <n v="662541.84"/>
    <n v="284610.73"/>
    <n v="147308.10999999999"/>
    <n v="3759"/>
  </r>
  <r>
    <x v="12"/>
    <x v="2"/>
    <s v="SA"/>
    <s v="No agreement"/>
    <s v="More than 200% MBS Fee"/>
    <n v="966883.54"/>
    <n v="277340.01"/>
    <n v="95764.21"/>
    <n v="2848"/>
  </r>
  <r>
    <x v="12"/>
    <x v="2"/>
    <s v="SA"/>
    <s v="Known gap agreement"/>
    <s v="100% MBS Fee to 125% MBS Fee"/>
    <n v="1310596.27"/>
    <n v="853469.38"/>
    <n v="434935.08"/>
    <n v="28253"/>
  </r>
  <r>
    <x v="12"/>
    <x v="2"/>
    <s v="SA"/>
    <s v="Known gap agreement"/>
    <s v="More than 125% MBS Fee to 150% MBS Fee"/>
    <n v="1860124.64"/>
    <n v="1015624.63"/>
    <n v="779837.49"/>
    <n v="10592"/>
  </r>
  <r>
    <x v="12"/>
    <x v="2"/>
    <s v="SA"/>
    <s v="Known gap agreement"/>
    <s v="More than 150% MBS Fee to 200% MBS Fee"/>
    <n v="2143390.98"/>
    <n v="976833.53"/>
    <n v="1016230.21"/>
    <n v="16691"/>
  </r>
  <r>
    <x v="12"/>
    <x v="2"/>
    <s v="SA"/>
    <s v="Known gap agreement"/>
    <s v="More than 200% MBS Fee"/>
    <n v="969298.35"/>
    <n v="260263.45"/>
    <n v="325428.42"/>
    <n v="2200"/>
  </r>
  <r>
    <x v="12"/>
    <x v="2"/>
    <s v="SA"/>
    <s v="No gap agreement"/>
    <s v="Up to MBS Fee"/>
    <n v="1665097.98"/>
    <n v="1254754.3899999999"/>
    <n v="410656.34"/>
    <n v="16274"/>
  </r>
  <r>
    <x v="12"/>
    <x v="2"/>
    <s v="SA"/>
    <s v="No gap agreement"/>
    <s v="100% MBS Fee to 125% MBS Fee"/>
    <n v="8117748.0800000001"/>
    <n v="5377423.5"/>
    <n v="2740279.05"/>
    <n v="138900"/>
  </r>
  <r>
    <x v="12"/>
    <x v="2"/>
    <s v="SA"/>
    <s v="No gap agreement"/>
    <s v="More than 125% MBS Fee to 150% MBS Fee"/>
    <n v="19022540.16"/>
    <n v="10354387.85"/>
    <n v="8668138.5600000005"/>
    <n v="84041"/>
  </r>
  <r>
    <x v="12"/>
    <x v="2"/>
    <s v="SA"/>
    <s v="No gap agreement"/>
    <s v="More than 150% MBS Fee to 200% MBS Fee"/>
    <n v="16276019.279999999"/>
    <n v="7463445.7699999996"/>
    <n v="8812565.5"/>
    <n v="92073"/>
  </r>
  <r>
    <x v="12"/>
    <x v="2"/>
    <s v="SA"/>
    <s v="No gap agreement"/>
    <s v="More than 200% MBS Fee"/>
    <n v="1193485.3600000001"/>
    <n v="312896.77"/>
    <n v="880588.49"/>
    <n v="1029"/>
  </r>
  <r>
    <x v="12"/>
    <x v="2"/>
    <s v="WA"/>
    <s v="No agreement"/>
    <s v="Up to MBS Fee"/>
    <n v="1997158.69"/>
    <n v="1508668.73"/>
    <n v="488491.43"/>
    <n v="47682"/>
  </r>
  <r>
    <x v="12"/>
    <x v="2"/>
    <s v="WA"/>
    <s v="No agreement"/>
    <s v="100% MBS Fee to 125% MBS Fee"/>
    <n v="627134.52"/>
    <n v="409156.73"/>
    <n v="145638.26999999999"/>
    <n v="5431"/>
  </r>
  <r>
    <x v="12"/>
    <x v="2"/>
    <s v="WA"/>
    <s v="No agreement"/>
    <s v="More than 125% MBS Fee to 150% MBS Fee"/>
    <n v="1928914.48"/>
    <n v="1060306.76"/>
    <n v="354940.95"/>
    <n v="21353"/>
  </r>
  <r>
    <x v="12"/>
    <x v="2"/>
    <s v="WA"/>
    <s v="No agreement"/>
    <s v="More than 150% MBS Fee to 200% MBS Fee"/>
    <n v="2594823.44"/>
    <n v="1123316.9099999999"/>
    <n v="378821.35"/>
    <n v="27298"/>
  </r>
  <r>
    <x v="12"/>
    <x v="2"/>
    <s v="WA"/>
    <s v="No agreement"/>
    <s v="More than 200% MBS Fee"/>
    <n v="3445310.32"/>
    <n v="682696.34"/>
    <n v="231408.43"/>
    <n v="5583"/>
  </r>
  <r>
    <x v="12"/>
    <x v="2"/>
    <s v="WA"/>
    <s v="Known gap agreement"/>
    <s v="100% MBS Fee to 125% MBS Fee"/>
    <n v="1448258.18"/>
    <n v="1002784.13"/>
    <n v="443306.14"/>
    <n v="11429"/>
  </r>
  <r>
    <x v="12"/>
    <x v="2"/>
    <s v="WA"/>
    <s v="Known gap agreement"/>
    <s v="More than 125% MBS Fee to 150% MBS Fee"/>
    <n v="3578030.0800000001"/>
    <n v="1951988.2"/>
    <n v="1308799.82"/>
    <n v="15848"/>
  </r>
  <r>
    <x v="12"/>
    <x v="2"/>
    <s v="WA"/>
    <s v="Known gap agreement"/>
    <s v="More than 150% MBS Fee to 200% MBS Fee"/>
    <n v="5860504.6100000003"/>
    <n v="2568931.0499999998"/>
    <n v="1903482.94"/>
    <n v="24367"/>
  </r>
  <r>
    <x v="12"/>
    <x v="2"/>
    <s v="WA"/>
    <s v="Known gap agreement"/>
    <s v="More than 200% MBS Fee"/>
    <n v="8595807.75"/>
    <n v="2024315.13"/>
    <n v="1583100.98"/>
    <n v="18652"/>
  </r>
  <r>
    <x v="12"/>
    <x v="2"/>
    <s v="WA"/>
    <s v="No gap agreement"/>
    <s v="Up to MBS Fee"/>
    <n v="1043948.67"/>
    <n v="795701.34"/>
    <n v="248336.28"/>
    <n v="13132"/>
  </r>
  <r>
    <x v="12"/>
    <x v="2"/>
    <s v="WA"/>
    <s v="No gap agreement"/>
    <s v="100% MBS Fee to 125% MBS Fee"/>
    <n v="9042886.4000000004"/>
    <n v="5766814.4699999997"/>
    <n v="3276067.37"/>
    <n v="102769"/>
  </r>
  <r>
    <x v="12"/>
    <x v="2"/>
    <s v="WA"/>
    <s v="No gap agreement"/>
    <s v="More than 125% MBS Fee to 150% MBS Fee"/>
    <n v="20719188.829999998"/>
    <n v="11533726.949999999"/>
    <n v="9185459.1600000001"/>
    <n v="76417"/>
  </r>
  <r>
    <x v="12"/>
    <x v="2"/>
    <s v="WA"/>
    <s v="No gap agreement"/>
    <s v="More than 150% MBS Fee to 200% MBS Fee"/>
    <n v="19513049.280000001"/>
    <n v="8654673.9700000007"/>
    <n v="10858371.75"/>
    <n v="114232"/>
  </r>
  <r>
    <x v="12"/>
    <x v="2"/>
    <s v="WA"/>
    <s v="No gap agreement"/>
    <s v="More than 200% MBS Fee"/>
    <n v="2722609.49"/>
    <n v="629997.37"/>
    <n v="2092612.06"/>
    <n v="2058"/>
  </r>
  <r>
    <x v="12"/>
    <x v="2"/>
    <s v="TAS"/>
    <s v="No agreement"/>
    <s v="Up to MBS Fee"/>
    <n v="1431494.38"/>
    <n v="1079252.98"/>
    <n v="352241.49"/>
    <n v="21379"/>
  </r>
  <r>
    <x v="12"/>
    <x v="2"/>
    <s v="TAS"/>
    <s v="No agreement"/>
    <s v="100% MBS Fee to 125% MBS Fee"/>
    <n v="204651.18"/>
    <n v="136960.89000000001"/>
    <n v="45547.41"/>
    <n v="1556"/>
  </r>
  <r>
    <x v="12"/>
    <x v="2"/>
    <s v="TAS"/>
    <s v="No agreement"/>
    <s v="More than 125% MBS Fee to 150% MBS Fee"/>
    <n v="328260.21000000002"/>
    <n v="182544.71"/>
    <n v="60688.25"/>
    <n v="1338"/>
  </r>
  <r>
    <x v="12"/>
    <x v="2"/>
    <s v="TAS"/>
    <s v="No agreement"/>
    <s v="More than 150% MBS Fee to 200% MBS Fee"/>
    <n v="520464.46"/>
    <n v="219354.05"/>
    <n v="74120.42"/>
    <n v="2195"/>
  </r>
  <r>
    <x v="12"/>
    <x v="2"/>
    <s v="TAS"/>
    <s v="No agreement"/>
    <s v="More than 200% MBS Fee"/>
    <n v="1720153.87"/>
    <n v="425345.99"/>
    <n v="150793.88"/>
    <n v="3101"/>
  </r>
  <r>
    <x v="12"/>
    <x v="2"/>
    <s v="TAS"/>
    <s v="Known gap agreement"/>
    <s v="100% MBS Fee to 125% MBS Fee"/>
    <n v="57823.59"/>
    <n v="38749.800000000003"/>
    <n v="14978.96"/>
    <n v="377"/>
  </r>
  <r>
    <x v="12"/>
    <x v="2"/>
    <s v="TAS"/>
    <s v="Known gap agreement"/>
    <s v="More than 125% MBS Fee to 150% MBS Fee"/>
    <n v="68208.45"/>
    <n v="36565"/>
    <n v="25488.44"/>
    <n v="279"/>
  </r>
  <r>
    <x v="12"/>
    <x v="2"/>
    <s v="TAS"/>
    <s v="Known gap agreement"/>
    <s v="More than 150% MBS Fee to 200% MBS Fee"/>
    <n v="425898.88"/>
    <n v="182024.4"/>
    <n v="181788.69"/>
    <n v="1153"/>
  </r>
  <r>
    <x v="12"/>
    <x v="2"/>
    <s v="TAS"/>
    <s v="Known gap agreement"/>
    <s v="More than 200% MBS Fee"/>
    <n v="780566.69"/>
    <n v="237999.96"/>
    <n v="271851.2"/>
    <n v="2638"/>
  </r>
  <r>
    <x v="12"/>
    <x v="2"/>
    <s v="TAS"/>
    <s v="No gap agreement"/>
    <s v="Up to MBS Fee"/>
    <n v="141108.57"/>
    <n v="107233.32"/>
    <n v="33875.26"/>
    <n v="1939"/>
  </r>
  <r>
    <x v="12"/>
    <x v="2"/>
    <s v="TAS"/>
    <s v="No gap agreement"/>
    <s v="100% MBS Fee to 125% MBS Fee"/>
    <n v="2067419.28"/>
    <n v="1345371.8"/>
    <n v="722029.79"/>
    <n v="26293"/>
  </r>
  <r>
    <x v="12"/>
    <x v="2"/>
    <s v="TAS"/>
    <s v="No gap agreement"/>
    <s v="More than 125% MBS Fee to 150% MBS Fee"/>
    <n v="4483783.57"/>
    <n v="2439952.9500000002"/>
    <n v="2043830.31"/>
    <n v="15120"/>
  </r>
  <r>
    <x v="12"/>
    <x v="2"/>
    <s v="TAS"/>
    <s v="No gap agreement"/>
    <s v="More than 150% MBS Fee to 200% MBS Fee"/>
    <n v="3692419.35"/>
    <n v="1701671.01"/>
    <n v="1990748.22"/>
    <n v="25346"/>
  </r>
  <r>
    <x v="12"/>
    <x v="2"/>
    <s v="TAS"/>
    <s v="No gap agreement"/>
    <s v="More than 200% MBS Fee"/>
    <n v="411191.49"/>
    <n v="115754.82"/>
    <n v="295436.61"/>
    <n v="376"/>
  </r>
  <r>
    <x v="12"/>
    <x v="2"/>
    <s v="NT"/>
    <s v="No agreement"/>
    <s v="Up to MBS Fee"/>
    <n v="291962.52"/>
    <n v="219539.9"/>
    <n v="72423.02"/>
    <n v="2846"/>
  </r>
  <r>
    <x v="12"/>
    <x v="2"/>
    <s v="NT"/>
    <s v="No agreement"/>
    <s v="100% MBS Fee to 125% MBS Fee"/>
    <n v="51272.59"/>
    <n v="33607.199999999997"/>
    <n v="11280.6"/>
    <n v="242"/>
  </r>
  <r>
    <x v="12"/>
    <x v="2"/>
    <s v="NT"/>
    <s v="No agreement"/>
    <s v="More than 125% MBS Fee to 150% MBS Fee"/>
    <n v="64977.42"/>
    <n v="35312.65"/>
    <n v="12042.06"/>
    <n v="270"/>
  </r>
  <r>
    <x v="12"/>
    <x v="2"/>
    <s v="NT"/>
    <s v="No agreement"/>
    <s v="More than 150% MBS Fee to 200% MBS Fee"/>
    <n v="162173.69"/>
    <n v="68093.37"/>
    <n v="22660.65"/>
    <n v="1362"/>
  </r>
  <r>
    <x v="12"/>
    <x v="2"/>
    <s v="NT"/>
    <s v="No agreement"/>
    <s v="More than 200% MBS Fee"/>
    <n v="590391.85"/>
    <n v="174209.81"/>
    <n v="58190.35"/>
    <n v="1266"/>
  </r>
  <r>
    <x v="12"/>
    <x v="2"/>
    <s v="NT"/>
    <s v="Known gap agreement"/>
    <s v="100% MBS Fee to 125% MBS Fee"/>
    <n v="21210.22"/>
    <n v="14043.35"/>
    <n v="6327.14"/>
    <n v="200"/>
  </r>
  <r>
    <x v="12"/>
    <x v="2"/>
    <s v="NT"/>
    <s v="Known gap agreement"/>
    <s v="More than 125% MBS Fee to 150% MBS Fee"/>
    <n v="34706.78"/>
    <n v="18723.349999999999"/>
    <n v="11825.94"/>
    <n v="174"/>
  </r>
  <r>
    <x v="12"/>
    <x v="2"/>
    <s v="NT"/>
    <s v="Known gap agreement"/>
    <s v="More than 150% MBS Fee to 200% MBS Fee"/>
    <n v="113883.4"/>
    <n v="48901.9"/>
    <n v="47705.37"/>
    <n v="208"/>
  </r>
  <r>
    <x v="12"/>
    <x v="2"/>
    <s v="NT"/>
    <s v="Known gap agreement"/>
    <s v="More than 200% MBS Fee"/>
    <n v="208227.03"/>
    <n v="54832.45"/>
    <n v="56338.04"/>
    <n v="558"/>
  </r>
  <r>
    <x v="12"/>
    <x v="2"/>
    <s v="NT"/>
    <s v="No gap agreement"/>
    <s v="Up to MBS Fee"/>
    <n v="37573.93"/>
    <n v="26321.9"/>
    <n v="11251.98"/>
    <n v="581"/>
  </r>
  <r>
    <x v="12"/>
    <x v="2"/>
    <s v="NT"/>
    <s v="No gap agreement"/>
    <s v="100% MBS Fee to 125% MBS Fee"/>
    <n v="270398.94"/>
    <n v="174937.45"/>
    <n v="95460.86"/>
    <n v="2915"/>
  </r>
  <r>
    <x v="12"/>
    <x v="2"/>
    <s v="NT"/>
    <s v="No gap agreement"/>
    <s v="More than 125% MBS Fee to 150% MBS Fee"/>
    <n v="828136.88"/>
    <n v="446220.9"/>
    <n v="381914.42"/>
    <n v="2756"/>
  </r>
  <r>
    <x v="12"/>
    <x v="2"/>
    <s v="NT"/>
    <s v="No gap agreement"/>
    <s v="More than 150% MBS Fee to 200% MBS Fee"/>
    <n v="655464.26"/>
    <n v="299892.75"/>
    <n v="355570.86"/>
    <n v="4033"/>
  </r>
  <r>
    <x v="12"/>
    <x v="2"/>
    <s v="NT"/>
    <s v="No gap agreement"/>
    <s v="More than 200% MBS Fee"/>
    <n v="74386.490000000005"/>
    <n v="21199.09"/>
    <n v="53187.4"/>
    <n v="76"/>
  </r>
  <r>
    <x v="12"/>
    <x v="3"/>
    <s v="ACT"/>
    <s v="Known gap agreement"/>
    <s v="100% MBS Fee to 125% MBS Fee"/>
    <n v="0"/>
    <n v="0"/>
    <n v="0"/>
    <n v="0"/>
  </r>
  <r>
    <x v="12"/>
    <x v="3"/>
    <s v="ACT"/>
    <s v="Known gap agreement"/>
    <s v="More than 125% MBS Fee to 150% MBS Fee"/>
    <n v="0"/>
    <n v="0"/>
    <n v="0"/>
    <n v="0"/>
  </r>
  <r>
    <x v="12"/>
    <x v="3"/>
    <s v="ACT"/>
    <s v="Known gap agreement"/>
    <s v="More than 150% MBS Fee to 200% MBS Fee"/>
    <n v="0"/>
    <n v="0"/>
    <n v="0"/>
    <n v="0"/>
  </r>
  <r>
    <x v="12"/>
    <x v="3"/>
    <s v="ACT"/>
    <s v="Known gap agreement"/>
    <s v="More than 200% MBS Fee"/>
    <n v="0"/>
    <n v="0"/>
    <n v="0"/>
    <n v="0"/>
  </r>
  <r>
    <x v="12"/>
    <x v="3"/>
    <s v="ACT"/>
    <s v="No agreement"/>
    <s v="100% MBS Fee to 125% MBS Fee"/>
    <n v="0"/>
    <n v="0"/>
    <n v="0"/>
    <n v="0"/>
  </r>
  <r>
    <x v="12"/>
    <x v="3"/>
    <s v="ACT"/>
    <s v="No agreement"/>
    <s v="More than 125% MBS Fee to 150% MBS Fee"/>
    <n v="0"/>
    <n v="0"/>
    <n v="0"/>
    <n v="0"/>
  </r>
  <r>
    <x v="12"/>
    <x v="3"/>
    <s v="ACT"/>
    <s v="No agreement"/>
    <s v="More than 150% MBS Fee to 200% MBS Fee"/>
    <n v="0"/>
    <n v="0"/>
    <n v="0"/>
    <n v="0"/>
  </r>
  <r>
    <x v="12"/>
    <x v="3"/>
    <s v="ACT"/>
    <s v="No agreement"/>
    <s v="More than 200% MBS Fee"/>
    <n v="0"/>
    <n v="0"/>
    <n v="0"/>
    <n v="0"/>
  </r>
  <r>
    <x v="12"/>
    <x v="3"/>
    <s v="ACT"/>
    <s v="No agreement"/>
    <s v="Up to MBS Fee"/>
    <n v="0"/>
    <n v="0"/>
    <n v="0"/>
    <n v="0"/>
  </r>
  <r>
    <x v="12"/>
    <x v="3"/>
    <s v="ACT"/>
    <s v="No gap agreement"/>
    <s v="100% MBS Fee to 125% MBS Fee"/>
    <n v="0"/>
    <n v="0"/>
    <n v="0"/>
    <n v="0"/>
  </r>
  <r>
    <x v="12"/>
    <x v="3"/>
    <s v="ACT"/>
    <s v="No gap agreement"/>
    <s v="More than 125% MBS Fee to 150% MBS Fee"/>
    <n v="0"/>
    <n v="0"/>
    <n v="0"/>
    <n v="0"/>
  </r>
  <r>
    <x v="12"/>
    <x v="3"/>
    <s v="ACT"/>
    <s v="No gap agreement"/>
    <s v="More than 150% MBS Fee to 200% MBS Fee"/>
    <n v="0"/>
    <n v="0"/>
    <n v="0"/>
    <n v="0"/>
  </r>
  <r>
    <x v="12"/>
    <x v="3"/>
    <s v="ACT"/>
    <s v="No gap agreement"/>
    <s v="More than 200% MBS Fee"/>
    <n v="0"/>
    <n v="0"/>
    <n v="0"/>
    <n v="0"/>
  </r>
  <r>
    <x v="12"/>
    <x v="3"/>
    <s v="ACT"/>
    <s v="No gap agreement"/>
    <s v="Up to MBS Fee"/>
    <n v="0"/>
    <n v="0"/>
    <n v="0"/>
    <n v="0"/>
  </r>
  <r>
    <x v="12"/>
    <x v="3"/>
    <s v="NSW"/>
    <s v="Known gap agreement"/>
    <s v="100% MBS Fee to 125% MBS Fee"/>
    <n v="928278.69"/>
    <n v="609548.69999999995"/>
    <n v="286512.71000000002"/>
    <n v="6774"/>
  </r>
  <r>
    <x v="12"/>
    <x v="3"/>
    <s v="NSW"/>
    <s v="Known gap agreement"/>
    <s v="More than 125% MBS Fee to 150% MBS Fee"/>
    <n v="1673359.35"/>
    <n v="908003.5"/>
    <n v="662441.55000000005"/>
    <n v="7027"/>
  </r>
  <r>
    <x v="12"/>
    <x v="3"/>
    <s v="NSW"/>
    <s v="Known gap agreement"/>
    <s v="More than 150% MBS Fee to 200% MBS Fee"/>
    <n v="4229068.99"/>
    <n v="1848939.24"/>
    <n v="1795715.54"/>
    <n v="18169"/>
  </r>
  <r>
    <x v="12"/>
    <x v="3"/>
    <s v="NSW"/>
    <s v="Known gap agreement"/>
    <s v="More than 200% MBS Fee"/>
    <n v="6075134.3600000003"/>
    <n v="1637820.46"/>
    <n v="1624040.63"/>
    <n v="15368"/>
  </r>
  <r>
    <x v="12"/>
    <x v="3"/>
    <s v="NSW"/>
    <s v="No agreement"/>
    <s v="100% MBS Fee to 125% MBS Fee"/>
    <n v="3224676.88"/>
    <n v="2136202.81"/>
    <n v="715761.91"/>
    <n v="17028"/>
  </r>
  <r>
    <x v="12"/>
    <x v="3"/>
    <s v="NSW"/>
    <s v="No agreement"/>
    <s v="More than 125% MBS Fee to 150% MBS Fee"/>
    <n v="4686348.67"/>
    <n v="2567431.08"/>
    <n v="861468.48"/>
    <n v="40859"/>
  </r>
  <r>
    <x v="12"/>
    <x v="3"/>
    <s v="NSW"/>
    <s v="No agreement"/>
    <s v="More than 150% MBS Fee to 200% MBS Fee"/>
    <n v="15777988.810000001"/>
    <n v="6671395.6200000001"/>
    <n v="2272892.5"/>
    <n v="65014"/>
  </r>
  <r>
    <x v="12"/>
    <x v="3"/>
    <s v="NSW"/>
    <s v="No agreement"/>
    <s v="More than 200% MBS Fee"/>
    <n v="65933577.850000001"/>
    <n v="17475549.82"/>
    <n v="5890673.25"/>
    <n v="135571"/>
  </r>
  <r>
    <x v="12"/>
    <x v="3"/>
    <s v="NSW"/>
    <s v="No agreement"/>
    <s v="Up to MBS Fee"/>
    <n v="21791451.149999999"/>
    <n v="16415261.609999999"/>
    <n v="5374782.6200000001"/>
    <n v="336836"/>
  </r>
  <r>
    <x v="12"/>
    <x v="3"/>
    <s v="NSW"/>
    <s v="No gap agreement"/>
    <s v="100% MBS Fee to 125% MBS Fee"/>
    <n v="26550970.960000001"/>
    <n v="17078776.510000002"/>
    <n v="9470385.1099999994"/>
    <n v="337146"/>
  </r>
  <r>
    <x v="12"/>
    <x v="3"/>
    <s v="NSW"/>
    <s v="No gap agreement"/>
    <s v="More than 125% MBS Fee to 150% MBS Fee"/>
    <n v="47381155.229999997"/>
    <n v="26034529.93"/>
    <n v="21346446.309999999"/>
    <n v="200045"/>
  </r>
  <r>
    <x v="12"/>
    <x v="3"/>
    <s v="NSW"/>
    <s v="No gap agreement"/>
    <s v="More than 150% MBS Fee to 200% MBS Fee"/>
    <n v="37185702.439999998"/>
    <n v="17369480.879999999"/>
    <n v="19816106.129999999"/>
    <n v="253994"/>
  </r>
  <r>
    <x v="12"/>
    <x v="3"/>
    <s v="NSW"/>
    <s v="No gap agreement"/>
    <s v="More than 200% MBS Fee"/>
    <n v="4133392.98"/>
    <n v="1205930.1499999999"/>
    <n v="2927458.25"/>
    <n v="4946"/>
  </r>
  <r>
    <x v="12"/>
    <x v="3"/>
    <s v="NSW"/>
    <s v="No gap agreement"/>
    <s v="Up to MBS Fee"/>
    <n v="6511235.1200000001"/>
    <n v="4972736.3099999996"/>
    <n v="1540404.41"/>
    <n v="155831"/>
  </r>
  <r>
    <x v="12"/>
    <x v="3"/>
    <s v="NT"/>
    <s v="Known gap agreement"/>
    <s v="100% MBS Fee to 125% MBS Fee"/>
    <n v="11158.7"/>
    <n v="7403.95"/>
    <n v="3131.7"/>
    <n v="55"/>
  </r>
  <r>
    <x v="12"/>
    <x v="3"/>
    <s v="NT"/>
    <s v="Known gap agreement"/>
    <s v="More than 125% MBS Fee to 150% MBS Fee"/>
    <n v="27704.87"/>
    <n v="15130.7"/>
    <n v="9073"/>
    <n v="115"/>
  </r>
  <r>
    <x v="12"/>
    <x v="3"/>
    <s v="NT"/>
    <s v="Known gap agreement"/>
    <s v="More than 150% MBS Fee to 200% MBS Fee"/>
    <n v="85453.85"/>
    <n v="37177"/>
    <n v="36064.6"/>
    <n v="148"/>
  </r>
  <r>
    <x v="12"/>
    <x v="3"/>
    <s v="NT"/>
    <s v="Known gap agreement"/>
    <s v="More than 200% MBS Fee"/>
    <n v="203097.05"/>
    <n v="55164"/>
    <n v="58094.03"/>
    <n v="522"/>
  </r>
  <r>
    <x v="12"/>
    <x v="3"/>
    <s v="NT"/>
    <s v="No agreement"/>
    <s v="100% MBS Fee to 125% MBS Fee"/>
    <n v="57766.47"/>
    <n v="37786.199999999997"/>
    <n v="12718.07"/>
    <n v="272"/>
  </r>
  <r>
    <x v="12"/>
    <x v="3"/>
    <s v="NT"/>
    <s v="No agreement"/>
    <s v="More than 125% MBS Fee to 150% MBS Fee"/>
    <n v="67324.800000000003"/>
    <n v="36738.85"/>
    <n v="12361.99"/>
    <n v="388"/>
  </r>
  <r>
    <x v="12"/>
    <x v="3"/>
    <s v="NT"/>
    <s v="No agreement"/>
    <s v="More than 150% MBS Fee to 200% MBS Fee"/>
    <n v="147883.68"/>
    <n v="62177.85"/>
    <n v="20807.150000000001"/>
    <n v="1107"/>
  </r>
  <r>
    <x v="12"/>
    <x v="3"/>
    <s v="NT"/>
    <s v="No agreement"/>
    <s v="More than 200% MBS Fee"/>
    <n v="643949.19999999995"/>
    <n v="170866.35"/>
    <n v="57729.27"/>
    <n v="1777"/>
  </r>
  <r>
    <x v="12"/>
    <x v="3"/>
    <s v="NT"/>
    <s v="No agreement"/>
    <s v="Up to MBS Fee"/>
    <n v="221887.95"/>
    <n v="167182.54999999999"/>
    <n v="54705.4"/>
    <n v="2067"/>
  </r>
  <r>
    <x v="12"/>
    <x v="3"/>
    <s v="NT"/>
    <s v="No gap agreement"/>
    <s v="100% MBS Fee to 125% MBS Fee"/>
    <n v="252617.56"/>
    <n v="163474.57"/>
    <n v="89141.84"/>
    <n v="2701"/>
  </r>
  <r>
    <x v="12"/>
    <x v="3"/>
    <s v="NT"/>
    <s v="No gap agreement"/>
    <s v="More than 125% MBS Fee to 150% MBS Fee"/>
    <n v="698453.73"/>
    <n v="379124.57"/>
    <n v="319329.15999999997"/>
    <n v="2138"/>
  </r>
  <r>
    <x v="12"/>
    <x v="3"/>
    <s v="NT"/>
    <s v="No gap agreement"/>
    <s v="More than 150% MBS Fee to 200% MBS Fee"/>
    <n v="542802.65"/>
    <n v="251365.9"/>
    <n v="291411.7"/>
    <n v="2878"/>
  </r>
  <r>
    <x v="12"/>
    <x v="3"/>
    <s v="NT"/>
    <s v="No gap agreement"/>
    <s v="More than 200% MBS Fee"/>
    <n v="51957.95"/>
    <n v="14492.75"/>
    <n v="37465.199999999997"/>
    <n v="723"/>
  </r>
  <r>
    <x v="12"/>
    <x v="3"/>
    <s v="NT"/>
    <s v="No gap agreement"/>
    <s v="Up to MBS Fee"/>
    <n v="47799.35"/>
    <n v="36855.25"/>
    <n v="10944.1"/>
    <n v="908"/>
  </r>
  <r>
    <x v="12"/>
    <x v="3"/>
    <s v="QLD"/>
    <s v="Known gap agreement"/>
    <s v="100% MBS Fee to 125% MBS Fee"/>
    <n v="609516.34"/>
    <n v="401589.68"/>
    <n v="184502.45"/>
    <n v="4399"/>
  </r>
  <r>
    <x v="12"/>
    <x v="3"/>
    <s v="QLD"/>
    <s v="Known gap agreement"/>
    <s v="More than 125% MBS Fee to 150% MBS Fee"/>
    <n v="1135168.3899999999"/>
    <n v="617416.43000000005"/>
    <n v="427943"/>
    <n v="5809"/>
  </r>
  <r>
    <x v="12"/>
    <x v="3"/>
    <s v="QLD"/>
    <s v="Known gap agreement"/>
    <s v="More than 150% MBS Fee to 200% MBS Fee"/>
    <n v="4455238.75"/>
    <n v="1912069.99"/>
    <n v="1809721.73"/>
    <n v="14345"/>
  </r>
  <r>
    <x v="12"/>
    <x v="3"/>
    <s v="QLD"/>
    <s v="Known gap agreement"/>
    <s v="More than 200% MBS Fee"/>
    <n v="7568136.2800000003"/>
    <n v="2127529.66"/>
    <n v="2369757.13"/>
    <n v="22068"/>
  </r>
  <r>
    <x v="12"/>
    <x v="3"/>
    <s v="QLD"/>
    <s v="No agreement"/>
    <s v="100% MBS Fee to 125% MBS Fee"/>
    <n v="2482527.2200000002"/>
    <n v="1653843.55"/>
    <n v="553901.85"/>
    <n v="16204"/>
  </r>
  <r>
    <x v="12"/>
    <x v="3"/>
    <s v="QLD"/>
    <s v="No agreement"/>
    <s v="More than 125% MBS Fee to 150% MBS Fee"/>
    <n v="4772481.51"/>
    <n v="2618808.88"/>
    <n v="892060.25"/>
    <n v="26662"/>
  </r>
  <r>
    <x v="12"/>
    <x v="3"/>
    <s v="QLD"/>
    <s v="No agreement"/>
    <s v="More than 150% MBS Fee to 200% MBS Fee"/>
    <n v="10892179.58"/>
    <n v="4647021.9000000004"/>
    <n v="1582856.12"/>
    <n v="51686"/>
  </r>
  <r>
    <x v="12"/>
    <x v="3"/>
    <s v="QLD"/>
    <s v="No agreement"/>
    <s v="More than 200% MBS Fee"/>
    <n v="23912835.420000002"/>
    <n v="6410480.5700000003"/>
    <n v="2163233.7799999998"/>
    <n v="57906"/>
  </r>
  <r>
    <x v="12"/>
    <x v="3"/>
    <s v="QLD"/>
    <s v="No agreement"/>
    <s v="Up to MBS Fee"/>
    <n v="7380197.7400000002"/>
    <n v="5546248.9199999999"/>
    <n v="1801906.31"/>
    <n v="92752"/>
  </r>
  <r>
    <x v="12"/>
    <x v="3"/>
    <s v="QLD"/>
    <s v="No gap agreement"/>
    <s v="100% MBS Fee to 125% MBS Fee"/>
    <n v="26551056.370000001"/>
    <n v="17251588.68"/>
    <n v="9299416.5099999998"/>
    <n v="422431"/>
  </r>
  <r>
    <x v="12"/>
    <x v="3"/>
    <s v="QLD"/>
    <s v="No gap agreement"/>
    <s v="More than 125% MBS Fee to 150% MBS Fee"/>
    <n v="40560274.490000002"/>
    <n v="22398439.219999999"/>
    <n v="18161738.469999999"/>
    <n v="191458"/>
  </r>
  <r>
    <x v="12"/>
    <x v="3"/>
    <s v="QLD"/>
    <s v="No gap agreement"/>
    <s v="More than 150% MBS Fee to 200% MBS Fee"/>
    <n v="25885972.27"/>
    <n v="12156255.84"/>
    <n v="13729640"/>
    <n v="201180"/>
  </r>
  <r>
    <x v="12"/>
    <x v="3"/>
    <s v="QLD"/>
    <s v="No gap agreement"/>
    <s v="More than 200% MBS Fee"/>
    <n v="3749233.65"/>
    <n v="1043365.5"/>
    <n v="2705867.95"/>
    <n v="3699"/>
  </r>
  <r>
    <x v="12"/>
    <x v="3"/>
    <s v="QLD"/>
    <s v="No gap agreement"/>
    <s v="Up to MBS Fee"/>
    <n v="1724047.16"/>
    <n v="1359133.84"/>
    <n v="366543.82"/>
    <n v="33310"/>
  </r>
  <r>
    <x v="12"/>
    <x v="3"/>
    <s v="SA"/>
    <s v="Known gap agreement"/>
    <s v="100% MBS Fee to 125% MBS Fee"/>
    <n v="1284521.8700000001"/>
    <n v="836199.75"/>
    <n v="417540.23"/>
    <n v="13600"/>
  </r>
  <r>
    <x v="12"/>
    <x v="3"/>
    <s v="SA"/>
    <s v="Known gap agreement"/>
    <s v="More than 125% MBS Fee to 150% MBS Fee"/>
    <n v="2087033.31"/>
    <n v="1136921.45"/>
    <n v="864852.35"/>
    <n v="7581"/>
  </r>
  <r>
    <x v="12"/>
    <x v="3"/>
    <s v="SA"/>
    <s v="Known gap agreement"/>
    <s v="More than 150% MBS Fee to 200% MBS Fee"/>
    <n v="2175535.35"/>
    <n v="992717.61"/>
    <n v="1027210.23"/>
    <n v="10359"/>
  </r>
  <r>
    <x v="12"/>
    <x v="3"/>
    <s v="SA"/>
    <s v="Known gap agreement"/>
    <s v="More than 200% MBS Fee"/>
    <n v="1138610.75"/>
    <n v="290685.03000000003"/>
    <n v="368425.99"/>
    <n v="2311"/>
  </r>
  <r>
    <x v="12"/>
    <x v="3"/>
    <s v="SA"/>
    <s v="No agreement"/>
    <s v="100% MBS Fee to 125% MBS Fee"/>
    <n v="363881.58"/>
    <n v="238993.65"/>
    <n v="87399.3"/>
    <n v="3689"/>
  </r>
  <r>
    <x v="12"/>
    <x v="3"/>
    <s v="SA"/>
    <s v="No agreement"/>
    <s v="More than 125% MBS Fee to 150% MBS Fee"/>
    <n v="894105.83"/>
    <n v="486830.34"/>
    <n v="185838.9"/>
    <n v="6493"/>
  </r>
  <r>
    <x v="12"/>
    <x v="3"/>
    <s v="SA"/>
    <s v="No agreement"/>
    <s v="More than 150% MBS Fee to 200% MBS Fee"/>
    <n v="630257.77"/>
    <n v="268500.86"/>
    <n v="135860.29"/>
    <n v="3522"/>
  </r>
  <r>
    <x v="12"/>
    <x v="3"/>
    <s v="SA"/>
    <s v="No agreement"/>
    <s v="More than 200% MBS Fee"/>
    <n v="799768.91"/>
    <n v="286869.65000000002"/>
    <n v="100021.36"/>
    <n v="2669"/>
  </r>
  <r>
    <x v="12"/>
    <x v="3"/>
    <s v="SA"/>
    <s v="No agreement"/>
    <s v="Up to MBS Fee"/>
    <n v="7545109.5999999996"/>
    <n v="5686828.8300000001"/>
    <n v="1858264.87"/>
    <n v="59674"/>
  </r>
  <r>
    <x v="12"/>
    <x v="3"/>
    <s v="SA"/>
    <s v="No gap agreement"/>
    <s v="100% MBS Fee to 125% MBS Fee"/>
    <n v="7902179.9199999999"/>
    <n v="5246355.58"/>
    <n v="2655769.5299999998"/>
    <n v="135259"/>
  </r>
  <r>
    <x v="12"/>
    <x v="3"/>
    <s v="SA"/>
    <s v="No gap agreement"/>
    <s v="More than 125% MBS Fee to 150% MBS Fee"/>
    <n v="17738513.370000001"/>
    <n v="9689706.1500000004"/>
    <n v="8048799.4100000001"/>
    <n v="75567"/>
  </r>
  <r>
    <x v="12"/>
    <x v="3"/>
    <s v="SA"/>
    <s v="No gap agreement"/>
    <s v="More than 150% MBS Fee to 200% MBS Fee"/>
    <n v="13118022.5"/>
    <n v="6066271.3200000003"/>
    <n v="7051724.0800000001"/>
    <n v="74667"/>
  </r>
  <r>
    <x v="12"/>
    <x v="3"/>
    <s v="SA"/>
    <s v="No gap agreement"/>
    <s v="More than 200% MBS Fee"/>
    <n v="1044487.17"/>
    <n v="276289.89"/>
    <n v="768197.28"/>
    <n v="876"/>
  </r>
  <r>
    <x v="12"/>
    <x v="3"/>
    <s v="SA"/>
    <s v="No gap agreement"/>
    <s v="Up to MBS Fee"/>
    <n v="2021489.63"/>
    <n v="1526558.94"/>
    <n v="495087.29"/>
    <n v="20615"/>
  </r>
  <r>
    <x v="12"/>
    <x v="3"/>
    <s v="TAS"/>
    <s v="Known gap agreement"/>
    <s v="100% MBS Fee to 125% MBS Fee"/>
    <n v="52158.64"/>
    <n v="35073.85"/>
    <n v="13430.49"/>
    <n v="324"/>
  </r>
  <r>
    <x v="12"/>
    <x v="3"/>
    <s v="TAS"/>
    <s v="Known gap agreement"/>
    <s v="More than 125% MBS Fee to 150% MBS Fee"/>
    <n v="114301.8"/>
    <n v="61844.65"/>
    <n v="45892.68"/>
    <n v="549"/>
  </r>
  <r>
    <x v="12"/>
    <x v="3"/>
    <s v="TAS"/>
    <s v="Known gap agreement"/>
    <s v="More than 150% MBS Fee to 200% MBS Fee"/>
    <n v="416686.53"/>
    <n v="176633.58"/>
    <n v="183327.74"/>
    <n v="1335"/>
  </r>
  <r>
    <x v="12"/>
    <x v="3"/>
    <s v="TAS"/>
    <s v="Known gap agreement"/>
    <s v="More than 200% MBS Fee"/>
    <n v="743811.06"/>
    <n v="229250.23"/>
    <n v="263913.65000000002"/>
    <n v="2387"/>
  </r>
  <r>
    <x v="12"/>
    <x v="3"/>
    <s v="TAS"/>
    <s v="No agreement"/>
    <s v="100% MBS Fee to 125% MBS Fee"/>
    <n v="233496.42"/>
    <n v="154496.35"/>
    <n v="51646.32"/>
    <n v="1574"/>
  </r>
  <r>
    <x v="12"/>
    <x v="3"/>
    <s v="TAS"/>
    <s v="No agreement"/>
    <s v="More than 125% MBS Fee to 150% MBS Fee"/>
    <n v="316287.64"/>
    <n v="175929.64"/>
    <n v="59026.44"/>
    <n v="1079"/>
  </r>
  <r>
    <x v="12"/>
    <x v="3"/>
    <s v="TAS"/>
    <s v="No agreement"/>
    <s v="More than 150% MBS Fee to 200% MBS Fee"/>
    <n v="486860.75"/>
    <n v="206509.25"/>
    <n v="70002.06"/>
    <n v="2322"/>
  </r>
  <r>
    <x v="12"/>
    <x v="3"/>
    <s v="TAS"/>
    <s v="No agreement"/>
    <s v="More than 200% MBS Fee"/>
    <n v="1549579.25"/>
    <n v="406051.9"/>
    <n v="138092.60999999999"/>
    <n v="3283"/>
  </r>
  <r>
    <x v="12"/>
    <x v="3"/>
    <s v="TAS"/>
    <s v="No agreement"/>
    <s v="Up to MBS Fee"/>
    <n v="1511065.71"/>
    <n v="1137221.3799999999"/>
    <n v="373844.33"/>
    <n v="20998"/>
  </r>
  <r>
    <x v="12"/>
    <x v="3"/>
    <s v="TAS"/>
    <s v="No gap agreement"/>
    <s v="100% MBS Fee to 125% MBS Fee"/>
    <n v="2433928.4300000002"/>
    <n v="1587887.41"/>
    <n v="846039.53"/>
    <n v="31262"/>
  </r>
  <r>
    <x v="12"/>
    <x v="3"/>
    <s v="TAS"/>
    <s v="No gap agreement"/>
    <s v="More than 125% MBS Fee to 150% MBS Fee"/>
    <n v="4224139.49"/>
    <n v="2306558.1800000002"/>
    <n v="1918485.18"/>
    <n v="13261"/>
  </r>
  <r>
    <x v="12"/>
    <x v="3"/>
    <s v="TAS"/>
    <s v="No gap agreement"/>
    <s v="More than 150% MBS Fee to 200% MBS Fee"/>
    <n v="3322580.51"/>
    <n v="1542097.89"/>
    <n v="1780478.1"/>
    <n v="23438"/>
  </r>
  <r>
    <x v="12"/>
    <x v="3"/>
    <s v="TAS"/>
    <s v="No gap agreement"/>
    <s v="More than 200% MBS Fee"/>
    <n v="396269.31"/>
    <n v="109954.75"/>
    <n v="285410.56"/>
    <n v="343"/>
  </r>
  <r>
    <x v="12"/>
    <x v="3"/>
    <s v="TAS"/>
    <s v="No gap agreement"/>
    <s v="Up to MBS Fee"/>
    <n v="164242.79"/>
    <n v="131824.59"/>
    <n v="32418.2"/>
    <n v="1775"/>
  </r>
  <r>
    <x v="12"/>
    <x v="3"/>
    <s v="VIC"/>
    <s v="Known gap agreement"/>
    <s v="100% MBS Fee to 125% MBS Fee"/>
    <n v="1793414.42"/>
    <n v="1178839.7"/>
    <n v="531654.23"/>
    <n v="9980"/>
  </r>
  <r>
    <x v="12"/>
    <x v="3"/>
    <s v="VIC"/>
    <s v="Known gap agreement"/>
    <s v="More than 125% MBS Fee to 150% MBS Fee"/>
    <n v="3117540.28"/>
    <n v="1694223.45"/>
    <n v="1137291.8899999999"/>
    <n v="12348"/>
  </r>
  <r>
    <x v="12"/>
    <x v="3"/>
    <s v="VIC"/>
    <s v="Known gap agreement"/>
    <s v="More than 150% MBS Fee to 200% MBS Fee"/>
    <n v="5753019.1200000001"/>
    <n v="2471517.44"/>
    <n v="2197408.2599999998"/>
    <n v="23615"/>
  </r>
  <r>
    <x v="12"/>
    <x v="3"/>
    <s v="VIC"/>
    <s v="Known gap agreement"/>
    <s v="More than 200% MBS Fee"/>
    <n v="5931999.4100000001"/>
    <n v="1709766.48"/>
    <n v="1717319.93"/>
    <n v="18015"/>
  </r>
  <r>
    <x v="12"/>
    <x v="3"/>
    <s v="VIC"/>
    <s v="No agreement"/>
    <s v="100% MBS Fee to 125% MBS Fee"/>
    <n v="2796581.07"/>
    <n v="1849589.42"/>
    <n v="630259.13"/>
    <n v="21970"/>
  </r>
  <r>
    <x v="12"/>
    <x v="3"/>
    <s v="VIC"/>
    <s v="No agreement"/>
    <s v="More than 125% MBS Fee to 150% MBS Fee"/>
    <n v="2917212.83"/>
    <n v="1597282.86"/>
    <n v="602844.07999999996"/>
    <n v="15096"/>
  </r>
  <r>
    <x v="12"/>
    <x v="3"/>
    <s v="VIC"/>
    <s v="No agreement"/>
    <s v="More than 150% MBS Fee to 200% MBS Fee"/>
    <n v="6729120.4699999997"/>
    <n v="2860724.03"/>
    <n v="993106.97"/>
    <n v="47648"/>
  </r>
  <r>
    <x v="12"/>
    <x v="3"/>
    <s v="VIC"/>
    <s v="No agreement"/>
    <s v="More than 200% MBS Fee"/>
    <n v="12230880.619999999"/>
    <n v="2978764.11"/>
    <n v="1028743.86"/>
    <n v="27165"/>
  </r>
  <r>
    <x v="12"/>
    <x v="3"/>
    <s v="VIC"/>
    <s v="No agreement"/>
    <s v="Up to MBS Fee"/>
    <n v="13504680.119999999"/>
    <n v="10172661.289999999"/>
    <n v="3331841.53"/>
    <n v="147975"/>
  </r>
  <r>
    <x v="12"/>
    <x v="3"/>
    <s v="VIC"/>
    <s v="No gap agreement"/>
    <s v="100% MBS Fee to 125% MBS Fee"/>
    <n v="24700971.539999999"/>
    <n v="15960634.73"/>
    <n v="8740231.2400000002"/>
    <n v="311820"/>
  </r>
  <r>
    <x v="12"/>
    <x v="3"/>
    <s v="VIC"/>
    <s v="No gap agreement"/>
    <s v="More than 125% MBS Fee to 150% MBS Fee"/>
    <n v="54909853.869999997"/>
    <n v="30170692.460000001"/>
    <n v="24739086.149999999"/>
    <n v="312444"/>
  </r>
  <r>
    <x v="12"/>
    <x v="3"/>
    <s v="VIC"/>
    <s v="No gap agreement"/>
    <s v="More than 150% MBS Fee to 200% MBS Fee"/>
    <n v="33631508.409999996"/>
    <n v="15503509.029999999"/>
    <n v="18127877.5"/>
    <n v="234603"/>
  </r>
  <r>
    <x v="12"/>
    <x v="3"/>
    <s v="VIC"/>
    <s v="No gap agreement"/>
    <s v="More than 200% MBS Fee"/>
    <n v="2481699.0099999998"/>
    <n v="706464.77"/>
    <n v="1775233.44"/>
    <n v="2547"/>
  </r>
  <r>
    <x v="12"/>
    <x v="3"/>
    <s v="VIC"/>
    <s v="No gap agreement"/>
    <s v="Up to MBS Fee"/>
    <n v="6461761.0999999996"/>
    <n v="4876019.58"/>
    <n v="1586021.07"/>
    <n v="106250"/>
  </r>
  <r>
    <x v="12"/>
    <x v="3"/>
    <s v="WA"/>
    <s v="Known gap agreement"/>
    <s v="100% MBS Fee to 125% MBS Fee"/>
    <n v="1239290.54"/>
    <n v="845545.48"/>
    <n v="365022.76"/>
    <n v="9057"/>
  </r>
  <r>
    <x v="12"/>
    <x v="3"/>
    <s v="WA"/>
    <s v="Known gap agreement"/>
    <s v="More than 125% MBS Fee to 150% MBS Fee"/>
    <n v="2713456.41"/>
    <n v="1479717.85"/>
    <n v="975901.9"/>
    <n v="11488"/>
  </r>
  <r>
    <x v="12"/>
    <x v="3"/>
    <s v="WA"/>
    <s v="Known gap agreement"/>
    <s v="More than 150% MBS Fee to 200% MBS Fee"/>
    <n v="4997365.7599999998"/>
    <n v="2197670.86"/>
    <n v="1605114.52"/>
    <n v="20420"/>
  </r>
  <r>
    <x v="12"/>
    <x v="3"/>
    <s v="WA"/>
    <s v="Known gap agreement"/>
    <s v="More than 200% MBS Fee"/>
    <n v="7069515.5499999998"/>
    <n v="1826896.07"/>
    <n v="1422654.99"/>
    <n v="17150"/>
  </r>
  <r>
    <x v="12"/>
    <x v="3"/>
    <s v="WA"/>
    <s v="No agreement"/>
    <s v="100% MBS Fee to 125% MBS Fee"/>
    <n v="621132.56999999995"/>
    <n v="402435.62"/>
    <n v="136259.07999999999"/>
    <n v="5490"/>
  </r>
  <r>
    <x v="12"/>
    <x v="3"/>
    <s v="WA"/>
    <s v="No agreement"/>
    <s v="More than 125% MBS Fee to 150% MBS Fee"/>
    <n v="1557940.87"/>
    <n v="855119.67"/>
    <n v="289582.53000000003"/>
    <n v="18319"/>
  </r>
  <r>
    <x v="12"/>
    <x v="3"/>
    <s v="WA"/>
    <s v="No agreement"/>
    <s v="More than 150% MBS Fee to 200% MBS Fee"/>
    <n v="2233493.94"/>
    <n v="966176.09"/>
    <n v="329088.74"/>
    <n v="23624"/>
  </r>
  <r>
    <x v="12"/>
    <x v="3"/>
    <s v="WA"/>
    <s v="No agreement"/>
    <s v="More than 200% MBS Fee"/>
    <n v="2716103.24"/>
    <n v="584780.12"/>
    <n v="196252.34"/>
    <n v="4842"/>
  </r>
  <r>
    <x v="12"/>
    <x v="3"/>
    <s v="WA"/>
    <s v="No agreement"/>
    <s v="Up to MBS Fee"/>
    <n v="1646541.11"/>
    <n v="1244549.8"/>
    <n v="401991.31"/>
    <n v="39649"/>
  </r>
  <r>
    <x v="12"/>
    <x v="3"/>
    <s v="WA"/>
    <s v="No gap agreement"/>
    <s v="100% MBS Fee to 125% MBS Fee"/>
    <n v="7458699.4699999997"/>
    <n v="4759331.51"/>
    <n v="2699352.24"/>
    <n v="85498"/>
  </r>
  <r>
    <x v="12"/>
    <x v="3"/>
    <s v="WA"/>
    <s v="No gap agreement"/>
    <s v="More than 125% MBS Fee to 150% MBS Fee"/>
    <n v="16360755.66"/>
    <n v="9090475.4100000001"/>
    <n v="7270279.6900000004"/>
    <n v="60273"/>
  </r>
  <r>
    <x v="12"/>
    <x v="3"/>
    <s v="WA"/>
    <s v="No gap agreement"/>
    <s v="More than 150% MBS Fee to 200% MBS Fee"/>
    <n v="15722716.6"/>
    <n v="7001820.04"/>
    <n v="8720887.1099999994"/>
    <n v="90876"/>
  </r>
  <r>
    <x v="12"/>
    <x v="3"/>
    <s v="WA"/>
    <s v="No gap agreement"/>
    <s v="More than 200% MBS Fee"/>
    <n v="2381599.64"/>
    <n v="550997.87"/>
    <n v="1830601.77"/>
    <n v="1705"/>
  </r>
  <r>
    <x v="12"/>
    <x v="3"/>
    <s v="WA"/>
    <s v="No gap agreement"/>
    <s v="Up to MBS Fee"/>
    <n v="1045432.81"/>
    <n v="796797.32"/>
    <n v="248760.79"/>
    <n v="14577"/>
  </r>
  <r>
    <x v="12"/>
    <x v="1"/>
    <s v="NSW"/>
    <s v="No agreement"/>
    <s v="Up to MBS Fee"/>
    <n v="21828520.640000001"/>
    <n v="16709363.550000001"/>
    <n v="5118790.46"/>
    <n v="388847"/>
  </r>
  <r>
    <x v="12"/>
    <x v="1"/>
    <s v="NSW"/>
    <s v="No agreement"/>
    <s v="100% MBS Fee to 125% MBS Fee"/>
    <n v="6191832.3099999996"/>
    <n v="4365914.32"/>
    <n v="1446395.75"/>
    <n v="51053"/>
  </r>
  <r>
    <x v="12"/>
    <x v="1"/>
    <s v="NSW"/>
    <s v="No agreement"/>
    <s v="More than 125% MBS Fee to 150% MBS Fee"/>
    <n v="4991273.57"/>
    <n v="2702233.72"/>
    <n v="929623.42"/>
    <n v="43574"/>
  </r>
  <r>
    <x v="12"/>
    <x v="1"/>
    <s v="NSW"/>
    <s v="No agreement"/>
    <s v="More than 150% MBS Fee to 200% MBS Fee"/>
    <n v="16807172.129999999"/>
    <n v="7114808.0899999999"/>
    <n v="2440186.5299999998"/>
    <n v="70276"/>
  </r>
  <r>
    <x v="12"/>
    <x v="1"/>
    <s v="NSW"/>
    <s v="No agreement"/>
    <s v="More than 200% MBS Fee"/>
    <n v="75148097.549999997"/>
    <n v="19782556.530000001"/>
    <n v="6696173.4100000001"/>
    <n v="148671"/>
  </r>
  <r>
    <x v="12"/>
    <x v="1"/>
    <s v="NSW"/>
    <s v="Known gap agreement"/>
    <s v="100% MBS Fee to 125% MBS Fee"/>
    <n v="844535.95"/>
    <n v="557292.23"/>
    <n v="259603.7"/>
    <n v="10607"/>
  </r>
  <r>
    <x v="12"/>
    <x v="1"/>
    <s v="NSW"/>
    <s v="Known gap agreement"/>
    <s v="More than 125% MBS Fee to 150% MBS Fee"/>
    <n v="1527249.43"/>
    <n v="825558.29"/>
    <n v="609382.36"/>
    <n v="8470"/>
  </r>
  <r>
    <x v="12"/>
    <x v="1"/>
    <s v="NSW"/>
    <s v="Known gap agreement"/>
    <s v="More than 150% MBS Fee to 200% MBS Fee"/>
    <n v="4224561.5199999996"/>
    <n v="1840079.72"/>
    <n v="1745624.86"/>
    <n v="20699"/>
  </r>
  <r>
    <x v="12"/>
    <x v="1"/>
    <s v="NSW"/>
    <s v="Known gap agreement"/>
    <s v="More than 200% MBS Fee"/>
    <n v="6175040.1200000001"/>
    <n v="1667084.3"/>
    <n v="1840302.15"/>
    <n v="16315"/>
  </r>
  <r>
    <x v="12"/>
    <x v="1"/>
    <s v="NSW"/>
    <s v="No gap agreement"/>
    <s v="Up to MBS Fee"/>
    <n v="6006900.3200000003"/>
    <n v="4552767.58"/>
    <n v="1454526.39"/>
    <n v="192618"/>
  </r>
  <r>
    <x v="12"/>
    <x v="1"/>
    <s v="NSW"/>
    <s v="No gap agreement"/>
    <s v="100% MBS Fee to 125% MBS Fee"/>
    <n v="32945425.32"/>
    <n v="21339281.98"/>
    <n v="11606099.869999999"/>
    <n v="458778"/>
  </r>
  <r>
    <x v="12"/>
    <x v="1"/>
    <s v="NSW"/>
    <s v="No gap agreement"/>
    <s v="More than 125% MBS Fee to 150% MBS Fee"/>
    <n v="58240533.450000003"/>
    <n v="32019063.239999998"/>
    <n v="26221182.719999999"/>
    <n v="239682"/>
  </r>
  <r>
    <x v="12"/>
    <x v="1"/>
    <s v="NSW"/>
    <s v="No gap agreement"/>
    <s v="More than 150% MBS Fee to 200% MBS Fee"/>
    <n v="47685265.539999999"/>
    <n v="22147285.890000001"/>
    <n v="25537933.91"/>
    <n v="324361"/>
  </r>
  <r>
    <x v="12"/>
    <x v="1"/>
    <s v="NSW"/>
    <s v="No gap agreement"/>
    <s v="More than 200% MBS Fee"/>
    <n v="4220748.2699999996"/>
    <n v="1195381.78"/>
    <n v="3025393.4"/>
    <n v="4872"/>
  </r>
  <r>
    <x v="12"/>
    <x v="1"/>
    <s v="VIC"/>
    <s v="No agreement"/>
    <s v="Up to MBS Fee"/>
    <n v="13426173.960000001"/>
    <n v="10118866.720000001"/>
    <n v="3307249.89"/>
    <n v="154433"/>
  </r>
  <r>
    <x v="12"/>
    <x v="1"/>
    <s v="VIC"/>
    <s v="No agreement"/>
    <s v="100% MBS Fee to 125% MBS Fee"/>
    <n v="3019241.09"/>
    <n v="2027387.27"/>
    <n v="699147.76"/>
    <n v="23395"/>
  </r>
  <r>
    <x v="12"/>
    <x v="1"/>
    <s v="VIC"/>
    <s v="No agreement"/>
    <s v="More than 125% MBS Fee to 150% MBS Fee"/>
    <n v="2987205.39"/>
    <n v="1636941.86"/>
    <n v="635207.87"/>
    <n v="17465"/>
  </r>
  <r>
    <x v="12"/>
    <x v="1"/>
    <s v="VIC"/>
    <s v="No agreement"/>
    <s v="More than 150% MBS Fee to 200% MBS Fee"/>
    <n v="7173700.3700000001"/>
    <n v="3040377.33"/>
    <n v="1061817.04"/>
    <n v="49384"/>
  </r>
  <r>
    <x v="12"/>
    <x v="1"/>
    <s v="VIC"/>
    <s v="No agreement"/>
    <s v="More than 200% MBS Fee"/>
    <n v="13433362.949999999"/>
    <n v="3608644.65"/>
    <n v="1211429.6299999999"/>
    <n v="32736"/>
  </r>
  <r>
    <x v="12"/>
    <x v="1"/>
    <s v="VIC"/>
    <s v="Known gap agreement"/>
    <s v="100% MBS Fee to 125% MBS Fee"/>
    <n v="1942545.02"/>
    <n v="1265180.94"/>
    <n v="553984.36"/>
    <n v="10767"/>
  </r>
  <r>
    <x v="12"/>
    <x v="1"/>
    <s v="VIC"/>
    <s v="Known gap agreement"/>
    <s v="More than 125% MBS Fee to 150% MBS Fee"/>
    <n v="3206928.91"/>
    <n v="1733626.6"/>
    <n v="1152437.94"/>
    <n v="14119"/>
  </r>
  <r>
    <x v="12"/>
    <x v="1"/>
    <s v="VIC"/>
    <s v="Known gap agreement"/>
    <s v="More than 150% MBS Fee to 200% MBS Fee"/>
    <n v="6731715.75"/>
    <n v="2883701.58"/>
    <n v="2530531.58"/>
    <n v="26801"/>
  </r>
  <r>
    <x v="12"/>
    <x v="1"/>
    <s v="VIC"/>
    <s v="Known gap agreement"/>
    <s v="More than 200% MBS Fee"/>
    <n v="7535765.1900000004"/>
    <n v="2142303.2799999998"/>
    <n v="2131779.29"/>
    <n v="22381"/>
  </r>
  <r>
    <x v="12"/>
    <x v="1"/>
    <s v="VIC"/>
    <s v="No gap agreement"/>
    <s v="Up to MBS Fee"/>
    <n v="7450077.1100000003"/>
    <n v="5628384.1900000004"/>
    <n v="1821734.19"/>
    <n v="143704"/>
  </r>
  <r>
    <x v="12"/>
    <x v="1"/>
    <s v="VIC"/>
    <s v="No gap agreement"/>
    <s v="100% MBS Fee to 125% MBS Fee"/>
    <n v="30270138.690000001"/>
    <n v="19748655.890000001"/>
    <n v="10521448.619999999"/>
    <n v="401164"/>
  </r>
  <r>
    <x v="12"/>
    <x v="1"/>
    <s v="VIC"/>
    <s v="No gap agreement"/>
    <s v="More than 125% MBS Fee to 150% MBS Fee"/>
    <n v="67661527.959999993"/>
    <n v="37303668.939999998"/>
    <n v="30357808.399999999"/>
    <n v="426080"/>
  </r>
  <r>
    <x v="12"/>
    <x v="1"/>
    <s v="VIC"/>
    <s v="No gap agreement"/>
    <s v="More than 150% MBS Fee to 200% MBS Fee"/>
    <n v="49975103.649999999"/>
    <n v="22842896.440000001"/>
    <n v="27132129.949999999"/>
    <n v="320812"/>
  </r>
  <r>
    <x v="12"/>
    <x v="1"/>
    <s v="VIC"/>
    <s v="No gap agreement"/>
    <s v="More than 200% MBS Fee"/>
    <n v="2681423.11"/>
    <n v="746485.48"/>
    <n v="1934937.32"/>
    <n v="2683"/>
  </r>
  <r>
    <x v="12"/>
    <x v="1"/>
    <s v="QLD"/>
    <s v="No agreement"/>
    <s v="Up to MBS Fee"/>
    <n v="5858757.8499999996"/>
    <n v="4421945.8499999996"/>
    <n v="1435074.16"/>
    <n v="79504"/>
  </r>
  <r>
    <x v="12"/>
    <x v="1"/>
    <s v="QLD"/>
    <s v="No agreement"/>
    <s v="100% MBS Fee to 125% MBS Fee"/>
    <n v="3346212.16"/>
    <n v="2347956.31"/>
    <n v="773017.68"/>
    <n v="25446"/>
  </r>
  <r>
    <x v="12"/>
    <x v="1"/>
    <s v="QLD"/>
    <s v="No agreement"/>
    <s v="More than 125% MBS Fee to 150% MBS Fee"/>
    <n v="4420029.3499999996"/>
    <n v="2417537.08"/>
    <n v="818417.28"/>
    <n v="23884"/>
  </r>
  <r>
    <x v="12"/>
    <x v="1"/>
    <s v="QLD"/>
    <s v="No agreement"/>
    <s v="More than 150% MBS Fee to 200% MBS Fee"/>
    <n v="10398948.33"/>
    <n v="4432503.33"/>
    <n v="1494956.06"/>
    <n v="47939"/>
  </r>
  <r>
    <x v="12"/>
    <x v="1"/>
    <s v="QLD"/>
    <s v="No agreement"/>
    <s v="More than 200% MBS Fee"/>
    <n v="25477503.52"/>
    <n v="7001228.8499999996"/>
    <n v="2354490.9300000002"/>
    <n v="60386"/>
  </r>
  <r>
    <x v="12"/>
    <x v="1"/>
    <s v="QLD"/>
    <s v="Known gap agreement"/>
    <s v="100% MBS Fee to 125% MBS Fee"/>
    <n v="373692.24"/>
    <n v="240600.56"/>
    <n v="102820.75"/>
    <n v="2898"/>
  </r>
  <r>
    <x v="12"/>
    <x v="1"/>
    <s v="QLD"/>
    <s v="Known gap agreement"/>
    <s v="More than 125% MBS Fee to 150% MBS Fee"/>
    <n v="834468.77"/>
    <n v="450058.62"/>
    <n v="323110.31"/>
    <n v="4395"/>
  </r>
  <r>
    <x v="12"/>
    <x v="1"/>
    <s v="QLD"/>
    <s v="Known gap agreement"/>
    <s v="More than 150% MBS Fee to 200% MBS Fee"/>
    <n v="4350036.05"/>
    <n v="1840235.89"/>
    <n v="1698331.7"/>
    <n v="12404"/>
  </r>
  <r>
    <x v="12"/>
    <x v="1"/>
    <s v="QLD"/>
    <s v="Known gap agreement"/>
    <s v="More than 200% MBS Fee"/>
    <n v="8671417.5"/>
    <n v="2436961.58"/>
    <n v="2670320.4300000002"/>
    <n v="25556"/>
  </r>
  <r>
    <x v="12"/>
    <x v="1"/>
    <s v="QLD"/>
    <s v="No gap agreement"/>
    <s v="Up to MBS Fee"/>
    <n v="1350165.74"/>
    <n v="1027711.5"/>
    <n v="323115.81"/>
    <n v="30098"/>
  </r>
  <r>
    <x v="12"/>
    <x v="1"/>
    <s v="QLD"/>
    <s v="No gap agreement"/>
    <s v="100% MBS Fee to 125% MBS Fee"/>
    <n v="32241375.809999999"/>
    <n v="20888372.469999999"/>
    <n v="11352955.48"/>
    <n v="537093"/>
  </r>
  <r>
    <x v="12"/>
    <x v="1"/>
    <s v="QLD"/>
    <s v="No gap agreement"/>
    <s v="More than 125% MBS Fee to 150% MBS Fee"/>
    <n v="45639809.390000001"/>
    <n v="25179664.07"/>
    <n v="20460083.91"/>
    <n v="219475"/>
  </r>
  <r>
    <x v="12"/>
    <x v="1"/>
    <s v="QLD"/>
    <s v="No gap agreement"/>
    <s v="More than 150% MBS Fee to 200% MBS Fee"/>
    <n v="32520198.469999999"/>
    <n v="15174247.74"/>
    <n v="17345842.539999999"/>
    <n v="237955"/>
  </r>
  <r>
    <x v="12"/>
    <x v="1"/>
    <s v="QLD"/>
    <s v="No gap agreement"/>
    <s v="More than 200% MBS Fee"/>
    <n v="3968663.15"/>
    <n v="1088423.25"/>
    <n v="2880237.75"/>
    <n v="3579"/>
  </r>
  <r>
    <x v="12"/>
    <x v="1"/>
    <s v="SA"/>
    <s v="No agreement"/>
    <s v="Up to MBS Fee"/>
    <n v="10336928.970000001"/>
    <n v="7757983.2999999998"/>
    <n v="2578932.4700000002"/>
    <n v="79547"/>
  </r>
  <r>
    <x v="12"/>
    <x v="1"/>
    <s v="SA"/>
    <s v="No agreement"/>
    <s v="100% MBS Fee to 125% MBS Fee"/>
    <n v="479526.46"/>
    <n v="322789.03000000003"/>
    <n v="110139.82"/>
    <n v="5523"/>
  </r>
  <r>
    <x v="12"/>
    <x v="1"/>
    <s v="SA"/>
    <s v="No agreement"/>
    <s v="More than 125% MBS Fee to 150% MBS Fee"/>
    <n v="865189.98"/>
    <n v="468761.9"/>
    <n v="170860.35"/>
    <n v="5967"/>
  </r>
  <r>
    <x v="12"/>
    <x v="1"/>
    <s v="SA"/>
    <s v="No agreement"/>
    <s v="More than 150% MBS Fee to 200% MBS Fee"/>
    <n v="687887.45"/>
    <n v="298803.20000000001"/>
    <n v="153912.18"/>
    <n v="4164"/>
  </r>
  <r>
    <x v="12"/>
    <x v="1"/>
    <s v="SA"/>
    <s v="No agreement"/>
    <s v="More than 200% MBS Fee"/>
    <n v="1225843.8600000001"/>
    <n v="377537.98"/>
    <n v="97840.89"/>
    <n v="3056"/>
  </r>
  <r>
    <x v="12"/>
    <x v="1"/>
    <s v="SA"/>
    <s v="Known gap agreement"/>
    <s v="100% MBS Fee to 125% MBS Fee"/>
    <n v="1616536.78"/>
    <n v="1047060"/>
    <n v="539371.03"/>
    <n v="33939"/>
  </r>
  <r>
    <x v="12"/>
    <x v="1"/>
    <s v="SA"/>
    <s v="Known gap agreement"/>
    <s v="More than 125% MBS Fee to 150% MBS Fee"/>
    <n v="2068783.86"/>
    <n v="1127076.1200000001"/>
    <n v="858024.81"/>
    <n v="10839"/>
  </r>
  <r>
    <x v="12"/>
    <x v="1"/>
    <s v="SA"/>
    <s v="Known gap agreement"/>
    <s v="More than 150% MBS Fee to 200% MBS Fee"/>
    <n v="2251159.79"/>
    <n v="1026114.14"/>
    <n v="1065791.97"/>
    <n v="17991"/>
  </r>
  <r>
    <x v="12"/>
    <x v="1"/>
    <s v="SA"/>
    <s v="Known gap agreement"/>
    <s v="More than 200% MBS Fee"/>
    <n v="1026301.77"/>
    <n v="275359.08"/>
    <n v="337511.88"/>
    <n v="2423"/>
  </r>
  <r>
    <x v="12"/>
    <x v="1"/>
    <s v="SA"/>
    <s v="No gap agreement"/>
    <s v="Up to MBS Fee"/>
    <n v="1853101.19"/>
    <n v="1396594.41"/>
    <n v="456774.27"/>
    <n v="18347"/>
  </r>
  <r>
    <x v="12"/>
    <x v="1"/>
    <s v="SA"/>
    <s v="No gap agreement"/>
    <s v="100% MBS Fee to 125% MBS Fee"/>
    <n v="9869416.3900000006"/>
    <n v="6580776.4100000001"/>
    <n v="3288580.17"/>
    <n v="180398"/>
  </r>
  <r>
    <x v="12"/>
    <x v="1"/>
    <s v="SA"/>
    <s v="No gap agreement"/>
    <s v="More than 125% MBS Fee to 150% MBS Fee"/>
    <n v="19816824.75"/>
    <n v="10739257.07"/>
    <n v="9077556.0500000007"/>
    <n v="91521"/>
  </r>
  <r>
    <x v="12"/>
    <x v="1"/>
    <s v="SA"/>
    <s v="No gap agreement"/>
    <s v="More than 150% MBS Fee to 200% MBS Fee"/>
    <n v="17506916.850000001"/>
    <n v="7999211.2800000003"/>
    <n v="9507689.7799999993"/>
    <n v="96024"/>
  </r>
  <r>
    <x v="12"/>
    <x v="1"/>
    <s v="SA"/>
    <s v="No gap agreement"/>
    <s v="More than 200% MBS Fee"/>
    <n v="1130356.18"/>
    <n v="293295.25"/>
    <n v="837060.93"/>
    <n v="1007"/>
  </r>
  <r>
    <x v="12"/>
    <x v="1"/>
    <s v="WA"/>
    <s v="No agreement"/>
    <s v="Up to MBS Fee"/>
    <n v="1960325.87"/>
    <n v="1481338.51"/>
    <n v="478770.88"/>
    <n v="47951"/>
  </r>
  <r>
    <x v="12"/>
    <x v="1"/>
    <s v="WA"/>
    <s v="No agreement"/>
    <s v="100% MBS Fee to 125% MBS Fee"/>
    <n v="592382.18999999994"/>
    <n v="392390.62"/>
    <n v="132033.84"/>
    <n v="6307"/>
  </r>
  <r>
    <x v="12"/>
    <x v="1"/>
    <s v="WA"/>
    <s v="No agreement"/>
    <s v="More than 125% MBS Fee to 150% MBS Fee"/>
    <n v="1908557.59"/>
    <n v="1050810.17"/>
    <n v="353846.6"/>
    <n v="22277"/>
  </r>
  <r>
    <x v="12"/>
    <x v="1"/>
    <s v="WA"/>
    <s v="No agreement"/>
    <s v="More than 150% MBS Fee to 200% MBS Fee"/>
    <n v="2627555.9"/>
    <n v="1136867.33"/>
    <n v="382643.04"/>
    <n v="26862"/>
  </r>
  <r>
    <x v="12"/>
    <x v="1"/>
    <s v="WA"/>
    <s v="No agreement"/>
    <s v="More than 200% MBS Fee"/>
    <n v="3244100.26"/>
    <n v="709669.96"/>
    <n v="242765.67"/>
    <n v="5712"/>
  </r>
  <r>
    <x v="12"/>
    <x v="1"/>
    <s v="WA"/>
    <s v="Known gap agreement"/>
    <s v="100% MBS Fee to 125% MBS Fee"/>
    <n v="1415658.63"/>
    <n v="985304.95"/>
    <n v="442711.37"/>
    <n v="11575"/>
  </r>
  <r>
    <x v="12"/>
    <x v="1"/>
    <s v="WA"/>
    <s v="Known gap agreement"/>
    <s v="More than 125% MBS Fee to 150% MBS Fee"/>
    <n v="3462310.88"/>
    <n v="1887116.61"/>
    <n v="1271756.28"/>
    <n v="15363"/>
  </r>
  <r>
    <x v="12"/>
    <x v="1"/>
    <s v="WA"/>
    <s v="Known gap agreement"/>
    <s v="More than 150% MBS Fee to 200% MBS Fee"/>
    <n v="5791022.2800000003"/>
    <n v="2539513.61"/>
    <n v="1902395.18"/>
    <n v="22867"/>
  </r>
  <r>
    <x v="12"/>
    <x v="1"/>
    <s v="WA"/>
    <s v="Known gap agreement"/>
    <s v="More than 200% MBS Fee"/>
    <n v="7729911.21"/>
    <n v="1966334.2"/>
    <n v="1509275.02"/>
    <n v="18251"/>
  </r>
  <r>
    <x v="12"/>
    <x v="1"/>
    <s v="WA"/>
    <s v="No gap agreement"/>
    <s v="Up to MBS Fee"/>
    <n v="1134582.06"/>
    <n v="863699.95"/>
    <n v="270882.07"/>
    <n v="14101"/>
  </r>
  <r>
    <x v="12"/>
    <x v="1"/>
    <s v="WA"/>
    <s v="No gap agreement"/>
    <s v="100% MBS Fee to 125% MBS Fee"/>
    <n v="9335956.5700000003"/>
    <n v="5966663.7699999996"/>
    <n v="3369260.57"/>
    <n v="108040"/>
  </r>
  <r>
    <x v="12"/>
    <x v="1"/>
    <s v="WA"/>
    <s v="No gap agreement"/>
    <s v="More than 125% MBS Fee to 150% MBS Fee"/>
    <n v="20215839.34"/>
    <n v="11252414.300000001"/>
    <n v="8963418.2599999998"/>
    <n v="82518"/>
  </r>
  <r>
    <x v="12"/>
    <x v="1"/>
    <s v="WA"/>
    <s v="No gap agreement"/>
    <s v="More than 150% MBS Fee to 200% MBS Fee"/>
    <n v="19902281.77"/>
    <n v="8837668.3300000001"/>
    <n v="11064603.140000001"/>
    <n v="116874"/>
  </r>
  <r>
    <x v="12"/>
    <x v="1"/>
    <s v="WA"/>
    <s v="No gap agreement"/>
    <s v="More than 200% MBS Fee"/>
    <n v="2583214.4500000002"/>
    <n v="611501.4"/>
    <n v="1971712.65"/>
    <n v="2264"/>
  </r>
  <r>
    <x v="12"/>
    <x v="1"/>
    <s v="TAS"/>
    <s v="No agreement"/>
    <s v="Up to MBS Fee"/>
    <n v="1156896.49"/>
    <n v="870566.42"/>
    <n v="286329.49"/>
    <n v="17290"/>
  </r>
  <r>
    <x v="12"/>
    <x v="1"/>
    <s v="TAS"/>
    <s v="No agreement"/>
    <s v="100% MBS Fee to 125% MBS Fee"/>
    <n v="456135.15"/>
    <n v="326345.73"/>
    <n v="108199.15"/>
    <n v="4421"/>
  </r>
  <r>
    <x v="12"/>
    <x v="1"/>
    <s v="TAS"/>
    <s v="No agreement"/>
    <s v="More than 125% MBS Fee to 150% MBS Fee"/>
    <n v="307403.46999999997"/>
    <n v="170844.08"/>
    <n v="57249.55"/>
    <n v="1375"/>
  </r>
  <r>
    <x v="12"/>
    <x v="1"/>
    <s v="TAS"/>
    <s v="No agreement"/>
    <s v="More than 150% MBS Fee to 200% MBS Fee"/>
    <n v="574049.30000000005"/>
    <n v="246123.64"/>
    <n v="82074.42"/>
    <n v="2290"/>
  </r>
  <r>
    <x v="12"/>
    <x v="1"/>
    <s v="TAS"/>
    <s v="No agreement"/>
    <s v="More than 200% MBS Fee"/>
    <n v="1882156.99"/>
    <n v="457986.95"/>
    <n v="152531.82999999999"/>
    <n v="3458"/>
  </r>
  <r>
    <x v="12"/>
    <x v="1"/>
    <s v="TAS"/>
    <s v="Known gap agreement"/>
    <s v="100% MBS Fee to 125% MBS Fee"/>
    <n v="58567.33"/>
    <n v="39931.07"/>
    <n v="14613.92"/>
    <n v="389"/>
  </r>
  <r>
    <x v="12"/>
    <x v="1"/>
    <s v="TAS"/>
    <s v="Known gap agreement"/>
    <s v="More than 125% MBS Fee to 150% MBS Fee"/>
    <n v="93532.62"/>
    <n v="50014.559999999998"/>
    <n v="34986.01"/>
    <n v="383"/>
  </r>
  <r>
    <x v="12"/>
    <x v="1"/>
    <s v="TAS"/>
    <s v="Known gap agreement"/>
    <s v="More than 150% MBS Fee to 200% MBS Fee"/>
    <n v="508921.49"/>
    <n v="219636.08"/>
    <n v="219524.65"/>
    <n v="1358"/>
  </r>
  <r>
    <x v="12"/>
    <x v="1"/>
    <s v="TAS"/>
    <s v="Known gap agreement"/>
    <s v="More than 200% MBS Fee"/>
    <n v="815224.77"/>
    <n v="243743.49"/>
    <n v="286309.02"/>
    <n v="2729"/>
  </r>
  <r>
    <x v="12"/>
    <x v="1"/>
    <s v="TAS"/>
    <s v="No gap agreement"/>
    <s v="Up to MBS Fee"/>
    <n v="157277.24"/>
    <n v="118628.42"/>
    <n v="38648.61"/>
    <n v="2251"/>
  </r>
  <r>
    <x v="12"/>
    <x v="1"/>
    <s v="TAS"/>
    <s v="No gap agreement"/>
    <s v="100% MBS Fee to 125% MBS Fee"/>
    <n v="2867970.93"/>
    <n v="1873091.12"/>
    <n v="994879.97"/>
    <n v="37379"/>
  </r>
  <r>
    <x v="12"/>
    <x v="1"/>
    <s v="TAS"/>
    <s v="No gap agreement"/>
    <s v="More than 125% MBS Fee to 150% MBS Fee"/>
    <n v="5138093.12"/>
    <n v="2799540.91"/>
    <n v="2338548.7599999998"/>
    <n v="16885"/>
  </r>
  <r>
    <x v="12"/>
    <x v="1"/>
    <s v="TAS"/>
    <s v="No gap agreement"/>
    <s v="More than 150% MBS Fee to 200% MBS Fee"/>
    <n v="4274078.08"/>
    <n v="1965808.4"/>
    <n v="2308267.58"/>
    <n v="28863"/>
  </r>
  <r>
    <x v="12"/>
    <x v="1"/>
    <s v="TAS"/>
    <s v="No gap agreement"/>
    <s v="More than 200% MBS Fee"/>
    <n v="392778.7"/>
    <n v="109541.75"/>
    <n v="283236.95"/>
    <n v="348"/>
  </r>
  <r>
    <x v="12"/>
    <x v="1"/>
    <s v="NT"/>
    <s v="No agreement"/>
    <s v="Up to MBS Fee"/>
    <n v="229102.32"/>
    <n v="172578.47"/>
    <n v="56523.85"/>
    <n v="2694"/>
  </r>
  <r>
    <x v="12"/>
    <x v="1"/>
    <s v="NT"/>
    <s v="No agreement"/>
    <s v="100% MBS Fee to 125% MBS Fee"/>
    <n v="115169.75"/>
    <n v="81948.759999999995"/>
    <n v="26775.67"/>
    <n v="655"/>
  </r>
  <r>
    <x v="12"/>
    <x v="1"/>
    <s v="NT"/>
    <s v="No agreement"/>
    <s v="More than 125% MBS Fee to 150% MBS Fee"/>
    <n v="79176.47"/>
    <n v="42976.94"/>
    <n v="14479.38"/>
    <n v="369"/>
  </r>
  <r>
    <x v="12"/>
    <x v="1"/>
    <s v="NT"/>
    <s v="No agreement"/>
    <s v="More than 150% MBS Fee to 200% MBS Fee"/>
    <n v="188503.79"/>
    <n v="78478.149999999994"/>
    <n v="26229.22"/>
    <n v="1245"/>
  </r>
  <r>
    <x v="12"/>
    <x v="1"/>
    <s v="NT"/>
    <s v="No agreement"/>
    <s v="More than 200% MBS Fee"/>
    <n v="719599.96"/>
    <n v="198990.18"/>
    <n v="65069.09"/>
    <n v="1376"/>
  </r>
  <r>
    <x v="12"/>
    <x v="1"/>
    <s v="NT"/>
    <s v="Known gap agreement"/>
    <s v="100% MBS Fee to 125% MBS Fee"/>
    <n v="13677.82"/>
    <n v="9033.5"/>
    <n v="3588.33"/>
    <n v="72"/>
  </r>
  <r>
    <x v="12"/>
    <x v="1"/>
    <s v="NT"/>
    <s v="Known gap agreement"/>
    <s v="More than 125% MBS Fee to 150% MBS Fee"/>
    <n v="28802.78"/>
    <n v="15651.59"/>
    <n v="10131.91"/>
    <n v="147"/>
  </r>
  <r>
    <x v="12"/>
    <x v="1"/>
    <s v="NT"/>
    <s v="Known gap agreement"/>
    <s v="More than 150% MBS Fee to 200% MBS Fee"/>
    <n v="97455.4"/>
    <n v="41579.47"/>
    <n v="40057.370000000003"/>
    <n v="190"/>
  </r>
  <r>
    <x v="12"/>
    <x v="1"/>
    <s v="NT"/>
    <s v="Known gap agreement"/>
    <s v="More than 200% MBS Fee"/>
    <n v="249877.74"/>
    <n v="64735.03"/>
    <n v="68930.570000000007"/>
    <n v="645"/>
  </r>
  <r>
    <x v="12"/>
    <x v="1"/>
    <s v="NT"/>
    <s v="No gap agreement"/>
    <s v="Up to MBS Fee"/>
    <n v="45889.77"/>
    <n v="34844.239999999998"/>
    <n v="11200.13"/>
    <n v="517"/>
  </r>
  <r>
    <x v="12"/>
    <x v="1"/>
    <s v="NT"/>
    <s v="No gap agreement"/>
    <s v="100% MBS Fee to 125% MBS Fee"/>
    <n v="288209.42"/>
    <n v="188577.3"/>
    <n v="99632.12"/>
    <n v="3404"/>
  </r>
  <r>
    <x v="12"/>
    <x v="1"/>
    <s v="NT"/>
    <s v="No gap agreement"/>
    <s v="More than 125% MBS Fee to 150% MBS Fee"/>
    <n v="853361.76"/>
    <n v="459588"/>
    <n v="393771.73"/>
    <n v="2734"/>
  </r>
  <r>
    <x v="12"/>
    <x v="1"/>
    <s v="NT"/>
    <s v="No gap agreement"/>
    <s v="More than 150% MBS Fee to 200% MBS Fee"/>
    <n v="731610.77"/>
    <n v="333528.43"/>
    <n v="398082.21"/>
    <n v="4603"/>
  </r>
  <r>
    <x v="12"/>
    <x v="1"/>
    <s v="NT"/>
    <s v="No gap agreement"/>
    <s v="More than 200% MBS Fee"/>
    <n v="67261.55"/>
    <n v="18806.099999999999"/>
    <n v="48455.45"/>
    <n v="70"/>
  </r>
  <r>
    <x v="13"/>
    <x v="0"/>
    <s v="NSW"/>
    <s v="No agreement"/>
    <s v="Up to MBS Fee"/>
    <n v="27736425.75"/>
    <n v="20920442.219999999"/>
    <n v="6812270.9400000004"/>
    <n v="492630"/>
  </r>
  <r>
    <x v="13"/>
    <x v="0"/>
    <s v="NSW"/>
    <s v="No agreement"/>
    <s v="100% MBS Fee to 125% MBS Fee"/>
    <n v="3428713.16"/>
    <n v="2296050.1800000002"/>
    <n v="821247.52"/>
    <n v="19164"/>
  </r>
  <r>
    <x v="13"/>
    <x v="0"/>
    <s v="NSW"/>
    <s v="No agreement"/>
    <s v="More than 125% MBS Fee to 150% MBS Fee"/>
    <n v="5075983.97"/>
    <n v="2737755.85"/>
    <n v="1096899.17"/>
    <n v="43848"/>
  </r>
  <r>
    <x v="13"/>
    <x v="0"/>
    <s v="NSW"/>
    <s v="No agreement"/>
    <s v="More than 150% MBS Fee to 200% MBS Fee"/>
    <n v="16153973.390000001"/>
    <n v="6857131.3099999996"/>
    <n v="2800129.84"/>
    <n v="68250"/>
  </r>
  <r>
    <x v="13"/>
    <x v="0"/>
    <s v="NSW"/>
    <s v="No agreement"/>
    <s v="More than 200% MBS Fee"/>
    <n v="81273536.450000003"/>
    <n v="20876504.600000001"/>
    <n v="7067162.9699999997"/>
    <n v="149986"/>
  </r>
  <r>
    <x v="13"/>
    <x v="0"/>
    <s v="NSW"/>
    <s v="Known gap agreement"/>
    <s v="100% MBS Fee to 125% MBS Fee"/>
    <n v="1024354.12"/>
    <n v="677513.22"/>
    <n v="309104.75"/>
    <n v="7487"/>
  </r>
  <r>
    <x v="13"/>
    <x v="0"/>
    <s v="NSW"/>
    <s v="Known gap agreement"/>
    <s v="More than 125% MBS Fee to 150% MBS Fee"/>
    <n v="2110917.7999999998"/>
    <n v="1142828.1599999999"/>
    <n v="847937.3"/>
    <n v="6614"/>
  </r>
  <r>
    <x v="13"/>
    <x v="0"/>
    <s v="NSW"/>
    <s v="Known gap agreement"/>
    <s v="More than 150% MBS Fee to 200% MBS Fee"/>
    <n v="4722948.09"/>
    <n v="2058567.71"/>
    <n v="2030452.25"/>
    <n v="17699"/>
  </r>
  <r>
    <x v="13"/>
    <x v="0"/>
    <s v="NSW"/>
    <s v="Known gap agreement"/>
    <s v="More than 200% MBS Fee"/>
    <n v="6870138.5700000003"/>
    <n v="1724624.57"/>
    <n v="1932227.33"/>
    <n v="18206"/>
  </r>
  <r>
    <x v="13"/>
    <x v="0"/>
    <s v="NSW"/>
    <s v="No gap agreement"/>
    <s v="Up to MBS Fee"/>
    <n v="6795469.5899999999"/>
    <n v="5151675.17"/>
    <n v="1644390.58"/>
    <n v="197757"/>
  </r>
  <r>
    <x v="13"/>
    <x v="0"/>
    <s v="NSW"/>
    <s v="No gap agreement"/>
    <s v="100% MBS Fee to 125% MBS Fee"/>
    <n v="33009870.530000001"/>
    <n v="21161717.43"/>
    <n v="11847887.119999999"/>
    <n v="417426"/>
  </r>
  <r>
    <x v="13"/>
    <x v="0"/>
    <s v="NSW"/>
    <s v="No gap agreement"/>
    <s v="More than 125% MBS Fee to 150% MBS Fee"/>
    <n v="59312263.789999999"/>
    <n v="32529071.309999999"/>
    <n v="26782862.280000001"/>
    <n v="232874"/>
  </r>
  <r>
    <x v="13"/>
    <x v="0"/>
    <s v="NSW"/>
    <s v="No gap agreement"/>
    <s v="More than 150% MBS Fee to 200% MBS Fee"/>
    <n v="48591840.659999996"/>
    <n v="22535068.73"/>
    <n v="26056548.77"/>
    <n v="312445"/>
  </r>
  <r>
    <x v="13"/>
    <x v="0"/>
    <s v="NSW"/>
    <s v="No gap agreement"/>
    <s v="More than 200% MBS Fee"/>
    <n v="4777549.91"/>
    <n v="1355716.29"/>
    <n v="3421831.23"/>
    <n v="5346"/>
  </r>
  <r>
    <x v="13"/>
    <x v="0"/>
    <s v="VIC"/>
    <s v="No agreement"/>
    <s v="Up to MBS Fee"/>
    <n v="18508261.32"/>
    <n v="13910885.76"/>
    <n v="4597264.45"/>
    <n v="165791"/>
  </r>
  <r>
    <x v="13"/>
    <x v="0"/>
    <s v="VIC"/>
    <s v="No agreement"/>
    <s v="100% MBS Fee to 125% MBS Fee"/>
    <n v="2578064.81"/>
    <n v="1718037.78"/>
    <n v="630972.53"/>
    <n v="19471"/>
  </r>
  <r>
    <x v="13"/>
    <x v="0"/>
    <s v="VIC"/>
    <s v="No agreement"/>
    <s v="More than 125% MBS Fee to 150% MBS Fee"/>
    <n v="3207234.05"/>
    <n v="1751483.68"/>
    <n v="817089.89"/>
    <n v="21100"/>
  </r>
  <r>
    <x v="13"/>
    <x v="0"/>
    <s v="VIC"/>
    <s v="No agreement"/>
    <s v="More than 150% MBS Fee to 200% MBS Fee"/>
    <n v="7362106.8799999999"/>
    <n v="3133006.5"/>
    <n v="1559322.95"/>
    <n v="53895"/>
  </r>
  <r>
    <x v="13"/>
    <x v="0"/>
    <s v="VIC"/>
    <s v="No agreement"/>
    <s v="More than 200% MBS Fee"/>
    <n v="16467903.58"/>
    <n v="4206995.25"/>
    <n v="1425488.96"/>
    <n v="35725"/>
  </r>
  <r>
    <x v="13"/>
    <x v="0"/>
    <s v="VIC"/>
    <s v="Known gap agreement"/>
    <s v="100% MBS Fee to 125% MBS Fee"/>
    <n v="1635317.87"/>
    <n v="1088719.25"/>
    <n v="450941.63"/>
    <n v="8821"/>
  </r>
  <r>
    <x v="13"/>
    <x v="0"/>
    <s v="VIC"/>
    <s v="Known gap agreement"/>
    <s v="More than 125% MBS Fee to 150% MBS Fee"/>
    <n v="3739879.63"/>
    <n v="2036546.2"/>
    <n v="1373311.55"/>
    <n v="14006"/>
  </r>
  <r>
    <x v="13"/>
    <x v="0"/>
    <s v="VIC"/>
    <s v="Known gap agreement"/>
    <s v="More than 150% MBS Fee to 200% MBS Fee"/>
    <n v="6886824.1900000004"/>
    <n v="2972072.98"/>
    <n v="2596413.5299999998"/>
    <n v="25440"/>
  </r>
  <r>
    <x v="13"/>
    <x v="0"/>
    <s v="VIC"/>
    <s v="Known gap agreement"/>
    <s v="More than 200% MBS Fee"/>
    <n v="9465803.6199999992"/>
    <n v="2513729.81"/>
    <n v="2516585.08"/>
    <n v="24496"/>
  </r>
  <r>
    <x v="13"/>
    <x v="0"/>
    <s v="VIC"/>
    <s v="No gap agreement"/>
    <s v="Up to MBS Fee"/>
    <n v="7851392.8200000003"/>
    <n v="5923234.1799999997"/>
    <n v="1928204.74"/>
    <n v="174016"/>
  </r>
  <r>
    <x v="13"/>
    <x v="0"/>
    <s v="VIC"/>
    <s v="No gap agreement"/>
    <s v="100% MBS Fee to 125% MBS Fee"/>
    <n v="32012060.149999999"/>
    <n v="20693310.18"/>
    <n v="11318558.74"/>
    <n v="406642"/>
  </r>
  <r>
    <x v="13"/>
    <x v="0"/>
    <s v="VIC"/>
    <s v="No gap agreement"/>
    <s v="More than 125% MBS Fee to 150% MBS Fee"/>
    <n v="63939170.07"/>
    <n v="35149166.460000001"/>
    <n v="28789897.23"/>
    <n v="369207"/>
  </r>
  <r>
    <x v="13"/>
    <x v="0"/>
    <s v="VIC"/>
    <s v="No gap agreement"/>
    <s v="More than 150% MBS Fee to 200% MBS Fee"/>
    <n v="48537173.600000001"/>
    <n v="22195943.219999999"/>
    <n v="26341089.280000001"/>
    <n v="284357"/>
  </r>
  <r>
    <x v="13"/>
    <x v="0"/>
    <s v="VIC"/>
    <s v="No gap agreement"/>
    <s v="More than 200% MBS Fee"/>
    <n v="2924434.45"/>
    <n v="814006.4"/>
    <n v="2110425.09"/>
    <n v="2671"/>
  </r>
  <r>
    <x v="13"/>
    <x v="0"/>
    <s v="QLD"/>
    <s v="No agreement"/>
    <s v="Up to MBS Fee"/>
    <n v="6311152.3499999996"/>
    <n v="4751381.1900000004"/>
    <n v="1547967.83"/>
    <n v="70260"/>
  </r>
  <r>
    <x v="13"/>
    <x v="0"/>
    <s v="QLD"/>
    <s v="No agreement"/>
    <s v="100% MBS Fee to 125% MBS Fee"/>
    <n v="1924476.82"/>
    <n v="1284074.3"/>
    <n v="432168.58"/>
    <n v="11181"/>
  </r>
  <r>
    <x v="13"/>
    <x v="0"/>
    <s v="QLD"/>
    <s v="No agreement"/>
    <s v="More than 125% MBS Fee to 150% MBS Fee"/>
    <n v="3517098.25"/>
    <n v="1896782.75"/>
    <n v="674056.03"/>
    <n v="18290"/>
  </r>
  <r>
    <x v="13"/>
    <x v="0"/>
    <s v="QLD"/>
    <s v="No agreement"/>
    <s v="More than 150% MBS Fee to 200% MBS Fee"/>
    <n v="10316271.17"/>
    <n v="4348412.13"/>
    <n v="1625109.17"/>
    <n v="47985"/>
  </r>
  <r>
    <x v="13"/>
    <x v="0"/>
    <s v="QLD"/>
    <s v="No agreement"/>
    <s v="More than 200% MBS Fee"/>
    <n v="31003913.809999999"/>
    <n v="8404129.1799999997"/>
    <n v="2813546.83"/>
    <n v="75998"/>
  </r>
  <r>
    <x v="13"/>
    <x v="0"/>
    <s v="QLD"/>
    <s v="Known gap agreement"/>
    <s v="100% MBS Fee to 125% MBS Fee"/>
    <n v="472212.1"/>
    <n v="299656.14"/>
    <n v="130824.88"/>
    <n v="2739"/>
  </r>
  <r>
    <x v="13"/>
    <x v="0"/>
    <s v="QLD"/>
    <s v="Known gap agreement"/>
    <s v="More than 125% MBS Fee to 150% MBS Fee"/>
    <n v="1355658.73"/>
    <n v="739624.72"/>
    <n v="534779.04"/>
    <n v="4530"/>
  </r>
  <r>
    <x v="13"/>
    <x v="0"/>
    <s v="QLD"/>
    <s v="Known gap agreement"/>
    <s v="More than 150% MBS Fee to 200% MBS Fee"/>
    <n v="4083148.33"/>
    <n v="1720816.2"/>
    <n v="1615389.3"/>
    <n v="10769"/>
  </r>
  <r>
    <x v="13"/>
    <x v="0"/>
    <s v="QLD"/>
    <s v="Known gap agreement"/>
    <s v="More than 200% MBS Fee"/>
    <n v="9392687.2799999993"/>
    <n v="2364156.4"/>
    <n v="2617886.71"/>
    <n v="25111"/>
  </r>
  <r>
    <x v="13"/>
    <x v="0"/>
    <s v="QLD"/>
    <s v="No gap agreement"/>
    <s v="Up to MBS Fee"/>
    <n v="2511834.06"/>
    <n v="1912108.01"/>
    <n v="600131.25"/>
    <n v="49736"/>
  </r>
  <r>
    <x v="13"/>
    <x v="0"/>
    <s v="QLD"/>
    <s v="No gap agreement"/>
    <s v="100% MBS Fee to 125% MBS Fee"/>
    <n v="31928364.960000001"/>
    <n v="20500079.739999998"/>
    <n v="11428172.890000001"/>
    <n v="487908"/>
  </r>
  <r>
    <x v="13"/>
    <x v="0"/>
    <s v="QLD"/>
    <s v="No gap agreement"/>
    <s v="More than 125% MBS Fee to 150% MBS Fee"/>
    <n v="47646559.93"/>
    <n v="26285445.16"/>
    <n v="21360983.309999999"/>
    <n v="225922"/>
  </r>
  <r>
    <x v="13"/>
    <x v="0"/>
    <s v="QLD"/>
    <s v="No gap agreement"/>
    <s v="More than 150% MBS Fee to 200% MBS Fee"/>
    <n v="33228602.370000001"/>
    <n v="15498607.800000001"/>
    <n v="17730173.059999999"/>
    <n v="230234"/>
  </r>
  <r>
    <x v="13"/>
    <x v="0"/>
    <s v="QLD"/>
    <s v="No gap agreement"/>
    <s v="More than 200% MBS Fee"/>
    <n v="4484474.4400000004"/>
    <n v="1230788.1499999999"/>
    <n v="3253686.71"/>
    <n v="4433"/>
  </r>
  <r>
    <x v="13"/>
    <x v="0"/>
    <s v="SA"/>
    <s v="No agreement"/>
    <s v="Up to MBS Fee"/>
    <n v="12456945.210000001"/>
    <n v="9345560.5899999999"/>
    <n v="3110499.92"/>
    <n v="81287"/>
  </r>
  <r>
    <x v="13"/>
    <x v="0"/>
    <s v="SA"/>
    <s v="No agreement"/>
    <s v="100% MBS Fee to 125% MBS Fee"/>
    <n v="429729.86"/>
    <n v="285777.78999999998"/>
    <n v="107507.31"/>
    <n v="3426"/>
  </r>
  <r>
    <x v="13"/>
    <x v="0"/>
    <s v="SA"/>
    <s v="No agreement"/>
    <s v="More than 125% MBS Fee to 150% MBS Fee"/>
    <n v="638122.77"/>
    <n v="343666.63"/>
    <n v="137799.73000000001"/>
    <n v="3482"/>
  </r>
  <r>
    <x v="13"/>
    <x v="0"/>
    <s v="SA"/>
    <s v="No agreement"/>
    <s v="More than 150% MBS Fee to 200% MBS Fee"/>
    <n v="768165.03"/>
    <n v="336626.54"/>
    <n v="222443.3"/>
    <n v="5748"/>
  </r>
  <r>
    <x v="13"/>
    <x v="0"/>
    <s v="SA"/>
    <s v="No agreement"/>
    <s v="More than 200% MBS Fee"/>
    <n v="1342304.12"/>
    <n v="365888.31"/>
    <n v="129198.6"/>
    <n v="3702"/>
  </r>
  <r>
    <x v="13"/>
    <x v="0"/>
    <s v="SA"/>
    <s v="Known gap agreement"/>
    <s v="100% MBS Fee to 125% MBS Fee"/>
    <n v="1628679.21"/>
    <n v="1068132.3"/>
    <n v="535413.35"/>
    <n v="12677"/>
  </r>
  <r>
    <x v="13"/>
    <x v="0"/>
    <s v="SA"/>
    <s v="Known gap agreement"/>
    <s v="More than 125% MBS Fee to 150% MBS Fee"/>
    <n v="2561226.0099999998"/>
    <n v="1403897.65"/>
    <n v="1073577"/>
    <n v="7935"/>
  </r>
  <r>
    <x v="13"/>
    <x v="0"/>
    <s v="SA"/>
    <s v="Known gap agreement"/>
    <s v="More than 150% MBS Fee to 200% MBS Fee"/>
    <n v="3049589.55"/>
    <n v="1389693.15"/>
    <n v="1455166.34"/>
    <n v="13379"/>
  </r>
  <r>
    <x v="13"/>
    <x v="0"/>
    <s v="SA"/>
    <s v="Known gap agreement"/>
    <s v="More than 200% MBS Fee"/>
    <n v="1422470.06"/>
    <n v="349230.75"/>
    <n v="430598.9"/>
    <n v="2831"/>
  </r>
  <r>
    <x v="13"/>
    <x v="0"/>
    <s v="SA"/>
    <s v="No gap agreement"/>
    <s v="Up to MBS Fee"/>
    <n v="2307055.3199999998"/>
    <n v="1736051.89"/>
    <n v="571003.43000000005"/>
    <n v="22110"/>
  </r>
  <r>
    <x v="13"/>
    <x v="0"/>
    <s v="SA"/>
    <s v="No gap agreement"/>
    <s v="100% MBS Fee to 125% MBS Fee"/>
    <n v="8714980.7599999998"/>
    <n v="5775347.9800000004"/>
    <n v="2939572.4"/>
    <n v="144054"/>
  </r>
  <r>
    <x v="13"/>
    <x v="0"/>
    <s v="SA"/>
    <s v="No gap agreement"/>
    <s v="More than 125% MBS Fee to 150% MBS Fee"/>
    <n v="19715279.780000001"/>
    <n v="10662606.939999999"/>
    <n v="9052642.1199999992"/>
    <n v="90371"/>
  </r>
  <r>
    <x v="13"/>
    <x v="0"/>
    <s v="SA"/>
    <s v="No gap agreement"/>
    <s v="More than 150% MBS Fee to 200% MBS Fee"/>
    <n v="16515061.57"/>
    <n v="7545004.6799999997"/>
    <n v="8970042.9900000002"/>
    <n v="76407"/>
  </r>
  <r>
    <x v="13"/>
    <x v="0"/>
    <s v="SA"/>
    <s v="No gap agreement"/>
    <s v="More than 200% MBS Fee"/>
    <n v="1190170.48"/>
    <n v="309478.40000000002"/>
    <n v="880692.08"/>
    <n v="913"/>
  </r>
  <r>
    <x v="13"/>
    <x v="0"/>
    <s v="WA"/>
    <s v="No agreement"/>
    <s v="Up to MBS Fee"/>
    <n v="1546970.91"/>
    <n v="1167605.3700000001"/>
    <n v="379363.94"/>
    <n v="35145"/>
  </r>
  <r>
    <x v="13"/>
    <x v="0"/>
    <s v="WA"/>
    <s v="No agreement"/>
    <s v="100% MBS Fee to 125% MBS Fee"/>
    <n v="449239.01"/>
    <n v="296057.09000000003"/>
    <n v="99801.67"/>
    <n v="3261"/>
  </r>
  <r>
    <x v="13"/>
    <x v="0"/>
    <s v="WA"/>
    <s v="No agreement"/>
    <s v="More than 125% MBS Fee to 150% MBS Fee"/>
    <n v="1535814.62"/>
    <n v="834916.07"/>
    <n v="283334.2"/>
    <n v="10961"/>
  </r>
  <r>
    <x v="13"/>
    <x v="0"/>
    <s v="WA"/>
    <s v="No agreement"/>
    <s v="More than 150% MBS Fee to 200% MBS Fee"/>
    <n v="2675251.12"/>
    <n v="1146559.48"/>
    <n v="387469.91"/>
    <n v="19339"/>
  </r>
  <r>
    <x v="13"/>
    <x v="0"/>
    <s v="WA"/>
    <s v="No agreement"/>
    <s v="More than 200% MBS Fee"/>
    <n v="4775386.34"/>
    <n v="1115320.19"/>
    <n v="378863.94"/>
    <n v="8154"/>
  </r>
  <r>
    <x v="13"/>
    <x v="0"/>
    <s v="WA"/>
    <s v="Known gap agreement"/>
    <s v="100% MBS Fee to 125% MBS Fee"/>
    <n v="1629900.14"/>
    <n v="1120694.8500000001"/>
    <n v="478220.79"/>
    <n v="10246"/>
  </r>
  <r>
    <x v="13"/>
    <x v="0"/>
    <s v="WA"/>
    <s v="Known gap agreement"/>
    <s v="More than 125% MBS Fee to 150% MBS Fee"/>
    <n v="3660581.32"/>
    <n v="1965777.75"/>
    <n v="1376915.3"/>
    <n v="12394"/>
  </r>
  <r>
    <x v="13"/>
    <x v="0"/>
    <s v="WA"/>
    <s v="Known gap agreement"/>
    <s v="More than 150% MBS Fee to 200% MBS Fee"/>
    <n v="5715148.7300000004"/>
    <n v="2491175.73"/>
    <n v="1834093.46"/>
    <n v="21711"/>
  </r>
  <r>
    <x v="13"/>
    <x v="0"/>
    <s v="WA"/>
    <s v="Known gap agreement"/>
    <s v="More than 200% MBS Fee"/>
    <n v="10979632.630000001"/>
    <n v="2406546.69"/>
    <n v="1699981.32"/>
    <n v="19515"/>
  </r>
  <r>
    <x v="13"/>
    <x v="0"/>
    <s v="WA"/>
    <s v="No gap agreement"/>
    <s v="Up to MBS Fee"/>
    <n v="903005.45"/>
    <n v="681876.7"/>
    <n v="221030.35"/>
    <n v="9484"/>
  </r>
  <r>
    <x v="13"/>
    <x v="0"/>
    <s v="WA"/>
    <s v="No gap agreement"/>
    <s v="100% MBS Fee to 125% MBS Fee"/>
    <n v="8588394.5399999991"/>
    <n v="5433493.9699999997"/>
    <n v="3154882.97"/>
    <n v="100659"/>
  </r>
  <r>
    <x v="13"/>
    <x v="0"/>
    <s v="WA"/>
    <s v="No gap agreement"/>
    <s v="More than 125% MBS Fee to 150% MBS Fee"/>
    <n v="23047514.899999999"/>
    <n v="12692387.27"/>
    <n v="10355117.58"/>
    <n v="144477"/>
  </r>
  <r>
    <x v="13"/>
    <x v="0"/>
    <s v="WA"/>
    <s v="No gap agreement"/>
    <s v="More than 150% MBS Fee to 200% MBS Fee"/>
    <n v="20374356.5"/>
    <n v="8952071.3000000007"/>
    <n v="11422508.449999999"/>
    <n v="118525"/>
  </r>
  <r>
    <x v="13"/>
    <x v="0"/>
    <s v="WA"/>
    <s v="No gap agreement"/>
    <s v="More than 200% MBS Fee"/>
    <n v="2616198.35"/>
    <n v="626074.35"/>
    <n v="1990124.2"/>
    <n v="1759"/>
  </r>
  <r>
    <x v="13"/>
    <x v="0"/>
    <s v="TAS"/>
    <s v="No agreement"/>
    <s v="Up to MBS Fee"/>
    <n v="1171336.94"/>
    <n v="881157.04"/>
    <n v="290179.90000000002"/>
    <n v="17162"/>
  </r>
  <r>
    <x v="13"/>
    <x v="0"/>
    <s v="TAS"/>
    <s v="No agreement"/>
    <s v="100% MBS Fee to 125% MBS Fee"/>
    <n v="250804.68"/>
    <n v="169344.57"/>
    <n v="56206.02"/>
    <n v="1944"/>
  </r>
  <r>
    <x v="13"/>
    <x v="0"/>
    <s v="TAS"/>
    <s v="No agreement"/>
    <s v="More than 125% MBS Fee to 150% MBS Fee"/>
    <n v="332364.11"/>
    <n v="180586.76"/>
    <n v="67797.61"/>
    <n v="1040"/>
  </r>
  <r>
    <x v="13"/>
    <x v="0"/>
    <s v="TAS"/>
    <s v="No agreement"/>
    <s v="More than 150% MBS Fee to 200% MBS Fee"/>
    <n v="591260.37"/>
    <n v="248592.25"/>
    <n v="86966.92"/>
    <n v="2516"/>
  </r>
  <r>
    <x v="13"/>
    <x v="0"/>
    <s v="TAS"/>
    <s v="No agreement"/>
    <s v="More than 200% MBS Fee"/>
    <n v="1977169.33"/>
    <n v="486587.84"/>
    <n v="163495.59"/>
    <n v="3669"/>
  </r>
  <r>
    <x v="13"/>
    <x v="0"/>
    <s v="TAS"/>
    <s v="Known gap agreement"/>
    <s v="100% MBS Fee to 125% MBS Fee"/>
    <n v="48653.51"/>
    <n v="32507.05"/>
    <n v="12985.32"/>
    <n v="354"/>
  </r>
  <r>
    <x v="13"/>
    <x v="0"/>
    <s v="TAS"/>
    <s v="Known gap agreement"/>
    <s v="More than 125% MBS Fee to 150% MBS Fee"/>
    <n v="101690.08"/>
    <n v="55376.959999999999"/>
    <n v="38552.050000000003"/>
    <n v="408"/>
  </r>
  <r>
    <x v="13"/>
    <x v="0"/>
    <s v="TAS"/>
    <s v="Known gap agreement"/>
    <s v="More than 150% MBS Fee to 200% MBS Fee"/>
    <n v="568025.43999999994"/>
    <n v="244667.2"/>
    <n v="243046.02"/>
    <n v="1483"/>
  </r>
  <r>
    <x v="13"/>
    <x v="0"/>
    <s v="TAS"/>
    <s v="Known gap agreement"/>
    <s v="More than 200% MBS Fee"/>
    <n v="941637.12"/>
    <n v="277067"/>
    <n v="320415.65999999997"/>
    <n v="3110"/>
  </r>
  <r>
    <x v="13"/>
    <x v="0"/>
    <s v="TAS"/>
    <s v="No gap agreement"/>
    <s v="Up to MBS Fee"/>
    <n v="313206.38"/>
    <n v="239950.62"/>
    <n v="73255.759999999995"/>
    <n v="6666"/>
  </r>
  <r>
    <x v="13"/>
    <x v="0"/>
    <s v="TAS"/>
    <s v="No gap agreement"/>
    <s v="100% MBS Fee to 125% MBS Fee"/>
    <n v="3047994"/>
    <n v="1964104.6"/>
    <n v="1083885.6000000001"/>
    <n v="38701"/>
  </r>
  <r>
    <x v="13"/>
    <x v="0"/>
    <s v="TAS"/>
    <s v="No gap agreement"/>
    <s v="More than 125% MBS Fee to 150% MBS Fee"/>
    <n v="5185380.97"/>
    <n v="2829009.65"/>
    <n v="2356368.7999999998"/>
    <n v="16582"/>
  </r>
  <r>
    <x v="13"/>
    <x v="0"/>
    <s v="TAS"/>
    <s v="No gap agreement"/>
    <s v="More than 150% MBS Fee to 200% MBS Fee"/>
    <n v="4537906.59"/>
    <n v="2094780.8"/>
    <n v="2443124.0499999998"/>
    <n v="29428"/>
  </r>
  <r>
    <x v="13"/>
    <x v="0"/>
    <s v="TAS"/>
    <s v="No gap agreement"/>
    <s v="More than 200% MBS Fee"/>
    <n v="407753.22"/>
    <n v="113282.95"/>
    <n v="294470.23"/>
    <n v="336"/>
  </r>
  <r>
    <x v="13"/>
    <x v="0"/>
    <s v="NT"/>
    <s v="No agreement"/>
    <s v="Up to MBS Fee"/>
    <n v="224347.82"/>
    <n v="168935.93"/>
    <n v="55212.99"/>
    <n v="2235"/>
  </r>
  <r>
    <x v="13"/>
    <x v="0"/>
    <s v="NT"/>
    <s v="No agreement"/>
    <s v="100% MBS Fee to 125% MBS Fee"/>
    <n v="47575.75"/>
    <n v="30692.26"/>
    <n v="10148.709999999999"/>
    <n v="273"/>
  </r>
  <r>
    <x v="13"/>
    <x v="0"/>
    <s v="NT"/>
    <s v="No agreement"/>
    <s v="More than 125% MBS Fee to 150% MBS Fee"/>
    <n v="55993.85"/>
    <n v="29898.45"/>
    <n v="10351.709999999999"/>
    <n v="237"/>
  </r>
  <r>
    <x v="13"/>
    <x v="0"/>
    <s v="NT"/>
    <s v="No agreement"/>
    <s v="More than 150% MBS Fee to 200% MBS Fee"/>
    <n v="159428.99"/>
    <n v="67098.55"/>
    <n v="24409.4"/>
    <n v="930"/>
  </r>
  <r>
    <x v="13"/>
    <x v="0"/>
    <s v="NT"/>
    <s v="No agreement"/>
    <s v="More than 200% MBS Fee"/>
    <n v="721690"/>
    <n v="193584.12"/>
    <n v="64597.8"/>
    <n v="1543"/>
  </r>
  <r>
    <x v="13"/>
    <x v="0"/>
    <s v="NT"/>
    <s v="Known gap agreement"/>
    <s v="100% MBS Fee to 125% MBS Fee"/>
    <n v="13587.84"/>
    <n v="8911.36"/>
    <n v="3897.73"/>
    <n v="86"/>
  </r>
  <r>
    <x v="13"/>
    <x v="0"/>
    <s v="NT"/>
    <s v="Known gap agreement"/>
    <s v="More than 125% MBS Fee to 150% MBS Fee"/>
    <n v="34159.370000000003"/>
    <n v="18347.05"/>
    <n v="12949.54"/>
    <n v="139"/>
  </r>
  <r>
    <x v="13"/>
    <x v="0"/>
    <s v="NT"/>
    <s v="Known gap agreement"/>
    <s v="More than 150% MBS Fee to 200% MBS Fee"/>
    <n v="99465.52"/>
    <n v="42013.55"/>
    <n v="40311.870000000003"/>
    <n v="184"/>
  </r>
  <r>
    <x v="13"/>
    <x v="0"/>
    <s v="NT"/>
    <s v="Known gap agreement"/>
    <s v="More than 200% MBS Fee"/>
    <n v="244124.62"/>
    <n v="59596.55"/>
    <n v="65959.83"/>
    <n v="603"/>
  </r>
  <r>
    <x v="13"/>
    <x v="0"/>
    <s v="NT"/>
    <s v="No gap agreement"/>
    <s v="Up to MBS Fee"/>
    <n v="58333.88"/>
    <n v="44675.199999999997"/>
    <n v="13658.68"/>
    <n v="727"/>
  </r>
  <r>
    <x v="13"/>
    <x v="0"/>
    <s v="NT"/>
    <s v="No gap agreement"/>
    <s v="100% MBS Fee to 125% MBS Fee"/>
    <n v="285148.90000000002"/>
    <n v="183118.16"/>
    <n v="102030.74"/>
    <n v="3289"/>
  </r>
  <r>
    <x v="13"/>
    <x v="0"/>
    <s v="NT"/>
    <s v="No gap agreement"/>
    <s v="More than 125% MBS Fee to 150% MBS Fee"/>
    <n v="895109.88"/>
    <n v="481739.98"/>
    <n v="413363.48"/>
    <n v="2556"/>
  </r>
  <r>
    <x v="13"/>
    <x v="0"/>
    <s v="NT"/>
    <s v="No gap agreement"/>
    <s v="More than 150% MBS Fee to 200% MBS Fee"/>
    <n v="741552.97"/>
    <n v="340034.19"/>
    <n v="401511.13"/>
    <n v="4751"/>
  </r>
  <r>
    <x v="13"/>
    <x v="0"/>
    <s v="NT"/>
    <s v="No gap agreement"/>
    <s v="More than 200% MBS Fee"/>
    <n v="94276.07"/>
    <n v="26269.25"/>
    <n v="68005.919999999998"/>
    <n v="77"/>
  </r>
  <r>
    <x v="13"/>
    <x v="2"/>
    <s v="NSW"/>
    <s v="No agreement"/>
    <s v="Up to MBS Fee"/>
    <n v="27278333.079999998"/>
    <n v="20786775.800000001"/>
    <n v="6490231.0800000001"/>
    <n v="488510"/>
  </r>
  <r>
    <x v="13"/>
    <x v="2"/>
    <s v="NSW"/>
    <s v="No agreement"/>
    <s v="100% MBS Fee to 125% MBS Fee"/>
    <n v="3656825.95"/>
    <n v="2443356.77"/>
    <n v="840558.62"/>
    <n v="20825"/>
  </r>
  <r>
    <x v="13"/>
    <x v="2"/>
    <s v="NSW"/>
    <s v="No agreement"/>
    <s v="More than 125% MBS Fee to 150% MBS Fee"/>
    <n v="5508772.5300000003"/>
    <n v="2987895.65"/>
    <n v="1120194.5"/>
    <n v="53075"/>
  </r>
  <r>
    <x v="13"/>
    <x v="2"/>
    <s v="NSW"/>
    <s v="No agreement"/>
    <s v="More than 150% MBS Fee to 200% MBS Fee"/>
    <n v="17416511.829999998"/>
    <n v="7349698.9699999997"/>
    <n v="2774088.87"/>
    <n v="71315"/>
  </r>
  <r>
    <x v="13"/>
    <x v="2"/>
    <s v="NSW"/>
    <s v="No agreement"/>
    <s v="More than 200% MBS Fee"/>
    <n v="84769016.230000004"/>
    <n v="21953294.829999998"/>
    <n v="7438602.5800000001"/>
    <n v="158904"/>
  </r>
  <r>
    <x v="13"/>
    <x v="2"/>
    <s v="NSW"/>
    <s v="Known gap agreement"/>
    <s v="100% MBS Fee to 125% MBS Fee"/>
    <n v="840385.8"/>
    <n v="559044.32999999996"/>
    <n v="252883.79"/>
    <n v="6142"/>
  </r>
  <r>
    <x v="13"/>
    <x v="2"/>
    <s v="NSW"/>
    <s v="Known gap agreement"/>
    <s v="More than 125% MBS Fee to 150% MBS Fee"/>
    <n v="2049641.36"/>
    <n v="1107961.3700000001"/>
    <n v="830406.98"/>
    <n v="6109"/>
  </r>
  <r>
    <x v="13"/>
    <x v="2"/>
    <s v="NSW"/>
    <s v="Known gap agreement"/>
    <s v="More than 150% MBS Fee to 200% MBS Fee"/>
    <n v="4459490.8899999997"/>
    <n v="1947252.7"/>
    <n v="1913346.41"/>
    <n v="16316"/>
  </r>
  <r>
    <x v="13"/>
    <x v="2"/>
    <s v="NSW"/>
    <s v="Known gap agreement"/>
    <s v="More than 200% MBS Fee"/>
    <n v="6709388.8600000003"/>
    <n v="1725063.41"/>
    <n v="1927152.32"/>
    <n v="17832"/>
  </r>
  <r>
    <x v="13"/>
    <x v="2"/>
    <s v="NSW"/>
    <s v="No gap agreement"/>
    <s v="Up to MBS Fee"/>
    <n v="6635919.2300000004"/>
    <n v="5033080.74"/>
    <n v="1603526.64"/>
    <n v="193816"/>
  </r>
  <r>
    <x v="13"/>
    <x v="2"/>
    <s v="NSW"/>
    <s v="No gap agreement"/>
    <s v="100% MBS Fee to 125% MBS Fee"/>
    <n v="30823480.77"/>
    <n v="19796062.82"/>
    <n v="11027285.039999999"/>
    <n v="400434"/>
  </r>
  <r>
    <x v="13"/>
    <x v="2"/>
    <s v="NSW"/>
    <s v="No gap agreement"/>
    <s v="More than 125% MBS Fee to 150% MBS Fee"/>
    <n v="58852303.619999997"/>
    <n v="32290774.780000001"/>
    <n v="26561247.789999999"/>
    <n v="236163"/>
  </r>
  <r>
    <x v="13"/>
    <x v="2"/>
    <s v="NSW"/>
    <s v="No gap agreement"/>
    <s v="More than 150% MBS Fee to 200% MBS Fee"/>
    <n v="48750645.659999996"/>
    <n v="22650255.300000001"/>
    <n v="26100233.489999998"/>
    <n v="318031"/>
  </r>
  <r>
    <x v="13"/>
    <x v="2"/>
    <s v="NSW"/>
    <s v="No gap agreement"/>
    <s v="More than 200% MBS Fee"/>
    <n v="4379638.67"/>
    <n v="1253422.53"/>
    <n v="3126210.74"/>
    <n v="4719"/>
  </r>
  <r>
    <x v="13"/>
    <x v="2"/>
    <s v="VIC"/>
    <s v="No agreement"/>
    <s v="Up to MBS Fee"/>
    <n v="16517327.560000001"/>
    <n v="12442454.74"/>
    <n v="4074555.06"/>
    <n v="171132"/>
  </r>
  <r>
    <x v="13"/>
    <x v="2"/>
    <s v="VIC"/>
    <s v="No agreement"/>
    <s v="100% MBS Fee to 125% MBS Fee"/>
    <n v="2844701.73"/>
    <n v="1887402.23"/>
    <n v="688121.69"/>
    <n v="21390"/>
  </r>
  <r>
    <x v="13"/>
    <x v="2"/>
    <s v="VIC"/>
    <s v="No agreement"/>
    <s v="More than 125% MBS Fee to 150% MBS Fee"/>
    <n v="3459986.54"/>
    <n v="1896166"/>
    <n v="854125.87"/>
    <n v="25942"/>
  </r>
  <r>
    <x v="13"/>
    <x v="2"/>
    <s v="VIC"/>
    <s v="No agreement"/>
    <s v="More than 150% MBS Fee to 200% MBS Fee"/>
    <n v="7320606.4100000001"/>
    <n v="3109462.9"/>
    <n v="1272268.98"/>
    <n v="47536"/>
  </r>
  <r>
    <x v="13"/>
    <x v="2"/>
    <s v="VIC"/>
    <s v="No agreement"/>
    <s v="More than 200% MBS Fee"/>
    <n v="15410105"/>
    <n v="4069239.42"/>
    <n v="1392238.74"/>
    <n v="35881"/>
  </r>
  <r>
    <x v="13"/>
    <x v="2"/>
    <s v="VIC"/>
    <s v="Known gap agreement"/>
    <s v="100% MBS Fee to 125% MBS Fee"/>
    <n v="1822158.52"/>
    <n v="1186340.06"/>
    <n v="523084.3"/>
    <n v="11678"/>
  </r>
  <r>
    <x v="13"/>
    <x v="2"/>
    <s v="VIC"/>
    <s v="Known gap agreement"/>
    <s v="More than 125% MBS Fee to 150% MBS Fee"/>
    <n v="3815223.83"/>
    <n v="2071030.3"/>
    <n v="1408204.07"/>
    <n v="15018"/>
  </r>
  <r>
    <x v="13"/>
    <x v="2"/>
    <s v="VIC"/>
    <s v="Known gap agreement"/>
    <s v="More than 150% MBS Fee to 200% MBS Fee"/>
    <n v="8071495.0300000003"/>
    <n v="3460741.42"/>
    <n v="3140240.15"/>
    <n v="29370"/>
  </r>
  <r>
    <x v="13"/>
    <x v="2"/>
    <s v="VIC"/>
    <s v="Known gap agreement"/>
    <s v="More than 200% MBS Fee"/>
    <n v="8872923.3599999994"/>
    <n v="2528090.2000000002"/>
    <n v="2534334.75"/>
    <n v="24271"/>
  </r>
  <r>
    <x v="13"/>
    <x v="2"/>
    <s v="VIC"/>
    <s v="No gap agreement"/>
    <s v="Up to MBS Fee"/>
    <n v="7480366.9900000002"/>
    <n v="5644801.4199999999"/>
    <n v="1835587.68"/>
    <n v="154918"/>
  </r>
  <r>
    <x v="13"/>
    <x v="2"/>
    <s v="VIC"/>
    <s v="No gap agreement"/>
    <s v="100% MBS Fee to 125% MBS Fee"/>
    <n v="31436909.109999999"/>
    <n v="20311632.109999999"/>
    <n v="11125174.67"/>
    <n v="391087"/>
  </r>
  <r>
    <x v="13"/>
    <x v="2"/>
    <s v="VIC"/>
    <s v="No gap agreement"/>
    <s v="More than 125% MBS Fee to 150% MBS Fee"/>
    <n v="64183852.829999998"/>
    <n v="35272624.950000003"/>
    <n v="28911137.780000001"/>
    <n v="359499"/>
  </r>
  <r>
    <x v="13"/>
    <x v="2"/>
    <s v="VIC"/>
    <s v="No gap agreement"/>
    <s v="More than 150% MBS Fee to 200% MBS Fee"/>
    <n v="48318577.060000002"/>
    <n v="22110073.890000001"/>
    <n v="26208440.030000001"/>
    <n v="299888"/>
  </r>
  <r>
    <x v="13"/>
    <x v="2"/>
    <s v="VIC"/>
    <s v="No gap agreement"/>
    <s v="More than 200% MBS Fee"/>
    <n v="2478966.65"/>
    <n v="690723.81"/>
    <n v="1788242.84"/>
    <n v="2360"/>
  </r>
  <r>
    <x v="13"/>
    <x v="2"/>
    <s v="QLD"/>
    <s v="No agreement"/>
    <s v="Up to MBS Fee"/>
    <n v="6701600.2999999998"/>
    <n v="5078731.4000000004"/>
    <n v="1620353.73"/>
    <n v="83679"/>
  </r>
  <r>
    <x v="13"/>
    <x v="2"/>
    <s v="QLD"/>
    <s v="No agreement"/>
    <s v="100% MBS Fee to 125% MBS Fee"/>
    <n v="2068834.95"/>
    <n v="1381514.39"/>
    <n v="461064.41"/>
    <n v="12432"/>
  </r>
  <r>
    <x v="13"/>
    <x v="2"/>
    <s v="QLD"/>
    <s v="No agreement"/>
    <s v="More than 125% MBS Fee to 150% MBS Fee"/>
    <n v="3846735.86"/>
    <n v="2080684.4"/>
    <n v="725752.1"/>
    <n v="20912"/>
  </r>
  <r>
    <x v="13"/>
    <x v="2"/>
    <s v="QLD"/>
    <s v="No agreement"/>
    <s v="More than 150% MBS Fee to 200% MBS Fee"/>
    <n v="11076837.66"/>
    <n v="4653615.53"/>
    <n v="1664416.96"/>
    <n v="45407"/>
  </r>
  <r>
    <x v="13"/>
    <x v="2"/>
    <s v="QLD"/>
    <s v="No agreement"/>
    <s v="More than 200% MBS Fee"/>
    <n v="29680085.77"/>
    <n v="8183712.8700000001"/>
    <n v="2757198.43"/>
    <n v="71882"/>
  </r>
  <r>
    <x v="13"/>
    <x v="2"/>
    <s v="QLD"/>
    <s v="Known gap agreement"/>
    <s v="100% MBS Fee to 125% MBS Fee"/>
    <n v="384718.61"/>
    <n v="243900.91"/>
    <n v="102346.64"/>
    <n v="2330"/>
  </r>
  <r>
    <x v="13"/>
    <x v="2"/>
    <s v="QLD"/>
    <s v="Known gap agreement"/>
    <s v="More than 125% MBS Fee to 150% MBS Fee"/>
    <n v="1277947.94"/>
    <n v="695589.63"/>
    <n v="508890.34"/>
    <n v="3764"/>
  </r>
  <r>
    <x v="13"/>
    <x v="2"/>
    <s v="QLD"/>
    <s v="Known gap agreement"/>
    <s v="More than 150% MBS Fee to 200% MBS Fee"/>
    <n v="4246146.26"/>
    <n v="1780687.83"/>
    <n v="1652765.04"/>
    <n v="10982"/>
  </r>
  <r>
    <x v="13"/>
    <x v="2"/>
    <s v="QLD"/>
    <s v="Known gap agreement"/>
    <s v="More than 200% MBS Fee"/>
    <n v="9388526.8900000006"/>
    <n v="2564786.06"/>
    <n v="2803726.3"/>
    <n v="26800"/>
  </r>
  <r>
    <x v="13"/>
    <x v="2"/>
    <s v="QLD"/>
    <s v="No gap agreement"/>
    <s v="Up to MBS Fee"/>
    <n v="2347470.5099999998"/>
    <n v="1786653.62"/>
    <n v="559622.89"/>
    <n v="52651"/>
  </r>
  <r>
    <x v="13"/>
    <x v="2"/>
    <s v="QLD"/>
    <s v="No gap agreement"/>
    <s v="100% MBS Fee to 125% MBS Fee"/>
    <n v="30562794.030000001"/>
    <n v="19612679.289999999"/>
    <n v="10950076.58"/>
    <n v="478634"/>
  </r>
  <r>
    <x v="13"/>
    <x v="2"/>
    <s v="QLD"/>
    <s v="No gap agreement"/>
    <s v="More than 125% MBS Fee to 150% MBS Fee"/>
    <n v="46086016.100000001"/>
    <n v="25405727.190000001"/>
    <n v="20680245.140000001"/>
    <n v="218210"/>
  </r>
  <r>
    <x v="13"/>
    <x v="2"/>
    <s v="QLD"/>
    <s v="No gap agreement"/>
    <s v="More than 150% MBS Fee to 200% MBS Fee"/>
    <n v="32481194.440000001"/>
    <n v="15142703.76"/>
    <n v="17338426.239999998"/>
    <n v="229699"/>
  </r>
  <r>
    <x v="13"/>
    <x v="2"/>
    <s v="QLD"/>
    <s v="No gap agreement"/>
    <s v="More than 200% MBS Fee"/>
    <n v="4181837.41"/>
    <n v="1144519.32"/>
    <n v="3037317.57"/>
    <n v="4329"/>
  </r>
  <r>
    <x v="13"/>
    <x v="2"/>
    <s v="SA"/>
    <s v="No agreement"/>
    <s v="Up to MBS Fee"/>
    <n v="10626691.039999999"/>
    <n v="7975973.2999999998"/>
    <n v="2650744.89"/>
    <n v="81722"/>
  </r>
  <r>
    <x v="13"/>
    <x v="2"/>
    <s v="SA"/>
    <s v="No agreement"/>
    <s v="100% MBS Fee to 125% MBS Fee"/>
    <n v="432900.33"/>
    <n v="287743.01"/>
    <n v="104852.27"/>
    <n v="3864"/>
  </r>
  <r>
    <x v="13"/>
    <x v="2"/>
    <s v="SA"/>
    <s v="No agreement"/>
    <s v="More than 125% MBS Fee to 150% MBS Fee"/>
    <n v="662036.39"/>
    <n v="357094.85"/>
    <n v="133864.10999999999"/>
    <n v="4146"/>
  </r>
  <r>
    <x v="13"/>
    <x v="2"/>
    <s v="SA"/>
    <s v="No agreement"/>
    <s v="More than 150% MBS Fee to 200% MBS Fee"/>
    <n v="781431.21"/>
    <n v="336608.66"/>
    <n v="188741.31"/>
    <n v="4746"/>
  </r>
  <r>
    <x v="13"/>
    <x v="2"/>
    <s v="SA"/>
    <s v="No agreement"/>
    <s v="More than 200% MBS Fee"/>
    <n v="1233171.1399999999"/>
    <n v="343117.32"/>
    <n v="118422.7"/>
    <n v="3635"/>
  </r>
  <r>
    <x v="13"/>
    <x v="2"/>
    <s v="SA"/>
    <s v="Known gap agreement"/>
    <s v="100% MBS Fee to 125% MBS Fee"/>
    <n v="1734590.39"/>
    <n v="1153645.32"/>
    <n v="548313.76"/>
    <n v="13133"/>
  </r>
  <r>
    <x v="13"/>
    <x v="2"/>
    <s v="SA"/>
    <s v="Known gap agreement"/>
    <s v="More than 125% MBS Fee to 150% MBS Fee"/>
    <n v="2531490.6800000002"/>
    <n v="1381495.05"/>
    <n v="1064648.1299999999"/>
    <n v="8219"/>
  </r>
  <r>
    <x v="13"/>
    <x v="2"/>
    <s v="SA"/>
    <s v="Known gap agreement"/>
    <s v="More than 150% MBS Fee to 200% MBS Fee"/>
    <n v="3459386.57"/>
    <n v="1572954.53"/>
    <n v="1637409.71"/>
    <n v="13904"/>
  </r>
  <r>
    <x v="13"/>
    <x v="2"/>
    <s v="SA"/>
    <s v="Known gap agreement"/>
    <s v="More than 200% MBS Fee"/>
    <n v="1483267.34"/>
    <n v="381138.26"/>
    <n v="468779.34"/>
    <n v="2972"/>
  </r>
  <r>
    <x v="13"/>
    <x v="2"/>
    <s v="SA"/>
    <s v="No gap agreement"/>
    <s v="Up to MBS Fee"/>
    <n v="1966410.23"/>
    <n v="1481989.41"/>
    <n v="484438.77"/>
    <n v="20090"/>
  </r>
  <r>
    <x v="13"/>
    <x v="2"/>
    <s v="SA"/>
    <s v="No gap agreement"/>
    <s v="100% MBS Fee to 125% MBS Fee"/>
    <n v="8259770.4500000002"/>
    <n v="5495771.6299999999"/>
    <n v="2763958.18"/>
    <n v="143324"/>
  </r>
  <r>
    <x v="13"/>
    <x v="2"/>
    <s v="SA"/>
    <s v="No gap agreement"/>
    <s v="More than 125% MBS Fee to 150% MBS Fee"/>
    <n v="18785687.030000001"/>
    <n v="10185794.4"/>
    <n v="8599883.3000000007"/>
    <n v="85056"/>
  </r>
  <r>
    <x v="13"/>
    <x v="2"/>
    <s v="SA"/>
    <s v="No gap agreement"/>
    <s v="More than 150% MBS Fee to 200% MBS Fee"/>
    <n v="16435056.779999999"/>
    <n v="7497679.8600000003"/>
    <n v="8937359.3900000006"/>
    <n v="78854"/>
  </r>
  <r>
    <x v="13"/>
    <x v="2"/>
    <s v="SA"/>
    <s v="No gap agreement"/>
    <s v="More than 200% MBS Fee"/>
    <n v="1151741.8600000001"/>
    <n v="298643.27"/>
    <n v="853097.49"/>
    <n v="897"/>
  </r>
  <r>
    <x v="13"/>
    <x v="2"/>
    <s v="WA"/>
    <s v="No agreement"/>
    <s v="Up to MBS Fee"/>
    <n v="1944568.3"/>
    <n v="1471062.58"/>
    <n v="473360.56"/>
    <n v="47205"/>
  </r>
  <r>
    <x v="13"/>
    <x v="2"/>
    <s v="WA"/>
    <s v="No agreement"/>
    <s v="100% MBS Fee to 125% MBS Fee"/>
    <n v="496042.66"/>
    <n v="328536.03000000003"/>
    <n v="111633.15"/>
    <n v="4791"/>
  </r>
  <r>
    <x v="13"/>
    <x v="2"/>
    <s v="WA"/>
    <s v="No agreement"/>
    <s v="More than 125% MBS Fee to 150% MBS Fee"/>
    <n v="1784134.18"/>
    <n v="975322.17"/>
    <n v="330133.28999999998"/>
    <n v="18348"/>
  </r>
  <r>
    <x v="13"/>
    <x v="2"/>
    <s v="WA"/>
    <s v="No agreement"/>
    <s v="More than 150% MBS Fee to 200% MBS Fee"/>
    <n v="3105207.92"/>
    <n v="1342496.88"/>
    <n v="457336.32000000001"/>
    <n v="26624"/>
  </r>
  <r>
    <x v="13"/>
    <x v="2"/>
    <s v="WA"/>
    <s v="No agreement"/>
    <s v="More than 200% MBS Fee"/>
    <n v="3395883.75"/>
    <n v="917371.62"/>
    <n v="316549.51"/>
    <n v="7445"/>
  </r>
  <r>
    <x v="13"/>
    <x v="2"/>
    <s v="WA"/>
    <s v="Known gap agreement"/>
    <s v="100% MBS Fee to 125% MBS Fee"/>
    <n v="1422122.99"/>
    <n v="971614.4"/>
    <n v="424465.48"/>
    <n v="9341"/>
  </r>
  <r>
    <x v="13"/>
    <x v="2"/>
    <s v="WA"/>
    <s v="Known gap agreement"/>
    <s v="More than 125% MBS Fee to 150% MBS Fee"/>
    <n v="3689247.09"/>
    <n v="1980007.36"/>
    <n v="1370372.92"/>
    <n v="12552"/>
  </r>
  <r>
    <x v="13"/>
    <x v="2"/>
    <s v="WA"/>
    <s v="Known gap agreement"/>
    <s v="More than 150% MBS Fee to 200% MBS Fee"/>
    <n v="6027586.2300000004"/>
    <n v="2634196.71"/>
    <n v="1997022.07"/>
    <n v="22631"/>
  </r>
  <r>
    <x v="13"/>
    <x v="2"/>
    <s v="WA"/>
    <s v="Known gap agreement"/>
    <s v="More than 200% MBS Fee"/>
    <n v="10072242.710000001"/>
    <n v="2341660.52"/>
    <n v="1774773.72"/>
    <n v="19355"/>
  </r>
  <r>
    <x v="13"/>
    <x v="2"/>
    <s v="WA"/>
    <s v="No gap agreement"/>
    <s v="Up to MBS Fee"/>
    <n v="923406.92"/>
    <n v="700952.76"/>
    <n v="222454.16"/>
    <n v="10970"/>
  </r>
  <r>
    <x v="13"/>
    <x v="2"/>
    <s v="WA"/>
    <s v="No gap agreement"/>
    <s v="100% MBS Fee to 125% MBS Fee"/>
    <n v="8516095.0700000003"/>
    <n v="5400032.8499999996"/>
    <n v="3116046.74"/>
    <n v="101865"/>
  </r>
  <r>
    <x v="13"/>
    <x v="2"/>
    <s v="WA"/>
    <s v="No gap agreement"/>
    <s v="More than 125% MBS Fee to 150% MBS Fee"/>
    <n v="21171397.460000001"/>
    <n v="11666999.91"/>
    <n v="9504392.7200000007"/>
    <n v="108451"/>
  </r>
  <r>
    <x v="13"/>
    <x v="2"/>
    <s v="WA"/>
    <s v="No gap agreement"/>
    <s v="More than 150% MBS Fee to 200% MBS Fee"/>
    <n v="19546957.52"/>
    <n v="8602758.3200000003"/>
    <n v="10944196.09"/>
    <n v="112776"/>
  </r>
  <r>
    <x v="13"/>
    <x v="2"/>
    <s v="WA"/>
    <s v="No gap agreement"/>
    <s v="More than 200% MBS Fee"/>
    <n v="2494788.0699999998"/>
    <n v="583558.6"/>
    <n v="1911229.47"/>
    <n v="1894"/>
  </r>
  <r>
    <x v="13"/>
    <x v="2"/>
    <s v="TAS"/>
    <s v="No agreement"/>
    <s v="Up to MBS Fee"/>
    <n v="1437995.77"/>
    <n v="1081953.99"/>
    <n v="356041.78"/>
    <n v="20268"/>
  </r>
  <r>
    <x v="13"/>
    <x v="2"/>
    <s v="TAS"/>
    <s v="No agreement"/>
    <s v="100% MBS Fee to 125% MBS Fee"/>
    <n v="197177.3"/>
    <n v="134888.46"/>
    <n v="44201.86"/>
    <n v="1412"/>
  </r>
  <r>
    <x v="13"/>
    <x v="2"/>
    <s v="TAS"/>
    <s v="No agreement"/>
    <s v="More than 125% MBS Fee to 150% MBS Fee"/>
    <n v="370725.38"/>
    <n v="199844.55"/>
    <n v="74149.279999999999"/>
    <n v="1187"/>
  </r>
  <r>
    <x v="13"/>
    <x v="2"/>
    <s v="TAS"/>
    <s v="No agreement"/>
    <s v="More than 150% MBS Fee to 200% MBS Fee"/>
    <n v="561832.68999999994"/>
    <n v="239614.12"/>
    <n v="82270.33"/>
    <n v="2316"/>
  </r>
  <r>
    <x v="13"/>
    <x v="2"/>
    <s v="TAS"/>
    <s v="No agreement"/>
    <s v="More than 200% MBS Fee"/>
    <n v="2070125.85"/>
    <n v="503048.99"/>
    <n v="168764.04"/>
    <n v="3664"/>
  </r>
  <r>
    <x v="13"/>
    <x v="2"/>
    <s v="TAS"/>
    <s v="Known gap agreement"/>
    <s v="100% MBS Fee to 125% MBS Fee"/>
    <n v="43967.31"/>
    <n v="29579.65"/>
    <n v="10133.75"/>
    <n v="304"/>
  </r>
  <r>
    <x v="13"/>
    <x v="2"/>
    <s v="TAS"/>
    <s v="Known gap agreement"/>
    <s v="More than 125% MBS Fee to 150% MBS Fee"/>
    <n v="129796.84"/>
    <n v="70645.240000000005"/>
    <n v="47128.74"/>
    <n v="406"/>
  </r>
  <r>
    <x v="13"/>
    <x v="2"/>
    <s v="TAS"/>
    <s v="Known gap agreement"/>
    <s v="More than 150% MBS Fee to 200% MBS Fee"/>
    <n v="466175.83"/>
    <n v="201060.8"/>
    <n v="198159.12"/>
    <n v="1186"/>
  </r>
  <r>
    <x v="13"/>
    <x v="2"/>
    <s v="TAS"/>
    <s v="Known gap agreement"/>
    <s v="More than 200% MBS Fee"/>
    <n v="840494"/>
    <n v="257745.48"/>
    <n v="295193.87"/>
    <n v="2983"/>
  </r>
  <r>
    <x v="13"/>
    <x v="2"/>
    <s v="TAS"/>
    <s v="No gap agreement"/>
    <s v="Up to MBS Fee"/>
    <n v="276210.90999999997"/>
    <n v="209457.14"/>
    <n v="66753.77"/>
    <n v="4379"/>
  </r>
  <r>
    <x v="13"/>
    <x v="2"/>
    <s v="TAS"/>
    <s v="No gap agreement"/>
    <s v="100% MBS Fee to 125% MBS Fee"/>
    <n v="2716161.41"/>
    <n v="1746729.15"/>
    <n v="969431.82"/>
    <n v="32113"/>
  </r>
  <r>
    <x v="13"/>
    <x v="2"/>
    <s v="TAS"/>
    <s v="No gap agreement"/>
    <s v="More than 125% MBS Fee to 150% MBS Fee"/>
    <n v="5252206.95"/>
    <n v="2848727.82"/>
    <n v="2403475.87"/>
    <n v="16029"/>
  </r>
  <r>
    <x v="13"/>
    <x v="2"/>
    <s v="TAS"/>
    <s v="No gap agreement"/>
    <s v="More than 150% MBS Fee to 200% MBS Fee"/>
    <n v="4393243.66"/>
    <n v="2017343.8"/>
    <n v="2376074.1"/>
    <n v="29471"/>
  </r>
  <r>
    <x v="13"/>
    <x v="2"/>
    <s v="TAS"/>
    <s v="No gap agreement"/>
    <s v="More than 200% MBS Fee"/>
    <n v="380723.37"/>
    <n v="106741.7"/>
    <n v="273981.67"/>
    <n v="321"/>
  </r>
  <r>
    <x v="13"/>
    <x v="2"/>
    <s v="NT"/>
    <s v="No agreement"/>
    <s v="Up to MBS Fee"/>
    <n v="271570.73"/>
    <n v="204618.78"/>
    <n v="66951.95"/>
    <n v="2565"/>
  </r>
  <r>
    <x v="13"/>
    <x v="2"/>
    <s v="NT"/>
    <s v="No agreement"/>
    <s v="100% MBS Fee to 125% MBS Fee"/>
    <n v="67187.3"/>
    <n v="44250.16"/>
    <n v="14823.29"/>
    <n v="283"/>
  </r>
  <r>
    <x v="13"/>
    <x v="2"/>
    <s v="NT"/>
    <s v="No agreement"/>
    <s v="More than 125% MBS Fee to 150% MBS Fee"/>
    <n v="44327"/>
    <n v="23992.06"/>
    <n v="8278.25"/>
    <n v="265"/>
  </r>
  <r>
    <x v="13"/>
    <x v="2"/>
    <s v="NT"/>
    <s v="No agreement"/>
    <s v="More than 150% MBS Fee to 200% MBS Fee"/>
    <n v="163211.28"/>
    <n v="67984.429999999993"/>
    <n v="23292.52"/>
    <n v="745"/>
  </r>
  <r>
    <x v="13"/>
    <x v="2"/>
    <s v="NT"/>
    <s v="No agreement"/>
    <s v="More than 200% MBS Fee"/>
    <n v="593511.27"/>
    <n v="163667.38"/>
    <n v="54945.32"/>
    <n v="1379"/>
  </r>
  <r>
    <x v="13"/>
    <x v="2"/>
    <s v="NT"/>
    <s v="Known gap agreement"/>
    <s v="100% MBS Fee to 125% MBS Fee"/>
    <n v="7529.55"/>
    <n v="5198.7"/>
    <n v="2112.39"/>
    <n v="35"/>
  </r>
  <r>
    <x v="13"/>
    <x v="2"/>
    <s v="NT"/>
    <s v="Known gap agreement"/>
    <s v="More than 125% MBS Fee to 150% MBS Fee"/>
    <n v="38120.29"/>
    <n v="20201.349999999999"/>
    <n v="15299.04"/>
    <n v="156"/>
  </r>
  <r>
    <x v="13"/>
    <x v="2"/>
    <s v="NT"/>
    <s v="Known gap agreement"/>
    <s v="More than 150% MBS Fee to 200% MBS Fee"/>
    <n v="137677.84"/>
    <n v="59955.6"/>
    <n v="58520.1"/>
    <n v="274"/>
  </r>
  <r>
    <x v="13"/>
    <x v="2"/>
    <s v="NT"/>
    <s v="Known gap agreement"/>
    <s v="More than 200% MBS Fee"/>
    <n v="268893.51"/>
    <n v="72370.48"/>
    <n v="77513.66"/>
    <n v="741"/>
  </r>
  <r>
    <x v="13"/>
    <x v="2"/>
    <s v="NT"/>
    <s v="No gap agreement"/>
    <s v="Up to MBS Fee"/>
    <n v="63631.62"/>
    <n v="48109.25"/>
    <n v="15522.37"/>
    <n v="969"/>
  </r>
  <r>
    <x v="13"/>
    <x v="2"/>
    <s v="NT"/>
    <s v="No gap agreement"/>
    <s v="100% MBS Fee to 125% MBS Fee"/>
    <n v="287985.27"/>
    <n v="186681.85"/>
    <n v="101303.37"/>
    <n v="3380"/>
  </r>
  <r>
    <x v="13"/>
    <x v="2"/>
    <s v="NT"/>
    <s v="No gap agreement"/>
    <s v="More than 125% MBS Fee to 150% MBS Fee"/>
    <n v="904239.3"/>
    <n v="487971.58"/>
    <n v="416261.48"/>
    <n v="2678"/>
  </r>
  <r>
    <x v="13"/>
    <x v="2"/>
    <s v="NT"/>
    <s v="No gap agreement"/>
    <s v="More than 150% MBS Fee to 200% MBS Fee"/>
    <n v="743890.46"/>
    <n v="340005.69"/>
    <n v="403884.77"/>
    <n v="4632"/>
  </r>
  <r>
    <x v="13"/>
    <x v="2"/>
    <s v="NT"/>
    <s v="No gap agreement"/>
    <s v="More than 200% MBS Fee"/>
    <n v="90705.75"/>
    <n v="25310.55"/>
    <n v="65395.199999999997"/>
    <n v="78"/>
  </r>
  <r>
    <x v="13"/>
    <x v="3"/>
    <s v="NSW"/>
    <s v="No agreement"/>
    <s v="Up to MBS Fee"/>
    <n v="24006472.489999998"/>
    <n v="18199882.399999999"/>
    <n v="5805573.3399999999"/>
    <n v="442971"/>
  </r>
  <r>
    <x v="13"/>
    <x v="3"/>
    <s v="NSW"/>
    <s v="No agreement"/>
    <s v="100% MBS Fee to 125% MBS Fee"/>
    <n v="3447718.66"/>
    <n v="2293514.52"/>
    <n v="792415.5"/>
    <n v="20006"/>
  </r>
  <r>
    <x v="13"/>
    <x v="3"/>
    <s v="NSW"/>
    <s v="No agreement"/>
    <s v="More than 125% MBS Fee to 150% MBS Fee"/>
    <n v="4921520.32"/>
    <n v="2674917.7999999998"/>
    <n v="964998.26"/>
    <n v="48646"/>
  </r>
  <r>
    <x v="13"/>
    <x v="3"/>
    <s v="NSW"/>
    <s v="No agreement"/>
    <s v="More than 150% MBS Fee to 200% MBS Fee"/>
    <n v="15112116.119999999"/>
    <n v="6367381.29"/>
    <n v="2282671.42"/>
    <n v="60618"/>
  </r>
  <r>
    <x v="13"/>
    <x v="3"/>
    <s v="NSW"/>
    <s v="No agreement"/>
    <s v="More than 200% MBS Fee"/>
    <n v="72191370"/>
    <n v="18615167.010000002"/>
    <n v="6313800.6100000003"/>
    <n v="136752"/>
  </r>
  <r>
    <x v="13"/>
    <x v="3"/>
    <s v="NSW"/>
    <s v="Known gap agreement"/>
    <s v="100% MBS Fee to 125% MBS Fee"/>
    <n v="974907.58"/>
    <n v="654211.98"/>
    <n v="295031.90000000002"/>
    <n v="6621"/>
  </r>
  <r>
    <x v="13"/>
    <x v="3"/>
    <s v="NSW"/>
    <s v="Known gap agreement"/>
    <s v="More than 125% MBS Fee to 150% MBS Fee"/>
    <n v="1831471.03"/>
    <n v="990953.92"/>
    <n v="749143.16"/>
    <n v="5594"/>
  </r>
  <r>
    <x v="13"/>
    <x v="3"/>
    <s v="NSW"/>
    <s v="Known gap agreement"/>
    <s v="More than 150% MBS Fee to 200% MBS Fee"/>
    <n v="3965115.21"/>
    <n v="1744092.98"/>
    <n v="1729821.52"/>
    <n v="15258"/>
  </r>
  <r>
    <x v="13"/>
    <x v="3"/>
    <s v="NSW"/>
    <s v="Known gap agreement"/>
    <s v="More than 200% MBS Fee"/>
    <n v="5557311.5599999996"/>
    <n v="1447749.48"/>
    <n v="1674229.34"/>
    <n v="14778"/>
  </r>
  <r>
    <x v="13"/>
    <x v="3"/>
    <s v="NSW"/>
    <s v="No gap agreement"/>
    <s v="Up to MBS Fee"/>
    <n v="6531839.8200000003"/>
    <n v="4942357.45"/>
    <n v="1589837.71"/>
    <n v="179535"/>
  </r>
  <r>
    <x v="13"/>
    <x v="3"/>
    <s v="NSW"/>
    <s v="No gap agreement"/>
    <s v="100% MBS Fee to 125% MBS Fee"/>
    <n v="26673247.629999999"/>
    <n v="17156966.079999998"/>
    <n v="9516179.2400000002"/>
    <n v="344968"/>
  </r>
  <r>
    <x v="13"/>
    <x v="3"/>
    <s v="NSW"/>
    <s v="No gap agreement"/>
    <s v="More than 125% MBS Fee to 150% MBS Fee"/>
    <n v="48490692.869999997"/>
    <n v="26632708.25"/>
    <n v="21857750.949999999"/>
    <n v="192740"/>
  </r>
  <r>
    <x v="13"/>
    <x v="3"/>
    <s v="NSW"/>
    <s v="No gap agreement"/>
    <s v="More than 150% MBS Fee to 200% MBS Fee"/>
    <n v="38739783.009999998"/>
    <n v="18032913.989999998"/>
    <n v="20706739.800000001"/>
    <n v="256150"/>
  </r>
  <r>
    <x v="13"/>
    <x v="3"/>
    <s v="NSW"/>
    <s v="No gap agreement"/>
    <s v="More than 200% MBS Fee"/>
    <n v="4159965.82"/>
    <n v="1182786.22"/>
    <n v="2977177.76"/>
    <n v="4333"/>
  </r>
  <r>
    <x v="13"/>
    <x v="3"/>
    <s v="VIC"/>
    <s v="No agreement"/>
    <s v="Up to MBS Fee"/>
    <n v="13325818.09"/>
    <n v="10045602.699999999"/>
    <n v="3280252.83"/>
    <n v="144551"/>
  </r>
  <r>
    <x v="13"/>
    <x v="3"/>
    <s v="VIC"/>
    <s v="No agreement"/>
    <s v="100% MBS Fee to 125% MBS Fee"/>
    <n v="2681729.84"/>
    <n v="1782226.53"/>
    <n v="638896.14"/>
    <n v="19875"/>
  </r>
  <r>
    <x v="13"/>
    <x v="3"/>
    <s v="VIC"/>
    <s v="No agreement"/>
    <s v="More than 125% MBS Fee to 150% MBS Fee"/>
    <n v="2869291.23"/>
    <n v="1575751.36"/>
    <n v="658160.5"/>
    <n v="16750"/>
  </r>
  <r>
    <x v="13"/>
    <x v="3"/>
    <s v="VIC"/>
    <s v="No agreement"/>
    <s v="More than 150% MBS Fee to 200% MBS Fee"/>
    <n v="6281901.4800000004"/>
    <n v="2660888"/>
    <n v="996650.6"/>
    <n v="40706"/>
  </r>
  <r>
    <x v="13"/>
    <x v="3"/>
    <s v="VIC"/>
    <s v="No agreement"/>
    <s v="More than 200% MBS Fee"/>
    <n v="13407597.640000001"/>
    <n v="3511544.97"/>
    <n v="1207306.27"/>
    <n v="31491"/>
  </r>
  <r>
    <x v="13"/>
    <x v="3"/>
    <s v="VIC"/>
    <s v="Known gap agreement"/>
    <s v="100% MBS Fee to 125% MBS Fee"/>
    <n v="1707731.16"/>
    <n v="1124456.58"/>
    <n v="490190"/>
    <n v="13066"/>
  </r>
  <r>
    <x v="13"/>
    <x v="3"/>
    <s v="VIC"/>
    <s v="Known gap agreement"/>
    <s v="More than 125% MBS Fee to 150% MBS Fee"/>
    <n v="3576410.51"/>
    <n v="1945505.35"/>
    <n v="1329034.33"/>
    <n v="13299"/>
  </r>
  <r>
    <x v="13"/>
    <x v="3"/>
    <s v="VIC"/>
    <s v="Known gap agreement"/>
    <s v="More than 150% MBS Fee to 200% MBS Fee"/>
    <n v="6438850.8399999999"/>
    <n v="2756218.78"/>
    <n v="2408313.4900000002"/>
    <n v="23685"/>
  </r>
  <r>
    <x v="13"/>
    <x v="3"/>
    <s v="VIC"/>
    <s v="Known gap agreement"/>
    <s v="More than 200% MBS Fee"/>
    <n v="7949072"/>
    <n v="2251631.61"/>
    <n v="2268382.96"/>
    <n v="21741"/>
  </r>
  <r>
    <x v="13"/>
    <x v="3"/>
    <s v="VIC"/>
    <s v="No gap agreement"/>
    <s v="Up to MBS Fee"/>
    <n v="7347423.0999999996"/>
    <n v="5554533"/>
    <n v="1792859.25"/>
    <n v="151989"/>
  </r>
  <r>
    <x v="13"/>
    <x v="3"/>
    <s v="VIC"/>
    <s v="No gap agreement"/>
    <s v="100% MBS Fee to 125% MBS Fee"/>
    <n v="28341224.850000001"/>
    <n v="18335208.82"/>
    <n v="10005918.5"/>
    <n v="365033"/>
  </r>
  <r>
    <x v="13"/>
    <x v="3"/>
    <s v="VIC"/>
    <s v="No gap agreement"/>
    <s v="More than 125% MBS Fee to 150% MBS Fee"/>
    <n v="55940942.850000001"/>
    <n v="30822737.190000001"/>
    <n v="25118125.57"/>
    <n v="315283"/>
  </r>
  <r>
    <x v="13"/>
    <x v="3"/>
    <s v="VIC"/>
    <s v="No gap agreement"/>
    <s v="More than 150% MBS Fee to 200% MBS Fee"/>
    <n v="42671099.259999998"/>
    <n v="19676209.239999998"/>
    <n v="22994788.859999999"/>
    <n v="270923"/>
  </r>
  <r>
    <x v="13"/>
    <x v="3"/>
    <s v="VIC"/>
    <s v="No gap agreement"/>
    <s v="More than 200% MBS Fee"/>
    <n v="2472842.2400000002"/>
    <n v="695040.66"/>
    <n v="1777801.78"/>
    <n v="2306"/>
  </r>
  <r>
    <x v="13"/>
    <x v="3"/>
    <s v="QLD"/>
    <s v="No agreement"/>
    <s v="Up to MBS Fee"/>
    <n v="6055121.04"/>
    <n v="4570629.5199999996"/>
    <n v="1483346.2"/>
    <n v="78977"/>
  </r>
  <r>
    <x v="13"/>
    <x v="3"/>
    <s v="QLD"/>
    <s v="No agreement"/>
    <s v="100% MBS Fee to 125% MBS Fee"/>
    <n v="1932206.98"/>
    <n v="1296212.29"/>
    <n v="434367.21"/>
    <n v="12246"/>
  </r>
  <r>
    <x v="13"/>
    <x v="3"/>
    <s v="QLD"/>
    <s v="No agreement"/>
    <s v="More than 125% MBS Fee to 150% MBS Fee"/>
    <n v="3549626.82"/>
    <n v="1927147.26"/>
    <n v="664423.12"/>
    <n v="18885"/>
  </r>
  <r>
    <x v="13"/>
    <x v="3"/>
    <s v="QLD"/>
    <s v="No agreement"/>
    <s v="More than 150% MBS Fee to 200% MBS Fee"/>
    <n v="9720447.3499999996"/>
    <n v="4099566.78"/>
    <n v="1441357.85"/>
    <n v="41371"/>
  </r>
  <r>
    <x v="13"/>
    <x v="3"/>
    <s v="QLD"/>
    <s v="No agreement"/>
    <s v="More than 200% MBS Fee"/>
    <n v="25930167.949999999"/>
    <n v="7124335.6500000004"/>
    <n v="2408636.0099999998"/>
    <n v="62616"/>
  </r>
  <r>
    <x v="13"/>
    <x v="3"/>
    <s v="QLD"/>
    <s v="Known gap agreement"/>
    <s v="100% MBS Fee to 125% MBS Fee"/>
    <n v="372851.22"/>
    <n v="227915.86"/>
    <n v="96933.84"/>
    <n v="2430"/>
  </r>
  <r>
    <x v="13"/>
    <x v="3"/>
    <s v="QLD"/>
    <s v="Known gap agreement"/>
    <s v="More than 125% MBS Fee to 150% MBS Fee"/>
    <n v="1053577.1399999999"/>
    <n v="572318.28"/>
    <n v="420271.16"/>
    <n v="3550"/>
  </r>
  <r>
    <x v="13"/>
    <x v="3"/>
    <s v="QLD"/>
    <s v="Known gap agreement"/>
    <s v="More than 150% MBS Fee to 200% MBS Fee"/>
    <n v="3598063.33"/>
    <n v="1507490.31"/>
    <n v="1422863.43"/>
    <n v="9623"/>
  </r>
  <r>
    <x v="13"/>
    <x v="3"/>
    <s v="QLD"/>
    <s v="Known gap agreement"/>
    <s v="More than 200% MBS Fee"/>
    <n v="7426899.8099999996"/>
    <n v="2085773.77"/>
    <n v="2342800"/>
    <n v="21941"/>
  </r>
  <r>
    <x v="13"/>
    <x v="3"/>
    <s v="QLD"/>
    <s v="No gap agreement"/>
    <s v="Up to MBS Fee"/>
    <n v="2075550.81"/>
    <n v="1579508.14"/>
    <n v="496844.67"/>
    <n v="47393"/>
  </r>
  <r>
    <x v="13"/>
    <x v="3"/>
    <s v="QLD"/>
    <s v="No gap agreement"/>
    <s v="100% MBS Fee to 125% MBS Fee"/>
    <n v="27059614.239999998"/>
    <n v="17434068.57"/>
    <n v="9625441.5800000001"/>
    <n v="431458"/>
  </r>
  <r>
    <x v="13"/>
    <x v="3"/>
    <s v="QLD"/>
    <s v="No gap agreement"/>
    <s v="More than 125% MBS Fee to 150% MBS Fee"/>
    <n v="40163130.329999998"/>
    <n v="22155745.710000001"/>
    <n v="18007320.09"/>
    <n v="194820"/>
  </r>
  <r>
    <x v="13"/>
    <x v="3"/>
    <s v="QLD"/>
    <s v="No gap agreement"/>
    <s v="More than 150% MBS Fee to 200% MBS Fee"/>
    <n v="26031651.850000001"/>
    <n v="12149620.65"/>
    <n v="13881946.050000001"/>
    <n v="189537"/>
  </r>
  <r>
    <x v="13"/>
    <x v="3"/>
    <s v="QLD"/>
    <s v="No gap agreement"/>
    <s v="More than 200% MBS Fee"/>
    <n v="3700947.44"/>
    <n v="1014803.45"/>
    <n v="2686141.94"/>
    <n v="3383"/>
  </r>
  <r>
    <x v="13"/>
    <x v="3"/>
    <s v="SA"/>
    <s v="No agreement"/>
    <s v="Up to MBS Fee"/>
    <n v="9960784.6799999997"/>
    <n v="7476107.3099999996"/>
    <n v="2484617.92"/>
    <n v="80481"/>
  </r>
  <r>
    <x v="13"/>
    <x v="3"/>
    <s v="SA"/>
    <s v="No agreement"/>
    <s v="100% MBS Fee to 125% MBS Fee"/>
    <n v="381670.43"/>
    <n v="253167.39"/>
    <n v="91103.62"/>
    <n v="3082"/>
  </r>
  <r>
    <x v="13"/>
    <x v="3"/>
    <s v="SA"/>
    <s v="No agreement"/>
    <s v="More than 125% MBS Fee to 150% MBS Fee"/>
    <n v="588569.01"/>
    <n v="318604.77"/>
    <n v="117659.65"/>
    <n v="3825"/>
  </r>
  <r>
    <x v="13"/>
    <x v="3"/>
    <s v="SA"/>
    <s v="No agreement"/>
    <s v="More than 150% MBS Fee to 200% MBS Fee"/>
    <n v="672014.5"/>
    <n v="292921"/>
    <n v="171385.24"/>
    <n v="4285"/>
  </r>
  <r>
    <x v="13"/>
    <x v="3"/>
    <s v="SA"/>
    <s v="No agreement"/>
    <s v="More than 200% MBS Fee"/>
    <n v="1126817.69"/>
    <n v="298887.34000000003"/>
    <n v="107046"/>
    <n v="3087"/>
  </r>
  <r>
    <x v="13"/>
    <x v="3"/>
    <s v="SA"/>
    <s v="Known gap agreement"/>
    <s v="100% MBS Fee to 125% MBS Fee"/>
    <n v="1743216.86"/>
    <n v="1156659.05"/>
    <n v="561628.93000000005"/>
    <n v="13321"/>
  </r>
  <r>
    <x v="13"/>
    <x v="3"/>
    <s v="SA"/>
    <s v="Known gap agreement"/>
    <s v="More than 125% MBS Fee to 150% MBS Fee"/>
    <n v="2709345.77"/>
    <n v="1482937.09"/>
    <n v="1154032.32"/>
    <n v="8132"/>
  </r>
  <r>
    <x v="13"/>
    <x v="3"/>
    <s v="SA"/>
    <s v="Known gap agreement"/>
    <s v="More than 150% MBS Fee to 200% MBS Fee"/>
    <n v="3504820.2"/>
    <n v="1601081.23"/>
    <n v="1713335.69"/>
    <n v="16036"/>
  </r>
  <r>
    <x v="13"/>
    <x v="3"/>
    <s v="SA"/>
    <s v="Known gap agreement"/>
    <s v="More than 200% MBS Fee"/>
    <n v="1298268.33"/>
    <n v="351019.49"/>
    <n v="436687.98"/>
    <n v="2639"/>
  </r>
  <r>
    <x v="13"/>
    <x v="3"/>
    <s v="SA"/>
    <s v="No gap agreement"/>
    <s v="Up to MBS Fee"/>
    <n v="2036713.78"/>
    <n v="1534891.59"/>
    <n v="501828.59"/>
    <n v="20125"/>
  </r>
  <r>
    <x v="13"/>
    <x v="3"/>
    <s v="SA"/>
    <s v="No gap agreement"/>
    <s v="100% MBS Fee to 125% MBS Fee"/>
    <n v="8058744.8700000001"/>
    <n v="5374157.6500000004"/>
    <n v="2684547.61"/>
    <n v="144438"/>
  </r>
  <r>
    <x v="13"/>
    <x v="3"/>
    <s v="SA"/>
    <s v="No gap agreement"/>
    <s v="More than 125% MBS Fee to 150% MBS Fee"/>
    <n v="16872414.800000001"/>
    <n v="9241591.1500000004"/>
    <n v="7630809.0800000001"/>
    <n v="79256"/>
  </r>
  <r>
    <x v="13"/>
    <x v="3"/>
    <s v="SA"/>
    <s v="No gap agreement"/>
    <s v="More than 150% MBS Fee to 200% MBS Fee"/>
    <n v="14442251.16"/>
    <n v="6676745.0599999996"/>
    <n v="7765495.6100000003"/>
    <n v="71553"/>
  </r>
  <r>
    <x v="13"/>
    <x v="3"/>
    <s v="SA"/>
    <s v="No gap agreement"/>
    <s v="More than 200% MBS Fee"/>
    <n v="1070404.1499999999"/>
    <n v="281862.90000000002"/>
    <n v="788540.8"/>
    <n v="865"/>
  </r>
  <r>
    <x v="13"/>
    <x v="3"/>
    <s v="WA"/>
    <s v="No agreement"/>
    <s v="Up to MBS Fee"/>
    <n v="1932513.88"/>
    <n v="1459449.84"/>
    <n v="472762.59"/>
    <n v="52074"/>
  </r>
  <r>
    <x v="13"/>
    <x v="3"/>
    <s v="WA"/>
    <s v="No agreement"/>
    <s v="100% MBS Fee to 125% MBS Fee"/>
    <n v="434723.15"/>
    <n v="283137.78999999998"/>
    <n v="96366.89"/>
    <n v="4559"/>
  </r>
  <r>
    <x v="13"/>
    <x v="3"/>
    <s v="WA"/>
    <s v="No agreement"/>
    <s v="More than 125% MBS Fee to 150% MBS Fee"/>
    <n v="1674550.05"/>
    <n v="919042.87"/>
    <n v="307563.57"/>
    <n v="18401"/>
  </r>
  <r>
    <x v="13"/>
    <x v="3"/>
    <s v="WA"/>
    <s v="No agreement"/>
    <s v="More than 150% MBS Fee to 200% MBS Fee"/>
    <n v="2818011.46"/>
    <n v="1217632.8"/>
    <n v="411122.68"/>
    <n v="26603"/>
  </r>
  <r>
    <x v="13"/>
    <x v="3"/>
    <s v="WA"/>
    <s v="No agreement"/>
    <s v="More than 200% MBS Fee"/>
    <n v="3927413.54"/>
    <n v="764519.05"/>
    <n v="257022.24"/>
    <n v="6621"/>
  </r>
  <r>
    <x v="13"/>
    <x v="3"/>
    <s v="WA"/>
    <s v="Known gap agreement"/>
    <s v="100% MBS Fee to 125% MBS Fee"/>
    <n v="1444621.86"/>
    <n v="985688.96"/>
    <n v="433381.95"/>
    <n v="9742"/>
  </r>
  <r>
    <x v="13"/>
    <x v="3"/>
    <s v="WA"/>
    <s v="Known gap agreement"/>
    <s v="More than 125% MBS Fee to 150% MBS Fee"/>
    <n v="3378035.8"/>
    <n v="1815571.2"/>
    <n v="1274222.28"/>
    <n v="11253"/>
  </r>
  <r>
    <x v="13"/>
    <x v="3"/>
    <s v="WA"/>
    <s v="Known gap agreement"/>
    <s v="More than 150% MBS Fee to 200% MBS Fee"/>
    <n v="5671543.8099999996"/>
    <n v="2481563.34"/>
    <n v="1894142.91"/>
    <n v="22619"/>
  </r>
  <r>
    <x v="13"/>
    <x v="3"/>
    <s v="WA"/>
    <s v="Known gap agreement"/>
    <s v="More than 200% MBS Fee"/>
    <n v="8803094.2400000002"/>
    <n v="2048851.43"/>
    <n v="1585102.92"/>
    <n v="17492"/>
  </r>
  <r>
    <x v="13"/>
    <x v="3"/>
    <s v="WA"/>
    <s v="No gap agreement"/>
    <s v="Up to MBS Fee"/>
    <n v="877571.44"/>
    <n v="664255.47"/>
    <n v="213316.29"/>
    <n v="10763"/>
  </r>
  <r>
    <x v="13"/>
    <x v="3"/>
    <s v="WA"/>
    <s v="No gap agreement"/>
    <s v="100% MBS Fee to 125% MBS Fee"/>
    <n v="7869073.2199999997"/>
    <n v="4987393.58"/>
    <n v="2881676.39"/>
    <n v="94497"/>
  </r>
  <r>
    <x v="13"/>
    <x v="3"/>
    <s v="WA"/>
    <s v="No gap agreement"/>
    <s v="More than 125% MBS Fee to 150% MBS Fee"/>
    <n v="18696217.550000001"/>
    <n v="10283793.859999999"/>
    <n v="8412418.8300000001"/>
    <n v="78564"/>
  </r>
  <r>
    <x v="13"/>
    <x v="3"/>
    <s v="WA"/>
    <s v="No gap agreement"/>
    <s v="More than 150% MBS Fee to 200% MBS Fee"/>
    <n v="17703917.800000001"/>
    <n v="7788134.9800000004"/>
    <n v="9915780.8200000003"/>
    <n v="100732"/>
  </r>
  <r>
    <x v="13"/>
    <x v="3"/>
    <s v="WA"/>
    <s v="No gap agreement"/>
    <s v="More than 200% MBS Fee"/>
    <n v="2614453.88"/>
    <n v="616280.15"/>
    <n v="1998173.73"/>
    <n v="2150"/>
  </r>
  <r>
    <x v="13"/>
    <x v="3"/>
    <s v="TAS"/>
    <s v="No agreement"/>
    <s v="Up to MBS Fee"/>
    <n v="1231162.6599999999"/>
    <n v="927078.15"/>
    <n v="304084.68"/>
    <n v="17735"/>
  </r>
  <r>
    <x v="13"/>
    <x v="3"/>
    <s v="TAS"/>
    <s v="No agreement"/>
    <s v="100% MBS Fee to 125% MBS Fee"/>
    <n v="166521.16"/>
    <n v="111302.01"/>
    <n v="37592.269999999997"/>
    <n v="1151"/>
  </r>
  <r>
    <x v="13"/>
    <x v="3"/>
    <s v="TAS"/>
    <s v="No agreement"/>
    <s v="More than 125% MBS Fee to 150% MBS Fee"/>
    <n v="286576.94"/>
    <n v="154198.68"/>
    <n v="52364.5"/>
    <n v="1089"/>
  </r>
  <r>
    <x v="13"/>
    <x v="3"/>
    <s v="TAS"/>
    <s v="No agreement"/>
    <s v="More than 150% MBS Fee to 200% MBS Fee"/>
    <n v="450244.71"/>
    <n v="190942.42"/>
    <n v="64413"/>
    <n v="2019"/>
  </r>
  <r>
    <x v="13"/>
    <x v="3"/>
    <s v="TAS"/>
    <s v="No agreement"/>
    <s v="More than 200% MBS Fee"/>
    <n v="1516050.66"/>
    <n v="373278.81"/>
    <n v="125495.55"/>
    <n v="2720"/>
  </r>
  <r>
    <x v="13"/>
    <x v="3"/>
    <s v="TAS"/>
    <s v="Known gap agreement"/>
    <s v="100% MBS Fee to 125% MBS Fee"/>
    <n v="54596.91"/>
    <n v="36867.370000000003"/>
    <n v="13938.84"/>
    <n v="346"/>
  </r>
  <r>
    <x v="13"/>
    <x v="3"/>
    <s v="TAS"/>
    <s v="Known gap agreement"/>
    <s v="More than 125% MBS Fee to 150% MBS Fee"/>
    <n v="120210.01"/>
    <n v="65535.6"/>
    <n v="49121"/>
    <n v="387"/>
  </r>
  <r>
    <x v="13"/>
    <x v="3"/>
    <s v="TAS"/>
    <s v="Known gap agreement"/>
    <s v="More than 150% MBS Fee to 200% MBS Fee"/>
    <n v="440359.94"/>
    <n v="191201.54"/>
    <n v="191679.1"/>
    <n v="1304"/>
  </r>
  <r>
    <x v="13"/>
    <x v="3"/>
    <s v="TAS"/>
    <s v="Known gap agreement"/>
    <s v="More than 200% MBS Fee"/>
    <n v="668770.91"/>
    <n v="196839.3"/>
    <n v="240668.57"/>
    <n v="2165"/>
  </r>
  <r>
    <x v="13"/>
    <x v="3"/>
    <s v="TAS"/>
    <s v="No gap agreement"/>
    <s v="Up to MBS Fee"/>
    <n v="270263.84999999998"/>
    <n v="204753.41"/>
    <n v="65510.44"/>
    <n v="5432"/>
  </r>
  <r>
    <x v="13"/>
    <x v="3"/>
    <s v="TAS"/>
    <s v="No gap agreement"/>
    <s v="100% MBS Fee to 125% MBS Fee"/>
    <n v="2430479.96"/>
    <n v="1573841.3"/>
    <n v="856636.63"/>
    <n v="30790"/>
  </r>
  <r>
    <x v="13"/>
    <x v="3"/>
    <s v="TAS"/>
    <s v="No gap agreement"/>
    <s v="More than 125% MBS Fee to 150% MBS Fee"/>
    <n v="4303926.4800000004"/>
    <n v="2347131"/>
    <n v="1956793.83"/>
    <n v="13230"/>
  </r>
  <r>
    <x v="13"/>
    <x v="3"/>
    <s v="TAS"/>
    <s v="No gap agreement"/>
    <s v="More than 150% MBS Fee to 200% MBS Fee"/>
    <n v="3577526.92"/>
    <n v="1654761"/>
    <n v="1922765.83"/>
    <n v="23630"/>
  </r>
  <r>
    <x v="13"/>
    <x v="3"/>
    <s v="TAS"/>
    <s v="No gap agreement"/>
    <s v="More than 200% MBS Fee"/>
    <n v="354181.36"/>
    <n v="98973.91"/>
    <n v="255207.45"/>
    <n v="297"/>
  </r>
  <r>
    <x v="13"/>
    <x v="3"/>
    <s v="NT"/>
    <s v="No agreement"/>
    <s v="Up to MBS Fee"/>
    <n v="264276.08"/>
    <n v="198521.3"/>
    <n v="65754.78"/>
    <n v="2509"/>
  </r>
  <r>
    <x v="13"/>
    <x v="3"/>
    <s v="NT"/>
    <s v="No agreement"/>
    <s v="100% MBS Fee to 125% MBS Fee"/>
    <n v="45165.22"/>
    <n v="30055.61"/>
    <n v="10009.040000000001"/>
    <n v="246"/>
  </r>
  <r>
    <x v="13"/>
    <x v="3"/>
    <s v="NT"/>
    <s v="No agreement"/>
    <s v="More than 125% MBS Fee to 150% MBS Fee"/>
    <n v="67045.179999999993"/>
    <n v="35946.83"/>
    <n v="12138.97"/>
    <n v="337"/>
  </r>
  <r>
    <x v="13"/>
    <x v="3"/>
    <s v="NT"/>
    <s v="No agreement"/>
    <s v="More than 150% MBS Fee to 200% MBS Fee"/>
    <n v="156827.68"/>
    <n v="65119.45"/>
    <n v="21935.599999999999"/>
    <n v="1076"/>
  </r>
  <r>
    <x v="13"/>
    <x v="3"/>
    <s v="NT"/>
    <s v="No agreement"/>
    <s v="More than 200% MBS Fee"/>
    <n v="645337.35"/>
    <n v="174732.19"/>
    <n v="58322.25"/>
    <n v="1430"/>
  </r>
  <r>
    <x v="13"/>
    <x v="3"/>
    <s v="NT"/>
    <s v="Known gap agreement"/>
    <s v="100% MBS Fee to 125% MBS Fee"/>
    <n v="10501.5"/>
    <n v="6962.5"/>
    <n v="3148.3"/>
    <n v="49"/>
  </r>
  <r>
    <x v="13"/>
    <x v="3"/>
    <s v="NT"/>
    <s v="Known gap agreement"/>
    <s v="More than 125% MBS Fee to 150% MBS Fee"/>
    <n v="59764.98"/>
    <n v="31572.6"/>
    <n v="24124.53"/>
    <n v="200"/>
  </r>
  <r>
    <x v="13"/>
    <x v="3"/>
    <s v="NT"/>
    <s v="Known gap agreement"/>
    <s v="More than 150% MBS Fee to 200% MBS Fee"/>
    <n v="124525.27"/>
    <n v="54415.75"/>
    <n v="52402.400000000001"/>
    <n v="286"/>
  </r>
  <r>
    <x v="13"/>
    <x v="3"/>
    <s v="NT"/>
    <s v="Known gap agreement"/>
    <s v="More than 200% MBS Fee"/>
    <n v="231957.49"/>
    <n v="60830.25"/>
    <n v="67792.08"/>
    <n v="561"/>
  </r>
  <r>
    <x v="13"/>
    <x v="3"/>
    <s v="NT"/>
    <s v="No gap agreement"/>
    <s v="Up to MBS Fee"/>
    <n v="62479.360000000001"/>
    <n v="47473.5"/>
    <n v="15005.86"/>
    <n v="800"/>
  </r>
  <r>
    <x v="13"/>
    <x v="3"/>
    <s v="NT"/>
    <s v="No gap agreement"/>
    <s v="100% MBS Fee to 125% MBS Fee"/>
    <n v="353986.66"/>
    <n v="226133.7"/>
    <n v="127850.81"/>
    <n v="4887"/>
  </r>
  <r>
    <x v="13"/>
    <x v="3"/>
    <s v="NT"/>
    <s v="No gap agreement"/>
    <s v="More than 125% MBS Fee to 150% MBS Fee"/>
    <n v="778081.06"/>
    <n v="421180.85"/>
    <n v="356899.96"/>
    <n v="2520"/>
  </r>
  <r>
    <x v="13"/>
    <x v="3"/>
    <s v="NT"/>
    <s v="No gap agreement"/>
    <s v="More than 150% MBS Fee to 200% MBS Fee"/>
    <n v="626759.68999999994"/>
    <n v="288104.25"/>
    <n v="338655.39"/>
    <n v="3852"/>
  </r>
  <r>
    <x v="13"/>
    <x v="3"/>
    <s v="NT"/>
    <s v="No gap agreement"/>
    <s v="More than 200% MBS Fee"/>
    <n v="57179.6"/>
    <n v="16268.4"/>
    <n v="40911.199999999997"/>
    <n v="54"/>
  </r>
  <r>
    <x v="13"/>
    <x v="1"/>
    <s v="NSW"/>
    <s v="No agreement"/>
    <s v="Up to MBS Fee"/>
    <n v="27246389.309999999"/>
    <n v="20627070.82"/>
    <n v="6617809.8600000003"/>
    <n v="447685"/>
  </r>
  <r>
    <x v="13"/>
    <x v="1"/>
    <s v="NSW"/>
    <s v="No agreement"/>
    <s v="100% MBS Fee to 125% MBS Fee"/>
    <n v="3606353.1"/>
    <n v="2415873.2599999998"/>
    <n v="839700.97"/>
    <n v="20457"/>
  </r>
  <r>
    <x v="13"/>
    <x v="1"/>
    <s v="NSW"/>
    <s v="No agreement"/>
    <s v="More than 125% MBS Fee to 150% MBS Fee"/>
    <n v="5459794.9800000004"/>
    <n v="2958351.03"/>
    <n v="1149614.8700000001"/>
    <n v="51786"/>
  </r>
  <r>
    <x v="13"/>
    <x v="1"/>
    <s v="NSW"/>
    <s v="No agreement"/>
    <s v="More than 150% MBS Fee to 200% MBS Fee"/>
    <n v="16651580.83"/>
    <n v="7052953.1500000004"/>
    <n v="2777914.87"/>
    <n v="70412"/>
  </r>
  <r>
    <x v="13"/>
    <x v="1"/>
    <s v="NSW"/>
    <s v="No agreement"/>
    <s v="More than 200% MBS Fee"/>
    <n v="83608139.430000007"/>
    <n v="21594996.289999999"/>
    <n v="7372992.6399999997"/>
    <n v="156582"/>
  </r>
  <r>
    <x v="13"/>
    <x v="1"/>
    <s v="NSW"/>
    <s v="Known gap agreement"/>
    <s v="100% MBS Fee to 125% MBS Fee"/>
    <n v="1045892.3"/>
    <n v="694950.01"/>
    <n v="318397.46999999997"/>
    <n v="7109"/>
  </r>
  <r>
    <x v="13"/>
    <x v="1"/>
    <s v="NSW"/>
    <s v="Known gap agreement"/>
    <s v="More than 125% MBS Fee to 150% MBS Fee"/>
    <n v="2027957.63"/>
    <n v="1100524.72"/>
    <n v="814995.29"/>
    <n v="6375"/>
  </r>
  <r>
    <x v="13"/>
    <x v="1"/>
    <s v="NSW"/>
    <s v="Known gap agreement"/>
    <s v="More than 150% MBS Fee to 200% MBS Fee"/>
    <n v="4773026.84"/>
    <n v="2084657.39"/>
    <n v="2038235.94"/>
    <n v="17477"/>
  </r>
  <r>
    <x v="13"/>
    <x v="1"/>
    <s v="NSW"/>
    <s v="Known gap agreement"/>
    <s v="More than 200% MBS Fee"/>
    <n v="7246781.3099999996"/>
    <n v="1801204.9"/>
    <n v="2039782.46"/>
    <n v="18726"/>
  </r>
  <r>
    <x v="13"/>
    <x v="1"/>
    <s v="NSW"/>
    <s v="No gap agreement"/>
    <s v="Up to MBS Fee"/>
    <n v="7501359.8799999999"/>
    <n v="5680274.7000000002"/>
    <n v="1821263.07"/>
    <n v="219319"/>
  </r>
  <r>
    <x v="13"/>
    <x v="1"/>
    <s v="NSW"/>
    <s v="No gap agreement"/>
    <s v="100% MBS Fee to 125% MBS Fee"/>
    <n v="32160758"/>
    <n v="20647260.140000001"/>
    <n v="11513417.68"/>
    <n v="415883"/>
  </r>
  <r>
    <x v="13"/>
    <x v="1"/>
    <s v="NSW"/>
    <s v="No gap agreement"/>
    <s v="More than 125% MBS Fee to 150% MBS Fee"/>
    <n v="61407494.5"/>
    <n v="33645921.380000003"/>
    <n v="27761225.780000001"/>
    <n v="252126"/>
  </r>
  <r>
    <x v="13"/>
    <x v="1"/>
    <s v="NSW"/>
    <s v="No gap agreement"/>
    <s v="More than 150% MBS Fee to 200% MBS Fee"/>
    <n v="50684570.07"/>
    <n v="23508425.170000002"/>
    <n v="27175952.32"/>
    <n v="330234"/>
  </r>
  <r>
    <x v="13"/>
    <x v="1"/>
    <s v="NSW"/>
    <s v="No gap agreement"/>
    <s v="More than 200% MBS Fee"/>
    <n v="4466975.13"/>
    <n v="1276258.82"/>
    <n v="3190715.08"/>
    <n v="4869"/>
  </r>
  <r>
    <x v="13"/>
    <x v="1"/>
    <s v="VIC"/>
    <s v="No agreement"/>
    <s v="Up to MBS Fee"/>
    <n v="19558770.969999999"/>
    <n v="14712106.6"/>
    <n v="4846648.3499999996"/>
    <n v="179455"/>
  </r>
  <r>
    <x v="13"/>
    <x v="1"/>
    <s v="VIC"/>
    <s v="No agreement"/>
    <s v="100% MBS Fee to 125% MBS Fee"/>
    <n v="2809207.88"/>
    <n v="1864912"/>
    <n v="688795.28"/>
    <n v="21148"/>
  </r>
  <r>
    <x v="13"/>
    <x v="1"/>
    <s v="VIC"/>
    <s v="No agreement"/>
    <s v="More than 125% MBS Fee to 150% MBS Fee"/>
    <n v="3488737.55"/>
    <n v="1909575.64"/>
    <n v="886729.33"/>
    <n v="25002"/>
  </r>
  <r>
    <x v="13"/>
    <x v="1"/>
    <s v="VIC"/>
    <s v="No agreement"/>
    <s v="More than 150% MBS Fee to 200% MBS Fee"/>
    <n v="7987290.5999999996"/>
    <n v="3405896.96"/>
    <n v="1679599.68"/>
    <n v="57026"/>
  </r>
  <r>
    <x v="13"/>
    <x v="1"/>
    <s v="VIC"/>
    <s v="No agreement"/>
    <s v="More than 200% MBS Fee"/>
    <n v="16313366.74"/>
    <n v="4245992.9000000004"/>
    <n v="1456675.24"/>
    <n v="37980"/>
  </r>
  <r>
    <x v="13"/>
    <x v="1"/>
    <s v="VIC"/>
    <s v="Known gap agreement"/>
    <s v="100% MBS Fee to 125% MBS Fee"/>
    <n v="1731458"/>
    <n v="1141972.06"/>
    <n v="493769.5"/>
    <n v="10958"/>
  </r>
  <r>
    <x v="13"/>
    <x v="1"/>
    <s v="VIC"/>
    <s v="Known gap agreement"/>
    <s v="More than 125% MBS Fee to 150% MBS Fee"/>
    <n v="3585537.57"/>
    <n v="1952589.32"/>
    <n v="1298825.6299999999"/>
    <n v="14815"/>
  </r>
  <r>
    <x v="13"/>
    <x v="1"/>
    <s v="VIC"/>
    <s v="Known gap agreement"/>
    <s v="More than 150% MBS Fee to 200% MBS Fee"/>
    <n v="7323496.0599999996"/>
    <n v="3123856.07"/>
    <n v="2714390.77"/>
    <n v="26070"/>
  </r>
  <r>
    <x v="13"/>
    <x v="1"/>
    <s v="VIC"/>
    <s v="Known gap agreement"/>
    <s v="More than 200% MBS Fee"/>
    <n v="10195253.699999999"/>
    <n v="2683532.5499999998"/>
    <n v="2693964.3"/>
    <n v="26204"/>
  </r>
  <r>
    <x v="13"/>
    <x v="1"/>
    <s v="VIC"/>
    <s v="No gap agreement"/>
    <s v="Up to MBS Fee"/>
    <n v="7926950.1399999997"/>
    <n v="5980732.8799999999"/>
    <n v="1946554.74"/>
    <n v="170084"/>
  </r>
  <r>
    <x v="13"/>
    <x v="1"/>
    <s v="VIC"/>
    <s v="No gap agreement"/>
    <s v="100% MBS Fee to 125% MBS Fee"/>
    <n v="31725917.399999999"/>
    <n v="20499608.149999999"/>
    <n v="11226225.73"/>
    <n v="393530"/>
  </r>
  <r>
    <x v="13"/>
    <x v="1"/>
    <s v="VIC"/>
    <s v="No gap agreement"/>
    <s v="More than 125% MBS Fee to 150% MBS Fee"/>
    <n v="69286770.200000003"/>
    <n v="38029397.450000003"/>
    <n v="31257296.84"/>
    <n v="396300"/>
  </r>
  <r>
    <x v="13"/>
    <x v="1"/>
    <s v="VIC"/>
    <s v="No gap agreement"/>
    <s v="More than 150% MBS Fee to 200% MBS Fee"/>
    <n v="51552020.030000001"/>
    <n v="23488276.050000001"/>
    <n v="28063689.809999999"/>
    <n v="321690"/>
  </r>
  <r>
    <x v="13"/>
    <x v="1"/>
    <s v="VIC"/>
    <s v="No gap agreement"/>
    <s v="More than 200% MBS Fee"/>
    <n v="2724826.99"/>
    <n v="758476.6"/>
    <n v="1966350.72"/>
    <n v="2560"/>
  </r>
  <r>
    <x v="13"/>
    <x v="1"/>
    <s v="QLD"/>
    <s v="No agreement"/>
    <s v="Up to MBS Fee"/>
    <n v="7244958.4299999997"/>
    <n v="5511778.2800000003"/>
    <n v="1729722.2"/>
    <n v="81398"/>
  </r>
  <r>
    <x v="13"/>
    <x v="1"/>
    <s v="QLD"/>
    <s v="No agreement"/>
    <s v="100% MBS Fee to 125% MBS Fee"/>
    <n v="2091330.52"/>
    <n v="1396578.95"/>
    <n v="465552.75"/>
    <n v="12581"/>
  </r>
  <r>
    <x v="13"/>
    <x v="1"/>
    <s v="QLD"/>
    <s v="No agreement"/>
    <s v="More than 125% MBS Fee to 150% MBS Fee"/>
    <n v="3926796.63"/>
    <n v="2118301.3199999998"/>
    <n v="755218.09"/>
    <n v="22338"/>
  </r>
  <r>
    <x v="13"/>
    <x v="1"/>
    <s v="QLD"/>
    <s v="No agreement"/>
    <s v="More than 150% MBS Fee to 200% MBS Fee"/>
    <n v="11126821.529999999"/>
    <n v="4678713.93"/>
    <n v="1736268.58"/>
    <n v="49334"/>
  </r>
  <r>
    <x v="13"/>
    <x v="1"/>
    <s v="QLD"/>
    <s v="No agreement"/>
    <s v="More than 200% MBS Fee"/>
    <n v="30824270.489999998"/>
    <n v="8454774.5299999993"/>
    <n v="2858294.89"/>
    <n v="75207"/>
  </r>
  <r>
    <x v="13"/>
    <x v="1"/>
    <s v="QLD"/>
    <s v="Known gap agreement"/>
    <s v="100% MBS Fee to 125% MBS Fee"/>
    <n v="469576.5"/>
    <n v="301122.15999999997"/>
    <n v="129675.34"/>
    <n v="2728"/>
  </r>
  <r>
    <x v="13"/>
    <x v="1"/>
    <s v="QLD"/>
    <s v="Known gap agreement"/>
    <s v="More than 125% MBS Fee to 150% MBS Fee"/>
    <n v="1233539.98"/>
    <n v="673100.31"/>
    <n v="483307.65"/>
    <n v="3554"/>
  </r>
  <r>
    <x v="13"/>
    <x v="1"/>
    <s v="QLD"/>
    <s v="Known gap agreement"/>
    <s v="More than 150% MBS Fee to 200% MBS Fee"/>
    <n v="4253377.72"/>
    <n v="1776717.76"/>
    <n v="1665315.95"/>
    <n v="10434"/>
  </r>
  <r>
    <x v="13"/>
    <x v="1"/>
    <s v="QLD"/>
    <s v="Known gap agreement"/>
    <s v="More than 200% MBS Fee"/>
    <n v="9237505.9700000007"/>
    <n v="2441285"/>
    <n v="2710479.12"/>
    <n v="26205"/>
  </r>
  <r>
    <x v="13"/>
    <x v="1"/>
    <s v="QLD"/>
    <s v="No gap agreement"/>
    <s v="Up to MBS Fee"/>
    <n v="2229137.9700000002"/>
    <n v="1698471.9"/>
    <n v="530711.67000000004"/>
    <n v="48821"/>
  </r>
  <r>
    <x v="13"/>
    <x v="1"/>
    <s v="QLD"/>
    <s v="No gap agreement"/>
    <s v="100% MBS Fee to 125% MBS Fee"/>
    <n v="31186239.359999999"/>
    <n v="20012520.23"/>
    <n v="11173648.140000001"/>
    <n v="488093"/>
  </r>
  <r>
    <x v="13"/>
    <x v="1"/>
    <s v="QLD"/>
    <s v="No gap agreement"/>
    <s v="More than 125% MBS Fee to 150% MBS Fee"/>
    <n v="46440981.299999997"/>
    <n v="25639707.010000002"/>
    <n v="20801202.52"/>
    <n v="228527"/>
  </r>
  <r>
    <x v="13"/>
    <x v="1"/>
    <s v="QLD"/>
    <s v="No gap agreement"/>
    <s v="More than 150% MBS Fee to 200% MBS Fee"/>
    <n v="33127581.140000001"/>
    <n v="15435676.529999999"/>
    <n v="17691849.050000001"/>
    <n v="233425"/>
  </r>
  <r>
    <x v="13"/>
    <x v="1"/>
    <s v="QLD"/>
    <s v="No gap agreement"/>
    <s v="More than 200% MBS Fee"/>
    <n v="4295122.3499999996"/>
    <n v="1173670.31"/>
    <n v="3121451.8"/>
    <n v="4319"/>
  </r>
  <r>
    <x v="13"/>
    <x v="1"/>
    <s v="SA"/>
    <s v="No agreement"/>
    <s v="Up to MBS Fee"/>
    <n v="13339707.4"/>
    <n v="10011432.16"/>
    <n v="3327076.76"/>
    <n v="90733"/>
  </r>
  <r>
    <x v="13"/>
    <x v="1"/>
    <s v="SA"/>
    <s v="No agreement"/>
    <s v="100% MBS Fee to 125% MBS Fee"/>
    <n v="445444.91"/>
    <n v="294357.44"/>
    <n v="111318.34"/>
    <n v="3433"/>
  </r>
  <r>
    <x v="13"/>
    <x v="1"/>
    <s v="SA"/>
    <s v="No agreement"/>
    <s v="More than 125% MBS Fee to 150% MBS Fee"/>
    <n v="588672.5"/>
    <n v="317869.2"/>
    <n v="129717.87"/>
    <n v="3863"/>
  </r>
  <r>
    <x v="13"/>
    <x v="1"/>
    <s v="SA"/>
    <s v="No agreement"/>
    <s v="More than 150% MBS Fee to 200% MBS Fee"/>
    <n v="843265.76"/>
    <n v="368712.32"/>
    <n v="244048.03"/>
    <n v="5786"/>
  </r>
  <r>
    <x v="13"/>
    <x v="1"/>
    <s v="SA"/>
    <s v="No agreement"/>
    <s v="More than 200% MBS Fee"/>
    <n v="1439491.44"/>
    <n v="391324.73"/>
    <n v="139791.25"/>
    <n v="3930"/>
  </r>
  <r>
    <x v="13"/>
    <x v="1"/>
    <s v="SA"/>
    <s v="Known gap agreement"/>
    <s v="100% MBS Fee to 125% MBS Fee"/>
    <n v="1683038.8"/>
    <n v="1112169.3799999999"/>
    <n v="546135.34"/>
    <n v="13377"/>
  </r>
  <r>
    <x v="13"/>
    <x v="1"/>
    <s v="SA"/>
    <s v="Known gap agreement"/>
    <s v="More than 125% MBS Fee to 150% MBS Fee"/>
    <n v="2843582.45"/>
    <n v="1554881.01"/>
    <n v="1174857.1499999999"/>
    <n v="9050"/>
  </r>
  <r>
    <x v="13"/>
    <x v="1"/>
    <s v="SA"/>
    <s v="Known gap agreement"/>
    <s v="More than 150% MBS Fee to 200% MBS Fee"/>
    <n v="3427121.23"/>
    <n v="1561701.41"/>
    <n v="1661575.84"/>
    <n v="15846"/>
  </r>
  <r>
    <x v="13"/>
    <x v="1"/>
    <s v="SA"/>
    <s v="Known gap agreement"/>
    <s v="More than 200% MBS Fee"/>
    <n v="1520532.46"/>
    <n v="400060.92"/>
    <n v="474869.03"/>
    <n v="3269"/>
  </r>
  <r>
    <x v="13"/>
    <x v="1"/>
    <s v="SA"/>
    <s v="No gap agreement"/>
    <s v="Up to MBS Fee"/>
    <n v="2277018.84"/>
    <n v="1713330.45"/>
    <n v="563719.05000000005"/>
    <n v="23025"/>
  </r>
  <r>
    <x v="13"/>
    <x v="1"/>
    <s v="SA"/>
    <s v="No gap agreement"/>
    <s v="100% MBS Fee to 125% MBS Fee"/>
    <n v="8749008.8300000001"/>
    <n v="5816318.7300000004"/>
    <n v="2932665.03"/>
    <n v="152456"/>
  </r>
  <r>
    <x v="13"/>
    <x v="1"/>
    <s v="SA"/>
    <s v="No gap agreement"/>
    <s v="More than 125% MBS Fee to 150% MBS Fee"/>
    <n v="21046724.34"/>
    <n v="11345743.460000001"/>
    <n v="9700966.0199999996"/>
    <n v="94801"/>
  </r>
  <r>
    <x v="13"/>
    <x v="1"/>
    <s v="SA"/>
    <s v="No gap agreement"/>
    <s v="More than 150% MBS Fee to 200% MBS Fee"/>
    <n v="18445343.280000001"/>
    <n v="8358061.7199999997"/>
    <n v="10087275.810000001"/>
    <n v="89888"/>
  </r>
  <r>
    <x v="13"/>
    <x v="1"/>
    <s v="SA"/>
    <s v="No gap agreement"/>
    <s v="More than 200% MBS Fee"/>
    <n v="1136396.17"/>
    <n v="291074.02"/>
    <n v="845320.15"/>
    <n v="870"/>
  </r>
  <r>
    <x v="13"/>
    <x v="1"/>
    <s v="WA"/>
    <s v="No agreement"/>
    <s v="Up to MBS Fee"/>
    <n v="1541171.05"/>
    <n v="1163701.4099999999"/>
    <n v="377469.94"/>
    <n v="35996"/>
  </r>
  <r>
    <x v="13"/>
    <x v="1"/>
    <s v="WA"/>
    <s v="No agreement"/>
    <s v="100% MBS Fee to 125% MBS Fee"/>
    <n v="424572.19"/>
    <n v="280681.95"/>
    <n v="93076.65"/>
    <n v="3942"/>
  </r>
  <r>
    <x v="13"/>
    <x v="1"/>
    <s v="WA"/>
    <s v="No agreement"/>
    <s v="More than 125% MBS Fee to 150% MBS Fee"/>
    <n v="1560265.92"/>
    <n v="852364.4"/>
    <n v="287316.73"/>
    <n v="12072"/>
  </r>
  <r>
    <x v="13"/>
    <x v="1"/>
    <s v="WA"/>
    <s v="No agreement"/>
    <s v="More than 150% MBS Fee to 200% MBS Fee"/>
    <n v="2762376.18"/>
    <n v="1189002.25"/>
    <n v="398928.13"/>
    <n v="20695"/>
  </r>
  <r>
    <x v="13"/>
    <x v="1"/>
    <s v="WA"/>
    <s v="No agreement"/>
    <s v="More than 200% MBS Fee"/>
    <n v="4408783.62"/>
    <n v="1045396.18"/>
    <n v="354646.4"/>
    <n v="8048"/>
  </r>
  <r>
    <x v="13"/>
    <x v="1"/>
    <s v="WA"/>
    <s v="Known gap agreement"/>
    <s v="100% MBS Fee to 125% MBS Fee"/>
    <n v="1579382.37"/>
    <n v="1088166.51"/>
    <n v="468415.68"/>
    <n v="9939"/>
  </r>
  <r>
    <x v="13"/>
    <x v="1"/>
    <s v="WA"/>
    <s v="Known gap agreement"/>
    <s v="More than 125% MBS Fee to 150% MBS Fee"/>
    <n v="3661211.35"/>
    <n v="1958144.38"/>
    <n v="1354744.63"/>
    <n v="12998"/>
  </r>
  <r>
    <x v="13"/>
    <x v="1"/>
    <s v="WA"/>
    <s v="Known gap agreement"/>
    <s v="More than 150% MBS Fee to 200% MBS Fee"/>
    <n v="5726910.1200000001"/>
    <n v="2508634.38"/>
    <n v="1872082.4"/>
    <n v="22417"/>
  </r>
  <r>
    <x v="13"/>
    <x v="1"/>
    <s v="WA"/>
    <s v="Known gap agreement"/>
    <s v="More than 200% MBS Fee"/>
    <n v="10300341.02"/>
    <n v="2400889.54"/>
    <n v="1729658.9"/>
    <n v="19722"/>
  </r>
  <r>
    <x v="13"/>
    <x v="1"/>
    <s v="WA"/>
    <s v="No gap agreement"/>
    <s v="Up to MBS Fee"/>
    <n v="833613.96"/>
    <n v="632143.06999999995"/>
    <n v="201470.89"/>
    <n v="10666"/>
  </r>
  <r>
    <x v="13"/>
    <x v="1"/>
    <s v="WA"/>
    <s v="No gap agreement"/>
    <s v="100% MBS Fee to 125% MBS Fee"/>
    <n v="8271112.5800000001"/>
    <n v="5231315.34"/>
    <n v="3039792.09"/>
    <n v="94972"/>
  </r>
  <r>
    <x v="13"/>
    <x v="1"/>
    <s v="WA"/>
    <s v="No gap agreement"/>
    <s v="More than 125% MBS Fee to 150% MBS Fee"/>
    <n v="24140009.760000002"/>
    <n v="13279256.6"/>
    <n v="10860749.02"/>
    <n v="144440"/>
  </r>
  <r>
    <x v="13"/>
    <x v="1"/>
    <s v="WA"/>
    <s v="No gap agreement"/>
    <s v="More than 150% MBS Fee to 200% MBS Fee"/>
    <n v="21572180.890000001"/>
    <n v="9473225.5899999999"/>
    <n v="12098953.1"/>
    <n v="127579"/>
  </r>
  <r>
    <x v="13"/>
    <x v="1"/>
    <s v="WA"/>
    <s v="No gap agreement"/>
    <s v="More than 200% MBS Fee"/>
    <n v="2735453.25"/>
    <n v="640149.05000000005"/>
    <n v="2095304.18"/>
    <n v="1935"/>
  </r>
  <r>
    <x v="13"/>
    <x v="1"/>
    <s v="TAS"/>
    <s v="No agreement"/>
    <s v="Up to MBS Fee"/>
    <n v="1270963.3"/>
    <n v="956273.05"/>
    <n v="314690.25"/>
    <n v="17024"/>
  </r>
  <r>
    <x v="13"/>
    <x v="1"/>
    <s v="TAS"/>
    <s v="No agreement"/>
    <s v="100% MBS Fee to 125% MBS Fee"/>
    <n v="209187.1"/>
    <n v="140747.53"/>
    <n v="46887.79"/>
    <n v="1576"/>
  </r>
  <r>
    <x v="13"/>
    <x v="1"/>
    <s v="TAS"/>
    <s v="No agreement"/>
    <s v="More than 125% MBS Fee to 150% MBS Fee"/>
    <n v="416157.98"/>
    <n v="223953.95"/>
    <n v="82835.06"/>
    <n v="1277"/>
  </r>
  <r>
    <x v="13"/>
    <x v="1"/>
    <s v="TAS"/>
    <s v="No agreement"/>
    <s v="More than 150% MBS Fee to 200% MBS Fee"/>
    <n v="609480.38"/>
    <n v="256441.74"/>
    <n v="87934.7"/>
    <n v="2928"/>
  </r>
  <r>
    <x v="13"/>
    <x v="1"/>
    <s v="TAS"/>
    <s v="No agreement"/>
    <s v="More than 200% MBS Fee"/>
    <n v="2156208.25"/>
    <n v="513074.01"/>
    <n v="176845.39"/>
    <n v="3789"/>
  </r>
  <r>
    <x v="13"/>
    <x v="1"/>
    <s v="TAS"/>
    <s v="Known gap agreement"/>
    <s v="100% MBS Fee to 125% MBS Fee"/>
    <n v="52953.85"/>
    <n v="36008.5"/>
    <n v="12927.17"/>
    <n v="263"/>
  </r>
  <r>
    <x v="13"/>
    <x v="1"/>
    <s v="TAS"/>
    <s v="Known gap agreement"/>
    <s v="More than 125% MBS Fee to 150% MBS Fee"/>
    <n v="92190.54"/>
    <n v="50377.08"/>
    <n v="36476.639999999999"/>
    <n v="332"/>
  </r>
  <r>
    <x v="13"/>
    <x v="1"/>
    <s v="TAS"/>
    <s v="Known gap agreement"/>
    <s v="More than 150% MBS Fee to 200% MBS Fee"/>
    <n v="530625.04"/>
    <n v="228947.65"/>
    <n v="223944.18"/>
    <n v="1436"/>
  </r>
  <r>
    <x v="13"/>
    <x v="1"/>
    <s v="TAS"/>
    <s v="Known gap agreement"/>
    <s v="More than 200% MBS Fee"/>
    <n v="1047956.53"/>
    <n v="294411.8"/>
    <n v="330815.56"/>
    <n v="3378"/>
  </r>
  <r>
    <x v="13"/>
    <x v="1"/>
    <s v="TAS"/>
    <s v="No gap agreement"/>
    <s v="Up to MBS Fee"/>
    <n v="287036.58"/>
    <n v="218480.23"/>
    <n v="68556.350000000006"/>
    <n v="4845"/>
  </r>
  <r>
    <x v="13"/>
    <x v="1"/>
    <s v="TAS"/>
    <s v="No gap agreement"/>
    <s v="100% MBS Fee to 125% MBS Fee"/>
    <n v="2915331.59"/>
    <n v="1873698.35"/>
    <n v="1041633.17"/>
    <n v="37789"/>
  </r>
  <r>
    <x v="13"/>
    <x v="1"/>
    <s v="TAS"/>
    <s v="No gap agreement"/>
    <s v="More than 125% MBS Fee to 150% MBS Fee"/>
    <n v="5999107.1799999997"/>
    <n v="3263690.66"/>
    <n v="2735415.71"/>
    <n v="19654"/>
  </r>
  <r>
    <x v="13"/>
    <x v="1"/>
    <s v="TAS"/>
    <s v="No gap agreement"/>
    <s v="More than 150% MBS Fee to 200% MBS Fee"/>
    <n v="4943235.57"/>
    <n v="2270262.52"/>
    <n v="2672972.65"/>
    <n v="32827"/>
  </r>
  <r>
    <x v="13"/>
    <x v="1"/>
    <s v="TAS"/>
    <s v="No gap agreement"/>
    <s v="More than 200% MBS Fee"/>
    <n v="386405.78"/>
    <n v="107996.95"/>
    <n v="278408.83"/>
    <n v="323"/>
  </r>
  <r>
    <x v="13"/>
    <x v="1"/>
    <s v="NT"/>
    <s v="No agreement"/>
    <s v="Up to MBS Fee"/>
    <n v="250721.76"/>
    <n v="188285.1"/>
    <n v="62436.66"/>
    <n v="2429"/>
  </r>
  <r>
    <x v="13"/>
    <x v="1"/>
    <s v="NT"/>
    <s v="No agreement"/>
    <s v="100% MBS Fee to 125% MBS Fee"/>
    <n v="50820.85"/>
    <n v="33169.24"/>
    <n v="11081.58"/>
    <n v="228"/>
  </r>
  <r>
    <x v="13"/>
    <x v="1"/>
    <s v="NT"/>
    <s v="No agreement"/>
    <s v="More than 125% MBS Fee to 150% MBS Fee"/>
    <n v="39499.08"/>
    <n v="21332.68"/>
    <n v="7052.5"/>
    <n v="225"/>
  </r>
  <r>
    <x v="13"/>
    <x v="1"/>
    <s v="NT"/>
    <s v="No agreement"/>
    <s v="More than 150% MBS Fee to 200% MBS Fee"/>
    <n v="160820.45000000001"/>
    <n v="67272.75"/>
    <n v="23189.37"/>
    <n v="1152"/>
  </r>
  <r>
    <x v="13"/>
    <x v="1"/>
    <s v="NT"/>
    <s v="No agreement"/>
    <s v="More than 200% MBS Fee"/>
    <n v="760434.45"/>
    <n v="206169.47"/>
    <n v="70023.94"/>
    <n v="1640"/>
  </r>
  <r>
    <x v="13"/>
    <x v="1"/>
    <s v="NT"/>
    <s v="Known gap agreement"/>
    <s v="100% MBS Fee to 125% MBS Fee"/>
    <n v="10372.56"/>
    <n v="6955.75"/>
    <n v="2992.39"/>
    <n v="60"/>
  </r>
  <r>
    <x v="13"/>
    <x v="1"/>
    <s v="NT"/>
    <s v="Known gap agreement"/>
    <s v="More than 125% MBS Fee to 150% MBS Fee"/>
    <n v="37584.78"/>
    <n v="20386.099999999999"/>
    <n v="13126.28"/>
    <n v="149"/>
  </r>
  <r>
    <x v="13"/>
    <x v="1"/>
    <s v="NT"/>
    <s v="Known gap agreement"/>
    <s v="More than 150% MBS Fee to 200% MBS Fee"/>
    <n v="81401.56"/>
    <n v="34760.85"/>
    <n v="31602.34"/>
    <n v="170"/>
  </r>
  <r>
    <x v="13"/>
    <x v="1"/>
    <s v="NT"/>
    <s v="Known gap agreement"/>
    <s v="More than 200% MBS Fee"/>
    <n v="191880.78"/>
    <n v="48254"/>
    <n v="51625.599999999999"/>
    <n v="495"/>
  </r>
  <r>
    <x v="13"/>
    <x v="1"/>
    <s v="NT"/>
    <s v="No gap agreement"/>
    <s v="Up to MBS Fee"/>
    <n v="60753.47"/>
    <n v="46206.44"/>
    <n v="14557.04"/>
    <n v="856"/>
  </r>
  <r>
    <x v="13"/>
    <x v="1"/>
    <s v="NT"/>
    <s v="No gap agreement"/>
    <s v="100% MBS Fee to 125% MBS Fee"/>
    <n v="326841.78000000003"/>
    <n v="209625.3"/>
    <n v="117216.64"/>
    <n v="4047"/>
  </r>
  <r>
    <x v="13"/>
    <x v="1"/>
    <s v="NT"/>
    <s v="No gap agreement"/>
    <s v="More than 125% MBS Fee to 150% MBS Fee"/>
    <n v="888705.59"/>
    <n v="480024"/>
    <n v="408675.92"/>
    <n v="2801"/>
  </r>
  <r>
    <x v="13"/>
    <x v="1"/>
    <s v="NT"/>
    <s v="No gap agreement"/>
    <s v="More than 150% MBS Fee to 200% MBS Fee"/>
    <n v="800813.71"/>
    <n v="363740.07"/>
    <n v="437071.5"/>
    <n v="4749"/>
  </r>
  <r>
    <x v="13"/>
    <x v="1"/>
    <s v="NT"/>
    <s v="No gap agreement"/>
    <s v="More than 200% MBS Fee"/>
    <n v="65085.440000000002"/>
    <n v="18767.939999999999"/>
    <n v="46317.5"/>
    <n v="55"/>
  </r>
  <r>
    <x v="14"/>
    <x v="0"/>
    <s v="NSW"/>
    <s v="No agreement"/>
    <s v="Up to MBS Fee"/>
    <n v="27687711.870000001"/>
    <n v="20820626.100000001"/>
    <n v="6864681.6699999999"/>
    <n v="457877"/>
  </r>
  <r>
    <x v="14"/>
    <x v="0"/>
    <s v="NSW"/>
    <s v="No agreement"/>
    <s v="100% MBS Fee to 125% MBS Fee"/>
    <n v="3072076.21"/>
    <n v="2059224.42"/>
    <n v="705539.48"/>
    <n v="18027"/>
  </r>
  <r>
    <x v="14"/>
    <x v="0"/>
    <s v="NSW"/>
    <s v="No agreement"/>
    <s v="More than 125% MBS Fee to 150% MBS Fee"/>
    <n v="4124039.34"/>
    <n v="2222404.38"/>
    <n v="803214.69"/>
    <n v="33924"/>
  </r>
  <r>
    <x v="14"/>
    <x v="0"/>
    <s v="NSW"/>
    <s v="No agreement"/>
    <s v="More than 150% MBS Fee to 200% MBS Fee"/>
    <n v="13774950.17"/>
    <n v="5844931.79"/>
    <n v="2345283.9500000002"/>
    <n v="54263"/>
  </r>
  <r>
    <x v="14"/>
    <x v="0"/>
    <s v="NSW"/>
    <s v="No agreement"/>
    <s v="More than 200% MBS Fee"/>
    <n v="84543504.299999997"/>
    <n v="21640365.100000001"/>
    <n v="7279067.5599999996"/>
    <n v="163537"/>
  </r>
  <r>
    <x v="14"/>
    <x v="0"/>
    <s v="NSW"/>
    <s v="Known gap agreement"/>
    <s v="100% MBS Fee to 125% MBS Fee"/>
    <n v="1129168.55"/>
    <n v="752267.58"/>
    <n v="339908.63"/>
    <n v="7243"/>
  </r>
  <r>
    <x v="14"/>
    <x v="0"/>
    <s v="NSW"/>
    <s v="Known gap agreement"/>
    <s v="More than 125% MBS Fee to 150% MBS Fee"/>
    <n v="2038900.05"/>
    <n v="1103503.6200000001"/>
    <n v="821798.25"/>
    <n v="6495"/>
  </r>
  <r>
    <x v="14"/>
    <x v="0"/>
    <s v="NSW"/>
    <s v="Known gap agreement"/>
    <s v="More than 150% MBS Fee to 200% MBS Fee"/>
    <n v="4534669.68"/>
    <n v="2007835.17"/>
    <n v="2004941.03"/>
    <n v="18677"/>
  </r>
  <r>
    <x v="14"/>
    <x v="0"/>
    <s v="NSW"/>
    <s v="Known gap agreement"/>
    <s v="More than 200% MBS Fee"/>
    <n v="7021998.0700000003"/>
    <n v="1849110.87"/>
    <n v="1912810.49"/>
    <n v="19931"/>
  </r>
  <r>
    <x v="14"/>
    <x v="0"/>
    <s v="NSW"/>
    <s v="No gap agreement"/>
    <s v="Up to MBS Fee"/>
    <n v="8840094.5700000003"/>
    <n v="6692228.0999999996"/>
    <n v="2148139.96"/>
    <n v="251920"/>
  </r>
  <r>
    <x v="14"/>
    <x v="0"/>
    <s v="NSW"/>
    <s v="No gap agreement"/>
    <s v="100% MBS Fee to 125% MBS Fee"/>
    <n v="31614240.82"/>
    <n v="20310847.68"/>
    <n v="11303089.73"/>
    <n v="367801"/>
  </r>
  <r>
    <x v="14"/>
    <x v="0"/>
    <s v="NSW"/>
    <s v="No gap agreement"/>
    <s v="More than 125% MBS Fee to 150% MBS Fee"/>
    <n v="60199025.399999999"/>
    <n v="33009135.539999999"/>
    <n v="27189617.170000002"/>
    <n v="245562"/>
  </r>
  <r>
    <x v="14"/>
    <x v="0"/>
    <s v="NSW"/>
    <s v="No gap agreement"/>
    <s v="More than 150% MBS Fee to 200% MBS Fee"/>
    <n v="57746853.979999997"/>
    <n v="26707530.23"/>
    <n v="31039062.420000002"/>
    <n v="355289"/>
  </r>
  <r>
    <x v="14"/>
    <x v="0"/>
    <s v="NSW"/>
    <s v="No gap agreement"/>
    <s v="More than 200% MBS Fee"/>
    <n v="6708254.9000000004"/>
    <n v="1966401.55"/>
    <n v="4741853.2"/>
    <n v="13939"/>
  </r>
  <r>
    <x v="14"/>
    <x v="0"/>
    <s v="VIC"/>
    <s v="No agreement"/>
    <s v="Up to MBS Fee"/>
    <n v="12242844.880000001"/>
    <n v="9195963.8300000001"/>
    <n v="3046597.49"/>
    <n v="163499"/>
  </r>
  <r>
    <x v="14"/>
    <x v="0"/>
    <s v="VIC"/>
    <s v="No agreement"/>
    <s v="100% MBS Fee to 125% MBS Fee"/>
    <n v="2458636.7999999998"/>
    <n v="1636324.12"/>
    <n v="564093.47"/>
    <n v="18236"/>
  </r>
  <r>
    <x v="14"/>
    <x v="0"/>
    <s v="VIC"/>
    <s v="No agreement"/>
    <s v="More than 125% MBS Fee to 150% MBS Fee"/>
    <n v="4016832.72"/>
    <n v="2191351.6"/>
    <n v="1145386.69"/>
    <n v="23331"/>
  </r>
  <r>
    <x v="14"/>
    <x v="0"/>
    <s v="VIC"/>
    <s v="No agreement"/>
    <s v="More than 150% MBS Fee to 200% MBS Fee"/>
    <n v="10334788.27"/>
    <n v="4464178.4400000004"/>
    <n v="3343929.18"/>
    <n v="65805"/>
  </r>
  <r>
    <x v="14"/>
    <x v="0"/>
    <s v="VIC"/>
    <s v="No agreement"/>
    <s v="More than 200% MBS Fee"/>
    <n v="19963650.800000001"/>
    <n v="5216361.84"/>
    <n v="1776238.8"/>
    <n v="53239"/>
  </r>
  <r>
    <x v="14"/>
    <x v="0"/>
    <s v="VIC"/>
    <s v="Known gap agreement"/>
    <s v="100% MBS Fee to 125% MBS Fee"/>
    <n v="2286168.25"/>
    <n v="1523110.2"/>
    <n v="668550.07999999996"/>
    <n v="14441"/>
  </r>
  <r>
    <x v="14"/>
    <x v="0"/>
    <s v="VIC"/>
    <s v="Known gap agreement"/>
    <s v="More than 125% MBS Fee to 150% MBS Fee"/>
    <n v="4896784.07"/>
    <n v="2666925.44"/>
    <n v="1877881.69"/>
    <n v="16268"/>
  </r>
  <r>
    <x v="14"/>
    <x v="0"/>
    <s v="VIC"/>
    <s v="Known gap agreement"/>
    <s v="More than 150% MBS Fee to 200% MBS Fee"/>
    <n v="8985553.3900000006"/>
    <n v="3928088.25"/>
    <n v="3710509.4"/>
    <n v="39572"/>
  </r>
  <r>
    <x v="14"/>
    <x v="0"/>
    <s v="VIC"/>
    <s v="Known gap agreement"/>
    <s v="More than 200% MBS Fee"/>
    <n v="11363720.869999999"/>
    <n v="3125667.13"/>
    <n v="3157412.14"/>
    <n v="37773"/>
  </r>
  <r>
    <x v="14"/>
    <x v="0"/>
    <s v="VIC"/>
    <s v="No gap agreement"/>
    <s v="Up to MBS Fee"/>
    <n v="8776944.6600000001"/>
    <n v="6627452.4299999997"/>
    <n v="2149406.98"/>
    <n v="182358"/>
  </r>
  <r>
    <x v="14"/>
    <x v="0"/>
    <s v="VIC"/>
    <s v="No gap agreement"/>
    <s v="100% MBS Fee to 125% MBS Fee"/>
    <n v="33884294.469999999"/>
    <n v="21818272.649999999"/>
    <n v="12065789.65"/>
    <n v="372830"/>
  </r>
  <r>
    <x v="14"/>
    <x v="0"/>
    <s v="VIC"/>
    <s v="No gap agreement"/>
    <s v="More than 125% MBS Fee to 150% MBS Fee"/>
    <n v="67263245.920000002"/>
    <n v="37035529.350000001"/>
    <n v="30227592.600000001"/>
    <n v="400947"/>
  </r>
  <r>
    <x v="14"/>
    <x v="0"/>
    <s v="VIC"/>
    <s v="No gap agreement"/>
    <s v="More than 150% MBS Fee to 200% MBS Fee"/>
    <n v="60133788.710000001"/>
    <n v="27552390.969999999"/>
    <n v="32581126.559999999"/>
    <n v="323699"/>
  </r>
  <r>
    <x v="14"/>
    <x v="0"/>
    <s v="VIC"/>
    <s v="No gap agreement"/>
    <s v="More than 200% MBS Fee"/>
    <n v="3686491.08"/>
    <n v="1036379.02"/>
    <n v="2650112.06"/>
    <n v="5213"/>
  </r>
  <r>
    <x v="14"/>
    <x v="0"/>
    <s v="QLD"/>
    <s v="No agreement"/>
    <s v="Up to MBS Fee"/>
    <n v="7640993.4000000004"/>
    <n v="5751177.5199999996"/>
    <n v="1887320.65"/>
    <n v="96961"/>
  </r>
  <r>
    <x v="14"/>
    <x v="0"/>
    <s v="QLD"/>
    <s v="No agreement"/>
    <s v="100% MBS Fee to 125% MBS Fee"/>
    <n v="2291608.79"/>
    <n v="1522522.32"/>
    <n v="512594.52"/>
    <n v="14303"/>
  </r>
  <r>
    <x v="14"/>
    <x v="0"/>
    <s v="QLD"/>
    <s v="No agreement"/>
    <s v="More than 125% MBS Fee to 150% MBS Fee"/>
    <n v="3589626.07"/>
    <n v="1943644.75"/>
    <n v="674465.21"/>
    <n v="19108"/>
  </r>
  <r>
    <x v="14"/>
    <x v="0"/>
    <s v="QLD"/>
    <s v="No agreement"/>
    <s v="More than 150% MBS Fee to 200% MBS Fee"/>
    <n v="9271992"/>
    <n v="3948665.28"/>
    <n v="1522587.11"/>
    <n v="42613"/>
  </r>
  <r>
    <x v="14"/>
    <x v="0"/>
    <s v="QLD"/>
    <s v="No agreement"/>
    <s v="More than 200% MBS Fee"/>
    <n v="38731854.939999998"/>
    <n v="10443547.109999999"/>
    <n v="3491812.44"/>
    <n v="115515"/>
  </r>
  <r>
    <x v="14"/>
    <x v="0"/>
    <s v="QLD"/>
    <s v="Known gap agreement"/>
    <s v="100% MBS Fee to 125% MBS Fee"/>
    <n v="681643.77"/>
    <n v="442078.04"/>
    <n v="190805.33"/>
    <n v="3763"/>
  </r>
  <r>
    <x v="14"/>
    <x v="0"/>
    <s v="QLD"/>
    <s v="Known gap agreement"/>
    <s v="More than 125% MBS Fee to 150% MBS Fee"/>
    <n v="1694306.67"/>
    <n v="920260.7"/>
    <n v="658324.57999999996"/>
    <n v="8721"/>
  </r>
  <r>
    <x v="14"/>
    <x v="0"/>
    <s v="QLD"/>
    <s v="Known gap agreement"/>
    <s v="More than 150% MBS Fee to 200% MBS Fee"/>
    <n v="4165293.68"/>
    <n v="1778685.91"/>
    <n v="1691356.95"/>
    <n v="10981"/>
  </r>
  <r>
    <x v="14"/>
    <x v="0"/>
    <s v="QLD"/>
    <s v="Known gap agreement"/>
    <s v="More than 200% MBS Fee"/>
    <n v="9029679.7799999993"/>
    <n v="2442782.38"/>
    <n v="2590028.14"/>
    <n v="26924"/>
  </r>
  <r>
    <x v="14"/>
    <x v="0"/>
    <s v="QLD"/>
    <s v="No gap agreement"/>
    <s v="Up to MBS Fee"/>
    <n v="3101328"/>
    <n v="2352701.5"/>
    <n v="748653.75"/>
    <n v="58700"/>
  </r>
  <r>
    <x v="14"/>
    <x v="0"/>
    <s v="QLD"/>
    <s v="No gap agreement"/>
    <s v="100% MBS Fee to 125% MBS Fee"/>
    <n v="30529169.120000001"/>
    <n v="19599722.859999999"/>
    <n v="10929129.220000001"/>
    <n v="410281"/>
  </r>
  <r>
    <x v="14"/>
    <x v="0"/>
    <s v="QLD"/>
    <s v="No gap agreement"/>
    <s v="More than 125% MBS Fee to 150% MBS Fee"/>
    <n v="49256368.329999998"/>
    <n v="27224340.170000002"/>
    <n v="22031525.859999999"/>
    <n v="246531"/>
  </r>
  <r>
    <x v="14"/>
    <x v="0"/>
    <s v="QLD"/>
    <s v="No gap agreement"/>
    <s v="More than 150% MBS Fee to 200% MBS Fee"/>
    <n v="41836417.990000002"/>
    <n v="19523670.530000001"/>
    <n v="22312629.539999999"/>
    <n v="261569"/>
  </r>
  <r>
    <x v="14"/>
    <x v="0"/>
    <s v="QLD"/>
    <s v="No gap agreement"/>
    <s v="More than 200% MBS Fee"/>
    <n v="4783801.8099999996"/>
    <n v="1328845.8999999999"/>
    <n v="3454956.11"/>
    <n v="5664"/>
  </r>
  <r>
    <x v="14"/>
    <x v="0"/>
    <s v="SA"/>
    <s v="No agreement"/>
    <s v="Up to MBS Fee"/>
    <n v="2647776.69"/>
    <n v="1989062.81"/>
    <n v="658688.63"/>
    <n v="55739"/>
  </r>
  <r>
    <x v="14"/>
    <x v="0"/>
    <s v="SA"/>
    <s v="No agreement"/>
    <s v="100% MBS Fee to 125% MBS Fee"/>
    <n v="586795.72"/>
    <n v="397900.54"/>
    <n v="153890.91"/>
    <n v="4454"/>
  </r>
  <r>
    <x v="14"/>
    <x v="0"/>
    <s v="SA"/>
    <s v="No agreement"/>
    <s v="More than 125% MBS Fee to 150% MBS Fee"/>
    <n v="1566990.17"/>
    <n v="848407.73"/>
    <n v="542685.38"/>
    <n v="9014"/>
  </r>
  <r>
    <x v="14"/>
    <x v="0"/>
    <s v="SA"/>
    <s v="No agreement"/>
    <s v="More than 150% MBS Fee to 200% MBS Fee"/>
    <n v="5272082.37"/>
    <n v="2281862.2599999998"/>
    <n v="2772090.36"/>
    <n v="43305"/>
  </r>
  <r>
    <x v="14"/>
    <x v="0"/>
    <s v="SA"/>
    <s v="No agreement"/>
    <s v="More than 200% MBS Fee"/>
    <n v="1784304.17"/>
    <n v="481583.73"/>
    <n v="233244.71"/>
    <n v="7096"/>
  </r>
  <r>
    <x v="14"/>
    <x v="0"/>
    <s v="SA"/>
    <s v="Known gap agreement"/>
    <s v="100% MBS Fee to 125% MBS Fee"/>
    <n v="1787928.53"/>
    <n v="1175624.95"/>
    <n v="568975.81000000006"/>
    <n v="15123"/>
  </r>
  <r>
    <x v="14"/>
    <x v="0"/>
    <s v="SA"/>
    <s v="Known gap agreement"/>
    <s v="More than 125% MBS Fee to 150% MBS Fee"/>
    <n v="2827496.09"/>
    <n v="1540879.7"/>
    <n v="1180106.73"/>
    <n v="11323"/>
  </r>
  <r>
    <x v="14"/>
    <x v="0"/>
    <s v="SA"/>
    <s v="Known gap agreement"/>
    <s v="More than 150% MBS Fee to 200% MBS Fee"/>
    <n v="3049790.07"/>
    <n v="1392667.35"/>
    <n v="1461309.93"/>
    <n v="13299"/>
  </r>
  <r>
    <x v="14"/>
    <x v="0"/>
    <s v="SA"/>
    <s v="Known gap agreement"/>
    <s v="More than 200% MBS Fee"/>
    <n v="1810712.79"/>
    <n v="505712.24"/>
    <n v="569619.53"/>
    <n v="4205"/>
  </r>
  <r>
    <x v="14"/>
    <x v="0"/>
    <s v="SA"/>
    <s v="No gap agreement"/>
    <s v="Up to MBS Fee"/>
    <n v="2435503.77"/>
    <n v="1830769.82"/>
    <n v="604770.65"/>
    <n v="21116"/>
  </r>
  <r>
    <x v="14"/>
    <x v="0"/>
    <s v="SA"/>
    <s v="No gap agreement"/>
    <s v="100% MBS Fee to 125% MBS Fee"/>
    <n v="8991117.7400000002"/>
    <n v="5939984.5499999998"/>
    <n v="3051025.24"/>
    <n v="133053"/>
  </r>
  <r>
    <x v="14"/>
    <x v="0"/>
    <s v="SA"/>
    <s v="No gap agreement"/>
    <s v="More than 125% MBS Fee to 150% MBS Fee"/>
    <n v="17478910.859999999"/>
    <n v="9507972.7699999996"/>
    <n v="7970844.46"/>
    <n v="88213"/>
  </r>
  <r>
    <x v="14"/>
    <x v="0"/>
    <s v="SA"/>
    <s v="No gap agreement"/>
    <s v="More than 150% MBS Fee to 200% MBS Fee"/>
    <n v="22190606.43"/>
    <n v="10200134.02"/>
    <n v="11990433.369999999"/>
    <n v="88932"/>
  </r>
  <r>
    <x v="14"/>
    <x v="0"/>
    <s v="SA"/>
    <s v="No gap agreement"/>
    <s v="More than 200% MBS Fee"/>
    <n v="1356050.12"/>
    <n v="363439.84"/>
    <n v="992610.28"/>
    <n v="1567"/>
  </r>
  <r>
    <x v="14"/>
    <x v="0"/>
    <s v="WA"/>
    <s v="No agreement"/>
    <s v="Up to MBS Fee"/>
    <n v="1598703.61"/>
    <n v="1203459.02"/>
    <n v="395244.79"/>
    <n v="36568"/>
  </r>
  <r>
    <x v="14"/>
    <x v="0"/>
    <s v="WA"/>
    <s v="No agreement"/>
    <s v="100% MBS Fee to 125% MBS Fee"/>
    <n v="472098.61"/>
    <n v="306940.77"/>
    <n v="106115.8"/>
    <n v="3499"/>
  </r>
  <r>
    <x v="14"/>
    <x v="0"/>
    <s v="WA"/>
    <s v="No agreement"/>
    <s v="More than 125% MBS Fee to 150% MBS Fee"/>
    <n v="1361264.6399999999"/>
    <n v="738767.52"/>
    <n v="250115.4"/>
    <n v="9129"/>
  </r>
  <r>
    <x v="14"/>
    <x v="0"/>
    <s v="WA"/>
    <s v="No agreement"/>
    <s v="More than 150% MBS Fee to 200% MBS Fee"/>
    <n v="2903085.5"/>
    <n v="1235655.95"/>
    <n v="420719.31"/>
    <n v="16571"/>
  </r>
  <r>
    <x v="14"/>
    <x v="0"/>
    <s v="WA"/>
    <s v="No agreement"/>
    <s v="More than 200% MBS Fee"/>
    <n v="5946244.8200000003"/>
    <n v="1486385.17"/>
    <n v="498008.74"/>
    <n v="15914"/>
  </r>
  <r>
    <x v="14"/>
    <x v="0"/>
    <s v="WA"/>
    <s v="Known gap agreement"/>
    <s v="100% MBS Fee to 125% MBS Fee"/>
    <n v="1758168.77"/>
    <n v="1185815.71"/>
    <n v="545132.27"/>
    <n v="10483"/>
  </r>
  <r>
    <x v="14"/>
    <x v="0"/>
    <s v="WA"/>
    <s v="Known gap agreement"/>
    <s v="More than 125% MBS Fee to 150% MBS Fee"/>
    <n v="3887954.76"/>
    <n v="2082897.65"/>
    <n v="1517906.22"/>
    <n v="18601"/>
  </r>
  <r>
    <x v="14"/>
    <x v="0"/>
    <s v="WA"/>
    <s v="Known gap agreement"/>
    <s v="More than 150% MBS Fee to 200% MBS Fee"/>
    <n v="6467369.9800000004"/>
    <n v="2804075.54"/>
    <n v="2181283.62"/>
    <n v="23486"/>
  </r>
  <r>
    <x v="14"/>
    <x v="0"/>
    <s v="WA"/>
    <s v="Known gap agreement"/>
    <s v="More than 200% MBS Fee"/>
    <n v="10521106.48"/>
    <n v="2790076.95"/>
    <n v="2026078.2"/>
    <n v="20432"/>
  </r>
  <r>
    <x v="14"/>
    <x v="0"/>
    <s v="WA"/>
    <s v="No gap agreement"/>
    <s v="Up to MBS Fee"/>
    <n v="811436.87"/>
    <n v="619617.47"/>
    <n v="191819.4"/>
    <n v="8990"/>
  </r>
  <r>
    <x v="14"/>
    <x v="0"/>
    <s v="WA"/>
    <s v="No gap agreement"/>
    <s v="100% MBS Fee to 125% MBS Fee"/>
    <n v="8327285.4500000002"/>
    <n v="5256682.55"/>
    <n v="3070583.64"/>
    <n v="85708"/>
  </r>
  <r>
    <x v="14"/>
    <x v="0"/>
    <s v="WA"/>
    <s v="No gap agreement"/>
    <s v="More than 125% MBS Fee to 150% MBS Fee"/>
    <n v="23862192.579999998"/>
    <n v="13099859.98"/>
    <n v="10762317.449999999"/>
    <n v="145783"/>
  </r>
  <r>
    <x v="14"/>
    <x v="0"/>
    <s v="WA"/>
    <s v="No gap agreement"/>
    <s v="More than 150% MBS Fee to 200% MBS Fee"/>
    <n v="24505595.140000001"/>
    <n v="10778175.73"/>
    <n v="13727410.029999999"/>
    <n v="133906"/>
  </r>
  <r>
    <x v="14"/>
    <x v="0"/>
    <s v="WA"/>
    <s v="No gap agreement"/>
    <s v="More than 200% MBS Fee"/>
    <n v="2666579.2000000002"/>
    <n v="613083"/>
    <n v="2053496.2"/>
    <n v="1847"/>
  </r>
  <r>
    <x v="14"/>
    <x v="0"/>
    <s v="TAS"/>
    <s v="No agreement"/>
    <s v="Up to MBS Fee"/>
    <n v="1073835.17"/>
    <n v="807621.06"/>
    <n v="265941.15999999997"/>
    <n v="15850"/>
  </r>
  <r>
    <x v="14"/>
    <x v="0"/>
    <s v="TAS"/>
    <s v="No agreement"/>
    <s v="100% MBS Fee to 125% MBS Fee"/>
    <n v="243429.26"/>
    <n v="165136.37"/>
    <n v="55303.87"/>
    <n v="1765"/>
  </r>
  <r>
    <x v="14"/>
    <x v="0"/>
    <s v="TAS"/>
    <s v="No agreement"/>
    <s v="More than 125% MBS Fee to 150% MBS Fee"/>
    <n v="256785.42"/>
    <n v="139365.22"/>
    <n v="51691.11"/>
    <n v="902"/>
  </r>
  <r>
    <x v="14"/>
    <x v="0"/>
    <s v="TAS"/>
    <s v="No agreement"/>
    <s v="More than 150% MBS Fee to 200% MBS Fee"/>
    <n v="637182.05000000005"/>
    <n v="271686.01"/>
    <n v="115084.5"/>
    <n v="2928"/>
  </r>
  <r>
    <x v="14"/>
    <x v="0"/>
    <s v="TAS"/>
    <s v="No agreement"/>
    <s v="More than 200% MBS Fee"/>
    <n v="2617327.81"/>
    <n v="654483.69999999995"/>
    <n v="227573.79"/>
    <n v="5535"/>
  </r>
  <r>
    <x v="14"/>
    <x v="0"/>
    <s v="TAS"/>
    <s v="Known gap agreement"/>
    <s v="100% MBS Fee to 125% MBS Fee"/>
    <n v="72485.179999999993"/>
    <n v="49107.3"/>
    <n v="19578.759999999998"/>
    <n v="452"/>
  </r>
  <r>
    <x v="14"/>
    <x v="0"/>
    <s v="TAS"/>
    <s v="Known gap agreement"/>
    <s v="More than 125% MBS Fee to 150% MBS Fee"/>
    <n v="184497.05"/>
    <n v="99435.75"/>
    <n v="76295.77"/>
    <n v="582"/>
  </r>
  <r>
    <x v="14"/>
    <x v="0"/>
    <s v="TAS"/>
    <s v="Known gap agreement"/>
    <s v="More than 150% MBS Fee to 200% MBS Fee"/>
    <n v="613170.18999999994"/>
    <n v="264198.90000000002"/>
    <n v="267711.45"/>
    <n v="1627"/>
  </r>
  <r>
    <x v="14"/>
    <x v="0"/>
    <s v="TAS"/>
    <s v="Known gap agreement"/>
    <s v="More than 200% MBS Fee"/>
    <n v="1121725.27"/>
    <n v="332356.15000000002"/>
    <n v="378408.88"/>
    <n v="3928"/>
  </r>
  <r>
    <x v="14"/>
    <x v="0"/>
    <s v="TAS"/>
    <s v="No gap agreement"/>
    <s v="Up to MBS Fee"/>
    <n v="515442.02"/>
    <n v="391277.8"/>
    <n v="124202.22"/>
    <n v="8403"/>
  </r>
  <r>
    <x v="14"/>
    <x v="0"/>
    <s v="TAS"/>
    <s v="No gap agreement"/>
    <s v="100% MBS Fee to 125% MBS Fee"/>
    <n v="3157515.05"/>
    <n v="2036428.57"/>
    <n v="1121083.76"/>
    <n v="36068"/>
  </r>
  <r>
    <x v="14"/>
    <x v="0"/>
    <s v="TAS"/>
    <s v="No gap agreement"/>
    <s v="More than 125% MBS Fee to 150% MBS Fee"/>
    <n v="5116504.45"/>
    <n v="2799170.48"/>
    <n v="2317332.56"/>
    <n v="17264"/>
  </r>
  <r>
    <x v="14"/>
    <x v="0"/>
    <s v="TAS"/>
    <s v="No gap agreement"/>
    <s v="More than 150% MBS Fee to 200% MBS Fee"/>
    <n v="5296198.0599999996"/>
    <n v="2448875.63"/>
    <n v="2847318.26"/>
    <n v="31449"/>
  </r>
  <r>
    <x v="14"/>
    <x v="0"/>
    <s v="TAS"/>
    <s v="No gap agreement"/>
    <s v="More than 200% MBS Fee"/>
    <n v="450780.04"/>
    <n v="126078.97"/>
    <n v="324701.07"/>
    <n v="390"/>
  </r>
  <r>
    <x v="14"/>
    <x v="0"/>
    <s v="ACT"/>
    <s v="No agreement"/>
    <s v="Up to MBS Fee"/>
    <n v="668482.59"/>
    <n v="503199.64"/>
    <n v="165140.35"/>
    <n v="7437"/>
  </r>
  <r>
    <x v="14"/>
    <x v="0"/>
    <s v="ACT"/>
    <s v="No agreement"/>
    <s v="100% MBS Fee to 125% MBS Fee"/>
    <n v="168791.93"/>
    <n v="111061.55"/>
    <n v="37000.57"/>
    <n v="1009"/>
  </r>
  <r>
    <x v="14"/>
    <x v="0"/>
    <s v="ACT"/>
    <s v="No agreement"/>
    <s v="More than 125% MBS Fee to 150% MBS Fee"/>
    <n v="189270.81"/>
    <n v="102490.97"/>
    <n v="34301.85"/>
    <n v="573"/>
  </r>
  <r>
    <x v="14"/>
    <x v="0"/>
    <s v="ACT"/>
    <s v="No agreement"/>
    <s v="More than 150% MBS Fee to 200% MBS Fee"/>
    <n v="720682.18"/>
    <n v="301048.46000000002"/>
    <n v="102200.93"/>
    <n v="2370"/>
  </r>
  <r>
    <x v="14"/>
    <x v="0"/>
    <s v="ACT"/>
    <s v="No agreement"/>
    <s v="More than 200% MBS Fee"/>
    <n v="5820881.1500000004"/>
    <n v="1489644.3"/>
    <n v="498382.79"/>
    <n v="10555"/>
  </r>
  <r>
    <x v="14"/>
    <x v="0"/>
    <s v="ACT"/>
    <s v="Known gap agreement"/>
    <s v="100% MBS Fee to 125% MBS Fee"/>
    <n v="24945.84"/>
    <n v="16518.650000000001"/>
    <n v="7127.78"/>
    <n v="163"/>
  </r>
  <r>
    <x v="14"/>
    <x v="0"/>
    <s v="ACT"/>
    <s v="Known gap agreement"/>
    <s v="More than 125% MBS Fee to 150% MBS Fee"/>
    <n v="90812.5"/>
    <n v="48147.4"/>
    <n v="36439.4"/>
    <n v="206"/>
  </r>
  <r>
    <x v="14"/>
    <x v="0"/>
    <s v="ACT"/>
    <s v="Known gap agreement"/>
    <s v="More than 150% MBS Fee to 200% MBS Fee"/>
    <n v="371739.84"/>
    <n v="155310.65"/>
    <n v="135528.28"/>
    <n v="825"/>
  </r>
  <r>
    <x v="14"/>
    <x v="0"/>
    <s v="ACT"/>
    <s v="Known gap agreement"/>
    <s v="More than 200% MBS Fee"/>
    <n v="600825.23"/>
    <n v="159070.04999999999"/>
    <n v="159365.29999999999"/>
    <n v="1573"/>
  </r>
  <r>
    <x v="14"/>
    <x v="0"/>
    <s v="ACT"/>
    <s v="No gap agreement"/>
    <s v="Up to MBS Fee"/>
    <n v="191623.37"/>
    <n v="145527.22"/>
    <n v="46108.15"/>
    <n v="6842"/>
  </r>
  <r>
    <x v="14"/>
    <x v="0"/>
    <s v="ACT"/>
    <s v="No gap agreement"/>
    <s v="100% MBS Fee to 125% MBS Fee"/>
    <n v="1015176.59"/>
    <n v="659238.31999999995"/>
    <n v="355924.25"/>
    <n v="15338"/>
  </r>
  <r>
    <x v="14"/>
    <x v="0"/>
    <s v="ACT"/>
    <s v="No gap agreement"/>
    <s v="More than 125% MBS Fee to 150% MBS Fee"/>
    <n v="1768074.7"/>
    <n v="963805.82"/>
    <n v="804243.73"/>
    <n v="6659"/>
  </r>
  <r>
    <x v="14"/>
    <x v="0"/>
    <s v="ACT"/>
    <s v="No gap agreement"/>
    <s v="More than 150% MBS Fee to 200% MBS Fee"/>
    <n v="1692946.63"/>
    <n v="783398.33"/>
    <n v="909543.92"/>
    <n v="11906"/>
  </r>
  <r>
    <x v="14"/>
    <x v="0"/>
    <s v="ACT"/>
    <s v="No gap agreement"/>
    <s v="More than 200% MBS Fee"/>
    <n v="357907.94"/>
    <n v="104414.04"/>
    <n v="253493.9"/>
    <n v="498"/>
  </r>
  <r>
    <x v="14"/>
    <x v="0"/>
    <s v="NT"/>
    <s v="No agreement"/>
    <s v="Up to MBS Fee"/>
    <n v="241543.81"/>
    <n v="181380.29"/>
    <n v="60163.519999999997"/>
    <n v="2025"/>
  </r>
  <r>
    <x v="14"/>
    <x v="0"/>
    <s v="NT"/>
    <s v="No agreement"/>
    <s v="100% MBS Fee to 125% MBS Fee"/>
    <n v="49607.48"/>
    <n v="31931.78"/>
    <n v="11210.95"/>
    <n v="148"/>
  </r>
  <r>
    <x v="14"/>
    <x v="0"/>
    <s v="NT"/>
    <s v="No agreement"/>
    <s v="More than 125% MBS Fee to 150% MBS Fee"/>
    <n v="45741.88"/>
    <n v="24440.799999999999"/>
    <n v="8202.85"/>
    <n v="233"/>
  </r>
  <r>
    <x v="14"/>
    <x v="0"/>
    <s v="NT"/>
    <s v="No agreement"/>
    <s v="More than 150% MBS Fee to 200% MBS Fee"/>
    <n v="162225.37"/>
    <n v="68753.36"/>
    <n v="29551.53"/>
    <n v="757"/>
  </r>
  <r>
    <x v="14"/>
    <x v="0"/>
    <s v="NT"/>
    <s v="No agreement"/>
    <s v="More than 200% MBS Fee"/>
    <n v="874246.31"/>
    <n v="233240.59"/>
    <n v="77757.38"/>
    <n v="1938"/>
  </r>
  <r>
    <x v="14"/>
    <x v="0"/>
    <s v="NT"/>
    <s v="Known gap agreement"/>
    <s v="100% MBS Fee to 125% MBS Fee"/>
    <n v="12731.47"/>
    <n v="8473.25"/>
    <n v="3548.36"/>
    <n v="98"/>
  </r>
  <r>
    <x v="14"/>
    <x v="0"/>
    <s v="NT"/>
    <s v="Known gap agreement"/>
    <s v="More than 125% MBS Fee to 150% MBS Fee"/>
    <n v="32555.68"/>
    <n v="17327.2"/>
    <n v="13044.54"/>
    <n v="134"/>
  </r>
  <r>
    <x v="14"/>
    <x v="0"/>
    <s v="NT"/>
    <s v="Known gap agreement"/>
    <s v="More than 150% MBS Fee to 200% MBS Fee"/>
    <n v="53144.28"/>
    <n v="22807.94"/>
    <n v="21250.22"/>
    <n v="157"/>
  </r>
  <r>
    <x v="14"/>
    <x v="0"/>
    <s v="NT"/>
    <s v="Known gap agreement"/>
    <s v="More than 200% MBS Fee"/>
    <n v="247998.53"/>
    <n v="60728.18"/>
    <n v="65174.55"/>
    <n v="673"/>
  </r>
  <r>
    <x v="14"/>
    <x v="0"/>
    <s v="NT"/>
    <s v="No gap agreement"/>
    <s v="Up to MBS Fee"/>
    <n v="87267.79"/>
    <n v="66470.05"/>
    <n v="20797.740000000002"/>
    <n v="667"/>
  </r>
  <r>
    <x v="14"/>
    <x v="0"/>
    <s v="NT"/>
    <s v="No gap agreement"/>
    <s v="100% MBS Fee to 125% MBS Fee"/>
    <n v="283433.75"/>
    <n v="183424.5"/>
    <n v="100008.51"/>
    <n v="3658"/>
  </r>
  <r>
    <x v="14"/>
    <x v="0"/>
    <s v="NT"/>
    <s v="No gap agreement"/>
    <s v="More than 125% MBS Fee to 150% MBS Fee"/>
    <n v="835179.67"/>
    <n v="451194"/>
    <n v="383972.41"/>
    <n v="2688"/>
  </r>
  <r>
    <x v="14"/>
    <x v="0"/>
    <s v="NT"/>
    <s v="No gap agreement"/>
    <s v="More than 150% MBS Fee to 200% MBS Fee"/>
    <n v="945580.77"/>
    <n v="434137.85"/>
    <n v="511438.54"/>
    <n v="5066"/>
  </r>
  <r>
    <x v="14"/>
    <x v="0"/>
    <s v="NT"/>
    <s v="No gap agreement"/>
    <s v="More than 200% MBS Fee"/>
    <n v="59932.7"/>
    <n v="17843.95"/>
    <n v="42088.75"/>
    <n v="97"/>
  </r>
  <r>
    <x v="14"/>
    <x v="2"/>
    <s v="NSW"/>
    <s v="No agreement"/>
    <s v="Up to MBS Fee"/>
    <n v="29911398.109999999"/>
    <n v="22531183.800000001"/>
    <n v="7374078.9100000001"/>
    <n v="534345"/>
  </r>
  <r>
    <x v="14"/>
    <x v="2"/>
    <s v="NSW"/>
    <s v="No agreement"/>
    <s v="100% MBS Fee to 125% MBS Fee"/>
    <n v="3747813.03"/>
    <n v="2491739.5299999998"/>
    <n v="916329.39"/>
    <n v="21294"/>
  </r>
  <r>
    <x v="14"/>
    <x v="2"/>
    <s v="NSW"/>
    <s v="No agreement"/>
    <s v="More than 125% MBS Fee to 150% MBS Fee"/>
    <n v="5325417"/>
    <n v="2869864.13"/>
    <n v="1203818.56"/>
    <n v="41771"/>
  </r>
  <r>
    <x v="14"/>
    <x v="2"/>
    <s v="NSW"/>
    <s v="No agreement"/>
    <s v="More than 150% MBS Fee to 200% MBS Fee"/>
    <n v="16745976.939999999"/>
    <n v="7150905.1900000004"/>
    <n v="3191577.85"/>
    <n v="69669"/>
  </r>
  <r>
    <x v="14"/>
    <x v="2"/>
    <s v="NSW"/>
    <s v="No agreement"/>
    <s v="More than 200% MBS Fee"/>
    <n v="85736021.629999995"/>
    <n v="22135916.620000001"/>
    <n v="7476975.2999999998"/>
    <n v="162762"/>
  </r>
  <r>
    <x v="14"/>
    <x v="2"/>
    <s v="NSW"/>
    <s v="Known gap agreement"/>
    <s v="100% MBS Fee to 125% MBS Fee"/>
    <n v="977981.37"/>
    <n v="650879.25"/>
    <n v="289564.88"/>
    <n v="6894"/>
  </r>
  <r>
    <x v="14"/>
    <x v="2"/>
    <s v="NSW"/>
    <s v="Known gap agreement"/>
    <s v="More than 125% MBS Fee to 150% MBS Fee"/>
    <n v="2072236.58"/>
    <n v="1122138.83"/>
    <n v="826945.15"/>
    <n v="6331"/>
  </r>
  <r>
    <x v="14"/>
    <x v="2"/>
    <s v="NSW"/>
    <s v="Known gap agreement"/>
    <s v="More than 150% MBS Fee to 200% MBS Fee"/>
    <n v="4492672.01"/>
    <n v="1973772.72"/>
    <n v="1931520.25"/>
    <n v="17252"/>
  </r>
  <r>
    <x v="14"/>
    <x v="2"/>
    <s v="NSW"/>
    <s v="Known gap agreement"/>
    <s v="More than 200% MBS Fee"/>
    <n v="7279338.6399999997"/>
    <n v="1880295.64"/>
    <n v="1984434.46"/>
    <n v="18478"/>
  </r>
  <r>
    <x v="14"/>
    <x v="2"/>
    <s v="NSW"/>
    <s v="No gap agreement"/>
    <s v="Up to MBS Fee"/>
    <n v="7378723.29"/>
    <n v="5578380.6699999999"/>
    <n v="1801747.81"/>
    <n v="221521"/>
  </r>
  <r>
    <x v="14"/>
    <x v="2"/>
    <s v="NSW"/>
    <s v="No gap agreement"/>
    <s v="100% MBS Fee to 125% MBS Fee"/>
    <n v="33860299.039999999"/>
    <n v="21682661.68"/>
    <n v="12177463.939999999"/>
    <n v="418400"/>
  </r>
  <r>
    <x v="14"/>
    <x v="2"/>
    <s v="NSW"/>
    <s v="No gap agreement"/>
    <s v="More than 125% MBS Fee to 150% MBS Fee"/>
    <n v="59669454.859999999"/>
    <n v="32647340.739999998"/>
    <n v="27021910.84"/>
    <n v="239097"/>
  </r>
  <r>
    <x v="14"/>
    <x v="2"/>
    <s v="NSW"/>
    <s v="No gap agreement"/>
    <s v="More than 150% MBS Fee to 200% MBS Fee"/>
    <n v="53600219.850000001"/>
    <n v="24767166.969999999"/>
    <n v="28832883.289999999"/>
    <n v="321891"/>
  </r>
  <r>
    <x v="14"/>
    <x v="2"/>
    <s v="NSW"/>
    <s v="No gap agreement"/>
    <s v="More than 200% MBS Fee"/>
    <n v="5420755.4900000002"/>
    <n v="1568534.59"/>
    <n v="3852220.64"/>
    <n v="5435"/>
  </r>
  <r>
    <x v="14"/>
    <x v="2"/>
    <s v="VIC"/>
    <s v="No agreement"/>
    <s v="Up to MBS Fee"/>
    <n v="21217650.75"/>
    <n v="15941466.43"/>
    <n v="5275359.4000000004"/>
    <n v="184365"/>
  </r>
  <r>
    <x v="14"/>
    <x v="2"/>
    <s v="VIC"/>
    <s v="No agreement"/>
    <s v="100% MBS Fee to 125% MBS Fee"/>
    <n v="2819609.8"/>
    <n v="1870242.44"/>
    <n v="708037.42"/>
    <n v="21051"/>
  </r>
  <r>
    <x v="14"/>
    <x v="2"/>
    <s v="VIC"/>
    <s v="No agreement"/>
    <s v="More than 125% MBS Fee to 150% MBS Fee"/>
    <n v="3342943.11"/>
    <n v="1826857.11"/>
    <n v="901531.33"/>
    <n v="21337"/>
  </r>
  <r>
    <x v="14"/>
    <x v="2"/>
    <s v="VIC"/>
    <s v="No agreement"/>
    <s v="More than 150% MBS Fee to 200% MBS Fee"/>
    <n v="7200384.6900000004"/>
    <n v="3101679.77"/>
    <n v="1675939.29"/>
    <n v="50014"/>
  </r>
  <r>
    <x v="14"/>
    <x v="2"/>
    <s v="VIC"/>
    <s v="No agreement"/>
    <s v="More than 200% MBS Fee"/>
    <n v="17039299.25"/>
    <n v="4506259.53"/>
    <n v="1508242.74"/>
    <n v="42401"/>
  </r>
  <r>
    <x v="14"/>
    <x v="2"/>
    <s v="VIC"/>
    <s v="Known gap agreement"/>
    <s v="100% MBS Fee to 125% MBS Fee"/>
    <n v="1545999.05"/>
    <n v="1034525.97"/>
    <n v="424830.26"/>
    <n v="8413"/>
  </r>
  <r>
    <x v="14"/>
    <x v="2"/>
    <s v="VIC"/>
    <s v="Known gap agreement"/>
    <s v="More than 125% MBS Fee to 150% MBS Fee"/>
    <n v="3688330.52"/>
    <n v="2005999.69"/>
    <n v="1365168.39"/>
    <n v="12684"/>
  </r>
  <r>
    <x v="14"/>
    <x v="2"/>
    <s v="VIC"/>
    <s v="Known gap agreement"/>
    <s v="More than 150% MBS Fee to 200% MBS Fee"/>
    <n v="6854718.7999999998"/>
    <n v="2972673.21"/>
    <n v="2623072.6800000002"/>
    <n v="24198"/>
  </r>
  <r>
    <x v="14"/>
    <x v="2"/>
    <s v="VIC"/>
    <s v="Known gap agreement"/>
    <s v="More than 200% MBS Fee"/>
    <n v="9381596.4299999997"/>
    <n v="2634883.2999999998"/>
    <n v="2632858.19"/>
    <n v="27750"/>
  </r>
  <r>
    <x v="14"/>
    <x v="2"/>
    <s v="VIC"/>
    <s v="No gap agreement"/>
    <s v="Up to MBS Fee"/>
    <n v="8242734.4000000004"/>
    <n v="6210662"/>
    <n v="2032068.9"/>
    <n v="173790"/>
  </r>
  <r>
    <x v="14"/>
    <x v="2"/>
    <s v="VIC"/>
    <s v="No gap agreement"/>
    <s v="100% MBS Fee to 125% MBS Fee"/>
    <n v="33576888.200000003"/>
    <n v="21610828.850000001"/>
    <n v="11965995.619999999"/>
    <n v="384979"/>
  </r>
  <r>
    <x v="14"/>
    <x v="2"/>
    <s v="VIC"/>
    <s v="No gap agreement"/>
    <s v="More than 125% MBS Fee to 150% MBS Fee"/>
    <n v="59677619.060000002"/>
    <n v="32888915.420000002"/>
    <n v="26788660.789999999"/>
    <n v="356513"/>
  </r>
  <r>
    <x v="14"/>
    <x v="2"/>
    <s v="VIC"/>
    <s v="No gap agreement"/>
    <s v="More than 150% MBS Fee to 200% MBS Fee"/>
    <n v="54863206.399999999"/>
    <n v="25132778.190000001"/>
    <n v="29730371.370000001"/>
    <n v="290567"/>
  </r>
  <r>
    <x v="14"/>
    <x v="2"/>
    <s v="VIC"/>
    <s v="No gap agreement"/>
    <s v="More than 200% MBS Fee"/>
    <n v="2808080.16"/>
    <n v="783799.85"/>
    <n v="2024280.31"/>
    <n v="2515"/>
  </r>
  <r>
    <x v="14"/>
    <x v="2"/>
    <s v="QLD"/>
    <s v="No agreement"/>
    <s v="Up to MBS Fee"/>
    <n v="6870484.5300000003"/>
    <n v="5168079.8099999996"/>
    <n v="1692452.62"/>
    <n v="74170"/>
  </r>
  <r>
    <x v="14"/>
    <x v="2"/>
    <s v="QLD"/>
    <s v="No agreement"/>
    <s v="100% MBS Fee to 125% MBS Fee"/>
    <n v="2010849.74"/>
    <n v="1336930.18"/>
    <n v="451120.54"/>
    <n v="11363"/>
  </r>
  <r>
    <x v="14"/>
    <x v="2"/>
    <s v="QLD"/>
    <s v="No agreement"/>
    <s v="More than 125% MBS Fee to 150% MBS Fee"/>
    <n v="3516735.91"/>
    <n v="1899279.12"/>
    <n v="682568.71"/>
    <n v="16727"/>
  </r>
  <r>
    <x v="14"/>
    <x v="2"/>
    <s v="QLD"/>
    <s v="No agreement"/>
    <s v="More than 150% MBS Fee to 200% MBS Fee"/>
    <n v="9010824.1999999993"/>
    <n v="3845955.2"/>
    <n v="1465499.54"/>
    <n v="36837"/>
  </r>
  <r>
    <x v="14"/>
    <x v="2"/>
    <s v="QLD"/>
    <s v="No agreement"/>
    <s v="More than 200% MBS Fee"/>
    <n v="34277960.490000002"/>
    <n v="9395373.8499999996"/>
    <n v="3154809.77"/>
    <n v="97140"/>
  </r>
  <r>
    <x v="14"/>
    <x v="2"/>
    <s v="QLD"/>
    <s v="Known gap agreement"/>
    <s v="100% MBS Fee to 125% MBS Fee"/>
    <n v="546748.23"/>
    <n v="343537.61"/>
    <n v="141869.73000000001"/>
    <n v="3306"/>
  </r>
  <r>
    <x v="14"/>
    <x v="2"/>
    <s v="QLD"/>
    <s v="Known gap agreement"/>
    <s v="More than 125% MBS Fee to 150% MBS Fee"/>
    <n v="1147189.95"/>
    <n v="624370.21"/>
    <n v="435774.63"/>
    <n v="3793"/>
  </r>
  <r>
    <x v="14"/>
    <x v="2"/>
    <s v="QLD"/>
    <s v="Known gap agreement"/>
    <s v="More than 150% MBS Fee to 200% MBS Fee"/>
    <n v="3588351.38"/>
    <n v="1513008.88"/>
    <n v="1412372.27"/>
    <n v="9286"/>
  </r>
  <r>
    <x v="14"/>
    <x v="2"/>
    <s v="QLD"/>
    <s v="Known gap agreement"/>
    <s v="More than 200% MBS Fee"/>
    <n v="8750892.3900000006"/>
    <n v="2361048.2799999998"/>
    <n v="2577976.5299999998"/>
    <n v="23483"/>
  </r>
  <r>
    <x v="14"/>
    <x v="2"/>
    <s v="QLD"/>
    <s v="No gap agreement"/>
    <s v="Up to MBS Fee"/>
    <n v="2940311.39"/>
    <n v="2308596.09"/>
    <n v="632591.94999999995"/>
    <n v="64264"/>
  </r>
  <r>
    <x v="14"/>
    <x v="2"/>
    <s v="QLD"/>
    <s v="No gap agreement"/>
    <s v="100% MBS Fee to 125% MBS Fee"/>
    <n v="32786611.969999999"/>
    <n v="21034898.370000001"/>
    <n v="11751650.23"/>
    <n v="494559"/>
  </r>
  <r>
    <x v="14"/>
    <x v="2"/>
    <s v="QLD"/>
    <s v="No gap agreement"/>
    <s v="More than 125% MBS Fee to 150% MBS Fee"/>
    <n v="45011148.030000001"/>
    <n v="24866275.710000001"/>
    <n v="20144767.48"/>
    <n v="226014"/>
  </r>
  <r>
    <x v="14"/>
    <x v="2"/>
    <s v="QLD"/>
    <s v="No gap agreement"/>
    <s v="More than 150% MBS Fee to 200% MBS Fee"/>
    <n v="38939943.07"/>
    <n v="18157390.16"/>
    <n v="20782466.850000001"/>
    <n v="243010"/>
  </r>
  <r>
    <x v="14"/>
    <x v="2"/>
    <s v="QLD"/>
    <s v="No gap agreement"/>
    <s v="More than 200% MBS Fee"/>
    <n v="4633465.43"/>
    <n v="1278408.55"/>
    <n v="3355053.69"/>
    <n v="4429"/>
  </r>
  <r>
    <x v="14"/>
    <x v="2"/>
    <s v="SA"/>
    <s v="No agreement"/>
    <s v="Up to MBS Fee"/>
    <n v="15663547.52"/>
    <n v="11750962.67"/>
    <n v="3912509.3"/>
    <n v="102012"/>
  </r>
  <r>
    <x v="14"/>
    <x v="2"/>
    <s v="SA"/>
    <s v="No agreement"/>
    <s v="100% MBS Fee to 125% MBS Fee"/>
    <n v="330993.64"/>
    <n v="219967.88"/>
    <n v="79660.73"/>
    <n v="2604"/>
  </r>
  <r>
    <x v="14"/>
    <x v="2"/>
    <s v="SA"/>
    <s v="No agreement"/>
    <s v="More than 125% MBS Fee to 150% MBS Fee"/>
    <n v="681594.03"/>
    <n v="367662.86"/>
    <n v="146745.76999999999"/>
    <n v="3935"/>
  </r>
  <r>
    <x v="14"/>
    <x v="2"/>
    <s v="SA"/>
    <s v="No agreement"/>
    <s v="More than 150% MBS Fee to 200% MBS Fee"/>
    <n v="867948.57"/>
    <n v="382417.82"/>
    <n v="290269.96000000002"/>
    <n v="7172"/>
  </r>
  <r>
    <x v="14"/>
    <x v="2"/>
    <s v="SA"/>
    <s v="No agreement"/>
    <s v="More than 200% MBS Fee"/>
    <n v="1381023.98"/>
    <n v="368728.68"/>
    <n v="130491.93"/>
    <n v="3797"/>
  </r>
  <r>
    <x v="14"/>
    <x v="2"/>
    <s v="SA"/>
    <s v="Known gap agreement"/>
    <s v="100% MBS Fee to 125% MBS Fee"/>
    <n v="1819671.44"/>
    <n v="1207274.53"/>
    <n v="577254.44999999995"/>
    <n v="13916"/>
  </r>
  <r>
    <x v="14"/>
    <x v="2"/>
    <s v="SA"/>
    <s v="Known gap agreement"/>
    <s v="More than 125% MBS Fee to 150% MBS Fee"/>
    <n v="3110104.52"/>
    <n v="1690184.05"/>
    <n v="1330943.6000000001"/>
    <n v="12172"/>
  </r>
  <r>
    <x v="14"/>
    <x v="2"/>
    <s v="SA"/>
    <s v="Known gap agreement"/>
    <s v="More than 150% MBS Fee to 200% MBS Fee"/>
    <n v="3186823.26"/>
    <n v="1457920.75"/>
    <n v="1529890.05"/>
    <n v="13168"/>
  </r>
  <r>
    <x v="14"/>
    <x v="2"/>
    <s v="SA"/>
    <s v="Known gap agreement"/>
    <s v="More than 200% MBS Fee"/>
    <n v="1403206.95"/>
    <n v="374792.3"/>
    <n v="425533.33"/>
    <n v="2865"/>
  </r>
  <r>
    <x v="14"/>
    <x v="2"/>
    <s v="SA"/>
    <s v="No gap agreement"/>
    <s v="Up to MBS Fee"/>
    <n v="2294920.0699999998"/>
    <n v="1726487.3"/>
    <n v="568432.77"/>
    <n v="21659"/>
  </r>
  <r>
    <x v="14"/>
    <x v="2"/>
    <s v="SA"/>
    <s v="No gap agreement"/>
    <s v="100% MBS Fee to 125% MBS Fee"/>
    <n v="8606618.0800000001"/>
    <n v="5693303.79"/>
    <n v="2913292.7"/>
    <n v="139480"/>
  </r>
  <r>
    <x v="14"/>
    <x v="2"/>
    <s v="SA"/>
    <s v="No gap agreement"/>
    <s v="More than 125% MBS Fee to 150% MBS Fee"/>
    <n v="16319842.859999999"/>
    <n v="8910549.6799999997"/>
    <n v="7409263.8300000001"/>
    <n v="80314"/>
  </r>
  <r>
    <x v="14"/>
    <x v="2"/>
    <s v="SA"/>
    <s v="No gap agreement"/>
    <s v="More than 150% MBS Fee to 200% MBS Fee"/>
    <n v="19640022.140000001"/>
    <n v="9052671.8499999996"/>
    <n v="10587338.550000001"/>
    <n v="77034"/>
  </r>
  <r>
    <x v="14"/>
    <x v="2"/>
    <s v="SA"/>
    <s v="No gap agreement"/>
    <s v="More than 200% MBS Fee"/>
    <n v="1154907.21"/>
    <n v="299842.28000000003"/>
    <n v="855064.93"/>
    <n v="875"/>
  </r>
  <r>
    <x v="14"/>
    <x v="2"/>
    <s v="WA"/>
    <s v="No agreement"/>
    <s v="Up to MBS Fee"/>
    <n v="1464864.01"/>
    <n v="1102011.02"/>
    <n v="362852.94"/>
    <n v="33014"/>
  </r>
  <r>
    <x v="14"/>
    <x v="2"/>
    <s v="WA"/>
    <s v="No agreement"/>
    <s v="100% MBS Fee to 125% MBS Fee"/>
    <n v="410002.11"/>
    <n v="266702.11"/>
    <n v="89648.99"/>
    <n v="2998"/>
  </r>
  <r>
    <x v="14"/>
    <x v="2"/>
    <s v="WA"/>
    <s v="No agreement"/>
    <s v="More than 125% MBS Fee to 150% MBS Fee"/>
    <n v="1356980.31"/>
    <n v="740930.61"/>
    <n v="252236.7"/>
    <n v="10083"/>
  </r>
  <r>
    <x v="14"/>
    <x v="2"/>
    <s v="WA"/>
    <s v="No agreement"/>
    <s v="More than 150% MBS Fee to 200% MBS Fee"/>
    <n v="2559922.64"/>
    <n v="1110074.77"/>
    <n v="372517.97"/>
    <n v="17106"/>
  </r>
  <r>
    <x v="14"/>
    <x v="2"/>
    <s v="WA"/>
    <s v="No agreement"/>
    <s v="More than 200% MBS Fee"/>
    <n v="4844727.4800000004"/>
    <n v="1195998.1000000001"/>
    <n v="402771.68"/>
    <n v="10224"/>
  </r>
  <r>
    <x v="14"/>
    <x v="2"/>
    <s v="WA"/>
    <s v="Known gap agreement"/>
    <s v="100% MBS Fee to 125% MBS Fee"/>
    <n v="1721584.9"/>
    <n v="1171587.07"/>
    <n v="514112.2"/>
    <n v="9422"/>
  </r>
  <r>
    <x v="14"/>
    <x v="2"/>
    <s v="WA"/>
    <s v="Known gap agreement"/>
    <s v="More than 125% MBS Fee to 150% MBS Fee"/>
    <n v="3687701.85"/>
    <n v="1975936.25"/>
    <n v="1418556.7"/>
    <n v="12664"/>
  </r>
  <r>
    <x v="14"/>
    <x v="2"/>
    <s v="WA"/>
    <s v="Known gap agreement"/>
    <s v="More than 150% MBS Fee to 200% MBS Fee"/>
    <n v="5980055.4199999999"/>
    <n v="2616132.9300000002"/>
    <n v="1969070.56"/>
    <n v="22823"/>
  </r>
  <r>
    <x v="14"/>
    <x v="2"/>
    <s v="WA"/>
    <s v="Known gap agreement"/>
    <s v="More than 200% MBS Fee"/>
    <n v="9428124.8000000007"/>
    <n v="2483442.75"/>
    <n v="1756814.39"/>
    <n v="19175"/>
  </r>
  <r>
    <x v="14"/>
    <x v="2"/>
    <s v="WA"/>
    <s v="No gap agreement"/>
    <s v="Up to MBS Fee"/>
    <n v="720445.5"/>
    <n v="546890.42000000004"/>
    <n v="173554.83"/>
    <n v="7963"/>
  </r>
  <r>
    <x v="14"/>
    <x v="2"/>
    <s v="WA"/>
    <s v="No gap agreement"/>
    <s v="100% MBS Fee to 125% MBS Fee"/>
    <n v="8815092.0500000007"/>
    <n v="5536810.2999999998"/>
    <n v="3278262.51"/>
    <n v="102354"/>
  </r>
  <r>
    <x v="14"/>
    <x v="2"/>
    <s v="WA"/>
    <s v="No gap agreement"/>
    <s v="More than 125% MBS Fee to 150% MBS Fee"/>
    <n v="23710900.25"/>
    <n v="13052698.609999999"/>
    <n v="10658198.529999999"/>
    <n v="151721"/>
  </r>
  <r>
    <x v="14"/>
    <x v="2"/>
    <s v="WA"/>
    <s v="No gap agreement"/>
    <s v="More than 150% MBS Fee to 200% MBS Fee"/>
    <n v="23650569.420000002"/>
    <n v="10383431.859999999"/>
    <n v="13267133.859999999"/>
    <n v="129028"/>
  </r>
  <r>
    <x v="14"/>
    <x v="2"/>
    <s v="WA"/>
    <s v="No gap agreement"/>
    <s v="More than 200% MBS Fee"/>
    <n v="2808055.3"/>
    <n v="644877.85"/>
    <n v="2163177.4500000002"/>
    <n v="1882"/>
  </r>
  <r>
    <x v="14"/>
    <x v="2"/>
    <s v="TAS"/>
    <s v="No agreement"/>
    <s v="Up to MBS Fee"/>
    <n v="1052364.23"/>
    <n v="791570.09"/>
    <n v="260794.14"/>
    <n v="13953"/>
  </r>
  <r>
    <x v="14"/>
    <x v="2"/>
    <s v="TAS"/>
    <s v="No agreement"/>
    <s v="100% MBS Fee to 125% MBS Fee"/>
    <n v="223212.79999999999"/>
    <n v="149565.45000000001"/>
    <n v="50247.14"/>
    <n v="1583"/>
  </r>
  <r>
    <x v="14"/>
    <x v="2"/>
    <s v="TAS"/>
    <s v="No agreement"/>
    <s v="More than 125% MBS Fee to 150% MBS Fee"/>
    <n v="356101.52"/>
    <n v="192915.71"/>
    <n v="70968.09"/>
    <n v="1159"/>
  </r>
  <r>
    <x v="14"/>
    <x v="2"/>
    <s v="TAS"/>
    <s v="No agreement"/>
    <s v="More than 150% MBS Fee to 200% MBS Fee"/>
    <n v="659246.38"/>
    <n v="282357.26"/>
    <n v="114226.19"/>
    <n v="2830"/>
  </r>
  <r>
    <x v="14"/>
    <x v="2"/>
    <s v="TAS"/>
    <s v="No agreement"/>
    <s v="More than 200% MBS Fee"/>
    <n v="2095583.99"/>
    <n v="533676.75"/>
    <n v="181783.15"/>
    <n v="4102"/>
  </r>
  <r>
    <x v="14"/>
    <x v="2"/>
    <s v="TAS"/>
    <s v="Known gap agreement"/>
    <s v="100% MBS Fee to 125% MBS Fee"/>
    <n v="54414.51"/>
    <n v="36846.85"/>
    <n v="13123.62"/>
    <n v="331"/>
  </r>
  <r>
    <x v="14"/>
    <x v="2"/>
    <s v="TAS"/>
    <s v="Known gap agreement"/>
    <s v="More than 125% MBS Fee to 150% MBS Fee"/>
    <n v="133122.95000000001"/>
    <n v="71211.05"/>
    <n v="51365.29"/>
    <n v="395"/>
  </r>
  <r>
    <x v="14"/>
    <x v="2"/>
    <s v="TAS"/>
    <s v="Known gap agreement"/>
    <s v="More than 150% MBS Fee to 200% MBS Fee"/>
    <n v="531838.06000000006"/>
    <n v="226573.11"/>
    <n v="231507.36"/>
    <n v="1244"/>
  </r>
  <r>
    <x v="14"/>
    <x v="2"/>
    <s v="TAS"/>
    <s v="Known gap agreement"/>
    <s v="More than 200% MBS Fee"/>
    <n v="1023303.76"/>
    <n v="311747.90000000002"/>
    <n v="360165.18"/>
    <n v="3582"/>
  </r>
  <r>
    <x v="14"/>
    <x v="2"/>
    <s v="TAS"/>
    <s v="No gap agreement"/>
    <s v="Up to MBS Fee"/>
    <n v="427549.43"/>
    <n v="323847.64"/>
    <n v="103233.49"/>
    <n v="6909"/>
  </r>
  <r>
    <x v="14"/>
    <x v="2"/>
    <s v="TAS"/>
    <s v="No gap agreement"/>
    <s v="100% MBS Fee to 125% MBS Fee"/>
    <n v="3437042.51"/>
    <n v="2214825.5499999998"/>
    <n v="1222213.57"/>
    <n v="43534"/>
  </r>
  <r>
    <x v="14"/>
    <x v="2"/>
    <s v="TAS"/>
    <s v="No gap agreement"/>
    <s v="More than 125% MBS Fee to 150% MBS Fee"/>
    <n v="5242258.59"/>
    <n v="2854765.95"/>
    <n v="2387491.65"/>
    <n v="16383"/>
  </r>
  <r>
    <x v="14"/>
    <x v="2"/>
    <s v="TAS"/>
    <s v="No gap agreement"/>
    <s v="More than 150% MBS Fee to 200% MBS Fee"/>
    <n v="5151776.71"/>
    <n v="2371231.67"/>
    <n v="2780537.83"/>
    <n v="31353"/>
  </r>
  <r>
    <x v="14"/>
    <x v="2"/>
    <s v="TAS"/>
    <s v="No gap agreement"/>
    <s v="More than 200% MBS Fee"/>
    <n v="407816.95"/>
    <n v="113543.7"/>
    <n v="294273.25"/>
    <n v="332"/>
  </r>
  <r>
    <x v="14"/>
    <x v="2"/>
    <s v="NT"/>
    <s v="No agreement"/>
    <s v="Up to MBS Fee"/>
    <n v="258345.39"/>
    <n v="194171.05"/>
    <n v="64174.34"/>
    <n v="2437"/>
  </r>
  <r>
    <x v="14"/>
    <x v="2"/>
    <s v="NT"/>
    <s v="No agreement"/>
    <s v="100% MBS Fee to 125% MBS Fee"/>
    <n v="56129.87"/>
    <n v="36673.39"/>
    <n v="12358.09"/>
    <n v="202"/>
  </r>
  <r>
    <x v="14"/>
    <x v="2"/>
    <s v="NT"/>
    <s v="No agreement"/>
    <s v="More than 125% MBS Fee to 150% MBS Fee"/>
    <n v="44182.22"/>
    <n v="23774.17"/>
    <n v="8123.2"/>
    <n v="204"/>
  </r>
  <r>
    <x v="14"/>
    <x v="2"/>
    <s v="NT"/>
    <s v="No agreement"/>
    <s v="More than 150% MBS Fee to 200% MBS Fee"/>
    <n v="137943.95000000001"/>
    <n v="58504.29"/>
    <n v="19842.21"/>
    <n v="701"/>
  </r>
  <r>
    <x v="14"/>
    <x v="2"/>
    <s v="NT"/>
    <s v="No agreement"/>
    <s v="More than 200% MBS Fee"/>
    <n v="805905.29"/>
    <n v="205249.97"/>
    <n v="68491.759999999995"/>
    <n v="1834"/>
  </r>
  <r>
    <x v="14"/>
    <x v="2"/>
    <s v="NT"/>
    <s v="Known gap agreement"/>
    <s v="100% MBS Fee to 125% MBS Fee"/>
    <n v="15269.88"/>
    <n v="10459.15"/>
    <n v="4181.29"/>
    <n v="76"/>
  </r>
  <r>
    <x v="14"/>
    <x v="2"/>
    <s v="NT"/>
    <s v="Known gap agreement"/>
    <s v="More than 125% MBS Fee to 150% MBS Fee"/>
    <n v="31051.63"/>
    <n v="16791.599999999999"/>
    <n v="11595.23"/>
    <n v="119"/>
  </r>
  <r>
    <x v="14"/>
    <x v="2"/>
    <s v="NT"/>
    <s v="Known gap agreement"/>
    <s v="More than 150% MBS Fee to 200% MBS Fee"/>
    <n v="71624.210000000006"/>
    <n v="31373.1"/>
    <n v="30377.279999999999"/>
    <n v="150"/>
  </r>
  <r>
    <x v="14"/>
    <x v="2"/>
    <s v="NT"/>
    <s v="Known gap agreement"/>
    <s v="More than 200% MBS Fee"/>
    <n v="231009.8"/>
    <n v="58645.9"/>
    <n v="64886.82"/>
    <n v="628"/>
  </r>
  <r>
    <x v="14"/>
    <x v="2"/>
    <s v="NT"/>
    <s v="No gap agreement"/>
    <s v="Up to MBS Fee"/>
    <n v="78369.13"/>
    <n v="59172.4"/>
    <n v="19196.73"/>
    <n v="1195"/>
  </r>
  <r>
    <x v="14"/>
    <x v="2"/>
    <s v="NT"/>
    <s v="No gap agreement"/>
    <s v="100% MBS Fee to 125% MBS Fee"/>
    <n v="287254.26"/>
    <n v="184114.9"/>
    <n v="103137.96"/>
    <n v="3044"/>
  </r>
  <r>
    <x v="14"/>
    <x v="2"/>
    <s v="NT"/>
    <s v="No gap agreement"/>
    <s v="More than 125% MBS Fee to 150% MBS Fee"/>
    <n v="923023.64"/>
    <n v="500362.35"/>
    <n v="422656.82"/>
    <n v="2887"/>
  </r>
  <r>
    <x v="14"/>
    <x v="2"/>
    <s v="NT"/>
    <s v="No gap agreement"/>
    <s v="More than 150% MBS Fee to 200% MBS Fee"/>
    <n v="884204.29"/>
    <n v="406985.34"/>
    <n v="477216.33"/>
    <n v="4897"/>
  </r>
  <r>
    <x v="14"/>
    <x v="2"/>
    <s v="NT"/>
    <s v="No gap agreement"/>
    <s v="More than 200% MBS Fee"/>
    <n v="90096.38"/>
    <n v="25899.439999999999"/>
    <n v="64196.04"/>
    <n v="102"/>
  </r>
  <r>
    <x v="14"/>
    <x v="3"/>
    <s v="NSW"/>
    <s v="No agreement"/>
    <s v="Up to MBS Fee"/>
    <n v="27119772.68"/>
    <n v="20442761.690000001"/>
    <n v="6674997.5800000001"/>
    <n v="479992"/>
  </r>
  <r>
    <x v="14"/>
    <x v="3"/>
    <s v="NSW"/>
    <s v="No agreement"/>
    <s v="100% MBS Fee to 125% MBS Fee"/>
    <n v="3525461.34"/>
    <n v="2354414.7999999998"/>
    <n v="855125.88"/>
    <n v="19550"/>
  </r>
  <r>
    <x v="14"/>
    <x v="3"/>
    <s v="NSW"/>
    <s v="No agreement"/>
    <s v="More than 125% MBS Fee to 150% MBS Fee"/>
    <n v="5074356.0999999996"/>
    <n v="2740882.43"/>
    <n v="1138719.03"/>
    <n v="44502"/>
  </r>
  <r>
    <x v="14"/>
    <x v="3"/>
    <s v="NSW"/>
    <s v="No agreement"/>
    <s v="More than 150% MBS Fee to 200% MBS Fee"/>
    <n v="15400611.76"/>
    <n v="6542643.0700000003"/>
    <n v="2794895.03"/>
    <n v="65086"/>
  </r>
  <r>
    <x v="14"/>
    <x v="3"/>
    <s v="NSW"/>
    <s v="No agreement"/>
    <s v="More than 200% MBS Fee"/>
    <n v="75516175.200000003"/>
    <n v="19442830.420000002"/>
    <n v="6553978.0800000001"/>
    <n v="142098"/>
  </r>
  <r>
    <x v="14"/>
    <x v="3"/>
    <s v="NSW"/>
    <s v="Known gap agreement"/>
    <s v="100% MBS Fee to 125% MBS Fee"/>
    <n v="952189.86"/>
    <n v="629921.35"/>
    <n v="283504.8"/>
    <n v="6712"/>
  </r>
  <r>
    <x v="14"/>
    <x v="3"/>
    <s v="NSW"/>
    <s v="Known gap agreement"/>
    <s v="More than 125% MBS Fee to 150% MBS Fee"/>
    <n v="1879711.59"/>
    <n v="1015016.65"/>
    <n v="747049.73"/>
    <n v="5835"/>
  </r>
  <r>
    <x v="14"/>
    <x v="3"/>
    <s v="NSW"/>
    <s v="Known gap agreement"/>
    <s v="More than 150% MBS Fee to 200% MBS Fee"/>
    <n v="4301985.9000000004"/>
    <n v="1880583.11"/>
    <n v="1859231.3"/>
    <n v="16846"/>
  </r>
  <r>
    <x v="14"/>
    <x v="3"/>
    <s v="NSW"/>
    <s v="Known gap agreement"/>
    <s v="More than 200% MBS Fee"/>
    <n v="7338765.2999999998"/>
    <n v="1830588.91"/>
    <n v="2027322.59"/>
    <n v="18511"/>
  </r>
  <r>
    <x v="14"/>
    <x v="3"/>
    <s v="NSW"/>
    <s v="No gap agreement"/>
    <s v="Up to MBS Fee"/>
    <n v="7447097.8600000003"/>
    <n v="5639667.4199999999"/>
    <n v="1808395.66"/>
    <n v="225617"/>
  </r>
  <r>
    <x v="14"/>
    <x v="3"/>
    <s v="NSW"/>
    <s v="No gap agreement"/>
    <s v="100% MBS Fee to 125% MBS Fee"/>
    <n v="31684853.899999999"/>
    <n v="20311051.350000001"/>
    <n v="11373554.82"/>
    <n v="399576"/>
  </r>
  <r>
    <x v="14"/>
    <x v="3"/>
    <s v="NSW"/>
    <s v="No gap agreement"/>
    <s v="More than 125% MBS Fee to 150% MBS Fee"/>
    <n v="54067626.780000001"/>
    <n v="29646325.379999999"/>
    <n v="24421067.149999999"/>
    <n v="220606"/>
  </r>
  <r>
    <x v="14"/>
    <x v="3"/>
    <s v="NSW"/>
    <s v="No gap agreement"/>
    <s v="More than 150% MBS Fee to 200% MBS Fee"/>
    <n v="49905749.049999997"/>
    <n v="23125474.52"/>
    <n v="26779998.289999999"/>
    <n v="306922"/>
  </r>
  <r>
    <x v="14"/>
    <x v="3"/>
    <s v="NSW"/>
    <s v="No gap agreement"/>
    <s v="More than 200% MBS Fee"/>
    <n v="5292935.25"/>
    <n v="1525427.2"/>
    <n v="3767501.9"/>
    <n v="5220"/>
  </r>
  <r>
    <x v="14"/>
    <x v="3"/>
    <s v="VIC"/>
    <s v="No agreement"/>
    <s v="Up to MBS Fee"/>
    <n v="19672717.02"/>
    <n v="14786141.810000001"/>
    <n v="4886573.51"/>
    <n v="175418"/>
  </r>
  <r>
    <x v="14"/>
    <x v="3"/>
    <s v="VIC"/>
    <s v="No agreement"/>
    <s v="100% MBS Fee to 125% MBS Fee"/>
    <n v="2967706.67"/>
    <n v="1981497.71"/>
    <n v="742804.6"/>
    <n v="22295"/>
  </r>
  <r>
    <x v="14"/>
    <x v="3"/>
    <s v="VIC"/>
    <s v="No agreement"/>
    <s v="More than 125% MBS Fee to 150% MBS Fee"/>
    <n v="3204144.24"/>
    <n v="1749025.57"/>
    <n v="860483.2"/>
    <n v="21859"/>
  </r>
  <r>
    <x v="14"/>
    <x v="3"/>
    <s v="VIC"/>
    <s v="No agreement"/>
    <s v="More than 150% MBS Fee to 200% MBS Fee"/>
    <n v="7349665.5300000003"/>
    <n v="3149483.06"/>
    <n v="1716365.56"/>
    <n v="52193"/>
  </r>
  <r>
    <x v="14"/>
    <x v="3"/>
    <s v="VIC"/>
    <s v="No agreement"/>
    <s v="More than 200% MBS Fee"/>
    <n v="15466683.029999999"/>
    <n v="4085867.88"/>
    <n v="1366310.69"/>
    <n v="36565"/>
  </r>
  <r>
    <x v="14"/>
    <x v="3"/>
    <s v="VIC"/>
    <s v="Known gap agreement"/>
    <s v="100% MBS Fee to 125% MBS Fee"/>
    <n v="1699681.38"/>
    <n v="1136407.1299999999"/>
    <n v="464939.24"/>
    <n v="9707"/>
  </r>
  <r>
    <x v="14"/>
    <x v="3"/>
    <s v="VIC"/>
    <s v="Known gap agreement"/>
    <s v="More than 125% MBS Fee to 150% MBS Fee"/>
    <n v="3894022.82"/>
    <n v="2115115.19"/>
    <n v="1447564.67"/>
    <n v="13196"/>
  </r>
  <r>
    <x v="14"/>
    <x v="3"/>
    <s v="VIC"/>
    <s v="Known gap agreement"/>
    <s v="More than 150% MBS Fee to 200% MBS Fee"/>
    <n v="6844538.8799999999"/>
    <n v="2972042.67"/>
    <n v="2607988.46"/>
    <n v="23777"/>
  </r>
  <r>
    <x v="14"/>
    <x v="3"/>
    <s v="VIC"/>
    <s v="Known gap agreement"/>
    <s v="More than 200% MBS Fee"/>
    <n v="10491642.93"/>
    <n v="2799600.35"/>
    <n v="2821903.46"/>
    <n v="28341"/>
  </r>
  <r>
    <x v="14"/>
    <x v="3"/>
    <s v="VIC"/>
    <s v="No gap agreement"/>
    <s v="Up to MBS Fee"/>
    <n v="7767511.2199999997"/>
    <n v="5851270.6900000004"/>
    <n v="1916240.94"/>
    <n v="166805"/>
  </r>
  <r>
    <x v="14"/>
    <x v="3"/>
    <s v="VIC"/>
    <s v="No gap agreement"/>
    <s v="100% MBS Fee to 125% MBS Fee"/>
    <n v="31710762.219999999"/>
    <n v="20470257.719999999"/>
    <n v="11240393.73"/>
    <n v="377195"/>
  </r>
  <r>
    <x v="14"/>
    <x v="3"/>
    <s v="VIC"/>
    <s v="No gap agreement"/>
    <s v="More than 125% MBS Fee to 150% MBS Fee"/>
    <n v="63716045.950000003"/>
    <n v="35131292.520000003"/>
    <n v="28584688.210000001"/>
    <n v="374918"/>
  </r>
  <r>
    <x v="14"/>
    <x v="3"/>
    <s v="VIC"/>
    <s v="No gap agreement"/>
    <s v="More than 150% MBS Fee to 200% MBS Fee"/>
    <n v="51272549.270000003"/>
    <n v="23688532.27"/>
    <n v="27583937.510000002"/>
    <n v="291190"/>
  </r>
  <r>
    <x v="14"/>
    <x v="3"/>
    <s v="VIC"/>
    <s v="No gap agreement"/>
    <s v="More than 200% MBS Fee"/>
    <n v="2950707.49"/>
    <n v="833545.64"/>
    <n v="2117161.58"/>
    <n v="2658"/>
  </r>
  <r>
    <x v="14"/>
    <x v="3"/>
    <s v="QLD"/>
    <s v="No agreement"/>
    <s v="Up to MBS Fee"/>
    <n v="6467769.3099999996"/>
    <n v="4878846.42"/>
    <n v="1582779.17"/>
    <n v="68634"/>
  </r>
  <r>
    <x v="14"/>
    <x v="3"/>
    <s v="QLD"/>
    <s v="No agreement"/>
    <s v="100% MBS Fee to 125% MBS Fee"/>
    <n v="1966560.01"/>
    <n v="1316577.8999999999"/>
    <n v="442939.48"/>
    <n v="11023"/>
  </r>
  <r>
    <x v="14"/>
    <x v="3"/>
    <s v="QLD"/>
    <s v="No agreement"/>
    <s v="More than 125% MBS Fee to 150% MBS Fee"/>
    <n v="3486561.51"/>
    <n v="1882180.88"/>
    <n v="675601.35"/>
    <n v="17545"/>
  </r>
  <r>
    <x v="14"/>
    <x v="3"/>
    <s v="QLD"/>
    <s v="No agreement"/>
    <s v="More than 150% MBS Fee to 200% MBS Fee"/>
    <n v="9041495.4299999997"/>
    <n v="3857715.34"/>
    <n v="1460743.7"/>
    <n v="38215"/>
  </r>
  <r>
    <x v="14"/>
    <x v="3"/>
    <s v="QLD"/>
    <s v="No agreement"/>
    <s v="More than 200% MBS Fee"/>
    <n v="31882226.079999998"/>
    <n v="8681542.9399999995"/>
    <n v="2907486.59"/>
    <n v="86193"/>
  </r>
  <r>
    <x v="14"/>
    <x v="3"/>
    <s v="QLD"/>
    <s v="Known gap agreement"/>
    <s v="100% MBS Fee to 125% MBS Fee"/>
    <n v="505872.14"/>
    <n v="320819.98"/>
    <n v="137246.73000000001"/>
    <n v="2928"/>
  </r>
  <r>
    <x v="14"/>
    <x v="3"/>
    <s v="QLD"/>
    <s v="Known gap agreement"/>
    <s v="More than 125% MBS Fee to 150% MBS Fee"/>
    <n v="1307504.1399999999"/>
    <n v="712028.65"/>
    <n v="510740.44"/>
    <n v="4491"/>
  </r>
  <r>
    <x v="14"/>
    <x v="3"/>
    <s v="QLD"/>
    <s v="Known gap agreement"/>
    <s v="More than 150% MBS Fee to 200% MBS Fee"/>
    <n v="4076886.71"/>
    <n v="1718374.62"/>
    <n v="1604364.91"/>
    <n v="10416"/>
  </r>
  <r>
    <x v="14"/>
    <x v="3"/>
    <s v="QLD"/>
    <s v="Known gap agreement"/>
    <s v="More than 200% MBS Fee"/>
    <n v="10005418.84"/>
    <n v="2601451.9900000002"/>
    <n v="2863316.96"/>
    <n v="26057"/>
  </r>
  <r>
    <x v="14"/>
    <x v="3"/>
    <s v="QLD"/>
    <s v="No gap agreement"/>
    <s v="Up to MBS Fee"/>
    <n v="2836021.2"/>
    <n v="2158850.52"/>
    <n v="678210.43"/>
    <n v="64084"/>
  </r>
  <r>
    <x v="14"/>
    <x v="3"/>
    <s v="QLD"/>
    <s v="No gap agreement"/>
    <s v="100% MBS Fee to 125% MBS Fee"/>
    <n v="31093432.41"/>
    <n v="20006172.27"/>
    <n v="11087191.640000001"/>
    <n v="472736"/>
  </r>
  <r>
    <x v="14"/>
    <x v="3"/>
    <s v="QLD"/>
    <s v="No gap agreement"/>
    <s v="More than 125% MBS Fee to 150% MBS Fee"/>
    <n v="45565013.990000002"/>
    <n v="25167557.120000001"/>
    <n v="20397322.420000002"/>
    <n v="223770"/>
  </r>
  <r>
    <x v="14"/>
    <x v="3"/>
    <s v="QLD"/>
    <s v="No gap agreement"/>
    <s v="More than 150% MBS Fee to 200% MBS Fee"/>
    <n v="34566958.869999997"/>
    <n v="16130578.720000001"/>
    <n v="18436321.809999999"/>
    <n v="233406"/>
  </r>
  <r>
    <x v="14"/>
    <x v="3"/>
    <s v="QLD"/>
    <s v="No gap agreement"/>
    <s v="More than 200% MBS Fee"/>
    <n v="4470903.71"/>
    <n v="1233515.26"/>
    <n v="3237387.88"/>
    <n v="3974"/>
  </r>
  <r>
    <x v="14"/>
    <x v="3"/>
    <s v="SA"/>
    <s v="No agreement"/>
    <s v="Up to MBS Fee"/>
    <n v="14997692.67"/>
    <n v="11250857.109999999"/>
    <n v="3746542.15"/>
    <n v="113127"/>
  </r>
  <r>
    <x v="14"/>
    <x v="3"/>
    <s v="SA"/>
    <s v="No agreement"/>
    <s v="100% MBS Fee to 125% MBS Fee"/>
    <n v="442878.26"/>
    <n v="294308.45"/>
    <n v="111970.61"/>
    <n v="4126"/>
  </r>
  <r>
    <x v="14"/>
    <x v="3"/>
    <s v="SA"/>
    <s v="No agreement"/>
    <s v="More than 125% MBS Fee to 150% MBS Fee"/>
    <n v="560062.37"/>
    <n v="302508.28000000003"/>
    <n v="122071.35"/>
    <n v="3343"/>
  </r>
  <r>
    <x v="14"/>
    <x v="3"/>
    <s v="SA"/>
    <s v="No agreement"/>
    <s v="More than 150% MBS Fee to 200% MBS Fee"/>
    <n v="867658.14"/>
    <n v="379341.01"/>
    <n v="270346.64"/>
    <n v="6566"/>
  </r>
  <r>
    <x v="14"/>
    <x v="3"/>
    <s v="SA"/>
    <s v="No agreement"/>
    <s v="More than 200% MBS Fee"/>
    <n v="1366585.14"/>
    <n v="365152.08"/>
    <n v="128124.38"/>
    <n v="3531"/>
  </r>
  <r>
    <x v="14"/>
    <x v="3"/>
    <s v="SA"/>
    <s v="Known gap agreement"/>
    <s v="100% MBS Fee to 125% MBS Fee"/>
    <n v="1481721.22"/>
    <n v="983179.42"/>
    <n v="469519.35"/>
    <n v="11681"/>
  </r>
  <r>
    <x v="14"/>
    <x v="3"/>
    <s v="SA"/>
    <s v="Known gap agreement"/>
    <s v="More than 125% MBS Fee to 150% MBS Fee"/>
    <n v="2450107.66"/>
    <n v="1329698.27"/>
    <n v="1036594.66"/>
    <n v="9242"/>
  </r>
  <r>
    <x v="14"/>
    <x v="3"/>
    <s v="SA"/>
    <s v="Known gap agreement"/>
    <s v="More than 150% MBS Fee to 200% MBS Fee"/>
    <n v="2570270.12"/>
    <n v="1175869.6000000001"/>
    <n v="1233552.2"/>
    <n v="10842"/>
  </r>
  <r>
    <x v="14"/>
    <x v="3"/>
    <s v="SA"/>
    <s v="Known gap agreement"/>
    <s v="More than 200% MBS Fee"/>
    <n v="1348167.78"/>
    <n v="340272.31"/>
    <n v="410101.12"/>
    <n v="2890"/>
  </r>
  <r>
    <x v="14"/>
    <x v="3"/>
    <s v="SA"/>
    <s v="No gap agreement"/>
    <s v="Up to MBS Fee"/>
    <n v="2137466.59"/>
    <n v="1608758.16"/>
    <n v="528724.47999999998"/>
    <n v="20697"/>
  </r>
  <r>
    <x v="14"/>
    <x v="3"/>
    <s v="SA"/>
    <s v="No gap agreement"/>
    <s v="100% MBS Fee to 125% MBS Fee"/>
    <n v="8055481.9199999999"/>
    <n v="5337676.3899999997"/>
    <n v="2717725.89"/>
    <n v="134991"/>
  </r>
  <r>
    <x v="14"/>
    <x v="3"/>
    <s v="SA"/>
    <s v="No gap agreement"/>
    <s v="More than 125% MBS Fee to 150% MBS Fee"/>
    <n v="17945903.66"/>
    <n v="9782097.5399999991"/>
    <n v="8163780.0599999996"/>
    <n v="83148"/>
  </r>
  <r>
    <x v="14"/>
    <x v="3"/>
    <s v="SA"/>
    <s v="No gap agreement"/>
    <s v="More than 150% MBS Fee to 200% MBS Fee"/>
    <n v="15651575.619999999"/>
    <n v="7237944.6399999997"/>
    <n v="8413614.9399999995"/>
    <n v="67822"/>
  </r>
  <r>
    <x v="14"/>
    <x v="3"/>
    <s v="SA"/>
    <s v="No gap agreement"/>
    <s v="More than 200% MBS Fee"/>
    <n v="1236087.22"/>
    <n v="320874.73"/>
    <n v="915212.49"/>
    <n v="989"/>
  </r>
  <r>
    <x v="14"/>
    <x v="3"/>
    <s v="WA"/>
    <s v="No agreement"/>
    <s v="Up to MBS Fee"/>
    <n v="1465558.07"/>
    <n v="1107555.75"/>
    <n v="357932.65"/>
    <n v="34001"/>
  </r>
  <r>
    <x v="14"/>
    <x v="3"/>
    <s v="WA"/>
    <s v="No agreement"/>
    <s v="100% MBS Fee to 125% MBS Fee"/>
    <n v="379963.16"/>
    <n v="249786.04"/>
    <n v="83365.11"/>
    <n v="3023"/>
  </r>
  <r>
    <x v="14"/>
    <x v="3"/>
    <s v="WA"/>
    <s v="No agreement"/>
    <s v="More than 125% MBS Fee to 150% MBS Fee"/>
    <n v="1304127.51"/>
    <n v="711170.4"/>
    <n v="241107.27"/>
    <n v="8833"/>
  </r>
  <r>
    <x v="14"/>
    <x v="3"/>
    <s v="WA"/>
    <s v="No agreement"/>
    <s v="More than 150% MBS Fee to 200% MBS Fee"/>
    <n v="2404984.4300000002"/>
    <n v="1041320.61"/>
    <n v="347978.07"/>
    <n v="16606"/>
  </r>
  <r>
    <x v="14"/>
    <x v="3"/>
    <s v="WA"/>
    <s v="No agreement"/>
    <s v="More than 200% MBS Fee"/>
    <n v="4367107.71"/>
    <n v="1066202.71"/>
    <n v="357043.84"/>
    <n v="9051"/>
  </r>
  <r>
    <x v="14"/>
    <x v="3"/>
    <s v="WA"/>
    <s v="Known gap agreement"/>
    <s v="100% MBS Fee to 125% MBS Fee"/>
    <n v="1611393.94"/>
    <n v="1091515.2"/>
    <n v="480869.96"/>
    <n v="10083"/>
  </r>
  <r>
    <x v="14"/>
    <x v="3"/>
    <s v="WA"/>
    <s v="Known gap agreement"/>
    <s v="More than 125% MBS Fee to 150% MBS Fee"/>
    <n v="3176571.64"/>
    <n v="1700099.57"/>
    <n v="1204333.8"/>
    <n v="10823"/>
  </r>
  <r>
    <x v="14"/>
    <x v="3"/>
    <s v="WA"/>
    <s v="Known gap agreement"/>
    <s v="More than 150% MBS Fee to 200% MBS Fee"/>
    <n v="5686495.5800000001"/>
    <n v="2487285.81"/>
    <n v="1855950.81"/>
    <n v="21052"/>
  </r>
  <r>
    <x v="14"/>
    <x v="3"/>
    <s v="WA"/>
    <s v="Known gap agreement"/>
    <s v="More than 200% MBS Fee"/>
    <n v="9386302.8300000001"/>
    <n v="2386626.4900000002"/>
    <n v="1769671.34"/>
    <n v="19039"/>
  </r>
  <r>
    <x v="14"/>
    <x v="3"/>
    <s v="WA"/>
    <s v="No gap agreement"/>
    <s v="Up to MBS Fee"/>
    <n v="781933.03"/>
    <n v="595707.68000000005"/>
    <n v="186223.49"/>
    <n v="8849"/>
  </r>
  <r>
    <x v="14"/>
    <x v="3"/>
    <s v="WA"/>
    <s v="No gap agreement"/>
    <s v="100% MBS Fee to 125% MBS Fee"/>
    <n v="8479249.25"/>
    <n v="5329721.3600000003"/>
    <n v="3149523.62"/>
    <n v="102560"/>
  </r>
  <r>
    <x v="14"/>
    <x v="3"/>
    <s v="WA"/>
    <s v="No gap agreement"/>
    <s v="More than 125% MBS Fee to 150% MBS Fee"/>
    <n v="22080927.469999999"/>
    <n v="12126479.73"/>
    <n v="9954439.5399999991"/>
    <n v="143614"/>
  </r>
  <r>
    <x v="14"/>
    <x v="3"/>
    <s v="WA"/>
    <s v="No gap agreement"/>
    <s v="More than 150% MBS Fee to 200% MBS Fee"/>
    <n v="21287563.449999999"/>
    <n v="9384571.6300000008"/>
    <n v="11902987.460000001"/>
    <n v="116071"/>
  </r>
  <r>
    <x v="14"/>
    <x v="3"/>
    <s v="WA"/>
    <s v="No gap agreement"/>
    <s v="More than 200% MBS Fee"/>
    <n v="2557368.9900000002"/>
    <n v="601695"/>
    <n v="1955674.26"/>
    <n v="1668"/>
  </r>
  <r>
    <x v="14"/>
    <x v="3"/>
    <s v="TAS"/>
    <s v="No agreement"/>
    <s v="Up to MBS Fee"/>
    <n v="1062241.92"/>
    <n v="798555.53"/>
    <n v="263686.28999999998"/>
    <n v="14369"/>
  </r>
  <r>
    <x v="14"/>
    <x v="3"/>
    <s v="TAS"/>
    <s v="No agreement"/>
    <s v="100% MBS Fee to 125% MBS Fee"/>
    <n v="222822.02"/>
    <n v="150338.14000000001"/>
    <n v="50051.34"/>
    <n v="1843"/>
  </r>
  <r>
    <x v="14"/>
    <x v="3"/>
    <s v="TAS"/>
    <s v="No agreement"/>
    <s v="More than 125% MBS Fee to 150% MBS Fee"/>
    <n v="335029.71000000002"/>
    <n v="183647.28"/>
    <n v="67629.58"/>
    <n v="1299"/>
  </r>
  <r>
    <x v="14"/>
    <x v="3"/>
    <s v="TAS"/>
    <s v="No agreement"/>
    <s v="More than 150% MBS Fee to 200% MBS Fee"/>
    <n v="539081.9"/>
    <n v="228595.8"/>
    <n v="78968.72"/>
    <n v="2430"/>
  </r>
  <r>
    <x v="14"/>
    <x v="3"/>
    <s v="TAS"/>
    <s v="No agreement"/>
    <s v="More than 200% MBS Fee"/>
    <n v="1827714.48"/>
    <n v="473063.34"/>
    <n v="158390.59"/>
    <n v="3386"/>
  </r>
  <r>
    <x v="14"/>
    <x v="3"/>
    <s v="TAS"/>
    <s v="Known gap agreement"/>
    <s v="100% MBS Fee to 125% MBS Fee"/>
    <n v="58715.519999999997"/>
    <n v="38894.400000000001"/>
    <n v="15698.53"/>
    <n v="335"/>
  </r>
  <r>
    <x v="14"/>
    <x v="3"/>
    <s v="TAS"/>
    <s v="Known gap agreement"/>
    <s v="More than 125% MBS Fee to 150% MBS Fee"/>
    <n v="159943.79"/>
    <n v="86334.55"/>
    <n v="64050.33"/>
    <n v="561"/>
  </r>
  <r>
    <x v="14"/>
    <x v="3"/>
    <s v="TAS"/>
    <s v="Known gap agreement"/>
    <s v="More than 150% MBS Fee to 200% MBS Fee"/>
    <n v="506784.64"/>
    <n v="217532.79999999999"/>
    <n v="218391.65"/>
    <n v="1369"/>
  </r>
  <r>
    <x v="14"/>
    <x v="3"/>
    <s v="TAS"/>
    <s v="Known gap agreement"/>
    <s v="More than 200% MBS Fee"/>
    <n v="872128.34"/>
    <n v="249809.15"/>
    <n v="278562.8"/>
    <n v="2941"/>
  </r>
  <r>
    <x v="14"/>
    <x v="3"/>
    <s v="TAS"/>
    <s v="No gap agreement"/>
    <s v="Up to MBS Fee"/>
    <n v="289948.38"/>
    <n v="220318.06"/>
    <n v="70098.820000000007"/>
    <n v="5133"/>
  </r>
  <r>
    <x v="14"/>
    <x v="3"/>
    <s v="TAS"/>
    <s v="No gap agreement"/>
    <s v="100% MBS Fee to 125% MBS Fee"/>
    <n v="2812350.51"/>
    <n v="1808804.24"/>
    <n v="1003530.96"/>
    <n v="35443"/>
  </r>
  <r>
    <x v="14"/>
    <x v="3"/>
    <s v="TAS"/>
    <s v="No gap agreement"/>
    <s v="More than 125% MBS Fee to 150% MBS Fee"/>
    <n v="4751565.3899999997"/>
    <n v="2593184.7400000002"/>
    <n v="2158380.54"/>
    <n v="14203"/>
  </r>
  <r>
    <x v="14"/>
    <x v="3"/>
    <s v="TAS"/>
    <s v="No gap agreement"/>
    <s v="More than 150% MBS Fee to 200% MBS Fee"/>
    <n v="4602284.3099999996"/>
    <n v="2132435.98"/>
    <n v="2469846.96"/>
    <n v="28175"/>
  </r>
  <r>
    <x v="14"/>
    <x v="3"/>
    <s v="TAS"/>
    <s v="No gap agreement"/>
    <s v="More than 200% MBS Fee"/>
    <n v="376294.65"/>
    <n v="105448.8"/>
    <n v="270845.77"/>
    <n v="305"/>
  </r>
  <r>
    <x v="14"/>
    <x v="3"/>
    <s v="NT"/>
    <s v="No agreement"/>
    <s v="Up to MBS Fee"/>
    <n v="285218.76"/>
    <n v="213863.16"/>
    <n v="71130.600000000006"/>
    <n v="2561"/>
  </r>
  <r>
    <x v="14"/>
    <x v="3"/>
    <s v="NT"/>
    <s v="No agreement"/>
    <s v="100% MBS Fee to 125% MBS Fee"/>
    <n v="61278.43"/>
    <n v="39415.24"/>
    <n v="13359.73"/>
    <n v="180"/>
  </r>
  <r>
    <x v="14"/>
    <x v="3"/>
    <s v="NT"/>
    <s v="No agreement"/>
    <s v="More than 125% MBS Fee to 150% MBS Fee"/>
    <n v="39892.120000000003"/>
    <n v="21605.200000000001"/>
    <n v="7502.1"/>
    <n v="213"/>
  </r>
  <r>
    <x v="14"/>
    <x v="3"/>
    <s v="NT"/>
    <s v="No agreement"/>
    <s v="More than 150% MBS Fee to 200% MBS Fee"/>
    <n v="150996.54999999999"/>
    <n v="63197.279999999999"/>
    <n v="21521.599999999999"/>
    <n v="749"/>
  </r>
  <r>
    <x v="14"/>
    <x v="3"/>
    <s v="NT"/>
    <s v="No agreement"/>
    <s v="More than 200% MBS Fee"/>
    <n v="647986.93000000005"/>
    <n v="182887.14"/>
    <n v="61398.53"/>
    <n v="1649"/>
  </r>
  <r>
    <x v="14"/>
    <x v="3"/>
    <s v="NT"/>
    <s v="Known gap agreement"/>
    <s v="100% MBS Fee to 125% MBS Fee"/>
    <n v="6745.43"/>
    <n v="4507.6499999999996"/>
    <n v="1950.8"/>
    <n v="43"/>
  </r>
  <r>
    <x v="14"/>
    <x v="3"/>
    <s v="NT"/>
    <s v="Known gap agreement"/>
    <s v="More than 125% MBS Fee to 150% MBS Fee"/>
    <n v="28333.58"/>
    <n v="15268.63"/>
    <n v="9999.7000000000007"/>
    <n v="126"/>
  </r>
  <r>
    <x v="14"/>
    <x v="3"/>
    <s v="NT"/>
    <s v="Known gap agreement"/>
    <s v="More than 150% MBS Fee to 200% MBS Fee"/>
    <n v="66236.66"/>
    <n v="29611.95"/>
    <n v="27092.98"/>
    <n v="181"/>
  </r>
  <r>
    <x v="14"/>
    <x v="3"/>
    <s v="NT"/>
    <s v="Known gap agreement"/>
    <s v="More than 200% MBS Fee"/>
    <n v="208395.05"/>
    <n v="52914.55"/>
    <n v="57338.05"/>
    <n v="572"/>
  </r>
  <r>
    <x v="14"/>
    <x v="3"/>
    <s v="NT"/>
    <s v="No gap agreement"/>
    <s v="Up to MBS Fee"/>
    <n v="72732.97"/>
    <n v="55299.1"/>
    <n v="17433.87"/>
    <n v="645"/>
  </r>
  <r>
    <x v="14"/>
    <x v="3"/>
    <s v="NT"/>
    <s v="No gap agreement"/>
    <s v="100% MBS Fee to 125% MBS Fee"/>
    <n v="314509.48"/>
    <n v="200864.22"/>
    <n v="113645.26"/>
    <n v="3987"/>
  </r>
  <r>
    <x v="14"/>
    <x v="3"/>
    <s v="NT"/>
    <s v="No gap agreement"/>
    <s v="More than 125% MBS Fee to 150% MBS Fee"/>
    <n v="911330.62"/>
    <n v="492851.65"/>
    <n v="418477.19"/>
    <n v="2594"/>
  </r>
  <r>
    <x v="14"/>
    <x v="3"/>
    <s v="NT"/>
    <s v="No gap agreement"/>
    <s v="More than 150% MBS Fee to 200% MBS Fee"/>
    <n v="866502.69"/>
    <n v="399741.84"/>
    <n v="466758.35"/>
    <n v="4937"/>
  </r>
  <r>
    <x v="14"/>
    <x v="3"/>
    <s v="NT"/>
    <s v="No gap agreement"/>
    <s v="More than 200% MBS Fee"/>
    <n v="86860.5"/>
    <n v="25036.85"/>
    <n v="61823.65"/>
    <n v="77"/>
  </r>
  <r>
    <x v="14"/>
    <x v="1"/>
    <s v="NSW"/>
    <s v="No agreement"/>
    <s v="Up to MBS Fee"/>
    <n v="31457470.5"/>
    <n v="23704353.18"/>
    <n v="7752149.0999999996"/>
    <n v="553999"/>
  </r>
  <r>
    <x v="14"/>
    <x v="1"/>
    <s v="NSW"/>
    <s v="No agreement"/>
    <s v="100% MBS Fee to 125% MBS Fee"/>
    <n v="3969053.39"/>
    <n v="2648090.56"/>
    <n v="989262.37"/>
    <n v="26256"/>
  </r>
  <r>
    <x v="14"/>
    <x v="1"/>
    <s v="NSW"/>
    <s v="No agreement"/>
    <s v="More than 125% MBS Fee to 150% MBS Fee"/>
    <n v="5453520.21"/>
    <n v="2939536.94"/>
    <n v="1277315.46"/>
    <n v="49574"/>
  </r>
  <r>
    <x v="14"/>
    <x v="1"/>
    <s v="NSW"/>
    <s v="No agreement"/>
    <s v="More than 150% MBS Fee to 200% MBS Fee"/>
    <n v="17103754.329999998"/>
    <n v="7326212.8300000001"/>
    <n v="3469606"/>
    <n v="72891"/>
  </r>
  <r>
    <x v="14"/>
    <x v="1"/>
    <s v="NSW"/>
    <s v="No agreement"/>
    <s v="More than 200% MBS Fee"/>
    <n v="87673043.849999994"/>
    <n v="22802464.629999999"/>
    <n v="7725525.0099999998"/>
    <n v="174571"/>
  </r>
  <r>
    <x v="14"/>
    <x v="1"/>
    <s v="NSW"/>
    <s v="Known gap agreement"/>
    <s v="100% MBS Fee to 125% MBS Fee"/>
    <n v="1071038.6499999999"/>
    <n v="708352.94"/>
    <n v="311454.15999999997"/>
    <n v="7469"/>
  </r>
  <r>
    <x v="14"/>
    <x v="1"/>
    <s v="NSW"/>
    <s v="Known gap agreement"/>
    <s v="More than 125% MBS Fee to 150% MBS Fee"/>
    <n v="1990816.84"/>
    <n v="1076599.81"/>
    <n v="791526.33"/>
    <n v="6256"/>
  </r>
  <r>
    <x v="14"/>
    <x v="1"/>
    <s v="NSW"/>
    <s v="Known gap agreement"/>
    <s v="More than 150% MBS Fee to 200% MBS Fee"/>
    <n v="4671020.59"/>
    <n v="2043043.53"/>
    <n v="1989204.75"/>
    <n v="17766"/>
  </r>
  <r>
    <x v="14"/>
    <x v="1"/>
    <s v="NSW"/>
    <s v="Known gap agreement"/>
    <s v="More than 200% MBS Fee"/>
    <n v="7417921.6500000004"/>
    <n v="1932122.04"/>
    <n v="2007187.64"/>
    <n v="18529"/>
  </r>
  <r>
    <x v="14"/>
    <x v="1"/>
    <s v="NSW"/>
    <s v="No gap agreement"/>
    <s v="Up to MBS Fee"/>
    <n v="8608419.0600000005"/>
    <n v="6523883.75"/>
    <n v="2084563.8"/>
    <n v="256882"/>
  </r>
  <r>
    <x v="14"/>
    <x v="1"/>
    <s v="NSW"/>
    <s v="No gap agreement"/>
    <s v="100% MBS Fee to 125% MBS Fee"/>
    <n v="36600936.130000003"/>
    <n v="23446750.579999998"/>
    <n v="13153936.92"/>
    <n v="450856"/>
  </r>
  <r>
    <x v="14"/>
    <x v="1"/>
    <s v="NSW"/>
    <s v="No gap agreement"/>
    <s v="More than 125% MBS Fee to 150% MBS Fee"/>
    <n v="64494092.560000002"/>
    <n v="35279533.049999997"/>
    <n v="29214300.75"/>
    <n v="258118"/>
  </r>
  <r>
    <x v="14"/>
    <x v="1"/>
    <s v="NSW"/>
    <s v="No gap agreement"/>
    <s v="More than 150% MBS Fee to 200% MBS Fee"/>
    <n v="58552252.299999997"/>
    <n v="27025716.440000001"/>
    <n v="31526366.210000001"/>
    <n v="353925"/>
  </r>
  <r>
    <x v="14"/>
    <x v="1"/>
    <s v="NSW"/>
    <s v="No gap agreement"/>
    <s v="More than 200% MBS Fee"/>
    <n v="5775348.3300000001"/>
    <n v="1672011.11"/>
    <n v="4103337.3"/>
    <n v="5684"/>
  </r>
  <r>
    <x v="14"/>
    <x v="1"/>
    <s v="VIC"/>
    <s v="No agreement"/>
    <s v="Up to MBS Fee"/>
    <n v="11445414.869999999"/>
    <n v="8616479.4399999995"/>
    <n v="2828223.87"/>
    <n v="162774"/>
  </r>
  <r>
    <x v="14"/>
    <x v="1"/>
    <s v="VIC"/>
    <s v="No agreement"/>
    <s v="100% MBS Fee to 125% MBS Fee"/>
    <n v="3008593.7"/>
    <n v="1999378.52"/>
    <n v="774814.51"/>
    <n v="23336"/>
  </r>
  <r>
    <x v="14"/>
    <x v="1"/>
    <s v="VIC"/>
    <s v="No agreement"/>
    <s v="More than 125% MBS Fee to 150% MBS Fee"/>
    <n v="4918495.1900000004"/>
    <n v="2686491.02"/>
    <n v="1587615.55"/>
    <n v="32891"/>
  </r>
  <r>
    <x v="14"/>
    <x v="1"/>
    <s v="VIC"/>
    <s v="No agreement"/>
    <s v="More than 150% MBS Fee to 200% MBS Fee"/>
    <n v="11616784.51"/>
    <n v="5050970.99"/>
    <n v="4026516.96"/>
    <n v="75205"/>
  </r>
  <r>
    <x v="14"/>
    <x v="1"/>
    <s v="VIC"/>
    <s v="No agreement"/>
    <s v="More than 200% MBS Fee"/>
    <n v="17971640.079999998"/>
    <n v="4799426.72"/>
    <n v="1654015.92"/>
    <n v="49547"/>
  </r>
  <r>
    <x v="14"/>
    <x v="1"/>
    <s v="VIC"/>
    <s v="Known gap agreement"/>
    <s v="100% MBS Fee to 125% MBS Fee"/>
    <n v="1961434.28"/>
    <n v="1298468.1100000001"/>
    <n v="509556.65"/>
    <n v="10963"/>
  </r>
  <r>
    <x v="14"/>
    <x v="1"/>
    <s v="VIC"/>
    <s v="Known gap agreement"/>
    <s v="More than 125% MBS Fee to 150% MBS Fee"/>
    <n v="3877856.88"/>
    <n v="2105644.71"/>
    <n v="1450954.23"/>
    <n v="12644"/>
  </r>
  <r>
    <x v="14"/>
    <x v="1"/>
    <s v="VIC"/>
    <s v="Known gap agreement"/>
    <s v="More than 150% MBS Fee to 200% MBS Fee"/>
    <n v="7153497.7400000002"/>
    <n v="3094571.52"/>
    <n v="2700204.85"/>
    <n v="24325"/>
  </r>
  <r>
    <x v="14"/>
    <x v="1"/>
    <s v="VIC"/>
    <s v="Known gap agreement"/>
    <s v="More than 200% MBS Fee"/>
    <n v="10490925.34"/>
    <n v="2903960.12"/>
    <n v="2951375.01"/>
    <n v="29880"/>
  </r>
  <r>
    <x v="14"/>
    <x v="1"/>
    <s v="VIC"/>
    <s v="No gap agreement"/>
    <s v="Up to MBS Fee"/>
    <n v="9012514.1600000001"/>
    <n v="6795534.8300000001"/>
    <n v="2217118.7799999998"/>
    <n v="192416"/>
  </r>
  <r>
    <x v="14"/>
    <x v="1"/>
    <s v="VIC"/>
    <s v="No gap agreement"/>
    <s v="100% MBS Fee to 125% MBS Fee"/>
    <n v="34882239.07"/>
    <n v="22453539.969999999"/>
    <n v="12428620.279999999"/>
    <n v="406260"/>
  </r>
  <r>
    <x v="14"/>
    <x v="1"/>
    <s v="VIC"/>
    <s v="No gap agreement"/>
    <s v="More than 125% MBS Fee to 150% MBS Fee"/>
    <n v="66357522.380000003"/>
    <n v="36542765.759999998"/>
    <n v="29814673.68"/>
    <n v="396745"/>
  </r>
  <r>
    <x v="14"/>
    <x v="1"/>
    <s v="VIC"/>
    <s v="No gap agreement"/>
    <s v="More than 150% MBS Fee to 200% MBS Fee"/>
    <n v="63998025.649999999"/>
    <n v="29238944.149999999"/>
    <n v="34759045.700000003"/>
    <n v="336060"/>
  </r>
  <r>
    <x v="14"/>
    <x v="1"/>
    <s v="VIC"/>
    <s v="No gap agreement"/>
    <s v="More than 200% MBS Fee"/>
    <n v="3004796.99"/>
    <n v="834990.32"/>
    <n v="2169806.84"/>
    <n v="2675"/>
  </r>
  <r>
    <x v="14"/>
    <x v="1"/>
    <s v="QLD"/>
    <s v="No agreement"/>
    <s v="Up to MBS Fee"/>
    <n v="6856401.2599999998"/>
    <n v="5165155.03"/>
    <n v="1686745.54"/>
    <n v="76358"/>
  </r>
  <r>
    <x v="14"/>
    <x v="1"/>
    <s v="QLD"/>
    <s v="No agreement"/>
    <s v="100% MBS Fee to 125% MBS Fee"/>
    <n v="2072554.71"/>
    <n v="1373463.91"/>
    <n v="468961.28000000003"/>
    <n v="11885"/>
  </r>
  <r>
    <x v="14"/>
    <x v="1"/>
    <s v="QLD"/>
    <s v="No agreement"/>
    <s v="More than 125% MBS Fee to 150% MBS Fee"/>
    <n v="3302700.13"/>
    <n v="1783174.28"/>
    <n v="647733"/>
    <n v="16617"/>
  </r>
  <r>
    <x v="14"/>
    <x v="1"/>
    <s v="QLD"/>
    <s v="No agreement"/>
    <s v="More than 150% MBS Fee to 200% MBS Fee"/>
    <n v="9359673.8300000001"/>
    <n v="4002890.19"/>
    <n v="1671500.73"/>
    <n v="40483"/>
  </r>
  <r>
    <x v="14"/>
    <x v="1"/>
    <s v="QLD"/>
    <s v="No agreement"/>
    <s v="More than 200% MBS Fee"/>
    <n v="36858024.340000004"/>
    <n v="10180655.91"/>
    <n v="3422735.21"/>
    <n v="119897"/>
  </r>
  <r>
    <x v="14"/>
    <x v="1"/>
    <s v="QLD"/>
    <s v="Known gap agreement"/>
    <s v="100% MBS Fee to 125% MBS Fee"/>
    <n v="593738.05000000005"/>
    <n v="378587.64"/>
    <n v="155068.21"/>
    <n v="3344"/>
  </r>
  <r>
    <x v="14"/>
    <x v="1"/>
    <s v="QLD"/>
    <s v="Known gap agreement"/>
    <s v="More than 125% MBS Fee to 150% MBS Fee"/>
    <n v="1195347.73"/>
    <n v="651930.28"/>
    <n v="457884.37"/>
    <n v="3876"/>
  </r>
  <r>
    <x v="14"/>
    <x v="1"/>
    <s v="QLD"/>
    <s v="Known gap agreement"/>
    <s v="More than 150% MBS Fee to 200% MBS Fee"/>
    <n v="3602209.65"/>
    <n v="1520255.41"/>
    <n v="1417248.23"/>
    <n v="9095"/>
  </r>
  <r>
    <x v="14"/>
    <x v="1"/>
    <s v="QLD"/>
    <s v="Known gap agreement"/>
    <s v="More than 200% MBS Fee"/>
    <n v="8867137.3599999994"/>
    <n v="2406408.6800000002"/>
    <n v="2598447.0099999998"/>
    <n v="22982"/>
  </r>
  <r>
    <x v="14"/>
    <x v="1"/>
    <s v="QLD"/>
    <s v="No gap agreement"/>
    <s v="Up to MBS Fee"/>
    <n v="2955795.63"/>
    <n v="2244395.9500000002"/>
    <n v="711154.98"/>
    <n v="60719"/>
  </r>
  <r>
    <x v="14"/>
    <x v="1"/>
    <s v="QLD"/>
    <s v="No gap agreement"/>
    <s v="100% MBS Fee to 125% MBS Fee"/>
    <n v="34571203.810000002"/>
    <n v="22219507.920000002"/>
    <n v="12351527.33"/>
    <n v="512862"/>
  </r>
  <r>
    <x v="14"/>
    <x v="1"/>
    <s v="QLD"/>
    <s v="No gap agreement"/>
    <s v="More than 125% MBS Fee to 150% MBS Fee"/>
    <n v="47667500.859999999"/>
    <n v="26358807.620000001"/>
    <n v="21308584.129999999"/>
    <n v="248776"/>
  </r>
  <r>
    <x v="14"/>
    <x v="1"/>
    <s v="QLD"/>
    <s v="No gap agreement"/>
    <s v="More than 150% MBS Fee to 200% MBS Fee"/>
    <n v="41163709.210000001"/>
    <n v="19202873.010000002"/>
    <n v="21960606.059999999"/>
    <n v="254394"/>
  </r>
  <r>
    <x v="14"/>
    <x v="1"/>
    <s v="QLD"/>
    <s v="No gap agreement"/>
    <s v="More than 200% MBS Fee"/>
    <n v="4703373.54"/>
    <n v="1294978.05"/>
    <n v="3408393.43"/>
    <n v="4450"/>
  </r>
  <r>
    <x v="14"/>
    <x v="1"/>
    <s v="SA"/>
    <s v="No agreement"/>
    <s v="Up to MBS Fee"/>
    <n v="2510686.1800000002"/>
    <n v="1883346.32"/>
    <n v="626174.78"/>
    <n v="59677"/>
  </r>
  <r>
    <x v="14"/>
    <x v="1"/>
    <s v="SA"/>
    <s v="No agreement"/>
    <s v="100% MBS Fee to 125% MBS Fee"/>
    <n v="651794.69999999995"/>
    <n v="434790.2"/>
    <n v="179020.27"/>
    <n v="5020"/>
  </r>
  <r>
    <x v="14"/>
    <x v="1"/>
    <s v="SA"/>
    <s v="No agreement"/>
    <s v="More than 125% MBS Fee to 150% MBS Fee"/>
    <n v="1404857.79"/>
    <n v="764797.92"/>
    <n v="458701.64"/>
    <n v="8358"/>
  </r>
  <r>
    <x v="14"/>
    <x v="1"/>
    <s v="SA"/>
    <s v="No agreement"/>
    <s v="More than 150% MBS Fee to 200% MBS Fee"/>
    <n v="6161099.8899999997"/>
    <n v="2666622.9900000002"/>
    <n v="3261670.87"/>
    <n v="48747"/>
  </r>
  <r>
    <x v="14"/>
    <x v="1"/>
    <s v="SA"/>
    <s v="No agreement"/>
    <s v="More than 200% MBS Fee"/>
    <n v="1477816.86"/>
    <n v="400812.56"/>
    <n v="179144.74"/>
    <n v="4040"/>
  </r>
  <r>
    <x v="14"/>
    <x v="1"/>
    <s v="SA"/>
    <s v="Known gap agreement"/>
    <s v="100% MBS Fee to 125% MBS Fee"/>
    <n v="1784834.14"/>
    <n v="1182487"/>
    <n v="566533.68999999994"/>
    <n v="13720"/>
  </r>
  <r>
    <x v="14"/>
    <x v="1"/>
    <s v="SA"/>
    <s v="Known gap agreement"/>
    <s v="More than 125% MBS Fee to 150% MBS Fee"/>
    <n v="2970536.53"/>
    <n v="1619060.56"/>
    <n v="1250437.02"/>
    <n v="11287"/>
  </r>
  <r>
    <x v="14"/>
    <x v="1"/>
    <s v="SA"/>
    <s v="Known gap agreement"/>
    <s v="More than 150% MBS Fee to 200% MBS Fee"/>
    <n v="2869597.99"/>
    <n v="1313203.2"/>
    <n v="1350603"/>
    <n v="11516"/>
  </r>
  <r>
    <x v="14"/>
    <x v="1"/>
    <s v="SA"/>
    <s v="Known gap agreement"/>
    <s v="More than 200% MBS Fee"/>
    <n v="1549211.68"/>
    <n v="378206.83"/>
    <n v="457914.83"/>
    <n v="3206"/>
  </r>
  <r>
    <x v="14"/>
    <x v="1"/>
    <s v="SA"/>
    <s v="No gap agreement"/>
    <s v="Up to MBS Fee"/>
    <n v="2901564.69"/>
    <n v="2181108.96"/>
    <n v="720492.67"/>
    <n v="26518"/>
  </r>
  <r>
    <x v="14"/>
    <x v="1"/>
    <s v="SA"/>
    <s v="No gap agreement"/>
    <s v="100% MBS Fee to 125% MBS Fee"/>
    <n v="9614513.8599999994"/>
    <n v="6372971.46"/>
    <n v="3241525.84"/>
    <n v="160764"/>
  </r>
  <r>
    <x v="14"/>
    <x v="1"/>
    <s v="SA"/>
    <s v="No gap agreement"/>
    <s v="More than 125% MBS Fee to 150% MBS Fee"/>
    <n v="16810978.579999998"/>
    <n v="9179142.1600000001"/>
    <n v="7631805.6399999997"/>
    <n v="89874"/>
  </r>
  <r>
    <x v="14"/>
    <x v="1"/>
    <s v="SA"/>
    <s v="No gap agreement"/>
    <s v="More than 150% MBS Fee to 200% MBS Fee"/>
    <n v="23012779.690000001"/>
    <n v="10599118.119999999"/>
    <n v="12413655.52"/>
    <n v="86188"/>
  </r>
  <r>
    <x v="14"/>
    <x v="1"/>
    <s v="SA"/>
    <s v="No gap agreement"/>
    <s v="More than 200% MBS Fee"/>
    <n v="1307563.81"/>
    <n v="335172.90999999997"/>
    <n v="972391.15"/>
    <n v="1023"/>
  </r>
  <r>
    <x v="14"/>
    <x v="1"/>
    <s v="WA"/>
    <s v="No agreement"/>
    <s v="Up to MBS Fee"/>
    <n v="1624689.16"/>
    <n v="1223213.8799999999"/>
    <n v="401461.28"/>
    <n v="36789"/>
  </r>
  <r>
    <x v="14"/>
    <x v="1"/>
    <s v="WA"/>
    <s v="No agreement"/>
    <s v="100% MBS Fee to 125% MBS Fee"/>
    <n v="479333.56"/>
    <n v="313560.15999999997"/>
    <n v="108180.36"/>
    <n v="3532"/>
  </r>
  <r>
    <x v="14"/>
    <x v="1"/>
    <s v="WA"/>
    <s v="No agreement"/>
    <s v="More than 125% MBS Fee to 150% MBS Fee"/>
    <n v="1427310.75"/>
    <n v="777325.73"/>
    <n v="262020.31"/>
    <n v="9304"/>
  </r>
  <r>
    <x v="14"/>
    <x v="1"/>
    <s v="WA"/>
    <s v="No agreement"/>
    <s v="More than 150% MBS Fee to 200% MBS Fee"/>
    <n v="2852757.18"/>
    <n v="1228594.45"/>
    <n v="422032.83"/>
    <n v="18447"/>
  </r>
  <r>
    <x v="14"/>
    <x v="1"/>
    <s v="WA"/>
    <s v="No agreement"/>
    <s v="More than 200% MBS Fee"/>
    <n v="5620263.4000000004"/>
    <n v="1343409.25"/>
    <n v="447881.56"/>
    <n v="12931"/>
  </r>
  <r>
    <x v="14"/>
    <x v="1"/>
    <s v="WA"/>
    <s v="Known gap agreement"/>
    <s v="100% MBS Fee to 125% MBS Fee"/>
    <n v="1744423.85"/>
    <n v="1190937.07"/>
    <n v="523205.2"/>
    <n v="11025"/>
  </r>
  <r>
    <x v="14"/>
    <x v="1"/>
    <s v="WA"/>
    <s v="Known gap agreement"/>
    <s v="More than 125% MBS Fee to 150% MBS Fee"/>
    <n v="3940284.03"/>
    <n v="2108392.98"/>
    <n v="1514876.9"/>
    <n v="14251"/>
  </r>
  <r>
    <x v="14"/>
    <x v="1"/>
    <s v="WA"/>
    <s v="Known gap agreement"/>
    <s v="More than 150% MBS Fee to 200% MBS Fee"/>
    <n v="6408231.6500000004"/>
    <n v="2797024.27"/>
    <n v="2095986.14"/>
    <n v="23598"/>
  </r>
  <r>
    <x v="14"/>
    <x v="1"/>
    <s v="WA"/>
    <s v="Known gap agreement"/>
    <s v="More than 200% MBS Fee"/>
    <n v="11044186.27"/>
    <n v="2691190.55"/>
    <n v="1870697.4"/>
    <n v="20125"/>
  </r>
  <r>
    <x v="14"/>
    <x v="1"/>
    <s v="WA"/>
    <s v="No gap agreement"/>
    <s v="Up to MBS Fee"/>
    <n v="910140.92"/>
    <n v="692039.76"/>
    <n v="218100.81"/>
    <n v="10091"/>
  </r>
  <r>
    <x v="14"/>
    <x v="1"/>
    <s v="WA"/>
    <s v="No gap agreement"/>
    <s v="100% MBS Fee to 125% MBS Fee"/>
    <n v="9349512.3499999996"/>
    <n v="5882019.75"/>
    <n v="3467479.63"/>
    <n v="99771"/>
  </r>
  <r>
    <x v="14"/>
    <x v="1"/>
    <s v="WA"/>
    <s v="No gap agreement"/>
    <s v="More than 125% MBS Fee to 150% MBS Fee"/>
    <n v="26166806.690000001"/>
    <n v="14363474.689999999"/>
    <n v="11803327.6"/>
    <n v="166088"/>
  </r>
  <r>
    <x v="14"/>
    <x v="1"/>
    <s v="WA"/>
    <s v="No gap agreement"/>
    <s v="More than 150% MBS Fee to 200% MBS Fee"/>
    <n v="24773582.530000001"/>
    <n v="10888505.83"/>
    <n v="13885072.109999999"/>
    <n v="136288"/>
  </r>
  <r>
    <x v="14"/>
    <x v="1"/>
    <s v="WA"/>
    <s v="No gap agreement"/>
    <s v="More than 200% MBS Fee"/>
    <n v="2688844.85"/>
    <n v="609446.96"/>
    <n v="2079397.8"/>
    <n v="1797"/>
  </r>
  <r>
    <x v="14"/>
    <x v="1"/>
    <s v="TAS"/>
    <s v="No agreement"/>
    <s v="Up to MBS Fee"/>
    <n v="1029766.64"/>
    <n v="774047.76"/>
    <n v="255565.28"/>
    <n v="13938"/>
  </r>
  <r>
    <x v="14"/>
    <x v="1"/>
    <s v="TAS"/>
    <s v="No agreement"/>
    <s v="100% MBS Fee to 125% MBS Fee"/>
    <n v="336439.28"/>
    <n v="227075.36"/>
    <n v="75253.87"/>
    <n v="2263"/>
  </r>
  <r>
    <x v="14"/>
    <x v="1"/>
    <s v="TAS"/>
    <s v="No agreement"/>
    <s v="More than 125% MBS Fee to 150% MBS Fee"/>
    <n v="322950.37"/>
    <n v="175671.33"/>
    <n v="70973.990000000005"/>
    <n v="956"/>
  </r>
  <r>
    <x v="14"/>
    <x v="1"/>
    <s v="TAS"/>
    <s v="No agreement"/>
    <s v="More than 150% MBS Fee to 200% MBS Fee"/>
    <n v="706207.95"/>
    <n v="304608.34999999998"/>
    <n v="146820.59"/>
    <n v="3761"/>
  </r>
  <r>
    <x v="14"/>
    <x v="1"/>
    <s v="TAS"/>
    <s v="No agreement"/>
    <s v="More than 200% MBS Fee"/>
    <n v="2354771.71"/>
    <n v="593064.84"/>
    <n v="208308.75"/>
    <n v="4787"/>
  </r>
  <r>
    <x v="14"/>
    <x v="1"/>
    <s v="TAS"/>
    <s v="Known gap agreement"/>
    <s v="100% MBS Fee to 125% MBS Fee"/>
    <n v="64882.63"/>
    <n v="44516.800000000003"/>
    <n v="16129.67"/>
    <n v="420"/>
  </r>
  <r>
    <x v="14"/>
    <x v="1"/>
    <s v="TAS"/>
    <s v="Known gap agreement"/>
    <s v="More than 125% MBS Fee to 150% MBS Fee"/>
    <n v="119628.59"/>
    <n v="64015.1"/>
    <n v="48985.3"/>
    <n v="414"/>
  </r>
  <r>
    <x v="14"/>
    <x v="1"/>
    <s v="TAS"/>
    <s v="Known gap agreement"/>
    <s v="More than 150% MBS Fee to 200% MBS Fee"/>
    <n v="595259.76"/>
    <n v="256648.91"/>
    <n v="257868.47"/>
    <n v="1380"/>
  </r>
  <r>
    <x v="14"/>
    <x v="1"/>
    <s v="TAS"/>
    <s v="Known gap agreement"/>
    <s v="More than 200% MBS Fee"/>
    <n v="1088336.92"/>
    <n v="327584.65999999997"/>
    <n v="382674.75"/>
    <n v="3818"/>
  </r>
  <r>
    <x v="14"/>
    <x v="1"/>
    <s v="TAS"/>
    <s v="No gap agreement"/>
    <s v="Up to MBS Fee"/>
    <n v="454352.86"/>
    <n v="345058.86"/>
    <n v="109368.75"/>
    <n v="9446"/>
  </r>
  <r>
    <x v="14"/>
    <x v="1"/>
    <s v="TAS"/>
    <s v="No gap agreement"/>
    <s v="100% MBS Fee to 125% MBS Fee"/>
    <n v="3386378.81"/>
    <n v="2177348.19"/>
    <n v="1209025.3799999999"/>
    <n v="42750"/>
  </r>
  <r>
    <x v="14"/>
    <x v="1"/>
    <s v="TAS"/>
    <s v="No gap agreement"/>
    <s v="More than 125% MBS Fee to 150% MBS Fee"/>
    <n v="5602450.5199999996"/>
    <n v="3051158.79"/>
    <n v="2551288.85"/>
    <n v="17847"/>
  </r>
  <r>
    <x v="14"/>
    <x v="1"/>
    <s v="TAS"/>
    <s v="No gap agreement"/>
    <s v="More than 150% MBS Fee to 200% MBS Fee"/>
    <n v="5406669.3700000001"/>
    <n v="2491587.52"/>
    <n v="2915079.93"/>
    <n v="33905"/>
  </r>
  <r>
    <x v="14"/>
    <x v="1"/>
    <s v="TAS"/>
    <s v="No gap agreement"/>
    <s v="More than 200% MBS Fee"/>
    <n v="481110.93"/>
    <n v="134309.20000000001"/>
    <n v="346801.73"/>
    <n v="379"/>
  </r>
  <r>
    <x v="14"/>
    <x v="1"/>
    <s v="NT"/>
    <s v="No agreement"/>
    <s v="Up to MBS Fee"/>
    <n v="261324.79999999999"/>
    <n v="195456.94"/>
    <n v="65867.41"/>
    <n v="3106"/>
  </r>
  <r>
    <x v="14"/>
    <x v="1"/>
    <s v="NT"/>
    <s v="No agreement"/>
    <s v="100% MBS Fee to 125% MBS Fee"/>
    <n v="37564.42"/>
    <n v="24201.45"/>
    <n v="8504.83"/>
    <n v="143"/>
  </r>
  <r>
    <x v="14"/>
    <x v="1"/>
    <s v="NT"/>
    <s v="No agreement"/>
    <s v="More than 125% MBS Fee to 150% MBS Fee"/>
    <n v="62673.55"/>
    <n v="33979.019999999997"/>
    <n v="11547.3"/>
    <n v="248"/>
  </r>
  <r>
    <x v="14"/>
    <x v="1"/>
    <s v="NT"/>
    <s v="No agreement"/>
    <s v="More than 150% MBS Fee to 200% MBS Fee"/>
    <n v="164469.25"/>
    <n v="70128.39"/>
    <n v="33235.08"/>
    <n v="859"/>
  </r>
  <r>
    <x v="14"/>
    <x v="1"/>
    <s v="NT"/>
    <s v="No agreement"/>
    <s v="More than 200% MBS Fee"/>
    <n v="787637.05"/>
    <n v="217010.88"/>
    <n v="71664"/>
    <n v="1940"/>
  </r>
  <r>
    <x v="14"/>
    <x v="1"/>
    <s v="NT"/>
    <s v="Known gap agreement"/>
    <s v="100% MBS Fee to 125% MBS Fee"/>
    <n v="13745.42"/>
    <n v="9521.65"/>
    <n v="3459.03"/>
    <n v="62"/>
  </r>
  <r>
    <x v="14"/>
    <x v="1"/>
    <s v="NT"/>
    <s v="Known gap agreement"/>
    <s v="More than 125% MBS Fee to 150% MBS Fee"/>
    <n v="21622.7"/>
    <n v="11790.25"/>
    <n v="8056.32"/>
    <n v="96"/>
  </r>
  <r>
    <x v="14"/>
    <x v="1"/>
    <s v="NT"/>
    <s v="Known gap agreement"/>
    <s v="More than 150% MBS Fee to 200% MBS Fee"/>
    <n v="50526.71"/>
    <n v="21811.4"/>
    <n v="20281.79"/>
    <n v="118"/>
  </r>
  <r>
    <x v="14"/>
    <x v="1"/>
    <s v="NT"/>
    <s v="Known gap agreement"/>
    <s v="More than 200% MBS Fee"/>
    <n v="207571.96"/>
    <n v="52737.35"/>
    <n v="56037.75"/>
    <n v="555"/>
  </r>
  <r>
    <x v="14"/>
    <x v="1"/>
    <s v="NT"/>
    <s v="No gap agreement"/>
    <s v="Up to MBS Fee"/>
    <n v="85805.04"/>
    <n v="64610.41"/>
    <n v="21192.23"/>
    <n v="812"/>
  </r>
  <r>
    <x v="14"/>
    <x v="1"/>
    <s v="NT"/>
    <s v="No gap agreement"/>
    <s v="100% MBS Fee to 125% MBS Fee"/>
    <n v="271635.71999999997"/>
    <n v="175143.65"/>
    <n v="96492.07"/>
    <n v="3078"/>
  </r>
  <r>
    <x v="14"/>
    <x v="1"/>
    <s v="NT"/>
    <s v="No gap agreement"/>
    <s v="More than 125% MBS Fee to 150% MBS Fee"/>
    <n v="821526.22"/>
    <n v="444045.75"/>
    <n v="377473.98"/>
    <n v="2702"/>
  </r>
  <r>
    <x v="14"/>
    <x v="1"/>
    <s v="NT"/>
    <s v="No gap agreement"/>
    <s v="More than 150% MBS Fee to 200% MBS Fee"/>
    <n v="904029.79"/>
    <n v="414047.65"/>
    <n v="489978.27"/>
    <n v="4980"/>
  </r>
  <r>
    <x v="14"/>
    <x v="1"/>
    <s v="NT"/>
    <s v="No gap agreement"/>
    <s v="More than 200% MBS Fee"/>
    <n v="101502.55"/>
    <n v="28869.75"/>
    <n v="72632.95"/>
    <n v="137"/>
  </r>
  <r>
    <x v="15"/>
    <x v="0"/>
    <s v="NSW"/>
    <s v="No agreement"/>
    <s v="Up to MBS Fee"/>
    <n v="33048853.550000001"/>
    <n v="24847603.609999999"/>
    <n v="8200921.5700000003"/>
    <n v="525978"/>
  </r>
  <r>
    <x v="15"/>
    <x v="0"/>
    <s v="NSW"/>
    <s v="No agreement"/>
    <s v="100% MBS Fee to 125% MBS Fee"/>
    <n v="2669074.56"/>
    <n v="1785700.31"/>
    <n v="594616.57999999996"/>
    <n v="15134"/>
  </r>
  <r>
    <x v="15"/>
    <x v="0"/>
    <s v="NSW"/>
    <s v="No agreement"/>
    <s v="More than 125% MBS Fee to 150% MBS Fee"/>
    <n v="3141858.6"/>
    <n v="1693811.11"/>
    <n v="573043.59"/>
    <n v="13495"/>
  </r>
  <r>
    <x v="15"/>
    <x v="0"/>
    <s v="NSW"/>
    <s v="No agreement"/>
    <s v="More than 150% MBS Fee to 200% MBS Fee"/>
    <n v="14638970.51"/>
    <n v="6196669.6100000003"/>
    <n v="2082983.44"/>
    <n v="73404"/>
  </r>
  <r>
    <x v="15"/>
    <x v="0"/>
    <s v="NSW"/>
    <s v="No agreement"/>
    <s v="More than 200% MBS Fee"/>
    <n v="92009506.730000004"/>
    <n v="22468550.539999999"/>
    <n v="7514483.7400000002"/>
    <n v="152398"/>
  </r>
  <r>
    <x v="15"/>
    <x v="0"/>
    <s v="NSW"/>
    <s v="Known gap agreement"/>
    <s v="100% MBS Fee to 125% MBS Fee"/>
    <n v="1845463.73"/>
    <n v="1195567.74"/>
    <n v="509084.36"/>
    <n v="12361"/>
  </r>
  <r>
    <x v="15"/>
    <x v="0"/>
    <s v="NSW"/>
    <s v="Known gap agreement"/>
    <s v="More than 125% MBS Fee to 150% MBS Fee"/>
    <n v="3609072.72"/>
    <n v="1947016.02"/>
    <n v="1237835.6299999999"/>
    <n v="12637"/>
  </r>
  <r>
    <x v="15"/>
    <x v="0"/>
    <s v="NSW"/>
    <s v="Known gap agreement"/>
    <s v="More than 150% MBS Fee to 200% MBS Fee"/>
    <n v="5607429.8099999996"/>
    <n v="2462554.17"/>
    <n v="2268978.73"/>
    <n v="17691"/>
  </r>
  <r>
    <x v="15"/>
    <x v="0"/>
    <s v="NSW"/>
    <s v="Known gap agreement"/>
    <s v="More than 200% MBS Fee"/>
    <n v="6876952.0199999996"/>
    <n v="1811592.68"/>
    <n v="1805316.3"/>
    <n v="17382"/>
  </r>
  <r>
    <x v="15"/>
    <x v="0"/>
    <s v="NSW"/>
    <s v="No gap agreement"/>
    <s v="Up to MBS Fee"/>
    <n v="9746474.6899999995"/>
    <n v="7330252.5800000001"/>
    <n v="2416703.19"/>
    <n v="284531"/>
  </r>
  <r>
    <x v="15"/>
    <x v="0"/>
    <s v="NSW"/>
    <s v="No gap agreement"/>
    <s v="100% MBS Fee to 125% MBS Fee"/>
    <n v="34589005.700000003"/>
    <n v="22239247.870000001"/>
    <n v="12349335.199999999"/>
    <n v="355616"/>
  </r>
  <r>
    <x v="15"/>
    <x v="0"/>
    <s v="NSW"/>
    <s v="No gap agreement"/>
    <s v="More than 125% MBS Fee to 150% MBS Fee"/>
    <n v="75988837.609999999"/>
    <n v="41921552.759999998"/>
    <n v="34067009.409999996"/>
    <n v="422083"/>
  </r>
  <r>
    <x v="15"/>
    <x v="0"/>
    <s v="NSW"/>
    <s v="No gap agreement"/>
    <s v="More than 150% MBS Fee to 200% MBS Fee"/>
    <n v="67003074.340000004"/>
    <n v="30696730.289999999"/>
    <n v="36305992.869999997"/>
    <n v="414729"/>
  </r>
  <r>
    <x v="15"/>
    <x v="0"/>
    <s v="NSW"/>
    <s v="No gap agreement"/>
    <s v="More than 200% MBS Fee"/>
    <n v="9652545.9000000004"/>
    <n v="2996186.95"/>
    <n v="6656356.7400000002"/>
    <n v="37381"/>
  </r>
  <r>
    <x v="15"/>
    <x v="0"/>
    <s v="VIC"/>
    <s v="No agreement"/>
    <s v="Up to MBS Fee"/>
    <n v="11496618.49"/>
    <n v="8642462.9700000007"/>
    <n v="2853821.39"/>
    <n v="98599"/>
  </r>
  <r>
    <x v="15"/>
    <x v="0"/>
    <s v="VIC"/>
    <s v="No agreement"/>
    <s v="100% MBS Fee to 125% MBS Fee"/>
    <n v="1437636.32"/>
    <n v="957441.98"/>
    <n v="319902.03999999998"/>
    <n v="8771"/>
  </r>
  <r>
    <x v="15"/>
    <x v="0"/>
    <s v="VIC"/>
    <s v="No agreement"/>
    <s v="More than 125% MBS Fee to 150% MBS Fee"/>
    <n v="1941183.89"/>
    <n v="1056585.5900000001"/>
    <n v="354156.12"/>
    <n v="15102"/>
  </r>
  <r>
    <x v="15"/>
    <x v="0"/>
    <s v="VIC"/>
    <s v="No agreement"/>
    <s v="More than 150% MBS Fee to 200% MBS Fee"/>
    <n v="4875196.8"/>
    <n v="2087115.05"/>
    <n v="701912.73"/>
    <n v="22323"/>
  </r>
  <r>
    <x v="15"/>
    <x v="0"/>
    <s v="VIC"/>
    <s v="No agreement"/>
    <s v="More than 200% MBS Fee"/>
    <n v="21900490.559999999"/>
    <n v="5597832.5599999996"/>
    <n v="1873003.54"/>
    <n v="47796"/>
  </r>
  <r>
    <x v="15"/>
    <x v="0"/>
    <s v="VIC"/>
    <s v="Known gap agreement"/>
    <s v="100% MBS Fee to 125% MBS Fee"/>
    <n v="2014632.95"/>
    <n v="1326474.33"/>
    <n v="563830.84"/>
    <n v="10646"/>
  </r>
  <r>
    <x v="15"/>
    <x v="0"/>
    <s v="VIC"/>
    <s v="Known gap agreement"/>
    <s v="More than 125% MBS Fee to 150% MBS Fee"/>
    <n v="4927931.97"/>
    <n v="2701103.83"/>
    <n v="1775102.76"/>
    <n v="19204"/>
  </r>
  <r>
    <x v="15"/>
    <x v="0"/>
    <s v="VIC"/>
    <s v="Known gap agreement"/>
    <s v="More than 150% MBS Fee to 200% MBS Fee"/>
    <n v="7263684.4299999997"/>
    <n v="3178000.2"/>
    <n v="2820166.83"/>
    <n v="19730"/>
  </r>
  <r>
    <x v="15"/>
    <x v="0"/>
    <s v="VIC"/>
    <s v="Known gap agreement"/>
    <s v="More than 200% MBS Fee"/>
    <n v="10639099.029999999"/>
    <n v="2875796.74"/>
    <n v="2949379.71"/>
    <n v="26657"/>
  </r>
  <r>
    <x v="15"/>
    <x v="0"/>
    <s v="VIC"/>
    <s v="No gap agreement"/>
    <s v="Up to MBS Fee"/>
    <n v="10408449.99"/>
    <n v="7833752.8899999997"/>
    <n v="2574744.77"/>
    <n v="210250"/>
  </r>
  <r>
    <x v="15"/>
    <x v="0"/>
    <s v="VIC"/>
    <s v="No gap agreement"/>
    <s v="100% MBS Fee to 125% MBS Fee"/>
    <n v="33727480.82"/>
    <n v="21614732.23"/>
    <n v="12112544.970000001"/>
    <n v="323834"/>
  </r>
  <r>
    <x v="15"/>
    <x v="0"/>
    <s v="VIC"/>
    <s v="No gap agreement"/>
    <s v="More than 125% MBS Fee to 150% MBS Fee"/>
    <n v="74835396.609999999"/>
    <n v="41507061.009999998"/>
    <n v="33328206.140000001"/>
    <n v="567363"/>
  </r>
  <r>
    <x v="15"/>
    <x v="0"/>
    <s v="VIC"/>
    <s v="No gap agreement"/>
    <s v="More than 150% MBS Fee to 200% MBS Fee"/>
    <n v="73521293.390000001"/>
    <n v="33394681.989999998"/>
    <n v="40126533.530000001"/>
    <n v="395597"/>
  </r>
  <r>
    <x v="15"/>
    <x v="0"/>
    <s v="VIC"/>
    <s v="No gap agreement"/>
    <s v="More than 200% MBS Fee"/>
    <n v="4524731.7300000004"/>
    <n v="1280764.08"/>
    <n v="3243967.55"/>
    <n v="9490"/>
  </r>
  <r>
    <x v="15"/>
    <x v="0"/>
    <s v="QLD"/>
    <s v="No agreement"/>
    <s v="Up to MBS Fee"/>
    <n v="10149970.57"/>
    <n v="7624023.7300000004"/>
    <n v="2523183.5"/>
    <n v="97038"/>
  </r>
  <r>
    <x v="15"/>
    <x v="0"/>
    <s v="QLD"/>
    <s v="No agreement"/>
    <s v="100% MBS Fee to 125% MBS Fee"/>
    <n v="1768966.78"/>
    <n v="1174365.1200000001"/>
    <n v="390808.35"/>
    <n v="11378"/>
  </r>
  <r>
    <x v="15"/>
    <x v="0"/>
    <s v="QLD"/>
    <s v="No agreement"/>
    <s v="More than 125% MBS Fee to 150% MBS Fee"/>
    <n v="3242114.53"/>
    <n v="1760343.38"/>
    <n v="603936.98"/>
    <n v="15125"/>
  </r>
  <r>
    <x v="15"/>
    <x v="0"/>
    <s v="QLD"/>
    <s v="No agreement"/>
    <s v="More than 150% MBS Fee to 200% MBS Fee"/>
    <n v="9592665.0099999998"/>
    <n v="4056099.51"/>
    <n v="1353405.13"/>
    <n v="29736"/>
  </r>
  <r>
    <x v="15"/>
    <x v="0"/>
    <s v="QLD"/>
    <s v="No agreement"/>
    <s v="More than 200% MBS Fee"/>
    <n v="42847781.18"/>
    <n v="11491660.98"/>
    <n v="3830583.81"/>
    <n v="81606"/>
  </r>
  <r>
    <x v="15"/>
    <x v="0"/>
    <s v="QLD"/>
    <s v="Known gap agreement"/>
    <s v="100% MBS Fee to 125% MBS Fee"/>
    <n v="1444251.15"/>
    <n v="915593.42"/>
    <n v="389865.32"/>
    <n v="10037"/>
  </r>
  <r>
    <x v="15"/>
    <x v="0"/>
    <s v="QLD"/>
    <s v="Known gap agreement"/>
    <s v="More than 125% MBS Fee to 150% MBS Fee"/>
    <n v="4271031.42"/>
    <n v="2319927.35"/>
    <n v="1479987.84"/>
    <n v="21607"/>
  </r>
  <r>
    <x v="15"/>
    <x v="0"/>
    <s v="QLD"/>
    <s v="Known gap agreement"/>
    <s v="More than 150% MBS Fee to 200% MBS Fee"/>
    <n v="5138107.7"/>
    <n v="2233436.4700000002"/>
    <n v="2031573.32"/>
    <n v="12646"/>
  </r>
  <r>
    <x v="15"/>
    <x v="0"/>
    <s v="QLD"/>
    <s v="Known gap agreement"/>
    <s v="More than 200% MBS Fee"/>
    <n v="8742193.3300000001"/>
    <n v="2374846.29"/>
    <n v="2500509.39"/>
    <n v="21334"/>
  </r>
  <r>
    <x v="15"/>
    <x v="0"/>
    <s v="QLD"/>
    <s v="No gap agreement"/>
    <s v="Up to MBS Fee"/>
    <n v="4014540.22"/>
    <n v="3026417.2"/>
    <n v="988170.6"/>
    <n v="68402"/>
  </r>
  <r>
    <x v="15"/>
    <x v="0"/>
    <s v="QLD"/>
    <s v="No gap agreement"/>
    <s v="100% MBS Fee to 125% MBS Fee"/>
    <n v="31421826.190000001"/>
    <n v="20146703.609999999"/>
    <n v="11274830.59"/>
    <n v="331141"/>
  </r>
  <r>
    <x v="15"/>
    <x v="0"/>
    <s v="QLD"/>
    <s v="No gap agreement"/>
    <s v="More than 125% MBS Fee to 150% MBS Fee"/>
    <n v="65110945.649999999"/>
    <n v="36263662.859999999"/>
    <n v="28847106.309999999"/>
    <n v="583032"/>
  </r>
  <r>
    <x v="15"/>
    <x v="0"/>
    <s v="QLD"/>
    <s v="No gap agreement"/>
    <s v="More than 150% MBS Fee to 200% MBS Fee"/>
    <n v="44088034.450000003"/>
    <n v="20416350.82"/>
    <n v="23671743.489999998"/>
    <n v="282996"/>
  </r>
  <r>
    <x v="15"/>
    <x v="0"/>
    <s v="QLD"/>
    <s v="No gap agreement"/>
    <s v="More than 200% MBS Fee"/>
    <n v="6284481.8799999999"/>
    <n v="1829805.38"/>
    <n v="4454675.79"/>
    <n v="10282"/>
  </r>
  <r>
    <x v="15"/>
    <x v="0"/>
    <s v="SA"/>
    <s v="No agreement"/>
    <s v="Up to MBS Fee"/>
    <n v="3447225.43"/>
    <n v="2587785.33"/>
    <n v="859285.84"/>
    <n v="49839"/>
  </r>
  <r>
    <x v="15"/>
    <x v="0"/>
    <s v="SA"/>
    <s v="No agreement"/>
    <s v="100% MBS Fee to 125% MBS Fee"/>
    <n v="304779.59999999998"/>
    <n v="202105.2"/>
    <n v="69608.61"/>
    <n v="2761"/>
  </r>
  <r>
    <x v="15"/>
    <x v="0"/>
    <s v="SA"/>
    <s v="No agreement"/>
    <s v="More than 125% MBS Fee to 150% MBS Fee"/>
    <n v="690793.75"/>
    <n v="368854.65"/>
    <n v="131263.31"/>
    <n v="3430"/>
  </r>
  <r>
    <x v="15"/>
    <x v="0"/>
    <s v="SA"/>
    <s v="No agreement"/>
    <s v="More than 150% MBS Fee to 200% MBS Fee"/>
    <n v="698651.48"/>
    <n v="302796.15999999997"/>
    <n v="109454.89"/>
    <n v="2768"/>
  </r>
  <r>
    <x v="15"/>
    <x v="0"/>
    <s v="SA"/>
    <s v="No agreement"/>
    <s v="More than 200% MBS Fee"/>
    <n v="2296955.35"/>
    <n v="580334.98"/>
    <n v="192269.15"/>
    <n v="6716"/>
  </r>
  <r>
    <x v="15"/>
    <x v="0"/>
    <s v="SA"/>
    <s v="Known gap agreement"/>
    <s v="100% MBS Fee to 125% MBS Fee"/>
    <n v="871614.15"/>
    <n v="572165.42000000004"/>
    <n v="223627.5"/>
    <n v="4109"/>
  </r>
  <r>
    <x v="15"/>
    <x v="0"/>
    <s v="SA"/>
    <s v="Known gap agreement"/>
    <s v="More than 125% MBS Fee to 150% MBS Fee"/>
    <n v="1031797.22"/>
    <n v="556126.32999999996"/>
    <n v="341304.47"/>
    <n v="4143"/>
  </r>
  <r>
    <x v="15"/>
    <x v="0"/>
    <s v="SA"/>
    <s v="Known gap agreement"/>
    <s v="More than 150% MBS Fee to 200% MBS Fee"/>
    <n v="2750172.68"/>
    <n v="1190360.82"/>
    <n v="1130708.93"/>
    <n v="4829"/>
  </r>
  <r>
    <x v="15"/>
    <x v="0"/>
    <s v="SA"/>
    <s v="Known gap agreement"/>
    <s v="More than 200% MBS Fee"/>
    <n v="1528363.58"/>
    <n v="420139.51"/>
    <n v="453598.2"/>
    <n v="3653"/>
  </r>
  <r>
    <x v="15"/>
    <x v="0"/>
    <s v="SA"/>
    <s v="No gap agreement"/>
    <s v="Up to MBS Fee"/>
    <n v="2892943.26"/>
    <n v="2174643.25"/>
    <n v="718356.41"/>
    <n v="23389"/>
  </r>
  <r>
    <x v="15"/>
    <x v="0"/>
    <s v="SA"/>
    <s v="No gap agreement"/>
    <s v="100% MBS Fee to 125% MBS Fee"/>
    <n v="10069759.84"/>
    <n v="6490526.9100000001"/>
    <n v="3579149.73"/>
    <n v="124640"/>
  </r>
  <r>
    <x v="15"/>
    <x v="0"/>
    <s v="SA"/>
    <s v="No gap agreement"/>
    <s v="More than 125% MBS Fee to 150% MBS Fee"/>
    <n v="19918358.399999999"/>
    <n v="10929635.83"/>
    <n v="8988684.0199999996"/>
    <n v="163419"/>
  </r>
  <r>
    <x v="15"/>
    <x v="0"/>
    <s v="SA"/>
    <s v="No gap agreement"/>
    <s v="More than 150% MBS Fee to 200% MBS Fee"/>
    <n v="37551800.420000002"/>
    <n v="16945938.239999998"/>
    <n v="20605827.940000001"/>
    <n v="162172"/>
  </r>
  <r>
    <x v="15"/>
    <x v="0"/>
    <s v="SA"/>
    <s v="No gap agreement"/>
    <s v="More than 200% MBS Fee"/>
    <n v="2244760.39"/>
    <n v="623136.41"/>
    <n v="1621622.28"/>
    <n v="2925"/>
  </r>
  <r>
    <x v="15"/>
    <x v="0"/>
    <s v="WA"/>
    <s v="No agreement"/>
    <s v="Up to MBS Fee"/>
    <n v="1951382.91"/>
    <n v="1466839.6"/>
    <n v="484507.56"/>
    <n v="33962"/>
  </r>
  <r>
    <x v="15"/>
    <x v="0"/>
    <s v="WA"/>
    <s v="No agreement"/>
    <s v="100% MBS Fee to 125% MBS Fee"/>
    <n v="432243.16"/>
    <n v="280468.05"/>
    <n v="93517.71"/>
    <n v="3122"/>
  </r>
  <r>
    <x v="15"/>
    <x v="0"/>
    <s v="WA"/>
    <s v="No agreement"/>
    <s v="More than 125% MBS Fee to 150% MBS Fee"/>
    <n v="1375358.53"/>
    <n v="743108.98"/>
    <n v="249574.66"/>
    <n v="9813"/>
  </r>
  <r>
    <x v="15"/>
    <x v="0"/>
    <s v="WA"/>
    <s v="No agreement"/>
    <s v="More than 150% MBS Fee to 200% MBS Fee"/>
    <n v="3042387.39"/>
    <n v="1284340.31"/>
    <n v="427104.68"/>
    <n v="14118"/>
  </r>
  <r>
    <x v="15"/>
    <x v="0"/>
    <s v="WA"/>
    <s v="No agreement"/>
    <s v="More than 200% MBS Fee"/>
    <n v="6685777.4100000001"/>
    <n v="1662143.49"/>
    <n v="558456.37"/>
    <n v="16097"/>
  </r>
  <r>
    <x v="15"/>
    <x v="0"/>
    <s v="WA"/>
    <s v="Known gap agreement"/>
    <s v="100% MBS Fee to 125% MBS Fee"/>
    <n v="1743908.75"/>
    <n v="1190889.05"/>
    <n v="518581.47"/>
    <n v="11063"/>
  </r>
  <r>
    <x v="15"/>
    <x v="0"/>
    <s v="WA"/>
    <s v="Known gap agreement"/>
    <s v="More than 125% MBS Fee to 150% MBS Fee"/>
    <n v="3641109.97"/>
    <n v="1955421.5"/>
    <n v="1379240.86"/>
    <n v="28139"/>
  </r>
  <r>
    <x v="15"/>
    <x v="0"/>
    <s v="WA"/>
    <s v="Known gap agreement"/>
    <s v="More than 150% MBS Fee to 200% MBS Fee"/>
    <n v="6769504.54"/>
    <n v="2949137.4"/>
    <n v="2207985.2200000002"/>
    <n v="19378"/>
  </r>
  <r>
    <x v="15"/>
    <x v="0"/>
    <s v="WA"/>
    <s v="Known gap agreement"/>
    <s v="More than 200% MBS Fee"/>
    <n v="9967231.4900000002"/>
    <n v="2715013.45"/>
    <n v="1860011.83"/>
    <n v="19411"/>
  </r>
  <r>
    <x v="15"/>
    <x v="0"/>
    <s v="WA"/>
    <s v="No gap agreement"/>
    <s v="Up to MBS Fee"/>
    <n v="954874.07"/>
    <n v="722943.43"/>
    <n v="231930.64"/>
    <n v="10817"/>
  </r>
  <r>
    <x v="15"/>
    <x v="0"/>
    <s v="WA"/>
    <s v="No gap agreement"/>
    <s v="100% MBS Fee to 125% MBS Fee"/>
    <n v="8208103.2599999998"/>
    <n v="5190205.9400000004"/>
    <n v="3017884.25"/>
    <n v="73932"/>
  </r>
  <r>
    <x v="15"/>
    <x v="0"/>
    <s v="WA"/>
    <s v="No gap agreement"/>
    <s v="More than 125% MBS Fee to 150% MBS Fee"/>
    <n v="25256290.190000001"/>
    <n v="13988790.74"/>
    <n v="11267496.23"/>
    <n v="182855"/>
  </r>
  <r>
    <x v="15"/>
    <x v="0"/>
    <s v="WA"/>
    <s v="No gap agreement"/>
    <s v="More than 150% MBS Fee to 200% MBS Fee"/>
    <n v="30156707.73"/>
    <n v="13312858"/>
    <n v="16843847.489999998"/>
    <n v="148442"/>
  </r>
  <r>
    <x v="15"/>
    <x v="0"/>
    <s v="WA"/>
    <s v="No gap agreement"/>
    <s v="More than 200% MBS Fee"/>
    <n v="3064842.58"/>
    <n v="814092.48"/>
    <n v="2250750.1"/>
    <n v="2228"/>
  </r>
  <r>
    <x v="15"/>
    <x v="0"/>
    <s v="TAS"/>
    <s v="No agreement"/>
    <s v="Up to MBS Fee"/>
    <n v="1064057.9099999999"/>
    <n v="799450.45"/>
    <n v="264815.31"/>
    <n v="15326"/>
  </r>
  <r>
    <x v="15"/>
    <x v="0"/>
    <s v="TAS"/>
    <s v="No agreement"/>
    <s v="100% MBS Fee to 125% MBS Fee"/>
    <n v="129749.46"/>
    <n v="87013.86"/>
    <n v="28839.439999999999"/>
    <n v="830"/>
  </r>
  <r>
    <x v="15"/>
    <x v="0"/>
    <s v="TAS"/>
    <s v="No agreement"/>
    <s v="More than 125% MBS Fee to 150% MBS Fee"/>
    <n v="178126.78"/>
    <n v="96335.15"/>
    <n v="32281.86"/>
    <n v="449"/>
  </r>
  <r>
    <x v="15"/>
    <x v="0"/>
    <s v="TAS"/>
    <s v="No agreement"/>
    <s v="More than 150% MBS Fee to 200% MBS Fee"/>
    <n v="622332.47"/>
    <n v="266709.63"/>
    <n v="88842.57"/>
    <n v="1797"/>
  </r>
  <r>
    <x v="15"/>
    <x v="0"/>
    <s v="TAS"/>
    <s v="No agreement"/>
    <s v="More than 200% MBS Fee"/>
    <n v="2218154.89"/>
    <n v="526949.25"/>
    <n v="177208.73"/>
    <n v="3897"/>
  </r>
  <r>
    <x v="15"/>
    <x v="0"/>
    <s v="TAS"/>
    <s v="Known gap agreement"/>
    <s v="100% MBS Fee to 125% MBS Fee"/>
    <n v="214617.63"/>
    <n v="137798.25"/>
    <n v="59896.18"/>
    <n v="1035"/>
  </r>
  <r>
    <x v="15"/>
    <x v="0"/>
    <s v="TAS"/>
    <s v="Known gap agreement"/>
    <s v="More than 125% MBS Fee to 150% MBS Fee"/>
    <n v="350018.13"/>
    <n v="192725.75"/>
    <n v="126562.03"/>
    <n v="1555"/>
  </r>
  <r>
    <x v="15"/>
    <x v="0"/>
    <s v="TAS"/>
    <s v="Known gap agreement"/>
    <s v="More than 150% MBS Fee to 200% MBS Fee"/>
    <n v="790934.06"/>
    <n v="342414.7"/>
    <n v="326442.96000000002"/>
    <n v="2048"/>
  </r>
  <r>
    <x v="15"/>
    <x v="0"/>
    <s v="TAS"/>
    <s v="Known gap agreement"/>
    <s v="More than 200% MBS Fee"/>
    <n v="1044976.85"/>
    <n v="305142.15000000002"/>
    <n v="343357.57"/>
    <n v="3541"/>
  </r>
  <r>
    <x v="15"/>
    <x v="0"/>
    <s v="TAS"/>
    <s v="No gap agreement"/>
    <s v="Up to MBS Fee"/>
    <n v="770223.32"/>
    <n v="578248.38"/>
    <n v="191974.79"/>
    <n v="10275"/>
  </r>
  <r>
    <x v="15"/>
    <x v="0"/>
    <s v="TAS"/>
    <s v="No gap agreement"/>
    <s v="100% MBS Fee to 125% MBS Fee"/>
    <n v="3192694.2"/>
    <n v="2034465.33"/>
    <n v="1158219.1100000001"/>
    <n v="26625"/>
  </r>
  <r>
    <x v="15"/>
    <x v="0"/>
    <s v="TAS"/>
    <s v="No gap agreement"/>
    <s v="More than 125% MBS Fee to 150% MBS Fee"/>
    <n v="6345211.2800000003"/>
    <n v="3494730.4"/>
    <n v="2850448.78"/>
    <n v="38540"/>
  </r>
  <r>
    <x v="15"/>
    <x v="0"/>
    <s v="TAS"/>
    <s v="No gap agreement"/>
    <s v="More than 150% MBS Fee to 200% MBS Fee"/>
    <n v="5928075.5"/>
    <n v="2714819.6"/>
    <n v="3213251.16"/>
    <n v="34266"/>
  </r>
  <r>
    <x v="15"/>
    <x v="0"/>
    <s v="TAS"/>
    <s v="No gap agreement"/>
    <s v="More than 200% MBS Fee"/>
    <n v="577787.9"/>
    <n v="163857.95000000001"/>
    <n v="413929.95"/>
    <n v="465"/>
  </r>
  <r>
    <x v="15"/>
    <x v="0"/>
    <s v="ACT"/>
    <s v="No agreement"/>
    <s v="Up to MBS Fee"/>
    <n v="881643.05"/>
    <n v="662392.15"/>
    <n v="219184.35"/>
    <n v="8731"/>
  </r>
  <r>
    <x v="15"/>
    <x v="0"/>
    <s v="ACT"/>
    <s v="No agreement"/>
    <s v="100% MBS Fee to 125% MBS Fee"/>
    <n v="225356.22"/>
    <n v="146793.85999999999"/>
    <n v="48363.72"/>
    <n v="959"/>
  </r>
  <r>
    <x v="15"/>
    <x v="0"/>
    <s v="ACT"/>
    <s v="No agreement"/>
    <s v="More than 125% MBS Fee to 150% MBS Fee"/>
    <n v="160126.51"/>
    <n v="86536.66"/>
    <n v="28949.5"/>
    <n v="500"/>
  </r>
  <r>
    <x v="15"/>
    <x v="0"/>
    <s v="ACT"/>
    <s v="No agreement"/>
    <s v="More than 150% MBS Fee to 200% MBS Fee"/>
    <n v="930477.96"/>
    <n v="390616.43"/>
    <n v="129808.52"/>
    <n v="2893"/>
  </r>
  <r>
    <x v="15"/>
    <x v="0"/>
    <s v="ACT"/>
    <s v="No agreement"/>
    <s v="More than 200% MBS Fee"/>
    <n v="6876304.54"/>
    <n v="1709913.5"/>
    <n v="570530.16"/>
    <n v="11348"/>
  </r>
  <r>
    <x v="15"/>
    <x v="0"/>
    <s v="ACT"/>
    <s v="Known gap agreement"/>
    <s v="100% MBS Fee to 125% MBS Fee"/>
    <n v="89715.15"/>
    <n v="57549.04"/>
    <n v="28706.91"/>
    <n v="518"/>
  </r>
  <r>
    <x v="15"/>
    <x v="0"/>
    <s v="ACT"/>
    <s v="Known gap agreement"/>
    <s v="More than 125% MBS Fee to 150% MBS Fee"/>
    <n v="106425.46"/>
    <n v="57383.5"/>
    <n v="39910.5"/>
    <n v="352"/>
  </r>
  <r>
    <x v="15"/>
    <x v="0"/>
    <s v="ACT"/>
    <s v="Known gap agreement"/>
    <s v="More than 150% MBS Fee to 200% MBS Fee"/>
    <n v="207558.93"/>
    <n v="89238.2"/>
    <n v="84460.13"/>
    <n v="524"/>
  </r>
  <r>
    <x v="15"/>
    <x v="0"/>
    <s v="ACT"/>
    <s v="Known gap agreement"/>
    <s v="More than 200% MBS Fee"/>
    <n v="384811.88"/>
    <n v="91870.23"/>
    <n v="98823.19"/>
    <n v="1072"/>
  </r>
  <r>
    <x v="15"/>
    <x v="0"/>
    <s v="ACT"/>
    <s v="No gap agreement"/>
    <s v="Up to MBS Fee"/>
    <n v="201644.23"/>
    <n v="151688.10999999999"/>
    <n v="50035.05"/>
    <n v="7077"/>
  </r>
  <r>
    <x v="15"/>
    <x v="0"/>
    <s v="ACT"/>
    <s v="No gap agreement"/>
    <s v="100% MBS Fee to 125% MBS Fee"/>
    <n v="906386.9"/>
    <n v="588488.53"/>
    <n v="317840.46999999997"/>
    <n v="11843"/>
  </r>
  <r>
    <x v="15"/>
    <x v="0"/>
    <s v="ACT"/>
    <s v="No gap agreement"/>
    <s v="More than 125% MBS Fee to 150% MBS Fee"/>
    <n v="2280983.77"/>
    <n v="1258821.28"/>
    <n v="1022159.6"/>
    <n v="14364"/>
  </r>
  <r>
    <x v="15"/>
    <x v="0"/>
    <s v="ACT"/>
    <s v="No gap agreement"/>
    <s v="More than 150% MBS Fee to 200% MBS Fee"/>
    <n v="1843282.27"/>
    <n v="844802.04"/>
    <n v="998475.8"/>
    <n v="12535"/>
  </r>
  <r>
    <x v="15"/>
    <x v="0"/>
    <s v="ACT"/>
    <s v="No gap agreement"/>
    <s v="More than 200% MBS Fee"/>
    <n v="377581.28"/>
    <n v="120575.53"/>
    <n v="257005.25"/>
    <n v="942"/>
  </r>
  <r>
    <x v="15"/>
    <x v="0"/>
    <s v="NT"/>
    <s v="No agreement"/>
    <s v="Up to MBS Fee"/>
    <n v="306620.18"/>
    <n v="229925.98"/>
    <n v="76294.2"/>
    <n v="1893"/>
  </r>
  <r>
    <x v="15"/>
    <x v="0"/>
    <s v="NT"/>
    <s v="No agreement"/>
    <s v="100% MBS Fee to 125% MBS Fee"/>
    <n v="46043.7"/>
    <n v="30387.200000000001"/>
    <n v="10126.5"/>
    <n v="198"/>
  </r>
  <r>
    <x v="15"/>
    <x v="0"/>
    <s v="NT"/>
    <s v="No agreement"/>
    <s v="More than 125% MBS Fee to 150% MBS Fee"/>
    <n v="95864.55"/>
    <n v="51405.919999999998"/>
    <n v="17496.150000000001"/>
    <n v="229"/>
  </r>
  <r>
    <x v="15"/>
    <x v="0"/>
    <s v="NT"/>
    <s v="No agreement"/>
    <s v="More than 150% MBS Fee to 200% MBS Fee"/>
    <n v="172151.57"/>
    <n v="72410.03"/>
    <n v="23820.42"/>
    <n v="741"/>
  </r>
  <r>
    <x v="15"/>
    <x v="0"/>
    <s v="NT"/>
    <s v="No agreement"/>
    <s v="More than 200% MBS Fee"/>
    <n v="1148939.6399999999"/>
    <n v="307124.52"/>
    <n v="102403.1"/>
    <n v="2038"/>
  </r>
  <r>
    <x v="15"/>
    <x v="0"/>
    <s v="NT"/>
    <s v="Known gap agreement"/>
    <s v="100% MBS Fee to 125% MBS Fee"/>
    <n v="20815.099999999999"/>
    <n v="13470.2"/>
    <n v="5261.5"/>
    <n v="166"/>
  </r>
  <r>
    <x v="15"/>
    <x v="0"/>
    <s v="NT"/>
    <s v="Known gap agreement"/>
    <s v="More than 125% MBS Fee to 150% MBS Fee"/>
    <n v="48139.69"/>
    <n v="25691.05"/>
    <n v="16885.07"/>
    <n v="198"/>
  </r>
  <r>
    <x v="15"/>
    <x v="0"/>
    <s v="NT"/>
    <s v="Known gap agreement"/>
    <s v="More than 150% MBS Fee to 200% MBS Fee"/>
    <n v="135854.03"/>
    <n v="59103.9"/>
    <n v="51093.68"/>
    <n v="335"/>
  </r>
  <r>
    <x v="15"/>
    <x v="0"/>
    <s v="NT"/>
    <s v="Known gap agreement"/>
    <s v="More than 200% MBS Fee"/>
    <n v="207861.33"/>
    <n v="50584.15"/>
    <n v="55001.55"/>
    <n v="572"/>
  </r>
  <r>
    <x v="15"/>
    <x v="0"/>
    <s v="NT"/>
    <s v="No gap agreement"/>
    <s v="Up to MBS Fee"/>
    <n v="71777.42"/>
    <n v="53904.15"/>
    <n v="17873.27"/>
    <n v="656"/>
  </r>
  <r>
    <x v="15"/>
    <x v="0"/>
    <s v="NT"/>
    <s v="No gap agreement"/>
    <s v="100% MBS Fee to 125% MBS Fee"/>
    <n v="351965.34"/>
    <n v="223467.65"/>
    <n v="128482.68"/>
    <n v="4503"/>
  </r>
  <r>
    <x v="15"/>
    <x v="0"/>
    <s v="NT"/>
    <s v="No gap agreement"/>
    <s v="More than 125% MBS Fee to 150% MBS Fee"/>
    <n v="956811.03"/>
    <n v="523093.7"/>
    <n v="433708.16"/>
    <n v="5175"/>
  </r>
  <r>
    <x v="15"/>
    <x v="0"/>
    <s v="NT"/>
    <s v="No gap agreement"/>
    <s v="More than 150% MBS Fee to 200% MBS Fee"/>
    <n v="1032299.19"/>
    <n v="472324.1"/>
    <n v="559968.14"/>
    <n v="5334"/>
  </r>
  <r>
    <x v="15"/>
    <x v="0"/>
    <s v="NT"/>
    <s v="No gap agreement"/>
    <s v="More than 200% MBS Fee"/>
    <n v="60139.05"/>
    <n v="18571.45"/>
    <n v="41566.6"/>
    <n v="88"/>
  </r>
  <r>
    <x v="15"/>
    <x v="2"/>
    <s v="NSW"/>
    <s v="No agreement"/>
    <s v="Up to MBS Fee"/>
    <n v="30028564.859999999"/>
    <n v="22606041.48"/>
    <n v="7421966.8300000001"/>
    <n v="518980"/>
  </r>
  <r>
    <x v="15"/>
    <x v="2"/>
    <s v="NSW"/>
    <s v="No agreement"/>
    <s v="100% MBS Fee to 125% MBS Fee"/>
    <n v="2884342.81"/>
    <n v="1926044.25"/>
    <n v="649862.5"/>
    <n v="14964"/>
  </r>
  <r>
    <x v="15"/>
    <x v="2"/>
    <s v="NSW"/>
    <s v="No agreement"/>
    <s v="More than 125% MBS Fee to 150% MBS Fee"/>
    <n v="3190020.66"/>
    <n v="1711170.71"/>
    <n v="619700.35"/>
    <n v="16116"/>
  </r>
  <r>
    <x v="15"/>
    <x v="2"/>
    <s v="NSW"/>
    <s v="No agreement"/>
    <s v="More than 150% MBS Fee to 200% MBS Fee"/>
    <n v="13960137.41"/>
    <n v="5922403.2800000003"/>
    <n v="2102228.2599999998"/>
    <n v="67816"/>
  </r>
  <r>
    <x v="15"/>
    <x v="2"/>
    <s v="NSW"/>
    <s v="No agreement"/>
    <s v="More than 200% MBS Fee"/>
    <n v="85776111.840000004"/>
    <n v="22057680.600000001"/>
    <n v="7464745.6399999997"/>
    <n v="168023"/>
  </r>
  <r>
    <x v="15"/>
    <x v="2"/>
    <s v="NSW"/>
    <s v="Known gap agreement"/>
    <s v="100% MBS Fee to 125% MBS Fee"/>
    <n v="1240243.4099999999"/>
    <n v="825329.8"/>
    <n v="369233.26"/>
    <n v="7996"/>
  </r>
  <r>
    <x v="15"/>
    <x v="2"/>
    <s v="NSW"/>
    <s v="Known gap agreement"/>
    <s v="More than 125% MBS Fee to 150% MBS Fee"/>
    <n v="1904469.25"/>
    <n v="1033959.45"/>
    <n v="742202.86"/>
    <n v="5836"/>
  </r>
  <r>
    <x v="15"/>
    <x v="2"/>
    <s v="NSW"/>
    <s v="Known gap agreement"/>
    <s v="More than 150% MBS Fee to 200% MBS Fee"/>
    <n v="4656180.2300000004"/>
    <n v="2045352.05"/>
    <n v="1984587.61"/>
    <n v="16512"/>
  </r>
  <r>
    <x v="15"/>
    <x v="2"/>
    <s v="NSW"/>
    <s v="Known gap agreement"/>
    <s v="More than 200% MBS Fee"/>
    <n v="7084430.0700000003"/>
    <n v="1845854.68"/>
    <n v="1896584.39"/>
    <n v="17179"/>
  </r>
  <r>
    <x v="15"/>
    <x v="2"/>
    <s v="NSW"/>
    <s v="No gap agreement"/>
    <s v="Up to MBS Fee"/>
    <n v="9744471.3900000006"/>
    <n v="7349160.8200000003"/>
    <n v="2395552.69"/>
    <n v="275800"/>
  </r>
  <r>
    <x v="15"/>
    <x v="2"/>
    <s v="NSW"/>
    <s v="No gap agreement"/>
    <s v="100% MBS Fee to 125% MBS Fee"/>
    <n v="31390900.050000001"/>
    <n v="20252455.710000001"/>
    <n v="11137271.83"/>
    <n v="319369"/>
  </r>
  <r>
    <x v="15"/>
    <x v="2"/>
    <s v="NSW"/>
    <s v="No gap agreement"/>
    <s v="More than 125% MBS Fee to 150% MBS Fee"/>
    <n v="64119445.780000001"/>
    <n v="35356241.829999998"/>
    <n v="28762988.739999998"/>
    <n v="324942"/>
  </r>
  <r>
    <x v="15"/>
    <x v="2"/>
    <s v="NSW"/>
    <s v="No gap agreement"/>
    <s v="More than 150% MBS Fee to 200% MBS Fee"/>
    <n v="62860283.939999998"/>
    <n v="28910421.579999998"/>
    <n v="33949603.469999999"/>
    <n v="392383"/>
  </r>
  <r>
    <x v="15"/>
    <x v="2"/>
    <s v="NSW"/>
    <s v="No gap agreement"/>
    <s v="More than 200% MBS Fee"/>
    <n v="8196264.7300000004"/>
    <n v="2602762.27"/>
    <n v="5593500.9900000002"/>
    <n v="34676"/>
  </r>
  <r>
    <x v="15"/>
    <x v="2"/>
    <s v="VIC"/>
    <s v="No agreement"/>
    <s v="Up to MBS Fee"/>
    <n v="11924026.869999999"/>
    <n v="8965052.9900000002"/>
    <n v="2958145.35"/>
    <n v="178056"/>
  </r>
  <r>
    <x v="15"/>
    <x v="2"/>
    <s v="VIC"/>
    <s v="No agreement"/>
    <s v="100% MBS Fee to 125% MBS Fee"/>
    <n v="1985750.93"/>
    <n v="1323065.3999999999"/>
    <n v="462630.39"/>
    <n v="14862"/>
  </r>
  <r>
    <x v="15"/>
    <x v="2"/>
    <s v="VIC"/>
    <s v="No agreement"/>
    <s v="More than 125% MBS Fee to 150% MBS Fee"/>
    <n v="4699860.13"/>
    <n v="2583838.25"/>
    <n v="1481157.18"/>
    <n v="48614"/>
  </r>
  <r>
    <x v="15"/>
    <x v="2"/>
    <s v="VIC"/>
    <s v="No agreement"/>
    <s v="More than 150% MBS Fee to 200% MBS Fee"/>
    <n v="10477087.5"/>
    <n v="4537202.38"/>
    <n v="3556250.55"/>
    <n v="64612"/>
  </r>
  <r>
    <x v="15"/>
    <x v="2"/>
    <s v="VIC"/>
    <s v="No agreement"/>
    <s v="More than 200% MBS Fee"/>
    <n v="19748570.690000001"/>
    <n v="5247664.2699999996"/>
    <n v="1814754.69"/>
    <n v="58703"/>
  </r>
  <r>
    <x v="15"/>
    <x v="2"/>
    <s v="VIC"/>
    <s v="Known gap agreement"/>
    <s v="100% MBS Fee to 125% MBS Fee"/>
    <n v="1615098.56"/>
    <n v="1084114.2"/>
    <n v="440170.37"/>
    <n v="8578"/>
  </r>
  <r>
    <x v="15"/>
    <x v="2"/>
    <s v="VIC"/>
    <s v="Known gap agreement"/>
    <s v="More than 125% MBS Fee to 150% MBS Fee"/>
    <n v="4042723.1"/>
    <n v="2197988.0099999998"/>
    <n v="1500564.57"/>
    <n v="13707"/>
  </r>
  <r>
    <x v="15"/>
    <x v="2"/>
    <s v="VIC"/>
    <s v="Known gap agreement"/>
    <s v="More than 150% MBS Fee to 200% MBS Fee"/>
    <n v="7340152.1200000001"/>
    <n v="3183891.88"/>
    <n v="2759541.27"/>
    <n v="24633"/>
  </r>
  <r>
    <x v="15"/>
    <x v="2"/>
    <s v="VIC"/>
    <s v="Known gap agreement"/>
    <s v="More than 200% MBS Fee"/>
    <n v="11042456.84"/>
    <n v="3101498.63"/>
    <n v="3129101.42"/>
    <n v="29913"/>
  </r>
  <r>
    <x v="15"/>
    <x v="2"/>
    <s v="VIC"/>
    <s v="No gap agreement"/>
    <s v="Up to MBS Fee"/>
    <n v="10804863.82"/>
    <n v="8139186.5199999996"/>
    <n v="2665804.65"/>
    <n v="226330"/>
  </r>
  <r>
    <x v="15"/>
    <x v="2"/>
    <s v="VIC"/>
    <s v="No gap agreement"/>
    <s v="100% MBS Fee to 125% MBS Fee"/>
    <n v="33310691.079999998"/>
    <n v="21474068.850000001"/>
    <n v="11836510.640000001"/>
    <n v="356439"/>
  </r>
  <r>
    <x v="15"/>
    <x v="2"/>
    <s v="VIC"/>
    <s v="No gap agreement"/>
    <s v="More than 125% MBS Fee to 150% MBS Fee"/>
    <n v="67459304.159999996"/>
    <n v="37246854.170000002"/>
    <n v="30212379.850000001"/>
    <n v="394710"/>
  </r>
  <r>
    <x v="15"/>
    <x v="2"/>
    <s v="VIC"/>
    <s v="No gap agreement"/>
    <s v="More than 150% MBS Fee to 200% MBS Fee"/>
    <n v="59185800.460000001"/>
    <n v="27161660.73"/>
    <n v="32024073.370000001"/>
    <n v="334177"/>
  </r>
  <r>
    <x v="15"/>
    <x v="2"/>
    <s v="VIC"/>
    <s v="No gap agreement"/>
    <s v="More than 200% MBS Fee"/>
    <n v="3804467.88"/>
    <n v="1106322.18"/>
    <n v="2698145.7"/>
    <n v="8773"/>
  </r>
  <r>
    <x v="15"/>
    <x v="2"/>
    <s v="QLD"/>
    <s v="No agreement"/>
    <s v="Up to MBS Fee"/>
    <n v="7293572.5199999996"/>
    <n v="5486943.9299999997"/>
    <n v="1804453.36"/>
    <n v="89458"/>
  </r>
  <r>
    <x v="15"/>
    <x v="2"/>
    <s v="QLD"/>
    <s v="No agreement"/>
    <s v="100% MBS Fee to 125% MBS Fee"/>
    <n v="1819362.33"/>
    <n v="1217286.94"/>
    <n v="411500.74"/>
    <n v="11284"/>
  </r>
  <r>
    <x v="15"/>
    <x v="2"/>
    <s v="QLD"/>
    <s v="No agreement"/>
    <s v="More than 125% MBS Fee to 150% MBS Fee"/>
    <n v="3124718.21"/>
    <n v="1700554.06"/>
    <n v="629036.31000000006"/>
    <n v="16856"/>
  </r>
  <r>
    <x v="15"/>
    <x v="2"/>
    <s v="QLD"/>
    <s v="No agreement"/>
    <s v="More than 150% MBS Fee to 200% MBS Fee"/>
    <n v="8143943.1900000004"/>
    <n v="3456893.56"/>
    <n v="1259127.6100000001"/>
    <n v="29754"/>
  </r>
  <r>
    <x v="15"/>
    <x v="2"/>
    <s v="QLD"/>
    <s v="No agreement"/>
    <s v="More than 200% MBS Fee"/>
    <n v="38915193.649999999"/>
    <n v="10425364.76"/>
    <n v="3543287.82"/>
    <n v="85547"/>
  </r>
  <r>
    <x v="15"/>
    <x v="2"/>
    <s v="QLD"/>
    <s v="Known gap agreement"/>
    <s v="100% MBS Fee to 125% MBS Fee"/>
    <n v="594521.13"/>
    <n v="390472.57"/>
    <n v="165024.67000000001"/>
    <n v="3695"/>
  </r>
  <r>
    <x v="15"/>
    <x v="2"/>
    <s v="QLD"/>
    <s v="Known gap agreement"/>
    <s v="More than 125% MBS Fee to 150% MBS Fee"/>
    <n v="1330545.42"/>
    <n v="725351.4"/>
    <n v="509360.25"/>
    <n v="4259"/>
  </r>
  <r>
    <x v="15"/>
    <x v="2"/>
    <s v="QLD"/>
    <s v="Known gap agreement"/>
    <s v="More than 150% MBS Fee to 200% MBS Fee"/>
    <n v="3940955.99"/>
    <n v="1682887.43"/>
    <n v="1549556.93"/>
    <n v="9141"/>
  </r>
  <r>
    <x v="15"/>
    <x v="2"/>
    <s v="QLD"/>
    <s v="Known gap agreement"/>
    <s v="More than 200% MBS Fee"/>
    <n v="9410635.6600000001"/>
    <n v="2569971.0499999998"/>
    <n v="2705531.41"/>
    <n v="21530"/>
  </r>
  <r>
    <x v="15"/>
    <x v="2"/>
    <s v="QLD"/>
    <s v="No gap agreement"/>
    <s v="Up to MBS Fee"/>
    <n v="3764650.09"/>
    <n v="2854023.9"/>
    <n v="910407.49"/>
    <n v="68820"/>
  </r>
  <r>
    <x v="15"/>
    <x v="2"/>
    <s v="QLD"/>
    <s v="No gap agreement"/>
    <s v="100% MBS Fee to 125% MBS Fee"/>
    <n v="26517620.260000002"/>
    <n v="17099516.940000001"/>
    <n v="9418009.25"/>
    <n v="286543"/>
  </r>
  <r>
    <x v="15"/>
    <x v="2"/>
    <s v="QLD"/>
    <s v="No gap agreement"/>
    <s v="More than 125% MBS Fee to 150% MBS Fee"/>
    <n v="52327168.740000002"/>
    <n v="29063998.91"/>
    <n v="23262996.489999998"/>
    <n v="389912"/>
  </r>
  <r>
    <x v="15"/>
    <x v="2"/>
    <s v="QLD"/>
    <s v="No gap agreement"/>
    <s v="More than 150% MBS Fee to 200% MBS Fee"/>
    <n v="41138873.590000004"/>
    <n v="19112488.350000001"/>
    <n v="22026341.260000002"/>
    <n v="254882"/>
  </r>
  <r>
    <x v="15"/>
    <x v="2"/>
    <s v="QLD"/>
    <s v="No gap agreement"/>
    <s v="More than 200% MBS Fee"/>
    <n v="6043596.1299999999"/>
    <n v="1795500.85"/>
    <n v="4248088.46"/>
    <n v="9906"/>
  </r>
  <r>
    <x v="15"/>
    <x v="2"/>
    <s v="SA"/>
    <s v="No agreement"/>
    <s v="Up to MBS Fee"/>
    <n v="2457600.7799999998"/>
    <n v="1844300.78"/>
    <n v="612938.05000000005"/>
    <n v="56533"/>
  </r>
  <r>
    <x v="15"/>
    <x v="2"/>
    <s v="SA"/>
    <s v="No agreement"/>
    <s v="100% MBS Fee to 125% MBS Fee"/>
    <n v="628844.44999999995"/>
    <n v="428327.18"/>
    <n v="162725.14000000001"/>
    <n v="5083"/>
  </r>
  <r>
    <x v="15"/>
    <x v="2"/>
    <s v="SA"/>
    <s v="No agreement"/>
    <s v="More than 125% MBS Fee to 150% MBS Fee"/>
    <n v="1551189.4"/>
    <n v="841516.09"/>
    <n v="552009.04"/>
    <n v="9795"/>
  </r>
  <r>
    <x v="15"/>
    <x v="2"/>
    <s v="SA"/>
    <s v="No agreement"/>
    <s v="More than 150% MBS Fee to 200% MBS Fee"/>
    <n v="6057707.4000000004"/>
    <n v="2592474.37"/>
    <n v="3229920.13"/>
    <n v="48358"/>
  </r>
  <r>
    <x v="15"/>
    <x v="2"/>
    <s v="SA"/>
    <s v="No agreement"/>
    <s v="More than 200% MBS Fee"/>
    <n v="2032183.54"/>
    <n v="552619.32999999996"/>
    <n v="225900.79999999999"/>
    <n v="8725"/>
  </r>
  <r>
    <x v="15"/>
    <x v="2"/>
    <s v="SA"/>
    <s v="Known gap agreement"/>
    <s v="100% MBS Fee to 125% MBS Fee"/>
    <n v="1590574.78"/>
    <n v="1054986.8500000001"/>
    <n v="506371.08"/>
    <n v="11888"/>
  </r>
  <r>
    <x v="15"/>
    <x v="2"/>
    <s v="SA"/>
    <s v="Known gap agreement"/>
    <s v="More than 125% MBS Fee to 150% MBS Fee"/>
    <n v="2391672.19"/>
    <n v="1299573.1299999999"/>
    <n v="987080.79"/>
    <n v="10139"/>
  </r>
  <r>
    <x v="15"/>
    <x v="2"/>
    <s v="SA"/>
    <s v="Known gap agreement"/>
    <s v="More than 150% MBS Fee to 200% MBS Fee"/>
    <n v="4067773.55"/>
    <n v="1824363.26"/>
    <n v="1861428.76"/>
    <n v="12132"/>
  </r>
  <r>
    <x v="15"/>
    <x v="2"/>
    <s v="SA"/>
    <s v="Known gap agreement"/>
    <s v="More than 200% MBS Fee"/>
    <n v="1416992.64"/>
    <n v="385254.85"/>
    <n v="439032.7"/>
    <n v="3284"/>
  </r>
  <r>
    <x v="15"/>
    <x v="2"/>
    <s v="SA"/>
    <s v="No gap agreement"/>
    <s v="Up to MBS Fee"/>
    <n v="2255583.52"/>
    <n v="1697896.52"/>
    <n v="557771.25"/>
    <n v="19267"/>
  </r>
  <r>
    <x v="15"/>
    <x v="2"/>
    <s v="SA"/>
    <s v="No gap agreement"/>
    <s v="100% MBS Fee to 125% MBS Fee"/>
    <n v="8461637.5500000007"/>
    <n v="5512377.7999999998"/>
    <n v="2949225.27"/>
    <n v="110012"/>
  </r>
  <r>
    <x v="15"/>
    <x v="2"/>
    <s v="SA"/>
    <s v="No gap agreement"/>
    <s v="More than 125% MBS Fee to 150% MBS Fee"/>
    <n v="16785169.309999999"/>
    <n v="9189566.3499999996"/>
    <n v="7595653.0300000003"/>
    <n v="116805"/>
  </r>
  <r>
    <x v="15"/>
    <x v="2"/>
    <s v="SA"/>
    <s v="No gap agreement"/>
    <s v="More than 150% MBS Fee to 200% MBS Fee"/>
    <n v="21069974.550000001"/>
    <n v="9703540.4299999997"/>
    <n v="11366420.970000001"/>
    <n v="81298"/>
  </r>
  <r>
    <x v="15"/>
    <x v="2"/>
    <s v="SA"/>
    <s v="No gap agreement"/>
    <s v="More than 200% MBS Fee"/>
    <n v="1857149.3"/>
    <n v="537067.1"/>
    <n v="1320082.2"/>
    <n v="2803"/>
  </r>
  <r>
    <x v="15"/>
    <x v="2"/>
    <s v="WA"/>
    <s v="No agreement"/>
    <s v="Up to MBS Fee"/>
    <n v="1665268.15"/>
    <n v="1252460.26"/>
    <n v="412807.28"/>
    <n v="35065"/>
  </r>
  <r>
    <x v="15"/>
    <x v="2"/>
    <s v="WA"/>
    <s v="No agreement"/>
    <s v="100% MBS Fee to 125% MBS Fee"/>
    <n v="481591.42"/>
    <n v="315448.26"/>
    <n v="106567.64"/>
    <n v="3424"/>
  </r>
  <r>
    <x v="15"/>
    <x v="2"/>
    <s v="WA"/>
    <s v="No agreement"/>
    <s v="More than 125% MBS Fee to 150% MBS Fee"/>
    <n v="1397953.99"/>
    <n v="760679.52"/>
    <n v="256041.85"/>
    <n v="9721"/>
  </r>
  <r>
    <x v="15"/>
    <x v="2"/>
    <s v="WA"/>
    <s v="No agreement"/>
    <s v="More than 150% MBS Fee to 200% MBS Fee"/>
    <n v="3023585.24"/>
    <n v="1280441.29"/>
    <n v="440406.53"/>
    <n v="14779"/>
  </r>
  <r>
    <x v="15"/>
    <x v="2"/>
    <s v="WA"/>
    <s v="No agreement"/>
    <s v="More than 200% MBS Fee"/>
    <n v="6222749.0999999996"/>
    <n v="1540415.9"/>
    <n v="517288"/>
    <n v="16109"/>
  </r>
  <r>
    <x v="15"/>
    <x v="2"/>
    <s v="WA"/>
    <s v="Known gap agreement"/>
    <s v="100% MBS Fee to 125% MBS Fee"/>
    <n v="2044207.92"/>
    <n v="1399422.45"/>
    <n v="622956.59"/>
    <n v="12572"/>
  </r>
  <r>
    <x v="15"/>
    <x v="2"/>
    <s v="WA"/>
    <s v="Known gap agreement"/>
    <s v="More than 125% MBS Fee to 150% MBS Fee"/>
    <n v="3698560.43"/>
    <n v="2000803.05"/>
    <n v="1444862.68"/>
    <n v="34123"/>
  </r>
  <r>
    <x v="15"/>
    <x v="2"/>
    <s v="WA"/>
    <s v="Known gap agreement"/>
    <s v="More than 150% MBS Fee to 200% MBS Fee"/>
    <n v="7134199.1299999999"/>
    <n v="3112800.6"/>
    <n v="2336515.6800000002"/>
    <n v="22349"/>
  </r>
  <r>
    <x v="15"/>
    <x v="2"/>
    <s v="WA"/>
    <s v="Known gap agreement"/>
    <s v="More than 200% MBS Fee"/>
    <n v="10078992.83"/>
    <n v="2790491.75"/>
    <n v="1897836.01"/>
    <n v="19910"/>
  </r>
  <r>
    <x v="15"/>
    <x v="2"/>
    <s v="WA"/>
    <s v="No gap agreement"/>
    <s v="Up to MBS Fee"/>
    <n v="994619.32"/>
    <n v="752532.73"/>
    <n v="242086.59"/>
    <n v="10696"/>
  </r>
  <r>
    <x v="15"/>
    <x v="2"/>
    <s v="WA"/>
    <s v="No gap agreement"/>
    <s v="100% MBS Fee to 125% MBS Fee"/>
    <n v="8044939.9199999999"/>
    <n v="5096716.6900000004"/>
    <n v="2948216.47"/>
    <n v="82147"/>
  </r>
  <r>
    <x v="15"/>
    <x v="2"/>
    <s v="WA"/>
    <s v="No gap agreement"/>
    <s v="More than 125% MBS Fee to 150% MBS Fee"/>
    <n v="25135547.25"/>
    <n v="13969834.27"/>
    <n v="11165703.859999999"/>
    <n v="178952"/>
  </r>
  <r>
    <x v="15"/>
    <x v="2"/>
    <s v="WA"/>
    <s v="No gap agreement"/>
    <s v="More than 150% MBS Fee to 200% MBS Fee"/>
    <n v="30026136.149999999"/>
    <n v="13272775.289999999"/>
    <n v="16753351.98"/>
    <n v="147536"/>
  </r>
  <r>
    <x v="15"/>
    <x v="2"/>
    <s v="WA"/>
    <s v="No gap agreement"/>
    <s v="More than 200% MBS Fee"/>
    <n v="3288633.75"/>
    <n v="880334.6"/>
    <n v="2408299.15"/>
    <n v="2223"/>
  </r>
  <r>
    <x v="15"/>
    <x v="2"/>
    <s v="TAS"/>
    <s v="No agreement"/>
    <s v="Up to MBS Fee"/>
    <n v="1089669.3700000001"/>
    <n v="818797.73"/>
    <n v="270613.03999999998"/>
    <n v="17945"/>
  </r>
  <r>
    <x v="15"/>
    <x v="2"/>
    <s v="TAS"/>
    <s v="No agreement"/>
    <s v="100% MBS Fee to 125% MBS Fee"/>
    <n v="160119.65"/>
    <n v="107994.4"/>
    <n v="36167.97"/>
    <n v="968"/>
  </r>
  <r>
    <x v="15"/>
    <x v="2"/>
    <s v="TAS"/>
    <s v="No agreement"/>
    <s v="More than 125% MBS Fee to 150% MBS Fee"/>
    <n v="207594.96"/>
    <n v="113465.59"/>
    <n v="40348.5"/>
    <n v="860"/>
  </r>
  <r>
    <x v="15"/>
    <x v="2"/>
    <s v="TAS"/>
    <s v="No agreement"/>
    <s v="More than 150% MBS Fee to 200% MBS Fee"/>
    <n v="655698.42000000004"/>
    <n v="281857.7"/>
    <n v="101327.37"/>
    <n v="2467"/>
  </r>
  <r>
    <x v="15"/>
    <x v="2"/>
    <s v="TAS"/>
    <s v="No agreement"/>
    <s v="More than 200% MBS Fee"/>
    <n v="2259964.9300000002"/>
    <n v="572574.12"/>
    <n v="196740.64"/>
    <n v="5941"/>
  </r>
  <r>
    <x v="15"/>
    <x v="2"/>
    <s v="TAS"/>
    <s v="Known gap agreement"/>
    <s v="100% MBS Fee to 125% MBS Fee"/>
    <n v="72016.639999999999"/>
    <n v="48884.75"/>
    <n v="19600.32"/>
    <n v="313"/>
  </r>
  <r>
    <x v="15"/>
    <x v="2"/>
    <s v="TAS"/>
    <s v="Known gap agreement"/>
    <s v="More than 125% MBS Fee to 150% MBS Fee"/>
    <n v="168809.45"/>
    <n v="91314.5"/>
    <n v="67974.94"/>
    <n v="551"/>
  </r>
  <r>
    <x v="15"/>
    <x v="2"/>
    <s v="TAS"/>
    <s v="Known gap agreement"/>
    <s v="More than 150% MBS Fee to 200% MBS Fee"/>
    <n v="757390.23"/>
    <n v="324948.5"/>
    <n v="323490.64"/>
    <n v="1816"/>
  </r>
  <r>
    <x v="15"/>
    <x v="2"/>
    <s v="TAS"/>
    <s v="Known gap agreement"/>
    <s v="More than 200% MBS Fee"/>
    <n v="1104635.31"/>
    <n v="335682.2"/>
    <n v="378154.26"/>
    <n v="4154"/>
  </r>
  <r>
    <x v="15"/>
    <x v="2"/>
    <s v="TAS"/>
    <s v="No gap agreement"/>
    <s v="Up to MBS Fee"/>
    <n v="570234.43000000005"/>
    <n v="433201.71"/>
    <n v="137032.72"/>
    <n v="7959"/>
  </r>
  <r>
    <x v="15"/>
    <x v="2"/>
    <s v="TAS"/>
    <s v="No gap agreement"/>
    <s v="100% MBS Fee to 125% MBS Fee"/>
    <n v="2530912.08"/>
    <n v="1627030.65"/>
    <n v="903879.63"/>
    <n v="22314"/>
  </r>
  <r>
    <x v="15"/>
    <x v="2"/>
    <s v="TAS"/>
    <s v="No gap agreement"/>
    <s v="More than 125% MBS Fee to 150% MBS Fee"/>
    <n v="5930914.9400000004"/>
    <n v="3261688.59"/>
    <n v="2669219.42"/>
    <n v="30954"/>
  </r>
  <r>
    <x v="15"/>
    <x v="2"/>
    <s v="TAS"/>
    <s v="No gap agreement"/>
    <s v="More than 150% MBS Fee to 200% MBS Fee"/>
    <n v="5505331.3899999997"/>
    <n v="2538312.9"/>
    <n v="2967014.94"/>
    <n v="32342"/>
  </r>
  <r>
    <x v="15"/>
    <x v="2"/>
    <s v="TAS"/>
    <s v="No gap agreement"/>
    <s v="More than 200% MBS Fee"/>
    <n v="540782.86"/>
    <n v="158148.65"/>
    <n v="382634.21"/>
    <n v="471"/>
  </r>
  <r>
    <x v="15"/>
    <x v="2"/>
    <s v="ACT"/>
    <s v="No agreement"/>
    <s v="Up to MBS Fee"/>
    <n v="894103.88"/>
    <n v="672826.14"/>
    <n v="221128.14"/>
    <n v="11793"/>
  </r>
  <r>
    <x v="15"/>
    <x v="2"/>
    <s v="ACT"/>
    <s v="No agreement"/>
    <s v="100% MBS Fee to 125% MBS Fee"/>
    <n v="187368.01"/>
    <n v="121504.66"/>
    <n v="40617.56"/>
    <n v="944"/>
  </r>
  <r>
    <x v="15"/>
    <x v="2"/>
    <s v="ACT"/>
    <s v="No agreement"/>
    <s v="More than 125% MBS Fee to 150% MBS Fee"/>
    <n v="262317.89"/>
    <n v="141659.44"/>
    <n v="48004.61"/>
    <n v="1246"/>
  </r>
  <r>
    <x v="15"/>
    <x v="2"/>
    <s v="ACT"/>
    <s v="No agreement"/>
    <s v="More than 150% MBS Fee to 200% MBS Fee"/>
    <n v="1007646.02"/>
    <n v="430179.55"/>
    <n v="145045.17000000001"/>
    <n v="4670"/>
  </r>
  <r>
    <x v="15"/>
    <x v="2"/>
    <s v="ACT"/>
    <s v="No agreement"/>
    <s v="More than 200% MBS Fee"/>
    <n v="6183618.5300000003"/>
    <n v="1585460.82"/>
    <n v="534357.26"/>
    <n v="11359"/>
  </r>
  <r>
    <x v="15"/>
    <x v="2"/>
    <s v="ACT"/>
    <s v="Known gap agreement"/>
    <s v="100% MBS Fee to 125% MBS Fee"/>
    <n v="24268.36"/>
    <n v="16216.15"/>
    <n v="7009.7"/>
    <n v="117"/>
  </r>
  <r>
    <x v="15"/>
    <x v="2"/>
    <s v="ACT"/>
    <s v="Known gap agreement"/>
    <s v="More than 125% MBS Fee to 150% MBS Fee"/>
    <n v="59522.36"/>
    <n v="32585.45"/>
    <n v="21444.639999999999"/>
    <n v="234"/>
  </r>
  <r>
    <x v="15"/>
    <x v="2"/>
    <s v="ACT"/>
    <s v="Known gap agreement"/>
    <s v="More than 150% MBS Fee to 200% MBS Fee"/>
    <n v="155871.70000000001"/>
    <n v="65897.05"/>
    <n v="67256.08"/>
    <n v="560"/>
  </r>
  <r>
    <x v="15"/>
    <x v="2"/>
    <s v="ACT"/>
    <s v="Known gap agreement"/>
    <s v="More than 200% MBS Fee"/>
    <n v="435513.42"/>
    <n v="103494.6"/>
    <n v="109320.66"/>
    <n v="1169"/>
  </r>
  <r>
    <x v="15"/>
    <x v="2"/>
    <s v="ACT"/>
    <s v="No gap agreement"/>
    <s v="Up to MBS Fee"/>
    <n v="198890.12"/>
    <n v="149994.23999999999"/>
    <n v="48895.88"/>
    <n v="8635"/>
  </r>
  <r>
    <x v="15"/>
    <x v="2"/>
    <s v="ACT"/>
    <s v="No gap agreement"/>
    <s v="100% MBS Fee to 125% MBS Fee"/>
    <n v="985152.68"/>
    <n v="650310.27"/>
    <n v="334823.5"/>
    <n v="11939"/>
  </r>
  <r>
    <x v="15"/>
    <x v="2"/>
    <s v="ACT"/>
    <s v="No gap agreement"/>
    <s v="More than 125% MBS Fee to 150% MBS Fee"/>
    <n v="1993046.3"/>
    <n v="1096701.81"/>
    <n v="896341.48"/>
    <n v="10030"/>
  </r>
  <r>
    <x v="15"/>
    <x v="2"/>
    <s v="ACT"/>
    <s v="No gap agreement"/>
    <s v="More than 150% MBS Fee to 200% MBS Fee"/>
    <n v="1954831.89"/>
    <n v="900951.15"/>
    <n v="1053874.56"/>
    <n v="13121"/>
  </r>
  <r>
    <x v="15"/>
    <x v="2"/>
    <s v="ACT"/>
    <s v="No gap agreement"/>
    <s v="More than 200% MBS Fee"/>
    <n v="398690.85"/>
    <n v="128984.15"/>
    <n v="269706.7"/>
    <n v="896"/>
  </r>
  <r>
    <x v="15"/>
    <x v="2"/>
    <s v="NT"/>
    <s v="No agreement"/>
    <s v="Up to MBS Fee"/>
    <n v="252280.08"/>
    <n v="189617.52"/>
    <n v="62662.559999999998"/>
    <n v="1771"/>
  </r>
  <r>
    <x v="15"/>
    <x v="2"/>
    <s v="NT"/>
    <s v="No agreement"/>
    <s v="100% MBS Fee to 125% MBS Fee"/>
    <n v="44635.9"/>
    <n v="29398.880000000001"/>
    <n v="9905.9"/>
    <n v="172"/>
  </r>
  <r>
    <x v="15"/>
    <x v="2"/>
    <s v="NT"/>
    <s v="No agreement"/>
    <s v="More than 125% MBS Fee to 150% MBS Fee"/>
    <n v="83401"/>
    <n v="44927.1"/>
    <n v="18181.79"/>
    <n v="421"/>
  </r>
  <r>
    <x v="15"/>
    <x v="2"/>
    <s v="NT"/>
    <s v="No agreement"/>
    <s v="More than 150% MBS Fee to 200% MBS Fee"/>
    <n v="163603.95000000001"/>
    <n v="68488.33"/>
    <n v="33355.75"/>
    <n v="844"/>
  </r>
  <r>
    <x v="15"/>
    <x v="2"/>
    <s v="NT"/>
    <s v="No agreement"/>
    <s v="More than 200% MBS Fee"/>
    <n v="913734.77"/>
    <n v="245832.2"/>
    <n v="83139.61"/>
    <n v="1778"/>
  </r>
  <r>
    <x v="15"/>
    <x v="2"/>
    <s v="NT"/>
    <s v="Known gap agreement"/>
    <s v="100% MBS Fee to 125% MBS Fee"/>
    <n v="13406.83"/>
    <n v="8739.2000000000007"/>
    <n v="3716.74"/>
    <n v="97"/>
  </r>
  <r>
    <x v="15"/>
    <x v="2"/>
    <s v="NT"/>
    <s v="Known gap agreement"/>
    <s v="More than 125% MBS Fee to 150% MBS Fee"/>
    <n v="31894.66"/>
    <n v="16981.849999999999"/>
    <n v="11819.83"/>
    <n v="132"/>
  </r>
  <r>
    <x v="15"/>
    <x v="2"/>
    <s v="NT"/>
    <s v="Known gap agreement"/>
    <s v="More than 150% MBS Fee to 200% MBS Fee"/>
    <n v="80605.61"/>
    <n v="35742.35"/>
    <n v="31910.19"/>
    <n v="175"/>
  </r>
  <r>
    <x v="15"/>
    <x v="2"/>
    <s v="NT"/>
    <s v="Known gap agreement"/>
    <s v="More than 200% MBS Fee"/>
    <n v="225361.91"/>
    <n v="54876.03"/>
    <n v="60601.75"/>
    <n v="654"/>
  </r>
  <r>
    <x v="15"/>
    <x v="2"/>
    <s v="NT"/>
    <s v="No gap agreement"/>
    <s v="Up to MBS Fee"/>
    <n v="64003.18"/>
    <n v="48342.080000000002"/>
    <n v="15661.41"/>
    <n v="671"/>
  </r>
  <r>
    <x v="15"/>
    <x v="2"/>
    <s v="NT"/>
    <s v="No gap agreement"/>
    <s v="100% MBS Fee to 125% MBS Fee"/>
    <n v="307807.34999999998"/>
    <n v="198191.8"/>
    <n v="109608.35"/>
    <n v="3546"/>
  </r>
  <r>
    <x v="15"/>
    <x v="2"/>
    <s v="NT"/>
    <s v="No gap agreement"/>
    <s v="More than 125% MBS Fee to 150% MBS Fee"/>
    <n v="866588.42"/>
    <n v="475319.1"/>
    <n v="391259.3"/>
    <n v="3874"/>
  </r>
  <r>
    <x v="15"/>
    <x v="2"/>
    <s v="NT"/>
    <s v="No gap agreement"/>
    <s v="More than 150% MBS Fee to 200% MBS Fee"/>
    <n v="1052573.53"/>
    <n v="487800.85"/>
    <n v="564765.78"/>
    <n v="5288"/>
  </r>
  <r>
    <x v="15"/>
    <x v="2"/>
    <s v="NT"/>
    <s v="No gap agreement"/>
    <s v="More than 200% MBS Fee"/>
    <n v="48354.9"/>
    <n v="15637.8"/>
    <n v="32716.3"/>
    <n v="106"/>
  </r>
  <r>
    <x v="15"/>
    <x v="3"/>
    <s v="NSW"/>
    <s v="No agreement"/>
    <s v="Up to MBS Fee"/>
    <n v="27806021.120000001"/>
    <n v="20921696.760000002"/>
    <n v="6883899.25"/>
    <n v="484567"/>
  </r>
  <r>
    <x v="15"/>
    <x v="3"/>
    <s v="NSW"/>
    <s v="No agreement"/>
    <s v="100% MBS Fee to 125% MBS Fee"/>
    <n v="2877187.33"/>
    <n v="1935032.64"/>
    <n v="646550.28"/>
    <n v="15662"/>
  </r>
  <r>
    <x v="15"/>
    <x v="3"/>
    <s v="NSW"/>
    <s v="No agreement"/>
    <s v="More than 125% MBS Fee to 150% MBS Fee"/>
    <n v="3205789.93"/>
    <n v="1719011.51"/>
    <n v="601713.89"/>
    <n v="19279"/>
  </r>
  <r>
    <x v="15"/>
    <x v="3"/>
    <s v="NSW"/>
    <s v="No agreement"/>
    <s v="More than 150% MBS Fee to 200% MBS Fee"/>
    <n v="12798673.08"/>
    <n v="5419340.0599999996"/>
    <n v="1902646.95"/>
    <n v="61285"/>
  </r>
  <r>
    <x v="15"/>
    <x v="3"/>
    <s v="NSW"/>
    <s v="No agreement"/>
    <s v="More than 200% MBS Fee"/>
    <n v="78480588.129999995"/>
    <n v="20187002.68"/>
    <n v="6807474.2800000003"/>
    <n v="161793"/>
  </r>
  <r>
    <x v="15"/>
    <x v="3"/>
    <s v="NSW"/>
    <s v="Known gap agreement"/>
    <s v="100% MBS Fee to 125% MBS Fee"/>
    <n v="1139149.3600000001"/>
    <n v="760065.98"/>
    <n v="334220.83"/>
    <n v="7026"/>
  </r>
  <r>
    <x v="15"/>
    <x v="3"/>
    <s v="NSW"/>
    <s v="Known gap agreement"/>
    <s v="More than 125% MBS Fee to 150% MBS Fee"/>
    <n v="1834485.92"/>
    <n v="995849.42"/>
    <n v="724883.4"/>
    <n v="5983"/>
  </r>
  <r>
    <x v="15"/>
    <x v="3"/>
    <s v="NSW"/>
    <s v="Known gap agreement"/>
    <s v="More than 150% MBS Fee to 200% MBS Fee"/>
    <n v="3829626.01"/>
    <n v="1693720.95"/>
    <n v="1651520"/>
    <n v="15106"/>
  </r>
  <r>
    <x v="15"/>
    <x v="3"/>
    <s v="NSW"/>
    <s v="Known gap agreement"/>
    <s v="More than 200% MBS Fee"/>
    <n v="6633774.4000000004"/>
    <n v="1693132.52"/>
    <n v="1736556.86"/>
    <n v="16442"/>
  </r>
  <r>
    <x v="15"/>
    <x v="3"/>
    <s v="NSW"/>
    <s v="No gap agreement"/>
    <s v="Up to MBS Fee"/>
    <n v="9198207.6099999994"/>
    <n v="6970434.9400000004"/>
    <n v="2228262.66"/>
    <n v="265285"/>
  </r>
  <r>
    <x v="15"/>
    <x v="3"/>
    <s v="NSW"/>
    <s v="No gap agreement"/>
    <s v="100% MBS Fee to 125% MBS Fee"/>
    <n v="29505903.780000001"/>
    <n v="19020004.530000001"/>
    <n v="10485550.17"/>
    <n v="308669"/>
  </r>
  <r>
    <x v="15"/>
    <x v="3"/>
    <s v="NSW"/>
    <s v="No gap agreement"/>
    <s v="More than 125% MBS Fee to 150% MBS Fee"/>
    <n v="54275420.090000004"/>
    <n v="29965205.579999998"/>
    <n v="24310028.190000001"/>
    <n v="241088"/>
  </r>
  <r>
    <x v="15"/>
    <x v="3"/>
    <s v="NSW"/>
    <s v="No gap agreement"/>
    <s v="More than 150% MBS Fee to 200% MBS Fee"/>
    <n v="55026018.009999998"/>
    <n v="25348825.25"/>
    <n v="29676848.010000002"/>
    <n v="344288"/>
  </r>
  <r>
    <x v="15"/>
    <x v="3"/>
    <s v="NSW"/>
    <s v="No gap agreement"/>
    <s v="More than 200% MBS Fee"/>
    <n v="7994546.2800000003"/>
    <n v="2487430.3199999998"/>
    <n v="5507112.6100000003"/>
    <n v="30249"/>
  </r>
  <r>
    <x v="15"/>
    <x v="3"/>
    <s v="VIC"/>
    <s v="No agreement"/>
    <s v="Up to MBS Fee"/>
    <n v="12057645.890000001"/>
    <n v="9064065.9600000009"/>
    <n v="2992881.02"/>
    <n v="181473"/>
  </r>
  <r>
    <x v="15"/>
    <x v="3"/>
    <s v="VIC"/>
    <s v="No agreement"/>
    <s v="100% MBS Fee to 125% MBS Fee"/>
    <n v="2210949.0499999998"/>
    <n v="1479916.25"/>
    <n v="508278.39"/>
    <n v="15403"/>
  </r>
  <r>
    <x v="15"/>
    <x v="3"/>
    <s v="VIC"/>
    <s v="No agreement"/>
    <s v="More than 125% MBS Fee to 150% MBS Fee"/>
    <n v="4036285.24"/>
    <n v="2192658.98"/>
    <n v="1190182.83"/>
    <n v="22944"/>
  </r>
  <r>
    <x v="15"/>
    <x v="3"/>
    <s v="VIC"/>
    <s v="No agreement"/>
    <s v="More than 150% MBS Fee to 200% MBS Fee"/>
    <n v="9923236.2300000004"/>
    <n v="4305204.6399999997"/>
    <n v="3189880.32"/>
    <n v="64941"/>
  </r>
  <r>
    <x v="15"/>
    <x v="3"/>
    <s v="VIC"/>
    <s v="No agreement"/>
    <s v="More than 200% MBS Fee"/>
    <n v="19507480.809999999"/>
    <n v="5253131.91"/>
    <n v="1788975.75"/>
    <n v="67355"/>
  </r>
  <r>
    <x v="15"/>
    <x v="3"/>
    <s v="VIC"/>
    <s v="Known gap agreement"/>
    <s v="100% MBS Fee to 125% MBS Fee"/>
    <n v="1750620.26"/>
    <n v="1171178.3999999999"/>
    <n v="479394.67"/>
    <n v="9008"/>
  </r>
  <r>
    <x v="15"/>
    <x v="3"/>
    <s v="VIC"/>
    <s v="Known gap agreement"/>
    <s v="More than 125% MBS Fee to 150% MBS Fee"/>
    <n v="3700831.76"/>
    <n v="2009432.95"/>
    <n v="1374412.8"/>
    <n v="13223"/>
  </r>
  <r>
    <x v="15"/>
    <x v="3"/>
    <s v="VIC"/>
    <s v="Known gap agreement"/>
    <s v="More than 150% MBS Fee to 200% MBS Fee"/>
    <n v="6725416.5999999996"/>
    <n v="2933916.73"/>
    <n v="2545657.96"/>
    <n v="24191"/>
  </r>
  <r>
    <x v="15"/>
    <x v="3"/>
    <s v="VIC"/>
    <s v="Known gap agreement"/>
    <s v="More than 200% MBS Fee"/>
    <n v="10438769.689999999"/>
    <n v="2861238.71"/>
    <n v="2888120.62"/>
    <n v="29263"/>
  </r>
  <r>
    <x v="15"/>
    <x v="3"/>
    <s v="VIC"/>
    <s v="No gap agreement"/>
    <s v="Up to MBS Fee"/>
    <n v="9243552.7400000002"/>
    <n v="6975936.6500000004"/>
    <n v="2267791.79"/>
    <n v="202036"/>
  </r>
  <r>
    <x v="15"/>
    <x v="3"/>
    <s v="VIC"/>
    <s v="No gap agreement"/>
    <s v="100% MBS Fee to 125% MBS Fee"/>
    <n v="31355255.620000001"/>
    <n v="20235092.02"/>
    <n v="11119980.859999999"/>
    <n v="331284"/>
  </r>
  <r>
    <x v="15"/>
    <x v="3"/>
    <s v="VIC"/>
    <s v="No gap agreement"/>
    <s v="More than 125% MBS Fee to 150% MBS Fee"/>
    <n v="58467099.390000001"/>
    <n v="32188658.879999999"/>
    <n v="26278372.23"/>
    <n v="309580"/>
  </r>
  <r>
    <x v="15"/>
    <x v="3"/>
    <s v="VIC"/>
    <s v="No gap agreement"/>
    <s v="More than 150% MBS Fee to 200% MBS Fee"/>
    <n v="53298339.100000001"/>
    <n v="24506503.620000001"/>
    <n v="28791859.649999999"/>
    <n v="314646"/>
  </r>
  <r>
    <x v="15"/>
    <x v="3"/>
    <s v="VIC"/>
    <s v="No gap agreement"/>
    <s v="More than 200% MBS Fee"/>
    <n v="3419044.28"/>
    <n v="1000129.48"/>
    <n v="2418914.7999999998"/>
    <n v="8044"/>
  </r>
  <r>
    <x v="15"/>
    <x v="3"/>
    <s v="QLD"/>
    <s v="No agreement"/>
    <s v="Up to MBS Fee"/>
    <n v="9491121.4499999993"/>
    <n v="7147474.5700000003"/>
    <n v="2338724.11"/>
    <n v="162225"/>
  </r>
  <r>
    <x v="15"/>
    <x v="3"/>
    <s v="QLD"/>
    <s v="No agreement"/>
    <s v="100% MBS Fee to 125% MBS Fee"/>
    <n v="2261197.81"/>
    <n v="1498687.52"/>
    <n v="499121.5"/>
    <n v="16042"/>
  </r>
  <r>
    <x v="15"/>
    <x v="3"/>
    <s v="QLD"/>
    <s v="No agreement"/>
    <s v="More than 125% MBS Fee to 150% MBS Fee"/>
    <n v="3539583.99"/>
    <n v="1919506.91"/>
    <n v="668297.71"/>
    <n v="24591"/>
  </r>
  <r>
    <x v="15"/>
    <x v="3"/>
    <s v="QLD"/>
    <s v="No agreement"/>
    <s v="More than 150% MBS Fee to 200% MBS Fee"/>
    <n v="8455719.4900000002"/>
    <n v="3605902.62"/>
    <n v="1304694.83"/>
    <n v="42927"/>
  </r>
  <r>
    <x v="15"/>
    <x v="3"/>
    <s v="QLD"/>
    <s v="No agreement"/>
    <s v="More than 200% MBS Fee"/>
    <n v="38700658.189999998"/>
    <n v="10200789.09"/>
    <n v="3430685.01"/>
    <n v="116192"/>
  </r>
  <r>
    <x v="15"/>
    <x v="3"/>
    <s v="QLD"/>
    <s v="Known gap agreement"/>
    <s v="100% MBS Fee to 125% MBS Fee"/>
    <n v="602216.86"/>
    <n v="397557.59"/>
    <n v="163480.89000000001"/>
    <n v="3037"/>
  </r>
  <r>
    <x v="15"/>
    <x v="3"/>
    <s v="QLD"/>
    <s v="Known gap agreement"/>
    <s v="More than 125% MBS Fee to 150% MBS Fee"/>
    <n v="1313186.3500000001"/>
    <n v="714072.2"/>
    <n v="510527.36"/>
    <n v="6994"/>
  </r>
  <r>
    <x v="15"/>
    <x v="3"/>
    <s v="QLD"/>
    <s v="Known gap agreement"/>
    <s v="More than 150% MBS Fee to 200% MBS Fee"/>
    <n v="3239193.06"/>
    <n v="1385034.12"/>
    <n v="1282245.3600000001"/>
    <n v="8471"/>
  </r>
  <r>
    <x v="15"/>
    <x v="3"/>
    <s v="QLD"/>
    <s v="Known gap agreement"/>
    <s v="More than 200% MBS Fee"/>
    <n v="8397175.1899999995"/>
    <n v="2281215.71"/>
    <n v="2396079.58"/>
    <n v="24467"/>
  </r>
  <r>
    <x v="15"/>
    <x v="3"/>
    <s v="QLD"/>
    <s v="No gap agreement"/>
    <s v="Up to MBS Fee"/>
    <n v="3049499.69"/>
    <n v="2311947.2599999998"/>
    <n v="737545.6"/>
    <n v="59526"/>
  </r>
  <r>
    <x v="15"/>
    <x v="3"/>
    <s v="QLD"/>
    <s v="No gap agreement"/>
    <s v="100% MBS Fee to 125% MBS Fee"/>
    <n v="26644968.469999999"/>
    <n v="17301445.93"/>
    <n v="9343280.6300000008"/>
    <n v="293524"/>
  </r>
  <r>
    <x v="15"/>
    <x v="3"/>
    <s v="QLD"/>
    <s v="No gap agreement"/>
    <s v="More than 125% MBS Fee to 150% MBS Fee"/>
    <n v="45318254.759999998"/>
    <n v="25126730.300000001"/>
    <n v="20191393.52"/>
    <n v="248297"/>
  </r>
  <r>
    <x v="15"/>
    <x v="3"/>
    <s v="QLD"/>
    <s v="No gap agreement"/>
    <s v="More than 150% MBS Fee to 200% MBS Fee"/>
    <n v="37547896.899999999"/>
    <n v="17457586.859999999"/>
    <n v="20090332.399999999"/>
    <n v="246141"/>
  </r>
  <r>
    <x v="15"/>
    <x v="3"/>
    <s v="QLD"/>
    <s v="No gap agreement"/>
    <s v="More than 200% MBS Fee"/>
    <n v="5202522.12"/>
    <n v="1565197.62"/>
    <n v="3637523.81"/>
    <n v="8497"/>
  </r>
  <r>
    <x v="15"/>
    <x v="3"/>
    <s v="SA"/>
    <s v="No agreement"/>
    <s v="Up to MBS Fee"/>
    <n v="2624334.66"/>
    <n v="1970190.28"/>
    <n v="654144.18000000005"/>
    <n v="58995"/>
  </r>
  <r>
    <x v="15"/>
    <x v="3"/>
    <s v="SA"/>
    <s v="No agreement"/>
    <s v="100% MBS Fee to 125% MBS Fee"/>
    <n v="712298.64"/>
    <n v="484614.8"/>
    <n v="186132.53"/>
    <n v="6391"/>
  </r>
  <r>
    <x v="15"/>
    <x v="3"/>
    <s v="SA"/>
    <s v="No agreement"/>
    <s v="More than 125% MBS Fee to 150% MBS Fee"/>
    <n v="1723738.37"/>
    <n v="935290.13"/>
    <n v="594543.31000000006"/>
    <n v="10954"/>
  </r>
  <r>
    <x v="15"/>
    <x v="3"/>
    <s v="SA"/>
    <s v="No agreement"/>
    <s v="More than 150% MBS Fee to 200% MBS Fee"/>
    <n v="5501178.0999999996"/>
    <n v="2386130.16"/>
    <n v="2865358.83"/>
    <n v="46754"/>
  </r>
  <r>
    <x v="15"/>
    <x v="3"/>
    <s v="SA"/>
    <s v="No agreement"/>
    <s v="More than 200% MBS Fee"/>
    <n v="1984430.02"/>
    <n v="562834.29"/>
    <n v="229278.54"/>
    <n v="12870"/>
  </r>
  <r>
    <x v="15"/>
    <x v="3"/>
    <s v="SA"/>
    <s v="Known gap agreement"/>
    <s v="100% MBS Fee to 125% MBS Fee"/>
    <n v="1894297.7"/>
    <n v="1247888.76"/>
    <n v="596285.53"/>
    <n v="17247"/>
  </r>
  <r>
    <x v="15"/>
    <x v="3"/>
    <s v="SA"/>
    <s v="Known gap agreement"/>
    <s v="More than 125% MBS Fee to 150% MBS Fee"/>
    <n v="2396159.38"/>
    <n v="1300959.82"/>
    <n v="990228.26"/>
    <n v="10229"/>
  </r>
  <r>
    <x v="15"/>
    <x v="3"/>
    <s v="SA"/>
    <s v="Known gap agreement"/>
    <s v="More than 150% MBS Fee to 200% MBS Fee"/>
    <n v="3163790.11"/>
    <n v="1435062.24"/>
    <n v="1469212.92"/>
    <n v="11166"/>
  </r>
  <r>
    <x v="15"/>
    <x v="3"/>
    <s v="SA"/>
    <s v="Known gap agreement"/>
    <s v="More than 200% MBS Fee"/>
    <n v="1794377.83"/>
    <n v="502245.96"/>
    <n v="535116.37"/>
    <n v="3477"/>
  </r>
  <r>
    <x v="15"/>
    <x v="3"/>
    <s v="SA"/>
    <s v="No gap agreement"/>
    <s v="Up to MBS Fee"/>
    <n v="2260825.34"/>
    <n v="1704669.91"/>
    <n v="556291.03"/>
    <n v="19998"/>
  </r>
  <r>
    <x v="15"/>
    <x v="3"/>
    <s v="SA"/>
    <s v="No gap agreement"/>
    <s v="100% MBS Fee to 125% MBS Fee"/>
    <n v="8127609.8099999996"/>
    <n v="5329830.99"/>
    <n v="2797743.71"/>
    <n v="112843"/>
  </r>
  <r>
    <x v="15"/>
    <x v="3"/>
    <s v="SA"/>
    <s v="No gap agreement"/>
    <s v="More than 125% MBS Fee to 150% MBS Fee"/>
    <n v="17338676.859999999"/>
    <n v="9435920.75"/>
    <n v="7902734.0300000003"/>
    <n v="89521"/>
  </r>
  <r>
    <x v="15"/>
    <x v="3"/>
    <s v="SA"/>
    <s v="No gap agreement"/>
    <s v="More than 150% MBS Fee to 200% MBS Fee"/>
    <n v="17705330.789999999"/>
    <n v="8143574.29"/>
    <n v="9561748.2799999993"/>
    <n v="73454"/>
  </r>
  <r>
    <x v="15"/>
    <x v="3"/>
    <s v="SA"/>
    <s v="No gap agreement"/>
    <s v="More than 200% MBS Fee"/>
    <n v="1651922.41"/>
    <n v="482785.83"/>
    <n v="1169136.58"/>
    <n v="2518"/>
  </r>
  <r>
    <x v="15"/>
    <x v="3"/>
    <s v="WA"/>
    <s v="No agreement"/>
    <s v="Up to MBS Fee"/>
    <n v="1924326.75"/>
    <n v="1446868.02"/>
    <n v="477206.88"/>
    <n v="39521"/>
  </r>
  <r>
    <x v="15"/>
    <x v="3"/>
    <s v="WA"/>
    <s v="No agreement"/>
    <s v="100% MBS Fee to 125% MBS Fee"/>
    <n v="489986.56"/>
    <n v="322025.44"/>
    <n v="109678.74"/>
    <n v="3165"/>
  </r>
  <r>
    <x v="15"/>
    <x v="3"/>
    <s v="WA"/>
    <s v="No agreement"/>
    <s v="More than 125% MBS Fee to 150% MBS Fee"/>
    <n v="1274347.3600000001"/>
    <n v="692793.48"/>
    <n v="235002.31"/>
    <n v="9296"/>
  </r>
  <r>
    <x v="15"/>
    <x v="3"/>
    <s v="WA"/>
    <s v="No agreement"/>
    <s v="More than 150% MBS Fee to 200% MBS Fee"/>
    <n v="2767189.92"/>
    <n v="1173264.1399999999"/>
    <n v="400633.72"/>
    <n v="15115"/>
  </r>
  <r>
    <x v="15"/>
    <x v="3"/>
    <s v="WA"/>
    <s v="No agreement"/>
    <s v="More than 200% MBS Fee"/>
    <n v="5764961.0999999996"/>
    <n v="1422149.18"/>
    <n v="478395.19"/>
    <n v="16827"/>
  </r>
  <r>
    <x v="15"/>
    <x v="3"/>
    <s v="WA"/>
    <s v="Known gap agreement"/>
    <s v="100% MBS Fee to 125% MBS Fee"/>
    <n v="1866337.3"/>
    <n v="1269007.45"/>
    <n v="569942.89"/>
    <n v="12197"/>
  </r>
  <r>
    <x v="15"/>
    <x v="3"/>
    <s v="WA"/>
    <s v="Known gap agreement"/>
    <s v="More than 125% MBS Fee to 150% MBS Fee"/>
    <n v="3664468.7"/>
    <n v="1982753.84"/>
    <n v="1435854.98"/>
    <n v="31755"/>
  </r>
  <r>
    <x v="15"/>
    <x v="3"/>
    <s v="WA"/>
    <s v="Known gap agreement"/>
    <s v="More than 150% MBS Fee to 200% MBS Fee"/>
    <n v="6475325.2400000002"/>
    <n v="2824843.02"/>
    <n v="2151060.0499999998"/>
    <n v="21753"/>
  </r>
  <r>
    <x v="15"/>
    <x v="3"/>
    <s v="WA"/>
    <s v="Known gap agreement"/>
    <s v="More than 200% MBS Fee"/>
    <n v="11035024.24"/>
    <n v="2757771.41"/>
    <n v="1987482.56"/>
    <n v="19248"/>
  </r>
  <r>
    <x v="15"/>
    <x v="3"/>
    <s v="WA"/>
    <s v="No gap agreement"/>
    <s v="Up to MBS Fee"/>
    <n v="886803.11"/>
    <n v="672113.22"/>
    <n v="214689.89"/>
    <n v="10415"/>
  </r>
  <r>
    <x v="15"/>
    <x v="3"/>
    <s v="WA"/>
    <s v="No gap agreement"/>
    <s v="100% MBS Fee to 125% MBS Fee"/>
    <n v="8339488.4000000004"/>
    <n v="5274147.1500000004"/>
    <n v="3065336.13"/>
    <n v="88938"/>
  </r>
  <r>
    <x v="15"/>
    <x v="3"/>
    <s v="WA"/>
    <s v="No gap agreement"/>
    <s v="More than 125% MBS Fee to 150% MBS Fee"/>
    <n v="23443381.199999999"/>
    <n v="13009456.27"/>
    <n v="10433917.52"/>
    <n v="165952"/>
  </r>
  <r>
    <x v="15"/>
    <x v="3"/>
    <s v="WA"/>
    <s v="No gap agreement"/>
    <s v="More than 150% MBS Fee to 200% MBS Fee"/>
    <n v="26671156.329999998"/>
    <n v="11694605.65"/>
    <n v="14976553.51"/>
    <n v="135172"/>
  </r>
  <r>
    <x v="15"/>
    <x v="3"/>
    <s v="WA"/>
    <s v="No gap agreement"/>
    <s v="More than 200% MBS Fee"/>
    <n v="3206307.61"/>
    <n v="812816.16"/>
    <n v="2393489.65"/>
    <n v="2343"/>
  </r>
  <r>
    <x v="15"/>
    <x v="3"/>
    <s v="TAS"/>
    <s v="No agreement"/>
    <s v="Up to MBS Fee"/>
    <n v="1026827.92"/>
    <n v="772723.59"/>
    <n v="254104.33"/>
    <n v="16554"/>
  </r>
  <r>
    <x v="15"/>
    <x v="3"/>
    <s v="TAS"/>
    <s v="No agreement"/>
    <s v="100% MBS Fee to 125% MBS Fee"/>
    <n v="243641.95"/>
    <n v="166243.1"/>
    <n v="55380.55"/>
    <n v="2250"/>
  </r>
  <r>
    <x v="15"/>
    <x v="3"/>
    <s v="TAS"/>
    <s v="No agreement"/>
    <s v="More than 125% MBS Fee to 150% MBS Fee"/>
    <n v="168109"/>
    <n v="91444.92"/>
    <n v="32479.72"/>
    <n v="676"/>
  </r>
  <r>
    <x v="15"/>
    <x v="3"/>
    <s v="TAS"/>
    <s v="No agreement"/>
    <s v="More than 150% MBS Fee to 200% MBS Fee"/>
    <n v="623843.93999999994"/>
    <n v="268314.11"/>
    <n v="98363.61"/>
    <n v="2681"/>
  </r>
  <r>
    <x v="15"/>
    <x v="3"/>
    <s v="TAS"/>
    <s v="No agreement"/>
    <s v="More than 200% MBS Fee"/>
    <n v="2625687.17"/>
    <n v="675963.78"/>
    <n v="227232"/>
    <n v="8169"/>
  </r>
  <r>
    <x v="15"/>
    <x v="3"/>
    <s v="TAS"/>
    <s v="Known gap agreement"/>
    <s v="100% MBS Fee to 125% MBS Fee"/>
    <n v="94356.61"/>
    <n v="65445.35"/>
    <n v="22188.23"/>
    <n v="967"/>
  </r>
  <r>
    <x v="15"/>
    <x v="3"/>
    <s v="TAS"/>
    <s v="Known gap agreement"/>
    <s v="More than 125% MBS Fee to 150% MBS Fee"/>
    <n v="158932.06"/>
    <n v="86726.8"/>
    <n v="64053.06"/>
    <n v="495"/>
  </r>
  <r>
    <x v="15"/>
    <x v="3"/>
    <s v="TAS"/>
    <s v="Known gap agreement"/>
    <s v="More than 150% MBS Fee to 200% MBS Fee"/>
    <n v="547776.24"/>
    <n v="234794.25"/>
    <n v="238781.33"/>
    <n v="1499"/>
  </r>
  <r>
    <x v="15"/>
    <x v="3"/>
    <s v="TAS"/>
    <s v="Known gap agreement"/>
    <s v="More than 200% MBS Fee"/>
    <n v="1019693.84"/>
    <n v="298244.2"/>
    <n v="325934.44"/>
    <n v="3792"/>
  </r>
  <r>
    <x v="15"/>
    <x v="3"/>
    <s v="TAS"/>
    <s v="No gap agreement"/>
    <s v="Up to MBS Fee"/>
    <n v="573243.39"/>
    <n v="434261.89"/>
    <n v="139031.34"/>
    <n v="8666"/>
  </r>
  <r>
    <x v="15"/>
    <x v="3"/>
    <s v="TAS"/>
    <s v="No gap agreement"/>
    <s v="100% MBS Fee to 125% MBS Fee"/>
    <n v="2521991.9"/>
    <n v="1634437"/>
    <n v="887548.89"/>
    <n v="24215"/>
  </r>
  <r>
    <x v="15"/>
    <x v="3"/>
    <s v="TAS"/>
    <s v="No gap agreement"/>
    <s v="More than 125% MBS Fee to 150% MBS Fee"/>
    <n v="4555442.75"/>
    <n v="2505936.15"/>
    <n v="2049501.49"/>
    <n v="18712"/>
  </r>
  <r>
    <x v="15"/>
    <x v="3"/>
    <s v="TAS"/>
    <s v="No gap agreement"/>
    <s v="More than 150% MBS Fee to 200% MBS Fee"/>
    <n v="4712425.13"/>
    <n v="2184220.2000000002"/>
    <n v="2528202.9900000002"/>
    <n v="28609"/>
  </r>
  <r>
    <x v="15"/>
    <x v="3"/>
    <s v="TAS"/>
    <s v="No gap agreement"/>
    <s v="More than 200% MBS Fee"/>
    <n v="456130.75"/>
    <n v="136545.54999999999"/>
    <n v="319585.2"/>
    <n v="413"/>
  </r>
  <r>
    <x v="15"/>
    <x v="3"/>
    <s v="ACT"/>
    <s v="No agreement"/>
    <s v="Up to MBS Fee"/>
    <n v="828006.91"/>
    <n v="622870.98"/>
    <n v="204910.98"/>
    <n v="9015"/>
  </r>
  <r>
    <x v="15"/>
    <x v="3"/>
    <s v="ACT"/>
    <s v="No agreement"/>
    <s v="100% MBS Fee to 125% MBS Fee"/>
    <n v="190060.71"/>
    <n v="123787.98"/>
    <n v="41152.81"/>
    <n v="837"/>
  </r>
  <r>
    <x v="15"/>
    <x v="3"/>
    <s v="ACT"/>
    <s v="No agreement"/>
    <s v="More than 125% MBS Fee to 150% MBS Fee"/>
    <n v="202385.74"/>
    <n v="108907.32"/>
    <n v="36555.83"/>
    <n v="757"/>
  </r>
  <r>
    <x v="15"/>
    <x v="3"/>
    <s v="ACT"/>
    <s v="No agreement"/>
    <s v="More than 150% MBS Fee to 200% MBS Fee"/>
    <n v="774823.47"/>
    <n v="331875.67"/>
    <n v="113937.19"/>
    <n v="3926"/>
  </r>
  <r>
    <x v="15"/>
    <x v="3"/>
    <s v="ACT"/>
    <s v="No agreement"/>
    <s v="More than 200% MBS Fee"/>
    <n v="5389283.8600000003"/>
    <n v="1358387.2"/>
    <n v="456546.13"/>
    <n v="9852"/>
  </r>
  <r>
    <x v="15"/>
    <x v="3"/>
    <s v="ACT"/>
    <s v="Known gap agreement"/>
    <s v="100% MBS Fee to 125% MBS Fee"/>
    <n v="28647.27"/>
    <n v="19193.55"/>
    <n v="7465.12"/>
    <n v="183"/>
  </r>
  <r>
    <x v="15"/>
    <x v="3"/>
    <s v="ACT"/>
    <s v="Known gap agreement"/>
    <s v="More than 125% MBS Fee to 150% MBS Fee"/>
    <n v="70280.83"/>
    <n v="37925.33"/>
    <n v="28201.85"/>
    <n v="215"/>
  </r>
  <r>
    <x v="15"/>
    <x v="3"/>
    <s v="ACT"/>
    <s v="Known gap agreement"/>
    <s v="More than 150% MBS Fee to 200% MBS Fee"/>
    <n v="137554.35"/>
    <n v="61128.07"/>
    <n v="60986.559999999998"/>
    <n v="669"/>
  </r>
  <r>
    <x v="15"/>
    <x v="3"/>
    <s v="ACT"/>
    <s v="Known gap agreement"/>
    <s v="More than 200% MBS Fee"/>
    <n v="380366.23"/>
    <n v="88604.77"/>
    <n v="89123.96"/>
    <n v="1076"/>
  </r>
  <r>
    <x v="15"/>
    <x v="3"/>
    <s v="ACT"/>
    <s v="No gap agreement"/>
    <s v="Up to MBS Fee"/>
    <n v="196683.7"/>
    <n v="149142.87"/>
    <n v="47540.63"/>
    <n v="6831"/>
  </r>
  <r>
    <x v="15"/>
    <x v="3"/>
    <s v="ACT"/>
    <s v="No gap agreement"/>
    <s v="100% MBS Fee to 125% MBS Fee"/>
    <n v="970535.33"/>
    <n v="640421.82999999996"/>
    <n v="330111.19"/>
    <n v="13273"/>
  </r>
  <r>
    <x v="15"/>
    <x v="3"/>
    <s v="ACT"/>
    <s v="No gap agreement"/>
    <s v="More than 125% MBS Fee to 150% MBS Fee"/>
    <n v="1699435.56"/>
    <n v="930038.2"/>
    <n v="769391.93"/>
    <n v="7272"/>
  </r>
  <r>
    <x v="15"/>
    <x v="3"/>
    <s v="ACT"/>
    <s v="No gap agreement"/>
    <s v="More than 150% MBS Fee to 200% MBS Fee"/>
    <n v="1738111.79"/>
    <n v="801872.8"/>
    <n v="936230.55"/>
    <n v="11435"/>
  </r>
  <r>
    <x v="15"/>
    <x v="3"/>
    <s v="ACT"/>
    <s v="No gap agreement"/>
    <s v="More than 200% MBS Fee"/>
    <n v="364910.56"/>
    <n v="114498.5"/>
    <n v="250412.06"/>
    <n v="784"/>
  </r>
  <r>
    <x v="15"/>
    <x v="3"/>
    <s v="NT"/>
    <s v="No agreement"/>
    <s v="Up to MBS Fee"/>
    <n v="253312.28"/>
    <n v="192507.58"/>
    <n v="60804.25"/>
    <n v="2252"/>
  </r>
  <r>
    <x v="15"/>
    <x v="3"/>
    <s v="NT"/>
    <s v="No agreement"/>
    <s v="100% MBS Fee to 125% MBS Fee"/>
    <n v="29214.99"/>
    <n v="19370.03"/>
    <n v="6604.17"/>
    <n v="138"/>
  </r>
  <r>
    <x v="15"/>
    <x v="3"/>
    <s v="NT"/>
    <s v="No agreement"/>
    <s v="More than 125% MBS Fee to 150% MBS Fee"/>
    <n v="60968.06"/>
    <n v="32659.29"/>
    <n v="11200.7"/>
    <n v="236"/>
  </r>
  <r>
    <x v="15"/>
    <x v="3"/>
    <s v="NT"/>
    <s v="No agreement"/>
    <s v="More than 150% MBS Fee to 200% MBS Fee"/>
    <n v="176839.55"/>
    <n v="74553.39"/>
    <n v="32643.33"/>
    <n v="872"/>
  </r>
  <r>
    <x v="15"/>
    <x v="3"/>
    <s v="NT"/>
    <s v="No agreement"/>
    <s v="More than 200% MBS Fee"/>
    <n v="962673.38"/>
    <n v="249734.45"/>
    <n v="83634.240000000005"/>
    <n v="1895"/>
  </r>
  <r>
    <x v="15"/>
    <x v="3"/>
    <s v="NT"/>
    <s v="Known gap agreement"/>
    <s v="100% MBS Fee to 125% MBS Fee"/>
    <n v="11313.22"/>
    <n v="7515.32"/>
    <n v="2863.81"/>
    <n v="130"/>
  </r>
  <r>
    <x v="15"/>
    <x v="3"/>
    <s v="NT"/>
    <s v="Known gap agreement"/>
    <s v="More than 125% MBS Fee to 150% MBS Fee"/>
    <n v="35071.89"/>
    <n v="18861.22"/>
    <n v="12071.28"/>
    <n v="158"/>
  </r>
  <r>
    <x v="15"/>
    <x v="3"/>
    <s v="NT"/>
    <s v="Known gap agreement"/>
    <s v="More than 150% MBS Fee to 200% MBS Fee"/>
    <n v="73582.81"/>
    <n v="32335.16"/>
    <n v="29693.3"/>
    <n v="165"/>
  </r>
  <r>
    <x v="15"/>
    <x v="3"/>
    <s v="NT"/>
    <s v="Known gap agreement"/>
    <s v="More than 200% MBS Fee"/>
    <n v="219988.92"/>
    <n v="56468.14"/>
    <n v="58475.45"/>
    <n v="572"/>
  </r>
  <r>
    <x v="15"/>
    <x v="3"/>
    <s v="NT"/>
    <s v="No gap agreement"/>
    <s v="Up to MBS Fee"/>
    <n v="53221.33"/>
    <n v="39936.339999999997"/>
    <n v="13284.99"/>
    <n v="549"/>
  </r>
  <r>
    <x v="15"/>
    <x v="3"/>
    <s v="NT"/>
    <s v="No gap agreement"/>
    <s v="100% MBS Fee to 125% MBS Fee"/>
    <n v="209341.08"/>
    <n v="135221.31"/>
    <n v="74113.72"/>
    <n v="2648"/>
  </r>
  <r>
    <x v="15"/>
    <x v="3"/>
    <s v="NT"/>
    <s v="No gap agreement"/>
    <s v="More than 125% MBS Fee to 150% MBS Fee"/>
    <n v="700693.49"/>
    <n v="382388.97"/>
    <n v="318301.65000000002"/>
    <n v="2636"/>
  </r>
  <r>
    <x v="15"/>
    <x v="3"/>
    <s v="NT"/>
    <s v="No gap agreement"/>
    <s v="More than 150% MBS Fee to 200% MBS Fee"/>
    <n v="870049.5"/>
    <n v="402339.29"/>
    <n v="467703.13"/>
    <n v="4463"/>
  </r>
  <r>
    <x v="15"/>
    <x v="3"/>
    <s v="NT"/>
    <s v="No gap agreement"/>
    <s v="More than 200% MBS Fee"/>
    <n v="24120.69"/>
    <n v="7669.74"/>
    <n v="16450.95"/>
    <n v="49"/>
  </r>
  <r>
    <x v="15"/>
    <x v="1"/>
    <s v="NSW"/>
    <s v="No agreement"/>
    <s v="Up to MBS Fee"/>
    <n v="33308108.43"/>
    <n v="25069175.579999998"/>
    <n v="8236333.4500000002"/>
    <n v="531052"/>
  </r>
  <r>
    <x v="15"/>
    <x v="1"/>
    <s v="NSW"/>
    <s v="No agreement"/>
    <s v="100% MBS Fee to 125% MBS Fee"/>
    <n v="2679747.66"/>
    <n v="1789154.38"/>
    <n v="596539.54"/>
    <n v="14901"/>
  </r>
  <r>
    <x v="15"/>
    <x v="1"/>
    <s v="NSW"/>
    <s v="No agreement"/>
    <s v="More than 125% MBS Fee to 150% MBS Fee"/>
    <n v="3252339.26"/>
    <n v="1734662.16"/>
    <n v="599757.34"/>
    <n v="16431"/>
  </r>
  <r>
    <x v="15"/>
    <x v="1"/>
    <s v="NSW"/>
    <s v="No agreement"/>
    <s v="More than 150% MBS Fee to 200% MBS Fee"/>
    <n v="14576233.460000001"/>
    <n v="6162789.5999999996"/>
    <n v="2074701.62"/>
    <n v="70082"/>
  </r>
  <r>
    <x v="15"/>
    <x v="1"/>
    <s v="NSW"/>
    <s v="No agreement"/>
    <s v="More than 200% MBS Fee"/>
    <n v="87582959.870000005"/>
    <n v="22190158.010000002"/>
    <n v="7448165.9199999999"/>
    <n v="155603"/>
  </r>
  <r>
    <x v="15"/>
    <x v="1"/>
    <s v="NSW"/>
    <s v="Known gap agreement"/>
    <s v="100% MBS Fee to 125% MBS Fee"/>
    <n v="1249463.8600000001"/>
    <n v="821790.06"/>
    <n v="332404.63"/>
    <n v="8635"/>
  </r>
  <r>
    <x v="15"/>
    <x v="1"/>
    <s v="NSW"/>
    <s v="Known gap agreement"/>
    <s v="More than 125% MBS Fee to 150% MBS Fee"/>
    <n v="2718366.22"/>
    <n v="1461732.45"/>
    <n v="935660.93"/>
    <n v="9251"/>
  </r>
  <r>
    <x v="15"/>
    <x v="1"/>
    <s v="NSW"/>
    <s v="Known gap agreement"/>
    <s v="More than 150% MBS Fee to 200% MBS Fee"/>
    <n v="4867615.9400000004"/>
    <n v="2125250.77"/>
    <n v="1916305.12"/>
    <n v="14550"/>
  </r>
  <r>
    <x v="15"/>
    <x v="1"/>
    <s v="NSW"/>
    <s v="Known gap agreement"/>
    <s v="More than 200% MBS Fee"/>
    <n v="7088336.9199999999"/>
    <n v="1845804.85"/>
    <n v="1802355.38"/>
    <n v="17684"/>
  </r>
  <r>
    <x v="15"/>
    <x v="1"/>
    <s v="NSW"/>
    <s v="No gap agreement"/>
    <s v="Up to MBS Fee"/>
    <n v="8476549.4000000004"/>
    <n v="6376484.04"/>
    <n v="2100321.56"/>
    <n v="235317"/>
  </r>
  <r>
    <x v="15"/>
    <x v="1"/>
    <s v="NSW"/>
    <s v="No gap agreement"/>
    <s v="100% MBS Fee to 125% MBS Fee"/>
    <n v="29933159.890000001"/>
    <n v="19299249.18"/>
    <n v="10633580.74"/>
    <n v="307366"/>
  </r>
  <r>
    <x v="15"/>
    <x v="1"/>
    <s v="NSW"/>
    <s v="No gap agreement"/>
    <s v="More than 125% MBS Fee to 150% MBS Fee"/>
    <n v="67429323.090000004"/>
    <n v="37400570.140000001"/>
    <n v="30028508.370000001"/>
    <n v="426350"/>
  </r>
  <r>
    <x v="15"/>
    <x v="1"/>
    <s v="NSW"/>
    <s v="No gap agreement"/>
    <s v="More than 150% MBS Fee to 200% MBS Fee"/>
    <n v="62668803.140000001"/>
    <n v="28759281.09"/>
    <n v="33909382.880000003"/>
    <n v="387500"/>
  </r>
  <r>
    <x v="15"/>
    <x v="1"/>
    <s v="NSW"/>
    <s v="No gap agreement"/>
    <s v="More than 200% MBS Fee"/>
    <n v="8981399.3800000008"/>
    <n v="2830607.15"/>
    <n v="6150792.6500000004"/>
    <n v="37544"/>
  </r>
  <r>
    <x v="15"/>
    <x v="1"/>
    <s v="VIC"/>
    <s v="No agreement"/>
    <s v="Up to MBS Fee"/>
    <n v="10702550.960000001"/>
    <n v="8051706.9500000002"/>
    <n v="2650072.52"/>
    <n v="118230"/>
  </r>
  <r>
    <x v="15"/>
    <x v="1"/>
    <s v="VIC"/>
    <s v="No agreement"/>
    <s v="100% MBS Fee to 125% MBS Fee"/>
    <n v="1509678.97"/>
    <n v="999027.86"/>
    <n v="333490.36"/>
    <n v="9818"/>
  </r>
  <r>
    <x v="15"/>
    <x v="1"/>
    <s v="VIC"/>
    <s v="No agreement"/>
    <s v="More than 125% MBS Fee to 150% MBS Fee"/>
    <n v="2079817.51"/>
    <n v="1136125.6499999999"/>
    <n v="383225.25"/>
    <n v="15564"/>
  </r>
  <r>
    <x v="15"/>
    <x v="1"/>
    <s v="VIC"/>
    <s v="No agreement"/>
    <s v="More than 150% MBS Fee to 200% MBS Fee"/>
    <n v="5166441.6500000004"/>
    <n v="2199764.56"/>
    <n v="739008.78"/>
    <n v="26542"/>
  </r>
  <r>
    <x v="15"/>
    <x v="1"/>
    <s v="VIC"/>
    <s v="No agreement"/>
    <s v="More than 200% MBS Fee"/>
    <n v="20720121.859999999"/>
    <n v="5426899.7699999996"/>
    <n v="1815250.96"/>
    <n v="49521"/>
  </r>
  <r>
    <x v="15"/>
    <x v="1"/>
    <s v="VIC"/>
    <s v="Known gap agreement"/>
    <s v="100% MBS Fee to 125% MBS Fee"/>
    <n v="1884655.67"/>
    <n v="1252955.3400000001"/>
    <n v="528136.64"/>
    <n v="9288"/>
  </r>
  <r>
    <x v="15"/>
    <x v="1"/>
    <s v="VIC"/>
    <s v="Known gap agreement"/>
    <s v="More than 125% MBS Fee to 150% MBS Fee"/>
    <n v="4620390.99"/>
    <n v="2524771.71"/>
    <n v="1684859.67"/>
    <n v="16637"/>
  </r>
  <r>
    <x v="15"/>
    <x v="1"/>
    <s v="VIC"/>
    <s v="Known gap agreement"/>
    <s v="More than 150% MBS Fee to 200% MBS Fee"/>
    <n v="7236337.0800000001"/>
    <n v="3141605.77"/>
    <n v="2693215.53"/>
    <n v="22934"/>
  </r>
  <r>
    <x v="15"/>
    <x v="1"/>
    <s v="VIC"/>
    <s v="Known gap agreement"/>
    <s v="More than 200% MBS Fee"/>
    <n v="10944639.810000001"/>
    <n v="3034169.96"/>
    <n v="3021990.68"/>
    <n v="31263"/>
  </r>
  <r>
    <x v="15"/>
    <x v="1"/>
    <s v="VIC"/>
    <s v="No gap agreement"/>
    <s v="Up to MBS Fee"/>
    <n v="10522169.310000001"/>
    <n v="7921045.7999999998"/>
    <n v="2601130.38"/>
    <n v="209836"/>
  </r>
  <r>
    <x v="15"/>
    <x v="1"/>
    <s v="VIC"/>
    <s v="No gap agreement"/>
    <s v="100% MBS Fee to 125% MBS Fee"/>
    <n v="33742807.109999999"/>
    <n v="21640339.460000001"/>
    <n v="12102398.310000001"/>
    <n v="325259"/>
  </r>
  <r>
    <x v="15"/>
    <x v="1"/>
    <s v="VIC"/>
    <s v="No gap agreement"/>
    <s v="More than 125% MBS Fee to 150% MBS Fee"/>
    <n v="80252841.549999997"/>
    <n v="44518067.82"/>
    <n v="35734714.140000001"/>
    <n v="594834"/>
  </r>
  <r>
    <x v="15"/>
    <x v="1"/>
    <s v="VIC"/>
    <s v="No gap agreement"/>
    <s v="More than 150% MBS Fee to 200% MBS Fee"/>
    <n v="73536835.489999995"/>
    <n v="33531447.609999999"/>
    <n v="40005346.920000002"/>
    <n v="415108"/>
  </r>
  <r>
    <x v="15"/>
    <x v="1"/>
    <s v="VIC"/>
    <s v="No gap agreement"/>
    <s v="More than 200% MBS Fee"/>
    <n v="4349234.37"/>
    <n v="1256425.1000000001"/>
    <n v="3092809.27"/>
    <n v="9629"/>
  </r>
  <r>
    <x v="15"/>
    <x v="1"/>
    <s v="QLD"/>
    <s v="No agreement"/>
    <s v="Up to MBS Fee"/>
    <n v="10737302.449999999"/>
    <n v="8070433.5099999998"/>
    <n v="2664236.33"/>
    <n v="163926"/>
  </r>
  <r>
    <x v="15"/>
    <x v="1"/>
    <s v="QLD"/>
    <s v="No agreement"/>
    <s v="100% MBS Fee to 125% MBS Fee"/>
    <n v="1686253.43"/>
    <n v="1121158.8500000001"/>
    <n v="373679.58"/>
    <n v="10543"/>
  </r>
  <r>
    <x v="15"/>
    <x v="1"/>
    <s v="QLD"/>
    <s v="No agreement"/>
    <s v="More than 125% MBS Fee to 150% MBS Fee"/>
    <n v="3162207.68"/>
    <n v="1715601.58"/>
    <n v="589166.86"/>
    <n v="15037"/>
  </r>
  <r>
    <x v="15"/>
    <x v="1"/>
    <s v="QLD"/>
    <s v="No agreement"/>
    <s v="More than 150% MBS Fee to 200% MBS Fee"/>
    <n v="9167707.0099999998"/>
    <n v="3876475.42"/>
    <n v="1314423.5900000001"/>
    <n v="29598"/>
  </r>
  <r>
    <x v="15"/>
    <x v="1"/>
    <s v="QLD"/>
    <s v="No agreement"/>
    <s v="More than 200% MBS Fee"/>
    <n v="40992096.219999999"/>
    <n v="11098605.75"/>
    <n v="3706357.41"/>
    <n v="83138"/>
  </r>
  <r>
    <x v="15"/>
    <x v="1"/>
    <s v="QLD"/>
    <s v="Known gap agreement"/>
    <s v="100% MBS Fee to 125% MBS Fee"/>
    <n v="958557.75"/>
    <n v="613108.11"/>
    <n v="253783.42"/>
    <n v="6182"/>
  </r>
  <r>
    <x v="15"/>
    <x v="1"/>
    <s v="QLD"/>
    <s v="Known gap agreement"/>
    <s v="More than 125% MBS Fee to 150% MBS Fee"/>
    <n v="2853809.18"/>
    <n v="1551930.87"/>
    <n v="995791.19"/>
    <n v="13318"/>
  </r>
  <r>
    <x v="15"/>
    <x v="1"/>
    <s v="QLD"/>
    <s v="Known gap agreement"/>
    <s v="More than 150% MBS Fee to 200% MBS Fee"/>
    <n v="4744124.88"/>
    <n v="2049558.69"/>
    <n v="1821629.53"/>
    <n v="11866"/>
  </r>
  <r>
    <x v="15"/>
    <x v="1"/>
    <s v="QLD"/>
    <s v="Known gap agreement"/>
    <s v="More than 200% MBS Fee"/>
    <n v="8778117.4700000007"/>
    <n v="2417530.2400000002"/>
    <n v="2489277.88"/>
    <n v="21250"/>
  </r>
  <r>
    <x v="15"/>
    <x v="1"/>
    <s v="QLD"/>
    <s v="No gap agreement"/>
    <s v="Up to MBS Fee"/>
    <n v="3000168.03"/>
    <n v="2261992.54"/>
    <n v="738177.23"/>
    <n v="57427"/>
  </r>
  <r>
    <x v="15"/>
    <x v="1"/>
    <s v="QLD"/>
    <s v="No gap agreement"/>
    <s v="100% MBS Fee to 125% MBS Fee"/>
    <n v="23043258.079999998"/>
    <n v="14815383.369999999"/>
    <n v="8227825.25"/>
    <n v="230788"/>
  </r>
  <r>
    <x v="15"/>
    <x v="1"/>
    <s v="QLD"/>
    <s v="No gap agreement"/>
    <s v="More than 125% MBS Fee to 150% MBS Fee"/>
    <n v="58369913.219999999"/>
    <n v="32648951.710000001"/>
    <n v="25720825.52"/>
    <n v="592764"/>
  </r>
  <r>
    <x v="15"/>
    <x v="1"/>
    <s v="QLD"/>
    <s v="No gap agreement"/>
    <s v="More than 150% MBS Fee to 200% MBS Fee"/>
    <n v="39009373.530000001"/>
    <n v="18050627.489999998"/>
    <n v="20958706.239999998"/>
    <n v="257480"/>
  </r>
  <r>
    <x v="15"/>
    <x v="1"/>
    <s v="QLD"/>
    <s v="No gap agreement"/>
    <s v="More than 200% MBS Fee"/>
    <n v="5368161.1399999997"/>
    <n v="1587050.1"/>
    <n v="3781109.22"/>
    <n v="8691"/>
  </r>
  <r>
    <x v="15"/>
    <x v="1"/>
    <s v="SA"/>
    <s v="No agreement"/>
    <s v="Up to MBS Fee"/>
    <n v="2813793.66"/>
    <n v="2113802.5299999998"/>
    <n v="699737.53"/>
    <n v="58033"/>
  </r>
  <r>
    <x v="15"/>
    <x v="1"/>
    <s v="SA"/>
    <s v="No agreement"/>
    <s v="100% MBS Fee to 125% MBS Fee"/>
    <n v="332865.02"/>
    <n v="219256.36"/>
    <n v="77611.98"/>
    <n v="2664"/>
  </r>
  <r>
    <x v="15"/>
    <x v="1"/>
    <s v="SA"/>
    <s v="No agreement"/>
    <s v="More than 125% MBS Fee to 150% MBS Fee"/>
    <n v="668817.96"/>
    <n v="358314.96"/>
    <n v="129375.56"/>
    <n v="3526"/>
  </r>
  <r>
    <x v="15"/>
    <x v="1"/>
    <s v="SA"/>
    <s v="No agreement"/>
    <s v="More than 150% MBS Fee to 200% MBS Fee"/>
    <n v="670272.41"/>
    <n v="290019.28999999998"/>
    <n v="113855.61"/>
    <n v="2860"/>
  </r>
  <r>
    <x v="15"/>
    <x v="1"/>
    <s v="SA"/>
    <s v="No agreement"/>
    <s v="More than 200% MBS Fee"/>
    <n v="2053392.28"/>
    <n v="557673.91"/>
    <n v="187732.06"/>
    <n v="7195"/>
  </r>
  <r>
    <x v="15"/>
    <x v="1"/>
    <s v="SA"/>
    <s v="Known gap agreement"/>
    <s v="100% MBS Fee to 125% MBS Fee"/>
    <n v="500938.5"/>
    <n v="332659.75"/>
    <n v="135120.72"/>
    <n v="2263"/>
  </r>
  <r>
    <x v="15"/>
    <x v="1"/>
    <s v="SA"/>
    <s v="Known gap agreement"/>
    <s v="More than 125% MBS Fee to 150% MBS Fee"/>
    <n v="932928.73"/>
    <n v="504089.53"/>
    <n v="308020.42"/>
    <n v="3654"/>
  </r>
  <r>
    <x v="15"/>
    <x v="1"/>
    <s v="SA"/>
    <s v="Known gap agreement"/>
    <s v="More than 150% MBS Fee to 200% MBS Fee"/>
    <n v="2417088.23"/>
    <n v="1049659.54"/>
    <n v="963005.43999999994"/>
    <n v="4019"/>
  </r>
  <r>
    <x v="15"/>
    <x v="1"/>
    <s v="SA"/>
    <s v="Known gap agreement"/>
    <s v="More than 200% MBS Fee"/>
    <n v="1350929.86"/>
    <n v="362187.26"/>
    <n v="387512.29"/>
    <n v="3198"/>
  </r>
  <r>
    <x v="15"/>
    <x v="1"/>
    <s v="SA"/>
    <s v="No gap agreement"/>
    <s v="Up to MBS Fee"/>
    <n v="2226277.88"/>
    <n v="1674045.57"/>
    <n v="552213.91"/>
    <n v="18944"/>
  </r>
  <r>
    <x v="15"/>
    <x v="1"/>
    <s v="SA"/>
    <s v="No gap agreement"/>
    <s v="100% MBS Fee to 125% MBS Fee"/>
    <n v="9047946.25"/>
    <n v="5852625.8499999996"/>
    <n v="3195296.31"/>
    <n v="108146"/>
  </r>
  <r>
    <x v="15"/>
    <x v="1"/>
    <s v="SA"/>
    <s v="No gap agreement"/>
    <s v="More than 125% MBS Fee to 150% MBS Fee"/>
    <n v="18807095.07"/>
    <n v="10324748.07"/>
    <n v="8482332.0199999996"/>
    <n v="141838"/>
  </r>
  <r>
    <x v="15"/>
    <x v="1"/>
    <s v="SA"/>
    <s v="No gap agreement"/>
    <s v="More than 150% MBS Fee to 200% MBS Fee"/>
    <n v="30171222.780000001"/>
    <n v="13678512.48"/>
    <n v="16492703.880000001"/>
    <n v="132366"/>
  </r>
  <r>
    <x v="15"/>
    <x v="1"/>
    <s v="SA"/>
    <s v="No gap agreement"/>
    <s v="More than 200% MBS Fee"/>
    <n v="2012545.64"/>
    <n v="576289.03"/>
    <n v="1436256.61"/>
    <n v="3085"/>
  </r>
  <r>
    <x v="15"/>
    <x v="1"/>
    <s v="WA"/>
    <s v="No agreement"/>
    <s v="Up to MBS Fee"/>
    <n v="1870040.47"/>
    <n v="1405801.92"/>
    <n v="463972.9"/>
    <n v="38729"/>
  </r>
  <r>
    <x v="15"/>
    <x v="1"/>
    <s v="WA"/>
    <s v="No agreement"/>
    <s v="100% MBS Fee to 125% MBS Fee"/>
    <n v="556398.78"/>
    <n v="361956.38"/>
    <n v="120835.35"/>
    <n v="4326"/>
  </r>
  <r>
    <x v="15"/>
    <x v="1"/>
    <s v="WA"/>
    <s v="No agreement"/>
    <s v="More than 125% MBS Fee to 150% MBS Fee"/>
    <n v="1350016.52"/>
    <n v="730164.07"/>
    <n v="244075.33"/>
    <n v="9051"/>
  </r>
  <r>
    <x v="15"/>
    <x v="1"/>
    <s v="WA"/>
    <s v="No agreement"/>
    <s v="More than 150% MBS Fee to 200% MBS Fee"/>
    <n v="3041409.07"/>
    <n v="1286513.07"/>
    <n v="429107.53"/>
    <n v="14214"/>
  </r>
  <r>
    <x v="15"/>
    <x v="1"/>
    <s v="WA"/>
    <s v="No agreement"/>
    <s v="More than 200% MBS Fee"/>
    <n v="6174546.9100000001"/>
    <n v="1540311.97"/>
    <n v="516093.03"/>
    <n v="14745"/>
  </r>
  <r>
    <x v="15"/>
    <x v="1"/>
    <s v="WA"/>
    <s v="Known gap agreement"/>
    <s v="100% MBS Fee to 125% MBS Fee"/>
    <n v="1859977.41"/>
    <n v="1272874.05"/>
    <n v="550140.43999999994"/>
    <n v="11641"/>
  </r>
  <r>
    <x v="15"/>
    <x v="1"/>
    <s v="WA"/>
    <s v="Known gap agreement"/>
    <s v="More than 125% MBS Fee to 150% MBS Fee"/>
    <n v="3757095.06"/>
    <n v="2020242.8"/>
    <n v="1426458.03"/>
    <n v="29911"/>
  </r>
  <r>
    <x v="15"/>
    <x v="1"/>
    <s v="WA"/>
    <s v="Known gap agreement"/>
    <s v="More than 150% MBS Fee to 200% MBS Fee"/>
    <n v="7066581.3600000003"/>
    <n v="3075176.72"/>
    <n v="2296865.9900000002"/>
    <n v="20740"/>
  </r>
  <r>
    <x v="15"/>
    <x v="1"/>
    <s v="WA"/>
    <s v="Known gap agreement"/>
    <s v="More than 200% MBS Fee"/>
    <n v="9901984.8499999996"/>
    <n v="2759726.73"/>
    <n v="1849050.41"/>
    <n v="20193"/>
  </r>
  <r>
    <x v="15"/>
    <x v="1"/>
    <s v="WA"/>
    <s v="No gap agreement"/>
    <s v="Up to MBS Fee"/>
    <n v="988365.32"/>
    <n v="748728.95"/>
    <n v="239640.57"/>
    <n v="11017"/>
  </r>
  <r>
    <x v="15"/>
    <x v="1"/>
    <s v="WA"/>
    <s v="No gap agreement"/>
    <s v="100% MBS Fee to 125% MBS Fee"/>
    <n v="8630676.4499999993"/>
    <n v="5475056.0700000003"/>
    <n v="3155616.53"/>
    <n v="85644"/>
  </r>
  <r>
    <x v="15"/>
    <x v="1"/>
    <s v="WA"/>
    <s v="No gap agreement"/>
    <s v="More than 125% MBS Fee to 150% MBS Fee"/>
    <n v="26036086.030000001"/>
    <n v="14456372.02"/>
    <n v="11579713.449999999"/>
    <n v="193755"/>
  </r>
  <r>
    <x v="15"/>
    <x v="1"/>
    <s v="WA"/>
    <s v="No gap agreement"/>
    <s v="More than 150% MBS Fee to 200% MBS Fee"/>
    <n v="31180092.649999999"/>
    <n v="13767414.15"/>
    <n v="17412678.460000001"/>
    <n v="155126"/>
  </r>
  <r>
    <x v="15"/>
    <x v="1"/>
    <s v="WA"/>
    <s v="No gap agreement"/>
    <s v="More than 200% MBS Fee"/>
    <n v="3149320.6"/>
    <n v="836165.25"/>
    <n v="2313153.35"/>
    <n v="2205"/>
  </r>
  <r>
    <x v="15"/>
    <x v="1"/>
    <s v="TAS"/>
    <s v="No agreement"/>
    <s v="Up to MBS Fee"/>
    <n v="1066782.44"/>
    <n v="801501.48"/>
    <n v="265281.40999999997"/>
    <n v="15548"/>
  </r>
  <r>
    <x v="15"/>
    <x v="1"/>
    <s v="TAS"/>
    <s v="No agreement"/>
    <s v="100% MBS Fee to 125% MBS Fee"/>
    <n v="146722.28"/>
    <n v="98604.22"/>
    <n v="32772.47"/>
    <n v="891"/>
  </r>
  <r>
    <x v="15"/>
    <x v="1"/>
    <s v="TAS"/>
    <s v="No agreement"/>
    <s v="More than 125% MBS Fee to 150% MBS Fee"/>
    <n v="198495.47"/>
    <n v="108181.24"/>
    <n v="37480.92"/>
    <n v="595"/>
  </r>
  <r>
    <x v="15"/>
    <x v="1"/>
    <s v="TAS"/>
    <s v="No agreement"/>
    <s v="More than 150% MBS Fee to 200% MBS Fee"/>
    <n v="658860.68999999994"/>
    <n v="284294.7"/>
    <n v="94412.5"/>
    <n v="1926"/>
  </r>
  <r>
    <x v="15"/>
    <x v="1"/>
    <s v="TAS"/>
    <s v="No agreement"/>
    <s v="More than 200% MBS Fee"/>
    <n v="2281088.23"/>
    <n v="556040.77"/>
    <n v="185363.31"/>
    <n v="4383"/>
  </r>
  <r>
    <x v="15"/>
    <x v="1"/>
    <s v="TAS"/>
    <s v="Known gap agreement"/>
    <s v="100% MBS Fee to 125% MBS Fee"/>
    <n v="146645.32"/>
    <n v="95407.6"/>
    <n v="40041.49"/>
    <n v="818"/>
  </r>
  <r>
    <x v="15"/>
    <x v="1"/>
    <s v="TAS"/>
    <s v="Known gap agreement"/>
    <s v="More than 125% MBS Fee to 150% MBS Fee"/>
    <n v="330101.64"/>
    <n v="178958.87"/>
    <n v="119010.3"/>
    <n v="1010"/>
  </r>
  <r>
    <x v="15"/>
    <x v="1"/>
    <s v="TAS"/>
    <s v="Known gap agreement"/>
    <s v="More than 150% MBS Fee to 200% MBS Fee"/>
    <n v="847138.15"/>
    <n v="366892.16"/>
    <n v="351365.96"/>
    <n v="2274"/>
  </r>
  <r>
    <x v="15"/>
    <x v="1"/>
    <s v="TAS"/>
    <s v="Known gap agreement"/>
    <s v="More than 200% MBS Fee"/>
    <n v="1172625.0900000001"/>
    <n v="353710.6"/>
    <n v="403101.14"/>
    <n v="4145"/>
  </r>
  <r>
    <x v="15"/>
    <x v="1"/>
    <s v="TAS"/>
    <s v="No gap agreement"/>
    <s v="Up to MBS Fee"/>
    <n v="437779.71"/>
    <n v="329415.84999999998"/>
    <n v="108363.85"/>
    <n v="5964"/>
  </r>
  <r>
    <x v="15"/>
    <x v="1"/>
    <s v="TAS"/>
    <s v="No gap agreement"/>
    <s v="100% MBS Fee to 125% MBS Fee"/>
    <n v="2399788.52"/>
    <n v="1537101.9"/>
    <n v="862685.44"/>
    <n v="20302"/>
  </r>
  <r>
    <x v="15"/>
    <x v="1"/>
    <s v="TAS"/>
    <s v="No gap agreement"/>
    <s v="More than 125% MBS Fee to 150% MBS Fee"/>
    <n v="6326820.7699999996"/>
    <n v="3485733.65"/>
    <n v="2841078.47"/>
    <n v="38915"/>
  </r>
  <r>
    <x v="15"/>
    <x v="1"/>
    <s v="TAS"/>
    <s v="No gap agreement"/>
    <s v="More than 150% MBS Fee to 200% MBS Fee"/>
    <n v="5471069.0300000003"/>
    <n v="2520185.15"/>
    <n v="2950880.15"/>
    <n v="34721"/>
  </r>
  <r>
    <x v="15"/>
    <x v="1"/>
    <s v="TAS"/>
    <s v="No gap agreement"/>
    <s v="More than 200% MBS Fee"/>
    <n v="497062.35"/>
    <n v="145162.70000000001"/>
    <n v="351899.63"/>
    <n v="437"/>
  </r>
  <r>
    <x v="15"/>
    <x v="1"/>
    <s v="ACT"/>
    <s v="No agreement"/>
    <s v="Up to MBS Fee"/>
    <n v="1061476.6599999999"/>
    <n v="797769.42"/>
    <n v="263706.78999999998"/>
    <n v="10798"/>
  </r>
  <r>
    <x v="15"/>
    <x v="1"/>
    <s v="ACT"/>
    <s v="No agreement"/>
    <s v="100% MBS Fee to 125% MBS Fee"/>
    <n v="231649.23"/>
    <n v="151587.57"/>
    <n v="50655.91"/>
    <n v="1053"/>
  </r>
  <r>
    <x v="15"/>
    <x v="1"/>
    <s v="ACT"/>
    <s v="No agreement"/>
    <s v="More than 125% MBS Fee to 150% MBS Fee"/>
    <n v="223836.62"/>
    <n v="120084.94"/>
    <n v="40261.800000000003"/>
    <n v="693"/>
  </r>
  <r>
    <x v="15"/>
    <x v="1"/>
    <s v="ACT"/>
    <s v="No agreement"/>
    <s v="More than 150% MBS Fee to 200% MBS Fee"/>
    <n v="893772.12"/>
    <n v="377455.49"/>
    <n v="125807.55"/>
    <n v="2934"/>
  </r>
  <r>
    <x v="15"/>
    <x v="1"/>
    <s v="ACT"/>
    <s v="No agreement"/>
    <s v="More than 200% MBS Fee"/>
    <n v="6306167.79"/>
    <n v="1635879.72"/>
    <n v="545535.81999999995"/>
    <n v="11080"/>
  </r>
  <r>
    <x v="15"/>
    <x v="1"/>
    <s v="ACT"/>
    <s v="Known gap agreement"/>
    <s v="100% MBS Fee to 125% MBS Fee"/>
    <n v="46107.85"/>
    <n v="29076.3"/>
    <n v="13853.68"/>
    <n v="313"/>
  </r>
  <r>
    <x v="15"/>
    <x v="1"/>
    <s v="ACT"/>
    <s v="Known gap agreement"/>
    <s v="More than 125% MBS Fee to 150% MBS Fee"/>
    <n v="62680.51"/>
    <n v="33971.949999999997"/>
    <n v="21124.33"/>
    <n v="298"/>
  </r>
  <r>
    <x v="15"/>
    <x v="1"/>
    <s v="ACT"/>
    <s v="Known gap agreement"/>
    <s v="More than 150% MBS Fee to 200% MBS Fee"/>
    <n v="185704.5"/>
    <n v="80051.09"/>
    <n v="70960.350000000006"/>
    <n v="560"/>
  </r>
  <r>
    <x v="15"/>
    <x v="1"/>
    <s v="ACT"/>
    <s v="Known gap agreement"/>
    <s v="More than 200% MBS Fee"/>
    <n v="451515.15"/>
    <n v="110504.7"/>
    <n v="119767.92"/>
    <n v="1492"/>
  </r>
  <r>
    <x v="15"/>
    <x v="1"/>
    <s v="ACT"/>
    <s v="No gap agreement"/>
    <s v="Up to MBS Fee"/>
    <n v="161782.07"/>
    <n v="121630.83"/>
    <n v="40145.25"/>
    <n v="5737"/>
  </r>
  <r>
    <x v="15"/>
    <x v="1"/>
    <s v="ACT"/>
    <s v="No gap agreement"/>
    <s v="100% MBS Fee to 125% MBS Fee"/>
    <n v="954933.63"/>
    <n v="628725.11"/>
    <n v="326187.15000000002"/>
    <n v="11489"/>
  </r>
  <r>
    <x v="15"/>
    <x v="1"/>
    <s v="ACT"/>
    <s v="No gap agreement"/>
    <s v="More than 125% MBS Fee to 150% MBS Fee"/>
    <n v="2215159.41"/>
    <n v="1233624.54"/>
    <n v="981533.3"/>
    <n v="15916"/>
  </r>
  <r>
    <x v="15"/>
    <x v="1"/>
    <s v="ACT"/>
    <s v="No gap agreement"/>
    <s v="More than 150% MBS Fee to 200% MBS Fee"/>
    <n v="1811102.33"/>
    <n v="834866.37"/>
    <n v="976227.83"/>
    <n v="12416"/>
  </r>
  <r>
    <x v="15"/>
    <x v="1"/>
    <s v="ACT"/>
    <s v="No gap agreement"/>
    <s v="More than 200% MBS Fee"/>
    <n v="341245.3"/>
    <n v="112793.35"/>
    <n v="228451.95"/>
    <n v="890"/>
  </r>
  <r>
    <x v="15"/>
    <x v="1"/>
    <s v="NT"/>
    <s v="No agreement"/>
    <s v="Up to MBS Fee"/>
    <n v="296640.52"/>
    <n v="222529.02"/>
    <n v="74111.5"/>
    <n v="1699"/>
  </r>
  <r>
    <x v="15"/>
    <x v="1"/>
    <s v="NT"/>
    <s v="No agreement"/>
    <s v="100% MBS Fee to 125% MBS Fee"/>
    <n v="38111.17"/>
    <n v="24792.03"/>
    <n v="8268.9"/>
    <n v="207"/>
  </r>
  <r>
    <x v="15"/>
    <x v="1"/>
    <s v="NT"/>
    <s v="No agreement"/>
    <s v="More than 125% MBS Fee to 150% MBS Fee"/>
    <n v="89595.199999999997"/>
    <n v="48429.1"/>
    <n v="16419.150000000001"/>
    <n v="260"/>
  </r>
  <r>
    <x v="15"/>
    <x v="1"/>
    <s v="NT"/>
    <s v="No agreement"/>
    <s v="More than 150% MBS Fee to 200% MBS Fee"/>
    <n v="154856.95999999999"/>
    <n v="65060.17"/>
    <n v="21681"/>
    <n v="596"/>
  </r>
  <r>
    <x v="15"/>
    <x v="1"/>
    <s v="NT"/>
    <s v="No agreement"/>
    <s v="More than 200% MBS Fee"/>
    <n v="1090330.3500000001"/>
    <n v="272380.05"/>
    <n v="90758.85"/>
    <n v="1813"/>
  </r>
  <r>
    <x v="15"/>
    <x v="1"/>
    <s v="NT"/>
    <s v="Known gap agreement"/>
    <s v="100% MBS Fee to 125% MBS Fee"/>
    <n v="30556.46"/>
    <n v="19743.09"/>
    <n v="9037.0499999999993"/>
    <n v="176"/>
  </r>
  <r>
    <x v="15"/>
    <x v="1"/>
    <s v="NT"/>
    <s v="Known gap agreement"/>
    <s v="More than 125% MBS Fee to 150% MBS Fee"/>
    <n v="36422.69"/>
    <n v="19460.400000000001"/>
    <n v="12441.53"/>
    <n v="125"/>
  </r>
  <r>
    <x v="15"/>
    <x v="1"/>
    <s v="NT"/>
    <s v="Known gap agreement"/>
    <s v="More than 150% MBS Fee to 200% MBS Fee"/>
    <n v="123575.55"/>
    <n v="53061.7"/>
    <n v="46441.1"/>
    <n v="292"/>
  </r>
  <r>
    <x v="15"/>
    <x v="1"/>
    <s v="NT"/>
    <s v="Known gap agreement"/>
    <s v="More than 200% MBS Fee"/>
    <n v="237933.37"/>
    <n v="57477.15"/>
    <n v="62192.800000000003"/>
    <n v="661"/>
  </r>
  <r>
    <x v="15"/>
    <x v="1"/>
    <s v="NT"/>
    <s v="No gap agreement"/>
    <s v="Up to MBS Fee"/>
    <n v="69500.86"/>
    <n v="52364.800000000003"/>
    <n v="17136.060000000001"/>
    <n v="675"/>
  </r>
  <r>
    <x v="15"/>
    <x v="1"/>
    <s v="NT"/>
    <s v="No gap agreement"/>
    <s v="100% MBS Fee to 125% MBS Fee"/>
    <n v="254902.26"/>
    <n v="163075.21"/>
    <n v="91826.76"/>
    <n v="2897"/>
  </r>
  <r>
    <x v="15"/>
    <x v="1"/>
    <s v="NT"/>
    <s v="No gap agreement"/>
    <s v="More than 125% MBS Fee to 150% MBS Fee"/>
    <n v="889091.73"/>
    <n v="485907.11"/>
    <n v="403182.32"/>
    <n v="4453"/>
  </r>
  <r>
    <x v="15"/>
    <x v="1"/>
    <s v="NT"/>
    <s v="No gap agreement"/>
    <s v="More than 150% MBS Fee to 200% MBS Fee"/>
    <n v="975534.36"/>
    <n v="448875.01"/>
    <n v="526655.43000000005"/>
    <n v="5074"/>
  </r>
  <r>
    <x v="15"/>
    <x v="1"/>
    <s v="NT"/>
    <s v="No gap agreement"/>
    <s v="More than 200% MBS Fee"/>
    <n v="54232.98"/>
    <n v="16724.71"/>
    <n v="37505.46"/>
    <n v="92"/>
  </r>
  <r>
    <x v="16"/>
    <x v="0"/>
    <s v="NSW"/>
    <s v="No agreement"/>
    <s v="Up to MBS Fee"/>
    <n v="31543145.23"/>
    <n v="23693196.640000001"/>
    <n v="7842713.6799999997"/>
    <n v="470799"/>
  </r>
  <r>
    <x v="16"/>
    <x v="0"/>
    <s v="NSW"/>
    <s v="No agreement"/>
    <s v="100% MBS Fee to 125% MBS Fee"/>
    <n v="2248274.64"/>
    <n v="1507218.92"/>
    <n v="507182.4"/>
    <n v="11654"/>
  </r>
  <r>
    <x v="16"/>
    <x v="0"/>
    <s v="NSW"/>
    <s v="No agreement"/>
    <s v="More than 125% MBS Fee to 150% MBS Fee"/>
    <n v="3016031.56"/>
    <n v="1632419.11"/>
    <n v="572109.34"/>
    <n v="12527"/>
  </r>
  <r>
    <x v="16"/>
    <x v="0"/>
    <s v="NSW"/>
    <s v="No agreement"/>
    <s v="More than 150% MBS Fee to 200% MBS Fee"/>
    <n v="14215275.52"/>
    <n v="6029194.2999999998"/>
    <n v="2083954.35"/>
    <n v="72645"/>
  </r>
  <r>
    <x v="16"/>
    <x v="0"/>
    <s v="NSW"/>
    <s v="No agreement"/>
    <s v="More than 200% MBS Fee"/>
    <n v="89978124.760000005"/>
    <n v="23359085.440000001"/>
    <n v="7800353.8200000003"/>
    <n v="154922"/>
  </r>
  <r>
    <x v="16"/>
    <x v="0"/>
    <s v="NSW"/>
    <s v="Known gap agreement"/>
    <s v="100% MBS Fee to 125% MBS Fee"/>
    <n v="1562253.77"/>
    <n v="1038273.97"/>
    <n v="427979.25"/>
    <n v="8729"/>
  </r>
  <r>
    <x v="16"/>
    <x v="0"/>
    <s v="NSW"/>
    <s v="Known gap agreement"/>
    <s v="More than 125% MBS Fee to 150% MBS Fee"/>
    <n v="3388306.46"/>
    <n v="1820667.31"/>
    <n v="1252128.8799999999"/>
    <n v="11358"/>
  </r>
  <r>
    <x v="16"/>
    <x v="0"/>
    <s v="NSW"/>
    <s v="Known gap agreement"/>
    <s v="More than 150% MBS Fee to 200% MBS Fee"/>
    <n v="5701134.4299999997"/>
    <n v="2478630.41"/>
    <n v="2353078.4"/>
    <n v="17147"/>
  </r>
  <r>
    <x v="16"/>
    <x v="0"/>
    <s v="NSW"/>
    <s v="Known gap agreement"/>
    <s v="More than 200% MBS Fee"/>
    <n v="6862208.21"/>
    <n v="1834126.22"/>
    <n v="1773576.04"/>
    <n v="16489"/>
  </r>
  <r>
    <x v="16"/>
    <x v="0"/>
    <s v="NSW"/>
    <s v="No gap agreement"/>
    <s v="Up to MBS Fee"/>
    <n v="11974202.640000001"/>
    <n v="8993950.5999999996"/>
    <n v="2980582.93"/>
    <n v="322237"/>
  </r>
  <r>
    <x v="16"/>
    <x v="0"/>
    <s v="NSW"/>
    <s v="No gap agreement"/>
    <s v="100% MBS Fee to 125% MBS Fee"/>
    <n v="35255286.950000003"/>
    <n v="22625755.02"/>
    <n v="12629037.41"/>
    <n v="373146"/>
  </r>
  <r>
    <x v="16"/>
    <x v="0"/>
    <s v="NSW"/>
    <s v="No gap agreement"/>
    <s v="More than 125% MBS Fee to 150% MBS Fee"/>
    <n v="78617252.780000001"/>
    <n v="43216759.859999999"/>
    <n v="35400310.340000004"/>
    <n v="429708"/>
  </r>
  <r>
    <x v="16"/>
    <x v="0"/>
    <s v="NSW"/>
    <s v="No gap agreement"/>
    <s v="More than 150% MBS Fee to 200% MBS Fee"/>
    <n v="71401893.680000007"/>
    <n v="32630920.539999999"/>
    <n v="38770635.710000001"/>
    <n v="426264"/>
  </r>
  <r>
    <x v="16"/>
    <x v="0"/>
    <s v="NSW"/>
    <s v="No gap agreement"/>
    <s v="More than 200% MBS Fee"/>
    <n v="9973003.0099999998"/>
    <n v="3100115.11"/>
    <n v="6872887.5700000003"/>
    <n v="39044"/>
  </r>
  <r>
    <x v="16"/>
    <x v="0"/>
    <s v="VIC"/>
    <s v="No agreement"/>
    <s v="Up to MBS Fee"/>
    <n v="11229518.109999999"/>
    <n v="8437943.8699999992"/>
    <n v="2789936.62"/>
    <n v="103506"/>
  </r>
  <r>
    <x v="16"/>
    <x v="0"/>
    <s v="VIC"/>
    <s v="No agreement"/>
    <s v="100% MBS Fee to 125% MBS Fee"/>
    <n v="1634478.78"/>
    <n v="1089697.1599999999"/>
    <n v="372169.91"/>
    <n v="9703"/>
  </r>
  <r>
    <x v="16"/>
    <x v="0"/>
    <s v="VIC"/>
    <s v="No agreement"/>
    <s v="More than 125% MBS Fee to 150% MBS Fee"/>
    <n v="1745192.19"/>
    <n v="955119.08"/>
    <n v="350291.66"/>
    <n v="15201"/>
  </r>
  <r>
    <x v="16"/>
    <x v="0"/>
    <s v="VIC"/>
    <s v="No agreement"/>
    <s v="More than 150% MBS Fee to 200% MBS Fee"/>
    <n v="4441231.07"/>
    <n v="1895161.13"/>
    <n v="739016.24"/>
    <n v="21119"/>
  </r>
  <r>
    <x v="16"/>
    <x v="0"/>
    <s v="VIC"/>
    <s v="No agreement"/>
    <s v="More than 200% MBS Fee"/>
    <n v="21866862.050000001"/>
    <n v="5687993.8799999999"/>
    <n v="1904237.77"/>
    <n v="45538"/>
  </r>
  <r>
    <x v="16"/>
    <x v="0"/>
    <s v="VIC"/>
    <s v="Known gap agreement"/>
    <s v="100% MBS Fee to 125% MBS Fee"/>
    <n v="2461285.98"/>
    <n v="1629921.48"/>
    <n v="690945.1"/>
    <n v="12683"/>
  </r>
  <r>
    <x v="16"/>
    <x v="0"/>
    <s v="VIC"/>
    <s v="Known gap agreement"/>
    <s v="More than 125% MBS Fee to 150% MBS Fee"/>
    <n v="5581786.71"/>
    <n v="3042791.52"/>
    <n v="2096102.41"/>
    <n v="20515"/>
  </r>
  <r>
    <x v="16"/>
    <x v="0"/>
    <s v="VIC"/>
    <s v="Known gap agreement"/>
    <s v="More than 150% MBS Fee to 200% MBS Fee"/>
    <n v="8351597.4500000002"/>
    <n v="3648834.88"/>
    <n v="3339361.78"/>
    <n v="23988"/>
  </r>
  <r>
    <x v="16"/>
    <x v="0"/>
    <s v="VIC"/>
    <s v="Known gap agreement"/>
    <s v="More than 200% MBS Fee"/>
    <n v="9421589.1199999992"/>
    <n v="2624827.13"/>
    <n v="2608278.14"/>
    <n v="22651"/>
  </r>
  <r>
    <x v="16"/>
    <x v="0"/>
    <s v="VIC"/>
    <s v="No gap agreement"/>
    <s v="Up to MBS Fee"/>
    <n v="11813886.27"/>
    <n v="8889506.2300000004"/>
    <n v="2924429.16"/>
    <n v="243091"/>
  </r>
  <r>
    <x v="16"/>
    <x v="0"/>
    <s v="VIC"/>
    <s v="No gap agreement"/>
    <s v="100% MBS Fee to 125% MBS Fee"/>
    <n v="37108968.82"/>
    <n v="23780135.210000001"/>
    <n v="13328656.029999999"/>
    <n v="360591"/>
  </r>
  <r>
    <x v="16"/>
    <x v="0"/>
    <s v="VIC"/>
    <s v="No gap agreement"/>
    <s v="More than 125% MBS Fee to 150% MBS Fee"/>
    <n v="84087216.510000005"/>
    <n v="46419342.859999999"/>
    <n v="37667783.25"/>
    <n v="614714"/>
  </r>
  <r>
    <x v="16"/>
    <x v="0"/>
    <s v="VIC"/>
    <s v="No gap agreement"/>
    <s v="More than 150% MBS Fee to 200% MBS Fee"/>
    <n v="79602975.560000002"/>
    <n v="36116649.210000001"/>
    <n v="43486138.450000003"/>
    <n v="423474"/>
  </r>
  <r>
    <x v="16"/>
    <x v="0"/>
    <s v="VIC"/>
    <s v="No gap agreement"/>
    <s v="More than 200% MBS Fee"/>
    <n v="4937391.95"/>
    <n v="1414112.38"/>
    <n v="3523279.57"/>
    <n v="10546"/>
  </r>
  <r>
    <x v="16"/>
    <x v="0"/>
    <s v="QLD"/>
    <s v="No agreement"/>
    <s v="Up to MBS Fee"/>
    <n v="10163401.42"/>
    <n v="7620131.8600000003"/>
    <n v="2520754.88"/>
    <n v="68882"/>
  </r>
  <r>
    <x v="16"/>
    <x v="0"/>
    <s v="QLD"/>
    <s v="No agreement"/>
    <s v="100% MBS Fee to 125% MBS Fee"/>
    <n v="1622490.27"/>
    <n v="1085719.7"/>
    <n v="366759.1"/>
    <n v="9585"/>
  </r>
  <r>
    <x v="16"/>
    <x v="0"/>
    <s v="QLD"/>
    <s v="No agreement"/>
    <s v="More than 125% MBS Fee to 150% MBS Fee"/>
    <n v="2870786.03"/>
    <n v="1563506.25"/>
    <n v="566025.76"/>
    <n v="12373"/>
  </r>
  <r>
    <x v="16"/>
    <x v="0"/>
    <s v="QLD"/>
    <s v="No agreement"/>
    <s v="More than 150% MBS Fee to 200% MBS Fee"/>
    <n v="8980872.7400000002"/>
    <n v="3814679.82"/>
    <n v="1379726.88"/>
    <n v="28198"/>
  </r>
  <r>
    <x v="16"/>
    <x v="0"/>
    <s v="QLD"/>
    <s v="No agreement"/>
    <s v="More than 200% MBS Fee"/>
    <n v="44563423.829999998"/>
    <n v="12069990.789999999"/>
    <n v="4037739.88"/>
    <n v="85609"/>
  </r>
  <r>
    <x v="16"/>
    <x v="0"/>
    <s v="QLD"/>
    <s v="Known gap agreement"/>
    <s v="100% MBS Fee to 125% MBS Fee"/>
    <n v="1167270.03"/>
    <n v="765998.15"/>
    <n v="325229.39"/>
    <n v="5192"/>
  </r>
  <r>
    <x v="16"/>
    <x v="0"/>
    <s v="QLD"/>
    <s v="Known gap agreement"/>
    <s v="More than 125% MBS Fee to 150% MBS Fee"/>
    <n v="3493356.5"/>
    <n v="1887864.49"/>
    <n v="1332715.17"/>
    <n v="11615"/>
  </r>
  <r>
    <x v="16"/>
    <x v="0"/>
    <s v="QLD"/>
    <s v="Known gap agreement"/>
    <s v="More than 150% MBS Fee to 200% MBS Fee"/>
    <n v="5789275.9400000004"/>
    <n v="2493204.7200000002"/>
    <n v="2294172.7799999998"/>
    <n v="12117"/>
  </r>
  <r>
    <x v="16"/>
    <x v="0"/>
    <s v="QLD"/>
    <s v="Known gap agreement"/>
    <s v="More than 200% MBS Fee"/>
    <n v="8972858.5600000005"/>
    <n v="2591072.39"/>
    <n v="2633952.84"/>
    <n v="21910"/>
  </r>
  <r>
    <x v="16"/>
    <x v="0"/>
    <s v="QLD"/>
    <s v="No gap agreement"/>
    <s v="Up to MBS Fee"/>
    <n v="6300206.9699999997"/>
    <n v="4737471.59"/>
    <n v="1562733.64"/>
    <n v="92505"/>
  </r>
  <r>
    <x v="16"/>
    <x v="0"/>
    <s v="QLD"/>
    <s v="No gap agreement"/>
    <s v="100% MBS Fee to 125% MBS Fee"/>
    <n v="30308943.510000002"/>
    <n v="19462144.699999999"/>
    <n v="10846407.76"/>
    <n v="316642"/>
  </r>
  <r>
    <x v="16"/>
    <x v="0"/>
    <s v="QLD"/>
    <s v="No gap agreement"/>
    <s v="More than 125% MBS Fee to 150% MBS Fee"/>
    <n v="66616311.670000002"/>
    <n v="37011816.619999997"/>
    <n v="29604252.920000002"/>
    <n v="595153"/>
  </r>
  <r>
    <x v="16"/>
    <x v="0"/>
    <s v="QLD"/>
    <s v="No gap agreement"/>
    <s v="More than 150% MBS Fee to 200% MBS Fee"/>
    <n v="48403762.950000003"/>
    <n v="22383467.059999999"/>
    <n v="26020183.559999999"/>
    <n v="290741"/>
  </r>
  <r>
    <x v="16"/>
    <x v="0"/>
    <s v="QLD"/>
    <s v="No gap agreement"/>
    <s v="More than 200% MBS Fee"/>
    <n v="6053088.6500000004"/>
    <n v="1765367.6"/>
    <n v="4287721.01"/>
    <n v="11260"/>
  </r>
  <r>
    <x v="16"/>
    <x v="0"/>
    <s v="SA"/>
    <s v="No agreement"/>
    <s v="Up to MBS Fee"/>
    <n v="3356648.69"/>
    <n v="2520160.02"/>
    <n v="836592.78"/>
    <n v="45661"/>
  </r>
  <r>
    <x v="16"/>
    <x v="0"/>
    <s v="SA"/>
    <s v="No agreement"/>
    <s v="100% MBS Fee to 125% MBS Fee"/>
    <n v="367744.23"/>
    <n v="240449.76"/>
    <n v="96915.35"/>
    <n v="2635"/>
  </r>
  <r>
    <x v="16"/>
    <x v="0"/>
    <s v="SA"/>
    <s v="No agreement"/>
    <s v="More than 125% MBS Fee to 150% MBS Fee"/>
    <n v="698056.15"/>
    <n v="372239.2"/>
    <n v="155216.5"/>
    <n v="3891"/>
  </r>
  <r>
    <x v="16"/>
    <x v="0"/>
    <s v="SA"/>
    <s v="No agreement"/>
    <s v="More than 150% MBS Fee to 200% MBS Fee"/>
    <n v="1069907.6299999999"/>
    <n v="465575.38"/>
    <n v="354769.63"/>
    <n v="4927"/>
  </r>
  <r>
    <x v="16"/>
    <x v="0"/>
    <s v="SA"/>
    <s v="No agreement"/>
    <s v="More than 200% MBS Fee"/>
    <n v="2331730.5699999998"/>
    <n v="630545.82999999996"/>
    <n v="221002.77"/>
    <n v="7201"/>
  </r>
  <r>
    <x v="16"/>
    <x v="0"/>
    <s v="SA"/>
    <s v="Known gap agreement"/>
    <s v="100% MBS Fee to 125% MBS Fee"/>
    <n v="589116.56000000006"/>
    <n v="394918.05"/>
    <n v="152530.78"/>
    <n v="2506"/>
  </r>
  <r>
    <x v="16"/>
    <x v="0"/>
    <s v="SA"/>
    <s v="Known gap agreement"/>
    <s v="More than 125% MBS Fee to 150% MBS Fee"/>
    <n v="1030232.26"/>
    <n v="558750.5"/>
    <n v="382667.61"/>
    <n v="3718"/>
  </r>
  <r>
    <x v="16"/>
    <x v="0"/>
    <s v="SA"/>
    <s v="Known gap agreement"/>
    <s v="More than 150% MBS Fee to 200% MBS Fee"/>
    <n v="2490376.31"/>
    <n v="1074762.55"/>
    <n v="1054448.43"/>
    <n v="4366"/>
  </r>
  <r>
    <x v="16"/>
    <x v="0"/>
    <s v="SA"/>
    <s v="Known gap agreement"/>
    <s v="More than 200% MBS Fee"/>
    <n v="1217403.8600000001"/>
    <n v="334324.3"/>
    <n v="348185.11"/>
    <n v="3077"/>
  </r>
  <r>
    <x v="16"/>
    <x v="0"/>
    <s v="SA"/>
    <s v="No gap agreement"/>
    <s v="Up to MBS Fee"/>
    <n v="3278023.61"/>
    <n v="2461495.4700000002"/>
    <n v="816619.37"/>
    <n v="28169"/>
  </r>
  <r>
    <x v="16"/>
    <x v="0"/>
    <s v="SA"/>
    <s v="No gap agreement"/>
    <s v="100% MBS Fee to 125% MBS Fee"/>
    <n v="9839126.8699999992"/>
    <n v="6307114.71"/>
    <n v="3531923.95"/>
    <n v="117903"/>
  </r>
  <r>
    <x v="16"/>
    <x v="0"/>
    <s v="SA"/>
    <s v="No gap agreement"/>
    <s v="More than 125% MBS Fee to 150% MBS Fee"/>
    <n v="20468775.16"/>
    <n v="11171023.51"/>
    <n v="9297713.5800000001"/>
    <n v="155189"/>
  </r>
  <r>
    <x v="16"/>
    <x v="0"/>
    <s v="SA"/>
    <s v="No gap agreement"/>
    <s v="More than 150% MBS Fee to 200% MBS Fee"/>
    <n v="36554720.350000001"/>
    <n v="16500241.6"/>
    <n v="20054438.559999999"/>
    <n v="153970"/>
  </r>
  <r>
    <x v="16"/>
    <x v="0"/>
    <s v="SA"/>
    <s v="No gap agreement"/>
    <s v="More than 200% MBS Fee"/>
    <n v="2153483.16"/>
    <n v="610089.25"/>
    <n v="1543391.91"/>
    <n v="3335"/>
  </r>
  <r>
    <x v="16"/>
    <x v="0"/>
    <s v="WA"/>
    <s v="No agreement"/>
    <s v="Up to MBS Fee"/>
    <n v="2248036.2799999998"/>
    <n v="1690049.06"/>
    <n v="557321.29"/>
    <n v="36077"/>
  </r>
  <r>
    <x v="16"/>
    <x v="0"/>
    <s v="WA"/>
    <s v="No agreement"/>
    <s v="100% MBS Fee to 125% MBS Fee"/>
    <n v="360865.28000000003"/>
    <n v="238912.74"/>
    <n v="79920.02"/>
    <n v="2447"/>
  </r>
  <r>
    <x v="16"/>
    <x v="0"/>
    <s v="WA"/>
    <s v="No agreement"/>
    <s v="More than 125% MBS Fee to 150% MBS Fee"/>
    <n v="1031143.27"/>
    <n v="563833.46"/>
    <n v="190650.21"/>
    <n v="6322"/>
  </r>
  <r>
    <x v="16"/>
    <x v="0"/>
    <s v="WA"/>
    <s v="No agreement"/>
    <s v="More than 150% MBS Fee to 200% MBS Fee"/>
    <n v="2662233.33"/>
    <n v="1150049.6499999999"/>
    <n v="388413.63"/>
    <n v="8664"/>
  </r>
  <r>
    <x v="16"/>
    <x v="0"/>
    <s v="WA"/>
    <s v="No agreement"/>
    <s v="More than 200% MBS Fee"/>
    <n v="7176737.4500000002"/>
    <n v="1917962.6"/>
    <n v="643805.54"/>
    <n v="20401"/>
  </r>
  <r>
    <x v="16"/>
    <x v="0"/>
    <s v="WA"/>
    <s v="Known gap agreement"/>
    <s v="100% MBS Fee to 125% MBS Fee"/>
    <n v="2135755.37"/>
    <n v="1457944.9"/>
    <n v="642556.13"/>
    <n v="11951"/>
  </r>
  <r>
    <x v="16"/>
    <x v="0"/>
    <s v="WA"/>
    <s v="Known gap agreement"/>
    <s v="More than 125% MBS Fee to 150% MBS Fee"/>
    <n v="4421326.4400000004"/>
    <n v="2375331.52"/>
    <n v="1762920.62"/>
    <n v="37101"/>
  </r>
  <r>
    <x v="16"/>
    <x v="0"/>
    <s v="WA"/>
    <s v="Known gap agreement"/>
    <s v="More than 150% MBS Fee to 200% MBS Fee"/>
    <n v="7665060.79"/>
    <n v="3362653.03"/>
    <n v="2465169.1"/>
    <n v="20889"/>
  </r>
  <r>
    <x v="16"/>
    <x v="0"/>
    <s v="WA"/>
    <s v="Known gap agreement"/>
    <s v="More than 200% MBS Fee"/>
    <n v="10480922.449999999"/>
    <n v="2870313.31"/>
    <n v="1865456.22"/>
    <n v="20008"/>
  </r>
  <r>
    <x v="16"/>
    <x v="0"/>
    <s v="WA"/>
    <s v="No gap agreement"/>
    <s v="Up to MBS Fee"/>
    <n v="1260945.58"/>
    <n v="954499.6"/>
    <n v="306476.59999999998"/>
    <n v="13265"/>
  </r>
  <r>
    <x v="16"/>
    <x v="0"/>
    <s v="WA"/>
    <s v="No gap agreement"/>
    <s v="100% MBS Fee to 125% MBS Fee"/>
    <n v="7986498.4900000002"/>
    <n v="5053470.05"/>
    <n v="2933004.92"/>
    <n v="67481"/>
  </r>
  <r>
    <x v="16"/>
    <x v="0"/>
    <s v="WA"/>
    <s v="No gap agreement"/>
    <s v="More than 125% MBS Fee to 150% MBS Fee"/>
    <n v="27823740.34"/>
    <n v="15346444.619999999"/>
    <n v="12477292.960000001"/>
    <n v="186179"/>
  </r>
  <r>
    <x v="16"/>
    <x v="0"/>
    <s v="WA"/>
    <s v="No gap agreement"/>
    <s v="More than 150% MBS Fee to 200% MBS Fee"/>
    <n v="34966290.07"/>
    <n v="15414944.119999999"/>
    <n v="19551340.989999998"/>
    <n v="167646"/>
  </r>
  <r>
    <x v="16"/>
    <x v="0"/>
    <s v="WA"/>
    <s v="No gap agreement"/>
    <s v="More than 200% MBS Fee"/>
    <n v="3120485.38"/>
    <n v="818833.5"/>
    <n v="2301651.88"/>
    <n v="2416"/>
  </r>
  <r>
    <x v="16"/>
    <x v="0"/>
    <s v="TAS"/>
    <s v="No agreement"/>
    <s v="Up to MBS Fee"/>
    <n v="1226563.1399999999"/>
    <n v="921087.67"/>
    <n v="305475.38"/>
    <n v="17222"/>
  </r>
  <r>
    <x v="16"/>
    <x v="0"/>
    <s v="TAS"/>
    <s v="No agreement"/>
    <s v="100% MBS Fee to 125% MBS Fee"/>
    <n v="122785.61"/>
    <n v="84146.99"/>
    <n v="28256.58"/>
    <n v="789"/>
  </r>
  <r>
    <x v="16"/>
    <x v="0"/>
    <s v="TAS"/>
    <s v="No agreement"/>
    <s v="More than 125% MBS Fee to 150% MBS Fee"/>
    <n v="149025.60000000001"/>
    <n v="79677.34"/>
    <n v="32584.400000000001"/>
    <n v="381"/>
  </r>
  <r>
    <x v="16"/>
    <x v="0"/>
    <s v="TAS"/>
    <s v="No agreement"/>
    <s v="More than 150% MBS Fee to 200% MBS Fee"/>
    <n v="582101.28"/>
    <n v="251505.88"/>
    <n v="89901.51"/>
    <n v="1584"/>
  </r>
  <r>
    <x v="16"/>
    <x v="0"/>
    <s v="TAS"/>
    <s v="No agreement"/>
    <s v="More than 200% MBS Fee"/>
    <n v="2280313.92"/>
    <n v="553918.54"/>
    <n v="187641.45"/>
    <n v="3883"/>
  </r>
  <r>
    <x v="16"/>
    <x v="0"/>
    <s v="TAS"/>
    <s v="Known gap agreement"/>
    <s v="100% MBS Fee to 125% MBS Fee"/>
    <n v="185632.26"/>
    <n v="118788.31"/>
    <n v="51250.21"/>
    <n v="802"/>
  </r>
  <r>
    <x v="16"/>
    <x v="0"/>
    <s v="TAS"/>
    <s v="Known gap agreement"/>
    <s v="More than 125% MBS Fee to 150% MBS Fee"/>
    <n v="384900.48"/>
    <n v="209298.3"/>
    <n v="153843.29999999999"/>
    <n v="1420"/>
  </r>
  <r>
    <x v="16"/>
    <x v="0"/>
    <s v="TAS"/>
    <s v="Known gap agreement"/>
    <s v="More than 150% MBS Fee to 200% MBS Fee"/>
    <n v="794474.13"/>
    <n v="341037"/>
    <n v="335985.83"/>
    <n v="1874"/>
  </r>
  <r>
    <x v="16"/>
    <x v="0"/>
    <s v="TAS"/>
    <s v="Known gap agreement"/>
    <s v="More than 200% MBS Fee"/>
    <n v="1236818.01"/>
    <n v="376969.54"/>
    <n v="422190.3"/>
    <n v="4397"/>
  </r>
  <r>
    <x v="16"/>
    <x v="0"/>
    <s v="TAS"/>
    <s v="No gap agreement"/>
    <s v="Up to MBS Fee"/>
    <n v="1008747.57"/>
    <n v="757575.21"/>
    <n v="251172.68"/>
    <n v="11310"/>
  </r>
  <r>
    <x v="16"/>
    <x v="0"/>
    <s v="TAS"/>
    <s v="No gap agreement"/>
    <s v="100% MBS Fee to 125% MBS Fee"/>
    <n v="2810132.35"/>
    <n v="1788178.7"/>
    <n v="1021924.96"/>
    <n v="21466"/>
  </r>
  <r>
    <x v="16"/>
    <x v="0"/>
    <s v="TAS"/>
    <s v="No gap agreement"/>
    <s v="More than 125% MBS Fee to 150% MBS Fee"/>
    <n v="6879834.9400000004"/>
    <n v="3765095.59"/>
    <n v="3114736.8"/>
    <n v="40062"/>
  </r>
  <r>
    <x v="16"/>
    <x v="0"/>
    <s v="TAS"/>
    <s v="No gap agreement"/>
    <s v="More than 150% MBS Fee to 200% MBS Fee"/>
    <n v="5941358.8899999997"/>
    <n v="2717756.74"/>
    <n v="3223590.08"/>
    <n v="33902"/>
  </r>
  <r>
    <x v="16"/>
    <x v="0"/>
    <s v="TAS"/>
    <s v="No gap agreement"/>
    <s v="More than 200% MBS Fee"/>
    <n v="507448.3"/>
    <n v="143818.79999999999"/>
    <n v="363629"/>
    <n v="470"/>
  </r>
  <r>
    <x v="16"/>
    <x v="0"/>
    <s v="ACT"/>
    <s v="No agreement"/>
    <s v="Up to MBS Fee"/>
    <n v="886476.13"/>
    <n v="667215.80000000005"/>
    <n v="217479.37"/>
    <n v="9842"/>
  </r>
  <r>
    <x v="16"/>
    <x v="0"/>
    <s v="ACT"/>
    <s v="No agreement"/>
    <s v="100% MBS Fee to 125% MBS Fee"/>
    <n v="127761.51"/>
    <n v="83213.240000000005"/>
    <n v="27052.65"/>
    <n v="563"/>
  </r>
  <r>
    <x v="16"/>
    <x v="0"/>
    <s v="ACT"/>
    <s v="No agreement"/>
    <s v="More than 125% MBS Fee to 150% MBS Fee"/>
    <n v="128557.75"/>
    <n v="70046.66"/>
    <n v="23358.7"/>
    <n v="595"/>
  </r>
  <r>
    <x v="16"/>
    <x v="0"/>
    <s v="ACT"/>
    <s v="No agreement"/>
    <s v="More than 150% MBS Fee to 200% MBS Fee"/>
    <n v="892132.81"/>
    <n v="371426.31"/>
    <n v="124115.68"/>
    <n v="2678"/>
  </r>
  <r>
    <x v="16"/>
    <x v="0"/>
    <s v="ACT"/>
    <s v="No agreement"/>
    <s v="More than 200% MBS Fee"/>
    <n v="7645753.7400000002"/>
    <n v="1943342.45"/>
    <n v="647838.52"/>
    <n v="12176"/>
  </r>
  <r>
    <x v="16"/>
    <x v="0"/>
    <s v="ACT"/>
    <s v="Known gap agreement"/>
    <s v="100% MBS Fee to 125% MBS Fee"/>
    <n v="66585.100000000006"/>
    <n v="41166.9"/>
    <n v="22165.18"/>
    <n v="212"/>
  </r>
  <r>
    <x v="16"/>
    <x v="0"/>
    <s v="ACT"/>
    <s v="Known gap agreement"/>
    <s v="More than 125% MBS Fee to 150% MBS Fee"/>
    <n v="138631.18"/>
    <n v="75071.899999999994"/>
    <n v="54470.21"/>
    <n v="395"/>
  </r>
  <r>
    <x v="16"/>
    <x v="0"/>
    <s v="ACT"/>
    <s v="Known gap agreement"/>
    <s v="More than 150% MBS Fee to 200% MBS Fee"/>
    <n v="173352.3"/>
    <n v="73914.55"/>
    <n v="68112.42"/>
    <n v="433"/>
  </r>
  <r>
    <x v="16"/>
    <x v="0"/>
    <s v="ACT"/>
    <s v="Known gap agreement"/>
    <s v="More than 200% MBS Fee"/>
    <n v="436272.14"/>
    <n v="106616.35"/>
    <n v="112577.35"/>
    <n v="1055"/>
  </r>
  <r>
    <x v="16"/>
    <x v="0"/>
    <s v="ACT"/>
    <s v="No gap agreement"/>
    <s v="Up to MBS Fee"/>
    <n v="411044.14"/>
    <n v="308902.55"/>
    <n v="102141.57"/>
    <n v="13687"/>
  </r>
  <r>
    <x v="16"/>
    <x v="0"/>
    <s v="ACT"/>
    <s v="No gap agreement"/>
    <s v="100% MBS Fee to 125% MBS Fee"/>
    <n v="1002135.05"/>
    <n v="648973.27"/>
    <n v="353084.04"/>
    <n v="12063"/>
  </r>
  <r>
    <x v="16"/>
    <x v="0"/>
    <s v="ACT"/>
    <s v="No gap agreement"/>
    <s v="More than 125% MBS Fee to 150% MBS Fee"/>
    <n v="2471449.2799999998"/>
    <n v="1360400.81"/>
    <n v="1111038.73"/>
    <n v="15114"/>
  </r>
  <r>
    <x v="16"/>
    <x v="0"/>
    <s v="ACT"/>
    <s v="No gap agreement"/>
    <s v="More than 150% MBS Fee to 200% MBS Fee"/>
    <n v="1974976.7"/>
    <n v="903254.17"/>
    <n v="1071714.93"/>
    <n v="13237"/>
  </r>
  <r>
    <x v="16"/>
    <x v="0"/>
    <s v="ACT"/>
    <s v="No gap agreement"/>
    <s v="More than 200% MBS Fee"/>
    <n v="362870.52"/>
    <n v="112618.8"/>
    <n v="250251.72"/>
    <n v="978"/>
  </r>
  <r>
    <x v="16"/>
    <x v="0"/>
    <s v="NT"/>
    <s v="No agreement"/>
    <s v="Up to MBS Fee"/>
    <n v="356087.6"/>
    <n v="267382.42"/>
    <n v="88605.18"/>
    <n v="1626"/>
  </r>
  <r>
    <x v="16"/>
    <x v="0"/>
    <s v="NT"/>
    <s v="No agreement"/>
    <s v="100% MBS Fee to 125% MBS Fee"/>
    <n v="30602.959999999999"/>
    <n v="20399"/>
    <n v="6961.71"/>
    <n v="154"/>
  </r>
  <r>
    <x v="16"/>
    <x v="0"/>
    <s v="NT"/>
    <s v="No agreement"/>
    <s v="More than 125% MBS Fee to 150% MBS Fee"/>
    <n v="63600.82"/>
    <n v="34143.83"/>
    <n v="11476.59"/>
    <n v="225"/>
  </r>
  <r>
    <x v="16"/>
    <x v="0"/>
    <s v="NT"/>
    <s v="No agreement"/>
    <s v="More than 150% MBS Fee to 200% MBS Fee"/>
    <n v="159352.09"/>
    <n v="68956.86"/>
    <n v="23289.96"/>
    <n v="509"/>
  </r>
  <r>
    <x v="16"/>
    <x v="0"/>
    <s v="NT"/>
    <s v="No agreement"/>
    <s v="More than 200% MBS Fee"/>
    <n v="1115863.4099999999"/>
    <n v="300106.96000000002"/>
    <n v="100007.11"/>
    <n v="2072"/>
  </r>
  <r>
    <x v="16"/>
    <x v="0"/>
    <s v="NT"/>
    <s v="Known gap agreement"/>
    <s v="100% MBS Fee to 125% MBS Fee"/>
    <n v="23937.64"/>
    <n v="16452.05"/>
    <n v="6324.75"/>
    <n v="98"/>
  </r>
  <r>
    <x v="16"/>
    <x v="0"/>
    <s v="NT"/>
    <s v="Known gap agreement"/>
    <s v="More than 125% MBS Fee to 150% MBS Fee"/>
    <n v="59156.1"/>
    <n v="32051.53"/>
    <n v="22221.68"/>
    <n v="205"/>
  </r>
  <r>
    <x v="16"/>
    <x v="0"/>
    <s v="NT"/>
    <s v="Known gap agreement"/>
    <s v="More than 150% MBS Fee to 200% MBS Fee"/>
    <n v="160929.78"/>
    <n v="73608.05"/>
    <n v="67782.28"/>
    <n v="369"/>
  </r>
  <r>
    <x v="16"/>
    <x v="0"/>
    <s v="NT"/>
    <s v="Known gap agreement"/>
    <s v="More than 200% MBS Fee"/>
    <n v="266310.75"/>
    <n v="66203.3"/>
    <n v="72322.47"/>
    <n v="765"/>
  </r>
  <r>
    <x v="16"/>
    <x v="0"/>
    <s v="NT"/>
    <s v="No gap agreement"/>
    <s v="Up to MBS Fee"/>
    <n v="119913.62"/>
    <n v="90068.05"/>
    <n v="29845.57"/>
    <n v="1078"/>
  </r>
  <r>
    <x v="16"/>
    <x v="0"/>
    <s v="NT"/>
    <s v="No gap agreement"/>
    <s v="100% MBS Fee to 125% MBS Fee"/>
    <n v="384235.11"/>
    <n v="244473.55"/>
    <n v="139756.93"/>
    <n v="5385"/>
  </r>
  <r>
    <x v="16"/>
    <x v="0"/>
    <s v="NT"/>
    <s v="No gap agreement"/>
    <s v="More than 125% MBS Fee to 150% MBS Fee"/>
    <n v="1079996.8400000001"/>
    <n v="586703.75"/>
    <n v="493292.41"/>
    <n v="5428"/>
  </r>
  <r>
    <x v="16"/>
    <x v="0"/>
    <s v="NT"/>
    <s v="No gap agreement"/>
    <s v="More than 150% MBS Fee to 200% MBS Fee"/>
    <n v="1046235.04"/>
    <n v="479060.8"/>
    <n v="567172.30000000005"/>
    <n v="5468"/>
  </r>
  <r>
    <x v="16"/>
    <x v="0"/>
    <s v="NT"/>
    <s v="No gap agreement"/>
    <s v="More than 200% MBS Fee"/>
    <n v="51534.400000000001"/>
    <n v="15847.55"/>
    <n v="35686.85"/>
    <n v="83"/>
  </r>
  <r>
    <x v="16"/>
    <x v="2"/>
    <s v="NSW"/>
    <s v="No agreement"/>
    <s v="Up to MBS Fee"/>
    <n v="32029758.27"/>
    <n v="24063124.579999998"/>
    <n v="7958239.7599999998"/>
    <n v="476941"/>
  </r>
  <r>
    <x v="16"/>
    <x v="2"/>
    <s v="NSW"/>
    <s v="No agreement"/>
    <s v="100% MBS Fee to 125% MBS Fee"/>
    <n v="2333160.87"/>
    <n v="1559484.94"/>
    <n v="520946.21"/>
    <n v="12400"/>
  </r>
  <r>
    <x v="16"/>
    <x v="2"/>
    <s v="NSW"/>
    <s v="No agreement"/>
    <s v="More than 125% MBS Fee to 150% MBS Fee"/>
    <n v="2985961.75"/>
    <n v="1595927.31"/>
    <n v="537289.66"/>
    <n v="14123"/>
  </r>
  <r>
    <x v="16"/>
    <x v="2"/>
    <s v="NSW"/>
    <s v="No agreement"/>
    <s v="More than 150% MBS Fee to 200% MBS Fee"/>
    <n v="14574726.49"/>
    <n v="6167193.1100000003"/>
    <n v="2055123.91"/>
    <n v="70895"/>
  </r>
  <r>
    <x v="16"/>
    <x v="2"/>
    <s v="NSW"/>
    <s v="No agreement"/>
    <s v="More than 200% MBS Fee"/>
    <n v="90283518.200000003"/>
    <n v="22785086.140000001"/>
    <n v="7608272.6799999997"/>
    <n v="151865"/>
  </r>
  <r>
    <x v="16"/>
    <x v="2"/>
    <s v="NSW"/>
    <s v="Known gap agreement"/>
    <s v="100% MBS Fee to 125% MBS Fee"/>
    <n v="1051828.8500000001"/>
    <n v="678347.94"/>
    <n v="296078.59999999998"/>
    <n v="6153"/>
  </r>
  <r>
    <x v="16"/>
    <x v="2"/>
    <s v="NSW"/>
    <s v="Known gap agreement"/>
    <s v="More than 125% MBS Fee to 150% MBS Fee"/>
    <n v="2156402.9"/>
    <n v="1166858.26"/>
    <n v="718349.81"/>
    <n v="7591"/>
  </r>
  <r>
    <x v="16"/>
    <x v="2"/>
    <s v="NSW"/>
    <s v="Known gap agreement"/>
    <s v="More than 150% MBS Fee to 200% MBS Fee"/>
    <n v="3625856.14"/>
    <n v="1563107.85"/>
    <n v="1377845.66"/>
    <n v="11608"/>
  </r>
  <r>
    <x v="16"/>
    <x v="2"/>
    <s v="NSW"/>
    <s v="Known gap agreement"/>
    <s v="More than 200% MBS Fee"/>
    <n v="6775737.21"/>
    <n v="1725370.13"/>
    <n v="1680393.95"/>
    <n v="17009"/>
  </r>
  <r>
    <x v="16"/>
    <x v="2"/>
    <s v="NSW"/>
    <s v="No gap agreement"/>
    <s v="Up to MBS Fee"/>
    <n v="10966379.76"/>
    <n v="8239152.6100000003"/>
    <n v="2727558.1"/>
    <n v="319340"/>
  </r>
  <r>
    <x v="16"/>
    <x v="2"/>
    <s v="NSW"/>
    <s v="No gap agreement"/>
    <s v="100% MBS Fee to 125% MBS Fee"/>
    <n v="33193126.57"/>
    <n v="21340765.789999999"/>
    <n v="11852147.67"/>
    <n v="343393"/>
  </r>
  <r>
    <x v="16"/>
    <x v="2"/>
    <s v="NSW"/>
    <s v="No gap agreement"/>
    <s v="More than 125% MBS Fee to 150% MBS Fee"/>
    <n v="74444384.670000002"/>
    <n v="40998718.659999996"/>
    <n v="33445498.760000002"/>
    <n v="412495"/>
  </r>
  <r>
    <x v="16"/>
    <x v="2"/>
    <s v="NSW"/>
    <s v="No gap agreement"/>
    <s v="More than 150% MBS Fee to 200% MBS Fee"/>
    <n v="69888800.409999996"/>
    <n v="32048605.760000002"/>
    <n v="37840072.740000002"/>
    <n v="424548"/>
  </r>
  <r>
    <x v="16"/>
    <x v="2"/>
    <s v="NSW"/>
    <s v="No gap agreement"/>
    <s v="More than 200% MBS Fee"/>
    <n v="10121959.76"/>
    <n v="3168983.25"/>
    <n v="6952820.7800000003"/>
    <n v="38521"/>
  </r>
  <r>
    <x v="16"/>
    <x v="2"/>
    <s v="VIC"/>
    <s v="No agreement"/>
    <s v="Up to MBS Fee"/>
    <n v="11559172.26"/>
    <n v="8690191.7100000009"/>
    <n v="2868893.69"/>
    <n v="100661"/>
  </r>
  <r>
    <x v="16"/>
    <x v="2"/>
    <s v="VIC"/>
    <s v="No agreement"/>
    <s v="100% MBS Fee to 125% MBS Fee"/>
    <n v="1567848.37"/>
    <n v="1034627"/>
    <n v="347870.53"/>
    <n v="9212"/>
  </r>
  <r>
    <x v="16"/>
    <x v="2"/>
    <s v="VIC"/>
    <s v="No agreement"/>
    <s v="More than 125% MBS Fee to 150% MBS Fee"/>
    <n v="1750354.88"/>
    <n v="954237.57"/>
    <n v="322560.08"/>
    <n v="13798"/>
  </r>
  <r>
    <x v="16"/>
    <x v="2"/>
    <s v="VIC"/>
    <s v="No agreement"/>
    <s v="More than 150% MBS Fee to 200% MBS Fee"/>
    <n v="4793611.67"/>
    <n v="2047231.34"/>
    <n v="687329.05"/>
    <n v="19931"/>
  </r>
  <r>
    <x v="16"/>
    <x v="2"/>
    <s v="VIC"/>
    <s v="No agreement"/>
    <s v="More than 200% MBS Fee"/>
    <n v="21864407.600000001"/>
    <n v="5731855.7400000002"/>
    <n v="1924363.64"/>
    <n v="46838"/>
  </r>
  <r>
    <x v="16"/>
    <x v="2"/>
    <s v="VIC"/>
    <s v="Known gap agreement"/>
    <s v="100% MBS Fee to 125% MBS Fee"/>
    <n v="1825839.42"/>
    <n v="1187565.76"/>
    <n v="512724.09"/>
    <n v="9600"/>
  </r>
  <r>
    <x v="16"/>
    <x v="2"/>
    <s v="VIC"/>
    <s v="Known gap agreement"/>
    <s v="More than 125% MBS Fee to 150% MBS Fee"/>
    <n v="3464571.92"/>
    <n v="1899646.26"/>
    <n v="1208855.53"/>
    <n v="13268"/>
  </r>
  <r>
    <x v="16"/>
    <x v="2"/>
    <s v="VIC"/>
    <s v="Known gap agreement"/>
    <s v="More than 150% MBS Fee to 200% MBS Fee"/>
    <n v="4940928.12"/>
    <n v="2140899.7400000002"/>
    <n v="1734316.86"/>
    <n v="14751"/>
  </r>
  <r>
    <x v="16"/>
    <x v="2"/>
    <s v="VIC"/>
    <s v="Known gap agreement"/>
    <s v="More than 200% MBS Fee"/>
    <n v="9095546.0899999999"/>
    <n v="2426547.25"/>
    <n v="2373768.9"/>
    <n v="24108"/>
  </r>
  <r>
    <x v="16"/>
    <x v="2"/>
    <s v="VIC"/>
    <s v="No gap agreement"/>
    <s v="Up to MBS Fee"/>
    <n v="11267795.49"/>
    <n v="8478937.8900000006"/>
    <n v="2788857.31"/>
    <n v="238869"/>
  </r>
  <r>
    <x v="16"/>
    <x v="2"/>
    <s v="VIC"/>
    <s v="No gap agreement"/>
    <s v="100% MBS Fee to 125% MBS Fee"/>
    <n v="36153515.859999999"/>
    <n v="23217359.600000001"/>
    <n v="12936071.390000001"/>
    <n v="361409"/>
  </r>
  <r>
    <x v="16"/>
    <x v="2"/>
    <s v="VIC"/>
    <s v="No gap agreement"/>
    <s v="More than 125% MBS Fee to 150% MBS Fee"/>
    <n v="80279900.510000005"/>
    <n v="44474692.960000001"/>
    <n v="35805123.149999999"/>
    <n v="609190"/>
  </r>
  <r>
    <x v="16"/>
    <x v="2"/>
    <s v="VIC"/>
    <s v="No gap agreement"/>
    <s v="More than 150% MBS Fee to 200% MBS Fee"/>
    <n v="78985832.390000001"/>
    <n v="35956090.299999997"/>
    <n v="43029685.840000004"/>
    <n v="436075"/>
  </r>
  <r>
    <x v="16"/>
    <x v="2"/>
    <s v="VIC"/>
    <s v="No gap agreement"/>
    <s v="More than 200% MBS Fee"/>
    <n v="5637577.9100000001"/>
    <n v="1747776.09"/>
    <n v="3889801.82"/>
    <n v="12546"/>
  </r>
  <r>
    <x v="16"/>
    <x v="2"/>
    <s v="QLD"/>
    <s v="No agreement"/>
    <s v="Up to MBS Fee"/>
    <n v="10092942.859999999"/>
    <n v="7572741.4800000004"/>
    <n v="2510204.27"/>
    <n v="72775"/>
  </r>
  <r>
    <x v="16"/>
    <x v="2"/>
    <s v="QLD"/>
    <s v="No agreement"/>
    <s v="100% MBS Fee to 125% MBS Fee"/>
    <n v="1720980.17"/>
    <n v="1147329.8899999999"/>
    <n v="380831.71"/>
    <n v="9945"/>
  </r>
  <r>
    <x v="16"/>
    <x v="2"/>
    <s v="QLD"/>
    <s v="No agreement"/>
    <s v="More than 125% MBS Fee to 150% MBS Fee"/>
    <n v="2960115.93"/>
    <n v="1611339.65"/>
    <n v="554974.21"/>
    <n v="14283"/>
  </r>
  <r>
    <x v="16"/>
    <x v="2"/>
    <s v="QLD"/>
    <s v="No agreement"/>
    <s v="More than 150% MBS Fee to 200% MBS Fee"/>
    <n v="8734739.5299999993"/>
    <n v="3687329.71"/>
    <n v="1230728.07"/>
    <n v="28493"/>
  </r>
  <r>
    <x v="16"/>
    <x v="2"/>
    <s v="QLD"/>
    <s v="No agreement"/>
    <s v="More than 200% MBS Fee"/>
    <n v="45085125.979999997"/>
    <n v="12057416.67"/>
    <n v="4024212.78"/>
    <n v="84524"/>
  </r>
  <r>
    <x v="16"/>
    <x v="2"/>
    <s v="QLD"/>
    <s v="Known gap agreement"/>
    <s v="100% MBS Fee to 125% MBS Fee"/>
    <n v="587329.46"/>
    <n v="377225.86"/>
    <n v="173205.54"/>
    <n v="2642"/>
  </r>
  <r>
    <x v="16"/>
    <x v="2"/>
    <s v="QLD"/>
    <s v="Known gap agreement"/>
    <s v="More than 125% MBS Fee to 150% MBS Fee"/>
    <n v="2068221.55"/>
    <n v="1119495.31"/>
    <n v="688040.24"/>
    <n v="8070"/>
  </r>
  <r>
    <x v="16"/>
    <x v="2"/>
    <s v="QLD"/>
    <s v="Known gap agreement"/>
    <s v="More than 150% MBS Fee to 200% MBS Fee"/>
    <n v="2816141.35"/>
    <n v="1212211.3899999999"/>
    <n v="1037623.88"/>
    <n v="7384"/>
  </r>
  <r>
    <x v="16"/>
    <x v="2"/>
    <s v="QLD"/>
    <s v="Known gap agreement"/>
    <s v="More than 200% MBS Fee"/>
    <n v="8394875.3200000003"/>
    <n v="2218974.38"/>
    <n v="2299609.61"/>
    <n v="21079"/>
  </r>
  <r>
    <x v="16"/>
    <x v="2"/>
    <s v="QLD"/>
    <s v="No gap agreement"/>
    <s v="Up to MBS Fee"/>
    <n v="5178367.8600000003"/>
    <n v="3893908.83"/>
    <n v="1285369.18"/>
    <n v="91890"/>
  </r>
  <r>
    <x v="16"/>
    <x v="2"/>
    <s v="QLD"/>
    <s v="No gap agreement"/>
    <s v="100% MBS Fee to 125% MBS Fee"/>
    <n v="27953404.809999999"/>
    <n v="18000865.23"/>
    <n v="9952441.3699999992"/>
    <n v="307008"/>
  </r>
  <r>
    <x v="16"/>
    <x v="2"/>
    <s v="QLD"/>
    <s v="No gap agreement"/>
    <s v="More than 125% MBS Fee to 150% MBS Fee"/>
    <n v="62234719.950000003"/>
    <n v="34709063.829999998"/>
    <n v="27525545.530000001"/>
    <n v="577928"/>
  </r>
  <r>
    <x v="16"/>
    <x v="2"/>
    <s v="QLD"/>
    <s v="No gap agreement"/>
    <s v="More than 150% MBS Fee to 200% MBS Fee"/>
    <n v="46882926.020000003"/>
    <n v="21753605.32"/>
    <n v="25129228.379999999"/>
    <n v="293303"/>
  </r>
  <r>
    <x v="16"/>
    <x v="2"/>
    <s v="QLD"/>
    <s v="No gap agreement"/>
    <s v="More than 200% MBS Fee"/>
    <n v="7018521.6200000001"/>
    <n v="2173802.06"/>
    <n v="4844717.38"/>
    <n v="13056"/>
  </r>
  <r>
    <x v="16"/>
    <x v="2"/>
    <s v="SA"/>
    <s v="No agreement"/>
    <s v="Up to MBS Fee"/>
    <n v="3523799.48"/>
    <n v="2643998.98"/>
    <n v="878450.15"/>
    <n v="50151"/>
  </r>
  <r>
    <x v="16"/>
    <x v="2"/>
    <s v="SA"/>
    <s v="No agreement"/>
    <s v="100% MBS Fee to 125% MBS Fee"/>
    <n v="281136.18"/>
    <n v="184958.38"/>
    <n v="64512.39"/>
    <n v="2231"/>
  </r>
  <r>
    <x v="16"/>
    <x v="2"/>
    <s v="SA"/>
    <s v="No agreement"/>
    <s v="More than 125% MBS Fee to 150% MBS Fee"/>
    <n v="738913.8"/>
    <n v="393961.26"/>
    <n v="140662.51"/>
    <n v="5259"/>
  </r>
  <r>
    <x v="16"/>
    <x v="2"/>
    <s v="SA"/>
    <s v="No agreement"/>
    <s v="More than 150% MBS Fee to 200% MBS Fee"/>
    <n v="603144.23"/>
    <n v="263599.34000000003"/>
    <n v="103526.45"/>
    <n v="2512"/>
  </r>
  <r>
    <x v="16"/>
    <x v="2"/>
    <s v="SA"/>
    <s v="No agreement"/>
    <s v="More than 200% MBS Fee"/>
    <n v="2364722.98"/>
    <n v="625618.47"/>
    <n v="212398.8"/>
    <n v="7078"/>
  </r>
  <r>
    <x v="16"/>
    <x v="2"/>
    <s v="SA"/>
    <s v="Known gap agreement"/>
    <s v="100% MBS Fee to 125% MBS Fee"/>
    <n v="452892.85"/>
    <n v="305645.84999999998"/>
    <n v="116284.98"/>
    <n v="1989"/>
  </r>
  <r>
    <x v="16"/>
    <x v="2"/>
    <s v="SA"/>
    <s v="Known gap agreement"/>
    <s v="More than 125% MBS Fee to 150% MBS Fee"/>
    <n v="585761.26"/>
    <n v="316263.95"/>
    <n v="191093.44"/>
    <n v="2279"/>
  </r>
  <r>
    <x v="16"/>
    <x v="2"/>
    <s v="SA"/>
    <s v="Known gap agreement"/>
    <s v="More than 150% MBS Fee to 200% MBS Fee"/>
    <n v="1727524.47"/>
    <n v="741253.3"/>
    <n v="685689.31"/>
    <n v="3033"/>
  </r>
  <r>
    <x v="16"/>
    <x v="2"/>
    <s v="SA"/>
    <s v="Known gap agreement"/>
    <s v="More than 200% MBS Fee"/>
    <n v="1247296.1000000001"/>
    <n v="334506.59999999998"/>
    <n v="343689.78"/>
    <n v="2946"/>
  </r>
  <r>
    <x v="16"/>
    <x v="2"/>
    <s v="SA"/>
    <s v="No gap agreement"/>
    <s v="Up to MBS Fee"/>
    <n v="3282940.38"/>
    <n v="2464786.87"/>
    <n v="818192.38"/>
    <n v="26559"/>
  </r>
  <r>
    <x v="16"/>
    <x v="2"/>
    <s v="SA"/>
    <s v="No gap agreement"/>
    <s v="100% MBS Fee to 125% MBS Fee"/>
    <n v="8888899.5700000003"/>
    <n v="5718110.9800000004"/>
    <n v="3170773.57"/>
    <n v="114346"/>
  </r>
  <r>
    <x v="16"/>
    <x v="2"/>
    <s v="SA"/>
    <s v="No gap agreement"/>
    <s v="More than 125% MBS Fee to 150% MBS Fee"/>
    <n v="18991973.440000001"/>
    <n v="10424799.439999999"/>
    <n v="8567141.1600000001"/>
    <n v="154585"/>
  </r>
  <r>
    <x v="16"/>
    <x v="2"/>
    <s v="SA"/>
    <s v="No gap agreement"/>
    <s v="More than 150% MBS Fee to 200% MBS Fee"/>
    <n v="36463087.719999999"/>
    <n v="16471802.640000001"/>
    <n v="19991221.359999999"/>
    <n v="160559"/>
  </r>
  <r>
    <x v="16"/>
    <x v="2"/>
    <s v="SA"/>
    <s v="No gap agreement"/>
    <s v="More than 200% MBS Fee"/>
    <n v="2146235.15"/>
    <n v="611877.22"/>
    <n v="1534357.93"/>
    <n v="3412"/>
  </r>
  <r>
    <x v="16"/>
    <x v="2"/>
    <s v="WA"/>
    <s v="No agreement"/>
    <s v="Up to MBS Fee"/>
    <n v="2207834.1"/>
    <n v="1658979.35"/>
    <n v="548685.56999999995"/>
    <n v="37100"/>
  </r>
  <r>
    <x v="16"/>
    <x v="2"/>
    <s v="WA"/>
    <s v="No agreement"/>
    <s v="100% MBS Fee to 125% MBS Fee"/>
    <n v="346154.08"/>
    <n v="230226.28"/>
    <n v="76370.490000000005"/>
    <n v="2507"/>
  </r>
  <r>
    <x v="16"/>
    <x v="2"/>
    <s v="WA"/>
    <s v="No agreement"/>
    <s v="More than 125% MBS Fee to 150% MBS Fee"/>
    <n v="1480825.54"/>
    <n v="799100.68"/>
    <n v="267694.31"/>
    <n v="8436"/>
  </r>
  <r>
    <x v="16"/>
    <x v="2"/>
    <s v="WA"/>
    <s v="No agreement"/>
    <s v="More than 150% MBS Fee to 200% MBS Fee"/>
    <n v="2695445.12"/>
    <n v="1147279.95"/>
    <n v="385524.73"/>
    <n v="10128"/>
  </r>
  <r>
    <x v="16"/>
    <x v="2"/>
    <s v="WA"/>
    <s v="No agreement"/>
    <s v="More than 200% MBS Fee"/>
    <n v="7912249.3399999999"/>
    <n v="1869180.77"/>
    <n v="632851.9"/>
    <n v="19654"/>
  </r>
  <r>
    <x v="16"/>
    <x v="2"/>
    <s v="WA"/>
    <s v="Known gap agreement"/>
    <s v="100% MBS Fee to 125% MBS Fee"/>
    <n v="1987073.9"/>
    <n v="1363834.15"/>
    <n v="592570.41"/>
    <n v="11973"/>
  </r>
  <r>
    <x v="16"/>
    <x v="2"/>
    <s v="WA"/>
    <s v="Known gap agreement"/>
    <s v="More than 125% MBS Fee to 150% MBS Fee"/>
    <n v="3810771.36"/>
    <n v="2035225.83"/>
    <n v="1477042.52"/>
    <n v="28489"/>
  </r>
  <r>
    <x v="16"/>
    <x v="2"/>
    <s v="WA"/>
    <s v="Known gap agreement"/>
    <s v="More than 150% MBS Fee to 200% MBS Fee"/>
    <n v="6039803.3600000003"/>
    <n v="2624766.15"/>
    <n v="1912332.84"/>
    <n v="17264"/>
  </r>
  <r>
    <x v="16"/>
    <x v="2"/>
    <s v="WA"/>
    <s v="Known gap agreement"/>
    <s v="More than 200% MBS Fee"/>
    <n v="10250836.73"/>
    <n v="2752454.6"/>
    <n v="1739751.16"/>
    <n v="18705"/>
  </r>
  <r>
    <x v="16"/>
    <x v="2"/>
    <s v="WA"/>
    <s v="No gap agreement"/>
    <s v="Up to MBS Fee"/>
    <n v="1049932.9099999999"/>
    <n v="795403.38"/>
    <n v="254553.8"/>
    <n v="12083"/>
  </r>
  <r>
    <x v="16"/>
    <x v="2"/>
    <s v="WA"/>
    <s v="No gap agreement"/>
    <s v="100% MBS Fee to 125% MBS Fee"/>
    <n v="8513796.2799999993"/>
    <n v="5369451.75"/>
    <n v="3144338.44"/>
    <n v="77285"/>
  </r>
  <r>
    <x v="16"/>
    <x v="2"/>
    <s v="WA"/>
    <s v="No gap agreement"/>
    <s v="More than 125% MBS Fee to 150% MBS Fee"/>
    <n v="25364178.23"/>
    <n v="14000448.91"/>
    <n v="11363724.630000001"/>
    <n v="182834"/>
  </r>
  <r>
    <x v="16"/>
    <x v="2"/>
    <s v="WA"/>
    <s v="No gap agreement"/>
    <s v="More than 150% MBS Fee to 200% MBS Fee"/>
    <n v="33477933.609999999"/>
    <n v="14861883.640000001"/>
    <n v="18616045.649999999"/>
    <n v="163392"/>
  </r>
  <r>
    <x v="16"/>
    <x v="2"/>
    <s v="WA"/>
    <s v="No gap agreement"/>
    <s v="More than 200% MBS Fee"/>
    <n v="3444528.94"/>
    <n v="937905.95"/>
    <n v="2506622.9900000002"/>
    <n v="3003"/>
  </r>
  <r>
    <x v="16"/>
    <x v="2"/>
    <s v="TAS"/>
    <s v="No agreement"/>
    <s v="Up to MBS Fee"/>
    <n v="1070259.73"/>
    <n v="803761.12"/>
    <n v="266498.26"/>
    <n v="14336"/>
  </r>
  <r>
    <x v="16"/>
    <x v="2"/>
    <s v="TAS"/>
    <s v="No agreement"/>
    <s v="100% MBS Fee to 125% MBS Fee"/>
    <n v="127116.96"/>
    <n v="86193.77"/>
    <n v="28306.57"/>
    <n v="652"/>
  </r>
  <r>
    <x v="16"/>
    <x v="2"/>
    <s v="TAS"/>
    <s v="No agreement"/>
    <s v="More than 125% MBS Fee to 150% MBS Fee"/>
    <n v="157088.4"/>
    <n v="84977.43"/>
    <n v="28402.04"/>
    <n v="577"/>
  </r>
  <r>
    <x v="16"/>
    <x v="2"/>
    <s v="TAS"/>
    <s v="No agreement"/>
    <s v="More than 150% MBS Fee to 200% MBS Fee"/>
    <n v="621642.68999999994"/>
    <n v="267835.32"/>
    <n v="89564.63"/>
    <n v="1577"/>
  </r>
  <r>
    <x v="16"/>
    <x v="2"/>
    <s v="TAS"/>
    <s v="No agreement"/>
    <s v="More than 200% MBS Fee"/>
    <n v="2136348.41"/>
    <n v="523170.17"/>
    <n v="180981.77"/>
    <n v="3638"/>
  </r>
  <r>
    <x v="16"/>
    <x v="2"/>
    <s v="TAS"/>
    <s v="Known gap agreement"/>
    <s v="100% MBS Fee to 125% MBS Fee"/>
    <n v="122470.46"/>
    <n v="78937.11"/>
    <n v="32843.519999999997"/>
    <n v="817"/>
  </r>
  <r>
    <x v="16"/>
    <x v="2"/>
    <s v="TAS"/>
    <s v="Known gap agreement"/>
    <s v="More than 125% MBS Fee to 150% MBS Fee"/>
    <n v="225800.22"/>
    <n v="123086.53"/>
    <n v="84563.53"/>
    <n v="799"/>
  </r>
  <r>
    <x v="16"/>
    <x v="2"/>
    <s v="TAS"/>
    <s v="Known gap agreement"/>
    <s v="More than 150% MBS Fee to 200% MBS Fee"/>
    <n v="589235.07999999996"/>
    <n v="251999.02"/>
    <n v="243446.18"/>
    <n v="1435"/>
  </r>
  <r>
    <x v="16"/>
    <x v="2"/>
    <s v="TAS"/>
    <s v="Known gap agreement"/>
    <s v="More than 200% MBS Fee"/>
    <n v="1046613.7"/>
    <n v="313529.90999999997"/>
    <n v="345725.21"/>
    <n v="3623"/>
  </r>
  <r>
    <x v="16"/>
    <x v="2"/>
    <s v="TAS"/>
    <s v="No gap agreement"/>
    <s v="Up to MBS Fee"/>
    <n v="771600.75"/>
    <n v="578831.12"/>
    <n v="192769.34"/>
    <n v="9143"/>
  </r>
  <r>
    <x v="16"/>
    <x v="2"/>
    <s v="TAS"/>
    <s v="No gap agreement"/>
    <s v="100% MBS Fee to 125% MBS Fee"/>
    <n v="2817339.03"/>
    <n v="1791446.71"/>
    <n v="1025891.32"/>
    <n v="22112"/>
  </r>
  <r>
    <x v="16"/>
    <x v="2"/>
    <s v="TAS"/>
    <s v="No gap agreement"/>
    <s v="More than 125% MBS Fee to 150% MBS Fee"/>
    <n v="6439282.9299999997"/>
    <n v="3538532.74"/>
    <n v="2900749.99"/>
    <n v="39731"/>
  </r>
  <r>
    <x v="16"/>
    <x v="2"/>
    <s v="TAS"/>
    <s v="No gap agreement"/>
    <s v="More than 150% MBS Fee to 200% MBS Fee"/>
    <n v="6178783.8799999999"/>
    <n v="2838366.66"/>
    <n v="3340416.03"/>
    <n v="36608"/>
  </r>
  <r>
    <x v="16"/>
    <x v="2"/>
    <s v="TAS"/>
    <s v="No gap agreement"/>
    <s v="More than 200% MBS Fee"/>
    <n v="616075.80000000005"/>
    <n v="194779.88"/>
    <n v="421295.72"/>
    <n v="1099"/>
  </r>
  <r>
    <x v="16"/>
    <x v="2"/>
    <s v="ACT"/>
    <s v="No agreement"/>
    <s v="Up to MBS Fee"/>
    <n v="873187.45"/>
    <n v="657253.63"/>
    <n v="215933.81"/>
    <n v="8707"/>
  </r>
  <r>
    <x v="16"/>
    <x v="2"/>
    <s v="ACT"/>
    <s v="No agreement"/>
    <s v="100% MBS Fee to 125% MBS Fee"/>
    <n v="156902.20000000001"/>
    <n v="102517.71"/>
    <n v="34076.32"/>
    <n v="592"/>
  </r>
  <r>
    <x v="16"/>
    <x v="2"/>
    <s v="ACT"/>
    <s v="No agreement"/>
    <s v="More than 125% MBS Fee to 150% MBS Fee"/>
    <n v="161601.88"/>
    <n v="87433.79"/>
    <n v="29929.439999999999"/>
    <n v="757"/>
  </r>
  <r>
    <x v="16"/>
    <x v="2"/>
    <s v="ACT"/>
    <s v="No agreement"/>
    <s v="More than 150% MBS Fee to 200% MBS Fee"/>
    <n v="945433.98"/>
    <n v="395409.93"/>
    <n v="131209.49"/>
    <n v="3000"/>
  </r>
  <r>
    <x v="16"/>
    <x v="2"/>
    <s v="ACT"/>
    <s v="No agreement"/>
    <s v="More than 200% MBS Fee"/>
    <n v="7370523.0700000003"/>
    <n v="1825574.01"/>
    <n v="608053.01"/>
    <n v="11604"/>
  </r>
  <r>
    <x v="16"/>
    <x v="2"/>
    <s v="ACT"/>
    <s v="Known gap agreement"/>
    <s v="100% MBS Fee to 125% MBS Fee"/>
    <n v="57634.33"/>
    <n v="34515.949999999997"/>
    <n v="20115.150000000001"/>
    <n v="160"/>
  </r>
  <r>
    <x v="16"/>
    <x v="2"/>
    <s v="ACT"/>
    <s v="Known gap agreement"/>
    <s v="More than 125% MBS Fee to 150% MBS Fee"/>
    <n v="41481.56"/>
    <n v="22089.25"/>
    <n v="14733.76"/>
    <n v="132"/>
  </r>
  <r>
    <x v="16"/>
    <x v="2"/>
    <s v="ACT"/>
    <s v="Known gap agreement"/>
    <s v="More than 150% MBS Fee to 200% MBS Fee"/>
    <n v="137451.07999999999"/>
    <n v="57970.39"/>
    <n v="51745.48"/>
    <n v="448"/>
  </r>
  <r>
    <x v="16"/>
    <x v="2"/>
    <s v="ACT"/>
    <s v="Known gap agreement"/>
    <s v="More than 200% MBS Fee"/>
    <n v="465219.24"/>
    <n v="112231.85"/>
    <n v="117377.97"/>
    <n v="1204"/>
  </r>
  <r>
    <x v="16"/>
    <x v="2"/>
    <s v="ACT"/>
    <s v="No gap agreement"/>
    <s v="Up to MBS Fee"/>
    <n v="355095.27"/>
    <n v="266968.82"/>
    <n v="88126.45"/>
    <n v="11990"/>
  </r>
  <r>
    <x v="16"/>
    <x v="2"/>
    <s v="ACT"/>
    <s v="No gap agreement"/>
    <s v="100% MBS Fee to 125% MBS Fee"/>
    <n v="877098.69"/>
    <n v="567024.12"/>
    <n v="310038.48"/>
    <n v="10855"/>
  </r>
  <r>
    <x v="16"/>
    <x v="2"/>
    <s v="ACT"/>
    <s v="No gap agreement"/>
    <s v="More than 125% MBS Fee to 150% MBS Fee"/>
    <n v="2432562.9"/>
    <n v="1343764.21"/>
    <n v="1088795.44"/>
    <n v="15320"/>
  </r>
  <r>
    <x v="16"/>
    <x v="2"/>
    <s v="ACT"/>
    <s v="No gap agreement"/>
    <s v="More than 150% MBS Fee to 200% MBS Fee"/>
    <n v="2160246.09"/>
    <n v="993353.51"/>
    <n v="1166876.56"/>
    <n v="15350"/>
  </r>
  <r>
    <x v="16"/>
    <x v="2"/>
    <s v="ACT"/>
    <s v="No gap agreement"/>
    <s v="More than 200% MBS Fee"/>
    <n v="480578.88"/>
    <n v="153039.51999999999"/>
    <n v="327539.36"/>
    <n v="1120"/>
  </r>
  <r>
    <x v="16"/>
    <x v="2"/>
    <s v="NT"/>
    <s v="No agreement"/>
    <s v="Up to MBS Fee"/>
    <n v="325734.09999999998"/>
    <n v="244016.73"/>
    <n v="81217.37"/>
    <n v="1472"/>
  </r>
  <r>
    <x v="16"/>
    <x v="2"/>
    <s v="NT"/>
    <s v="No agreement"/>
    <s v="100% MBS Fee to 125% MBS Fee"/>
    <n v="25157.599999999999"/>
    <n v="16499.11"/>
    <n v="5505.14"/>
    <n v="136"/>
  </r>
  <r>
    <x v="16"/>
    <x v="2"/>
    <s v="NT"/>
    <s v="No agreement"/>
    <s v="More than 125% MBS Fee to 150% MBS Fee"/>
    <n v="71140"/>
    <n v="38589.35"/>
    <n v="12859.3"/>
    <n v="209"/>
  </r>
  <r>
    <x v="16"/>
    <x v="2"/>
    <s v="NT"/>
    <s v="No agreement"/>
    <s v="More than 150% MBS Fee to 200% MBS Fee"/>
    <n v="199032.44"/>
    <n v="86826.51"/>
    <n v="29045.97"/>
    <n v="728"/>
  </r>
  <r>
    <x v="16"/>
    <x v="2"/>
    <s v="NT"/>
    <s v="No agreement"/>
    <s v="More than 200% MBS Fee"/>
    <n v="1109058.54"/>
    <n v="298039.09999999998"/>
    <n v="99268.53"/>
    <n v="2048"/>
  </r>
  <r>
    <x v="16"/>
    <x v="2"/>
    <s v="NT"/>
    <s v="Known gap agreement"/>
    <s v="100% MBS Fee to 125% MBS Fee"/>
    <n v="24576.61"/>
    <n v="16699.45"/>
    <n v="6639.6"/>
    <n v="106"/>
  </r>
  <r>
    <x v="16"/>
    <x v="2"/>
    <s v="NT"/>
    <s v="Known gap agreement"/>
    <s v="More than 125% MBS Fee to 150% MBS Fee"/>
    <n v="18700.669999999998"/>
    <n v="10148.450000000001"/>
    <n v="6138"/>
    <n v="67"/>
  </r>
  <r>
    <x v="16"/>
    <x v="2"/>
    <s v="NT"/>
    <s v="Known gap agreement"/>
    <s v="More than 150% MBS Fee to 200% MBS Fee"/>
    <n v="84172.45"/>
    <n v="36930.449999999997"/>
    <n v="31539.03"/>
    <n v="195"/>
  </r>
  <r>
    <x v="16"/>
    <x v="2"/>
    <s v="NT"/>
    <s v="Known gap agreement"/>
    <s v="More than 200% MBS Fee"/>
    <n v="235504.26"/>
    <n v="58702.95"/>
    <n v="60711.45"/>
    <n v="640"/>
  </r>
  <r>
    <x v="16"/>
    <x v="2"/>
    <s v="NT"/>
    <s v="No gap agreement"/>
    <s v="Up to MBS Fee"/>
    <n v="123349.31"/>
    <n v="92578.76"/>
    <n v="30770.55"/>
    <n v="1437"/>
  </r>
  <r>
    <x v="16"/>
    <x v="2"/>
    <s v="NT"/>
    <s v="No gap agreement"/>
    <s v="100% MBS Fee to 125% MBS Fee"/>
    <n v="318657.32"/>
    <n v="202457.15"/>
    <n v="116197.67"/>
    <n v="4596"/>
  </r>
  <r>
    <x v="16"/>
    <x v="2"/>
    <s v="NT"/>
    <s v="No gap agreement"/>
    <s v="More than 125% MBS Fee to 150% MBS Fee"/>
    <n v="1022095.53"/>
    <n v="555711.05000000005"/>
    <n v="466377.56"/>
    <n v="4882"/>
  </r>
  <r>
    <x v="16"/>
    <x v="2"/>
    <s v="NT"/>
    <s v="No gap agreement"/>
    <s v="More than 150% MBS Fee to 200% MBS Fee"/>
    <n v="1129608.02"/>
    <n v="522016.35"/>
    <n v="607584.25"/>
    <n v="6032"/>
  </r>
  <r>
    <x v="16"/>
    <x v="2"/>
    <s v="NT"/>
    <s v="No gap agreement"/>
    <s v="More than 200% MBS Fee"/>
    <n v="62043.05"/>
    <n v="19753.400000000001"/>
    <n v="42289.65"/>
    <n v="103"/>
  </r>
  <r>
    <x v="16"/>
    <x v="3"/>
    <s v="NSW"/>
    <s v="No agreement"/>
    <s v="Up to MBS Fee"/>
    <n v="31510627.32"/>
    <n v="23680299.809999999"/>
    <n v="7827331.9100000001"/>
    <n v="500048"/>
  </r>
  <r>
    <x v="16"/>
    <x v="3"/>
    <s v="NSW"/>
    <s v="No agreement"/>
    <s v="100% MBS Fee to 125% MBS Fee"/>
    <n v="2298003.56"/>
    <n v="1541051.19"/>
    <n v="511479.47"/>
    <n v="12864"/>
  </r>
  <r>
    <x v="16"/>
    <x v="3"/>
    <s v="NSW"/>
    <s v="No agreement"/>
    <s v="More than 125% MBS Fee to 150% MBS Fee"/>
    <n v="2890907.69"/>
    <n v="1560475.45"/>
    <n v="524278.62"/>
    <n v="14206"/>
  </r>
  <r>
    <x v="16"/>
    <x v="3"/>
    <s v="NSW"/>
    <s v="No agreement"/>
    <s v="More than 150% MBS Fee to 200% MBS Fee"/>
    <n v="13494484.98"/>
    <n v="5707927.25"/>
    <n v="1912140.01"/>
    <n v="65920"/>
  </r>
  <r>
    <x v="16"/>
    <x v="3"/>
    <s v="NSW"/>
    <s v="No agreement"/>
    <s v="More than 200% MBS Fee"/>
    <n v="80424582.109999999"/>
    <n v="20590944.129999999"/>
    <n v="6904805.5099999998"/>
    <n v="140346"/>
  </r>
  <r>
    <x v="16"/>
    <x v="3"/>
    <s v="NSW"/>
    <s v="Known gap agreement"/>
    <s v="100% MBS Fee to 125% MBS Fee"/>
    <n v="1380636.62"/>
    <n v="897054.75"/>
    <n v="368895.86"/>
    <n v="8580"/>
  </r>
  <r>
    <x v="16"/>
    <x v="3"/>
    <s v="NSW"/>
    <s v="Known gap agreement"/>
    <s v="More than 125% MBS Fee to 150% MBS Fee"/>
    <n v="2694728.83"/>
    <n v="1455836.39"/>
    <n v="949517.94"/>
    <n v="9670"/>
  </r>
  <r>
    <x v="16"/>
    <x v="3"/>
    <s v="NSW"/>
    <s v="Known gap agreement"/>
    <s v="More than 150% MBS Fee to 200% MBS Fee"/>
    <n v="4482196.57"/>
    <n v="1949746.72"/>
    <n v="1796351.89"/>
    <n v="14151"/>
  </r>
  <r>
    <x v="16"/>
    <x v="3"/>
    <s v="NSW"/>
    <s v="Known gap agreement"/>
    <s v="More than 200% MBS Fee"/>
    <n v="6591406.6299999999"/>
    <n v="1721941.53"/>
    <n v="1711769.39"/>
    <n v="16681"/>
  </r>
  <r>
    <x v="16"/>
    <x v="3"/>
    <s v="NSW"/>
    <s v="No gap agreement"/>
    <s v="Up to MBS Fee"/>
    <n v="10998670.859999999"/>
    <n v="8264141.9500000002"/>
    <n v="2734815.49"/>
    <n v="320755"/>
  </r>
  <r>
    <x v="16"/>
    <x v="3"/>
    <s v="NSW"/>
    <s v="No gap agreement"/>
    <s v="100% MBS Fee to 125% MBS Fee"/>
    <n v="30444618.780000001"/>
    <n v="19540403.010000002"/>
    <n v="10903816.85"/>
    <n v="318751"/>
  </r>
  <r>
    <x v="16"/>
    <x v="3"/>
    <s v="NSW"/>
    <s v="No gap agreement"/>
    <s v="More than 125% MBS Fee to 150% MBS Fee"/>
    <n v="65332627.729999997"/>
    <n v="36019856.420000002"/>
    <n v="29312577.120000001"/>
    <n v="371308"/>
  </r>
  <r>
    <x v="16"/>
    <x v="3"/>
    <s v="NSW"/>
    <s v="No gap agreement"/>
    <s v="More than 150% MBS Fee to 200% MBS Fee"/>
    <n v="59088981.060000002"/>
    <n v="27034701.649999999"/>
    <n v="32054110.149999999"/>
    <n v="353699"/>
  </r>
  <r>
    <x v="16"/>
    <x v="3"/>
    <s v="NSW"/>
    <s v="No gap agreement"/>
    <s v="More than 200% MBS Fee"/>
    <n v="9070782.9299999997"/>
    <n v="2812776.56"/>
    <n v="6258005.79"/>
    <n v="33705"/>
  </r>
  <r>
    <x v="16"/>
    <x v="3"/>
    <s v="VIC"/>
    <s v="No agreement"/>
    <s v="Up to MBS Fee"/>
    <n v="10502292.890000001"/>
    <n v="7892227.2300000004"/>
    <n v="2609133.87"/>
    <n v="94174"/>
  </r>
  <r>
    <x v="16"/>
    <x v="3"/>
    <s v="VIC"/>
    <s v="No agreement"/>
    <s v="100% MBS Fee to 125% MBS Fee"/>
    <n v="1456362.52"/>
    <n v="965255.55"/>
    <n v="321153.77"/>
    <n v="8603"/>
  </r>
  <r>
    <x v="16"/>
    <x v="3"/>
    <s v="VIC"/>
    <s v="No agreement"/>
    <s v="More than 125% MBS Fee to 150% MBS Fee"/>
    <n v="2026897.39"/>
    <n v="1108152.83"/>
    <n v="370976.3"/>
    <n v="18166"/>
  </r>
  <r>
    <x v="16"/>
    <x v="3"/>
    <s v="VIC"/>
    <s v="No agreement"/>
    <s v="More than 150% MBS Fee to 200% MBS Fee"/>
    <n v="4406938.8899999997"/>
    <n v="1882183.13"/>
    <n v="626421.36"/>
    <n v="19959"/>
  </r>
  <r>
    <x v="16"/>
    <x v="3"/>
    <s v="VIC"/>
    <s v="No agreement"/>
    <s v="More than 200% MBS Fee"/>
    <n v="19378522.059999999"/>
    <n v="5122302.32"/>
    <n v="1710845.26"/>
    <n v="44964"/>
  </r>
  <r>
    <x v="16"/>
    <x v="3"/>
    <s v="VIC"/>
    <s v="Known gap agreement"/>
    <s v="100% MBS Fee to 125% MBS Fee"/>
    <n v="2533971.0299999998"/>
    <n v="1682879.43"/>
    <n v="705483.57"/>
    <n v="14495"/>
  </r>
  <r>
    <x v="16"/>
    <x v="3"/>
    <s v="VIC"/>
    <s v="Known gap agreement"/>
    <s v="More than 125% MBS Fee to 150% MBS Fee"/>
    <n v="4869083.71"/>
    <n v="2661109.54"/>
    <n v="1775595.42"/>
    <n v="18906"/>
  </r>
  <r>
    <x v="16"/>
    <x v="3"/>
    <s v="VIC"/>
    <s v="Known gap agreement"/>
    <s v="More than 150% MBS Fee to 200% MBS Fee"/>
    <n v="6449637.9500000002"/>
    <n v="2820186.2"/>
    <n v="2481411.4"/>
    <n v="18385"/>
  </r>
  <r>
    <x v="16"/>
    <x v="3"/>
    <s v="VIC"/>
    <s v="Known gap agreement"/>
    <s v="More than 200% MBS Fee"/>
    <n v="9440912.5"/>
    <n v="2545282.02"/>
    <n v="2553998.73"/>
    <n v="23966"/>
  </r>
  <r>
    <x v="16"/>
    <x v="3"/>
    <s v="VIC"/>
    <s v="No gap agreement"/>
    <s v="Up to MBS Fee"/>
    <n v="11804997.42"/>
    <n v="8878664.8200000003"/>
    <n v="2926354.58"/>
    <n v="247051"/>
  </r>
  <r>
    <x v="16"/>
    <x v="3"/>
    <s v="VIC"/>
    <s v="No gap agreement"/>
    <s v="100% MBS Fee to 125% MBS Fee"/>
    <n v="32497679.550000001"/>
    <n v="20868402.949999999"/>
    <n v="11629042.210000001"/>
    <n v="337417"/>
  </r>
  <r>
    <x v="16"/>
    <x v="3"/>
    <s v="VIC"/>
    <s v="No gap agreement"/>
    <s v="More than 125% MBS Fee to 150% MBS Fee"/>
    <n v="75333021.950000003"/>
    <n v="41755765.57"/>
    <n v="33577190.960000001"/>
    <n v="564357"/>
  </r>
  <r>
    <x v="16"/>
    <x v="3"/>
    <s v="VIC"/>
    <s v="No gap agreement"/>
    <s v="More than 150% MBS Fee to 200% MBS Fee"/>
    <n v="66699898.659999996"/>
    <n v="30317288.75"/>
    <n v="36382539.5"/>
    <n v="368905"/>
  </r>
  <r>
    <x v="16"/>
    <x v="3"/>
    <s v="VIC"/>
    <s v="No gap agreement"/>
    <s v="More than 200% MBS Fee"/>
    <n v="4377830.1399999997"/>
    <n v="1249423.6000000001"/>
    <n v="3128406.54"/>
    <n v="9123"/>
  </r>
  <r>
    <x v="16"/>
    <x v="3"/>
    <s v="QLD"/>
    <s v="No agreement"/>
    <s v="Up to MBS Fee"/>
    <n v="8221159.6299999999"/>
    <n v="6172897.5099999998"/>
    <n v="2042390.07"/>
    <n v="64097"/>
  </r>
  <r>
    <x v="16"/>
    <x v="3"/>
    <s v="QLD"/>
    <s v="No agreement"/>
    <s v="100% MBS Fee to 125% MBS Fee"/>
    <n v="1627046.45"/>
    <n v="1083772.67"/>
    <n v="361102.25"/>
    <n v="9551"/>
  </r>
  <r>
    <x v="16"/>
    <x v="3"/>
    <s v="QLD"/>
    <s v="No agreement"/>
    <s v="More than 125% MBS Fee to 150% MBS Fee"/>
    <n v="2878685.12"/>
    <n v="1569233.74"/>
    <n v="537382.42000000004"/>
    <n v="12772"/>
  </r>
  <r>
    <x v="16"/>
    <x v="3"/>
    <s v="QLD"/>
    <s v="No agreement"/>
    <s v="More than 150% MBS Fee to 200% MBS Fee"/>
    <n v="8183760.5599999996"/>
    <n v="3464400.53"/>
    <n v="1156414.8500000001"/>
    <n v="26562"/>
  </r>
  <r>
    <x v="16"/>
    <x v="3"/>
    <s v="QLD"/>
    <s v="No agreement"/>
    <s v="More than 200% MBS Fee"/>
    <n v="41095021.75"/>
    <n v="10939204.109999999"/>
    <n v="3653098.47"/>
    <n v="76896"/>
  </r>
  <r>
    <x v="16"/>
    <x v="3"/>
    <s v="QLD"/>
    <s v="Known gap agreement"/>
    <s v="100% MBS Fee to 125% MBS Fee"/>
    <n v="775082.63"/>
    <n v="503216.93"/>
    <n v="220177.88"/>
    <n v="3727"/>
  </r>
  <r>
    <x v="16"/>
    <x v="3"/>
    <s v="QLD"/>
    <s v="Known gap agreement"/>
    <s v="More than 125% MBS Fee to 150% MBS Fee"/>
    <n v="2671276.5499999998"/>
    <n v="1450835.47"/>
    <n v="938622.65"/>
    <n v="11133"/>
  </r>
  <r>
    <x v="16"/>
    <x v="3"/>
    <s v="QLD"/>
    <s v="Known gap agreement"/>
    <s v="More than 150% MBS Fee to 200% MBS Fee"/>
    <n v="3993330.88"/>
    <n v="1728531.18"/>
    <n v="1551004.67"/>
    <n v="9099"/>
  </r>
  <r>
    <x v="16"/>
    <x v="3"/>
    <s v="QLD"/>
    <s v="Known gap agreement"/>
    <s v="More than 200% MBS Fee"/>
    <n v="8208914.4699999997"/>
    <n v="2242463.4700000002"/>
    <n v="2358434.83"/>
    <n v="19843"/>
  </r>
  <r>
    <x v="16"/>
    <x v="3"/>
    <s v="QLD"/>
    <s v="No gap agreement"/>
    <s v="Up to MBS Fee"/>
    <n v="4807000.74"/>
    <n v="3613251.76"/>
    <n v="1193747.33"/>
    <n v="94725"/>
  </r>
  <r>
    <x v="16"/>
    <x v="3"/>
    <s v="QLD"/>
    <s v="No gap agreement"/>
    <s v="100% MBS Fee to 125% MBS Fee"/>
    <n v="26197990.370000001"/>
    <n v="16849698.300000001"/>
    <n v="9347980.6099999994"/>
    <n v="285965"/>
  </r>
  <r>
    <x v="16"/>
    <x v="3"/>
    <s v="QLD"/>
    <s v="No gap agreement"/>
    <s v="More than 125% MBS Fee to 150% MBS Fee"/>
    <n v="56624082.049999997"/>
    <n v="31600027.100000001"/>
    <n v="25023931.149999999"/>
    <n v="535459"/>
  </r>
  <r>
    <x v="16"/>
    <x v="3"/>
    <s v="QLD"/>
    <s v="No gap agreement"/>
    <s v="More than 150% MBS Fee to 200% MBS Fee"/>
    <n v="38760928.149999999"/>
    <n v="17930503.02"/>
    <n v="20830352.420000002"/>
    <n v="241564"/>
  </r>
  <r>
    <x v="16"/>
    <x v="3"/>
    <s v="QLD"/>
    <s v="No gap agreement"/>
    <s v="More than 200% MBS Fee"/>
    <n v="5737288.1100000003"/>
    <n v="1676024.76"/>
    <n v="4061253.12"/>
    <n v="9409"/>
  </r>
  <r>
    <x v="16"/>
    <x v="3"/>
    <s v="SA"/>
    <s v="No agreement"/>
    <s v="Up to MBS Fee"/>
    <n v="3350725.13"/>
    <n v="2514434.9900000002"/>
    <n v="835702.64"/>
    <n v="50083"/>
  </r>
  <r>
    <x v="16"/>
    <x v="3"/>
    <s v="SA"/>
    <s v="No agreement"/>
    <s v="100% MBS Fee to 125% MBS Fee"/>
    <n v="254511.06"/>
    <n v="167252.1"/>
    <n v="57847.38"/>
    <n v="2021"/>
  </r>
  <r>
    <x v="16"/>
    <x v="3"/>
    <s v="SA"/>
    <s v="No agreement"/>
    <s v="More than 125% MBS Fee to 150% MBS Fee"/>
    <n v="709409.77"/>
    <n v="378044.83"/>
    <n v="134302.46"/>
    <n v="3405"/>
  </r>
  <r>
    <x v="16"/>
    <x v="3"/>
    <s v="SA"/>
    <s v="No agreement"/>
    <s v="More than 150% MBS Fee to 200% MBS Fee"/>
    <n v="590551.76"/>
    <n v="258927.04"/>
    <n v="91499.44"/>
    <n v="2605"/>
  </r>
  <r>
    <x v="16"/>
    <x v="3"/>
    <s v="SA"/>
    <s v="No agreement"/>
    <s v="More than 200% MBS Fee"/>
    <n v="2082026.24"/>
    <n v="561159.84"/>
    <n v="186319.56"/>
    <n v="6665"/>
  </r>
  <r>
    <x v="16"/>
    <x v="3"/>
    <s v="SA"/>
    <s v="Known gap agreement"/>
    <s v="100% MBS Fee to 125% MBS Fee"/>
    <n v="591505.29"/>
    <n v="401951.62"/>
    <n v="157428.25"/>
    <n v="2760"/>
  </r>
  <r>
    <x v="16"/>
    <x v="3"/>
    <s v="SA"/>
    <s v="Known gap agreement"/>
    <s v="More than 125% MBS Fee to 150% MBS Fee"/>
    <n v="808873.22"/>
    <n v="436456.41"/>
    <n v="273600.34000000003"/>
    <n v="2945"/>
  </r>
  <r>
    <x v="16"/>
    <x v="3"/>
    <s v="SA"/>
    <s v="Known gap agreement"/>
    <s v="More than 150% MBS Fee to 200% MBS Fee"/>
    <n v="1994481.5"/>
    <n v="861205.92"/>
    <n v="814256.65"/>
    <n v="3454"/>
  </r>
  <r>
    <x v="16"/>
    <x v="3"/>
    <s v="SA"/>
    <s v="Known gap agreement"/>
    <s v="More than 200% MBS Fee"/>
    <n v="1291243.47"/>
    <n v="353515.39"/>
    <n v="366889.23"/>
    <n v="3108"/>
  </r>
  <r>
    <x v="16"/>
    <x v="3"/>
    <s v="SA"/>
    <s v="No gap agreement"/>
    <s v="Up to MBS Fee"/>
    <n v="3135349.05"/>
    <n v="2354516.2599999998"/>
    <n v="781003.59"/>
    <n v="24980"/>
  </r>
  <r>
    <x v="16"/>
    <x v="3"/>
    <s v="SA"/>
    <s v="No gap agreement"/>
    <s v="100% MBS Fee to 125% MBS Fee"/>
    <n v="8778636.3699999992"/>
    <n v="5643905.7800000003"/>
    <n v="3134673.21"/>
    <n v="110278"/>
  </r>
  <r>
    <x v="16"/>
    <x v="3"/>
    <s v="SA"/>
    <s v="No gap agreement"/>
    <s v="More than 125% MBS Fee to 150% MBS Fee"/>
    <n v="17756233.649999999"/>
    <n v="9730725.7899999991"/>
    <n v="8025464.0499999998"/>
    <n v="142183"/>
  </r>
  <r>
    <x v="16"/>
    <x v="3"/>
    <s v="SA"/>
    <s v="No gap agreement"/>
    <s v="More than 150% MBS Fee to 200% MBS Fee"/>
    <n v="31772254.760000002"/>
    <n v="14355313.949999999"/>
    <n v="17416889.260000002"/>
    <n v="133814"/>
  </r>
  <r>
    <x v="16"/>
    <x v="3"/>
    <s v="SA"/>
    <s v="No gap agreement"/>
    <s v="More than 200% MBS Fee"/>
    <n v="2090678.98"/>
    <n v="586571.27"/>
    <n v="1504107.71"/>
    <n v="2820"/>
  </r>
  <r>
    <x v="16"/>
    <x v="3"/>
    <s v="WA"/>
    <s v="No agreement"/>
    <s v="Up to MBS Fee"/>
    <n v="1821410.61"/>
    <n v="1368505.23"/>
    <n v="451288.53"/>
    <n v="34306"/>
  </r>
  <r>
    <x v="16"/>
    <x v="3"/>
    <s v="WA"/>
    <s v="No agreement"/>
    <s v="100% MBS Fee to 125% MBS Fee"/>
    <n v="417601.46"/>
    <n v="274286.49"/>
    <n v="91243.59"/>
    <n v="2650"/>
  </r>
  <r>
    <x v="16"/>
    <x v="3"/>
    <s v="WA"/>
    <s v="No agreement"/>
    <s v="More than 125% MBS Fee to 150% MBS Fee"/>
    <n v="1387350.76"/>
    <n v="748771.15"/>
    <n v="250894.53"/>
    <n v="9512"/>
  </r>
  <r>
    <x v="16"/>
    <x v="3"/>
    <s v="WA"/>
    <s v="No agreement"/>
    <s v="More than 150% MBS Fee to 200% MBS Fee"/>
    <n v="2498240.75"/>
    <n v="1061713.75"/>
    <n v="353457.44"/>
    <n v="9934"/>
  </r>
  <r>
    <x v="16"/>
    <x v="3"/>
    <s v="WA"/>
    <s v="No agreement"/>
    <s v="More than 200% MBS Fee"/>
    <n v="6509800.0599999996"/>
    <n v="1684655.82"/>
    <n v="563214.47"/>
    <n v="17211"/>
  </r>
  <r>
    <x v="16"/>
    <x v="3"/>
    <s v="WA"/>
    <s v="Known gap agreement"/>
    <s v="100% MBS Fee to 125% MBS Fee"/>
    <n v="1742298.19"/>
    <n v="1197518.77"/>
    <n v="515180.43"/>
    <n v="10977"/>
  </r>
  <r>
    <x v="16"/>
    <x v="3"/>
    <s v="WA"/>
    <s v="Known gap agreement"/>
    <s v="More than 125% MBS Fee to 150% MBS Fee"/>
    <n v="3713321.37"/>
    <n v="1987492.6"/>
    <n v="1430006.48"/>
    <n v="26820"/>
  </r>
  <r>
    <x v="16"/>
    <x v="3"/>
    <s v="WA"/>
    <s v="Known gap agreement"/>
    <s v="More than 150% MBS Fee to 200% MBS Fee"/>
    <n v="6510853.3899999997"/>
    <n v="2828648.15"/>
    <n v="2128187.7799999998"/>
    <n v="17881"/>
  </r>
  <r>
    <x v="16"/>
    <x v="3"/>
    <s v="WA"/>
    <s v="Known gap agreement"/>
    <s v="More than 200% MBS Fee"/>
    <n v="9361133.0399999991"/>
    <n v="2594385.11"/>
    <n v="1775495.96"/>
    <n v="18244"/>
  </r>
  <r>
    <x v="16"/>
    <x v="3"/>
    <s v="WA"/>
    <s v="No gap agreement"/>
    <s v="Up to MBS Fee"/>
    <n v="1015625.45"/>
    <n v="767483.61"/>
    <n v="248234.69"/>
    <n v="10330"/>
  </r>
  <r>
    <x v="16"/>
    <x v="3"/>
    <s v="WA"/>
    <s v="No gap agreement"/>
    <s v="100% MBS Fee to 125% MBS Fee"/>
    <n v="8356223.5700000003"/>
    <n v="5263684.6900000004"/>
    <n v="3092525"/>
    <n v="83799"/>
  </r>
  <r>
    <x v="16"/>
    <x v="3"/>
    <s v="WA"/>
    <s v="No gap agreement"/>
    <s v="More than 125% MBS Fee to 150% MBS Fee"/>
    <n v="25233503.359999999"/>
    <n v="13916618.550000001"/>
    <n v="11316881.48"/>
    <n v="184902"/>
  </r>
  <r>
    <x v="16"/>
    <x v="3"/>
    <s v="WA"/>
    <s v="No gap agreement"/>
    <s v="More than 150% MBS Fee to 200% MBS Fee"/>
    <n v="29905572.609999999"/>
    <n v="13158792.609999999"/>
    <n v="16746771.800000001"/>
    <n v="146760"/>
  </r>
  <r>
    <x v="16"/>
    <x v="3"/>
    <s v="WA"/>
    <s v="No gap agreement"/>
    <s v="More than 200% MBS Fee"/>
    <n v="3199271.23"/>
    <n v="839517.46"/>
    <n v="2359753.77"/>
    <n v="2261"/>
  </r>
  <r>
    <x v="16"/>
    <x v="3"/>
    <s v="TAS"/>
    <s v="No agreement"/>
    <s v="Up to MBS Fee"/>
    <n v="907493.79"/>
    <n v="681962.77"/>
    <n v="225530.68"/>
    <n v="14357"/>
  </r>
  <r>
    <x v="16"/>
    <x v="3"/>
    <s v="TAS"/>
    <s v="No agreement"/>
    <s v="100% MBS Fee to 125% MBS Fee"/>
    <n v="97025.31"/>
    <n v="65591.759999999995"/>
    <n v="21602.1"/>
    <n v="641"/>
  </r>
  <r>
    <x v="16"/>
    <x v="3"/>
    <s v="TAS"/>
    <s v="No agreement"/>
    <s v="More than 125% MBS Fee to 150% MBS Fee"/>
    <n v="154610.21"/>
    <n v="84017.63"/>
    <n v="27848.400000000001"/>
    <n v="663"/>
  </r>
  <r>
    <x v="16"/>
    <x v="3"/>
    <s v="TAS"/>
    <s v="No agreement"/>
    <s v="More than 150% MBS Fee to 200% MBS Fee"/>
    <n v="580432.09"/>
    <n v="250147.20000000001"/>
    <n v="83426.149999999994"/>
    <n v="1580"/>
  </r>
  <r>
    <x v="16"/>
    <x v="3"/>
    <s v="TAS"/>
    <s v="No agreement"/>
    <s v="More than 200% MBS Fee"/>
    <n v="1883176.27"/>
    <n v="475514.72"/>
    <n v="159922.12"/>
    <n v="3481"/>
  </r>
  <r>
    <x v="16"/>
    <x v="3"/>
    <s v="TAS"/>
    <s v="Known gap agreement"/>
    <s v="100% MBS Fee to 125% MBS Fee"/>
    <n v="126164.3"/>
    <n v="82268.12"/>
    <n v="35342.230000000003"/>
    <n v="623"/>
  </r>
  <r>
    <x v="16"/>
    <x v="3"/>
    <s v="TAS"/>
    <s v="Known gap agreement"/>
    <s v="More than 125% MBS Fee to 150% MBS Fee"/>
    <n v="254347.99"/>
    <n v="138509.14000000001"/>
    <n v="95421.67"/>
    <n v="1006"/>
  </r>
  <r>
    <x v="16"/>
    <x v="3"/>
    <s v="TAS"/>
    <s v="Known gap agreement"/>
    <s v="More than 150% MBS Fee to 200% MBS Fee"/>
    <n v="721592.4"/>
    <n v="312279.93"/>
    <n v="292185"/>
    <n v="1842"/>
  </r>
  <r>
    <x v="16"/>
    <x v="3"/>
    <s v="TAS"/>
    <s v="Known gap agreement"/>
    <s v="More than 200% MBS Fee"/>
    <n v="990870.5"/>
    <n v="297941.83"/>
    <n v="336740.24"/>
    <n v="3581"/>
  </r>
  <r>
    <x v="16"/>
    <x v="3"/>
    <s v="TAS"/>
    <s v="No gap agreement"/>
    <s v="Up to MBS Fee"/>
    <n v="712040.06"/>
    <n v="535249.17000000004"/>
    <n v="176794.29"/>
    <n v="8669"/>
  </r>
  <r>
    <x v="16"/>
    <x v="3"/>
    <s v="TAS"/>
    <s v="No gap agreement"/>
    <s v="100% MBS Fee to 125% MBS Fee"/>
    <n v="2476202.54"/>
    <n v="1576764.58"/>
    <n v="899412.36"/>
    <n v="20138"/>
  </r>
  <r>
    <x v="16"/>
    <x v="3"/>
    <s v="TAS"/>
    <s v="No gap agreement"/>
    <s v="More than 125% MBS Fee to 150% MBS Fee"/>
    <n v="5968337.3799999999"/>
    <n v="3296116.83"/>
    <n v="2672218.9700000002"/>
    <n v="42276"/>
  </r>
  <r>
    <x v="16"/>
    <x v="3"/>
    <s v="TAS"/>
    <s v="No gap agreement"/>
    <s v="More than 150% MBS Fee to 200% MBS Fee"/>
    <n v="4867183.57"/>
    <n v="2234722.36"/>
    <n v="2632458.9900000002"/>
    <n v="29787"/>
  </r>
  <r>
    <x v="16"/>
    <x v="3"/>
    <s v="TAS"/>
    <s v="No gap agreement"/>
    <s v="More than 200% MBS Fee"/>
    <n v="542016.82999999996"/>
    <n v="154824.42000000001"/>
    <n v="387192.41"/>
    <n v="474"/>
  </r>
  <r>
    <x v="16"/>
    <x v="3"/>
    <s v="ACT"/>
    <s v="No agreement"/>
    <s v="Up to MBS Fee"/>
    <n v="811685.94"/>
    <n v="611173.01"/>
    <n v="200012.93"/>
    <n v="8269"/>
  </r>
  <r>
    <x v="16"/>
    <x v="3"/>
    <s v="ACT"/>
    <s v="No agreement"/>
    <s v="100% MBS Fee to 125% MBS Fee"/>
    <n v="207186.16"/>
    <n v="136655.03"/>
    <n v="45432.55"/>
    <n v="829"/>
  </r>
  <r>
    <x v="16"/>
    <x v="3"/>
    <s v="ACT"/>
    <s v="No agreement"/>
    <s v="More than 125% MBS Fee to 150% MBS Fee"/>
    <n v="134492.14000000001"/>
    <n v="72749.320000000007"/>
    <n v="24466.16"/>
    <n v="504"/>
  </r>
  <r>
    <x v="16"/>
    <x v="3"/>
    <s v="ACT"/>
    <s v="No agreement"/>
    <s v="More than 150% MBS Fee to 200% MBS Fee"/>
    <n v="692061.53"/>
    <n v="288326.40000000002"/>
    <n v="95754.27"/>
    <n v="2374"/>
  </r>
  <r>
    <x v="16"/>
    <x v="3"/>
    <s v="ACT"/>
    <s v="No agreement"/>
    <s v="More than 200% MBS Fee"/>
    <n v="5947327.75"/>
    <n v="1534812.87"/>
    <n v="511312.86"/>
    <n v="9960"/>
  </r>
  <r>
    <x v="16"/>
    <x v="3"/>
    <s v="ACT"/>
    <s v="Known gap agreement"/>
    <s v="100% MBS Fee to 125% MBS Fee"/>
    <n v="67556.570000000007"/>
    <n v="41854.82"/>
    <n v="23138.21"/>
    <n v="260"/>
  </r>
  <r>
    <x v="16"/>
    <x v="3"/>
    <s v="ACT"/>
    <s v="Known gap agreement"/>
    <s v="More than 125% MBS Fee to 150% MBS Fee"/>
    <n v="53705.2"/>
    <n v="28856.42"/>
    <n v="20380.88"/>
    <n v="199"/>
  </r>
  <r>
    <x v="16"/>
    <x v="3"/>
    <s v="ACT"/>
    <s v="Known gap agreement"/>
    <s v="More than 150% MBS Fee to 200% MBS Fee"/>
    <n v="178662.71"/>
    <n v="75672.600000000006"/>
    <n v="68321.06"/>
    <n v="476"/>
  </r>
  <r>
    <x v="16"/>
    <x v="3"/>
    <s v="ACT"/>
    <s v="Known gap agreement"/>
    <s v="More than 200% MBS Fee"/>
    <n v="403502.45"/>
    <n v="105750.48"/>
    <n v="111076.36"/>
    <n v="1020"/>
  </r>
  <r>
    <x v="16"/>
    <x v="3"/>
    <s v="ACT"/>
    <s v="No gap agreement"/>
    <s v="Up to MBS Fee"/>
    <n v="351691.2"/>
    <n v="263489.43"/>
    <n v="88201.82"/>
    <n v="12553"/>
  </r>
  <r>
    <x v="16"/>
    <x v="3"/>
    <s v="ACT"/>
    <s v="No gap agreement"/>
    <s v="100% MBS Fee to 125% MBS Fee"/>
    <n v="738191.62"/>
    <n v="478604.76"/>
    <n v="259563.12"/>
    <n v="9478"/>
  </r>
  <r>
    <x v="16"/>
    <x v="3"/>
    <s v="ACT"/>
    <s v="No gap agreement"/>
    <s v="More than 125% MBS Fee to 150% MBS Fee"/>
    <n v="2192896.71"/>
    <n v="1210585.1100000001"/>
    <n v="982310.22"/>
    <n v="12603"/>
  </r>
  <r>
    <x v="16"/>
    <x v="3"/>
    <s v="ACT"/>
    <s v="No gap agreement"/>
    <s v="More than 150% MBS Fee to 200% MBS Fee"/>
    <n v="1599035.62"/>
    <n v="731554.82"/>
    <n v="867461.37"/>
    <n v="10961"/>
  </r>
  <r>
    <x v="16"/>
    <x v="3"/>
    <s v="ACT"/>
    <s v="No gap agreement"/>
    <s v="More than 200% MBS Fee"/>
    <n v="410367.84"/>
    <n v="128977.54"/>
    <n v="281390.3"/>
    <n v="823"/>
  </r>
  <r>
    <x v="16"/>
    <x v="3"/>
    <s v="NT"/>
    <s v="No agreement"/>
    <s v="Up to MBS Fee"/>
    <n v="351619.95"/>
    <n v="264057.51"/>
    <n v="87562.89"/>
    <n v="1673"/>
  </r>
  <r>
    <x v="16"/>
    <x v="3"/>
    <s v="NT"/>
    <s v="No agreement"/>
    <s v="100% MBS Fee to 125% MBS Fee"/>
    <n v="37356.79"/>
    <n v="24754.959999999999"/>
    <n v="8249.17"/>
    <n v="164"/>
  </r>
  <r>
    <x v="16"/>
    <x v="3"/>
    <s v="NT"/>
    <s v="No agreement"/>
    <s v="More than 125% MBS Fee to 150% MBS Fee"/>
    <n v="98577.08"/>
    <n v="53355.06"/>
    <n v="18082.96"/>
    <n v="317"/>
  </r>
  <r>
    <x v="16"/>
    <x v="3"/>
    <s v="NT"/>
    <s v="No agreement"/>
    <s v="More than 150% MBS Fee to 200% MBS Fee"/>
    <n v="143507.96"/>
    <n v="60964.14"/>
    <n v="20226.82"/>
    <n v="626"/>
  </r>
  <r>
    <x v="16"/>
    <x v="3"/>
    <s v="NT"/>
    <s v="No agreement"/>
    <s v="More than 200% MBS Fee"/>
    <n v="1010898.37"/>
    <n v="281998.99"/>
    <n v="93899.23"/>
    <n v="1921"/>
  </r>
  <r>
    <x v="16"/>
    <x v="3"/>
    <s v="NT"/>
    <s v="Known gap agreement"/>
    <s v="100% MBS Fee to 125% MBS Fee"/>
    <n v="15980.67"/>
    <n v="10909.13"/>
    <n v="3704.04"/>
    <n v="88"/>
  </r>
  <r>
    <x v="16"/>
    <x v="3"/>
    <s v="NT"/>
    <s v="Known gap agreement"/>
    <s v="More than 125% MBS Fee to 150% MBS Fee"/>
    <n v="55880.99"/>
    <n v="30018.02"/>
    <n v="18937.57"/>
    <n v="230"/>
  </r>
  <r>
    <x v="16"/>
    <x v="3"/>
    <s v="NT"/>
    <s v="Known gap agreement"/>
    <s v="More than 150% MBS Fee to 200% MBS Fee"/>
    <n v="98208.99"/>
    <n v="43610.82"/>
    <n v="38590.949999999997"/>
    <n v="279"/>
  </r>
  <r>
    <x v="16"/>
    <x v="3"/>
    <s v="NT"/>
    <s v="Known gap agreement"/>
    <s v="More than 200% MBS Fee"/>
    <n v="233278.17"/>
    <n v="57914.81"/>
    <n v="60802.57"/>
    <n v="634"/>
  </r>
  <r>
    <x v="16"/>
    <x v="3"/>
    <s v="NT"/>
    <s v="No gap agreement"/>
    <s v="Up to MBS Fee"/>
    <n v="132671.85999999999"/>
    <n v="99662.47"/>
    <n v="33009.39"/>
    <n v="1344"/>
  </r>
  <r>
    <x v="16"/>
    <x v="3"/>
    <s v="NT"/>
    <s v="No gap agreement"/>
    <s v="100% MBS Fee to 125% MBS Fee"/>
    <n v="325083.01"/>
    <n v="206690.38"/>
    <n v="118386.41"/>
    <n v="4717"/>
  </r>
  <r>
    <x v="16"/>
    <x v="3"/>
    <s v="NT"/>
    <s v="No gap agreement"/>
    <s v="More than 125% MBS Fee to 150% MBS Fee"/>
    <n v="888064.04"/>
    <n v="483688.56"/>
    <n v="404368.13"/>
    <n v="4592"/>
  </r>
  <r>
    <x v="16"/>
    <x v="3"/>
    <s v="NT"/>
    <s v="No gap agreement"/>
    <s v="More than 150% MBS Fee to 200% MBS Fee"/>
    <n v="1014762.88"/>
    <n v="466316.21"/>
    <n v="548440.06999999995"/>
    <n v="5084"/>
  </r>
  <r>
    <x v="16"/>
    <x v="3"/>
    <s v="NT"/>
    <s v="No gap agreement"/>
    <s v="More than 200% MBS Fee"/>
    <n v="58463.08"/>
    <n v="17957.48"/>
    <n v="40505.599999999999"/>
    <n v="74"/>
  </r>
  <r>
    <x v="16"/>
    <x v="1"/>
    <s v="NSW"/>
    <s v="No agreement"/>
    <s v="Up to MBS Fee"/>
    <n v="34612434.82"/>
    <n v="25996202.870000001"/>
    <n v="8606544.9199999999"/>
    <n v="555506"/>
  </r>
  <r>
    <x v="16"/>
    <x v="1"/>
    <s v="NSW"/>
    <s v="No agreement"/>
    <s v="100% MBS Fee to 125% MBS Fee"/>
    <n v="2324090.4"/>
    <n v="1560537.94"/>
    <n v="516276.44"/>
    <n v="11221"/>
  </r>
  <r>
    <x v="16"/>
    <x v="1"/>
    <s v="NSW"/>
    <s v="No agreement"/>
    <s v="More than 125% MBS Fee to 150% MBS Fee"/>
    <n v="3046030.19"/>
    <n v="1633757.96"/>
    <n v="558531.11"/>
    <n v="12702"/>
  </r>
  <r>
    <x v="16"/>
    <x v="1"/>
    <s v="NSW"/>
    <s v="No agreement"/>
    <s v="More than 150% MBS Fee to 200% MBS Fee"/>
    <n v="14386440.51"/>
    <n v="6095867.6799999997"/>
    <n v="2040358.72"/>
    <n v="73821"/>
  </r>
  <r>
    <x v="16"/>
    <x v="1"/>
    <s v="NSW"/>
    <s v="No agreement"/>
    <s v="More than 200% MBS Fee"/>
    <n v="92469322.379999995"/>
    <n v="23775112.530000001"/>
    <n v="7945699.9100000001"/>
    <n v="157921"/>
  </r>
  <r>
    <x v="16"/>
    <x v="1"/>
    <s v="NSW"/>
    <s v="Known gap agreement"/>
    <s v="100% MBS Fee to 125% MBS Fee"/>
    <n v="1182527.27"/>
    <n v="780549.47"/>
    <n v="322394.17"/>
    <n v="7012"/>
  </r>
  <r>
    <x v="16"/>
    <x v="1"/>
    <s v="NSW"/>
    <s v="Known gap agreement"/>
    <s v="More than 125% MBS Fee to 150% MBS Fee"/>
    <n v="2898767.58"/>
    <n v="1555359.71"/>
    <n v="1038104.12"/>
    <n v="9481"/>
  </r>
  <r>
    <x v="16"/>
    <x v="1"/>
    <s v="NSW"/>
    <s v="Known gap agreement"/>
    <s v="More than 150% MBS Fee to 200% MBS Fee"/>
    <n v="5042161.7699999996"/>
    <n v="2169116.27"/>
    <n v="1982084.73"/>
    <n v="14222"/>
  </r>
  <r>
    <x v="16"/>
    <x v="1"/>
    <s v="NSW"/>
    <s v="Known gap agreement"/>
    <s v="More than 200% MBS Fee"/>
    <n v="7169452.6200000001"/>
    <n v="1940510.97"/>
    <n v="1809016.66"/>
    <n v="17068"/>
  </r>
  <r>
    <x v="16"/>
    <x v="1"/>
    <s v="NSW"/>
    <s v="No gap agreement"/>
    <s v="Up to MBS Fee"/>
    <n v="11649508.01"/>
    <n v="8752135.9800000004"/>
    <n v="2897593.62"/>
    <n v="322221"/>
  </r>
  <r>
    <x v="16"/>
    <x v="1"/>
    <s v="NSW"/>
    <s v="No gap agreement"/>
    <s v="100% MBS Fee to 125% MBS Fee"/>
    <n v="35679104.270000003"/>
    <n v="22907804.379999999"/>
    <n v="12771034.67"/>
    <n v="365007"/>
  </r>
  <r>
    <x v="16"/>
    <x v="1"/>
    <s v="NSW"/>
    <s v="No gap agreement"/>
    <s v="More than 125% MBS Fee to 150% MBS Fee"/>
    <n v="80427674.430000007"/>
    <n v="44328587.939999998"/>
    <n v="36098849.229999997"/>
    <n v="456443"/>
  </r>
  <r>
    <x v="16"/>
    <x v="1"/>
    <s v="NSW"/>
    <s v="No gap agreement"/>
    <s v="More than 150% MBS Fee to 200% MBS Fee"/>
    <n v="71754060.560000002"/>
    <n v="32789559.850000001"/>
    <n v="38964369.229999997"/>
    <n v="433917"/>
  </r>
  <r>
    <x v="16"/>
    <x v="1"/>
    <s v="NSW"/>
    <s v="No gap agreement"/>
    <s v="More than 200% MBS Fee"/>
    <n v="10467885.189999999"/>
    <n v="3251709.27"/>
    <n v="7216175.2300000004"/>
    <n v="40928"/>
  </r>
  <r>
    <x v="16"/>
    <x v="1"/>
    <s v="VIC"/>
    <s v="No agreement"/>
    <s v="Up to MBS Fee"/>
    <n v="12633005.85"/>
    <n v="9491540.5"/>
    <n v="3140918.58"/>
    <n v="117116"/>
  </r>
  <r>
    <x v="16"/>
    <x v="1"/>
    <s v="VIC"/>
    <s v="No agreement"/>
    <s v="100% MBS Fee to 125% MBS Fee"/>
    <n v="1674795.97"/>
    <n v="1109773.18"/>
    <n v="368794.56"/>
    <n v="9832"/>
  </r>
  <r>
    <x v="16"/>
    <x v="1"/>
    <s v="VIC"/>
    <s v="No agreement"/>
    <s v="More than 125% MBS Fee to 150% MBS Fee"/>
    <n v="1827138.18"/>
    <n v="994313.97"/>
    <n v="330452.49"/>
    <n v="15002"/>
  </r>
  <r>
    <x v="16"/>
    <x v="1"/>
    <s v="VIC"/>
    <s v="No agreement"/>
    <s v="More than 150% MBS Fee to 200% MBS Fee"/>
    <n v="4713740.93"/>
    <n v="2013036.97"/>
    <n v="674009.15"/>
    <n v="20893"/>
  </r>
  <r>
    <x v="16"/>
    <x v="1"/>
    <s v="VIC"/>
    <s v="No agreement"/>
    <s v="More than 200% MBS Fee"/>
    <n v="22520279.780000001"/>
    <n v="5939055.4800000004"/>
    <n v="1985053.61"/>
    <n v="47707"/>
  </r>
  <r>
    <x v="16"/>
    <x v="1"/>
    <s v="VIC"/>
    <s v="Known gap agreement"/>
    <s v="100% MBS Fee to 125% MBS Fee"/>
    <n v="2204001.89"/>
    <n v="1445936.96"/>
    <n v="621838.94999999995"/>
    <n v="11459"/>
  </r>
  <r>
    <x v="16"/>
    <x v="1"/>
    <s v="VIC"/>
    <s v="Known gap agreement"/>
    <s v="More than 125% MBS Fee to 150% MBS Fee"/>
    <n v="5090554.6399999997"/>
    <n v="2780419.4"/>
    <n v="1887030.92"/>
    <n v="19154"/>
  </r>
  <r>
    <x v="16"/>
    <x v="1"/>
    <s v="VIC"/>
    <s v="Known gap agreement"/>
    <s v="More than 150% MBS Fee to 200% MBS Fee"/>
    <n v="6795249.7400000002"/>
    <n v="2970172.43"/>
    <n v="2579462.4"/>
    <n v="17757"/>
  </r>
  <r>
    <x v="16"/>
    <x v="1"/>
    <s v="VIC"/>
    <s v="Known gap agreement"/>
    <s v="More than 200% MBS Fee"/>
    <n v="9277152.4299999997"/>
    <n v="2608513.77"/>
    <n v="2508677.7200000002"/>
    <n v="23707"/>
  </r>
  <r>
    <x v="16"/>
    <x v="1"/>
    <s v="VIC"/>
    <s v="No gap agreement"/>
    <s v="Up to MBS Fee"/>
    <n v="11268475.32"/>
    <n v="8483129.3900000006"/>
    <n v="2785353.71"/>
    <n v="233927"/>
  </r>
  <r>
    <x v="16"/>
    <x v="1"/>
    <s v="VIC"/>
    <s v="No gap agreement"/>
    <s v="100% MBS Fee to 125% MBS Fee"/>
    <n v="38569587.850000001"/>
    <n v="24663739.379999999"/>
    <n v="13905732.369999999"/>
    <n v="385193"/>
  </r>
  <r>
    <x v="16"/>
    <x v="1"/>
    <s v="VIC"/>
    <s v="No gap agreement"/>
    <s v="More than 125% MBS Fee to 150% MBS Fee"/>
    <n v="88849651.420000002"/>
    <n v="49220060.689999998"/>
    <n v="39629546.240000002"/>
    <n v="656633"/>
  </r>
  <r>
    <x v="16"/>
    <x v="1"/>
    <s v="VIC"/>
    <s v="No gap agreement"/>
    <s v="More than 150% MBS Fee to 200% MBS Fee"/>
    <n v="81557467.280000001"/>
    <n v="37052446.030000001"/>
    <n v="44504965.329999998"/>
    <n v="440313"/>
  </r>
  <r>
    <x v="16"/>
    <x v="1"/>
    <s v="VIC"/>
    <s v="No gap agreement"/>
    <s v="More than 200% MBS Fee"/>
    <n v="5251798.8899999997"/>
    <n v="1514384.57"/>
    <n v="3737413.67"/>
    <n v="11146"/>
  </r>
  <r>
    <x v="16"/>
    <x v="1"/>
    <s v="QLD"/>
    <s v="No agreement"/>
    <s v="Up to MBS Fee"/>
    <n v="9706044.2699999996"/>
    <n v="7289845.5700000003"/>
    <n v="2415717.9900000002"/>
    <n v="72322"/>
  </r>
  <r>
    <x v="16"/>
    <x v="1"/>
    <s v="QLD"/>
    <s v="No agreement"/>
    <s v="100% MBS Fee to 125% MBS Fee"/>
    <n v="1615495.02"/>
    <n v="1077593.23"/>
    <n v="359451.33"/>
    <n v="9462"/>
  </r>
  <r>
    <x v="16"/>
    <x v="1"/>
    <s v="QLD"/>
    <s v="No agreement"/>
    <s v="More than 125% MBS Fee to 150% MBS Fee"/>
    <n v="2883425.61"/>
    <n v="1571159.12"/>
    <n v="552783.06999999995"/>
    <n v="12686"/>
  </r>
  <r>
    <x v="16"/>
    <x v="1"/>
    <s v="QLD"/>
    <s v="No agreement"/>
    <s v="More than 150% MBS Fee to 200% MBS Fee"/>
    <n v="8910969.7200000007"/>
    <n v="3760607.87"/>
    <n v="1257205.2"/>
    <n v="27735"/>
  </r>
  <r>
    <x v="16"/>
    <x v="1"/>
    <s v="QLD"/>
    <s v="No agreement"/>
    <s v="More than 200% MBS Fee"/>
    <n v="45022950.5"/>
    <n v="12146625.279999999"/>
    <n v="4052721.85"/>
    <n v="85201"/>
  </r>
  <r>
    <x v="16"/>
    <x v="1"/>
    <s v="QLD"/>
    <s v="Known gap agreement"/>
    <s v="100% MBS Fee to 125% MBS Fee"/>
    <n v="793718.51"/>
    <n v="516484.22"/>
    <n v="221862.32"/>
    <n v="1662"/>
  </r>
  <r>
    <x v="16"/>
    <x v="1"/>
    <s v="QLD"/>
    <s v="Known gap agreement"/>
    <s v="More than 125% MBS Fee to 150% MBS Fee"/>
    <n v="2765537.9"/>
    <n v="1491963.6"/>
    <n v="1035989.63"/>
    <n v="8893"/>
  </r>
  <r>
    <x v="16"/>
    <x v="1"/>
    <s v="QLD"/>
    <s v="Known gap agreement"/>
    <s v="More than 150% MBS Fee to 200% MBS Fee"/>
    <n v="4736458.3499999996"/>
    <n v="2038829.98"/>
    <n v="1811081.05"/>
    <n v="10206"/>
  </r>
  <r>
    <x v="16"/>
    <x v="1"/>
    <s v="QLD"/>
    <s v="Known gap agreement"/>
    <s v="More than 200% MBS Fee"/>
    <n v="9288642.1300000008"/>
    <n v="2647393.73"/>
    <n v="2564296.83"/>
    <n v="21161"/>
  </r>
  <r>
    <x v="16"/>
    <x v="1"/>
    <s v="QLD"/>
    <s v="No gap agreement"/>
    <s v="Up to MBS Fee"/>
    <n v="5671741.1699999999"/>
    <n v="4263751.22"/>
    <n v="1407988.35"/>
    <n v="80690"/>
  </r>
  <r>
    <x v="16"/>
    <x v="1"/>
    <s v="QLD"/>
    <s v="No gap agreement"/>
    <s v="100% MBS Fee to 125% MBS Fee"/>
    <n v="30535848.120000001"/>
    <n v="19615864.760000002"/>
    <n v="10919932.57"/>
    <n v="326288"/>
  </r>
  <r>
    <x v="16"/>
    <x v="1"/>
    <s v="QLD"/>
    <s v="No gap agreement"/>
    <s v="More than 125% MBS Fee to 150% MBS Fee"/>
    <n v="66208066.149999999"/>
    <n v="36903137.890000001"/>
    <n v="29304824.710000001"/>
    <n v="613992"/>
  </r>
  <r>
    <x v="16"/>
    <x v="1"/>
    <s v="QLD"/>
    <s v="No gap agreement"/>
    <s v="More than 150% MBS Fee to 200% MBS Fee"/>
    <n v="47425245.939999998"/>
    <n v="21949377.440000001"/>
    <n v="25475757.100000001"/>
    <n v="292324"/>
  </r>
  <r>
    <x v="16"/>
    <x v="1"/>
    <s v="QLD"/>
    <s v="No gap agreement"/>
    <s v="More than 200% MBS Fee"/>
    <n v="6400374.9000000004"/>
    <n v="1873590"/>
    <n v="4526786.3"/>
    <n v="11260"/>
  </r>
  <r>
    <x v="16"/>
    <x v="1"/>
    <s v="SA"/>
    <s v="No agreement"/>
    <s v="Up to MBS Fee"/>
    <n v="3531069.28"/>
    <n v="2651629.84"/>
    <n v="879334.42"/>
    <n v="55563"/>
  </r>
  <r>
    <x v="16"/>
    <x v="1"/>
    <s v="SA"/>
    <s v="No agreement"/>
    <s v="100% MBS Fee to 125% MBS Fee"/>
    <n v="293630.03999999998"/>
    <n v="193385.17"/>
    <n v="70507.78"/>
    <n v="2403"/>
  </r>
  <r>
    <x v="16"/>
    <x v="1"/>
    <s v="SA"/>
    <s v="No agreement"/>
    <s v="More than 125% MBS Fee to 150% MBS Fee"/>
    <n v="656607.64"/>
    <n v="349504.76"/>
    <n v="126412.87"/>
    <n v="3201"/>
  </r>
  <r>
    <x v="16"/>
    <x v="1"/>
    <s v="SA"/>
    <s v="No agreement"/>
    <s v="More than 150% MBS Fee to 200% MBS Fee"/>
    <n v="565212.96"/>
    <n v="244544.4"/>
    <n v="102293.53"/>
    <n v="2490"/>
  </r>
  <r>
    <x v="16"/>
    <x v="1"/>
    <s v="SA"/>
    <s v="No agreement"/>
    <s v="More than 200% MBS Fee"/>
    <n v="2587968.39"/>
    <n v="683568.77"/>
    <n v="230458.41"/>
    <n v="7848"/>
  </r>
  <r>
    <x v="16"/>
    <x v="1"/>
    <s v="SA"/>
    <s v="Known gap agreement"/>
    <s v="100% MBS Fee to 125% MBS Fee"/>
    <n v="486689.43"/>
    <n v="333430.34999999998"/>
    <n v="124612.47"/>
    <n v="2121"/>
  </r>
  <r>
    <x v="16"/>
    <x v="1"/>
    <s v="SA"/>
    <s v="Known gap agreement"/>
    <s v="More than 125% MBS Fee to 150% MBS Fee"/>
    <n v="941751.82"/>
    <n v="510155.25"/>
    <n v="326225"/>
    <n v="3151"/>
  </r>
  <r>
    <x v="16"/>
    <x v="1"/>
    <s v="SA"/>
    <s v="Known gap agreement"/>
    <s v="More than 150% MBS Fee to 200% MBS Fee"/>
    <n v="2169265.7200000002"/>
    <n v="931271.29"/>
    <n v="882083.19"/>
    <n v="3288"/>
  </r>
  <r>
    <x v="16"/>
    <x v="1"/>
    <s v="SA"/>
    <s v="Known gap agreement"/>
    <s v="More than 200% MBS Fee"/>
    <n v="977384.61"/>
    <n v="260377.2"/>
    <n v="255431.03"/>
    <n v="2074"/>
  </r>
  <r>
    <x v="16"/>
    <x v="1"/>
    <s v="SA"/>
    <s v="No gap agreement"/>
    <s v="Up to MBS Fee"/>
    <n v="3365765.26"/>
    <n v="2530407.25"/>
    <n v="835463.54"/>
    <n v="25279"/>
  </r>
  <r>
    <x v="16"/>
    <x v="1"/>
    <s v="SA"/>
    <s v="No gap agreement"/>
    <s v="100% MBS Fee to 125% MBS Fee"/>
    <n v="9403524.1099999994"/>
    <n v="6025463.4100000001"/>
    <n v="3377911.94"/>
    <n v="116881"/>
  </r>
  <r>
    <x v="16"/>
    <x v="1"/>
    <s v="SA"/>
    <s v="No gap agreement"/>
    <s v="More than 125% MBS Fee to 150% MBS Fee"/>
    <n v="20429325.969999999"/>
    <n v="11196606.210000001"/>
    <n v="9232680.5600000005"/>
    <n v="159878"/>
  </r>
  <r>
    <x v="16"/>
    <x v="1"/>
    <s v="SA"/>
    <s v="No gap agreement"/>
    <s v="More than 150% MBS Fee to 200% MBS Fee"/>
    <n v="37622599.990000002"/>
    <n v="17024835.809999999"/>
    <n v="20597735.09"/>
    <n v="160024"/>
  </r>
  <r>
    <x v="16"/>
    <x v="1"/>
    <s v="SA"/>
    <s v="No gap agreement"/>
    <s v="More than 200% MBS Fee"/>
    <n v="2138049.98"/>
    <n v="611551.09"/>
    <n v="1526498.89"/>
    <n v="3367"/>
  </r>
  <r>
    <x v="16"/>
    <x v="1"/>
    <s v="WA"/>
    <s v="No agreement"/>
    <s v="Up to MBS Fee"/>
    <n v="2305554.38"/>
    <n v="1731954.04"/>
    <n v="571941.74"/>
    <n v="38706"/>
  </r>
  <r>
    <x v="16"/>
    <x v="1"/>
    <s v="WA"/>
    <s v="No agreement"/>
    <s v="100% MBS Fee to 125% MBS Fee"/>
    <n v="380918.76"/>
    <n v="250258.18"/>
    <n v="83870.990000000005"/>
    <n v="2649"/>
  </r>
  <r>
    <x v="16"/>
    <x v="1"/>
    <s v="WA"/>
    <s v="No agreement"/>
    <s v="More than 125% MBS Fee to 150% MBS Fee"/>
    <n v="1246065.78"/>
    <n v="677273.2"/>
    <n v="227939.69"/>
    <n v="7595"/>
  </r>
  <r>
    <x v="16"/>
    <x v="1"/>
    <s v="WA"/>
    <s v="No agreement"/>
    <s v="More than 150% MBS Fee to 200% MBS Fee"/>
    <n v="2853321.34"/>
    <n v="1226734.42"/>
    <n v="411606.01"/>
    <n v="9693"/>
  </r>
  <r>
    <x v="16"/>
    <x v="1"/>
    <s v="WA"/>
    <s v="No agreement"/>
    <s v="More than 200% MBS Fee"/>
    <n v="7935203.0099999998"/>
    <n v="1951739.33"/>
    <n v="652653.31000000006"/>
    <n v="20945"/>
  </r>
  <r>
    <x v="16"/>
    <x v="1"/>
    <s v="WA"/>
    <s v="Known gap agreement"/>
    <s v="100% MBS Fee to 125% MBS Fee"/>
    <n v="2197974.7799999998"/>
    <n v="1498160.23"/>
    <n v="664040.42000000004"/>
    <n v="12793"/>
  </r>
  <r>
    <x v="16"/>
    <x v="1"/>
    <s v="WA"/>
    <s v="Known gap agreement"/>
    <s v="More than 125% MBS Fee to 150% MBS Fee"/>
    <n v="4634161.92"/>
    <n v="2482369.7400000002"/>
    <n v="1830566.88"/>
    <n v="37630"/>
  </r>
  <r>
    <x v="16"/>
    <x v="1"/>
    <s v="WA"/>
    <s v="Known gap agreement"/>
    <s v="More than 150% MBS Fee to 200% MBS Fee"/>
    <n v="7601652.6299999999"/>
    <n v="3339838.85"/>
    <n v="2423108.98"/>
    <n v="19234"/>
  </r>
  <r>
    <x v="16"/>
    <x v="1"/>
    <s v="WA"/>
    <s v="Known gap agreement"/>
    <s v="More than 200% MBS Fee"/>
    <n v="11043139.18"/>
    <n v="3051450.42"/>
    <n v="1934570.47"/>
    <n v="20840"/>
  </r>
  <r>
    <x v="16"/>
    <x v="1"/>
    <s v="WA"/>
    <s v="No gap agreement"/>
    <s v="Up to MBS Fee"/>
    <n v="1277791.3799999999"/>
    <n v="965729.69"/>
    <n v="312037.45"/>
    <n v="14082"/>
  </r>
  <r>
    <x v="16"/>
    <x v="1"/>
    <s v="WA"/>
    <s v="No gap agreement"/>
    <s v="100% MBS Fee to 125% MBS Fee"/>
    <n v="9497092.2300000004"/>
    <n v="5975547.9000000004"/>
    <n v="3521538.84"/>
    <n v="90274"/>
  </r>
  <r>
    <x v="16"/>
    <x v="1"/>
    <s v="WA"/>
    <s v="No gap agreement"/>
    <s v="More than 125% MBS Fee to 150% MBS Fee"/>
    <n v="28202409.43"/>
    <n v="15545707.26"/>
    <n v="12656697.300000001"/>
    <n v="193525"/>
  </r>
  <r>
    <x v="16"/>
    <x v="1"/>
    <s v="WA"/>
    <s v="No gap agreement"/>
    <s v="More than 150% MBS Fee to 200% MBS Fee"/>
    <n v="36266413.270000003"/>
    <n v="15980721.439999999"/>
    <n v="20285690.989999998"/>
    <n v="176748"/>
  </r>
  <r>
    <x v="16"/>
    <x v="1"/>
    <s v="WA"/>
    <s v="No gap agreement"/>
    <s v="More than 200% MBS Fee"/>
    <n v="3447444.86"/>
    <n v="901950.63"/>
    <n v="2545494.23"/>
    <n v="2549"/>
  </r>
  <r>
    <x v="16"/>
    <x v="1"/>
    <s v="TAS"/>
    <s v="No agreement"/>
    <s v="Up to MBS Fee"/>
    <n v="1142679.0900000001"/>
    <n v="859010.54"/>
    <n v="283668.32"/>
    <n v="15645"/>
  </r>
  <r>
    <x v="16"/>
    <x v="1"/>
    <s v="TAS"/>
    <s v="No agreement"/>
    <s v="100% MBS Fee to 125% MBS Fee"/>
    <n v="113692.53"/>
    <n v="76002.89"/>
    <n v="25189.05"/>
    <n v="790"/>
  </r>
  <r>
    <x v="16"/>
    <x v="1"/>
    <s v="TAS"/>
    <s v="No agreement"/>
    <s v="More than 125% MBS Fee to 150% MBS Fee"/>
    <n v="106886.56"/>
    <n v="57639.86"/>
    <n v="18952.53"/>
    <n v="402"/>
  </r>
  <r>
    <x v="16"/>
    <x v="1"/>
    <s v="TAS"/>
    <s v="No agreement"/>
    <s v="More than 150% MBS Fee to 200% MBS Fee"/>
    <n v="532420.81999999995"/>
    <n v="229939.45"/>
    <n v="76716"/>
    <n v="1311"/>
  </r>
  <r>
    <x v="16"/>
    <x v="1"/>
    <s v="TAS"/>
    <s v="No agreement"/>
    <s v="More than 200% MBS Fee"/>
    <n v="2140934.89"/>
    <n v="520947.79"/>
    <n v="173787.68"/>
    <n v="3709"/>
  </r>
  <r>
    <x v="16"/>
    <x v="1"/>
    <s v="TAS"/>
    <s v="Known gap agreement"/>
    <s v="100% MBS Fee to 125% MBS Fee"/>
    <n v="166693.79"/>
    <n v="109023.95"/>
    <n v="39441.589999999997"/>
    <n v="847"/>
  </r>
  <r>
    <x v="16"/>
    <x v="1"/>
    <s v="TAS"/>
    <s v="Known gap agreement"/>
    <s v="More than 125% MBS Fee to 150% MBS Fee"/>
    <n v="281641.14"/>
    <n v="152251.91"/>
    <n v="103850.69"/>
    <n v="954"/>
  </r>
  <r>
    <x v="16"/>
    <x v="1"/>
    <s v="TAS"/>
    <s v="Known gap agreement"/>
    <s v="More than 150% MBS Fee to 200% MBS Fee"/>
    <n v="690144.85"/>
    <n v="296332.59000000003"/>
    <n v="281212.68"/>
    <n v="1715"/>
  </r>
  <r>
    <x v="16"/>
    <x v="1"/>
    <s v="TAS"/>
    <s v="Known gap agreement"/>
    <s v="More than 200% MBS Fee"/>
    <n v="1120619.23"/>
    <n v="337990.25"/>
    <n v="385695.58"/>
    <n v="4097"/>
  </r>
  <r>
    <x v="16"/>
    <x v="1"/>
    <s v="TAS"/>
    <s v="No gap agreement"/>
    <s v="Up to MBS Fee"/>
    <n v="816125.08"/>
    <n v="614087.15"/>
    <n v="202037.93"/>
    <n v="10293"/>
  </r>
  <r>
    <x v="16"/>
    <x v="1"/>
    <s v="TAS"/>
    <s v="No gap agreement"/>
    <s v="100% MBS Fee to 125% MBS Fee"/>
    <n v="2800825.52"/>
    <n v="1777993.78"/>
    <n v="1022831.42"/>
    <n v="21832"/>
  </r>
  <r>
    <x v="16"/>
    <x v="1"/>
    <s v="TAS"/>
    <s v="No gap agreement"/>
    <s v="More than 125% MBS Fee to 150% MBS Fee"/>
    <n v="6817693.71"/>
    <n v="3750135.84"/>
    <n v="3067549.35"/>
    <n v="42483"/>
  </r>
  <r>
    <x v="16"/>
    <x v="1"/>
    <s v="TAS"/>
    <s v="No gap agreement"/>
    <s v="More than 150% MBS Fee to 200% MBS Fee"/>
    <n v="5874241.3700000001"/>
    <n v="2696336.42"/>
    <n v="3177903.53"/>
    <n v="35311"/>
  </r>
  <r>
    <x v="16"/>
    <x v="1"/>
    <s v="TAS"/>
    <s v="No gap agreement"/>
    <s v="More than 200% MBS Fee"/>
    <n v="561391.14"/>
    <n v="158260.79999999999"/>
    <n v="403130.34"/>
    <n v="518"/>
  </r>
  <r>
    <x v="16"/>
    <x v="1"/>
    <s v="ACT"/>
    <s v="No agreement"/>
    <s v="Up to MBS Fee"/>
    <n v="856254.74"/>
    <n v="643758.01"/>
    <n v="212358.08"/>
    <n v="9357"/>
  </r>
  <r>
    <x v="16"/>
    <x v="1"/>
    <s v="ACT"/>
    <s v="No agreement"/>
    <s v="100% MBS Fee to 125% MBS Fee"/>
    <n v="159051.82999999999"/>
    <n v="104540.66"/>
    <n v="34635.17"/>
    <n v="608"/>
  </r>
  <r>
    <x v="16"/>
    <x v="1"/>
    <s v="ACT"/>
    <s v="No agreement"/>
    <s v="More than 125% MBS Fee to 150% MBS Fee"/>
    <n v="125745.26"/>
    <n v="67791.22"/>
    <n v="22722.34"/>
    <n v="591"/>
  </r>
  <r>
    <x v="16"/>
    <x v="1"/>
    <s v="ACT"/>
    <s v="No agreement"/>
    <s v="More than 150% MBS Fee to 200% MBS Fee"/>
    <n v="961233.83"/>
    <n v="400472.63"/>
    <n v="133364.24"/>
    <n v="2993"/>
  </r>
  <r>
    <x v="16"/>
    <x v="1"/>
    <s v="ACT"/>
    <s v="No agreement"/>
    <s v="More than 200% MBS Fee"/>
    <n v="7038628.4000000004"/>
    <n v="1794739.8"/>
    <n v="598962.68000000005"/>
    <n v="11388"/>
  </r>
  <r>
    <x v="16"/>
    <x v="1"/>
    <s v="ACT"/>
    <s v="Known gap agreement"/>
    <s v="100% MBS Fee to 125% MBS Fee"/>
    <n v="44174.33"/>
    <n v="26665.1"/>
    <n v="14357.24"/>
    <n v="139"/>
  </r>
  <r>
    <x v="16"/>
    <x v="1"/>
    <s v="ACT"/>
    <s v="Known gap agreement"/>
    <s v="More than 125% MBS Fee to 150% MBS Fee"/>
    <n v="82752.149999999994"/>
    <n v="44965.01"/>
    <n v="29074.79"/>
    <n v="310"/>
  </r>
  <r>
    <x v="16"/>
    <x v="1"/>
    <s v="ACT"/>
    <s v="Known gap agreement"/>
    <s v="More than 150% MBS Fee to 200% MBS Fee"/>
    <n v="182708"/>
    <n v="76604.55"/>
    <n v="69100.800000000003"/>
    <n v="441"/>
  </r>
  <r>
    <x v="16"/>
    <x v="1"/>
    <s v="ACT"/>
    <s v="Known gap agreement"/>
    <s v="More than 200% MBS Fee"/>
    <n v="493537.27"/>
    <n v="121460.3"/>
    <n v="122997.94"/>
    <n v="1156"/>
  </r>
  <r>
    <x v="16"/>
    <x v="1"/>
    <s v="ACT"/>
    <s v="No gap agreement"/>
    <s v="Up to MBS Fee"/>
    <n v="369828.1"/>
    <n v="278270.86"/>
    <n v="91557.23"/>
    <n v="12423"/>
  </r>
  <r>
    <x v="16"/>
    <x v="1"/>
    <s v="ACT"/>
    <s v="No gap agreement"/>
    <s v="100% MBS Fee to 125% MBS Fee"/>
    <n v="970044.51"/>
    <n v="627441.67000000004"/>
    <n v="342588.85"/>
    <n v="11657"/>
  </r>
  <r>
    <x v="16"/>
    <x v="1"/>
    <s v="ACT"/>
    <s v="No gap agreement"/>
    <s v="More than 125% MBS Fee to 150% MBS Fee"/>
    <n v="2590867.86"/>
    <n v="1427267.38"/>
    <n v="1163596.3"/>
    <n v="15819"/>
  </r>
  <r>
    <x v="16"/>
    <x v="1"/>
    <s v="ACT"/>
    <s v="No gap agreement"/>
    <s v="More than 150% MBS Fee to 200% MBS Fee"/>
    <n v="2025318.8"/>
    <n v="930149.51"/>
    <n v="1095157.58"/>
    <n v="13777"/>
  </r>
  <r>
    <x v="16"/>
    <x v="1"/>
    <s v="ACT"/>
    <s v="No gap agreement"/>
    <s v="More than 200% MBS Fee"/>
    <n v="417547.25"/>
    <n v="130099.6"/>
    <n v="287447.65000000002"/>
    <n v="1065"/>
  </r>
  <r>
    <x v="16"/>
    <x v="1"/>
    <s v="NT"/>
    <s v="No agreement"/>
    <s v="Up to MBS Fee"/>
    <n v="374593.12"/>
    <n v="280906.77"/>
    <n v="93386.35"/>
    <n v="2237"/>
  </r>
  <r>
    <x v="16"/>
    <x v="1"/>
    <s v="NT"/>
    <s v="No agreement"/>
    <s v="100% MBS Fee to 125% MBS Fee"/>
    <n v="29960.880000000001"/>
    <n v="19489.8"/>
    <n v="6511.65"/>
    <n v="139"/>
  </r>
  <r>
    <x v="16"/>
    <x v="1"/>
    <s v="NT"/>
    <s v="No agreement"/>
    <s v="More than 125% MBS Fee to 150% MBS Fee"/>
    <n v="45363.32"/>
    <n v="25063.66"/>
    <n v="8476.76"/>
    <n v="165"/>
  </r>
  <r>
    <x v="16"/>
    <x v="1"/>
    <s v="NT"/>
    <s v="No agreement"/>
    <s v="More than 150% MBS Fee to 200% MBS Fee"/>
    <n v="148918.85"/>
    <n v="65535.09"/>
    <n v="21834.799999999999"/>
    <n v="592"/>
  </r>
  <r>
    <x v="16"/>
    <x v="1"/>
    <s v="NT"/>
    <s v="No agreement"/>
    <s v="More than 200% MBS Fee"/>
    <n v="1092916.99"/>
    <n v="290869.99"/>
    <n v="96640.09"/>
    <n v="2043"/>
  </r>
  <r>
    <x v="16"/>
    <x v="1"/>
    <s v="NT"/>
    <s v="Known gap agreement"/>
    <s v="100% MBS Fee to 125% MBS Fee"/>
    <n v="10596.79"/>
    <n v="6886.35"/>
    <n v="3222.09"/>
    <n v="61"/>
  </r>
  <r>
    <x v="16"/>
    <x v="1"/>
    <s v="NT"/>
    <s v="Known gap agreement"/>
    <s v="More than 125% MBS Fee to 150% MBS Fee"/>
    <n v="68831.98"/>
    <n v="37043.199999999997"/>
    <n v="25757.86"/>
    <n v="286"/>
  </r>
  <r>
    <x v="16"/>
    <x v="1"/>
    <s v="NT"/>
    <s v="Known gap agreement"/>
    <s v="More than 150% MBS Fee to 200% MBS Fee"/>
    <n v="127283.07"/>
    <n v="57637.35"/>
    <n v="53839.77"/>
    <n v="272"/>
  </r>
  <r>
    <x v="16"/>
    <x v="1"/>
    <s v="NT"/>
    <s v="Known gap agreement"/>
    <s v="More than 200% MBS Fee"/>
    <n v="269423.61"/>
    <n v="64933.5"/>
    <n v="68651.03"/>
    <n v="740"/>
  </r>
  <r>
    <x v="16"/>
    <x v="1"/>
    <s v="NT"/>
    <s v="No gap agreement"/>
    <s v="Up to MBS Fee"/>
    <n v="107239.33"/>
    <n v="80531.539999999994"/>
    <n v="26709.439999999999"/>
    <n v="1050"/>
  </r>
  <r>
    <x v="16"/>
    <x v="1"/>
    <s v="NT"/>
    <s v="No gap agreement"/>
    <s v="100% MBS Fee to 125% MBS Fee"/>
    <n v="370301.02"/>
    <n v="234133.75"/>
    <n v="136163.79999999999"/>
    <n v="5702"/>
  </r>
  <r>
    <x v="16"/>
    <x v="1"/>
    <s v="NT"/>
    <s v="No gap agreement"/>
    <s v="More than 125% MBS Fee to 150% MBS Fee"/>
    <n v="970285.15"/>
    <n v="530073.5"/>
    <n v="440211.1"/>
    <n v="4735"/>
  </r>
  <r>
    <x v="16"/>
    <x v="1"/>
    <s v="NT"/>
    <s v="No gap agreement"/>
    <s v="More than 150% MBS Fee to 200% MBS Fee"/>
    <n v="1002029.41"/>
    <n v="459831.65"/>
    <n v="542191.96"/>
    <n v="5353"/>
  </r>
  <r>
    <x v="16"/>
    <x v="1"/>
    <s v="NT"/>
    <s v="No gap agreement"/>
    <s v="More than 200% MBS Fee"/>
    <n v="44984.7"/>
    <n v="14379.65"/>
    <n v="30603.35"/>
    <n v="71"/>
  </r>
  <r>
    <x v="17"/>
    <x v="0"/>
    <s v="NSW"/>
    <s v="No agreement"/>
    <s v="Up to MBS Fee"/>
    <n v="33736576.640000001"/>
    <n v="25337302.23"/>
    <n v="8379866.0099999998"/>
    <n v="558528"/>
  </r>
  <r>
    <x v="17"/>
    <x v="0"/>
    <s v="NSW"/>
    <s v="No agreement"/>
    <s v="100% MBS Fee to 125% MBS Fee"/>
    <n v="2553657.96"/>
    <n v="1689854.91"/>
    <n v="623616.86"/>
    <n v="14258"/>
  </r>
  <r>
    <x v="17"/>
    <x v="0"/>
    <s v="NSW"/>
    <s v="No agreement"/>
    <s v="More than 125% MBS Fee to 150% MBS Fee"/>
    <n v="3358838.12"/>
    <n v="1813954.51"/>
    <n v="804590.7"/>
    <n v="14968"/>
  </r>
  <r>
    <x v="17"/>
    <x v="0"/>
    <s v="NSW"/>
    <s v="No agreement"/>
    <s v="More than 150% MBS Fee to 200% MBS Fee"/>
    <n v="15616443.75"/>
    <n v="6706156.1900000004"/>
    <n v="2662274.48"/>
    <n v="86954"/>
  </r>
  <r>
    <x v="17"/>
    <x v="0"/>
    <s v="NSW"/>
    <s v="No agreement"/>
    <s v="More than 200% MBS Fee"/>
    <n v="96312805.480000004"/>
    <n v="24253579.25"/>
    <n v="8114943"/>
    <n v="155381"/>
  </r>
  <r>
    <x v="17"/>
    <x v="0"/>
    <s v="NSW"/>
    <s v="Known gap agreement"/>
    <s v="100% MBS Fee to 125% MBS Fee"/>
    <n v="1544077.65"/>
    <n v="1040616.59"/>
    <n v="439588.46"/>
    <n v="8186"/>
  </r>
  <r>
    <x v="17"/>
    <x v="0"/>
    <s v="NSW"/>
    <s v="Known gap agreement"/>
    <s v="More than 125% MBS Fee to 150% MBS Fee"/>
    <n v="2385765.7000000002"/>
    <n v="1284173.8799999999"/>
    <n v="895795.03"/>
    <n v="8626"/>
  </r>
  <r>
    <x v="17"/>
    <x v="0"/>
    <s v="NSW"/>
    <s v="Known gap agreement"/>
    <s v="More than 150% MBS Fee to 200% MBS Fee"/>
    <n v="5563942.6799999997"/>
    <n v="2451746.89"/>
    <n v="2338320.08"/>
    <n v="15131"/>
  </r>
  <r>
    <x v="17"/>
    <x v="0"/>
    <s v="NSW"/>
    <s v="Known gap agreement"/>
    <s v="More than 200% MBS Fee"/>
    <n v="6623247.71"/>
    <n v="1814958.12"/>
    <n v="1730392.46"/>
    <n v="16732"/>
  </r>
  <r>
    <x v="17"/>
    <x v="0"/>
    <s v="NSW"/>
    <s v="No gap agreement"/>
    <s v="Up to MBS Fee"/>
    <n v="14346986.279999999"/>
    <n v="10783322.060000001"/>
    <n v="3564150.51"/>
    <n v="371970"/>
  </r>
  <r>
    <x v="17"/>
    <x v="0"/>
    <s v="NSW"/>
    <s v="No gap agreement"/>
    <s v="100% MBS Fee to 125% MBS Fee"/>
    <n v="37240280.460000001"/>
    <n v="23842575.800000001"/>
    <n v="13397403.02"/>
    <n v="371544"/>
  </r>
  <r>
    <x v="17"/>
    <x v="0"/>
    <s v="NSW"/>
    <s v="No gap agreement"/>
    <s v="More than 125% MBS Fee to 150% MBS Fee"/>
    <n v="82132763.909999996"/>
    <n v="45194799.799999997"/>
    <n v="36937781.810000002"/>
    <n v="457919"/>
  </r>
  <r>
    <x v="17"/>
    <x v="0"/>
    <s v="NSW"/>
    <s v="No gap agreement"/>
    <s v="More than 150% MBS Fee to 200% MBS Fee"/>
    <n v="83076763.040000007"/>
    <n v="37946494.329999998"/>
    <n v="45130039.539999999"/>
    <n v="482951"/>
  </r>
  <r>
    <x v="17"/>
    <x v="0"/>
    <s v="NSW"/>
    <s v="No gap agreement"/>
    <s v="More than 200% MBS Fee"/>
    <n v="10686238.25"/>
    <n v="3287092.48"/>
    <n v="7399145.7000000002"/>
    <n v="41566"/>
  </r>
  <r>
    <x v="17"/>
    <x v="0"/>
    <s v="VIC"/>
    <s v="No agreement"/>
    <s v="Up to MBS Fee"/>
    <n v="9309868.0999999996"/>
    <n v="6999179.6900000004"/>
    <n v="2310117.94"/>
    <n v="79896"/>
  </r>
  <r>
    <x v="17"/>
    <x v="0"/>
    <s v="VIC"/>
    <s v="No agreement"/>
    <s v="100% MBS Fee to 125% MBS Fee"/>
    <n v="1897966.81"/>
    <n v="1250709.78"/>
    <n v="457000.29"/>
    <n v="11443"/>
  </r>
  <r>
    <x v="17"/>
    <x v="0"/>
    <s v="VIC"/>
    <s v="No agreement"/>
    <s v="More than 125% MBS Fee to 150% MBS Fee"/>
    <n v="2612634.16"/>
    <n v="1431185.48"/>
    <n v="764268.91"/>
    <n v="24901"/>
  </r>
  <r>
    <x v="17"/>
    <x v="0"/>
    <s v="VIC"/>
    <s v="No agreement"/>
    <s v="More than 150% MBS Fee to 200% MBS Fee"/>
    <n v="5099607.0599999996"/>
    <n v="2190017.4900000002"/>
    <n v="1451255.58"/>
    <n v="22908"/>
  </r>
  <r>
    <x v="17"/>
    <x v="0"/>
    <s v="VIC"/>
    <s v="No agreement"/>
    <s v="More than 200% MBS Fee"/>
    <n v="22734323.039999999"/>
    <n v="5887958.6500000004"/>
    <n v="2044692.7"/>
    <n v="45561"/>
  </r>
  <r>
    <x v="17"/>
    <x v="0"/>
    <s v="VIC"/>
    <s v="Known gap agreement"/>
    <s v="100% MBS Fee to 125% MBS Fee"/>
    <n v="2478455.54"/>
    <n v="1638710.56"/>
    <n v="702687.29"/>
    <n v="15331"/>
  </r>
  <r>
    <x v="17"/>
    <x v="0"/>
    <s v="VIC"/>
    <s v="Known gap agreement"/>
    <s v="More than 125% MBS Fee to 150% MBS Fee"/>
    <n v="4991687.99"/>
    <n v="2717951.98"/>
    <n v="1844848.78"/>
    <n v="20111"/>
  </r>
  <r>
    <x v="17"/>
    <x v="0"/>
    <s v="VIC"/>
    <s v="Known gap agreement"/>
    <s v="More than 150% MBS Fee to 200% MBS Fee"/>
    <n v="7675226.75"/>
    <n v="3348545.37"/>
    <n v="3077336.23"/>
    <n v="21225"/>
  </r>
  <r>
    <x v="17"/>
    <x v="0"/>
    <s v="VIC"/>
    <s v="Known gap agreement"/>
    <s v="More than 200% MBS Fee"/>
    <n v="7772663.8600000003"/>
    <n v="2286328.44"/>
    <n v="2234383.19"/>
    <n v="19282"/>
  </r>
  <r>
    <x v="17"/>
    <x v="0"/>
    <s v="VIC"/>
    <s v="No gap agreement"/>
    <s v="Up to MBS Fee"/>
    <n v="12367820.619999999"/>
    <n v="9310556.5800000001"/>
    <n v="3057263.6"/>
    <n v="232944"/>
  </r>
  <r>
    <x v="17"/>
    <x v="0"/>
    <s v="VIC"/>
    <s v="No gap agreement"/>
    <s v="100% MBS Fee to 125% MBS Fee"/>
    <n v="41336753.18"/>
    <n v="26391714.440000001"/>
    <n v="14944895.84"/>
    <n v="426510"/>
  </r>
  <r>
    <x v="17"/>
    <x v="0"/>
    <s v="VIC"/>
    <s v="No gap agreement"/>
    <s v="More than 125% MBS Fee to 150% MBS Fee"/>
    <n v="89483416.349999994"/>
    <n v="49393480.159999996"/>
    <n v="40089821.149999999"/>
    <n v="689596"/>
  </r>
  <r>
    <x v="17"/>
    <x v="0"/>
    <s v="VIC"/>
    <s v="No gap agreement"/>
    <s v="More than 150% MBS Fee to 200% MBS Fee"/>
    <n v="87917767.909999996"/>
    <n v="39774234.109999999"/>
    <n v="48143349.030000001"/>
    <n v="457921"/>
  </r>
  <r>
    <x v="17"/>
    <x v="0"/>
    <s v="VIC"/>
    <s v="No gap agreement"/>
    <s v="More than 200% MBS Fee"/>
    <n v="5048361.97"/>
    <n v="1426690.91"/>
    <n v="3621668.96"/>
    <n v="11921"/>
  </r>
  <r>
    <x v="17"/>
    <x v="0"/>
    <s v="QLD"/>
    <s v="No agreement"/>
    <s v="Up to MBS Fee"/>
    <n v="8305280.7199999997"/>
    <n v="6238457.7599999998"/>
    <n v="2065836.66"/>
    <n v="65527"/>
  </r>
  <r>
    <x v="17"/>
    <x v="0"/>
    <s v="QLD"/>
    <s v="No agreement"/>
    <s v="100% MBS Fee to 125% MBS Fee"/>
    <n v="2031253.65"/>
    <n v="1341256.51"/>
    <n v="523926.9"/>
    <n v="12791"/>
  </r>
  <r>
    <x v="17"/>
    <x v="0"/>
    <s v="QLD"/>
    <s v="No agreement"/>
    <s v="More than 125% MBS Fee to 150% MBS Fee"/>
    <n v="3684354.85"/>
    <n v="2007627.91"/>
    <n v="992288.18"/>
    <n v="26562"/>
  </r>
  <r>
    <x v="17"/>
    <x v="0"/>
    <s v="QLD"/>
    <s v="No agreement"/>
    <s v="More than 150% MBS Fee to 200% MBS Fee"/>
    <n v="9464262.7799999993"/>
    <n v="4017959.09"/>
    <n v="1706099.76"/>
    <n v="31185"/>
  </r>
  <r>
    <x v="17"/>
    <x v="0"/>
    <s v="QLD"/>
    <s v="No agreement"/>
    <s v="More than 200% MBS Fee"/>
    <n v="48672712.439999998"/>
    <n v="12952628.210000001"/>
    <n v="4384704.62"/>
    <n v="87499"/>
  </r>
  <r>
    <x v="17"/>
    <x v="0"/>
    <s v="QLD"/>
    <s v="Known gap agreement"/>
    <s v="100% MBS Fee to 125% MBS Fee"/>
    <n v="1079424.96"/>
    <n v="713317.25"/>
    <n v="303000.40999999997"/>
    <n v="6282"/>
  </r>
  <r>
    <x v="17"/>
    <x v="0"/>
    <s v="QLD"/>
    <s v="Known gap agreement"/>
    <s v="More than 125% MBS Fee to 150% MBS Fee"/>
    <n v="2356378.2400000002"/>
    <n v="1269618.8500000001"/>
    <n v="879090.43"/>
    <n v="8806"/>
  </r>
  <r>
    <x v="17"/>
    <x v="0"/>
    <s v="QLD"/>
    <s v="Known gap agreement"/>
    <s v="More than 150% MBS Fee to 200% MBS Fee"/>
    <n v="4882066.62"/>
    <n v="2108576.44"/>
    <n v="1986324.3"/>
    <n v="10570"/>
  </r>
  <r>
    <x v="17"/>
    <x v="0"/>
    <s v="QLD"/>
    <s v="Known gap agreement"/>
    <s v="More than 200% MBS Fee"/>
    <n v="7756215.3899999997"/>
    <n v="2273387.5099999998"/>
    <n v="2299872.9300000002"/>
    <n v="18341"/>
  </r>
  <r>
    <x v="17"/>
    <x v="0"/>
    <s v="QLD"/>
    <s v="No gap agreement"/>
    <s v="Up to MBS Fee"/>
    <n v="8408926.6600000001"/>
    <n v="6317317.3799999999"/>
    <n v="2091606.23"/>
    <n v="164642"/>
  </r>
  <r>
    <x v="17"/>
    <x v="0"/>
    <s v="QLD"/>
    <s v="No gap agreement"/>
    <s v="100% MBS Fee to 125% MBS Fee"/>
    <n v="32170770.550000001"/>
    <n v="20631080.219999999"/>
    <n v="11539354.92"/>
    <n v="330092"/>
  </r>
  <r>
    <x v="17"/>
    <x v="0"/>
    <s v="QLD"/>
    <s v="No gap agreement"/>
    <s v="More than 125% MBS Fee to 150% MBS Fee"/>
    <n v="67619018.510000005"/>
    <n v="37554666.939999998"/>
    <n v="30063924.469999999"/>
    <n v="584977"/>
  </r>
  <r>
    <x v="17"/>
    <x v="0"/>
    <s v="QLD"/>
    <s v="No gap agreement"/>
    <s v="More than 150% MBS Fee to 200% MBS Fee"/>
    <n v="54442247.609999999"/>
    <n v="25155721.23"/>
    <n v="29286274.190000001"/>
    <n v="336837"/>
  </r>
  <r>
    <x v="17"/>
    <x v="0"/>
    <s v="QLD"/>
    <s v="No gap agreement"/>
    <s v="More than 200% MBS Fee"/>
    <n v="6276605.2800000003"/>
    <n v="1839937.26"/>
    <n v="4436666.2"/>
    <n v="11923"/>
  </r>
  <r>
    <x v="17"/>
    <x v="0"/>
    <s v="SA"/>
    <s v="No agreement"/>
    <s v="Up to MBS Fee"/>
    <n v="1760421.86"/>
    <n v="1322519.8"/>
    <n v="437947.21"/>
    <n v="22660"/>
  </r>
  <r>
    <x v="17"/>
    <x v="0"/>
    <s v="SA"/>
    <s v="No agreement"/>
    <s v="100% MBS Fee to 125% MBS Fee"/>
    <n v="410174.22"/>
    <n v="266367.2"/>
    <n v="122780.9"/>
    <n v="3045"/>
  </r>
  <r>
    <x v="17"/>
    <x v="0"/>
    <s v="SA"/>
    <s v="No agreement"/>
    <s v="More than 125% MBS Fee to 150% MBS Fee"/>
    <n v="991435.16"/>
    <n v="533340.72"/>
    <n v="324273.46000000002"/>
    <n v="7294"/>
  </r>
  <r>
    <x v="17"/>
    <x v="0"/>
    <s v="SA"/>
    <s v="No agreement"/>
    <s v="More than 150% MBS Fee to 200% MBS Fee"/>
    <n v="2011576.36"/>
    <n v="882764.64"/>
    <n v="952730.92"/>
    <n v="8725"/>
  </r>
  <r>
    <x v="17"/>
    <x v="0"/>
    <s v="SA"/>
    <s v="No agreement"/>
    <s v="More than 200% MBS Fee"/>
    <n v="2483539.58"/>
    <n v="656142.6"/>
    <n v="258627.5"/>
    <n v="6417"/>
  </r>
  <r>
    <x v="17"/>
    <x v="0"/>
    <s v="SA"/>
    <s v="Known gap agreement"/>
    <s v="100% MBS Fee to 125% MBS Fee"/>
    <n v="522630.22"/>
    <n v="355300.26"/>
    <n v="146145.57999999999"/>
    <n v="2740"/>
  </r>
  <r>
    <x v="17"/>
    <x v="0"/>
    <s v="SA"/>
    <s v="Known gap agreement"/>
    <s v="More than 125% MBS Fee to 150% MBS Fee"/>
    <n v="755245.58"/>
    <n v="409292.31"/>
    <n v="265749.84999999998"/>
    <n v="3273"/>
  </r>
  <r>
    <x v="17"/>
    <x v="0"/>
    <s v="SA"/>
    <s v="Known gap agreement"/>
    <s v="More than 150% MBS Fee to 200% MBS Fee"/>
    <n v="2333086.0299999998"/>
    <n v="998836.82"/>
    <n v="958900.62"/>
    <n v="3909"/>
  </r>
  <r>
    <x v="17"/>
    <x v="0"/>
    <s v="SA"/>
    <s v="Known gap agreement"/>
    <s v="More than 200% MBS Fee"/>
    <n v="1253825.8899999999"/>
    <n v="351411.9"/>
    <n v="373342.84"/>
    <n v="3094"/>
  </r>
  <r>
    <x v="17"/>
    <x v="0"/>
    <s v="SA"/>
    <s v="No gap agreement"/>
    <s v="Up to MBS Fee"/>
    <n v="4150432.94"/>
    <n v="3117204.54"/>
    <n v="1033232.77"/>
    <n v="61887"/>
  </r>
  <r>
    <x v="17"/>
    <x v="0"/>
    <s v="SA"/>
    <s v="No gap agreement"/>
    <s v="100% MBS Fee to 125% MBS Fee"/>
    <n v="9760071.1300000008"/>
    <n v="6254668.3799999999"/>
    <n v="3505336.2"/>
    <n v="112571"/>
  </r>
  <r>
    <x v="17"/>
    <x v="0"/>
    <s v="SA"/>
    <s v="No gap agreement"/>
    <s v="More than 125% MBS Fee to 150% MBS Fee"/>
    <n v="21366906.899999999"/>
    <n v="11680527.4"/>
    <n v="9686327.1999999993"/>
    <n v="171335"/>
  </r>
  <r>
    <x v="17"/>
    <x v="0"/>
    <s v="SA"/>
    <s v="No gap agreement"/>
    <s v="More than 150% MBS Fee to 200% MBS Fee"/>
    <n v="36551245.210000001"/>
    <n v="16444560.58"/>
    <n v="20106669.800000001"/>
    <n v="151784"/>
  </r>
  <r>
    <x v="17"/>
    <x v="0"/>
    <s v="SA"/>
    <s v="No gap agreement"/>
    <s v="More than 200% MBS Fee"/>
    <n v="2117261.02"/>
    <n v="587841.27"/>
    <n v="1529419.75"/>
    <n v="3395"/>
  </r>
  <r>
    <x v="17"/>
    <x v="0"/>
    <s v="WA"/>
    <s v="No agreement"/>
    <s v="Up to MBS Fee"/>
    <n v="2144757.9300000002"/>
    <n v="1612543.89"/>
    <n v="531529.14"/>
    <n v="40077"/>
  </r>
  <r>
    <x v="17"/>
    <x v="0"/>
    <s v="WA"/>
    <s v="No agreement"/>
    <s v="100% MBS Fee to 125% MBS Fee"/>
    <n v="337446.6"/>
    <n v="225552.8"/>
    <n v="77871"/>
    <n v="1987"/>
  </r>
  <r>
    <x v="17"/>
    <x v="0"/>
    <s v="WA"/>
    <s v="No agreement"/>
    <s v="More than 125% MBS Fee to 150% MBS Fee"/>
    <n v="931673.2"/>
    <n v="511057.56"/>
    <n v="197509.62"/>
    <n v="3666"/>
  </r>
  <r>
    <x v="17"/>
    <x v="0"/>
    <s v="WA"/>
    <s v="No agreement"/>
    <s v="More than 150% MBS Fee to 200% MBS Fee"/>
    <n v="2569163.36"/>
    <n v="1114956.08"/>
    <n v="408704.78"/>
    <n v="8179"/>
  </r>
  <r>
    <x v="17"/>
    <x v="0"/>
    <s v="WA"/>
    <s v="No agreement"/>
    <s v="More than 200% MBS Fee"/>
    <n v="7915607.3200000003"/>
    <n v="2011188.05"/>
    <n v="689498.41"/>
    <n v="21623"/>
  </r>
  <r>
    <x v="17"/>
    <x v="0"/>
    <s v="WA"/>
    <s v="Known gap agreement"/>
    <s v="100% MBS Fee to 125% MBS Fee"/>
    <n v="2454115.7200000002"/>
    <n v="1686351.05"/>
    <n v="738747.3"/>
    <n v="12016"/>
  </r>
  <r>
    <x v="17"/>
    <x v="0"/>
    <s v="WA"/>
    <s v="Known gap agreement"/>
    <s v="More than 125% MBS Fee to 150% MBS Fee"/>
    <n v="3681840.53"/>
    <n v="1985086.16"/>
    <n v="1458123.58"/>
    <n v="38312"/>
  </r>
  <r>
    <x v="17"/>
    <x v="0"/>
    <s v="WA"/>
    <s v="Known gap agreement"/>
    <s v="More than 150% MBS Fee to 200% MBS Fee"/>
    <n v="7346409.0899999999"/>
    <n v="3237505.43"/>
    <n v="2368590.87"/>
    <n v="15777"/>
  </r>
  <r>
    <x v="17"/>
    <x v="0"/>
    <s v="WA"/>
    <s v="Known gap agreement"/>
    <s v="More than 200% MBS Fee"/>
    <n v="11586638.76"/>
    <n v="3165491.75"/>
    <n v="1999849.6"/>
    <n v="24505"/>
  </r>
  <r>
    <x v="17"/>
    <x v="0"/>
    <s v="WA"/>
    <s v="No gap agreement"/>
    <s v="Up to MBS Fee"/>
    <n v="1363327.93"/>
    <n v="1028407.11"/>
    <n v="334921.14"/>
    <n v="14566"/>
  </r>
  <r>
    <x v="17"/>
    <x v="0"/>
    <s v="WA"/>
    <s v="No gap agreement"/>
    <s v="100% MBS Fee to 125% MBS Fee"/>
    <n v="6805522.4500000002"/>
    <n v="4369022.03"/>
    <n v="2436490.5299999998"/>
    <n v="57746"/>
  </r>
  <r>
    <x v="17"/>
    <x v="0"/>
    <s v="WA"/>
    <s v="No gap agreement"/>
    <s v="More than 125% MBS Fee to 150% MBS Fee"/>
    <n v="30956545.609999999"/>
    <n v="17138301.530000001"/>
    <n v="13818270.300000001"/>
    <n v="226898"/>
  </r>
  <r>
    <x v="17"/>
    <x v="0"/>
    <s v="WA"/>
    <s v="No gap agreement"/>
    <s v="More than 150% MBS Fee to 200% MBS Fee"/>
    <n v="38330474.509999998"/>
    <n v="16896316.739999998"/>
    <n v="21434143.780000001"/>
    <n v="182425"/>
  </r>
  <r>
    <x v="17"/>
    <x v="0"/>
    <s v="WA"/>
    <s v="No gap agreement"/>
    <s v="More than 200% MBS Fee"/>
    <n v="3357883.25"/>
    <n v="880219.95"/>
    <n v="2477663.2999999998"/>
    <n v="2375"/>
  </r>
  <r>
    <x v="17"/>
    <x v="0"/>
    <s v="TAS"/>
    <s v="No agreement"/>
    <s v="Up to MBS Fee"/>
    <n v="843956.14"/>
    <n v="633698.62"/>
    <n v="210257.37"/>
    <n v="9614"/>
  </r>
  <r>
    <x v="17"/>
    <x v="0"/>
    <s v="TAS"/>
    <s v="No agreement"/>
    <s v="100% MBS Fee to 125% MBS Fee"/>
    <n v="103298.17"/>
    <n v="68181.64"/>
    <n v="28707.45"/>
    <n v="718"/>
  </r>
  <r>
    <x v="17"/>
    <x v="0"/>
    <s v="TAS"/>
    <s v="No agreement"/>
    <s v="More than 125% MBS Fee to 150% MBS Fee"/>
    <n v="176750.81"/>
    <n v="94755.58"/>
    <n v="58970.3"/>
    <n v="822"/>
  </r>
  <r>
    <x v="17"/>
    <x v="0"/>
    <s v="TAS"/>
    <s v="No agreement"/>
    <s v="More than 150% MBS Fee to 200% MBS Fee"/>
    <n v="709812.58"/>
    <n v="311032.33"/>
    <n v="192843.43"/>
    <n v="2908"/>
  </r>
  <r>
    <x v="17"/>
    <x v="0"/>
    <s v="TAS"/>
    <s v="No agreement"/>
    <s v="More than 200% MBS Fee"/>
    <n v="2132808.27"/>
    <n v="520244.47999999998"/>
    <n v="178666.5"/>
    <n v="3321"/>
  </r>
  <r>
    <x v="17"/>
    <x v="0"/>
    <s v="TAS"/>
    <s v="Known gap agreement"/>
    <s v="100% MBS Fee to 125% MBS Fee"/>
    <n v="208873.43"/>
    <n v="142684.25"/>
    <n v="60626.9"/>
    <n v="960"/>
  </r>
  <r>
    <x v="17"/>
    <x v="0"/>
    <s v="TAS"/>
    <s v="Known gap agreement"/>
    <s v="More than 125% MBS Fee to 150% MBS Fee"/>
    <n v="302136.40999999997"/>
    <n v="163290.75"/>
    <n v="119684.38"/>
    <n v="1132"/>
  </r>
  <r>
    <x v="17"/>
    <x v="0"/>
    <s v="TAS"/>
    <s v="Known gap agreement"/>
    <s v="More than 150% MBS Fee to 200% MBS Fee"/>
    <n v="747181.15"/>
    <n v="321979.14"/>
    <n v="324222.92"/>
    <n v="1650"/>
  </r>
  <r>
    <x v="17"/>
    <x v="0"/>
    <s v="TAS"/>
    <s v="Known gap agreement"/>
    <s v="More than 200% MBS Fee"/>
    <n v="1077045.1100000001"/>
    <n v="327321.11"/>
    <n v="376744.42"/>
    <n v="4130"/>
  </r>
  <r>
    <x v="17"/>
    <x v="0"/>
    <s v="TAS"/>
    <s v="No gap agreement"/>
    <s v="Up to MBS Fee"/>
    <n v="1698228.67"/>
    <n v="1275402.1200000001"/>
    <n v="422826.55"/>
    <n v="25629"/>
  </r>
  <r>
    <x v="17"/>
    <x v="0"/>
    <s v="TAS"/>
    <s v="No gap agreement"/>
    <s v="100% MBS Fee to 125% MBS Fee"/>
    <n v="3231331.3"/>
    <n v="2048924.34"/>
    <n v="1182398.96"/>
    <n v="23692"/>
  </r>
  <r>
    <x v="17"/>
    <x v="0"/>
    <s v="TAS"/>
    <s v="No gap agreement"/>
    <s v="More than 125% MBS Fee to 150% MBS Fee"/>
    <n v="7813659.9199999999"/>
    <n v="4271290.29"/>
    <n v="3542363.89"/>
    <n v="46380"/>
  </r>
  <r>
    <x v="17"/>
    <x v="0"/>
    <s v="TAS"/>
    <s v="No gap agreement"/>
    <s v="More than 150% MBS Fee to 200% MBS Fee"/>
    <n v="6599130.8799999999"/>
    <n v="3014553.19"/>
    <n v="3584573.92"/>
    <n v="36571"/>
  </r>
  <r>
    <x v="17"/>
    <x v="0"/>
    <s v="TAS"/>
    <s v="No gap agreement"/>
    <s v="More than 200% MBS Fee"/>
    <n v="520194.75"/>
    <n v="146419.45000000001"/>
    <n v="373775.3"/>
    <n v="520"/>
  </r>
  <r>
    <x v="17"/>
    <x v="0"/>
    <s v="ACT"/>
    <s v="No agreement"/>
    <s v="Up to MBS Fee"/>
    <n v="899799.93"/>
    <n v="676912.16"/>
    <n v="220872.76"/>
    <n v="8877"/>
  </r>
  <r>
    <x v="17"/>
    <x v="0"/>
    <s v="ACT"/>
    <s v="No agreement"/>
    <s v="100% MBS Fee to 125% MBS Fee"/>
    <n v="68380.72"/>
    <n v="44426.21"/>
    <n v="16058.6"/>
    <n v="464"/>
  </r>
  <r>
    <x v="17"/>
    <x v="0"/>
    <s v="ACT"/>
    <s v="No agreement"/>
    <s v="More than 125% MBS Fee to 150% MBS Fee"/>
    <n v="147674.75"/>
    <n v="81115.17"/>
    <n v="31089.759999999998"/>
    <n v="561"/>
  </r>
  <r>
    <x v="17"/>
    <x v="0"/>
    <s v="ACT"/>
    <s v="No agreement"/>
    <s v="More than 150% MBS Fee to 200% MBS Fee"/>
    <n v="867632.4"/>
    <n v="361974.76"/>
    <n v="127482.7"/>
    <n v="2695"/>
  </r>
  <r>
    <x v="17"/>
    <x v="0"/>
    <s v="ACT"/>
    <s v="No agreement"/>
    <s v="More than 200% MBS Fee"/>
    <n v="8038289.0899999999"/>
    <n v="2009359.82"/>
    <n v="673212.3"/>
    <n v="12402"/>
  </r>
  <r>
    <x v="17"/>
    <x v="0"/>
    <s v="ACT"/>
    <s v="Known gap agreement"/>
    <s v="100% MBS Fee to 125% MBS Fee"/>
    <n v="77100.08"/>
    <n v="50468.1"/>
    <n v="23535.74"/>
    <n v="254"/>
  </r>
  <r>
    <x v="17"/>
    <x v="0"/>
    <s v="ACT"/>
    <s v="Known gap agreement"/>
    <s v="More than 125% MBS Fee to 150% MBS Fee"/>
    <n v="116613.43"/>
    <n v="64422.2"/>
    <n v="46106.84"/>
    <n v="364"/>
  </r>
  <r>
    <x v="17"/>
    <x v="0"/>
    <s v="ACT"/>
    <s v="Known gap agreement"/>
    <s v="More than 150% MBS Fee to 200% MBS Fee"/>
    <n v="210864.45"/>
    <n v="90750.45"/>
    <n v="86396.26"/>
    <n v="608"/>
  </r>
  <r>
    <x v="17"/>
    <x v="0"/>
    <s v="ACT"/>
    <s v="Known gap agreement"/>
    <s v="More than 200% MBS Fee"/>
    <n v="755503.57"/>
    <n v="202295.52"/>
    <n v="212673.16"/>
    <n v="2484"/>
  </r>
  <r>
    <x v="17"/>
    <x v="0"/>
    <s v="ACT"/>
    <s v="No gap agreement"/>
    <s v="Up to MBS Fee"/>
    <n v="398944.21"/>
    <n v="299897.2"/>
    <n v="99046.93"/>
    <n v="13371"/>
  </r>
  <r>
    <x v="17"/>
    <x v="0"/>
    <s v="ACT"/>
    <s v="No gap agreement"/>
    <s v="100% MBS Fee to 125% MBS Fee"/>
    <n v="1086732.1399999999"/>
    <n v="699924.35"/>
    <n v="386774.45"/>
    <n v="12241"/>
  </r>
  <r>
    <x v="17"/>
    <x v="0"/>
    <s v="ACT"/>
    <s v="No gap agreement"/>
    <s v="More than 125% MBS Fee to 150% MBS Fee"/>
    <n v="2710706.78"/>
    <n v="1497018.97"/>
    <n v="1213678.42"/>
    <n v="17231"/>
  </r>
  <r>
    <x v="17"/>
    <x v="0"/>
    <s v="ACT"/>
    <s v="No gap agreement"/>
    <s v="More than 150% MBS Fee to 200% MBS Fee"/>
    <n v="2177060.2999999998"/>
    <n v="994367.99"/>
    <n v="1182742.29"/>
    <n v="14985"/>
  </r>
  <r>
    <x v="17"/>
    <x v="0"/>
    <s v="ACT"/>
    <s v="No gap agreement"/>
    <s v="More than 200% MBS Fee"/>
    <n v="352674.02"/>
    <n v="106574.17"/>
    <n v="246099.85"/>
    <n v="995"/>
  </r>
  <r>
    <x v="17"/>
    <x v="0"/>
    <s v="NT"/>
    <s v="No agreement"/>
    <s v="Up to MBS Fee"/>
    <n v="335949.06"/>
    <n v="252685.78"/>
    <n v="83263.28"/>
    <n v="1272"/>
  </r>
  <r>
    <x v="17"/>
    <x v="0"/>
    <s v="NT"/>
    <s v="No agreement"/>
    <s v="100% MBS Fee to 125% MBS Fee"/>
    <n v="53061.64"/>
    <n v="34817.019999999997"/>
    <n v="12536.65"/>
    <n v="244"/>
  </r>
  <r>
    <x v="17"/>
    <x v="0"/>
    <s v="NT"/>
    <s v="No agreement"/>
    <s v="More than 125% MBS Fee to 150% MBS Fee"/>
    <n v="75099.81"/>
    <n v="41197.65"/>
    <n v="18736.55"/>
    <n v="373"/>
  </r>
  <r>
    <x v="17"/>
    <x v="0"/>
    <s v="NT"/>
    <s v="No agreement"/>
    <s v="More than 150% MBS Fee to 200% MBS Fee"/>
    <n v="186530.25"/>
    <n v="81271.08"/>
    <n v="37053.9"/>
    <n v="730"/>
  </r>
  <r>
    <x v="17"/>
    <x v="0"/>
    <s v="NT"/>
    <s v="No agreement"/>
    <s v="More than 200% MBS Fee"/>
    <n v="1326826.57"/>
    <n v="344784.46"/>
    <n v="115599.95"/>
    <n v="2127"/>
  </r>
  <r>
    <x v="17"/>
    <x v="0"/>
    <s v="NT"/>
    <s v="Known gap agreement"/>
    <s v="100% MBS Fee to 125% MBS Fee"/>
    <n v="18860.330000000002"/>
    <n v="12439.3"/>
    <n v="5877.15"/>
    <n v="99"/>
  </r>
  <r>
    <x v="17"/>
    <x v="0"/>
    <s v="NT"/>
    <s v="Known gap agreement"/>
    <s v="More than 125% MBS Fee to 150% MBS Fee"/>
    <n v="58541.95"/>
    <n v="31209.5"/>
    <n v="23287.81"/>
    <n v="227"/>
  </r>
  <r>
    <x v="17"/>
    <x v="0"/>
    <s v="NT"/>
    <s v="Known gap agreement"/>
    <s v="More than 150% MBS Fee to 200% MBS Fee"/>
    <n v="153203.95000000001"/>
    <n v="67684.649999999994"/>
    <n v="64607.42"/>
    <n v="315"/>
  </r>
  <r>
    <x v="17"/>
    <x v="0"/>
    <s v="NT"/>
    <s v="Known gap agreement"/>
    <s v="More than 200% MBS Fee"/>
    <n v="325935.08"/>
    <n v="86021.5"/>
    <n v="94869.7"/>
    <n v="955"/>
  </r>
  <r>
    <x v="17"/>
    <x v="0"/>
    <s v="NT"/>
    <s v="No gap agreement"/>
    <s v="Up to MBS Fee"/>
    <n v="149791.37"/>
    <n v="112471.64"/>
    <n v="37319.730000000003"/>
    <n v="2024"/>
  </r>
  <r>
    <x v="17"/>
    <x v="0"/>
    <s v="NT"/>
    <s v="No gap agreement"/>
    <s v="100% MBS Fee to 125% MBS Fee"/>
    <n v="480399.82"/>
    <n v="305491.05"/>
    <n v="174903.07"/>
    <n v="6139"/>
  </r>
  <r>
    <x v="17"/>
    <x v="0"/>
    <s v="NT"/>
    <s v="No gap agreement"/>
    <s v="More than 125% MBS Fee to 150% MBS Fee"/>
    <n v="1095229.6000000001"/>
    <n v="599608.25"/>
    <n v="495619.42"/>
    <n v="5852"/>
  </r>
  <r>
    <x v="17"/>
    <x v="0"/>
    <s v="NT"/>
    <s v="No gap agreement"/>
    <s v="More than 150% MBS Fee to 200% MBS Fee"/>
    <n v="1267572.28"/>
    <n v="582075.1"/>
    <n v="685481.23"/>
    <n v="6086"/>
  </r>
  <r>
    <x v="17"/>
    <x v="0"/>
    <s v="NT"/>
    <s v="No gap agreement"/>
    <s v="More than 200% MBS Fee"/>
    <n v="28739.7"/>
    <n v="8573.35"/>
    <n v="20166.349999999999"/>
    <n v="60"/>
  </r>
  <r>
    <x v="17"/>
    <x v="2"/>
    <s v="NSW"/>
    <s v="No agreement"/>
    <s v="Up to MBS Fee"/>
    <n v="34474898.280000001"/>
    <n v="25900997.379999999"/>
    <n v="8570114.7599999998"/>
    <n v="557127"/>
  </r>
  <r>
    <x v="17"/>
    <x v="2"/>
    <s v="NSW"/>
    <s v="No agreement"/>
    <s v="100% MBS Fee to 125% MBS Fee"/>
    <n v="2225118.9900000002"/>
    <n v="1482734.68"/>
    <n v="518415.79"/>
    <n v="12605"/>
  </r>
  <r>
    <x v="17"/>
    <x v="2"/>
    <s v="NSW"/>
    <s v="No agreement"/>
    <s v="More than 125% MBS Fee to 150% MBS Fee"/>
    <n v="3389463.31"/>
    <n v="1823112.43"/>
    <n v="697494.23"/>
    <n v="15790"/>
  </r>
  <r>
    <x v="17"/>
    <x v="2"/>
    <s v="NSW"/>
    <s v="No agreement"/>
    <s v="More than 150% MBS Fee to 200% MBS Fee"/>
    <n v="14387711.279999999"/>
    <n v="6117752.5899999999"/>
    <n v="2274038.4300000002"/>
    <n v="72046"/>
  </r>
  <r>
    <x v="17"/>
    <x v="2"/>
    <s v="NSW"/>
    <s v="No agreement"/>
    <s v="More than 200% MBS Fee"/>
    <n v="94664557.689999998"/>
    <n v="23901655.109999999"/>
    <n v="8003695.9900000002"/>
    <n v="157646"/>
  </r>
  <r>
    <x v="17"/>
    <x v="2"/>
    <s v="NSW"/>
    <s v="Known gap agreement"/>
    <s v="100% MBS Fee to 125% MBS Fee"/>
    <n v="1309681.71"/>
    <n v="885796.1"/>
    <n v="373684.08"/>
    <n v="6842"/>
  </r>
  <r>
    <x v="17"/>
    <x v="2"/>
    <s v="NSW"/>
    <s v="Known gap agreement"/>
    <s v="More than 125% MBS Fee to 150% MBS Fee"/>
    <n v="2156781.2799999998"/>
    <n v="1154927.3899999999"/>
    <n v="777791.78"/>
    <n v="7621"/>
  </r>
  <r>
    <x v="17"/>
    <x v="2"/>
    <s v="NSW"/>
    <s v="Known gap agreement"/>
    <s v="More than 150% MBS Fee to 200% MBS Fee"/>
    <n v="5407369.5999999996"/>
    <n v="2353196.66"/>
    <n v="2243529.8199999998"/>
    <n v="15477"/>
  </r>
  <r>
    <x v="17"/>
    <x v="2"/>
    <s v="NSW"/>
    <s v="Known gap agreement"/>
    <s v="More than 200% MBS Fee"/>
    <n v="6951020.7199999997"/>
    <n v="1918086.28"/>
    <n v="1792391.26"/>
    <n v="18425"/>
  </r>
  <r>
    <x v="17"/>
    <x v="2"/>
    <s v="NSW"/>
    <s v="No gap agreement"/>
    <s v="Up to MBS Fee"/>
    <n v="12538646.220000001"/>
    <n v="9424654.3399999999"/>
    <n v="3114715.57"/>
    <n v="329627"/>
  </r>
  <r>
    <x v="17"/>
    <x v="2"/>
    <s v="NSW"/>
    <s v="No gap agreement"/>
    <s v="100% MBS Fee to 125% MBS Fee"/>
    <n v="35590942.600000001"/>
    <n v="22796277.440000001"/>
    <n v="12794582.84"/>
    <n v="377596"/>
  </r>
  <r>
    <x v="17"/>
    <x v="2"/>
    <s v="NSW"/>
    <s v="No gap agreement"/>
    <s v="More than 125% MBS Fee to 150% MBS Fee"/>
    <n v="79299232.719999999"/>
    <n v="43580457.979999997"/>
    <n v="35718586.189999998"/>
    <n v="439191"/>
  </r>
  <r>
    <x v="17"/>
    <x v="2"/>
    <s v="NSW"/>
    <s v="No gap agreement"/>
    <s v="More than 150% MBS Fee to 200% MBS Fee"/>
    <n v="74737884.769999996"/>
    <n v="34172199.130000003"/>
    <n v="40565551.270000003"/>
    <n v="433205"/>
  </r>
  <r>
    <x v="17"/>
    <x v="2"/>
    <s v="NSW"/>
    <s v="No gap agreement"/>
    <s v="More than 200% MBS Fee"/>
    <n v="9969142.4299999997"/>
    <n v="3069839.97"/>
    <n v="6899294.0899999999"/>
    <n v="38102"/>
  </r>
  <r>
    <x v="17"/>
    <x v="2"/>
    <s v="VIC"/>
    <s v="No agreement"/>
    <s v="Up to MBS Fee"/>
    <n v="12108486.99"/>
    <n v="9140191.2400000002"/>
    <n v="2967723.77"/>
    <n v="101215"/>
  </r>
  <r>
    <x v="17"/>
    <x v="2"/>
    <s v="VIC"/>
    <s v="No agreement"/>
    <s v="100% MBS Fee to 125% MBS Fee"/>
    <n v="1867472.67"/>
    <n v="1238514.6100000001"/>
    <n v="437211.67"/>
    <n v="10845"/>
  </r>
  <r>
    <x v="17"/>
    <x v="2"/>
    <s v="VIC"/>
    <s v="No agreement"/>
    <s v="More than 125% MBS Fee to 150% MBS Fee"/>
    <n v="2204919.09"/>
    <n v="1206503.29"/>
    <n v="525402.91"/>
    <n v="20095"/>
  </r>
  <r>
    <x v="17"/>
    <x v="2"/>
    <s v="VIC"/>
    <s v="No agreement"/>
    <s v="More than 150% MBS Fee to 200% MBS Fee"/>
    <n v="4924612.8600000003"/>
    <n v="2106755.6"/>
    <n v="1046054.19"/>
    <n v="22589"/>
  </r>
  <r>
    <x v="17"/>
    <x v="2"/>
    <s v="VIC"/>
    <s v="No agreement"/>
    <s v="More than 200% MBS Fee"/>
    <n v="23360976.989999998"/>
    <n v="6147719.6200000001"/>
    <n v="2084074.58"/>
    <n v="48280"/>
  </r>
  <r>
    <x v="17"/>
    <x v="2"/>
    <s v="VIC"/>
    <s v="Known gap agreement"/>
    <s v="100% MBS Fee to 125% MBS Fee"/>
    <n v="2390202.0099999998"/>
    <n v="1589987.88"/>
    <n v="674346.27"/>
    <n v="13112"/>
  </r>
  <r>
    <x v="17"/>
    <x v="2"/>
    <s v="VIC"/>
    <s v="Known gap agreement"/>
    <s v="More than 125% MBS Fee to 150% MBS Fee"/>
    <n v="4253365.05"/>
    <n v="2313970.2400000002"/>
    <n v="1542292.68"/>
    <n v="15993"/>
  </r>
  <r>
    <x v="17"/>
    <x v="2"/>
    <s v="VIC"/>
    <s v="Known gap agreement"/>
    <s v="More than 150% MBS Fee to 200% MBS Fee"/>
    <n v="7382788.6100000003"/>
    <n v="3196856.86"/>
    <n v="2878081.76"/>
    <n v="21480"/>
  </r>
  <r>
    <x v="17"/>
    <x v="2"/>
    <s v="VIC"/>
    <s v="Known gap agreement"/>
    <s v="More than 200% MBS Fee"/>
    <n v="9195859.5899999999"/>
    <n v="2641182.14"/>
    <n v="2594833.79"/>
    <n v="25082"/>
  </r>
  <r>
    <x v="17"/>
    <x v="2"/>
    <s v="VIC"/>
    <s v="No gap agreement"/>
    <s v="Up to MBS Fee"/>
    <n v="12823695.289999999"/>
    <n v="9656218.7400000002"/>
    <n v="3167495.26"/>
    <n v="241367"/>
  </r>
  <r>
    <x v="17"/>
    <x v="2"/>
    <s v="VIC"/>
    <s v="No gap agreement"/>
    <s v="100% MBS Fee to 125% MBS Fee"/>
    <n v="37471018.659999996"/>
    <n v="23972355.399999999"/>
    <n v="13498583.720000001"/>
    <n v="339077"/>
  </r>
  <r>
    <x v="17"/>
    <x v="2"/>
    <s v="VIC"/>
    <s v="No gap agreement"/>
    <s v="More than 125% MBS Fee to 150% MBS Fee"/>
    <n v="84473141.260000005"/>
    <n v="46625687.710000001"/>
    <n v="37847376.329999998"/>
    <n v="636827"/>
  </r>
  <r>
    <x v="17"/>
    <x v="2"/>
    <s v="VIC"/>
    <s v="No gap agreement"/>
    <s v="More than 150% MBS Fee to 200% MBS Fee"/>
    <n v="82787531.689999998"/>
    <n v="37484018.899999999"/>
    <n v="45303387.579999998"/>
    <n v="430387"/>
  </r>
  <r>
    <x v="17"/>
    <x v="2"/>
    <s v="VIC"/>
    <s v="No gap agreement"/>
    <s v="More than 200% MBS Fee"/>
    <n v="4777277.63"/>
    <n v="1344640.04"/>
    <n v="3432637.04"/>
    <n v="11194"/>
  </r>
  <r>
    <x v="17"/>
    <x v="2"/>
    <s v="QLD"/>
    <s v="No agreement"/>
    <s v="Up to MBS Fee"/>
    <n v="9860348.3699999992"/>
    <n v="7407770.0499999998"/>
    <n v="2451371.21"/>
    <n v="74597"/>
  </r>
  <r>
    <x v="17"/>
    <x v="2"/>
    <s v="QLD"/>
    <s v="No agreement"/>
    <s v="100% MBS Fee to 125% MBS Fee"/>
    <n v="1717498"/>
    <n v="1138936.26"/>
    <n v="403466.05"/>
    <n v="9787"/>
  </r>
  <r>
    <x v="17"/>
    <x v="2"/>
    <s v="QLD"/>
    <s v="No agreement"/>
    <s v="More than 125% MBS Fee to 150% MBS Fee"/>
    <n v="3053444.89"/>
    <n v="1664348.09"/>
    <n v="694168.88"/>
    <n v="18687"/>
  </r>
  <r>
    <x v="17"/>
    <x v="2"/>
    <s v="QLD"/>
    <s v="No agreement"/>
    <s v="More than 150% MBS Fee to 200% MBS Fee"/>
    <n v="8672708.5500000007"/>
    <n v="3679512.39"/>
    <n v="1428377.06"/>
    <n v="28599"/>
  </r>
  <r>
    <x v="17"/>
    <x v="2"/>
    <s v="QLD"/>
    <s v="No agreement"/>
    <s v="More than 200% MBS Fee"/>
    <n v="45581184.579999998"/>
    <n v="12242708.57"/>
    <n v="4111534.35"/>
    <n v="85915"/>
  </r>
  <r>
    <x v="17"/>
    <x v="2"/>
    <s v="QLD"/>
    <s v="Known gap agreement"/>
    <s v="100% MBS Fee to 125% MBS Fee"/>
    <n v="872471.32"/>
    <n v="575792.96"/>
    <n v="250918.24"/>
    <n v="4305"/>
  </r>
  <r>
    <x v="17"/>
    <x v="2"/>
    <s v="QLD"/>
    <s v="Known gap agreement"/>
    <s v="More than 125% MBS Fee to 150% MBS Fee"/>
    <n v="2094088.47"/>
    <n v="1126637.3899999999"/>
    <n v="758641.79"/>
    <n v="7864"/>
  </r>
  <r>
    <x v="17"/>
    <x v="2"/>
    <s v="QLD"/>
    <s v="Known gap agreement"/>
    <s v="More than 150% MBS Fee to 200% MBS Fee"/>
    <n v="4561442.13"/>
    <n v="1971816.89"/>
    <n v="1831506.22"/>
    <n v="10149"/>
  </r>
  <r>
    <x v="17"/>
    <x v="2"/>
    <s v="QLD"/>
    <s v="Known gap agreement"/>
    <s v="More than 200% MBS Fee"/>
    <n v="8128220.3600000003"/>
    <n v="2367800.42"/>
    <n v="2376030.23"/>
    <n v="20774"/>
  </r>
  <r>
    <x v="17"/>
    <x v="2"/>
    <s v="QLD"/>
    <s v="No gap agreement"/>
    <s v="Up to MBS Fee"/>
    <n v="9365440.5899999999"/>
    <n v="7034683.75"/>
    <n v="2330752.73"/>
    <n v="221742"/>
  </r>
  <r>
    <x v="17"/>
    <x v="2"/>
    <s v="QLD"/>
    <s v="No gap agreement"/>
    <s v="100% MBS Fee to 125% MBS Fee"/>
    <n v="30044761.34"/>
    <n v="19270520.710000001"/>
    <n v="10774172.619999999"/>
    <n v="310879"/>
  </r>
  <r>
    <x v="17"/>
    <x v="2"/>
    <s v="QLD"/>
    <s v="No gap agreement"/>
    <s v="More than 125% MBS Fee to 150% MBS Fee"/>
    <n v="64798516.609999999"/>
    <n v="35934368.799999997"/>
    <n v="28864159.010000002"/>
    <n v="572794"/>
  </r>
  <r>
    <x v="17"/>
    <x v="2"/>
    <s v="QLD"/>
    <s v="No gap agreement"/>
    <s v="More than 150% MBS Fee to 200% MBS Fee"/>
    <n v="48647540.719999999"/>
    <n v="22459643.77"/>
    <n v="26187875.170000002"/>
    <n v="288157"/>
  </r>
  <r>
    <x v="17"/>
    <x v="2"/>
    <s v="QLD"/>
    <s v="No gap agreement"/>
    <s v="More than 200% MBS Fee"/>
    <n v="6078670.21"/>
    <n v="1769042.91"/>
    <n v="4309619.5599999996"/>
    <n v="10615"/>
  </r>
  <r>
    <x v="17"/>
    <x v="2"/>
    <s v="SA"/>
    <s v="No agreement"/>
    <s v="Up to MBS Fee"/>
    <n v="2680775.0299999998"/>
    <n v="2013327.94"/>
    <n v="667364.91"/>
    <n v="26275"/>
  </r>
  <r>
    <x v="17"/>
    <x v="2"/>
    <s v="SA"/>
    <s v="No agreement"/>
    <s v="100% MBS Fee to 125% MBS Fee"/>
    <n v="355147.6"/>
    <n v="229762.75"/>
    <n v="101696.88"/>
    <n v="2123"/>
  </r>
  <r>
    <x v="17"/>
    <x v="2"/>
    <s v="SA"/>
    <s v="No agreement"/>
    <s v="More than 125% MBS Fee to 150% MBS Fee"/>
    <n v="790838.72"/>
    <n v="425388.85"/>
    <n v="230874.69"/>
    <n v="5251"/>
  </r>
  <r>
    <x v="17"/>
    <x v="2"/>
    <s v="SA"/>
    <s v="No agreement"/>
    <s v="More than 150% MBS Fee to 200% MBS Fee"/>
    <n v="1499415.71"/>
    <n v="655110.85"/>
    <n v="640717.24"/>
    <n v="7174"/>
  </r>
  <r>
    <x v="17"/>
    <x v="2"/>
    <s v="SA"/>
    <s v="No agreement"/>
    <s v="More than 200% MBS Fee"/>
    <n v="2311613.7400000002"/>
    <n v="627042.29"/>
    <n v="223893.06"/>
    <n v="7190"/>
  </r>
  <r>
    <x v="17"/>
    <x v="2"/>
    <s v="SA"/>
    <s v="Known gap agreement"/>
    <s v="100% MBS Fee to 125% MBS Fee"/>
    <n v="580989.46"/>
    <n v="394099.7"/>
    <n v="168099.75"/>
    <n v="2823"/>
  </r>
  <r>
    <x v="17"/>
    <x v="2"/>
    <s v="SA"/>
    <s v="Known gap agreement"/>
    <s v="More than 125% MBS Fee to 150% MBS Fee"/>
    <n v="711391.74"/>
    <n v="385468.95"/>
    <n v="250853.64"/>
    <n v="3222"/>
  </r>
  <r>
    <x v="17"/>
    <x v="2"/>
    <s v="SA"/>
    <s v="Known gap agreement"/>
    <s v="More than 150% MBS Fee to 200% MBS Fee"/>
    <n v="2514064.9"/>
    <n v="1073325.1000000001"/>
    <n v="1068522"/>
    <n v="4122"/>
  </r>
  <r>
    <x v="17"/>
    <x v="2"/>
    <s v="SA"/>
    <s v="Known gap agreement"/>
    <s v="More than 200% MBS Fee"/>
    <n v="1201811.06"/>
    <n v="354371.25"/>
    <n v="391247.72"/>
    <n v="3187"/>
  </r>
  <r>
    <x v="17"/>
    <x v="2"/>
    <s v="SA"/>
    <s v="No gap agreement"/>
    <s v="Up to MBS Fee"/>
    <n v="3638205.83"/>
    <n v="2733940.3"/>
    <n v="904278.8"/>
    <n v="40763"/>
  </r>
  <r>
    <x v="17"/>
    <x v="2"/>
    <s v="SA"/>
    <s v="No gap agreement"/>
    <s v="100% MBS Fee to 125% MBS Fee"/>
    <n v="9498528.8599999994"/>
    <n v="6117675.0300000003"/>
    <n v="3380842.67"/>
    <n v="109551"/>
  </r>
  <r>
    <x v="17"/>
    <x v="2"/>
    <s v="SA"/>
    <s v="No gap agreement"/>
    <s v="More than 125% MBS Fee to 150% MBS Fee"/>
    <n v="20060070.420000002"/>
    <n v="10956572.32"/>
    <n v="9103477.9800000004"/>
    <n v="157707"/>
  </r>
  <r>
    <x v="17"/>
    <x v="2"/>
    <s v="SA"/>
    <s v="No gap agreement"/>
    <s v="More than 150% MBS Fee to 200% MBS Fee"/>
    <n v="35092441.899999999"/>
    <n v="15808938.76"/>
    <n v="19283453.989999998"/>
    <n v="142145"/>
  </r>
  <r>
    <x v="17"/>
    <x v="2"/>
    <s v="SA"/>
    <s v="No gap agreement"/>
    <s v="More than 200% MBS Fee"/>
    <n v="1962951.83"/>
    <n v="542631.88"/>
    <n v="1420312.2"/>
    <n v="3299"/>
  </r>
  <r>
    <x v="17"/>
    <x v="2"/>
    <s v="WA"/>
    <s v="No agreement"/>
    <s v="Up to MBS Fee"/>
    <n v="2400936.02"/>
    <n v="1804031.04"/>
    <n v="595770.13"/>
    <n v="40063"/>
  </r>
  <r>
    <x v="17"/>
    <x v="2"/>
    <s v="WA"/>
    <s v="No agreement"/>
    <s v="100% MBS Fee to 125% MBS Fee"/>
    <n v="313474.12"/>
    <n v="208969.63"/>
    <n v="70506.490000000005"/>
    <n v="2150"/>
  </r>
  <r>
    <x v="17"/>
    <x v="2"/>
    <s v="WA"/>
    <s v="No agreement"/>
    <s v="More than 125% MBS Fee to 150% MBS Fee"/>
    <n v="1119469.4099999999"/>
    <n v="610928.51"/>
    <n v="217714.48"/>
    <n v="7272"/>
  </r>
  <r>
    <x v="17"/>
    <x v="2"/>
    <s v="WA"/>
    <s v="No agreement"/>
    <s v="More than 150% MBS Fee to 200% MBS Fee"/>
    <n v="2660861.9700000002"/>
    <n v="1153809.73"/>
    <n v="399508.06"/>
    <n v="8720"/>
  </r>
  <r>
    <x v="17"/>
    <x v="2"/>
    <s v="WA"/>
    <s v="No agreement"/>
    <s v="More than 200% MBS Fee"/>
    <n v="7549344.1100000003"/>
    <n v="2039347.4"/>
    <n v="697556"/>
    <n v="21976"/>
  </r>
  <r>
    <x v="17"/>
    <x v="2"/>
    <s v="WA"/>
    <s v="Known gap agreement"/>
    <s v="100% MBS Fee to 125% MBS Fee"/>
    <n v="2243023.88"/>
    <n v="1533250.88"/>
    <n v="674347.43"/>
    <n v="12048"/>
  </r>
  <r>
    <x v="17"/>
    <x v="2"/>
    <s v="WA"/>
    <s v="Known gap agreement"/>
    <s v="More than 125% MBS Fee to 150% MBS Fee"/>
    <n v="3978093.05"/>
    <n v="2148697.66"/>
    <n v="1564044.09"/>
    <n v="37209"/>
  </r>
  <r>
    <x v="17"/>
    <x v="2"/>
    <s v="WA"/>
    <s v="Known gap agreement"/>
    <s v="More than 150% MBS Fee to 200% MBS Fee"/>
    <n v="7883365.6500000004"/>
    <n v="3473014.88"/>
    <n v="2599870.41"/>
    <n v="19046"/>
  </r>
  <r>
    <x v="17"/>
    <x v="2"/>
    <s v="WA"/>
    <s v="Known gap agreement"/>
    <s v="More than 200% MBS Fee"/>
    <n v="11410642.99"/>
    <n v="3103557.94"/>
    <n v="2039707.87"/>
    <n v="22372"/>
  </r>
  <r>
    <x v="17"/>
    <x v="2"/>
    <s v="WA"/>
    <s v="No gap agreement"/>
    <s v="Up to MBS Fee"/>
    <n v="1242859.97"/>
    <n v="939011.84"/>
    <n v="303847.88"/>
    <n v="13717"/>
  </r>
  <r>
    <x v="17"/>
    <x v="2"/>
    <s v="WA"/>
    <s v="No gap agreement"/>
    <s v="100% MBS Fee to 125% MBS Fee"/>
    <n v="7094864.2199999997"/>
    <n v="4546799.4800000004"/>
    <n v="2548058.9900000002"/>
    <n v="61692"/>
  </r>
  <r>
    <x v="17"/>
    <x v="2"/>
    <s v="WA"/>
    <s v="No gap agreement"/>
    <s v="More than 125% MBS Fee to 150% MBS Fee"/>
    <n v="31191645.25"/>
    <n v="17257334.030000001"/>
    <n v="13934303.939999999"/>
    <n v="215615"/>
  </r>
  <r>
    <x v="17"/>
    <x v="2"/>
    <s v="WA"/>
    <s v="No gap agreement"/>
    <s v="More than 150% MBS Fee to 200% MBS Fee"/>
    <n v="36613723.109999999"/>
    <n v="16152669.82"/>
    <n v="20461045.940000001"/>
    <n v="171816"/>
  </r>
  <r>
    <x v="17"/>
    <x v="2"/>
    <s v="WA"/>
    <s v="No gap agreement"/>
    <s v="More than 200% MBS Fee"/>
    <n v="3714649.55"/>
    <n v="967880.3"/>
    <n v="2746769.25"/>
    <n v="2620"/>
  </r>
  <r>
    <x v="17"/>
    <x v="2"/>
    <s v="TAS"/>
    <s v="No agreement"/>
    <s v="Up to MBS Fee"/>
    <n v="1077136.6499999999"/>
    <n v="809140.67"/>
    <n v="267996.03000000003"/>
    <n v="17864"/>
  </r>
  <r>
    <x v="17"/>
    <x v="2"/>
    <s v="TAS"/>
    <s v="No agreement"/>
    <s v="100% MBS Fee to 125% MBS Fee"/>
    <n v="134497.49"/>
    <n v="90707.91"/>
    <n v="32925.08"/>
    <n v="775"/>
  </r>
  <r>
    <x v="17"/>
    <x v="2"/>
    <s v="TAS"/>
    <s v="No agreement"/>
    <s v="More than 125% MBS Fee to 150% MBS Fee"/>
    <n v="176682.97"/>
    <n v="95534.45"/>
    <n v="46472.81"/>
    <n v="559"/>
  </r>
  <r>
    <x v="17"/>
    <x v="2"/>
    <s v="TAS"/>
    <s v="No agreement"/>
    <s v="More than 150% MBS Fee to 200% MBS Fee"/>
    <n v="572009.04"/>
    <n v="246216.97"/>
    <n v="117106.04"/>
    <n v="1760"/>
  </r>
  <r>
    <x v="17"/>
    <x v="2"/>
    <s v="TAS"/>
    <s v="No agreement"/>
    <s v="More than 200% MBS Fee"/>
    <n v="2130094.06"/>
    <n v="535594.74"/>
    <n v="185391.46"/>
    <n v="3803"/>
  </r>
  <r>
    <x v="17"/>
    <x v="2"/>
    <s v="TAS"/>
    <s v="Known gap agreement"/>
    <s v="100% MBS Fee to 125% MBS Fee"/>
    <n v="184982.21"/>
    <n v="120634.2"/>
    <n v="50295.15"/>
    <n v="805"/>
  </r>
  <r>
    <x v="17"/>
    <x v="2"/>
    <s v="TAS"/>
    <s v="Known gap agreement"/>
    <s v="More than 125% MBS Fee to 150% MBS Fee"/>
    <n v="240780.03"/>
    <n v="130233.60000000001"/>
    <n v="91297.75"/>
    <n v="1220"/>
  </r>
  <r>
    <x v="17"/>
    <x v="2"/>
    <s v="TAS"/>
    <s v="Known gap agreement"/>
    <s v="More than 150% MBS Fee to 200% MBS Fee"/>
    <n v="821654.49"/>
    <n v="353749.2"/>
    <n v="358094.66"/>
    <n v="1774"/>
  </r>
  <r>
    <x v="17"/>
    <x v="2"/>
    <s v="TAS"/>
    <s v="Known gap agreement"/>
    <s v="More than 200% MBS Fee"/>
    <n v="1174646.77"/>
    <n v="359851"/>
    <n v="410008.68"/>
    <n v="4286"/>
  </r>
  <r>
    <x v="17"/>
    <x v="2"/>
    <s v="TAS"/>
    <s v="No gap agreement"/>
    <s v="Up to MBS Fee"/>
    <n v="1056455.55"/>
    <n v="793911.78"/>
    <n v="262543.64"/>
    <n v="11799"/>
  </r>
  <r>
    <x v="17"/>
    <x v="2"/>
    <s v="TAS"/>
    <s v="No gap agreement"/>
    <s v="100% MBS Fee to 125% MBS Fee"/>
    <n v="2843661.17"/>
    <n v="1806277.65"/>
    <n v="1037375.9"/>
    <n v="20435"/>
  </r>
  <r>
    <x v="17"/>
    <x v="2"/>
    <s v="TAS"/>
    <s v="No gap agreement"/>
    <s v="More than 125% MBS Fee to 150% MBS Fee"/>
    <n v="7211860.8799999999"/>
    <n v="3945183.71"/>
    <n v="3266673.47"/>
    <n v="43025"/>
  </r>
  <r>
    <x v="17"/>
    <x v="2"/>
    <s v="TAS"/>
    <s v="No gap agreement"/>
    <s v="More than 150% MBS Fee to 200% MBS Fee"/>
    <n v="6088970.3499999996"/>
    <n v="2785315.58"/>
    <n v="3303651.22"/>
    <n v="34376"/>
  </r>
  <r>
    <x v="17"/>
    <x v="2"/>
    <s v="TAS"/>
    <s v="No gap agreement"/>
    <s v="More than 200% MBS Fee"/>
    <n v="555095.15"/>
    <n v="156678"/>
    <n v="398417.15"/>
    <n v="495"/>
  </r>
  <r>
    <x v="17"/>
    <x v="2"/>
    <s v="ACT"/>
    <s v="No agreement"/>
    <s v="Up to MBS Fee"/>
    <n v="1034629.98"/>
    <n v="778988.13"/>
    <n v="255485.88"/>
    <n v="10883"/>
  </r>
  <r>
    <x v="17"/>
    <x v="2"/>
    <s v="ACT"/>
    <s v="No agreement"/>
    <s v="100% MBS Fee to 125% MBS Fee"/>
    <n v="91449.24"/>
    <n v="59111.19"/>
    <n v="20233.169999999998"/>
    <n v="459"/>
  </r>
  <r>
    <x v="17"/>
    <x v="2"/>
    <s v="ACT"/>
    <s v="No agreement"/>
    <s v="More than 125% MBS Fee to 150% MBS Fee"/>
    <n v="136157.93"/>
    <n v="74504.05"/>
    <n v="27422.98"/>
    <n v="583"/>
  </r>
  <r>
    <x v="17"/>
    <x v="2"/>
    <s v="ACT"/>
    <s v="No agreement"/>
    <s v="More than 150% MBS Fee to 200% MBS Fee"/>
    <n v="924764.68"/>
    <n v="385180.12"/>
    <n v="132798.48000000001"/>
    <n v="2814"/>
  </r>
  <r>
    <x v="17"/>
    <x v="2"/>
    <s v="ACT"/>
    <s v="No agreement"/>
    <s v="More than 200% MBS Fee"/>
    <n v="7730836.6900000004"/>
    <n v="1932950.2"/>
    <n v="651082.80000000005"/>
    <n v="12394"/>
  </r>
  <r>
    <x v="17"/>
    <x v="2"/>
    <s v="ACT"/>
    <s v="Known gap agreement"/>
    <s v="100% MBS Fee to 125% MBS Fee"/>
    <n v="61553.86"/>
    <n v="40361.15"/>
    <n v="19774.509999999998"/>
    <n v="245"/>
  </r>
  <r>
    <x v="17"/>
    <x v="2"/>
    <s v="ACT"/>
    <s v="Known gap agreement"/>
    <s v="More than 125% MBS Fee to 150% MBS Fee"/>
    <n v="119698.22"/>
    <n v="65779.350000000006"/>
    <n v="46359.47"/>
    <n v="402"/>
  </r>
  <r>
    <x v="17"/>
    <x v="2"/>
    <s v="ACT"/>
    <s v="Known gap agreement"/>
    <s v="More than 150% MBS Fee to 200% MBS Fee"/>
    <n v="216718.86"/>
    <n v="91112.53"/>
    <n v="84771.06"/>
    <n v="577"/>
  </r>
  <r>
    <x v="17"/>
    <x v="2"/>
    <s v="ACT"/>
    <s v="Known gap agreement"/>
    <s v="More than 200% MBS Fee"/>
    <n v="610201.13"/>
    <n v="169702.45"/>
    <n v="187662.36"/>
    <n v="2315"/>
  </r>
  <r>
    <x v="17"/>
    <x v="2"/>
    <s v="ACT"/>
    <s v="No gap agreement"/>
    <s v="Up to MBS Fee"/>
    <n v="407380.17"/>
    <n v="306417.82"/>
    <n v="100962.48"/>
    <n v="12813"/>
  </r>
  <r>
    <x v="17"/>
    <x v="2"/>
    <s v="ACT"/>
    <s v="No gap agreement"/>
    <s v="100% MBS Fee to 125% MBS Fee"/>
    <n v="1105114.68"/>
    <n v="712332.34"/>
    <n v="392743.36"/>
    <n v="13198"/>
  </r>
  <r>
    <x v="17"/>
    <x v="2"/>
    <s v="ACT"/>
    <s v="No gap agreement"/>
    <s v="More than 125% MBS Fee to 150% MBS Fee"/>
    <n v="2815740.4"/>
    <n v="1551246.66"/>
    <n v="1264488.53"/>
    <n v="16470"/>
  </r>
  <r>
    <x v="17"/>
    <x v="2"/>
    <s v="ACT"/>
    <s v="No gap agreement"/>
    <s v="More than 150% MBS Fee to 200% MBS Fee"/>
    <n v="1981583.73"/>
    <n v="905144.19"/>
    <n v="1076428.3"/>
    <n v="13357"/>
  </r>
  <r>
    <x v="17"/>
    <x v="2"/>
    <s v="ACT"/>
    <s v="No gap agreement"/>
    <s v="More than 200% MBS Fee"/>
    <n v="378931.66"/>
    <n v="117275.27"/>
    <n v="261656.39"/>
    <n v="1143"/>
  </r>
  <r>
    <x v="17"/>
    <x v="2"/>
    <s v="NT"/>
    <s v="No agreement"/>
    <s v="Up to MBS Fee"/>
    <n v="346446.48"/>
    <n v="260012.43"/>
    <n v="86434.05"/>
    <n v="1571"/>
  </r>
  <r>
    <x v="17"/>
    <x v="2"/>
    <s v="NT"/>
    <s v="No agreement"/>
    <s v="100% MBS Fee to 125% MBS Fee"/>
    <n v="36949.599999999999"/>
    <n v="24779.96"/>
    <n v="8817.5"/>
    <n v="215"/>
  </r>
  <r>
    <x v="17"/>
    <x v="2"/>
    <s v="NT"/>
    <s v="No agreement"/>
    <s v="More than 125% MBS Fee to 150% MBS Fee"/>
    <n v="82873.91"/>
    <n v="44649.09"/>
    <n v="15559.65"/>
    <n v="231"/>
  </r>
  <r>
    <x v="17"/>
    <x v="2"/>
    <s v="NT"/>
    <s v="No agreement"/>
    <s v="More than 150% MBS Fee to 200% MBS Fee"/>
    <n v="164526.76"/>
    <n v="70681.06"/>
    <n v="35188.6"/>
    <n v="710"/>
  </r>
  <r>
    <x v="17"/>
    <x v="2"/>
    <s v="NT"/>
    <s v="No agreement"/>
    <s v="More than 200% MBS Fee"/>
    <n v="1141101.97"/>
    <n v="300542.25"/>
    <n v="100986.75"/>
    <n v="1993"/>
  </r>
  <r>
    <x v="17"/>
    <x v="2"/>
    <s v="NT"/>
    <s v="Known gap agreement"/>
    <s v="100% MBS Fee to 125% MBS Fee"/>
    <n v="24749.05"/>
    <n v="16542.45"/>
    <n v="7313.45"/>
    <n v="112"/>
  </r>
  <r>
    <x v="17"/>
    <x v="2"/>
    <s v="NT"/>
    <s v="Known gap agreement"/>
    <s v="More than 125% MBS Fee to 150% MBS Fee"/>
    <n v="41296.97"/>
    <n v="22184.05"/>
    <n v="15173.46"/>
    <n v="214"/>
  </r>
  <r>
    <x v="17"/>
    <x v="2"/>
    <s v="NT"/>
    <s v="Known gap agreement"/>
    <s v="More than 150% MBS Fee to 200% MBS Fee"/>
    <n v="126413.35"/>
    <n v="57192.85"/>
    <n v="53944.160000000003"/>
    <n v="247"/>
  </r>
  <r>
    <x v="17"/>
    <x v="2"/>
    <s v="NT"/>
    <s v="Known gap agreement"/>
    <s v="More than 200% MBS Fee"/>
    <n v="310015.63"/>
    <n v="84380.6"/>
    <n v="88949.82"/>
    <n v="1049"/>
  </r>
  <r>
    <x v="17"/>
    <x v="2"/>
    <s v="NT"/>
    <s v="No gap agreement"/>
    <s v="Up to MBS Fee"/>
    <n v="122216.69"/>
    <n v="91873.03"/>
    <n v="30343.66"/>
    <n v="1516"/>
  </r>
  <r>
    <x v="17"/>
    <x v="2"/>
    <s v="NT"/>
    <s v="No gap agreement"/>
    <s v="100% MBS Fee to 125% MBS Fee"/>
    <n v="415601.84"/>
    <n v="263161.05"/>
    <n v="152422.81"/>
    <n v="5861"/>
  </r>
  <r>
    <x v="17"/>
    <x v="2"/>
    <s v="NT"/>
    <s v="No gap agreement"/>
    <s v="More than 125% MBS Fee to 150% MBS Fee"/>
    <n v="1024433.54"/>
    <n v="559800.25"/>
    <n v="464633.17"/>
    <n v="5594"/>
  </r>
  <r>
    <x v="17"/>
    <x v="2"/>
    <s v="NT"/>
    <s v="No gap agreement"/>
    <s v="More than 150% MBS Fee to 200% MBS Fee"/>
    <n v="1191227.54"/>
    <n v="547967.30000000005"/>
    <n v="643256.59"/>
    <n v="5622"/>
  </r>
  <r>
    <x v="17"/>
    <x v="2"/>
    <s v="NT"/>
    <s v="No gap agreement"/>
    <s v="More than 200% MBS Fee"/>
    <n v="69068.25"/>
    <n v="20352"/>
    <n v="48716.25"/>
    <n v="90"/>
  </r>
  <r>
    <x v="17"/>
    <x v="3"/>
    <s v="NSW"/>
    <s v="No agreement"/>
    <s v="Up to MBS Fee"/>
    <n v="34686691.990000002"/>
    <n v="26060452.510000002"/>
    <n v="8619086.7899999991"/>
    <n v="566177"/>
  </r>
  <r>
    <x v="17"/>
    <x v="3"/>
    <s v="NSW"/>
    <s v="No agreement"/>
    <s v="100% MBS Fee to 125% MBS Fee"/>
    <n v="2246542.02"/>
    <n v="1504092.42"/>
    <n v="521282.54"/>
    <n v="11914"/>
  </r>
  <r>
    <x v="17"/>
    <x v="3"/>
    <s v="NSW"/>
    <s v="No agreement"/>
    <s v="More than 125% MBS Fee to 150% MBS Fee"/>
    <n v="3021503.51"/>
    <n v="1630555.73"/>
    <n v="601743.07999999996"/>
    <n v="12638"/>
  </r>
  <r>
    <x v="17"/>
    <x v="3"/>
    <s v="NSW"/>
    <s v="No agreement"/>
    <s v="More than 150% MBS Fee to 200% MBS Fee"/>
    <n v="14035150.16"/>
    <n v="5967227.7300000004"/>
    <n v="2188829.86"/>
    <n v="73504"/>
  </r>
  <r>
    <x v="17"/>
    <x v="3"/>
    <s v="NSW"/>
    <s v="No agreement"/>
    <s v="More than 200% MBS Fee"/>
    <n v="87471583.680000007"/>
    <n v="22163025.620000001"/>
    <n v="7423869.1200000001"/>
    <n v="146781"/>
  </r>
  <r>
    <x v="17"/>
    <x v="3"/>
    <s v="NSW"/>
    <s v="Known gap agreement"/>
    <s v="100% MBS Fee to 125% MBS Fee"/>
    <n v="1443733.65"/>
    <n v="969711.75"/>
    <n v="408479.85"/>
    <n v="8140"/>
  </r>
  <r>
    <x v="17"/>
    <x v="3"/>
    <s v="NSW"/>
    <s v="Known gap agreement"/>
    <s v="More than 125% MBS Fee to 150% MBS Fee"/>
    <n v="2491023.25"/>
    <n v="1337362.67"/>
    <n v="932239.13"/>
    <n v="9624"/>
  </r>
  <r>
    <x v="17"/>
    <x v="3"/>
    <s v="NSW"/>
    <s v="Known gap agreement"/>
    <s v="More than 150% MBS Fee to 200% MBS Fee"/>
    <n v="5275712.34"/>
    <n v="2302420.58"/>
    <n v="2241044.21"/>
    <n v="15271"/>
  </r>
  <r>
    <x v="17"/>
    <x v="3"/>
    <s v="NSW"/>
    <s v="Known gap agreement"/>
    <s v="More than 200% MBS Fee"/>
    <n v="6231194.9699999997"/>
    <n v="1735462.84"/>
    <n v="1684343.7"/>
    <n v="16464"/>
  </r>
  <r>
    <x v="17"/>
    <x v="3"/>
    <s v="NSW"/>
    <s v="No gap agreement"/>
    <s v="Up to MBS Fee"/>
    <n v="11487425.1"/>
    <n v="8631357.8699999992"/>
    <n v="2856784.88"/>
    <n v="308812"/>
  </r>
  <r>
    <x v="17"/>
    <x v="3"/>
    <s v="NSW"/>
    <s v="No gap agreement"/>
    <s v="100% MBS Fee to 125% MBS Fee"/>
    <n v="33977992.630000003"/>
    <n v="21782172.530000001"/>
    <n v="12195464.35"/>
    <n v="351081"/>
  </r>
  <r>
    <x v="17"/>
    <x v="3"/>
    <s v="NSW"/>
    <s v="No gap agreement"/>
    <s v="More than 125% MBS Fee to 150% MBS Fee"/>
    <n v="75631109.280000001"/>
    <n v="41553973.399999999"/>
    <n v="34076984.520000003"/>
    <n v="397309"/>
  </r>
  <r>
    <x v="17"/>
    <x v="3"/>
    <s v="NSW"/>
    <s v="No gap agreement"/>
    <s v="More than 150% MBS Fee to 200% MBS Fee"/>
    <n v="70921259.659999996"/>
    <n v="32359728.289999999"/>
    <n v="38561358.350000001"/>
    <n v="413774"/>
  </r>
  <r>
    <x v="17"/>
    <x v="3"/>
    <s v="NSW"/>
    <s v="No gap agreement"/>
    <s v="More than 200% MBS Fee"/>
    <n v="9642070.9399999995"/>
    <n v="2978238.41"/>
    <n v="6663829.79"/>
    <n v="36432"/>
  </r>
  <r>
    <x v="17"/>
    <x v="3"/>
    <s v="VIC"/>
    <s v="No agreement"/>
    <s v="Up to MBS Fee"/>
    <n v="11528949.23"/>
    <n v="8664049.0199999996"/>
    <n v="2864667.35"/>
    <n v="102468"/>
  </r>
  <r>
    <x v="17"/>
    <x v="3"/>
    <s v="VIC"/>
    <s v="No agreement"/>
    <s v="100% MBS Fee to 125% MBS Fee"/>
    <n v="1770704.15"/>
    <n v="1173848.78"/>
    <n v="413474.59"/>
    <n v="10732"/>
  </r>
  <r>
    <x v="17"/>
    <x v="3"/>
    <s v="VIC"/>
    <s v="No agreement"/>
    <s v="More than 125% MBS Fee to 150% MBS Fee"/>
    <n v="2113624.81"/>
    <n v="1155607.99"/>
    <n v="464455.19"/>
    <n v="19440"/>
  </r>
  <r>
    <x v="17"/>
    <x v="3"/>
    <s v="VIC"/>
    <s v="No agreement"/>
    <s v="More than 150% MBS Fee to 200% MBS Fee"/>
    <n v="4708967.33"/>
    <n v="2012225.03"/>
    <n v="965060.89"/>
    <n v="22770"/>
  </r>
  <r>
    <x v="17"/>
    <x v="3"/>
    <s v="VIC"/>
    <s v="No agreement"/>
    <s v="More than 200% MBS Fee"/>
    <n v="21479768.140000001"/>
    <n v="5587243.1799999997"/>
    <n v="1878413.47"/>
    <n v="45100"/>
  </r>
  <r>
    <x v="17"/>
    <x v="3"/>
    <s v="VIC"/>
    <s v="Known gap agreement"/>
    <s v="100% MBS Fee to 125% MBS Fee"/>
    <n v="2306944.2799999998"/>
    <n v="1536064.16"/>
    <n v="648487.15"/>
    <n v="12149"/>
  </r>
  <r>
    <x v="17"/>
    <x v="3"/>
    <s v="VIC"/>
    <s v="Known gap agreement"/>
    <s v="More than 125% MBS Fee to 150% MBS Fee"/>
    <n v="4450020.13"/>
    <n v="2426197.81"/>
    <n v="1643032.69"/>
    <n v="17579"/>
  </r>
  <r>
    <x v="17"/>
    <x v="3"/>
    <s v="VIC"/>
    <s v="Known gap agreement"/>
    <s v="More than 150% MBS Fee to 200% MBS Fee"/>
    <n v="6821186.9699999997"/>
    <n v="2972603.91"/>
    <n v="2722700.59"/>
    <n v="20095"/>
  </r>
  <r>
    <x v="17"/>
    <x v="3"/>
    <s v="VIC"/>
    <s v="Known gap agreement"/>
    <s v="More than 200% MBS Fee"/>
    <n v="8386120.2199999997"/>
    <n v="2366340.7400000002"/>
    <n v="2407366.04"/>
    <n v="22099"/>
  </r>
  <r>
    <x v="17"/>
    <x v="3"/>
    <s v="VIC"/>
    <s v="No gap agreement"/>
    <s v="Up to MBS Fee"/>
    <n v="13061207.140000001"/>
    <n v="9832384.0999999996"/>
    <n v="3228964.91"/>
    <n v="257674"/>
  </r>
  <r>
    <x v="17"/>
    <x v="3"/>
    <s v="VIC"/>
    <s v="No gap agreement"/>
    <s v="100% MBS Fee to 125% MBS Fee"/>
    <n v="36575494.390000001"/>
    <n v="23447664.210000001"/>
    <n v="13127765.279999999"/>
    <n v="355734"/>
  </r>
  <r>
    <x v="17"/>
    <x v="3"/>
    <s v="VIC"/>
    <s v="No gap agreement"/>
    <s v="More than 125% MBS Fee to 150% MBS Fee"/>
    <n v="82372381.909999996"/>
    <n v="45495947.640000001"/>
    <n v="36876363.200000003"/>
    <n v="611403"/>
  </r>
  <r>
    <x v="17"/>
    <x v="3"/>
    <s v="VIC"/>
    <s v="No gap agreement"/>
    <s v="More than 150% MBS Fee to 200% MBS Fee"/>
    <n v="79141960"/>
    <n v="35833916.450000003"/>
    <n v="43307887.890000001"/>
    <n v="417300"/>
  </r>
  <r>
    <x v="17"/>
    <x v="3"/>
    <s v="VIC"/>
    <s v="No gap agreement"/>
    <s v="More than 200% MBS Fee"/>
    <n v="4646004.32"/>
    <n v="1301252.73"/>
    <n v="3344751.59"/>
    <n v="10063"/>
  </r>
  <r>
    <x v="17"/>
    <x v="3"/>
    <s v="QLD"/>
    <s v="No agreement"/>
    <s v="Up to MBS Fee"/>
    <n v="9409439.7599999998"/>
    <n v="7067125.2599999998"/>
    <n v="2335458.2200000002"/>
    <n v="63474"/>
  </r>
  <r>
    <x v="17"/>
    <x v="3"/>
    <s v="QLD"/>
    <s v="No agreement"/>
    <s v="100% MBS Fee to 125% MBS Fee"/>
    <n v="1728265.35"/>
    <n v="1149279.98"/>
    <n v="410977.65"/>
    <n v="10765"/>
  </r>
  <r>
    <x v="17"/>
    <x v="3"/>
    <s v="QLD"/>
    <s v="No agreement"/>
    <s v="More than 125% MBS Fee to 150% MBS Fee"/>
    <n v="3013937.73"/>
    <n v="1644875.42"/>
    <n v="664040.81000000006"/>
    <n v="16900"/>
  </r>
  <r>
    <x v="17"/>
    <x v="3"/>
    <s v="QLD"/>
    <s v="No agreement"/>
    <s v="More than 150% MBS Fee to 200% MBS Fee"/>
    <n v="8686401.7300000004"/>
    <n v="3688231.13"/>
    <n v="1398936.15"/>
    <n v="27828"/>
  </r>
  <r>
    <x v="17"/>
    <x v="3"/>
    <s v="QLD"/>
    <s v="No agreement"/>
    <s v="More than 200% MBS Fee"/>
    <n v="44119216.109999999"/>
    <n v="11837723.93"/>
    <n v="3979785.97"/>
    <n v="83245"/>
  </r>
  <r>
    <x v="17"/>
    <x v="3"/>
    <s v="QLD"/>
    <s v="Known gap agreement"/>
    <s v="100% MBS Fee to 125% MBS Fee"/>
    <n v="859281.52"/>
    <n v="565379.76"/>
    <n v="242349.51"/>
    <n v="4035"/>
  </r>
  <r>
    <x v="17"/>
    <x v="3"/>
    <s v="QLD"/>
    <s v="Known gap agreement"/>
    <s v="More than 125% MBS Fee to 150% MBS Fee"/>
    <n v="2344254.61"/>
    <n v="1271255.99"/>
    <n v="878194.19"/>
    <n v="8836"/>
  </r>
  <r>
    <x v="17"/>
    <x v="3"/>
    <s v="QLD"/>
    <s v="Known gap agreement"/>
    <s v="More than 150% MBS Fee to 200% MBS Fee"/>
    <n v="4786386.3099999996"/>
    <n v="2062507.63"/>
    <n v="1959316.69"/>
    <n v="10756"/>
  </r>
  <r>
    <x v="17"/>
    <x v="3"/>
    <s v="QLD"/>
    <s v="Known gap agreement"/>
    <s v="More than 200% MBS Fee"/>
    <n v="7597424.2599999998"/>
    <n v="2266252.79"/>
    <n v="2410418.0299999998"/>
    <n v="20001"/>
  </r>
  <r>
    <x v="17"/>
    <x v="3"/>
    <s v="QLD"/>
    <s v="No gap agreement"/>
    <s v="Up to MBS Fee"/>
    <n v="6862687.6600000001"/>
    <n v="5164830.0599999996"/>
    <n v="1697857.23"/>
    <n v="96485"/>
  </r>
  <r>
    <x v="17"/>
    <x v="3"/>
    <s v="QLD"/>
    <s v="No gap agreement"/>
    <s v="100% MBS Fee to 125% MBS Fee"/>
    <n v="30056068.219999999"/>
    <n v="19271300.77"/>
    <n v="10784617.76"/>
    <n v="305151"/>
  </r>
  <r>
    <x v="17"/>
    <x v="3"/>
    <s v="QLD"/>
    <s v="No gap agreement"/>
    <s v="More than 125% MBS Fee to 150% MBS Fee"/>
    <n v="64513639.170000002"/>
    <n v="35820928.789999999"/>
    <n v="28692453.530000001"/>
    <n v="572756"/>
  </r>
  <r>
    <x v="17"/>
    <x v="3"/>
    <s v="QLD"/>
    <s v="No gap agreement"/>
    <s v="More than 150% MBS Fee to 200% MBS Fee"/>
    <n v="47943399.549999997"/>
    <n v="22152421.870000001"/>
    <n v="25790917.59"/>
    <n v="282909"/>
  </r>
  <r>
    <x v="17"/>
    <x v="3"/>
    <s v="QLD"/>
    <s v="No gap agreement"/>
    <s v="More than 200% MBS Fee"/>
    <n v="6288185.2400000002"/>
    <n v="1827709.52"/>
    <n v="4460475.82"/>
    <n v="10497"/>
  </r>
  <r>
    <x v="17"/>
    <x v="3"/>
    <s v="SA"/>
    <s v="No agreement"/>
    <s v="Up to MBS Fee"/>
    <n v="2772540.61"/>
    <n v="2081733.62"/>
    <n v="690806.98"/>
    <n v="30401"/>
  </r>
  <r>
    <x v="17"/>
    <x v="3"/>
    <s v="SA"/>
    <s v="No agreement"/>
    <s v="100% MBS Fee to 125% MBS Fee"/>
    <n v="340262.42"/>
    <n v="221835.22"/>
    <n v="87963.54"/>
    <n v="2412"/>
  </r>
  <r>
    <x v="17"/>
    <x v="3"/>
    <s v="SA"/>
    <s v="No agreement"/>
    <s v="More than 125% MBS Fee to 150% MBS Fee"/>
    <n v="793851.27"/>
    <n v="425410.32"/>
    <n v="189560.08"/>
    <n v="4620"/>
  </r>
  <r>
    <x v="17"/>
    <x v="3"/>
    <s v="SA"/>
    <s v="No agreement"/>
    <s v="More than 150% MBS Fee to 200% MBS Fee"/>
    <n v="1299954.6100000001"/>
    <n v="570568.95999999996"/>
    <n v="503537.67"/>
    <n v="6321"/>
  </r>
  <r>
    <x v="17"/>
    <x v="3"/>
    <s v="SA"/>
    <s v="No agreement"/>
    <s v="More than 200% MBS Fee"/>
    <n v="2294519.5099999998"/>
    <n v="607992.24"/>
    <n v="218506.35"/>
    <n v="6907"/>
  </r>
  <r>
    <x v="17"/>
    <x v="3"/>
    <s v="SA"/>
    <s v="Known gap agreement"/>
    <s v="100% MBS Fee to 125% MBS Fee"/>
    <n v="591610.59"/>
    <n v="397306.9"/>
    <n v="173799.23"/>
    <n v="2842"/>
  </r>
  <r>
    <x v="17"/>
    <x v="3"/>
    <s v="SA"/>
    <s v="Known gap agreement"/>
    <s v="More than 125% MBS Fee to 150% MBS Fee"/>
    <n v="822962.07"/>
    <n v="447800.07"/>
    <n v="288651.90999999997"/>
    <n v="3881"/>
  </r>
  <r>
    <x v="17"/>
    <x v="3"/>
    <s v="SA"/>
    <s v="Known gap agreement"/>
    <s v="More than 150% MBS Fee to 200% MBS Fee"/>
    <n v="2480516.84"/>
    <n v="1062195.3"/>
    <n v="1080918.72"/>
    <n v="3989"/>
  </r>
  <r>
    <x v="17"/>
    <x v="3"/>
    <s v="SA"/>
    <s v="Known gap agreement"/>
    <s v="More than 200% MBS Fee"/>
    <n v="1359237.47"/>
    <n v="385107.51"/>
    <n v="438639.2"/>
    <n v="3026"/>
  </r>
  <r>
    <x v="17"/>
    <x v="3"/>
    <s v="SA"/>
    <s v="No gap agreement"/>
    <s v="Up to MBS Fee"/>
    <n v="3509444.56"/>
    <n v="2638466.09"/>
    <n v="870993.67"/>
    <n v="38030"/>
  </r>
  <r>
    <x v="17"/>
    <x v="3"/>
    <s v="SA"/>
    <s v="No gap agreement"/>
    <s v="100% MBS Fee to 125% MBS Fee"/>
    <n v="8696041.7699999996"/>
    <n v="5593299.29"/>
    <n v="3102679.82"/>
    <n v="106571"/>
  </r>
  <r>
    <x v="17"/>
    <x v="3"/>
    <s v="SA"/>
    <s v="No gap agreement"/>
    <s v="More than 125% MBS Fee to 150% MBS Fee"/>
    <n v="18882896.600000001"/>
    <n v="10314102.439999999"/>
    <n v="8568782.4299999997"/>
    <n v="147572"/>
  </r>
  <r>
    <x v="17"/>
    <x v="3"/>
    <s v="SA"/>
    <s v="No gap agreement"/>
    <s v="More than 150% MBS Fee to 200% MBS Fee"/>
    <n v="32928411.48"/>
    <n v="14822759.029999999"/>
    <n v="18105602.600000001"/>
    <n v="139142"/>
  </r>
  <r>
    <x v="17"/>
    <x v="3"/>
    <s v="SA"/>
    <s v="No gap agreement"/>
    <s v="More than 200% MBS Fee"/>
    <n v="1860659.74"/>
    <n v="505458.89"/>
    <n v="1355200.85"/>
    <n v="3055"/>
  </r>
  <r>
    <x v="17"/>
    <x v="3"/>
    <s v="WA"/>
    <s v="No agreement"/>
    <s v="Up to MBS Fee"/>
    <n v="2421592.87"/>
    <n v="1819666.02"/>
    <n v="601663.56999999995"/>
    <n v="39868"/>
  </r>
  <r>
    <x v="17"/>
    <x v="3"/>
    <s v="WA"/>
    <s v="No agreement"/>
    <s v="100% MBS Fee to 125% MBS Fee"/>
    <n v="341311.17"/>
    <n v="225444.91"/>
    <n v="77029.23"/>
    <n v="2275"/>
  </r>
  <r>
    <x v="17"/>
    <x v="3"/>
    <s v="WA"/>
    <s v="No agreement"/>
    <s v="More than 125% MBS Fee to 150% MBS Fee"/>
    <n v="1106018.44"/>
    <n v="604910.91"/>
    <n v="211467.15"/>
    <n v="6989"/>
  </r>
  <r>
    <x v="17"/>
    <x v="3"/>
    <s v="WA"/>
    <s v="No agreement"/>
    <s v="More than 150% MBS Fee to 200% MBS Fee"/>
    <n v="2475114.1800000002"/>
    <n v="1069282.79"/>
    <n v="369688.11"/>
    <n v="8351"/>
  </r>
  <r>
    <x v="17"/>
    <x v="3"/>
    <s v="WA"/>
    <s v="No agreement"/>
    <s v="More than 200% MBS Fee"/>
    <n v="7345147.5999999996"/>
    <n v="1897421.72"/>
    <n v="647988.17000000004"/>
    <n v="21287"/>
  </r>
  <r>
    <x v="17"/>
    <x v="3"/>
    <s v="WA"/>
    <s v="Known gap agreement"/>
    <s v="100% MBS Fee to 125% MBS Fee"/>
    <n v="1970829.98"/>
    <n v="1350671.97"/>
    <n v="587474.12"/>
    <n v="11938"/>
  </r>
  <r>
    <x v="17"/>
    <x v="3"/>
    <s v="WA"/>
    <s v="Known gap agreement"/>
    <s v="More than 125% MBS Fee to 150% MBS Fee"/>
    <n v="3870545.01"/>
    <n v="2091491.65"/>
    <n v="1532452.34"/>
    <n v="38409"/>
  </r>
  <r>
    <x v="17"/>
    <x v="3"/>
    <s v="WA"/>
    <s v="Known gap agreement"/>
    <s v="More than 150% MBS Fee to 200% MBS Fee"/>
    <n v="7277116.2000000002"/>
    <n v="3205444.17"/>
    <n v="2415679.02"/>
    <n v="19538"/>
  </r>
  <r>
    <x v="17"/>
    <x v="3"/>
    <s v="WA"/>
    <s v="Known gap agreement"/>
    <s v="More than 200% MBS Fee"/>
    <n v="10667977.67"/>
    <n v="2958118.15"/>
    <n v="1958063.17"/>
    <n v="20614"/>
  </r>
  <r>
    <x v="17"/>
    <x v="3"/>
    <s v="WA"/>
    <s v="No gap agreement"/>
    <s v="Up to MBS Fee"/>
    <n v="1271453.52"/>
    <n v="960842.79"/>
    <n v="310610.71000000002"/>
    <n v="13068"/>
  </r>
  <r>
    <x v="17"/>
    <x v="3"/>
    <s v="WA"/>
    <s v="No gap agreement"/>
    <s v="100% MBS Fee to 125% MBS Fee"/>
    <n v="6902995.4900000002"/>
    <n v="4425863.8499999996"/>
    <n v="2477126.02"/>
    <n v="69149"/>
  </r>
  <r>
    <x v="17"/>
    <x v="3"/>
    <s v="WA"/>
    <s v="No gap agreement"/>
    <s v="More than 125% MBS Fee to 150% MBS Fee"/>
    <n v="29788128.530000001"/>
    <n v="16480488.960000001"/>
    <n v="13307635.529999999"/>
    <n v="218347"/>
  </r>
  <r>
    <x v="17"/>
    <x v="3"/>
    <s v="WA"/>
    <s v="No gap agreement"/>
    <s v="More than 150% MBS Fee to 200% MBS Fee"/>
    <n v="34357105.259999998"/>
    <n v="15189826.77"/>
    <n v="19167269.109999999"/>
    <n v="159809"/>
  </r>
  <r>
    <x v="17"/>
    <x v="3"/>
    <s v="WA"/>
    <s v="No gap agreement"/>
    <s v="More than 200% MBS Fee"/>
    <n v="3571750.65"/>
    <n v="934746.35"/>
    <n v="2637004.2999999998"/>
    <n v="2484"/>
  </r>
  <r>
    <x v="17"/>
    <x v="3"/>
    <s v="TAS"/>
    <s v="No agreement"/>
    <s v="Up to MBS Fee"/>
    <n v="1161812.26"/>
    <n v="873124.12"/>
    <n v="288688.69"/>
    <n v="15225"/>
  </r>
  <r>
    <x v="17"/>
    <x v="3"/>
    <s v="TAS"/>
    <s v="No agreement"/>
    <s v="100% MBS Fee to 125% MBS Fee"/>
    <n v="139664.68"/>
    <n v="94204.53"/>
    <n v="33414.78"/>
    <n v="820"/>
  </r>
  <r>
    <x v="17"/>
    <x v="3"/>
    <s v="TAS"/>
    <s v="No agreement"/>
    <s v="More than 125% MBS Fee to 150% MBS Fee"/>
    <n v="154067.62"/>
    <n v="83143.94"/>
    <n v="35403.300000000003"/>
    <n v="466"/>
  </r>
  <r>
    <x v="17"/>
    <x v="3"/>
    <s v="TAS"/>
    <s v="No agreement"/>
    <s v="More than 150% MBS Fee to 200% MBS Fee"/>
    <n v="609371.24"/>
    <n v="265069.94"/>
    <n v="101217.15"/>
    <n v="1566"/>
  </r>
  <r>
    <x v="17"/>
    <x v="3"/>
    <s v="TAS"/>
    <s v="No agreement"/>
    <s v="More than 200% MBS Fee"/>
    <n v="2085139.09"/>
    <n v="531031.81000000006"/>
    <n v="178009.81"/>
    <n v="3679"/>
  </r>
  <r>
    <x v="17"/>
    <x v="3"/>
    <s v="TAS"/>
    <s v="Known gap agreement"/>
    <s v="100% MBS Fee to 125% MBS Fee"/>
    <n v="168142.64"/>
    <n v="110947.28"/>
    <n v="49049.98"/>
    <n v="576"/>
  </r>
  <r>
    <x v="17"/>
    <x v="3"/>
    <s v="TAS"/>
    <s v="Known gap agreement"/>
    <s v="More than 125% MBS Fee to 150% MBS Fee"/>
    <n v="208394"/>
    <n v="113261.56"/>
    <n v="85469.72"/>
    <n v="926"/>
  </r>
  <r>
    <x v="17"/>
    <x v="3"/>
    <s v="TAS"/>
    <s v="Known gap agreement"/>
    <s v="More than 150% MBS Fee to 200% MBS Fee"/>
    <n v="798964.87"/>
    <n v="346654.81"/>
    <n v="351375.44"/>
    <n v="1777"/>
  </r>
  <r>
    <x v="17"/>
    <x v="3"/>
    <s v="TAS"/>
    <s v="Known gap agreement"/>
    <s v="More than 200% MBS Fee"/>
    <n v="1152507.1399999999"/>
    <n v="337041.54"/>
    <n v="392354.94"/>
    <n v="4378"/>
  </r>
  <r>
    <x v="17"/>
    <x v="3"/>
    <s v="TAS"/>
    <s v="No gap agreement"/>
    <s v="Up to MBS Fee"/>
    <n v="1049745.8899999999"/>
    <n v="788701.8"/>
    <n v="261044.09"/>
    <n v="10411"/>
  </r>
  <r>
    <x v="17"/>
    <x v="3"/>
    <s v="TAS"/>
    <s v="No gap agreement"/>
    <s v="100% MBS Fee to 125% MBS Fee"/>
    <n v="2758901.97"/>
    <n v="1755135.8"/>
    <n v="1003751.91"/>
    <n v="20648"/>
  </r>
  <r>
    <x v="17"/>
    <x v="3"/>
    <s v="TAS"/>
    <s v="No gap agreement"/>
    <s v="More than 125% MBS Fee to 150% MBS Fee"/>
    <n v="6633659.4400000004"/>
    <n v="3628144.91"/>
    <n v="3005509.82"/>
    <n v="39489"/>
  </r>
  <r>
    <x v="17"/>
    <x v="3"/>
    <s v="TAS"/>
    <s v="No gap agreement"/>
    <s v="More than 150% MBS Fee to 200% MBS Fee"/>
    <n v="5877009.2300000004"/>
    <n v="2689493.11"/>
    <n v="3187514.79"/>
    <n v="34017"/>
  </r>
  <r>
    <x v="17"/>
    <x v="3"/>
    <s v="TAS"/>
    <s v="No gap agreement"/>
    <s v="More than 200% MBS Fee"/>
    <n v="631795.5"/>
    <n v="178449.65"/>
    <n v="453345.85"/>
    <n v="507"/>
  </r>
  <r>
    <x v="17"/>
    <x v="3"/>
    <s v="ACT"/>
    <s v="No agreement"/>
    <s v="Up to MBS Fee"/>
    <n v="1078533.58"/>
    <n v="812362.12"/>
    <n v="265446.55"/>
    <n v="10241"/>
  </r>
  <r>
    <x v="17"/>
    <x v="3"/>
    <s v="ACT"/>
    <s v="No agreement"/>
    <s v="100% MBS Fee to 125% MBS Fee"/>
    <n v="94669.39"/>
    <n v="61271.92"/>
    <n v="20438.75"/>
    <n v="537"/>
  </r>
  <r>
    <x v="17"/>
    <x v="3"/>
    <s v="ACT"/>
    <s v="No agreement"/>
    <s v="More than 125% MBS Fee to 150% MBS Fee"/>
    <n v="128085.77"/>
    <n v="70159.45"/>
    <n v="23835.32"/>
    <n v="458"/>
  </r>
  <r>
    <x v="17"/>
    <x v="3"/>
    <s v="ACT"/>
    <s v="No agreement"/>
    <s v="More than 150% MBS Fee to 200% MBS Fee"/>
    <n v="869786.28"/>
    <n v="360833.1"/>
    <n v="122826.94"/>
    <n v="3175"/>
  </r>
  <r>
    <x v="17"/>
    <x v="3"/>
    <s v="ACT"/>
    <s v="No agreement"/>
    <s v="More than 200% MBS Fee"/>
    <n v="6557795.1100000003"/>
    <n v="1661190.72"/>
    <n v="560339.01"/>
    <n v="10707"/>
  </r>
  <r>
    <x v="17"/>
    <x v="3"/>
    <s v="ACT"/>
    <s v="Known gap agreement"/>
    <s v="100% MBS Fee to 125% MBS Fee"/>
    <n v="76414.97"/>
    <n v="47423.7"/>
    <n v="21140.2"/>
    <n v="269"/>
  </r>
  <r>
    <x v="17"/>
    <x v="3"/>
    <s v="ACT"/>
    <s v="Known gap agreement"/>
    <s v="More than 125% MBS Fee to 150% MBS Fee"/>
    <n v="173377.45"/>
    <n v="95052.33"/>
    <n v="65201.03"/>
    <n v="711"/>
  </r>
  <r>
    <x v="17"/>
    <x v="3"/>
    <s v="ACT"/>
    <s v="Known gap agreement"/>
    <s v="More than 150% MBS Fee to 200% MBS Fee"/>
    <n v="201966.02"/>
    <n v="85381.89"/>
    <n v="81558.25"/>
    <n v="613"/>
  </r>
  <r>
    <x v="17"/>
    <x v="3"/>
    <s v="ACT"/>
    <s v="Known gap agreement"/>
    <s v="More than 200% MBS Fee"/>
    <n v="539156.42000000004"/>
    <n v="145990.20000000001"/>
    <n v="161675.21"/>
    <n v="1843"/>
  </r>
  <r>
    <x v="17"/>
    <x v="3"/>
    <s v="ACT"/>
    <s v="No gap agreement"/>
    <s v="Up to MBS Fee"/>
    <n v="392387.93"/>
    <n v="295078.46000000002"/>
    <n v="97309.17"/>
    <n v="13204"/>
  </r>
  <r>
    <x v="17"/>
    <x v="3"/>
    <s v="ACT"/>
    <s v="No gap agreement"/>
    <s v="100% MBS Fee to 125% MBS Fee"/>
    <n v="1067933.21"/>
    <n v="688364.03"/>
    <n v="379485.23"/>
    <n v="12480"/>
  </r>
  <r>
    <x v="17"/>
    <x v="3"/>
    <s v="ACT"/>
    <s v="No gap agreement"/>
    <s v="More than 125% MBS Fee to 150% MBS Fee"/>
    <n v="2397743.2999999998"/>
    <n v="1321734.04"/>
    <n v="1076003.42"/>
    <n v="13852"/>
  </r>
  <r>
    <x v="17"/>
    <x v="3"/>
    <s v="ACT"/>
    <s v="No gap agreement"/>
    <s v="More than 150% MBS Fee to 200% MBS Fee"/>
    <n v="1794847.46"/>
    <n v="820240.26"/>
    <n v="974601.38"/>
    <n v="11581"/>
  </r>
  <r>
    <x v="17"/>
    <x v="3"/>
    <s v="ACT"/>
    <s v="No gap agreement"/>
    <s v="More than 200% MBS Fee"/>
    <n v="340333.39"/>
    <n v="105901.49"/>
    <n v="234429.96"/>
    <n v="806"/>
  </r>
  <r>
    <x v="17"/>
    <x v="3"/>
    <s v="NT"/>
    <s v="No agreement"/>
    <s v="Up to MBS Fee"/>
    <n v="355542.43"/>
    <n v="266777.09000000003"/>
    <n v="88765.34"/>
    <n v="2018"/>
  </r>
  <r>
    <x v="17"/>
    <x v="3"/>
    <s v="NT"/>
    <s v="No agreement"/>
    <s v="100% MBS Fee to 125% MBS Fee"/>
    <n v="28733.15"/>
    <n v="19048.599999999999"/>
    <n v="6535.2"/>
    <n v="159"/>
  </r>
  <r>
    <x v="17"/>
    <x v="3"/>
    <s v="NT"/>
    <s v="No agreement"/>
    <s v="More than 125% MBS Fee to 150% MBS Fee"/>
    <n v="72942.02"/>
    <n v="39110.410000000003"/>
    <n v="13291.15"/>
    <n v="221"/>
  </r>
  <r>
    <x v="17"/>
    <x v="3"/>
    <s v="NT"/>
    <s v="No agreement"/>
    <s v="More than 150% MBS Fee to 200% MBS Fee"/>
    <n v="148383.97"/>
    <n v="63202.69"/>
    <n v="22701.9"/>
    <n v="553"/>
  </r>
  <r>
    <x v="17"/>
    <x v="3"/>
    <s v="NT"/>
    <s v="No agreement"/>
    <s v="More than 200% MBS Fee"/>
    <n v="1258282.74"/>
    <n v="331785.39"/>
    <n v="110577.74"/>
    <n v="2046"/>
  </r>
  <r>
    <x v="17"/>
    <x v="3"/>
    <s v="NT"/>
    <s v="Known gap agreement"/>
    <s v="100% MBS Fee to 125% MBS Fee"/>
    <n v="13018.95"/>
    <n v="8813.65"/>
    <n v="3680.53"/>
    <n v="92"/>
  </r>
  <r>
    <x v="17"/>
    <x v="3"/>
    <s v="NT"/>
    <s v="Known gap agreement"/>
    <s v="More than 125% MBS Fee to 150% MBS Fee"/>
    <n v="44506.58"/>
    <n v="23885.93"/>
    <n v="16216.76"/>
    <n v="197"/>
  </r>
  <r>
    <x v="17"/>
    <x v="3"/>
    <s v="NT"/>
    <s v="Known gap agreement"/>
    <s v="More than 150% MBS Fee to 200% MBS Fee"/>
    <n v="127993.44"/>
    <n v="56722.2"/>
    <n v="54203.03"/>
    <n v="268"/>
  </r>
  <r>
    <x v="17"/>
    <x v="3"/>
    <s v="NT"/>
    <s v="Known gap agreement"/>
    <s v="More than 200% MBS Fee"/>
    <n v="293953.24"/>
    <n v="77993.600000000006"/>
    <n v="87806.75"/>
    <n v="952"/>
  </r>
  <r>
    <x v="17"/>
    <x v="3"/>
    <s v="NT"/>
    <s v="No gap agreement"/>
    <s v="Up to MBS Fee"/>
    <n v="145500.26"/>
    <n v="109644.12"/>
    <n v="36007.74"/>
    <n v="1500"/>
  </r>
  <r>
    <x v="17"/>
    <x v="3"/>
    <s v="NT"/>
    <s v="No gap agreement"/>
    <s v="100% MBS Fee to 125% MBS Fee"/>
    <n v="394166.45"/>
    <n v="250860.48"/>
    <n v="143305.76"/>
    <n v="5239"/>
  </r>
  <r>
    <x v="17"/>
    <x v="3"/>
    <s v="NT"/>
    <s v="No gap agreement"/>
    <s v="More than 125% MBS Fee to 150% MBS Fee"/>
    <n v="952557.1"/>
    <n v="520761.29"/>
    <n v="431793.6"/>
    <n v="4913"/>
  </r>
  <r>
    <x v="17"/>
    <x v="3"/>
    <s v="NT"/>
    <s v="No gap agreement"/>
    <s v="More than 150% MBS Fee to 200% MBS Fee"/>
    <n v="1333074.06"/>
    <n v="611391.9"/>
    <n v="721682.51"/>
    <n v="6448"/>
  </r>
  <r>
    <x v="17"/>
    <x v="3"/>
    <s v="NT"/>
    <s v="No gap agreement"/>
    <s v="More than 200% MBS Fee"/>
    <n v="35916.35"/>
    <n v="11276.7"/>
    <n v="24639.35"/>
    <n v="78"/>
  </r>
  <r>
    <x v="17"/>
    <x v="1"/>
    <s v="NSW"/>
    <s v="No agreement"/>
    <s v="Up to MBS Fee"/>
    <n v="36063679.57"/>
    <n v="27076407.379999999"/>
    <n v="8973096.6199999992"/>
    <n v="591440"/>
  </r>
  <r>
    <x v="17"/>
    <x v="1"/>
    <s v="NSW"/>
    <s v="No agreement"/>
    <s v="100% MBS Fee to 125% MBS Fee"/>
    <n v="2322476.19"/>
    <n v="1544014.93"/>
    <n v="543283.26"/>
    <n v="12631"/>
  </r>
  <r>
    <x v="17"/>
    <x v="1"/>
    <s v="NSW"/>
    <s v="No agreement"/>
    <s v="More than 125% MBS Fee to 150% MBS Fee"/>
    <n v="3194673.71"/>
    <n v="1723837.81"/>
    <n v="664569.57999999996"/>
    <n v="13205"/>
  </r>
  <r>
    <x v="17"/>
    <x v="1"/>
    <s v="NSW"/>
    <s v="No agreement"/>
    <s v="More than 150% MBS Fee to 200% MBS Fee"/>
    <n v="14749149.99"/>
    <n v="6296086.3200000003"/>
    <n v="2311747.88"/>
    <n v="80472"/>
  </r>
  <r>
    <x v="17"/>
    <x v="1"/>
    <s v="NSW"/>
    <s v="No agreement"/>
    <s v="More than 200% MBS Fee"/>
    <n v="94893208.099999994"/>
    <n v="24005585.34"/>
    <n v="8059182.21"/>
    <n v="158577"/>
  </r>
  <r>
    <x v="17"/>
    <x v="1"/>
    <s v="NSW"/>
    <s v="Known gap agreement"/>
    <s v="100% MBS Fee to 125% MBS Fee"/>
    <n v="1445474.43"/>
    <n v="969266.32"/>
    <n v="408329.62"/>
    <n v="7553"/>
  </r>
  <r>
    <x v="17"/>
    <x v="1"/>
    <s v="NSW"/>
    <s v="Known gap agreement"/>
    <s v="More than 125% MBS Fee to 150% MBS Fee"/>
    <n v="2231790.14"/>
    <n v="1194352.52"/>
    <n v="818235.56"/>
    <n v="8231"/>
  </r>
  <r>
    <x v="17"/>
    <x v="1"/>
    <s v="NSW"/>
    <s v="Known gap agreement"/>
    <s v="More than 150% MBS Fee to 200% MBS Fee"/>
    <n v="5019456.3499999996"/>
    <n v="2186756.23"/>
    <n v="2094201.86"/>
    <n v="14412"/>
  </r>
  <r>
    <x v="17"/>
    <x v="1"/>
    <s v="NSW"/>
    <s v="Known gap agreement"/>
    <s v="More than 200% MBS Fee"/>
    <n v="6851268.3899999997"/>
    <n v="1892500.55"/>
    <n v="1786283.98"/>
    <n v="17210"/>
  </r>
  <r>
    <x v="17"/>
    <x v="1"/>
    <s v="NSW"/>
    <s v="No gap agreement"/>
    <s v="Up to MBS Fee"/>
    <n v="14624611.939999999"/>
    <n v="10992511.949999999"/>
    <n v="3632244.33"/>
    <n v="392244"/>
  </r>
  <r>
    <x v="17"/>
    <x v="1"/>
    <s v="NSW"/>
    <s v="No gap agreement"/>
    <s v="100% MBS Fee to 125% MBS Fee"/>
    <n v="38573660.18"/>
    <n v="24704064.449999999"/>
    <n v="13869439.640000001"/>
    <n v="402985"/>
  </r>
  <r>
    <x v="17"/>
    <x v="1"/>
    <s v="NSW"/>
    <s v="No gap agreement"/>
    <s v="More than 125% MBS Fee to 150% MBS Fee"/>
    <n v="86431153.790000007"/>
    <n v="47508609.68"/>
    <n v="38922359.369999997"/>
    <n v="481652"/>
  </r>
  <r>
    <x v="17"/>
    <x v="1"/>
    <s v="NSW"/>
    <s v="No gap agreement"/>
    <s v="More than 150% MBS Fee to 200% MBS Fee"/>
    <n v="82459864.109999999"/>
    <n v="37684021.670000002"/>
    <n v="44775566.920000002"/>
    <n v="479632"/>
  </r>
  <r>
    <x v="17"/>
    <x v="1"/>
    <s v="NSW"/>
    <s v="No gap agreement"/>
    <s v="More than 200% MBS Fee"/>
    <n v="10627122.119999999"/>
    <n v="3280381.36"/>
    <n v="7346734.8700000001"/>
    <n v="41720"/>
  </r>
  <r>
    <x v="17"/>
    <x v="1"/>
    <s v="VIC"/>
    <s v="No agreement"/>
    <s v="Up to MBS Fee"/>
    <n v="9784206.6699999999"/>
    <n v="7374181.9199999999"/>
    <n v="2407728.9700000002"/>
    <n v="88072"/>
  </r>
  <r>
    <x v="17"/>
    <x v="1"/>
    <s v="VIC"/>
    <s v="No agreement"/>
    <s v="100% MBS Fee to 125% MBS Fee"/>
    <n v="1851896.26"/>
    <n v="1215045.6499999999"/>
    <n v="436429.8"/>
    <n v="10524"/>
  </r>
  <r>
    <x v="17"/>
    <x v="1"/>
    <s v="VIC"/>
    <s v="No agreement"/>
    <s v="More than 125% MBS Fee to 150% MBS Fee"/>
    <n v="2194837.75"/>
    <n v="1203161.32"/>
    <n v="544991.56000000006"/>
    <n v="20474"/>
  </r>
  <r>
    <x v="17"/>
    <x v="1"/>
    <s v="VIC"/>
    <s v="No agreement"/>
    <s v="More than 150% MBS Fee to 200% MBS Fee"/>
    <n v="4571056.72"/>
    <n v="1956553.67"/>
    <n v="995288.27"/>
    <n v="20382"/>
  </r>
  <r>
    <x v="17"/>
    <x v="1"/>
    <s v="VIC"/>
    <s v="No agreement"/>
    <s v="More than 200% MBS Fee"/>
    <n v="22297691.940000001"/>
    <n v="5844036.96"/>
    <n v="1977500.28"/>
    <n v="48014"/>
  </r>
  <r>
    <x v="17"/>
    <x v="1"/>
    <s v="VIC"/>
    <s v="Known gap agreement"/>
    <s v="100% MBS Fee to 125% MBS Fee"/>
    <n v="2622320.61"/>
    <n v="1735536.99"/>
    <n v="754855.84"/>
    <n v="15457"/>
  </r>
  <r>
    <x v="17"/>
    <x v="1"/>
    <s v="VIC"/>
    <s v="Known gap agreement"/>
    <s v="More than 125% MBS Fee to 150% MBS Fee"/>
    <n v="4562725.18"/>
    <n v="2484983.65"/>
    <n v="1645367.39"/>
    <n v="19316"/>
  </r>
  <r>
    <x v="17"/>
    <x v="1"/>
    <s v="VIC"/>
    <s v="Known gap agreement"/>
    <s v="More than 150% MBS Fee to 200% MBS Fee"/>
    <n v="7368915.7400000002"/>
    <n v="3197186.95"/>
    <n v="2858773.7"/>
    <n v="21042"/>
  </r>
  <r>
    <x v="17"/>
    <x v="1"/>
    <s v="VIC"/>
    <s v="Known gap agreement"/>
    <s v="More than 200% MBS Fee"/>
    <n v="8610783.8100000005"/>
    <n v="2511791.56"/>
    <n v="2442182.81"/>
    <n v="22597"/>
  </r>
  <r>
    <x v="17"/>
    <x v="1"/>
    <s v="VIC"/>
    <s v="No gap agreement"/>
    <s v="Up to MBS Fee"/>
    <n v="14373460.810000001"/>
    <n v="10817360.720000001"/>
    <n v="3556322.46"/>
    <n v="285727"/>
  </r>
  <r>
    <x v="17"/>
    <x v="1"/>
    <s v="VIC"/>
    <s v="No gap agreement"/>
    <s v="100% MBS Fee to 125% MBS Fee"/>
    <n v="41218393.439999998"/>
    <n v="26353116.379999999"/>
    <n v="14865217.33"/>
    <n v="400913"/>
  </r>
  <r>
    <x v="17"/>
    <x v="1"/>
    <s v="VIC"/>
    <s v="No gap agreement"/>
    <s v="More than 125% MBS Fee to 150% MBS Fee"/>
    <n v="92714798.969999999"/>
    <n v="51208622.600000001"/>
    <n v="41506116.770000003"/>
    <n v="724471"/>
  </r>
  <r>
    <x v="17"/>
    <x v="1"/>
    <s v="VIC"/>
    <s v="No gap agreement"/>
    <s v="More than 150% MBS Fee to 200% MBS Fee"/>
    <n v="91096820.390000001"/>
    <n v="41240288.93"/>
    <n v="49856431.18"/>
    <n v="481936"/>
  </r>
  <r>
    <x v="17"/>
    <x v="1"/>
    <s v="VIC"/>
    <s v="No gap agreement"/>
    <s v="More than 200% MBS Fee"/>
    <n v="5093876.28"/>
    <n v="1437852.09"/>
    <n v="3656024.16"/>
    <n v="12109"/>
  </r>
  <r>
    <x v="17"/>
    <x v="1"/>
    <s v="QLD"/>
    <s v="No agreement"/>
    <s v="Up to MBS Fee"/>
    <n v="8720313.8499999996"/>
    <n v="6545205.8600000003"/>
    <n v="2168747.6800000002"/>
    <n v="72254"/>
  </r>
  <r>
    <x v="17"/>
    <x v="1"/>
    <s v="QLD"/>
    <s v="No agreement"/>
    <s v="100% MBS Fee to 125% MBS Fee"/>
    <n v="1834475.38"/>
    <n v="1217579.5"/>
    <n v="449727.86"/>
    <n v="11022"/>
  </r>
  <r>
    <x v="17"/>
    <x v="1"/>
    <s v="QLD"/>
    <s v="No agreement"/>
    <s v="More than 125% MBS Fee to 150% MBS Fee"/>
    <n v="3468261.35"/>
    <n v="1888195.79"/>
    <n v="849578.81"/>
    <n v="24597"/>
  </r>
  <r>
    <x v="17"/>
    <x v="1"/>
    <s v="QLD"/>
    <s v="No agreement"/>
    <s v="More than 150% MBS Fee to 200% MBS Fee"/>
    <n v="9177171.0800000001"/>
    <n v="3894643.97"/>
    <n v="1479470.24"/>
    <n v="29500"/>
  </r>
  <r>
    <x v="17"/>
    <x v="1"/>
    <s v="QLD"/>
    <s v="No agreement"/>
    <s v="More than 200% MBS Fee"/>
    <n v="47159652.909999996"/>
    <n v="12674826.890000001"/>
    <n v="4278927.04"/>
    <n v="89985"/>
  </r>
  <r>
    <x v="17"/>
    <x v="1"/>
    <s v="QLD"/>
    <s v="Known gap agreement"/>
    <s v="100% MBS Fee to 125% MBS Fee"/>
    <n v="912027.6"/>
    <n v="595633.38"/>
    <n v="257909.41"/>
    <n v="5328"/>
  </r>
  <r>
    <x v="17"/>
    <x v="1"/>
    <s v="QLD"/>
    <s v="Known gap agreement"/>
    <s v="More than 125% MBS Fee to 150% MBS Fee"/>
    <n v="2144892.14"/>
    <n v="1156127.01"/>
    <n v="771215.1"/>
    <n v="8396"/>
  </r>
  <r>
    <x v="17"/>
    <x v="1"/>
    <s v="QLD"/>
    <s v="Known gap agreement"/>
    <s v="More than 150% MBS Fee to 200% MBS Fee"/>
    <n v="4932515.91"/>
    <n v="2123768.17"/>
    <n v="1964165.7"/>
    <n v="11051"/>
  </r>
  <r>
    <x v="17"/>
    <x v="1"/>
    <s v="QLD"/>
    <s v="Known gap agreement"/>
    <s v="More than 200% MBS Fee"/>
    <n v="7969554.6200000001"/>
    <n v="2331687.19"/>
    <n v="2404032.34"/>
    <n v="19309"/>
  </r>
  <r>
    <x v="17"/>
    <x v="1"/>
    <s v="QLD"/>
    <s v="No gap agreement"/>
    <s v="Up to MBS Fee"/>
    <n v="8592950.0099999998"/>
    <n v="6455140.8799999999"/>
    <n v="2137817"/>
    <n v="161536"/>
  </r>
  <r>
    <x v="17"/>
    <x v="1"/>
    <s v="QLD"/>
    <s v="No gap agreement"/>
    <s v="100% MBS Fee to 125% MBS Fee"/>
    <n v="32353755.100000001"/>
    <n v="20748203.039999999"/>
    <n v="11605418.41"/>
    <n v="338426"/>
  </r>
  <r>
    <x v="17"/>
    <x v="1"/>
    <s v="QLD"/>
    <s v="No gap agreement"/>
    <s v="More than 125% MBS Fee to 150% MBS Fee"/>
    <n v="70001837.859999999"/>
    <n v="38828462.259999998"/>
    <n v="31173144.050000001"/>
    <n v="627939"/>
  </r>
  <r>
    <x v="17"/>
    <x v="1"/>
    <s v="QLD"/>
    <s v="No gap agreement"/>
    <s v="More than 150% MBS Fee to 200% MBS Fee"/>
    <n v="53577252.689999998"/>
    <n v="24737711.27"/>
    <n v="28839518.710000001"/>
    <n v="313683"/>
  </r>
  <r>
    <x v="17"/>
    <x v="1"/>
    <s v="QLD"/>
    <s v="No gap agreement"/>
    <s v="More than 200% MBS Fee"/>
    <n v="6321335.6600000001"/>
    <n v="1847542.71"/>
    <n v="4473792.17"/>
    <n v="11676"/>
  </r>
  <r>
    <x v="17"/>
    <x v="1"/>
    <s v="SA"/>
    <s v="No agreement"/>
    <s v="Up to MBS Fee"/>
    <n v="1739227.2"/>
    <n v="1305593.01"/>
    <n v="431167.94"/>
    <n v="18016"/>
  </r>
  <r>
    <x v="17"/>
    <x v="1"/>
    <s v="SA"/>
    <s v="No agreement"/>
    <s v="100% MBS Fee to 125% MBS Fee"/>
    <n v="299580.27"/>
    <n v="193529.47"/>
    <n v="85445.9"/>
    <n v="2409"/>
  </r>
  <r>
    <x v="17"/>
    <x v="1"/>
    <s v="SA"/>
    <s v="No agreement"/>
    <s v="More than 125% MBS Fee to 150% MBS Fee"/>
    <n v="726661.41"/>
    <n v="388498.22"/>
    <n v="187387.51999999999"/>
    <n v="4321"/>
  </r>
  <r>
    <x v="17"/>
    <x v="1"/>
    <s v="SA"/>
    <s v="No agreement"/>
    <s v="More than 150% MBS Fee to 200% MBS Fee"/>
    <n v="1345748.98"/>
    <n v="590475.84"/>
    <n v="563535.5"/>
    <n v="6360"/>
  </r>
  <r>
    <x v="17"/>
    <x v="1"/>
    <s v="SA"/>
    <s v="No agreement"/>
    <s v="More than 200% MBS Fee"/>
    <n v="2220232.91"/>
    <n v="589116.35"/>
    <n v="217261.1"/>
    <n v="6591"/>
  </r>
  <r>
    <x v="17"/>
    <x v="1"/>
    <s v="SA"/>
    <s v="Known gap agreement"/>
    <s v="100% MBS Fee to 125% MBS Fee"/>
    <n v="511790.42"/>
    <n v="352302.45"/>
    <n v="141596.43"/>
    <n v="2845"/>
  </r>
  <r>
    <x v="17"/>
    <x v="1"/>
    <s v="SA"/>
    <s v="Known gap agreement"/>
    <s v="More than 125% MBS Fee to 150% MBS Fee"/>
    <n v="767896.42"/>
    <n v="415005.41"/>
    <n v="265971.88"/>
    <n v="3225"/>
  </r>
  <r>
    <x v="17"/>
    <x v="1"/>
    <s v="SA"/>
    <s v="Known gap agreement"/>
    <s v="More than 150% MBS Fee to 200% MBS Fee"/>
    <n v="2343232.98"/>
    <n v="1002343.35"/>
    <n v="974817.15"/>
    <n v="3839"/>
  </r>
  <r>
    <x v="17"/>
    <x v="1"/>
    <s v="SA"/>
    <s v="Known gap agreement"/>
    <s v="More than 200% MBS Fee"/>
    <n v="1345593.37"/>
    <n v="398151.47"/>
    <n v="424600.99"/>
    <n v="3410"/>
  </r>
  <r>
    <x v="17"/>
    <x v="1"/>
    <s v="SA"/>
    <s v="No gap agreement"/>
    <s v="Up to MBS Fee"/>
    <n v="4308415.74"/>
    <n v="3236886.31"/>
    <n v="1071540.74"/>
    <n v="67550"/>
  </r>
  <r>
    <x v="17"/>
    <x v="1"/>
    <s v="SA"/>
    <s v="No gap agreement"/>
    <s v="100% MBS Fee to 125% MBS Fee"/>
    <n v="9871294.4900000002"/>
    <n v="6355131.0300000003"/>
    <n v="3516134.99"/>
    <n v="117552"/>
  </r>
  <r>
    <x v="17"/>
    <x v="1"/>
    <s v="SA"/>
    <s v="No gap agreement"/>
    <s v="More than 125% MBS Fee to 150% MBS Fee"/>
    <n v="21267708.010000002"/>
    <n v="11618169.66"/>
    <n v="9649517.3399999999"/>
    <n v="167639"/>
  </r>
  <r>
    <x v="17"/>
    <x v="1"/>
    <s v="SA"/>
    <s v="No gap agreement"/>
    <s v="More than 150% MBS Fee to 200% MBS Fee"/>
    <n v="38367129.460000001"/>
    <n v="17254268.48"/>
    <n v="21112818.41"/>
    <n v="164621"/>
  </r>
  <r>
    <x v="17"/>
    <x v="1"/>
    <s v="SA"/>
    <s v="No gap agreement"/>
    <s v="More than 200% MBS Fee"/>
    <n v="2047002.72"/>
    <n v="564415.6"/>
    <n v="1482587.12"/>
    <n v="3610"/>
  </r>
  <r>
    <x v="17"/>
    <x v="1"/>
    <s v="WA"/>
    <s v="No agreement"/>
    <s v="Up to MBS Fee"/>
    <n v="2254953.23"/>
    <n v="1694165.54"/>
    <n v="560754.79"/>
    <n v="39122"/>
  </r>
  <r>
    <x v="17"/>
    <x v="1"/>
    <s v="WA"/>
    <s v="No agreement"/>
    <s v="100% MBS Fee to 125% MBS Fee"/>
    <n v="377659.23"/>
    <n v="254295.08"/>
    <n v="86182.17"/>
    <n v="2289"/>
  </r>
  <r>
    <x v="17"/>
    <x v="1"/>
    <s v="WA"/>
    <s v="No agreement"/>
    <s v="More than 125% MBS Fee to 150% MBS Fee"/>
    <n v="967457.98"/>
    <n v="529763.81000000006"/>
    <n v="189311.12"/>
    <n v="4491"/>
  </r>
  <r>
    <x v="17"/>
    <x v="1"/>
    <s v="WA"/>
    <s v="No agreement"/>
    <s v="More than 150% MBS Fee to 200% MBS Fee"/>
    <n v="2569390.63"/>
    <n v="1110473.25"/>
    <n v="385686.54"/>
    <n v="9345"/>
  </r>
  <r>
    <x v="17"/>
    <x v="1"/>
    <s v="WA"/>
    <s v="No agreement"/>
    <s v="More than 200% MBS Fee"/>
    <n v="7648832.3499999996"/>
    <n v="1990904.02"/>
    <n v="680522.44"/>
    <n v="20795"/>
  </r>
  <r>
    <x v="17"/>
    <x v="1"/>
    <s v="WA"/>
    <s v="Known gap agreement"/>
    <s v="100% MBS Fee to 125% MBS Fee"/>
    <n v="2222187.7999999998"/>
    <n v="1518271.27"/>
    <n v="674685.82"/>
    <n v="11477"/>
  </r>
  <r>
    <x v="17"/>
    <x v="1"/>
    <s v="WA"/>
    <s v="Known gap agreement"/>
    <s v="More than 125% MBS Fee to 150% MBS Fee"/>
    <n v="3905907.74"/>
    <n v="2107020.7000000002"/>
    <n v="1550186.41"/>
    <n v="41290"/>
  </r>
  <r>
    <x v="17"/>
    <x v="1"/>
    <s v="WA"/>
    <s v="Known gap agreement"/>
    <s v="More than 150% MBS Fee to 200% MBS Fee"/>
    <n v="7599697.6600000001"/>
    <n v="3340603.2"/>
    <n v="2454020.06"/>
    <n v="18496"/>
  </r>
  <r>
    <x v="17"/>
    <x v="1"/>
    <s v="WA"/>
    <s v="Known gap agreement"/>
    <s v="More than 200% MBS Fee"/>
    <n v="11303510.640000001"/>
    <n v="3111871.84"/>
    <n v="1978353.09"/>
    <n v="23632"/>
  </r>
  <r>
    <x v="17"/>
    <x v="1"/>
    <s v="WA"/>
    <s v="No gap agreement"/>
    <s v="Up to MBS Fee"/>
    <n v="1406793.57"/>
    <n v="1062461.69"/>
    <n v="344357.24"/>
    <n v="15741"/>
  </r>
  <r>
    <x v="17"/>
    <x v="1"/>
    <s v="WA"/>
    <s v="No gap agreement"/>
    <s v="100% MBS Fee to 125% MBS Fee"/>
    <n v="6753443.0499999998"/>
    <n v="4335735.22"/>
    <n v="2417700.2000000002"/>
    <n v="48941"/>
  </r>
  <r>
    <x v="17"/>
    <x v="1"/>
    <s v="WA"/>
    <s v="No gap agreement"/>
    <s v="More than 125% MBS Fee to 150% MBS Fee"/>
    <n v="33800423.619999997"/>
    <n v="18687972.91"/>
    <n v="15112448.220000001"/>
    <n v="235672"/>
  </r>
  <r>
    <x v="17"/>
    <x v="1"/>
    <s v="WA"/>
    <s v="No gap agreement"/>
    <s v="More than 150% MBS Fee to 200% MBS Fee"/>
    <n v="39066095.299999997"/>
    <n v="17225883.530000001"/>
    <n v="21840208.210000001"/>
    <n v="186099"/>
  </r>
  <r>
    <x v="17"/>
    <x v="1"/>
    <s v="WA"/>
    <s v="No gap agreement"/>
    <s v="More than 200% MBS Fee"/>
    <n v="3425885.47"/>
    <n v="901874.85"/>
    <n v="2524010.62"/>
    <n v="2508"/>
  </r>
  <r>
    <x v="17"/>
    <x v="1"/>
    <s v="TAS"/>
    <s v="No agreement"/>
    <s v="Up to MBS Fee"/>
    <n v="827359.65"/>
    <n v="621510.38"/>
    <n v="205848.79"/>
    <n v="11951"/>
  </r>
  <r>
    <x v="17"/>
    <x v="1"/>
    <s v="TAS"/>
    <s v="No agreement"/>
    <s v="100% MBS Fee to 125% MBS Fee"/>
    <n v="91382.88"/>
    <n v="59916.79"/>
    <n v="22376.87"/>
    <n v="625"/>
  </r>
  <r>
    <x v="17"/>
    <x v="1"/>
    <s v="TAS"/>
    <s v="No agreement"/>
    <s v="More than 125% MBS Fee to 150% MBS Fee"/>
    <n v="125485.54"/>
    <n v="67818.94"/>
    <n v="31570.85"/>
    <n v="442"/>
  </r>
  <r>
    <x v="17"/>
    <x v="1"/>
    <s v="TAS"/>
    <s v="No agreement"/>
    <s v="More than 150% MBS Fee to 200% MBS Fee"/>
    <n v="586562.91"/>
    <n v="254119.6"/>
    <n v="121711.8"/>
    <n v="1901"/>
  </r>
  <r>
    <x v="17"/>
    <x v="1"/>
    <s v="TAS"/>
    <s v="No agreement"/>
    <s v="More than 200% MBS Fee"/>
    <n v="2414896.5699999998"/>
    <n v="596240.66"/>
    <n v="204624.95"/>
    <n v="3956"/>
  </r>
  <r>
    <x v="17"/>
    <x v="1"/>
    <s v="TAS"/>
    <s v="Known gap agreement"/>
    <s v="100% MBS Fee to 125% MBS Fee"/>
    <n v="212253.52"/>
    <n v="141756.98000000001"/>
    <n v="57592.15"/>
    <n v="906"/>
  </r>
  <r>
    <x v="17"/>
    <x v="1"/>
    <s v="TAS"/>
    <s v="Known gap agreement"/>
    <s v="More than 125% MBS Fee to 150% MBS Fee"/>
    <n v="202818.64"/>
    <n v="110068.7"/>
    <n v="77499.649999999994"/>
    <n v="927"/>
  </r>
  <r>
    <x v="17"/>
    <x v="1"/>
    <s v="TAS"/>
    <s v="Known gap agreement"/>
    <s v="More than 150% MBS Fee to 200% MBS Fee"/>
    <n v="802407.94"/>
    <n v="345135.47"/>
    <n v="347375"/>
    <n v="1704"/>
  </r>
  <r>
    <x v="17"/>
    <x v="1"/>
    <s v="TAS"/>
    <s v="Known gap agreement"/>
    <s v="More than 200% MBS Fee"/>
    <n v="1187060.1499999999"/>
    <n v="366542.41"/>
    <n v="423149.14"/>
    <n v="4596"/>
  </r>
  <r>
    <x v="17"/>
    <x v="1"/>
    <s v="TAS"/>
    <s v="No gap agreement"/>
    <s v="Up to MBS Fee"/>
    <n v="1493081.64"/>
    <n v="1121051.17"/>
    <n v="372030.92"/>
    <n v="20443"/>
  </r>
  <r>
    <x v="17"/>
    <x v="1"/>
    <s v="TAS"/>
    <s v="No gap agreement"/>
    <s v="100% MBS Fee to 125% MBS Fee"/>
    <n v="3263112.54"/>
    <n v="2068733.75"/>
    <n v="1194369.3799999999"/>
    <n v="24531"/>
  </r>
  <r>
    <x v="17"/>
    <x v="1"/>
    <s v="TAS"/>
    <s v="No gap agreement"/>
    <s v="More than 125% MBS Fee to 150% MBS Fee"/>
    <n v="7748256.79"/>
    <n v="4250316.46"/>
    <n v="3497936.73"/>
    <n v="47233"/>
  </r>
  <r>
    <x v="17"/>
    <x v="1"/>
    <s v="TAS"/>
    <s v="No gap agreement"/>
    <s v="More than 150% MBS Fee to 200% MBS Fee"/>
    <n v="6902391.7300000004"/>
    <n v="3152283.23"/>
    <n v="3750107.31"/>
    <n v="38358"/>
  </r>
  <r>
    <x v="17"/>
    <x v="1"/>
    <s v="TAS"/>
    <s v="No gap agreement"/>
    <s v="More than 200% MBS Fee"/>
    <n v="577592.92000000004"/>
    <n v="165214.69"/>
    <n v="412377.83"/>
    <n v="583"/>
  </r>
  <r>
    <x v="17"/>
    <x v="1"/>
    <s v="ACT"/>
    <s v="No agreement"/>
    <s v="Up to MBS Fee"/>
    <n v="889827.38"/>
    <n v="669750.97"/>
    <n v="219836.97"/>
    <n v="9314"/>
  </r>
  <r>
    <x v="17"/>
    <x v="1"/>
    <s v="ACT"/>
    <s v="No agreement"/>
    <s v="100% MBS Fee to 125% MBS Fee"/>
    <n v="80256.320000000007"/>
    <n v="52277.4"/>
    <n v="18008.650000000001"/>
    <n v="514"/>
  </r>
  <r>
    <x v="17"/>
    <x v="1"/>
    <s v="ACT"/>
    <s v="No agreement"/>
    <s v="More than 125% MBS Fee to 150% MBS Fee"/>
    <n v="157291.79"/>
    <n v="86607.48"/>
    <n v="31016.02"/>
    <n v="737"/>
  </r>
  <r>
    <x v="17"/>
    <x v="1"/>
    <s v="ACT"/>
    <s v="No agreement"/>
    <s v="More than 150% MBS Fee to 200% MBS Fee"/>
    <n v="912223.84"/>
    <n v="379788.51"/>
    <n v="128167.3"/>
    <n v="2758"/>
  </r>
  <r>
    <x v="17"/>
    <x v="1"/>
    <s v="ACT"/>
    <s v="No agreement"/>
    <s v="More than 200% MBS Fee"/>
    <n v="7482381.4199999999"/>
    <n v="1899346.35"/>
    <n v="638285.06000000006"/>
    <n v="11945"/>
  </r>
  <r>
    <x v="17"/>
    <x v="1"/>
    <s v="ACT"/>
    <s v="Known gap agreement"/>
    <s v="100% MBS Fee to 125% MBS Fee"/>
    <n v="69774.02"/>
    <n v="46216"/>
    <n v="20855.86"/>
    <n v="242"/>
  </r>
  <r>
    <x v="17"/>
    <x v="1"/>
    <s v="ACT"/>
    <s v="Known gap agreement"/>
    <s v="More than 125% MBS Fee to 150% MBS Fee"/>
    <n v="140226.26999999999"/>
    <n v="76586.820000000007"/>
    <n v="56163.78"/>
    <n v="499"/>
  </r>
  <r>
    <x v="17"/>
    <x v="1"/>
    <s v="ACT"/>
    <s v="Known gap agreement"/>
    <s v="More than 150% MBS Fee to 200% MBS Fee"/>
    <n v="185916.37"/>
    <n v="79335.75"/>
    <n v="74822.59"/>
    <n v="705"/>
  </r>
  <r>
    <x v="17"/>
    <x v="1"/>
    <s v="ACT"/>
    <s v="Known gap agreement"/>
    <s v="More than 200% MBS Fee"/>
    <n v="651487.68999999994"/>
    <n v="180560.85"/>
    <n v="191018.91"/>
    <n v="2158"/>
  </r>
  <r>
    <x v="17"/>
    <x v="1"/>
    <s v="ACT"/>
    <s v="No gap agreement"/>
    <s v="Up to MBS Fee"/>
    <n v="426739.33"/>
    <n v="320344"/>
    <n v="106395.12"/>
    <n v="15394"/>
  </r>
  <r>
    <x v="17"/>
    <x v="1"/>
    <s v="ACT"/>
    <s v="No gap agreement"/>
    <s v="100% MBS Fee to 125% MBS Fee"/>
    <n v="1101231.55"/>
    <n v="709630.1"/>
    <n v="391569.35"/>
    <n v="12361"/>
  </r>
  <r>
    <x v="17"/>
    <x v="1"/>
    <s v="ACT"/>
    <s v="No gap agreement"/>
    <s v="More than 125% MBS Fee to 150% MBS Fee"/>
    <n v="2951930.28"/>
    <n v="1623116.01"/>
    <n v="1328807.3899999999"/>
    <n v="18117"/>
  </r>
  <r>
    <x v="17"/>
    <x v="1"/>
    <s v="ACT"/>
    <s v="No gap agreement"/>
    <s v="More than 150% MBS Fee to 200% MBS Fee"/>
    <n v="2076702.44"/>
    <n v="950439.28"/>
    <n v="1126248.27"/>
    <n v="13399"/>
  </r>
  <r>
    <x v="17"/>
    <x v="1"/>
    <s v="ACT"/>
    <s v="No gap agreement"/>
    <s v="More than 200% MBS Fee"/>
    <n v="416318.99"/>
    <n v="128148.24"/>
    <n v="288170.75"/>
    <n v="1112"/>
  </r>
  <r>
    <x v="17"/>
    <x v="1"/>
    <s v="NT"/>
    <s v="No agreement"/>
    <s v="Up to MBS Fee"/>
    <n v="293529.62"/>
    <n v="220777.72"/>
    <n v="72717.95"/>
    <n v="1194"/>
  </r>
  <r>
    <x v="17"/>
    <x v="1"/>
    <s v="NT"/>
    <s v="No agreement"/>
    <s v="100% MBS Fee to 125% MBS Fee"/>
    <n v="31924.400000000001"/>
    <n v="20483.59"/>
    <n v="8264.9"/>
    <n v="265"/>
  </r>
  <r>
    <x v="17"/>
    <x v="1"/>
    <s v="NT"/>
    <s v="No agreement"/>
    <s v="More than 125% MBS Fee to 150% MBS Fee"/>
    <n v="66804.53"/>
    <n v="36911.21"/>
    <n v="12754.84"/>
    <n v="210"/>
  </r>
  <r>
    <x v="17"/>
    <x v="1"/>
    <s v="NT"/>
    <s v="No agreement"/>
    <s v="More than 150% MBS Fee to 200% MBS Fee"/>
    <n v="174922.03"/>
    <n v="76386.69"/>
    <n v="31823.15"/>
    <n v="698"/>
  </r>
  <r>
    <x v="17"/>
    <x v="1"/>
    <s v="NT"/>
    <s v="No agreement"/>
    <s v="More than 200% MBS Fee"/>
    <n v="1119503.06"/>
    <n v="288676.87"/>
    <n v="97527.3"/>
    <n v="1899"/>
  </r>
  <r>
    <x v="17"/>
    <x v="1"/>
    <s v="NT"/>
    <s v="Known gap agreement"/>
    <s v="100% MBS Fee to 125% MBS Fee"/>
    <n v="19527.71"/>
    <n v="13380.85"/>
    <n v="5486.61"/>
    <n v="134"/>
  </r>
  <r>
    <x v="17"/>
    <x v="1"/>
    <s v="NT"/>
    <s v="Known gap agreement"/>
    <s v="More than 125% MBS Fee to 150% MBS Fee"/>
    <n v="50364.77"/>
    <n v="27003.8"/>
    <n v="17488.330000000002"/>
    <n v="211"/>
  </r>
  <r>
    <x v="17"/>
    <x v="1"/>
    <s v="NT"/>
    <s v="Known gap agreement"/>
    <s v="More than 150% MBS Fee to 200% MBS Fee"/>
    <n v="142457.57999999999"/>
    <n v="63152.85"/>
    <n v="57843.4"/>
    <n v="268"/>
  </r>
  <r>
    <x v="17"/>
    <x v="1"/>
    <s v="NT"/>
    <s v="Known gap agreement"/>
    <s v="More than 200% MBS Fee"/>
    <n v="311035.34000000003"/>
    <n v="85354.5"/>
    <n v="91322.36"/>
    <n v="983"/>
  </r>
  <r>
    <x v="17"/>
    <x v="1"/>
    <s v="NT"/>
    <s v="No gap agreement"/>
    <s v="Up to MBS Fee"/>
    <n v="158294.79999999999"/>
    <n v="118793.54"/>
    <n v="39501.26"/>
    <n v="2384"/>
  </r>
  <r>
    <x v="17"/>
    <x v="1"/>
    <s v="NT"/>
    <s v="No gap agreement"/>
    <s v="100% MBS Fee to 125% MBS Fee"/>
    <n v="394334.99"/>
    <n v="249432.11"/>
    <n v="144902.22"/>
    <n v="5502"/>
  </r>
  <r>
    <x v="17"/>
    <x v="1"/>
    <s v="NT"/>
    <s v="No gap agreement"/>
    <s v="More than 125% MBS Fee to 150% MBS Fee"/>
    <n v="998751.41"/>
    <n v="543713.94999999995"/>
    <n v="455036.42"/>
    <n v="5218"/>
  </r>
  <r>
    <x v="17"/>
    <x v="1"/>
    <s v="NT"/>
    <s v="No gap agreement"/>
    <s v="More than 150% MBS Fee to 200% MBS Fee"/>
    <n v="1175888.49"/>
    <n v="541277.71"/>
    <n v="634598.93000000005"/>
    <n v="5618"/>
  </r>
  <r>
    <x v="17"/>
    <x v="1"/>
    <s v="NT"/>
    <s v="No gap agreement"/>
    <s v="More than 200% MBS Fee"/>
    <n v="62205.9"/>
    <n v="18669.5"/>
    <n v="43536.4"/>
    <n v="84"/>
  </r>
  <r>
    <x v="18"/>
    <x v="0"/>
    <s v="NSW"/>
    <s v="No agreement"/>
    <s v="Up to MBS Fee"/>
    <n v="37004997.600000001"/>
    <n v="27787294.379999999"/>
    <n v="9207404.2899999991"/>
    <n v="602359"/>
  </r>
  <r>
    <x v="18"/>
    <x v="0"/>
    <s v="NSW"/>
    <s v="No agreement"/>
    <s v="100% MBS Fee to 125% MBS Fee"/>
    <n v="2584952.06"/>
    <n v="1716573.04"/>
    <n v="659801.64"/>
    <n v="15485"/>
  </r>
  <r>
    <x v="18"/>
    <x v="0"/>
    <s v="NSW"/>
    <s v="No agreement"/>
    <s v="More than 125% MBS Fee to 150% MBS Fee"/>
    <n v="3413030.04"/>
    <n v="1841847.27"/>
    <n v="842429.63"/>
    <n v="14428"/>
  </r>
  <r>
    <x v="18"/>
    <x v="0"/>
    <s v="NSW"/>
    <s v="No agreement"/>
    <s v="More than 150% MBS Fee to 200% MBS Fee"/>
    <n v="13843067.57"/>
    <n v="5922587.1399999997"/>
    <n v="2383084.9"/>
    <n v="74026"/>
  </r>
  <r>
    <x v="18"/>
    <x v="0"/>
    <s v="NSW"/>
    <s v="No agreement"/>
    <s v="More than 200% MBS Fee"/>
    <n v="101396556.5"/>
    <n v="25111650.710000001"/>
    <n v="8424931.0099999998"/>
    <n v="155439"/>
  </r>
  <r>
    <x v="18"/>
    <x v="0"/>
    <s v="NSW"/>
    <s v="Known gap agreement"/>
    <s v="100% MBS Fee to 125% MBS Fee"/>
    <n v="1529276.45"/>
    <n v="1018503.95"/>
    <n v="442889.85"/>
    <n v="6832"/>
  </r>
  <r>
    <x v="18"/>
    <x v="0"/>
    <s v="NSW"/>
    <s v="Known gap agreement"/>
    <s v="More than 125% MBS Fee to 150% MBS Fee"/>
    <n v="2104414.63"/>
    <n v="1139765.5900000001"/>
    <n v="781887.47"/>
    <n v="7604"/>
  </r>
  <r>
    <x v="18"/>
    <x v="0"/>
    <s v="NSW"/>
    <s v="Known gap agreement"/>
    <s v="More than 150% MBS Fee to 200% MBS Fee"/>
    <n v="5357586.91"/>
    <n v="2358350.3199999998"/>
    <n v="2247693.96"/>
    <n v="14097"/>
  </r>
  <r>
    <x v="18"/>
    <x v="0"/>
    <s v="NSW"/>
    <s v="Known gap agreement"/>
    <s v="More than 200% MBS Fee"/>
    <n v="6095539.4100000001"/>
    <n v="1708889.02"/>
    <n v="1801546.23"/>
    <n v="16367"/>
  </r>
  <r>
    <x v="18"/>
    <x v="0"/>
    <s v="NSW"/>
    <s v="No gap agreement"/>
    <s v="Up to MBS Fee"/>
    <n v="14560086.890000001"/>
    <n v="10955747.619999999"/>
    <n v="3605011.78"/>
    <n v="382319"/>
  </r>
  <r>
    <x v="18"/>
    <x v="0"/>
    <s v="NSW"/>
    <s v="No gap agreement"/>
    <s v="100% MBS Fee to 125% MBS Fee"/>
    <n v="38604600"/>
    <n v="24740762.109999999"/>
    <n v="13863560.91"/>
    <n v="377648"/>
  </r>
  <r>
    <x v="18"/>
    <x v="0"/>
    <s v="NSW"/>
    <s v="No gap agreement"/>
    <s v="More than 125% MBS Fee to 150% MBS Fee"/>
    <n v="90162283.920000002"/>
    <n v="49814722.07"/>
    <n v="40347389.780000001"/>
    <n v="508793"/>
  </r>
  <r>
    <x v="18"/>
    <x v="0"/>
    <s v="NSW"/>
    <s v="No gap agreement"/>
    <s v="More than 150% MBS Fee to 200% MBS Fee"/>
    <n v="95914367.980000004"/>
    <n v="43915424.399999999"/>
    <n v="51998554.469999999"/>
    <n v="539183"/>
  </r>
  <r>
    <x v="18"/>
    <x v="0"/>
    <s v="NSW"/>
    <s v="No gap agreement"/>
    <s v="More than 200% MBS Fee"/>
    <n v="10644581.869999999"/>
    <n v="3298958.73"/>
    <n v="7345612.9500000002"/>
    <n v="44257"/>
  </r>
  <r>
    <x v="18"/>
    <x v="0"/>
    <s v="VIC"/>
    <s v="No agreement"/>
    <s v="Up to MBS Fee"/>
    <n v="9042053.4399999995"/>
    <n v="6797343.6399999997"/>
    <n v="2241666.89"/>
    <n v="87019"/>
  </r>
  <r>
    <x v="18"/>
    <x v="0"/>
    <s v="VIC"/>
    <s v="No agreement"/>
    <s v="100% MBS Fee to 125% MBS Fee"/>
    <n v="1441315.66"/>
    <n v="942224.06"/>
    <n v="354007.33"/>
    <n v="8873"/>
  </r>
  <r>
    <x v="18"/>
    <x v="0"/>
    <s v="VIC"/>
    <s v="No agreement"/>
    <s v="More than 125% MBS Fee to 150% MBS Fee"/>
    <n v="2482215.2000000002"/>
    <n v="1360914.33"/>
    <n v="769667.22"/>
    <n v="22420"/>
  </r>
  <r>
    <x v="18"/>
    <x v="0"/>
    <s v="VIC"/>
    <s v="No agreement"/>
    <s v="More than 150% MBS Fee to 200% MBS Fee"/>
    <n v="4927933.2"/>
    <n v="2104163.58"/>
    <n v="1446136.61"/>
    <n v="20998"/>
  </r>
  <r>
    <x v="18"/>
    <x v="0"/>
    <s v="VIC"/>
    <s v="No agreement"/>
    <s v="More than 200% MBS Fee"/>
    <n v="23230976.809999999"/>
    <n v="5936835.9900000002"/>
    <n v="2072808.63"/>
    <n v="43399"/>
  </r>
  <r>
    <x v="18"/>
    <x v="0"/>
    <s v="VIC"/>
    <s v="Known gap agreement"/>
    <s v="100% MBS Fee to 125% MBS Fee"/>
    <n v="2392154.35"/>
    <n v="1600731.86"/>
    <n v="668970.18999999994"/>
    <n v="16928"/>
  </r>
  <r>
    <x v="18"/>
    <x v="0"/>
    <s v="VIC"/>
    <s v="Known gap agreement"/>
    <s v="More than 125% MBS Fee to 150% MBS Fee"/>
    <n v="4746198.51"/>
    <n v="2588389.34"/>
    <n v="1718717.16"/>
    <n v="18580"/>
  </r>
  <r>
    <x v="18"/>
    <x v="0"/>
    <s v="VIC"/>
    <s v="Known gap agreement"/>
    <s v="More than 150% MBS Fee to 200% MBS Fee"/>
    <n v="7778032.7000000002"/>
    <n v="3367420.46"/>
    <n v="3068112.3"/>
    <n v="18720"/>
  </r>
  <r>
    <x v="18"/>
    <x v="0"/>
    <s v="VIC"/>
    <s v="Known gap agreement"/>
    <s v="More than 200% MBS Fee"/>
    <n v="8112283.1600000001"/>
    <n v="2399751.44"/>
    <n v="2382581.5699999998"/>
    <n v="20261"/>
  </r>
  <r>
    <x v="18"/>
    <x v="0"/>
    <s v="VIC"/>
    <s v="No gap agreement"/>
    <s v="Up to MBS Fee"/>
    <n v="14203993.32"/>
    <n v="10708724.32"/>
    <n v="3495292.77"/>
    <n v="250007"/>
  </r>
  <r>
    <x v="18"/>
    <x v="0"/>
    <s v="VIC"/>
    <s v="No gap agreement"/>
    <s v="100% MBS Fee to 125% MBS Fee"/>
    <n v="41572543.109999999"/>
    <n v="26554211.109999999"/>
    <n v="15018234.07"/>
    <n v="362566"/>
  </r>
  <r>
    <x v="18"/>
    <x v="0"/>
    <s v="VIC"/>
    <s v="No gap agreement"/>
    <s v="More than 125% MBS Fee to 150% MBS Fee"/>
    <n v="102160954.5"/>
    <n v="56486764.729999997"/>
    <n v="45674079.270000003"/>
    <n v="842005"/>
  </r>
  <r>
    <x v="18"/>
    <x v="0"/>
    <s v="VIC"/>
    <s v="No gap agreement"/>
    <s v="More than 150% MBS Fee to 200% MBS Fee"/>
    <n v="98446719.629999995"/>
    <n v="44462466.460000001"/>
    <n v="53984176.509999998"/>
    <n v="505960"/>
  </r>
  <r>
    <x v="18"/>
    <x v="0"/>
    <s v="VIC"/>
    <s v="No gap agreement"/>
    <s v="More than 200% MBS Fee"/>
    <n v="5161852.6100000003"/>
    <n v="1481190.81"/>
    <n v="3680661.8"/>
    <n v="13298"/>
  </r>
  <r>
    <x v="18"/>
    <x v="0"/>
    <s v="QLD"/>
    <s v="No agreement"/>
    <s v="Up to MBS Fee"/>
    <n v="8875218"/>
    <n v="6674533.7999999998"/>
    <n v="2197313.13"/>
    <n v="69237"/>
  </r>
  <r>
    <x v="18"/>
    <x v="0"/>
    <s v="QLD"/>
    <s v="No agreement"/>
    <s v="100% MBS Fee to 125% MBS Fee"/>
    <n v="2443014.7999999998"/>
    <n v="1607773.83"/>
    <n v="666205.80000000005"/>
    <n v="17010"/>
  </r>
  <r>
    <x v="18"/>
    <x v="0"/>
    <s v="QLD"/>
    <s v="No agreement"/>
    <s v="More than 125% MBS Fee to 150% MBS Fee"/>
    <n v="3155433.02"/>
    <n v="1713937.46"/>
    <n v="865760.15"/>
    <n v="15877"/>
  </r>
  <r>
    <x v="18"/>
    <x v="0"/>
    <s v="QLD"/>
    <s v="No agreement"/>
    <s v="More than 150% MBS Fee to 200% MBS Fee"/>
    <n v="9078296.5899999999"/>
    <n v="3857246.14"/>
    <n v="1671958.4"/>
    <n v="28416"/>
  </r>
  <r>
    <x v="18"/>
    <x v="0"/>
    <s v="QLD"/>
    <s v="No agreement"/>
    <s v="More than 200% MBS Fee"/>
    <n v="53011227.630000003"/>
    <n v="13891748.73"/>
    <n v="4727915.43"/>
    <n v="92996"/>
  </r>
  <r>
    <x v="18"/>
    <x v="0"/>
    <s v="QLD"/>
    <s v="Known gap agreement"/>
    <s v="100% MBS Fee to 125% MBS Fee"/>
    <n v="877428.85"/>
    <n v="577430.93999999994"/>
    <n v="251183.67"/>
    <n v="3371"/>
  </r>
  <r>
    <x v="18"/>
    <x v="0"/>
    <s v="QLD"/>
    <s v="Known gap agreement"/>
    <s v="More than 125% MBS Fee to 150% MBS Fee"/>
    <n v="2190237.7799999998"/>
    <n v="1179209.46"/>
    <n v="808286.2"/>
    <n v="7549"/>
  </r>
  <r>
    <x v="18"/>
    <x v="0"/>
    <s v="QLD"/>
    <s v="Known gap agreement"/>
    <s v="More than 150% MBS Fee to 200% MBS Fee"/>
    <n v="4996450.4800000004"/>
    <n v="2152372.92"/>
    <n v="2066170.35"/>
    <n v="9446"/>
  </r>
  <r>
    <x v="18"/>
    <x v="0"/>
    <s v="QLD"/>
    <s v="Known gap agreement"/>
    <s v="More than 200% MBS Fee"/>
    <n v="7688493.8899999997"/>
    <n v="2280136.2400000002"/>
    <n v="2462204.56"/>
    <n v="19534"/>
  </r>
  <r>
    <x v="18"/>
    <x v="0"/>
    <s v="QLD"/>
    <s v="No gap agreement"/>
    <s v="Up to MBS Fee"/>
    <n v="8893343.8399999999"/>
    <n v="6680852.5499999998"/>
    <n v="2212544.14"/>
    <n v="156571"/>
  </r>
  <r>
    <x v="18"/>
    <x v="0"/>
    <s v="QLD"/>
    <s v="No gap agreement"/>
    <s v="100% MBS Fee to 125% MBS Fee"/>
    <n v="35842112.270000003"/>
    <n v="22958617.66"/>
    <n v="12883289.199999999"/>
    <n v="365832"/>
  </r>
  <r>
    <x v="18"/>
    <x v="0"/>
    <s v="QLD"/>
    <s v="No gap agreement"/>
    <s v="More than 125% MBS Fee to 150% MBS Fee"/>
    <n v="73736366.579999998"/>
    <n v="41007542.869999997"/>
    <n v="32728729.359999999"/>
    <n v="609527"/>
  </r>
  <r>
    <x v="18"/>
    <x v="0"/>
    <s v="QLD"/>
    <s v="No gap agreement"/>
    <s v="More than 150% MBS Fee to 200% MBS Fee"/>
    <n v="60650897.82"/>
    <n v="27981604.18"/>
    <n v="32669106.879999999"/>
    <n v="383139"/>
  </r>
  <r>
    <x v="18"/>
    <x v="0"/>
    <s v="QLD"/>
    <s v="No gap agreement"/>
    <s v="More than 200% MBS Fee"/>
    <n v="6732891.8399999999"/>
    <n v="1970883.31"/>
    <n v="4762006.25"/>
    <n v="14713"/>
  </r>
  <r>
    <x v="18"/>
    <x v="0"/>
    <s v="SA"/>
    <s v="No agreement"/>
    <s v="Up to MBS Fee"/>
    <n v="2024396.19"/>
    <n v="1523421.02"/>
    <n v="500745.3"/>
    <n v="19345"/>
  </r>
  <r>
    <x v="18"/>
    <x v="0"/>
    <s v="SA"/>
    <s v="No agreement"/>
    <s v="100% MBS Fee to 125% MBS Fee"/>
    <n v="412493.28"/>
    <n v="266789.36"/>
    <n v="122874.04"/>
    <n v="2583"/>
  </r>
  <r>
    <x v="18"/>
    <x v="0"/>
    <s v="SA"/>
    <s v="No agreement"/>
    <s v="More than 125% MBS Fee to 150% MBS Fee"/>
    <n v="1063795.8"/>
    <n v="575853.18999999994"/>
    <n v="389249.65"/>
    <n v="7840"/>
  </r>
  <r>
    <x v="18"/>
    <x v="0"/>
    <s v="SA"/>
    <s v="No agreement"/>
    <s v="More than 150% MBS Fee to 200% MBS Fee"/>
    <n v="1772036.51"/>
    <n v="779811.81"/>
    <n v="786655.07"/>
    <n v="6783"/>
  </r>
  <r>
    <x v="18"/>
    <x v="0"/>
    <s v="SA"/>
    <s v="No agreement"/>
    <s v="More than 200% MBS Fee"/>
    <n v="2164638.65"/>
    <n v="564391.56000000006"/>
    <n v="215494.18"/>
    <n v="5266"/>
  </r>
  <r>
    <x v="18"/>
    <x v="0"/>
    <s v="SA"/>
    <s v="Known gap agreement"/>
    <s v="100% MBS Fee to 125% MBS Fee"/>
    <n v="432747.58"/>
    <n v="291511.75"/>
    <n v="123007.99"/>
    <n v="2132"/>
  </r>
  <r>
    <x v="18"/>
    <x v="0"/>
    <s v="SA"/>
    <s v="Known gap agreement"/>
    <s v="More than 125% MBS Fee to 150% MBS Fee"/>
    <n v="703186.7"/>
    <n v="381974.05"/>
    <n v="252527.49"/>
    <n v="3094"/>
  </r>
  <r>
    <x v="18"/>
    <x v="0"/>
    <s v="SA"/>
    <s v="Known gap agreement"/>
    <s v="More than 150% MBS Fee to 200% MBS Fee"/>
    <n v="2767929.62"/>
    <n v="1168995.25"/>
    <n v="1170118.98"/>
    <n v="4056"/>
  </r>
  <r>
    <x v="18"/>
    <x v="0"/>
    <s v="SA"/>
    <s v="Known gap agreement"/>
    <s v="More than 200% MBS Fee"/>
    <n v="1478938.44"/>
    <n v="435752.95"/>
    <n v="479742.2"/>
    <n v="3957"/>
  </r>
  <r>
    <x v="18"/>
    <x v="0"/>
    <s v="SA"/>
    <s v="No gap agreement"/>
    <s v="Up to MBS Fee"/>
    <n v="4702068.6500000004"/>
    <n v="3532076.97"/>
    <n v="1170030.6100000001"/>
    <n v="65965"/>
  </r>
  <r>
    <x v="18"/>
    <x v="0"/>
    <s v="SA"/>
    <s v="No gap agreement"/>
    <s v="100% MBS Fee to 125% MBS Fee"/>
    <n v="9338637.6899999995"/>
    <n v="6013521.9100000001"/>
    <n v="3325085.03"/>
    <n v="86450"/>
  </r>
  <r>
    <x v="18"/>
    <x v="0"/>
    <s v="SA"/>
    <s v="No gap agreement"/>
    <s v="More than 125% MBS Fee to 150% MBS Fee"/>
    <n v="22173895.850000001"/>
    <n v="12170266.449999999"/>
    <n v="10003606.59"/>
    <n v="193831"/>
  </r>
  <r>
    <x v="18"/>
    <x v="0"/>
    <s v="SA"/>
    <s v="No gap agreement"/>
    <s v="More than 150% MBS Fee to 200% MBS Fee"/>
    <n v="41247362.219999999"/>
    <n v="18507095.949999999"/>
    <n v="22740249.789999999"/>
    <n v="165825"/>
  </r>
  <r>
    <x v="18"/>
    <x v="0"/>
    <s v="SA"/>
    <s v="No gap agreement"/>
    <s v="More than 200% MBS Fee"/>
    <n v="2041742.74"/>
    <n v="577830"/>
    <n v="1463912.74"/>
    <n v="4120"/>
  </r>
  <r>
    <x v="18"/>
    <x v="0"/>
    <s v="WA"/>
    <s v="No agreement"/>
    <s v="Up to MBS Fee"/>
    <n v="1992592.83"/>
    <n v="1503576.17"/>
    <n v="488732.91"/>
    <n v="33868"/>
  </r>
  <r>
    <x v="18"/>
    <x v="0"/>
    <s v="WA"/>
    <s v="No agreement"/>
    <s v="100% MBS Fee to 125% MBS Fee"/>
    <n v="333532.44"/>
    <n v="220763.99"/>
    <n v="78799.42"/>
    <n v="2061"/>
  </r>
  <r>
    <x v="18"/>
    <x v="0"/>
    <s v="WA"/>
    <s v="No agreement"/>
    <s v="More than 125% MBS Fee to 150% MBS Fee"/>
    <n v="982985.23"/>
    <n v="542257.52"/>
    <n v="210766.32"/>
    <n v="3774"/>
  </r>
  <r>
    <x v="18"/>
    <x v="0"/>
    <s v="WA"/>
    <s v="No agreement"/>
    <s v="More than 150% MBS Fee to 200% MBS Fee"/>
    <n v="2598096.6800000002"/>
    <n v="1129209"/>
    <n v="423122.92"/>
    <n v="7790"/>
  </r>
  <r>
    <x v="18"/>
    <x v="0"/>
    <s v="WA"/>
    <s v="No agreement"/>
    <s v="More than 200% MBS Fee"/>
    <n v="9094476.8900000006"/>
    <n v="2226487.79"/>
    <n v="767466.45"/>
    <n v="22338"/>
  </r>
  <r>
    <x v="18"/>
    <x v="0"/>
    <s v="WA"/>
    <s v="Known gap agreement"/>
    <s v="100% MBS Fee to 125% MBS Fee"/>
    <n v="2460047.35"/>
    <n v="1706636.55"/>
    <n v="724155.64"/>
    <n v="14347"/>
  </r>
  <r>
    <x v="18"/>
    <x v="0"/>
    <s v="WA"/>
    <s v="Known gap agreement"/>
    <s v="More than 125% MBS Fee to 150% MBS Fee"/>
    <n v="3745257.07"/>
    <n v="2014026.55"/>
    <n v="1486586.71"/>
    <n v="29176"/>
  </r>
  <r>
    <x v="18"/>
    <x v="0"/>
    <s v="WA"/>
    <s v="Known gap agreement"/>
    <s v="More than 150% MBS Fee to 200% MBS Fee"/>
    <n v="8054676.9500000002"/>
    <n v="3556454.64"/>
    <n v="2715170.18"/>
    <n v="17493"/>
  </r>
  <r>
    <x v="18"/>
    <x v="0"/>
    <s v="WA"/>
    <s v="Known gap agreement"/>
    <s v="More than 200% MBS Fee"/>
    <n v="12372317.779999999"/>
    <n v="3272122.53"/>
    <n v="2060683.46"/>
    <n v="25385"/>
  </r>
  <r>
    <x v="18"/>
    <x v="0"/>
    <s v="WA"/>
    <s v="No gap agreement"/>
    <s v="Up to MBS Fee"/>
    <n v="1683175.71"/>
    <n v="1342096.2"/>
    <n v="341116.06"/>
    <n v="13147"/>
  </r>
  <r>
    <x v="18"/>
    <x v="0"/>
    <s v="WA"/>
    <s v="No gap agreement"/>
    <s v="100% MBS Fee to 125% MBS Fee"/>
    <n v="8167967.4900000002"/>
    <n v="5230686.7699999996"/>
    <n v="2937269.19"/>
    <n v="86549"/>
  </r>
  <r>
    <x v="18"/>
    <x v="0"/>
    <s v="WA"/>
    <s v="No gap agreement"/>
    <s v="More than 125% MBS Fee to 150% MBS Fee"/>
    <n v="35929659.119999997"/>
    <n v="19892189.140000001"/>
    <n v="16037462.73"/>
    <n v="277716"/>
  </r>
  <r>
    <x v="18"/>
    <x v="0"/>
    <s v="WA"/>
    <s v="No gap agreement"/>
    <s v="More than 150% MBS Fee to 200% MBS Fee"/>
    <n v="43785516.479999997"/>
    <n v="19415781.039999999"/>
    <n v="24369716.899999999"/>
    <n v="206161"/>
  </r>
  <r>
    <x v="18"/>
    <x v="0"/>
    <s v="WA"/>
    <s v="No gap agreement"/>
    <s v="More than 200% MBS Fee"/>
    <n v="3643544.72"/>
    <n v="963140.02"/>
    <n v="2680404.7000000002"/>
    <n v="2787"/>
  </r>
  <r>
    <x v="18"/>
    <x v="0"/>
    <s v="TAS"/>
    <s v="No agreement"/>
    <s v="Up to MBS Fee"/>
    <n v="531207.42000000004"/>
    <n v="399104.89"/>
    <n v="132070.82999999999"/>
    <n v="7894"/>
  </r>
  <r>
    <x v="18"/>
    <x v="0"/>
    <s v="TAS"/>
    <s v="No agreement"/>
    <s v="100% MBS Fee to 125% MBS Fee"/>
    <n v="87915.02"/>
    <n v="58859.91"/>
    <n v="24808.29"/>
    <n v="783"/>
  </r>
  <r>
    <x v="18"/>
    <x v="0"/>
    <s v="TAS"/>
    <s v="No agreement"/>
    <s v="More than 125% MBS Fee to 150% MBS Fee"/>
    <n v="125323.46"/>
    <n v="67396.960000000006"/>
    <n v="34809.26"/>
    <n v="320"/>
  </r>
  <r>
    <x v="18"/>
    <x v="0"/>
    <s v="TAS"/>
    <s v="No agreement"/>
    <s v="More than 150% MBS Fee to 200% MBS Fee"/>
    <n v="558136.96"/>
    <n v="243449.28"/>
    <n v="119486.84"/>
    <n v="1551"/>
  </r>
  <r>
    <x v="18"/>
    <x v="0"/>
    <s v="TAS"/>
    <s v="No agreement"/>
    <s v="More than 200% MBS Fee"/>
    <n v="2157221.63"/>
    <n v="537671.17000000004"/>
    <n v="186202.05"/>
    <n v="3258"/>
  </r>
  <r>
    <x v="18"/>
    <x v="0"/>
    <s v="TAS"/>
    <s v="Known gap agreement"/>
    <s v="100% MBS Fee to 125% MBS Fee"/>
    <n v="220641.57"/>
    <n v="149383.41"/>
    <n v="62055.06"/>
    <n v="1259"/>
  </r>
  <r>
    <x v="18"/>
    <x v="0"/>
    <s v="TAS"/>
    <s v="Known gap agreement"/>
    <s v="More than 125% MBS Fee to 150% MBS Fee"/>
    <n v="233524.76"/>
    <n v="125454"/>
    <n v="91089.7"/>
    <n v="781"/>
  </r>
  <r>
    <x v="18"/>
    <x v="0"/>
    <s v="TAS"/>
    <s v="Known gap agreement"/>
    <s v="More than 150% MBS Fee to 200% MBS Fee"/>
    <n v="792067.94"/>
    <n v="342751.2"/>
    <n v="344843.33"/>
    <n v="1672"/>
  </r>
  <r>
    <x v="18"/>
    <x v="0"/>
    <s v="TAS"/>
    <s v="Known gap agreement"/>
    <s v="More than 200% MBS Fee"/>
    <n v="1052513.6499999999"/>
    <n v="323072.55"/>
    <n v="377301.54"/>
    <n v="3994"/>
  </r>
  <r>
    <x v="18"/>
    <x v="0"/>
    <s v="TAS"/>
    <s v="No gap agreement"/>
    <s v="Up to MBS Fee"/>
    <n v="1892614.87"/>
    <n v="1422582.43"/>
    <n v="470031.89"/>
    <n v="27852"/>
  </r>
  <r>
    <x v="18"/>
    <x v="0"/>
    <s v="TAS"/>
    <s v="No gap agreement"/>
    <s v="100% MBS Fee to 125% MBS Fee"/>
    <n v="3524793.29"/>
    <n v="2232035.73"/>
    <n v="1292755.7"/>
    <n v="24989"/>
  </r>
  <r>
    <x v="18"/>
    <x v="0"/>
    <s v="TAS"/>
    <s v="No gap agreement"/>
    <s v="More than 125% MBS Fee to 150% MBS Fee"/>
    <n v="8356249.29"/>
    <n v="4568677.9800000004"/>
    <n v="3787548.65"/>
    <n v="48882"/>
  </r>
  <r>
    <x v="18"/>
    <x v="0"/>
    <s v="TAS"/>
    <s v="No gap agreement"/>
    <s v="More than 150% MBS Fee to 200% MBS Fee"/>
    <n v="7446738.8200000003"/>
    <n v="3399232.2"/>
    <n v="4047472.22"/>
    <n v="39844"/>
  </r>
  <r>
    <x v="18"/>
    <x v="0"/>
    <s v="TAS"/>
    <s v="No gap agreement"/>
    <s v="More than 200% MBS Fee"/>
    <n v="579247.4"/>
    <n v="166394"/>
    <n v="412853.1"/>
    <n v="644"/>
  </r>
  <r>
    <x v="18"/>
    <x v="0"/>
    <s v="ACT"/>
    <s v="No agreement"/>
    <s v="Up to MBS Fee"/>
    <n v="852453.98"/>
    <n v="641498.52"/>
    <n v="210953.36"/>
    <n v="8296"/>
  </r>
  <r>
    <x v="18"/>
    <x v="0"/>
    <s v="ACT"/>
    <s v="No agreement"/>
    <s v="100% MBS Fee to 125% MBS Fee"/>
    <n v="73909.7"/>
    <n v="48271.02"/>
    <n v="21194.75"/>
    <n v="562"/>
  </r>
  <r>
    <x v="18"/>
    <x v="0"/>
    <s v="ACT"/>
    <s v="No agreement"/>
    <s v="More than 125% MBS Fee to 150% MBS Fee"/>
    <n v="137834.57999999999"/>
    <n v="74898.720000000001"/>
    <n v="28457.5"/>
    <n v="533"/>
  </r>
  <r>
    <x v="18"/>
    <x v="0"/>
    <s v="ACT"/>
    <s v="No agreement"/>
    <s v="More than 150% MBS Fee to 200% MBS Fee"/>
    <n v="738739.14"/>
    <n v="309616.71000000002"/>
    <n v="110109.37"/>
    <n v="2711"/>
  </r>
  <r>
    <x v="18"/>
    <x v="0"/>
    <s v="ACT"/>
    <s v="No agreement"/>
    <s v="More than 200% MBS Fee"/>
    <n v="8177792.7000000002"/>
    <n v="2001269.07"/>
    <n v="672261.99"/>
    <n v="11895"/>
  </r>
  <r>
    <x v="18"/>
    <x v="0"/>
    <s v="ACT"/>
    <s v="Known gap agreement"/>
    <s v="100% MBS Fee to 125% MBS Fee"/>
    <n v="77370.3"/>
    <n v="52017.67"/>
    <n v="23507.45"/>
    <n v="192"/>
  </r>
  <r>
    <x v="18"/>
    <x v="0"/>
    <s v="ACT"/>
    <s v="Known gap agreement"/>
    <s v="More than 125% MBS Fee to 150% MBS Fee"/>
    <n v="89017.24"/>
    <n v="49452.5"/>
    <n v="35061.769999999997"/>
    <n v="312"/>
  </r>
  <r>
    <x v="18"/>
    <x v="0"/>
    <s v="ACT"/>
    <s v="Known gap agreement"/>
    <s v="More than 150% MBS Fee to 200% MBS Fee"/>
    <n v="241176.41"/>
    <n v="104560.61"/>
    <n v="101215.69"/>
    <n v="732"/>
  </r>
  <r>
    <x v="18"/>
    <x v="0"/>
    <s v="ACT"/>
    <s v="Known gap agreement"/>
    <s v="More than 200% MBS Fee"/>
    <n v="955645.96"/>
    <n v="267791.95"/>
    <n v="282524.13"/>
    <n v="3091"/>
  </r>
  <r>
    <x v="18"/>
    <x v="0"/>
    <s v="ACT"/>
    <s v="No gap agreement"/>
    <s v="Up to MBS Fee"/>
    <n v="419369.24"/>
    <n v="316208.87"/>
    <n v="103160.36"/>
    <n v="13456"/>
  </r>
  <r>
    <x v="18"/>
    <x v="0"/>
    <s v="ACT"/>
    <s v="No gap agreement"/>
    <s v="100% MBS Fee to 125% MBS Fee"/>
    <n v="1101455.8600000001"/>
    <n v="711774.77"/>
    <n v="389627.68"/>
    <n v="11778"/>
  </r>
  <r>
    <x v="18"/>
    <x v="0"/>
    <s v="ACT"/>
    <s v="No gap agreement"/>
    <s v="More than 125% MBS Fee to 150% MBS Fee"/>
    <n v="2888018.48"/>
    <n v="1595150.81"/>
    <n v="1292854.48"/>
    <n v="18052"/>
  </r>
  <r>
    <x v="18"/>
    <x v="0"/>
    <s v="ACT"/>
    <s v="No gap agreement"/>
    <s v="More than 150% MBS Fee to 200% MBS Fee"/>
    <n v="2318978.15"/>
    <n v="1059978.5900000001"/>
    <n v="1258957.3"/>
    <n v="15220"/>
  </r>
  <r>
    <x v="18"/>
    <x v="0"/>
    <s v="ACT"/>
    <s v="No gap agreement"/>
    <s v="More than 200% MBS Fee"/>
    <n v="373554.08"/>
    <n v="118220.46"/>
    <n v="255333.02"/>
    <n v="1183"/>
  </r>
  <r>
    <x v="18"/>
    <x v="0"/>
    <s v="NT"/>
    <s v="No agreement"/>
    <s v="Up to MBS Fee"/>
    <n v="309951.31"/>
    <n v="233087.86"/>
    <n v="76863.45"/>
    <n v="1064"/>
  </r>
  <r>
    <x v="18"/>
    <x v="0"/>
    <s v="NT"/>
    <s v="No agreement"/>
    <s v="100% MBS Fee to 125% MBS Fee"/>
    <n v="51593.41"/>
    <n v="34679.31"/>
    <n v="14211"/>
    <n v="192"/>
  </r>
  <r>
    <x v="18"/>
    <x v="0"/>
    <s v="NT"/>
    <s v="No agreement"/>
    <s v="More than 125% MBS Fee to 150% MBS Fee"/>
    <n v="68603.09"/>
    <n v="36959.65"/>
    <n v="15643.45"/>
    <n v="333"/>
  </r>
  <r>
    <x v="18"/>
    <x v="0"/>
    <s v="NT"/>
    <s v="No agreement"/>
    <s v="More than 150% MBS Fee to 200% MBS Fee"/>
    <n v="139179.85"/>
    <n v="59068.76"/>
    <n v="29305.200000000001"/>
    <n v="543"/>
  </r>
  <r>
    <x v="18"/>
    <x v="0"/>
    <s v="NT"/>
    <s v="No agreement"/>
    <s v="More than 200% MBS Fee"/>
    <n v="1579071.38"/>
    <n v="409943.45"/>
    <n v="137034.6"/>
    <n v="2176"/>
  </r>
  <r>
    <x v="18"/>
    <x v="0"/>
    <s v="NT"/>
    <s v="Known gap agreement"/>
    <s v="100% MBS Fee to 125% MBS Fee"/>
    <n v="15188.62"/>
    <n v="10134.6"/>
    <n v="4569.7"/>
    <n v="71"/>
  </r>
  <r>
    <x v="18"/>
    <x v="0"/>
    <s v="NT"/>
    <s v="Known gap agreement"/>
    <s v="More than 125% MBS Fee to 150% MBS Fee"/>
    <n v="42888.53"/>
    <n v="22996.55"/>
    <n v="17685.05"/>
    <n v="138"/>
  </r>
  <r>
    <x v="18"/>
    <x v="0"/>
    <s v="NT"/>
    <s v="Known gap agreement"/>
    <s v="More than 150% MBS Fee to 200% MBS Fee"/>
    <n v="229439.09"/>
    <n v="99247.05"/>
    <n v="93176.83"/>
    <n v="403"/>
  </r>
  <r>
    <x v="18"/>
    <x v="0"/>
    <s v="NT"/>
    <s v="Known gap agreement"/>
    <s v="More than 200% MBS Fee"/>
    <n v="330788.07"/>
    <n v="86652.9"/>
    <n v="96499.75"/>
    <n v="1087"/>
  </r>
  <r>
    <x v="18"/>
    <x v="0"/>
    <s v="NT"/>
    <s v="No gap agreement"/>
    <s v="Up to MBS Fee"/>
    <n v="191688.69"/>
    <n v="143962.67000000001"/>
    <n v="47726.02"/>
    <n v="1992"/>
  </r>
  <r>
    <x v="18"/>
    <x v="0"/>
    <s v="NT"/>
    <s v="No gap agreement"/>
    <s v="100% MBS Fee to 125% MBS Fee"/>
    <n v="490761.35"/>
    <n v="314878.2"/>
    <n v="175880.08"/>
    <n v="3470"/>
  </r>
  <r>
    <x v="18"/>
    <x v="0"/>
    <s v="NT"/>
    <s v="No gap agreement"/>
    <s v="More than 125% MBS Fee to 150% MBS Fee"/>
    <n v="1142254.19"/>
    <n v="630313.61"/>
    <n v="511936.77"/>
    <n v="8583"/>
  </r>
  <r>
    <x v="18"/>
    <x v="0"/>
    <s v="NT"/>
    <s v="No gap agreement"/>
    <s v="More than 150% MBS Fee to 200% MBS Fee"/>
    <n v="1509870.86"/>
    <n v="693307.4"/>
    <n v="816554.92"/>
    <n v="7024"/>
  </r>
  <r>
    <x v="18"/>
    <x v="0"/>
    <s v="NT"/>
    <s v="No gap agreement"/>
    <s v="More than 200% MBS Fee"/>
    <n v="64237.35"/>
    <n v="18431.849999999999"/>
    <n v="45805.5"/>
    <n v="113"/>
  </r>
  <r>
    <x v="18"/>
    <x v="2"/>
    <s v="NSW"/>
    <s v="No agreement"/>
    <s v="Up to MBS Fee"/>
    <n v="37071658.579999998"/>
    <n v="27835041.800000001"/>
    <n v="9229526.0399999991"/>
    <n v="606337"/>
  </r>
  <r>
    <x v="18"/>
    <x v="2"/>
    <s v="NSW"/>
    <s v="No agreement"/>
    <s v="100% MBS Fee to 125% MBS Fee"/>
    <n v="2954468.64"/>
    <n v="1998516"/>
    <n v="748483.98"/>
    <n v="36004"/>
  </r>
  <r>
    <x v="18"/>
    <x v="2"/>
    <s v="NSW"/>
    <s v="No agreement"/>
    <s v="More than 125% MBS Fee to 150% MBS Fee"/>
    <n v="3462275.2"/>
    <n v="1873256.83"/>
    <n v="839953.31"/>
    <n v="15918"/>
  </r>
  <r>
    <x v="18"/>
    <x v="2"/>
    <s v="NSW"/>
    <s v="No agreement"/>
    <s v="More than 150% MBS Fee to 200% MBS Fee"/>
    <n v="14629590.83"/>
    <n v="6242611.5099999998"/>
    <n v="2438990.8199999998"/>
    <n v="75245"/>
  </r>
  <r>
    <x v="18"/>
    <x v="2"/>
    <s v="NSW"/>
    <s v="No agreement"/>
    <s v="More than 200% MBS Fee"/>
    <n v="98551454.599999994"/>
    <n v="24791887.41"/>
    <n v="8310106.4400000004"/>
    <n v="155121"/>
  </r>
  <r>
    <x v="18"/>
    <x v="2"/>
    <s v="NSW"/>
    <s v="Known gap agreement"/>
    <s v="100% MBS Fee to 125% MBS Fee"/>
    <n v="1471034.31"/>
    <n v="990244.49"/>
    <n v="421026.58"/>
    <n v="6820"/>
  </r>
  <r>
    <x v="18"/>
    <x v="2"/>
    <s v="NSW"/>
    <s v="Known gap agreement"/>
    <s v="More than 125% MBS Fee to 150% MBS Fee"/>
    <n v="1999622.06"/>
    <n v="1082585.1100000001"/>
    <n v="733820.43"/>
    <n v="8298"/>
  </r>
  <r>
    <x v="18"/>
    <x v="2"/>
    <s v="NSW"/>
    <s v="Known gap agreement"/>
    <s v="More than 150% MBS Fee to 200% MBS Fee"/>
    <n v="5508825.9299999997"/>
    <n v="2424388.87"/>
    <n v="2281571.5299999998"/>
    <n v="14629"/>
  </r>
  <r>
    <x v="18"/>
    <x v="2"/>
    <s v="NSW"/>
    <s v="Known gap agreement"/>
    <s v="More than 200% MBS Fee"/>
    <n v="6992546.9500000002"/>
    <n v="1881786.65"/>
    <n v="1822250.12"/>
    <n v="17491"/>
  </r>
  <r>
    <x v="18"/>
    <x v="2"/>
    <s v="NSW"/>
    <s v="No gap agreement"/>
    <s v="Up to MBS Fee"/>
    <n v="13902720.84"/>
    <n v="10452404.640000001"/>
    <n v="3450809.57"/>
    <n v="363265"/>
  </r>
  <r>
    <x v="18"/>
    <x v="2"/>
    <s v="NSW"/>
    <s v="No gap agreement"/>
    <s v="100% MBS Fee to 125% MBS Fee"/>
    <n v="37013816.310000002"/>
    <n v="23722682.899999999"/>
    <n v="13290855.57"/>
    <n v="376556"/>
  </r>
  <r>
    <x v="18"/>
    <x v="2"/>
    <s v="NSW"/>
    <s v="No gap agreement"/>
    <s v="More than 125% MBS Fee to 150% MBS Fee"/>
    <n v="85697659.840000004"/>
    <n v="47292812.82"/>
    <n v="38404776.899999999"/>
    <n v="475655"/>
  </r>
  <r>
    <x v="18"/>
    <x v="2"/>
    <s v="NSW"/>
    <s v="No gap agreement"/>
    <s v="More than 150% MBS Fee to 200% MBS Fee"/>
    <n v="89913680.159999996"/>
    <n v="41208235.439999998"/>
    <n v="48705240.079999998"/>
    <n v="508047"/>
  </r>
  <r>
    <x v="18"/>
    <x v="2"/>
    <s v="NSW"/>
    <s v="No gap agreement"/>
    <s v="More than 200% MBS Fee"/>
    <n v="10350571.310000001"/>
    <n v="3200072.28"/>
    <n v="7150497.2800000003"/>
    <n v="42281"/>
  </r>
  <r>
    <x v="18"/>
    <x v="2"/>
    <s v="VIC"/>
    <s v="No agreement"/>
    <s v="Up to MBS Fee"/>
    <n v="10723869.619999999"/>
    <n v="8059007.1200000001"/>
    <n v="2663876.94"/>
    <n v="96779"/>
  </r>
  <r>
    <x v="18"/>
    <x v="2"/>
    <s v="VIC"/>
    <s v="No agreement"/>
    <s v="100% MBS Fee to 125% MBS Fee"/>
    <n v="1933042.07"/>
    <n v="1271974.3"/>
    <n v="467182.88"/>
    <n v="12435"/>
  </r>
  <r>
    <x v="18"/>
    <x v="2"/>
    <s v="VIC"/>
    <s v="No agreement"/>
    <s v="More than 125% MBS Fee to 150% MBS Fee"/>
    <n v="2643159.7999999998"/>
    <n v="1450395.76"/>
    <n v="757808.69"/>
    <n v="23238"/>
  </r>
  <r>
    <x v="18"/>
    <x v="2"/>
    <s v="VIC"/>
    <s v="No agreement"/>
    <s v="More than 150% MBS Fee to 200% MBS Fee"/>
    <n v="5337141.6100000003"/>
    <n v="2283810.9700000002"/>
    <n v="1404762.21"/>
    <n v="22440"/>
  </r>
  <r>
    <x v="18"/>
    <x v="2"/>
    <s v="VIC"/>
    <s v="No agreement"/>
    <s v="More than 200% MBS Fee"/>
    <n v="23806271.050000001"/>
    <n v="6269526.4100000001"/>
    <n v="2139040.4900000002"/>
    <n v="46940"/>
  </r>
  <r>
    <x v="18"/>
    <x v="2"/>
    <s v="VIC"/>
    <s v="Known gap agreement"/>
    <s v="100% MBS Fee to 125% MBS Fee"/>
    <n v="2599602.48"/>
    <n v="1751286.93"/>
    <n v="723404.2"/>
    <n v="15638"/>
  </r>
  <r>
    <x v="18"/>
    <x v="2"/>
    <s v="VIC"/>
    <s v="Known gap agreement"/>
    <s v="More than 125% MBS Fee to 150% MBS Fee"/>
    <n v="4823364.18"/>
    <n v="2626977.08"/>
    <n v="1754698.02"/>
    <n v="18678"/>
  </r>
  <r>
    <x v="18"/>
    <x v="2"/>
    <s v="VIC"/>
    <s v="Known gap agreement"/>
    <s v="More than 150% MBS Fee to 200% MBS Fee"/>
    <n v="7686002.7000000002"/>
    <n v="3342329.47"/>
    <n v="3006549.54"/>
    <n v="18846"/>
  </r>
  <r>
    <x v="18"/>
    <x v="2"/>
    <s v="VIC"/>
    <s v="Known gap agreement"/>
    <s v="More than 200% MBS Fee"/>
    <n v="8174402.46"/>
    <n v="2408569.34"/>
    <n v="2309588.5299999998"/>
    <n v="20494"/>
  </r>
  <r>
    <x v="18"/>
    <x v="2"/>
    <s v="VIC"/>
    <s v="No gap agreement"/>
    <s v="Up to MBS Fee"/>
    <n v="13290696.060000001"/>
    <n v="10010754.52"/>
    <n v="3279975.53"/>
    <n v="252022"/>
  </r>
  <r>
    <x v="18"/>
    <x v="2"/>
    <s v="VIC"/>
    <s v="No gap agreement"/>
    <s v="100% MBS Fee to 125% MBS Fee"/>
    <n v="41586998.25"/>
    <n v="26544243.34"/>
    <n v="15042558.92"/>
    <n v="402276"/>
  </r>
  <r>
    <x v="18"/>
    <x v="2"/>
    <s v="VIC"/>
    <s v="No gap agreement"/>
    <s v="More than 125% MBS Fee to 150% MBS Fee"/>
    <n v="99014426.579999998"/>
    <n v="54658453.240000002"/>
    <n v="44355900.689999998"/>
    <n v="768947"/>
  </r>
  <r>
    <x v="18"/>
    <x v="2"/>
    <s v="VIC"/>
    <s v="No gap agreement"/>
    <s v="More than 150% MBS Fee to 200% MBS Fee"/>
    <n v="92392268.409999996"/>
    <n v="41853264.689999998"/>
    <n v="50538959.619999997"/>
    <n v="471595"/>
  </r>
  <r>
    <x v="18"/>
    <x v="2"/>
    <s v="VIC"/>
    <s v="No gap agreement"/>
    <s v="More than 200% MBS Fee"/>
    <n v="5571177.21"/>
    <n v="1583804.6"/>
    <n v="3987372.61"/>
    <n v="12628"/>
  </r>
  <r>
    <x v="18"/>
    <x v="2"/>
    <s v="QLD"/>
    <s v="No agreement"/>
    <s v="Up to MBS Fee"/>
    <n v="8692641.0399999991"/>
    <n v="6525000.3700000001"/>
    <n v="2161902.19"/>
    <n v="63946"/>
  </r>
  <r>
    <x v="18"/>
    <x v="2"/>
    <s v="QLD"/>
    <s v="No agreement"/>
    <s v="100% MBS Fee to 125% MBS Fee"/>
    <n v="2262571.85"/>
    <n v="1489555.56"/>
    <n v="606845.52"/>
    <n v="14676"/>
  </r>
  <r>
    <x v="18"/>
    <x v="2"/>
    <s v="QLD"/>
    <s v="No agreement"/>
    <s v="More than 125% MBS Fee to 150% MBS Fee"/>
    <n v="3054312.82"/>
    <n v="1661143.61"/>
    <n v="781736.5"/>
    <n v="17094"/>
  </r>
  <r>
    <x v="18"/>
    <x v="2"/>
    <s v="QLD"/>
    <s v="No agreement"/>
    <s v="More than 150% MBS Fee to 200% MBS Fee"/>
    <n v="9029628.8000000007"/>
    <n v="3817810.32"/>
    <n v="1477275.86"/>
    <n v="27955"/>
  </r>
  <r>
    <x v="18"/>
    <x v="2"/>
    <s v="QLD"/>
    <s v="No agreement"/>
    <s v="More than 200% MBS Fee"/>
    <n v="50375655.649999999"/>
    <n v="13313640.060000001"/>
    <n v="4498228.12"/>
    <n v="88690"/>
  </r>
  <r>
    <x v="18"/>
    <x v="2"/>
    <s v="QLD"/>
    <s v="Known gap agreement"/>
    <s v="100% MBS Fee to 125% MBS Fee"/>
    <n v="988698.26"/>
    <n v="645904.12"/>
    <n v="278250.46999999997"/>
    <n v="4800"/>
  </r>
  <r>
    <x v="18"/>
    <x v="2"/>
    <s v="QLD"/>
    <s v="Known gap agreement"/>
    <s v="More than 125% MBS Fee to 150% MBS Fee"/>
    <n v="2252331.02"/>
    <n v="1216299.69"/>
    <n v="820455.7"/>
    <n v="9624"/>
  </r>
  <r>
    <x v="18"/>
    <x v="2"/>
    <s v="QLD"/>
    <s v="Known gap agreement"/>
    <s v="More than 150% MBS Fee to 200% MBS Fee"/>
    <n v="5230370.25"/>
    <n v="2253569.39"/>
    <n v="2121338.08"/>
    <n v="10515"/>
  </r>
  <r>
    <x v="18"/>
    <x v="2"/>
    <s v="QLD"/>
    <s v="Known gap agreement"/>
    <s v="More than 200% MBS Fee"/>
    <n v="8633392.1899999995"/>
    <n v="2538005.73"/>
    <n v="2503959.7400000002"/>
    <n v="19686"/>
  </r>
  <r>
    <x v="18"/>
    <x v="2"/>
    <s v="QLD"/>
    <s v="No gap agreement"/>
    <s v="Up to MBS Fee"/>
    <n v="8740985.1899999995"/>
    <n v="6564457.6600000001"/>
    <n v="2176523.37"/>
    <n v="153854"/>
  </r>
  <r>
    <x v="18"/>
    <x v="2"/>
    <s v="QLD"/>
    <s v="No gap agreement"/>
    <s v="100% MBS Fee to 125% MBS Fee"/>
    <n v="34166810.840000004"/>
    <n v="21928717.510000002"/>
    <n v="12237891.15"/>
    <n v="353352"/>
  </r>
  <r>
    <x v="18"/>
    <x v="2"/>
    <s v="QLD"/>
    <s v="No gap agreement"/>
    <s v="More than 125% MBS Fee to 150% MBS Fee"/>
    <n v="71286540.780000001"/>
    <n v="39626970.560000002"/>
    <n v="31659530.73"/>
    <n v="609982"/>
  </r>
  <r>
    <x v="18"/>
    <x v="2"/>
    <s v="QLD"/>
    <s v="No gap agreement"/>
    <s v="More than 150% MBS Fee to 200% MBS Fee"/>
    <n v="56708719.57"/>
    <n v="26217747.98"/>
    <n v="30490696.649999999"/>
    <n v="363409"/>
  </r>
  <r>
    <x v="18"/>
    <x v="2"/>
    <s v="QLD"/>
    <s v="No gap agreement"/>
    <s v="More than 200% MBS Fee"/>
    <n v="6426751.7599999998"/>
    <n v="1892141.54"/>
    <n v="4534606.8600000003"/>
    <n v="12891"/>
  </r>
  <r>
    <x v="18"/>
    <x v="2"/>
    <s v="SA"/>
    <s v="No agreement"/>
    <s v="Up to MBS Fee"/>
    <n v="2196022.5499999998"/>
    <n v="1651452.99"/>
    <n v="544569.26"/>
    <n v="18014"/>
  </r>
  <r>
    <x v="18"/>
    <x v="2"/>
    <s v="SA"/>
    <s v="No agreement"/>
    <s v="100% MBS Fee to 125% MBS Fee"/>
    <n v="336010.66"/>
    <n v="215949.12"/>
    <n v="98764.1"/>
    <n v="2171"/>
  </r>
  <r>
    <x v="18"/>
    <x v="2"/>
    <s v="SA"/>
    <s v="No agreement"/>
    <s v="More than 125% MBS Fee to 150% MBS Fee"/>
    <n v="879272.38"/>
    <n v="470132.6"/>
    <n v="301863.84000000003"/>
    <n v="5244"/>
  </r>
  <r>
    <x v="18"/>
    <x v="2"/>
    <s v="SA"/>
    <s v="No agreement"/>
    <s v="More than 150% MBS Fee to 200% MBS Fee"/>
    <n v="1636349.98"/>
    <n v="721324.27"/>
    <n v="710026.97"/>
    <n v="5917"/>
  </r>
  <r>
    <x v="18"/>
    <x v="2"/>
    <s v="SA"/>
    <s v="No agreement"/>
    <s v="More than 200% MBS Fee"/>
    <n v="2741309.96"/>
    <n v="651731.18000000005"/>
    <n v="260065.83"/>
    <n v="6359"/>
  </r>
  <r>
    <x v="18"/>
    <x v="2"/>
    <s v="SA"/>
    <s v="Known gap agreement"/>
    <s v="100% MBS Fee to 125% MBS Fee"/>
    <n v="432536.46"/>
    <n v="291666.96000000002"/>
    <n v="120189.94"/>
    <n v="2368"/>
  </r>
  <r>
    <x v="18"/>
    <x v="2"/>
    <s v="SA"/>
    <s v="Known gap agreement"/>
    <s v="More than 125% MBS Fee to 150% MBS Fee"/>
    <n v="736547.08"/>
    <n v="400695.6"/>
    <n v="257850.55"/>
    <n v="3197"/>
  </r>
  <r>
    <x v="18"/>
    <x v="2"/>
    <s v="SA"/>
    <s v="Known gap agreement"/>
    <s v="More than 150% MBS Fee to 200% MBS Fee"/>
    <n v="2634895.4500000002"/>
    <n v="1118935.96"/>
    <n v="1086847.83"/>
    <n v="4047"/>
  </r>
  <r>
    <x v="18"/>
    <x v="2"/>
    <s v="SA"/>
    <s v="Known gap agreement"/>
    <s v="More than 200% MBS Fee"/>
    <n v="1328827.43"/>
    <n v="385011.99"/>
    <n v="410116.21"/>
    <n v="4111"/>
  </r>
  <r>
    <x v="18"/>
    <x v="2"/>
    <s v="SA"/>
    <s v="No gap agreement"/>
    <s v="Up to MBS Fee"/>
    <n v="4122096.95"/>
    <n v="3098517.67"/>
    <n v="1023755.56"/>
    <n v="60917"/>
  </r>
  <r>
    <x v="18"/>
    <x v="2"/>
    <s v="SA"/>
    <s v="No gap agreement"/>
    <s v="100% MBS Fee to 125% MBS Fee"/>
    <n v="10186573.199999999"/>
    <n v="6525779.7300000004"/>
    <n v="3660745.59"/>
    <n v="116535"/>
  </r>
  <r>
    <x v="18"/>
    <x v="2"/>
    <s v="SA"/>
    <s v="No gap agreement"/>
    <s v="More than 125% MBS Fee to 150% MBS Fee"/>
    <n v="21832105.510000002"/>
    <n v="11951923.16"/>
    <n v="9880168.8100000005"/>
    <n v="173722"/>
  </r>
  <r>
    <x v="18"/>
    <x v="2"/>
    <s v="SA"/>
    <s v="No gap agreement"/>
    <s v="More than 150% MBS Fee to 200% MBS Fee"/>
    <n v="38447097.920000002"/>
    <n v="17289027"/>
    <n v="21158059.530000001"/>
    <n v="158529"/>
  </r>
  <r>
    <x v="18"/>
    <x v="2"/>
    <s v="SA"/>
    <s v="No gap agreement"/>
    <s v="More than 200% MBS Fee"/>
    <n v="1958396.3"/>
    <n v="557098.9"/>
    <n v="1401297.4"/>
    <n v="3700"/>
  </r>
  <r>
    <x v="18"/>
    <x v="2"/>
    <s v="WA"/>
    <s v="No agreement"/>
    <s v="Up to MBS Fee"/>
    <n v="2142223.35"/>
    <n v="1610723.24"/>
    <n v="531126.19999999995"/>
    <n v="35505"/>
  </r>
  <r>
    <x v="18"/>
    <x v="2"/>
    <s v="WA"/>
    <s v="No agreement"/>
    <s v="100% MBS Fee to 125% MBS Fee"/>
    <n v="347006.84"/>
    <n v="232972.5"/>
    <n v="81366.320000000007"/>
    <n v="2586"/>
  </r>
  <r>
    <x v="18"/>
    <x v="2"/>
    <s v="WA"/>
    <s v="No agreement"/>
    <s v="More than 125% MBS Fee to 150% MBS Fee"/>
    <n v="995604.49"/>
    <n v="550159.77"/>
    <n v="211812.18"/>
    <n v="4068"/>
  </r>
  <r>
    <x v="18"/>
    <x v="2"/>
    <s v="WA"/>
    <s v="No agreement"/>
    <s v="More than 150% MBS Fee to 200% MBS Fee"/>
    <n v="2568896.8199999998"/>
    <n v="1118494.97"/>
    <n v="394493.4"/>
    <n v="7565"/>
  </r>
  <r>
    <x v="18"/>
    <x v="2"/>
    <s v="WA"/>
    <s v="No agreement"/>
    <s v="More than 200% MBS Fee"/>
    <n v="8516527.3499999996"/>
    <n v="2162569.02"/>
    <n v="738342.22"/>
    <n v="22947"/>
  </r>
  <r>
    <x v="18"/>
    <x v="2"/>
    <s v="WA"/>
    <s v="Known gap agreement"/>
    <s v="100% MBS Fee to 125% MBS Fee"/>
    <n v="2702038.28"/>
    <n v="1876072.9"/>
    <n v="790625.58"/>
    <n v="16458"/>
  </r>
  <r>
    <x v="18"/>
    <x v="2"/>
    <s v="WA"/>
    <s v="Known gap agreement"/>
    <s v="More than 125% MBS Fee to 150% MBS Fee"/>
    <n v="4038246.53"/>
    <n v="2160887.7000000002"/>
    <n v="1598763.75"/>
    <n v="29875"/>
  </r>
  <r>
    <x v="18"/>
    <x v="2"/>
    <s v="WA"/>
    <s v="Known gap agreement"/>
    <s v="More than 150% MBS Fee to 200% MBS Fee"/>
    <n v="7937825.2999999998"/>
    <n v="3497659.69"/>
    <n v="2598821.88"/>
    <n v="17046"/>
  </r>
  <r>
    <x v="18"/>
    <x v="2"/>
    <s v="WA"/>
    <s v="Known gap agreement"/>
    <s v="More than 200% MBS Fee"/>
    <n v="12440175.609999999"/>
    <n v="3252091.76"/>
    <n v="2083306.19"/>
    <n v="23975"/>
  </r>
  <r>
    <x v="18"/>
    <x v="2"/>
    <s v="WA"/>
    <s v="No gap agreement"/>
    <s v="Up to MBS Fee"/>
    <n v="1405814.21"/>
    <n v="1063151.76"/>
    <n v="342680.66"/>
    <n v="13029"/>
  </r>
  <r>
    <x v="18"/>
    <x v="2"/>
    <s v="WA"/>
    <s v="No gap agreement"/>
    <s v="100% MBS Fee to 125% MBS Fee"/>
    <n v="8700428.4199999999"/>
    <n v="5564511.5"/>
    <n v="3135895.56"/>
    <n v="102871"/>
  </r>
  <r>
    <x v="18"/>
    <x v="2"/>
    <s v="WA"/>
    <s v="No gap agreement"/>
    <s v="More than 125% MBS Fee to 150% MBS Fee"/>
    <n v="33748903.890000001"/>
    <n v="18690038.850000001"/>
    <n v="15058860.23"/>
    <n v="268651"/>
  </r>
  <r>
    <x v="18"/>
    <x v="2"/>
    <s v="WA"/>
    <s v="No gap agreement"/>
    <s v="More than 150% MBS Fee to 200% MBS Fee"/>
    <n v="41455110.109999999"/>
    <n v="18374985.09"/>
    <n v="23080115.829999998"/>
    <n v="195089"/>
  </r>
  <r>
    <x v="18"/>
    <x v="2"/>
    <s v="WA"/>
    <s v="No gap agreement"/>
    <s v="More than 200% MBS Fee"/>
    <n v="3840421.44"/>
    <n v="1003468.45"/>
    <n v="2836952.89"/>
    <n v="2634"/>
  </r>
  <r>
    <x v="18"/>
    <x v="2"/>
    <s v="TAS"/>
    <s v="No agreement"/>
    <s v="Up to MBS Fee"/>
    <n v="624201.66"/>
    <n v="469062.71"/>
    <n v="155136.49"/>
    <n v="8418"/>
  </r>
  <r>
    <x v="18"/>
    <x v="2"/>
    <s v="TAS"/>
    <s v="No agreement"/>
    <s v="100% MBS Fee to 125% MBS Fee"/>
    <n v="124839.46"/>
    <n v="82525.36"/>
    <n v="34853.300000000003"/>
    <n v="1008"/>
  </r>
  <r>
    <x v="18"/>
    <x v="2"/>
    <s v="TAS"/>
    <s v="No agreement"/>
    <s v="More than 125% MBS Fee to 150% MBS Fee"/>
    <n v="174945.32"/>
    <n v="93920.78"/>
    <n v="52829.82"/>
    <n v="518"/>
  </r>
  <r>
    <x v="18"/>
    <x v="2"/>
    <s v="TAS"/>
    <s v="No agreement"/>
    <s v="More than 150% MBS Fee to 200% MBS Fee"/>
    <n v="639984.68000000005"/>
    <n v="278519.49"/>
    <n v="146774.95000000001"/>
    <n v="2305"/>
  </r>
  <r>
    <x v="18"/>
    <x v="2"/>
    <s v="TAS"/>
    <s v="No agreement"/>
    <s v="More than 200% MBS Fee"/>
    <n v="2280107.86"/>
    <n v="570977.63"/>
    <n v="195742.16"/>
    <n v="3736"/>
  </r>
  <r>
    <x v="18"/>
    <x v="2"/>
    <s v="TAS"/>
    <s v="Known gap agreement"/>
    <s v="100% MBS Fee to 125% MBS Fee"/>
    <n v="230406.09"/>
    <n v="156317.35"/>
    <n v="65710.960000000006"/>
    <n v="1122"/>
  </r>
  <r>
    <x v="18"/>
    <x v="2"/>
    <s v="TAS"/>
    <s v="Known gap agreement"/>
    <s v="More than 125% MBS Fee to 150% MBS Fee"/>
    <n v="587598.66"/>
    <n v="331818.84999999998"/>
    <n v="158469.62"/>
    <n v="8563"/>
  </r>
  <r>
    <x v="18"/>
    <x v="2"/>
    <s v="TAS"/>
    <s v="Known gap agreement"/>
    <s v="More than 150% MBS Fee to 200% MBS Fee"/>
    <n v="858365.83"/>
    <n v="373843.4"/>
    <n v="370582.6"/>
    <n v="1872"/>
  </r>
  <r>
    <x v="18"/>
    <x v="2"/>
    <s v="TAS"/>
    <s v="Known gap agreement"/>
    <s v="More than 200% MBS Fee"/>
    <n v="1165772.8700000001"/>
    <n v="353485.55"/>
    <n v="395307.63"/>
    <n v="4207"/>
  </r>
  <r>
    <x v="18"/>
    <x v="2"/>
    <s v="TAS"/>
    <s v="No gap agreement"/>
    <s v="Up to MBS Fee"/>
    <n v="1817923.72"/>
    <n v="1366442.11"/>
    <n v="451486.71"/>
    <n v="29198"/>
  </r>
  <r>
    <x v="18"/>
    <x v="2"/>
    <s v="TAS"/>
    <s v="No gap agreement"/>
    <s v="100% MBS Fee to 125% MBS Fee"/>
    <n v="3635674.9"/>
    <n v="2305590.35"/>
    <n v="1330080.58"/>
    <n v="25678"/>
  </r>
  <r>
    <x v="18"/>
    <x v="2"/>
    <s v="TAS"/>
    <s v="No gap agreement"/>
    <s v="More than 125% MBS Fee to 150% MBS Fee"/>
    <n v="8328041.8899999997"/>
    <n v="4535107.4800000004"/>
    <n v="3792926.82"/>
    <n v="42920"/>
  </r>
  <r>
    <x v="18"/>
    <x v="2"/>
    <s v="TAS"/>
    <s v="No gap agreement"/>
    <s v="More than 150% MBS Fee to 200% MBS Fee"/>
    <n v="7380016.4400000004"/>
    <n v="3376403.29"/>
    <n v="4003610.27"/>
    <n v="39751"/>
  </r>
  <r>
    <x v="18"/>
    <x v="2"/>
    <s v="TAS"/>
    <s v="No gap agreement"/>
    <s v="More than 200% MBS Fee"/>
    <n v="593692.42000000004"/>
    <n v="169238.95"/>
    <n v="424453.39"/>
    <n v="627"/>
  </r>
  <r>
    <x v="18"/>
    <x v="2"/>
    <s v="ACT"/>
    <s v="No agreement"/>
    <s v="Up to MBS Fee"/>
    <n v="1120576.25"/>
    <n v="848779.13"/>
    <n v="270911.57"/>
    <n v="9923"/>
  </r>
  <r>
    <x v="18"/>
    <x v="2"/>
    <s v="ACT"/>
    <s v="No agreement"/>
    <s v="100% MBS Fee to 125% MBS Fee"/>
    <n v="94914.559999999998"/>
    <n v="61978.14"/>
    <n v="23218.15"/>
    <n v="539"/>
  </r>
  <r>
    <x v="18"/>
    <x v="2"/>
    <s v="ACT"/>
    <s v="No agreement"/>
    <s v="More than 125% MBS Fee to 150% MBS Fee"/>
    <n v="168401.66"/>
    <n v="91455.26"/>
    <n v="36810.75"/>
    <n v="619"/>
  </r>
  <r>
    <x v="18"/>
    <x v="2"/>
    <s v="ACT"/>
    <s v="No agreement"/>
    <s v="More than 150% MBS Fee to 200% MBS Fee"/>
    <n v="774519.28"/>
    <n v="322833.03000000003"/>
    <n v="110572.75"/>
    <n v="2724"/>
  </r>
  <r>
    <x v="18"/>
    <x v="2"/>
    <s v="ACT"/>
    <s v="No agreement"/>
    <s v="More than 200% MBS Fee"/>
    <n v="8143626.9400000004"/>
    <n v="2028985.78"/>
    <n v="675331.5"/>
    <n v="11990"/>
  </r>
  <r>
    <x v="18"/>
    <x v="2"/>
    <s v="ACT"/>
    <s v="Known gap agreement"/>
    <s v="100% MBS Fee to 125% MBS Fee"/>
    <n v="85216.34"/>
    <n v="56445.35"/>
    <n v="26336.5"/>
    <n v="285"/>
  </r>
  <r>
    <x v="18"/>
    <x v="2"/>
    <s v="ACT"/>
    <s v="Known gap agreement"/>
    <s v="More than 125% MBS Fee to 150% MBS Fee"/>
    <n v="128274.6"/>
    <n v="70550.7"/>
    <n v="47610.55"/>
    <n v="455"/>
  </r>
  <r>
    <x v="18"/>
    <x v="2"/>
    <s v="ACT"/>
    <s v="Known gap agreement"/>
    <s v="More than 150% MBS Fee to 200% MBS Fee"/>
    <n v="233115.83"/>
    <n v="99632.75"/>
    <n v="98372.29"/>
    <n v="793"/>
  </r>
  <r>
    <x v="18"/>
    <x v="2"/>
    <s v="ACT"/>
    <s v="Known gap agreement"/>
    <s v="More than 200% MBS Fee"/>
    <n v="906979.77"/>
    <n v="252213.75"/>
    <n v="267392.19"/>
    <n v="2911"/>
  </r>
  <r>
    <x v="18"/>
    <x v="2"/>
    <s v="ACT"/>
    <s v="No gap agreement"/>
    <s v="Up to MBS Fee"/>
    <n v="437570.97"/>
    <n v="329206.65999999997"/>
    <n v="108505.9"/>
    <n v="14141"/>
  </r>
  <r>
    <x v="18"/>
    <x v="2"/>
    <s v="ACT"/>
    <s v="No gap agreement"/>
    <s v="100% MBS Fee to 125% MBS Fee"/>
    <n v="1183294.6399999999"/>
    <n v="766050.54"/>
    <n v="417220.6"/>
    <n v="13111"/>
  </r>
  <r>
    <x v="18"/>
    <x v="2"/>
    <s v="ACT"/>
    <s v="No gap agreement"/>
    <s v="More than 125% MBS Fee to 150% MBS Fee"/>
    <n v="3016750.4"/>
    <n v="1667073.21"/>
    <n v="1349659.74"/>
    <n v="18314"/>
  </r>
  <r>
    <x v="18"/>
    <x v="2"/>
    <s v="ACT"/>
    <s v="No gap agreement"/>
    <s v="More than 150% MBS Fee to 200% MBS Fee"/>
    <n v="2311370.9300000002"/>
    <n v="1057648.83"/>
    <n v="1253713.73"/>
    <n v="15380"/>
  </r>
  <r>
    <x v="18"/>
    <x v="2"/>
    <s v="ACT"/>
    <s v="No gap agreement"/>
    <s v="More than 200% MBS Fee"/>
    <n v="361409.97"/>
    <n v="112064.1"/>
    <n v="249345.87"/>
    <n v="1156"/>
  </r>
  <r>
    <x v="18"/>
    <x v="2"/>
    <s v="NT"/>
    <s v="No agreement"/>
    <s v="Up to MBS Fee"/>
    <n v="346119.83"/>
    <n v="259461.78"/>
    <n v="86223.05"/>
    <n v="1402"/>
  </r>
  <r>
    <x v="18"/>
    <x v="2"/>
    <s v="NT"/>
    <s v="No agreement"/>
    <s v="100% MBS Fee to 125% MBS Fee"/>
    <n v="35647.1"/>
    <n v="22990.33"/>
    <n v="8698.7000000000007"/>
    <n v="152"/>
  </r>
  <r>
    <x v="18"/>
    <x v="2"/>
    <s v="NT"/>
    <s v="No agreement"/>
    <s v="More than 125% MBS Fee to 150% MBS Fee"/>
    <n v="48738.67"/>
    <n v="26641.65"/>
    <n v="11711.08"/>
    <n v="239"/>
  </r>
  <r>
    <x v="18"/>
    <x v="2"/>
    <s v="NT"/>
    <s v="No agreement"/>
    <s v="More than 150% MBS Fee to 200% MBS Fee"/>
    <n v="178386.07"/>
    <n v="78451.67"/>
    <n v="29080.3"/>
    <n v="598"/>
  </r>
  <r>
    <x v="18"/>
    <x v="2"/>
    <s v="NT"/>
    <s v="No agreement"/>
    <s v="More than 200% MBS Fee"/>
    <n v="1367404.02"/>
    <n v="350907.69"/>
    <n v="117578.65"/>
    <n v="1993"/>
  </r>
  <r>
    <x v="18"/>
    <x v="2"/>
    <s v="NT"/>
    <s v="Known gap agreement"/>
    <s v="100% MBS Fee to 125% MBS Fee"/>
    <n v="22251.69"/>
    <n v="15153.85"/>
    <n v="6391.88"/>
    <n v="164"/>
  </r>
  <r>
    <x v="18"/>
    <x v="2"/>
    <s v="NT"/>
    <s v="Known gap agreement"/>
    <s v="More than 125% MBS Fee to 150% MBS Fee"/>
    <n v="36379.800000000003"/>
    <n v="19507.2"/>
    <n v="13248.48"/>
    <n v="153"/>
  </r>
  <r>
    <x v="18"/>
    <x v="2"/>
    <s v="NT"/>
    <s v="Known gap agreement"/>
    <s v="More than 150% MBS Fee to 200% MBS Fee"/>
    <n v="137360.12"/>
    <n v="60935"/>
    <n v="58973.279999999999"/>
    <n v="315"/>
  </r>
  <r>
    <x v="18"/>
    <x v="2"/>
    <s v="NT"/>
    <s v="Known gap agreement"/>
    <s v="More than 200% MBS Fee"/>
    <n v="327703.62"/>
    <n v="87924.6"/>
    <n v="99179.06"/>
    <n v="1114"/>
  </r>
  <r>
    <x v="18"/>
    <x v="2"/>
    <s v="NT"/>
    <s v="No gap agreement"/>
    <s v="Up to MBS Fee"/>
    <n v="151849.62"/>
    <n v="114029.14"/>
    <n v="37820.480000000003"/>
    <n v="2183"/>
  </r>
  <r>
    <x v="18"/>
    <x v="2"/>
    <s v="NT"/>
    <s v="No gap agreement"/>
    <s v="100% MBS Fee to 125% MBS Fee"/>
    <n v="444864.11"/>
    <n v="284083.61"/>
    <n v="160778.48000000001"/>
    <n v="5454"/>
  </r>
  <r>
    <x v="18"/>
    <x v="2"/>
    <s v="NT"/>
    <s v="No gap agreement"/>
    <s v="More than 125% MBS Fee to 150% MBS Fee"/>
    <n v="1142030.21"/>
    <n v="626266.69999999995"/>
    <n v="515763.04"/>
    <n v="6819"/>
  </r>
  <r>
    <x v="18"/>
    <x v="2"/>
    <s v="NT"/>
    <s v="No gap agreement"/>
    <s v="More than 150% MBS Fee to 200% MBS Fee"/>
    <n v="1336808.1499999999"/>
    <n v="614601.31000000006"/>
    <n v="722201.71"/>
    <n v="6412"/>
  </r>
  <r>
    <x v="18"/>
    <x v="2"/>
    <s v="NT"/>
    <s v="No gap agreement"/>
    <s v="More than 200% MBS Fee"/>
    <n v="65057.75"/>
    <n v="19598.7"/>
    <n v="45459.05"/>
    <n v="98"/>
  </r>
  <r>
    <x v="18"/>
    <x v="3"/>
    <s v="NSW"/>
    <s v="No agreement"/>
    <s v="Up to MBS Fee"/>
    <n v="35269514.780000001"/>
    <n v="26483206.469999999"/>
    <n v="8770644.4000000004"/>
    <n v="565833"/>
  </r>
  <r>
    <x v="18"/>
    <x v="3"/>
    <s v="NSW"/>
    <s v="No agreement"/>
    <s v="100% MBS Fee to 125% MBS Fee"/>
    <n v="2647073.39"/>
    <n v="1774461.37"/>
    <n v="655432.23"/>
    <n v="19543"/>
  </r>
  <r>
    <x v="18"/>
    <x v="3"/>
    <s v="NSW"/>
    <s v="No agreement"/>
    <s v="More than 125% MBS Fee to 150% MBS Fee"/>
    <n v="3130798.33"/>
    <n v="1694499.57"/>
    <n v="779710.99"/>
    <n v="15141"/>
  </r>
  <r>
    <x v="18"/>
    <x v="3"/>
    <s v="NSW"/>
    <s v="No agreement"/>
    <s v="More than 150% MBS Fee to 200% MBS Fee"/>
    <n v="13760801.140000001"/>
    <n v="5895534.7400000002"/>
    <n v="2337986.66"/>
    <n v="73406"/>
  </r>
  <r>
    <x v="18"/>
    <x v="3"/>
    <s v="NSW"/>
    <s v="No agreement"/>
    <s v="More than 200% MBS Fee"/>
    <n v="87227342.159999996"/>
    <n v="21933276.27"/>
    <n v="7270972.6100000003"/>
    <n v="138983"/>
  </r>
  <r>
    <x v="18"/>
    <x v="3"/>
    <s v="NSW"/>
    <s v="Known gap agreement"/>
    <s v="100% MBS Fee to 125% MBS Fee"/>
    <n v="1410751"/>
    <n v="942320.47"/>
    <n v="397070.91"/>
    <n v="8096"/>
  </r>
  <r>
    <x v="18"/>
    <x v="3"/>
    <s v="NSW"/>
    <s v="Known gap agreement"/>
    <s v="More than 125% MBS Fee to 150% MBS Fee"/>
    <n v="2295560.96"/>
    <n v="1246474.57"/>
    <n v="854845.83"/>
    <n v="11115"/>
  </r>
  <r>
    <x v="18"/>
    <x v="3"/>
    <s v="NSW"/>
    <s v="Known gap agreement"/>
    <s v="More than 150% MBS Fee to 200% MBS Fee"/>
    <n v="5321856.0999999996"/>
    <n v="2349879.08"/>
    <n v="2224136.7599999998"/>
    <n v="14340"/>
  </r>
  <r>
    <x v="18"/>
    <x v="3"/>
    <s v="NSW"/>
    <s v="Known gap agreement"/>
    <s v="More than 200% MBS Fee"/>
    <n v="6261845.3499999996"/>
    <n v="1742805.7"/>
    <n v="1708008.35"/>
    <n v="16981"/>
  </r>
  <r>
    <x v="18"/>
    <x v="3"/>
    <s v="NSW"/>
    <s v="No gap agreement"/>
    <s v="Up to MBS Fee"/>
    <n v="12804466.289999999"/>
    <n v="9622552.5700000003"/>
    <n v="3182850.69"/>
    <n v="333613"/>
  </r>
  <r>
    <x v="18"/>
    <x v="3"/>
    <s v="NSW"/>
    <s v="No gap agreement"/>
    <s v="100% MBS Fee to 125% MBS Fee"/>
    <n v="35381462.619999997"/>
    <n v="22684854.09"/>
    <n v="12695959.16"/>
    <n v="361055"/>
  </r>
  <r>
    <x v="18"/>
    <x v="3"/>
    <s v="NSW"/>
    <s v="No gap agreement"/>
    <s v="More than 125% MBS Fee to 150% MBS Fee"/>
    <n v="76758275.329999998"/>
    <n v="42349136.43"/>
    <n v="34409057.200000003"/>
    <n v="409281"/>
  </r>
  <r>
    <x v="18"/>
    <x v="3"/>
    <s v="NSW"/>
    <s v="No gap agreement"/>
    <s v="More than 150% MBS Fee to 200% MBS Fee"/>
    <n v="79559836.120000005"/>
    <n v="36481109.990000002"/>
    <n v="43079129.369999997"/>
    <n v="447119"/>
  </r>
  <r>
    <x v="18"/>
    <x v="3"/>
    <s v="NSW"/>
    <s v="No gap agreement"/>
    <s v="More than 200% MBS Fee"/>
    <n v="10126982.42"/>
    <n v="3123660.49"/>
    <n v="7003458.4800000004"/>
    <n v="37979"/>
  </r>
  <r>
    <x v="18"/>
    <x v="3"/>
    <s v="VIC"/>
    <s v="No agreement"/>
    <s v="Up to MBS Fee"/>
    <n v="10170578.789999999"/>
    <n v="7646035.46"/>
    <n v="2522886.77"/>
    <n v="87049"/>
  </r>
  <r>
    <x v="18"/>
    <x v="3"/>
    <s v="VIC"/>
    <s v="No agreement"/>
    <s v="100% MBS Fee to 125% MBS Fee"/>
    <n v="1741086.92"/>
    <n v="1150898.42"/>
    <n v="418657.55"/>
    <n v="10599"/>
  </r>
  <r>
    <x v="18"/>
    <x v="3"/>
    <s v="VIC"/>
    <s v="No agreement"/>
    <s v="More than 125% MBS Fee to 150% MBS Fee"/>
    <n v="2480651.67"/>
    <n v="1357054.31"/>
    <n v="732158.49"/>
    <n v="22760"/>
  </r>
  <r>
    <x v="18"/>
    <x v="3"/>
    <s v="VIC"/>
    <s v="No agreement"/>
    <s v="More than 150% MBS Fee to 200% MBS Fee"/>
    <n v="4958464.67"/>
    <n v="2126554.64"/>
    <n v="1346869.13"/>
    <n v="21627"/>
  </r>
  <r>
    <x v="18"/>
    <x v="3"/>
    <s v="VIC"/>
    <s v="No agreement"/>
    <s v="More than 200% MBS Fee"/>
    <n v="21378767.469999999"/>
    <n v="5626399.5300000003"/>
    <n v="1915685.64"/>
    <n v="41888"/>
  </r>
  <r>
    <x v="18"/>
    <x v="3"/>
    <s v="VIC"/>
    <s v="Known gap agreement"/>
    <s v="100% MBS Fee to 125% MBS Fee"/>
    <n v="2423827.11"/>
    <n v="1625544.74"/>
    <n v="678301.7"/>
    <n v="16398"/>
  </r>
  <r>
    <x v="18"/>
    <x v="3"/>
    <s v="VIC"/>
    <s v="Known gap agreement"/>
    <s v="More than 125% MBS Fee to 150% MBS Fee"/>
    <n v="5067504.88"/>
    <n v="2763489.4"/>
    <n v="1861340.03"/>
    <n v="24297"/>
  </r>
  <r>
    <x v="18"/>
    <x v="3"/>
    <s v="VIC"/>
    <s v="Known gap agreement"/>
    <s v="More than 150% MBS Fee to 200% MBS Fee"/>
    <n v="7359552.6399999997"/>
    <n v="3214375.39"/>
    <n v="2931120.53"/>
    <n v="19219"/>
  </r>
  <r>
    <x v="18"/>
    <x v="3"/>
    <s v="VIC"/>
    <s v="Known gap agreement"/>
    <s v="More than 200% MBS Fee"/>
    <n v="7096240.8799999999"/>
    <n v="2102725.85"/>
    <n v="2054741.57"/>
    <n v="18423"/>
  </r>
  <r>
    <x v="18"/>
    <x v="3"/>
    <s v="VIC"/>
    <s v="No gap agreement"/>
    <s v="Up to MBS Fee"/>
    <n v="11351108.15"/>
    <n v="8550037.9600000009"/>
    <n v="2801080.11"/>
    <n v="208414"/>
  </r>
  <r>
    <x v="18"/>
    <x v="3"/>
    <s v="VIC"/>
    <s v="No gap agreement"/>
    <s v="100% MBS Fee to 125% MBS Fee"/>
    <n v="39401687.810000002"/>
    <n v="25155114.239999998"/>
    <n v="14246317.279999999"/>
    <n v="408234"/>
  </r>
  <r>
    <x v="18"/>
    <x v="3"/>
    <s v="VIC"/>
    <s v="No gap agreement"/>
    <s v="More than 125% MBS Fee to 150% MBS Fee"/>
    <n v="89295497.390000001"/>
    <n v="49268265.859999999"/>
    <n v="40027136.729999997"/>
    <n v="676211"/>
  </r>
  <r>
    <x v="18"/>
    <x v="3"/>
    <s v="VIC"/>
    <s v="No gap agreement"/>
    <s v="More than 150% MBS Fee to 200% MBS Fee"/>
    <n v="83735998.200000003"/>
    <n v="37902330.439999998"/>
    <n v="45833567.799999997"/>
    <n v="429118"/>
  </r>
  <r>
    <x v="18"/>
    <x v="3"/>
    <s v="VIC"/>
    <s v="No gap agreement"/>
    <s v="More than 200% MBS Fee"/>
    <n v="4735282.93"/>
    <n v="1351409.9"/>
    <n v="3383873.03"/>
    <n v="11556"/>
  </r>
  <r>
    <x v="18"/>
    <x v="3"/>
    <s v="QLD"/>
    <s v="No agreement"/>
    <s v="Up to MBS Fee"/>
    <n v="8573673.6899999995"/>
    <n v="6460713.0300000003"/>
    <n v="2110340.5099999998"/>
    <n v="60005"/>
  </r>
  <r>
    <x v="18"/>
    <x v="3"/>
    <s v="QLD"/>
    <s v="No agreement"/>
    <s v="100% MBS Fee to 125% MBS Fee"/>
    <n v="2232107.7599999998"/>
    <n v="1470753.01"/>
    <n v="592026.82999999996"/>
    <n v="14256"/>
  </r>
  <r>
    <x v="18"/>
    <x v="3"/>
    <s v="QLD"/>
    <s v="No agreement"/>
    <s v="More than 125% MBS Fee to 150% MBS Fee"/>
    <n v="3529624.93"/>
    <n v="1928029.13"/>
    <n v="993161.06"/>
    <n v="28270"/>
  </r>
  <r>
    <x v="18"/>
    <x v="3"/>
    <s v="QLD"/>
    <s v="No agreement"/>
    <s v="More than 150% MBS Fee to 200% MBS Fee"/>
    <n v="8881829.1199999992"/>
    <n v="3782753.98"/>
    <n v="1618034.73"/>
    <n v="29030"/>
  </r>
  <r>
    <x v="18"/>
    <x v="3"/>
    <s v="QLD"/>
    <s v="No agreement"/>
    <s v="More than 200% MBS Fee"/>
    <n v="44100988.57"/>
    <n v="11754361.24"/>
    <n v="3910366.87"/>
    <n v="79663"/>
  </r>
  <r>
    <x v="18"/>
    <x v="3"/>
    <s v="QLD"/>
    <s v="Known gap agreement"/>
    <s v="100% MBS Fee to 125% MBS Fee"/>
    <n v="984493.18"/>
    <n v="652900.06000000006"/>
    <n v="281514.48"/>
    <n v="4444"/>
  </r>
  <r>
    <x v="18"/>
    <x v="3"/>
    <s v="QLD"/>
    <s v="Known gap agreement"/>
    <s v="More than 125% MBS Fee to 150% MBS Fee"/>
    <n v="2595918.23"/>
    <n v="1411598.77"/>
    <n v="984270.36"/>
    <n v="17260"/>
  </r>
  <r>
    <x v="18"/>
    <x v="3"/>
    <s v="QLD"/>
    <s v="Known gap agreement"/>
    <s v="More than 150% MBS Fee to 200% MBS Fee"/>
    <n v="5141906.05"/>
    <n v="2227533.75"/>
    <n v="2105232.91"/>
    <n v="10606"/>
  </r>
  <r>
    <x v="18"/>
    <x v="3"/>
    <s v="QLD"/>
    <s v="Known gap agreement"/>
    <s v="More than 200% MBS Fee"/>
    <n v="7627817.2699999996"/>
    <n v="2270907.13"/>
    <n v="2289443.4700000002"/>
    <n v="17401"/>
  </r>
  <r>
    <x v="18"/>
    <x v="3"/>
    <s v="QLD"/>
    <s v="No gap agreement"/>
    <s v="Up to MBS Fee"/>
    <n v="7950690.2999999998"/>
    <n v="5971303.1100000003"/>
    <n v="1979449.78"/>
    <n v="111771"/>
  </r>
  <r>
    <x v="18"/>
    <x v="3"/>
    <s v="QLD"/>
    <s v="No gap agreement"/>
    <s v="100% MBS Fee to 125% MBS Fee"/>
    <n v="32105461.77"/>
    <n v="20604964.420000002"/>
    <n v="11500117.49"/>
    <n v="323088"/>
  </r>
  <r>
    <x v="18"/>
    <x v="3"/>
    <s v="QLD"/>
    <s v="No gap agreement"/>
    <s v="More than 125% MBS Fee to 150% MBS Fee"/>
    <n v="65639469.340000004"/>
    <n v="36464138.649999999"/>
    <n v="29175299.75"/>
    <n v="527204"/>
  </r>
  <r>
    <x v="18"/>
    <x v="3"/>
    <s v="QLD"/>
    <s v="No gap agreement"/>
    <s v="More than 150% MBS Fee to 200% MBS Fee"/>
    <n v="53553667.329999998"/>
    <n v="24794204.940000001"/>
    <n v="28758498.600000001"/>
    <n v="338883"/>
  </r>
  <r>
    <x v="18"/>
    <x v="3"/>
    <s v="QLD"/>
    <s v="No gap agreement"/>
    <s v="More than 200% MBS Fee"/>
    <n v="6373145.6500000004"/>
    <n v="1862760.8"/>
    <n v="4510381.7300000004"/>
    <n v="11783"/>
  </r>
  <r>
    <x v="18"/>
    <x v="3"/>
    <s v="SA"/>
    <s v="No agreement"/>
    <s v="Up to MBS Fee"/>
    <n v="2176899.29"/>
    <n v="1635134.22"/>
    <n v="541765.06999999995"/>
    <n v="20597"/>
  </r>
  <r>
    <x v="18"/>
    <x v="3"/>
    <s v="SA"/>
    <s v="No agreement"/>
    <s v="100% MBS Fee to 125% MBS Fee"/>
    <n v="370081.46"/>
    <n v="241241.09"/>
    <n v="109564.15"/>
    <n v="2310"/>
  </r>
  <r>
    <x v="18"/>
    <x v="3"/>
    <s v="SA"/>
    <s v="No agreement"/>
    <s v="More than 125% MBS Fee to 150% MBS Fee"/>
    <n v="1064946.79"/>
    <n v="572017.22"/>
    <n v="381965.8"/>
    <n v="7003"/>
  </r>
  <r>
    <x v="18"/>
    <x v="3"/>
    <s v="SA"/>
    <s v="No agreement"/>
    <s v="More than 150% MBS Fee to 200% MBS Fee"/>
    <n v="2044093.71"/>
    <n v="890415.16"/>
    <n v="961042.48"/>
    <n v="8260"/>
  </r>
  <r>
    <x v="18"/>
    <x v="3"/>
    <s v="SA"/>
    <s v="No agreement"/>
    <s v="More than 200% MBS Fee"/>
    <n v="2351708.37"/>
    <n v="622045.06000000006"/>
    <n v="247577.64"/>
    <n v="5490"/>
  </r>
  <r>
    <x v="18"/>
    <x v="3"/>
    <s v="SA"/>
    <s v="Known gap agreement"/>
    <s v="100% MBS Fee to 125% MBS Fee"/>
    <n v="417459.55"/>
    <n v="282924.84999999998"/>
    <n v="119188.61"/>
    <n v="2203"/>
  </r>
  <r>
    <x v="18"/>
    <x v="3"/>
    <s v="SA"/>
    <s v="Known gap agreement"/>
    <s v="More than 125% MBS Fee to 150% MBS Fee"/>
    <n v="708094.1"/>
    <n v="385064.16"/>
    <n v="248795.49"/>
    <n v="3716"/>
  </r>
  <r>
    <x v="18"/>
    <x v="3"/>
    <s v="SA"/>
    <s v="Known gap agreement"/>
    <s v="More than 150% MBS Fee to 200% MBS Fee"/>
    <n v="2436496.59"/>
    <n v="1037938.6"/>
    <n v="994980.55"/>
    <n v="3765"/>
  </r>
  <r>
    <x v="18"/>
    <x v="3"/>
    <s v="SA"/>
    <s v="Known gap agreement"/>
    <s v="More than 200% MBS Fee"/>
    <n v="1298902.8600000001"/>
    <n v="382009.7"/>
    <n v="405250.32"/>
    <n v="3235"/>
  </r>
  <r>
    <x v="18"/>
    <x v="3"/>
    <s v="SA"/>
    <s v="No gap agreement"/>
    <s v="Up to MBS Fee"/>
    <n v="4131129.93"/>
    <n v="3101053.49"/>
    <n v="1030076.26"/>
    <n v="62586"/>
  </r>
  <r>
    <x v="18"/>
    <x v="3"/>
    <s v="SA"/>
    <s v="No gap agreement"/>
    <s v="100% MBS Fee to 125% MBS Fee"/>
    <n v="9048895.2599999998"/>
    <n v="5810205.8099999996"/>
    <n v="3238656.75"/>
    <n v="94999"/>
  </r>
  <r>
    <x v="18"/>
    <x v="3"/>
    <s v="SA"/>
    <s v="No gap agreement"/>
    <s v="More than 125% MBS Fee to 150% MBS Fee"/>
    <n v="19936738.260000002"/>
    <n v="10885715.09"/>
    <n v="9050949.7899999991"/>
    <n v="148610"/>
  </r>
  <r>
    <x v="18"/>
    <x v="3"/>
    <s v="SA"/>
    <s v="No gap agreement"/>
    <s v="More than 150% MBS Fee to 200% MBS Fee"/>
    <n v="34362542.759999998"/>
    <n v="15468769.529999999"/>
    <n v="18893764.48"/>
    <n v="142321"/>
  </r>
  <r>
    <x v="18"/>
    <x v="3"/>
    <s v="SA"/>
    <s v="No gap agreement"/>
    <s v="More than 200% MBS Fee"/>
    <n v="2035943.95"/>
    <n v="567981.12"/>
    <n v="1467962.83"/>
    <n v="3286"/>
  </r>
  <r>
    <x v="18"/>
    <x v="3"/>
    <s v="WA"/>
    <s v="No agreement"/>
    <s v="Up to MBS Fee"/>
    <n v="1961153.2"/>
    <n v="1473941.3"/>
    <n v="486525.05"/>
    <n v="33487"/>
  </r>
  <r>
    <x v="18"/>
    <x v="3"/>
    <s v="WA"/>
    <s v="No agreement"/>
    <s v="100% MBS Fee to 125% MBS Fee"/>
    <n v="358656.17"/>
    <n v="241095.99"/>
    <n v="84416.33"/>
    <n v="2849"/>
  </r>
  <r>
    <x v="18"/>
    <x v="3"/>
    <s v="WA"/>
    <s v="No agreement"/>
    <s v="More than 125% MBS Fee to 150% MBS Fee"/>
    <n v="845095.24"/>
    <n v="464596.57"/>
    <n v="174229.49"/>
    <n v="3507"/>
  </r>
  <r>
    <x v="18"/>
    <x v="3"/>
    <s v="WA"/>
    <s v="No agreement"/>
    <s v="More than 150% MBS Fee to 200% MBS Fee"/>
    <n v="2337386.0299999998"/>
    <n v="1013241.31"/>
    <n v="365829.4"/>
    <n v="7194"/>
  </r>
  <r>
    <x v="18"/>
    <x v="3"/>
    <s v="WA"/>
    <s v="No agreement"/>
    <s v="More than 200% MBS Fee"/>
    <n v="7003259.1100000003"/>
    <n v="1826696.36"/>
    <n v="590532.37"/>
    <n v="19828"/>
  </r>
  <r>
    <x v="18"/>
    <x v="3"/>
    <s v="WA"/>
    <s v="Known gap agreement"/>
    <s v="100% MBS Fee to 125% MBS Fee"/>
    <n v="2382932.14"/>
    <n v="1648055.45"/>
    <n v="702111.21"/>
    <n v="13034"/>
  </r>
  <r>
    <x v="18"/>
    <x v="3"/>
    <s v="WA"/>
    <s v="Known gap agreement"/>
    <s v="More than 125% MBS Fee to 150% MBS Fee"/>
    <n v="3551209.65"/>
    <n v="1899117.23"/>
    <n v="1406667.01"/>
    <n v="27855"/>
  </r>
  <r>
    <x v="18"/>
    <x v="3"/>
    <s v="WA"/>
    <s v="Known gap agreement"/>
    <s v="More than 150% MBS Fee to 200% MBS Fee"/>
    <n v="7193294.9299999997"/>
    <n v="3168606.06"/>
    <n v="2385584.7000000002"/>
    <n v="14942"/>
  </r>
  <r>
    <x v="18"/>
    <x v="3"/>
    <s v="WA"/>
    <s v="Known gap agreement"/>
    <s v="More than 200% MBS Fee"/>
    <n v="11491872.390000001"/>
    <n v="2957204.6"/>
    <n v="1931108.7"/>
    <n v="21805"/>
  </r>
  <r>
    <x v="18"/>
    <x v="3"/>
    <s v="WA"/>
    <s v="No gap agreement"/>
    <s v="Up to MBS Fee"/>
    <n v="1365589.73"/>
    <n v="1032189.39"/>
    <n v="333400.28000000003"/>
    <n v="12424"/>
  </r>
  <r>
    <x v="18"/>
    <x v="3"/>
    <s v="WA"/>
    <s v="No gap agreement"/>
    <s v="100% MBS Fee to 125% MBS Fee"/>
    <n v="7070543.7599999998"/>
    <n v="4544750.42"/>
    <n v="2525782.16"/>
    <n v="63546"/>
  </r>
  <r>
    <x v="18"/>
    <x v="3"/>
    <s v="WA"/>
    <s v="No gap agreement"/>
    <s v="More than 125% MBS Fee to 150% MBS Fee"/>
    <n v="30906806.640000001"/>
    <n v="17113870.940000001"/>
    <n v="13792929.640000001"/>
    <n v="231811"/>
  </r>
  <r>
    <x v="18"/>
    <x v="3"/>
    <s v="WA"/>
    <s v="No gap agreement"/>
    <s v="More than 150% MBS Fee to 200% MBS Fee"/>
    <n v="36924184.420000002"/>
    <n v="16391989.310000001"/>
    <n v="20532189.350000001"/>
    <n v="172650"/>
  </r>
  <r>
    <x v="18"/>
    <x v="3"/>
    <s v="WA"/>
    <s v="No gap agreement"/>
    <s v="More than 200% MBS Fee"/>
    <n v="3377177.83"/>
    <n v="885249.18"/>
    <n v="2491928.65"/>
    <n v="2441"/>
  </r>
  <r>
    <x v="18"/>
    <x v="3"/>
    <s v="TAS"/>
    <s v="No agreement"/>
    <s v="Up to MBS Fee"/>
    <n v="718033.45"/>
    <n v="539746.46"/>
    <n v="178286.84"/>
    <n v="7428"/>
  </r>
  <r>
    <x v="18"/>
    <x v="3"/>
    <s v="TAS"/>
    <s v="No agreement"/>
    <s v="100% MBS Fee to 125% MBS Fee"/>
    <n v="121475.43"/>
    <n v="79949.399999999994"/>
    <n v="34685.300000000003"/>
    <n v="979"/>
  </r>
  <r>
    <x v="18"/>
    <x v="3"/>
    <s v="TAS"/>
    <s v="No agreement"/>
    <s v="More than 125% MBS Fee to 150% MBS Fee"/>
    <n v="136911.4"/>
    <n v="73405.08"/>
    <n v="47091.05"/>
    <n v="458"/>
  </r>
  <r>
    <x v="18"/>
    <x v="3"/>
    <s v="TAS"/>
    <s v="No agreement"/>
    <s v="More than 150% MBS Fee to 200% MBS Fee"/>
    <n v="573178.27"/>
    <n v="251678.55"/>
    <n v="136556.04999999999"/>
    <n v="1986"/>
  </r>
  <r>
    <x v="18"/>
    <x v="3"/>
    <s v="TAS"/>
    <s v="No agreement"/>
    <s v="More than 200% MBS Fee"/>
    <n v="2082067.2"/>
    <n v="516588.39"/>
    <n v="175459.15"/>
    <n v="3302"/>
  </r>
  <r>
    <x v="18"/>
    <x v="3"/>
    <s v="TAS"/>
    <s v="Known gap agreement"/>
    <s v="100% MBS Fee to 125% MBS Fee"/>
    <n v="171691.9"/>
    <n v="115344.9"/>
    <n v="49854.239999999998"/>
    <n v="1162"/>
  </r>
  <r>
    <x v="18"/>
    <x v="3"/>
    <s v="TAS"/>
    <s v="Known gap agreement"/>
    <s v="More than 125% MBS Fee to 150% MBS Fee"/>
    <n v="229944.19"/>
    <n v="125295.7"/>
    <n v="90351.95"/>
    <n v="1088"/>
  </r>
  <r>
    <x v="18"/>
    <x v="3"/>
    <s v="TAS"/>
    <s v="Known gap agreement"/>
    <s v="More than 150% MBS Fee to 200% MBS Fee"/>
    <n v="701986.4"/>
    <n v="304412.2"/>
    <n v="303957.46000000002"/>
    <n v="1510"/>
  </r>
  <r>
    <x v="18"/>
    <x v="3"/>
    <s v="TAS"/>
    <s v="Known gap agreement"/>
    <s v="More than 200% MBS Fee"/>
    <n v="917089.45"/>
    <n v="275544.59999999998"/>
    <n v="320406.61"/>
    <n v="3430"/>
  </r>
  <r>
    <x v="18"/>
    <x v="3"/>
    <s v="TAS"/>
    <s v="No gap agreement"/>
    <s v="Up to MBS Fee"/>
    <n v="1602498.99"/>
    <n v="1203321.06"/>
    <n v="399177.53"/>
    <n v="26153"/>
  </r>
  <r>
    <x v="18"/>
    <x v="3"/>
    <s v="TAS"/>
    <s v="No gap agreement"/>
    <s v="100% MBS Fee to 125% MBS Fee"/>
    <n v="2928039.78"/>
    <n v="1855877.75"/>
    <n v="1072138.18"/>
    <n v="21462"/>
  </r>
  <r>
    <x v="18"/>
    <x v="3"/>
    <s v="TAS"/>
    <s v="No gap agreement"/>
    <s v="More than 125% MBS Fee to 150% MBS Fee"/>
    <n v="7415398.9900000002"/>
    <n v="4057187.27"/>
    <n v="3358211.24"/>
    <n v="43556"/>
  </r>
  <r>
    <x v="18"/>
    <x v="3"/>
    <s v="TAS"/>
    <s v="No gap agreement"/>
    <s v="More than 150% MBS Fee to 200% MBS Fee"/>
    <n v="6263800.3600000003"/>
    <n v="2864409.35"/>
    <n v="3399374.46"/>
    <n v="35749"/>
  </r>
  <r>
    <x v="18"/>
    <x v="3"/>
    <s v="TAS"/>
    <s v="No gap agreement"/>
    <s v="More than 200% MBS Fee"/>
    <n v="532152.82999999996"/>
    <n v="149748.9"/>
    <n v="382403.93"/>
    <n v="511"/>
  </r>
  <r>
    <x v="18"/>
    <x v="3"/>
    <s v="ACT"/>
    <s v="No agreement"/>
    <s v="Up to MBS Fee"/>
    <n v="940163.73"/>
    <n v="707942.71"/>
    <n v="231575.45"/>
    <n v="9202"/>
  </r>
  <r>
    <x v="18"/>
    <x v="3"/>
    <s v="ACT"/>
    <s v="No agreement"/>
    <s v="100% MBS Fee to 125% MBS Fee"/>
    <n v="83517.73"/>
    <n v="55150.85"/>
    <n v="19123.5"/>
    <n v="471"/>
  </r>
  <r>
    <x v="18"/>
    <x v="3"/>
    <s v="ACT"/>
    <s v="No agreement"/>
    <s v="More than 125% MBS Fee to 150% MBS Fee"/>
    <n v="138208.44"/>
    <n v="76283.179999999993"/>
    <n v="31653.71"/>
    <n v="572"/>
  </r>
  <r>
    <x v="18"/>
    <x v="3"/>
    <s v="ACT"/>
    <s v="No agreement"/>
    <s v="More than 150% MBS Fee to 200% MBS Fee"/>
    <n v="734652.54"/>
    <n v="305327.2"/>
    <n v="106554.6"/>
    <n v="2473"/>
  </r>
  <r>
    <x v="18"/>
    <x v="3"/>
    <s v="ACT"/>
    <s v="No agreement"/>
    <s v="More than 200% MBS Fee"/>
    <n v="7024058.9100000001"/>
    <n v="1752876.8"/>
    <n v="567717.80000000005"/>
    <n v="10352"/>
  </r>
  <r>
    <x v="18"/>
    <x v="3"/>
    <s v="ACT"/>
    <s v="Known gap agreement"/>
    <s v="100% MBS Fee to 125% MBS Fee"/>
    <n v="43957.49"/>
    <n v="28848.7"/>
    <n v="13363.04"/>
    <n v="194"/>
  </r>
  <r>
    <x v="18"/>
    <x v="3"/>
    <s v="ACT"/>
    <s v="Known gap agreement"/>
    <s v="More than 125% MBS Fee to 150% MBS Fee"/>
    <n v="93710.09"/>
    <n v="51981.75"/>
    <n v="35428.57"/>
    <n v="405"/>
  </r>
  <r>
    <x v="18"/>
    <x v="3"/>
    <s v="ACT"/>
    <s v="Known gap agreement"/>
    <s v="More than 150% MBS Fee to 200% MBS Fee"/>
    <n v="209602.6"/>
    <n v="90521.7"/>
    <n v="90755.88"/>
    <n v="557"/>
  </r>
  <r>
    <x v="18"/>
    <x v="3"/>
    <s v="ACT"/>
    <s v="Known gap agreement"/>
    <s v="More than 200% MBS Fee"/>
    <n v="760131.6"/>
    <n v="214517.67"/>
    <n v="230548.95"/>
    <n v="2508"/>
  </r>
  <r>
    <x v="18"/>
    <x v="3"/>
    <s v="ACT"/>
    <s v="No gap agreement"/>
    <s v="Up to MBS Fee"/>
    <n v="390836.43"/>
    <n v="293563.5"/>
    <n v="97272.88"/>
    <n v="12796"/>
  </r>
  <r>
    <x v="18"/>
    <x v="3"/>
    <s v="ACT"/>
    <s v="No gap agreement"/>
    <s v="100% MBS Fee to 125% MBS Fee"/>
    <n v="1013199.2"/>
    <n v="654409.73"/>
    <n v="358760.78"/>
    <n v="11738"/>
  </r>
  <r>
    <x v="18"/>
    <x v="3"/>
    <s v="ACT"/>
    <s v="No gap agreement"/>
    <s v="More than 125% MBS Fee to 150% MBS Fee"/>
    <n v="2602936.04"/>
    <n v="1435898.14"/>
    <n v="1167011.96"/>
    <n v="14003"/>
  </r>
  <r>
    <x v="18"/>
    <x v="3"/>
    <s v="ACT"/>
    <s v="No gap agreement"/>
    <s v="More than 150% MBS Fee to 200% MBS Fee"/>
    <n v="1897089.75"/>
    <n v="866454.71"/>
    <n v="1030609.74"/>
    <n v="12438"/>
  </r>
  <r>
    <x v="18"/>
    <x v="3"/>
    <s v="ACT"/>
    <s v="No gap agreement"/>
    <s v="More than 200% MBS Fee"/>
    <n v="434537.78"/>
    <n v="133004.45000000001"/>
    <n v="301531.43"/>
    <n v="1106"/>
  </r>
  <r>
    <x v="18"/>
    <x v="3"/>
    <s v="NT"/>
    <s v="No agreement"/>
    <s v="Up to MBS Fee"/>
    <n v="322328.32000000001"/>
    <n v="242458.03"/>
    <n v="79870.289999999994"/>
    <n v="1401"/>
  </r>
  <r>
    <x v="18"/>
    <x v="3"/>
    <s v="NT"/>
    <s v="No agreement"/>
    <s v="100% MBS Fee to 125% MBS Fee"/>
    <n v="61296.26"/>
    <n v="39459.43"/>
    <n v="14905.3"/>
    <n v="224"/>
  </r>
  <r>
    <x v="18"/>
    <x v="3"/>
    <s v="NT"/>
    <s v="No agreement"/>
    <s v="More than 125% MBS Fee to 150% MBS Fee"/>
    <n v="52938.64"/>
    <n v="28653.59"/>
    <n v="11980.3"/>
    <n v="260"/>
  </r>
  <r>
    <x v="18"/>
    <x v="3"/>
    <s v="NT"/>
    <s v="No agreement"/>
    <s v="More than 150% MBS Fee to 200% MBS Fee"/>
    <n v="200274.32"/>
    <n v="87498.15"/>
    <n v="34891.75"/>
    <n v="626"/>
  </r>
  <r>
    <x v="18"/>
    <x v="3"/>
    <s v="NT"/>
    <s v="No agreement"/>
    <s v="More than 200% MBS Fee"/>
    <n v="1270493.25"/>
    <n v="335130.33"/>
    <n v="109626.05"/>
    <n v="2039"/>
  </r>
  <r>
    <x v="18"/>
    <x v="3"/>
    <s v="NT"/>
    <s v="Known gap agreement"/>
    <s v="100% MBS Fee to 125% MBS Fee"/>
    <n v="14418.71"/>
    <n v="9532.7999999999993"/>
    <n v="4281.8"/>
    <n v="81"/>
  </r>
  <r>
    <x v="18"/>
    <x v="3"/>
    <s v="NT"/>
    <s v="Known gap agreement"/>
    <s v="More than 125% MBS Fee to 150% MBS Fee"/>
    <n v="58893.41"/>
    <n v="31276.55"/>
    <n v="23275.51"/>
    <n v="242"/>
  </r>
  <r>
    <x v="18"/>
    <x v="3"/>
    <s v="NT"/>
    <s v="Known gap agreement"/>
    <s v="More than 150% MBS Fee to 200% MBS Fee"/>
    <n v="152804.64000000001"/>
    <n v="68821"/>
    <n v="65833.45"/>
    <n v="291"/>
  </r>
  <r>
    <x v="18"/>
    <x v="3"/>
    <s v="NT"/>
    <s v="Known gap agreement"/>
    <s v="More than 200% MBS Fee"/>
    <n v="319969.43"/>
    <n v="90092.35"/>
    <n v="100597.51"/>
    <n v="1010"/>
  </r>
  <r>
    <x v="18"/>
    <x v="3"/>
    <s v="NT"/>
    <s v="No gap agreement"/>
    <s v="Up to MBS Fee"/>
    <n v="133280.87"/>
    <n v="100090.69"/>
    <n v="33190.18"/>
    <n v="1765"/>
  </r>
  <r>
    <x v="18"/>
    <x v="3"/>
    <s v="NT"/>
    <s v="No gap agreement"/>
    <s v="100% MBS Fee to 125% MBS Fee"/>
    <n v="490809.44"/>
    <n v="314016.55"/>
    <n v="176788.15"/>
    <n v="5711"/>
  </r>
  <r>
    <x v="18"/>
    <x v="3"/>
    <s v="NT"/>
    <s v="No gap agreement"/>
    <s v="More than 125% MBS Fee to 150% MBS Fee"/>
    <n v="1044137.23"/>
    <n v="570427.35"/>
    <n v="473709.82"/>
    <n v="5481"/>
  </r>
  <r>
    <x v="18"/>
    <x v="3"/>
    <s v="NT"/>
    <s v="No gap agreement"/>
    <s v="More than 150% MBS Fee to 200% MBS Fee"/>
    <n v="1298703.1499999999"/>
    <n v="596229.19999999995"/>
    <n v="702462.68"/>
    <n v="6457"/>
  </r>
  <r>
    <x v="18"/>
    <x v="3"/>
    <s v="NT"/>
    <s v="No gap agreement"/>
    <s v="More than 200% MBS Fee"/>
    <n v="50476.25"/>
    <n v="15580.1"/>
    <n v="34896.15"/>
    <n v="68"/>
  </r>
  <r>
    <x v="18"/>
    <x v="1"/>
    <s v="NSW"/>
    <s v="No agreement"/>
    <s v="Up to MBS Fee"/>
    <n v="40335021.490000002"/>
    <n v="30267098.760000002"/>
    <n v="10043646.779999999"/>
    <n v="603603"/>
  </r>
  <r>
    <x v="18"/>
    <x v="1"/>
    <s v="NSW"/>
    <s v="No agreement"/>
    <s v="100% MBS Fee to 125% MBS Fee"/>
    <n v="2774498.64"/>
    <n v="1869401.09"/>
    <n v="700224.22"/>
    <n v="25852"/>
  </r>
  <r>
    <x v="18"/>
    <x v="1"/>
    <s v="NSW"/>
    <s v="No agreement"/>
    <s v="More than 125% MBS Fee to 150% MBS Fee"/>
    <n v="3531814.17"/>
    <n v="1909522.5"/>
    <n v="864801.62"/>
    <n v="14831"/>
  </r>
  <r>
    <x v="18"/>
    <x v="1"/>
    <s v="NSW"/>
    <s v="No agreement"/>
    <s v="More than 150% MBS Fee to 200% MBS Fee"/>
    <n v="14561175.609999999"/>
    <n v="6226078.5300000003"/>
    <n v="2453878.19"/>
    <n v="77621"/>
  </r>
  <r>
    <x v="18"/>
    <x v="1"/>
    <s v="NSW"/>
    <s v="No agreement"/>
    <s v="More than 200% MBS Fee"/>
    <n v="100383740.15000001"/>
    <n v="25319376.739999998"/>
    <n v="8475651.8100000005"/>
    <n v="158932"/>
  </r>
  <r>
    <x v="18"/>
    <x v="1"/>
    <s v="NSW"/>
    <s v="Known gap agreement"/>
    <s v="100% MBS Fee to 125% MBS Fee"/>
    <n v="1328880.49"/>
    <n v="881597.7"/>
    <n v="395380.92"/>
    <n v="5833"/>
  </r>
  <r>
    <x v="18"/>
    <x v="1"/>
    <s v="NSW"/>
    <s v="Known gap agreement"/>
    <s v="More than 125% MBS Fee to 150% MBS Fee"/>
    <n v="1878735.08"/>
    <n v="1021403.65"/>
    <n v="686238.15"/>
    <n v="7651"/>
  </r>
  <r>
    <x v="18"/>
    <x v="1"/>
    <s v="NSW"/>
    <s v="Known gap agreement"/>
    <s v="More than 150% MBS Fee to 200% MBS Fee"/>
    <n v="5008876.17"/>
    <n v="2210851.9500000002"/>
    <n v="2107665.6800000002"/>
    <n v="13415"/>
  </r>
  <r>
    <x v="18"/>
    <x v="1"/>
    <s v="NSW"/>
    <s v="Known gap agreement"/>
    <s v="More than 200% MBS Fee"/>
    <n v="5673756.7400000002"/>
    <n v="1602253.6"/>
    <n v="1723599.99"/>
    <n v="16231"/>
  </r>
  <r>
    <x v="18"/>
    <x v="1"/>
    <s v="NSW"/>
    <s v="No gap agreement"/>
    <s v="Up to MBS Fee"/>
    <n v="14437750.17"/>
    <n v="10857070.33"/>
    <n v="3581598.87"/>
    <n v="373995"/>
  </r>
  <r>
    <x v="18"/>
    <x v="1"/>
    <s v="NSW"/>
    <s v="No gap agreement"/>
    <s v="100% MBS Fee to 125% MBS Fee"/>
    <n v="39936739.990000002"/>
    <n v="25609683.030000001"/>
    <n v="14326851.33"/>
    <n v="400570"/>
  </r>
  <r>
    <x v="18"/>
    <x v="1"/>
    <s v="NSW"/>
    <s v="No gap agreement"/>
    <s v="More than 125% MBS Fee to 150% MBS Fee"/>
    <n v="91204172.129999995"/>
    <n v="50433508.060000002"/>
    <n v="40770580.310000002"/>
    <n v="520788"/>
  </r>
  <r>
    <x v="18"/>
    <x v="1"/>
    <s v="NSW"/>
    <s v="No gap agreement"/>
    <s v="More than 150% MBS Fee to 200% MBS Fee"/>
    <n v="95120883.409999996"/>
    <n v="43535652.609999999"/>
    <n v="51584905.829999998"/>
    <n v="549357"/>
  </r>
  <r>
    <x v="18"/>
    <x v="1"/>
    <s v="NSW"/>
    <s v="No gap agreement"/>
    <s v="More than 200% MBS Fee"/>
    <n v="10998011.560000001"/>
    <n v="3409729.14"/>
    <n v="7588280.2699999996"/>
    <n v="46630"/>
  </r>
  <r>
    <x v="18"/>
    <x v="1"/>
    <s v="VIC"/>
    <s v="No agreement"/>
    <s v="Up to MBS Fee"/>
    <n v="10403543.640000001"/>
    <n v="7817596.5199999996"/>
    <n v="2584159.89"/>
    <n v="104737"/>
  </r>
  <r>
    <x v="18"/>
    <x v="1"/>
    <s v="VIC"/>
    <s v="No agreement"/>
    <s v="100% MBS Fee to 125% MBS Fee"/>
    <n v="1706199.29"/>
    <n v="1121611.53"/>
    <n v="409702.14"/>
    <n v="10693"/>
  </r>
  <r>
    <x v="18"/>
    <x v="1"/>
    <s v="VIC"/>
    <s v="No agreement"/>
    <s v="More than 125% MBS Fee to 150% MBS Fee"/>
    <n v="2894091.73"/>
    <n v="1591136.82"/>
    <n v="904901.76"/>
    <n v="26433"/>
  </r>
  <r>
    <x v="18"/>
    <x v="1"/>
    <s v="VIC"/>
    <s v="No agreement"/>
    <s v="More than 150% MBS Fee to 200% MBS Fee"/>
    <n v="5215234.7699999996"/>
    <n v="2235697.67"/>
    <n v="1424448.53"/>
    <n v="22168"/>
  </r>
  <r>
    <x v="18"/>
    <x v="1"/>
    <s v="VIC"/>
    <s v="No agreement"/>
    <s v="More than 200% MBS Fee"/>
    <n v="23455818.989999998"/>
    <n v="6154990.6299999999"/>
    <n v="2135202.59"/>
    <n v="46998"/>
  </r>
  <r>
    <x v="18"/>
    <x v="1"/>
    <s v="VIC"/>
    <s v="Known gap agreement"/>
    <s v="100% MBS Fee to 125% MBS Fee"/>
    <n v="2514061.96"/>
    <n v="1687809.99"/>
    <n v="706307.71"/>
    <n v="12342"/>
  </r>
  <r>
    <x v="18"/>
    <x v="1"/>
    <s v="VIC"/>
    <s v="Known gap agreement"/>
    <s v="More than 125% MBS Fee to 150% MBS Fee"/>
    <n v="5219716.91"/>
    <n v="2847701.5"/>
    <n v="1887774.89"/>
    <n v="20655"/>
  </r>
  <r>
    <x v="18"/>
    <x v="1"/>
    <s v="VIC"/>
    <s v="Known gap agreement"/>
    <s v="More than 150% MBS Fee to 200% MBS Fee"/>
    <n v="7497901.1399999997"/>
    <n v="3249712.37"/>
    <n v="2923945.05"/>
    <n v="20031"/>
  </r>
  <r>
    <x v="18"/>
    <x v="1"/>
    <s v="VIC"/>
    <s v="Known gap agreement"/>
    <s v="More than 200% MBS Fee"/>
    <n v="7777196.5599999996"/>
    <n v="2278768.87"/>
    <n v="2214708.66"/>
    <n v="20524"/>
  </r>
  <r>
    <x v="18"/>
    <x v="1"/>
    <s v="VIC"/>
    <s v="No gap agreement"/>
    <s v="Up to MBS Fee"/>
    <n v="13701655.189999999"/>
    <n v="10317836.66"/>
    <n v="3384079.38"/>
    <n v="242923"/>
  </r>
  <r>
    <x v="18"/>
    <x v="1"/>
    <s v="VIC"/>
    <s v="No gap agreement"/>
    <s v="100% MBS Fee to 125% MBS Fee"/>
    <n v="43445034.850000001"/>
    <n v="27748354.440000001"/>
    <n v="15696534.140000001"/>
    <n v="394583"/>
  </r>
  <r>
    <x v="18"/>
    <x v="1"/>
    <s v="VIC"/>
    <s v="No gap agreement"/>
    <s v="More than 125% MBS Fee to 150% MBS Fee"/>
    <n v="101998303.08"/>
    <n v="56451834.829999998"/>
    <n v="45546393.130000003"/>
    <n v="849140"/>
  </r>
  <r>
    <x v="18"/>
    <x v="1"/>
    <s v="VIC"/>
    <s v="No gap agreement"/>
    <s v="More than 150% MBS Fee to 200% MBS Fee"/>
    <n v="96848660.019999996"/>
    <n v="43782313.490000002"/>
    <n v="53066270.93"/>
    <n v="509265"/>
  </r>
  <r>
    <x v="18"/>
    <x v="1"/>
    <s v="VIC"/>
    <s v="No gap agreement"/>
    <s v="More than 200% MBS Fee"/>
    <n v="5313953.7699999996"/>
    <n v="1528058.39"/>
    <n v="3785893.72"/>
    <n v="14352"/>
  </r>
  <r>
    <x v="18"/>
    <x v="1"/>
    <s v="QLD"/>
    <s v="No agreement"/>
    <s v="Up to MBS Fee"/>
    <n v="9100070.4900000002"/>
    <n v="6831977.0499999998"/>
    <n v="2265026.7999999998"/>
    <n v="75356"/>
  </r>
  <r>
    <x v="18"/>
    <x v="1"/>
    <s v="QLD"/>
    <s v="No agreement"/>
    <s v="100% MBS Fee to 125% MBS Fee"/>
    <n v="2312321.8199999998"/>
    <n v="1526581.75"/>
    <n v="617030"/>
    <n v="15444"/>
  </r>
  <r>
    <x v="18"/>
    <x v="1"/>
    <s v="QLD"/>
    <s v="No agreement"/>
    <s v="More than 125% MBS Fee to 150% MBS Fee"/>
    <n v="3254457.68"/>
    <n v="1771392.59"/>
    <n v="869821.4"/>
    <n v="18534"/>
  </r>
  <r>
    <x v="18"/>
    <x v="1"/>
    <s v="QLD"/>
    <s v="No agreement"/>
    <s v="More than 150% MBS Fee to 200% MBS Fee"/>
    <n v="8866723.7400000002"/>
    <n v="3763306.57"/>
    <n v="1552724.31"/>
    <n v="28971"/>
  </r>
  <r>
    <x v="18"/>
    <x v="1"/>
    <s v="QLD"/>
    <s v="No agreement"/>
    <s v="More than 200% MBS Fee"/>
    <n v="50933734.890000001"/>
    <n v="13428028.99"/>
    <n v="4547222.91"/>
    <n v="91493"/>
  </r>
  <r>
    <x v="18"/>
    <x v="1"/>
    <s v="QLD"/>
    <s v="Known gap agreement"/>
    <s v="100% MBS Fee to 125% MBS Fee"/>
    <n v="902332.15"/>
    <n v="594028.75"/>
    <n v="254674.87"/>
    <n v="3933"/>
  </r>
  <r>
    <x v="18"/>
    <x v="1"/>
    <s v="QLD"/>
    <s v="Known gap agreement"/>
    <s v="More than 125% MBS Fee to 150% MBS Fee"/>
    <n v="1970747.05"/>
    <n v="1062662.98"/>
    <n v="736521.69"/>
    <n v="6929"/>
  </r>
  <r>
    <x v="18"/>
    <x v="1"/>
    <s v="QLD"/>
    <s v="Known gap agreement"/>
    <s v="More than 150% MBS Fee to 200% MBS Fee"/>
    <n v="4632405"/>
    <n v="1997523.01"/>
    <n v="1893143.95"/>
    <n v="9346"/>
  </r>
  <r>
    <x v="18"/>
    <x v="1"/>
    <s v="QLD"/>
    <s v="Known gap agreement"/>
    <s v="More than 200% MBS Fee"/>
    <n v="7589050.75"/>
    <n v="2235124.39"/>
    <n v="2414220.66"/>
    <n v="19403"/>
  </r>
  <r>
    <x v="18"/>
    <x v="1"/>
    <s v="QLD"/>
    <s v="No gap agreement"/>
    <s v="Up to MBS Fee"/>
    <n v="9263509.0099999998"/>
    <n v="6957473.7800000003"/>
    <n v="2306083.7000000002"/>
    <n v="168683"/>
  </r>
  <r>
    <x v="18"/>
    <x v="1"/>
    <s v="QLD"/>
    <s v="No gap agreement"/>
    <s v="100% MBS Fee to 125% MBS Fee"/>
    <n v="35275711.380000003"/>
    <n v="22619315.510000002"/>
    <n v="12656133.26"/>
    <n v="356933"/>
  </r>
  <r>
    <x v="18"/>
    <x v="1"/>
    <s v="QLD"/>
    <s v="No gap agreement"/>
    <s v="More than 125% MBS Fee to 150% MBS Fee"/>
    <n v="72054074.489999995"/>
    <n v="40124993.82"/>
    <n v="31929045.620000001"/>
    <n v="620866"/>
  </r>
  <r>
    <x v="18"/>
    <x v="1"/>
    <s v="QLD"/>
    <s v="No gap agreement"/>
    <s v="More than 150% MBS Fee to 200% MBS Fee"/>
    <n v="59279970.530000001"/>
    <n v="27374481.370000001"/>
    <n v="31905271.050000001"/>
    <n v="381825"/>
  </r>
  <r>
    <x v="18"/>
    <x v="1"/>
    <s v="QLD"/>
    <s v="No gap agreement"/>
    <s v="More than 200% MBS Fee"/>
    <n v="6680492.9699999997"/>
    <n v="1966729.02"/>
    <n v="4713763.63"/>
    <n v="13947"/>
  </r>
  <r>
    <x v="18"/>
    <x v="1"/>
    <s v="SA"/>
    <s v="No agreement"/>
    <s v="Up to MBS Fee"/>
    <n v="1758733.51"/>
    <n v="1321342.6200000001"/>
    <n v="437208.34"/>
    <n v="19115"/>
  </r>
  <r>
    <x v="18"/>
    <x v="1"/>
    <s v="SA"/>
    <s v="No agreement"/>
    <s v="100% MBS Fee to 125% MBS Fee"/>
    <n v="392343.43"/>
    <n v="252464.57"/>
    <n v="120905.3"/>
    <n v="2383"/>
  </r>
  <r>
    <x v="18"/>
    <x v="1"/>
    <s v="SA"/>
    <s v="No agreement"/>
    <s v="More than 125% MBS Fee to 150% MBS Fee"/>
    <n v="904895.76"/>
    <n v="488207.33"/>
    <n v="307860.01"/>
    <n v="5576"/>
  </r>
  <r>
    <x v="18"/>
    <x v="1"/>
    <s v="SA"/>
    <s v="No agreement"/>
    <s v="More than 150% MBS Fee to 200% MBS Fee"/>
    <n v="1977561.59"/>
    <n v="883518.59"/>
    <n v="830253.12"/>
    <n v="6794"/>
  </r>
  <r>
    <x v="18"/>
    <x v="1"/>
    <s v="SA"/>
    <s v="No agreement"/>
    <s v="More than 200% MBS Fee"/>
    <n v="2166230.34"/>
    <n v="577845.54"/>
    <n v="231067.6"/>
    <n v="6245"/>
  </r>
  <r>
    <x v="18"/>
    <x v="1"/>
    <s v="SA"/>
    <s v="Known gap agreement"/>
    <s v="100% MBS Fee to 125% MBS Fee"/>
    <n v="420123.75"/>
    <n v="282239.01"/>
    <n v="119086.63"/>
    <n v="2059"/>
  </r>
  <r>
    <x v="18"/>
    <x v="1"/>
    <s v="SA"/>
    <s v="Known gap agreement"/>
    <s v="More than 125% MBS Fee to 150% MBS Fee"/>
    <n v="655807.09"/>
    <n v="357249.07"/>
    <n v="235099.01"/>
    <n v="2993"/>
  </r>
  <r>
    <x v="18"/>
    <x v="1"/>
    <s v="SA"/>
    <s v="Known gap agreement"/>
    <s v="More than 150% MBS Fee to 200% MBS Fee"/>
    <n v="2684890.89"/>
    <n v="1132223.6000000001"/>
    <n v="1114403.1299999999"/>
    <n v="4073"/>
  </r>
  <r>
    <x v="18"/>
    <x v="1"/>
    <s v="SA"/>
    <s v="Known gap agreement"/>
    <s v="More than 200% MBS Fee"/>
    <n v="1271994.99"/>
    <n v="371796.7"/>
    <n v="417024.4"/>
    <n v="3608"/>
  </r>
  <r>
    <x v="18"/>
    <x v="1"/>
    <s v="SA"/>
    <s v="No gap agreement"/>
    <s v="Up to MBS Fee"/>
    <n v="4298533.46"/>
    <n v="3230213.21"/>
    <n v="1068357.79"/>
    <n v="62686"/>
  </r>
  <r>
    <x v="18"/>
    <x v="1"/>
    <s v="SA"/>
    <s v="No gap agreement"/>
    <s v="100% MBS Fee to 125% MBS Fee"/>
    <n v="9668890.8000000007"/>
    <n v="6229811.0700000003"/>
    <n v="3439056.5"/>
    <n v="92989"/>
  </r>
  <r>
    <x v="18"/>
    <x v="1"/>
    <s v="SA"/>
    <s v="No gap agreement"/>
    <s v="More than 125% MBS Fee to 150% MBS Fee"/>
    <n v="22170550.359999999"/>
    <n v="12172266.35"/>
    <n v="9998230.5"/>
    <n v="189146"/>
  </r>
  <r>
    <x v="18"/>
    <x v="1"/>
    <s v="SA"/>
    <s v="No gap agreement"/>
    <s v="More than 150% MBS Fee to 200% MBS Fee"/>
    <n v="39485536.75"/>
    <n v="17752223.609999999"/>
    <n v="21733295.100000001"/>
    <n v="166566"/>
  </r>
  <r>
    <x v="18"/>
    <x v="1"/>
    <s v="SA"/>
    <s v="No gap agreement"/>
    <s v="More than 200% MBS Fee"/>
    <n v="2044464.53"/>
    <n v="580993.38"/>
    <n v="1463471.15"/>
    <n v="4071"/>
  </r>
  <r>
    <x v="18"/>
    <x v="1"/>
    <s v="WA"/>
    <s v="No agreement"/>
    <s v="Up to MBS Fee"/>
    <n v="2501549.38"/>
    <n v="1879361.35"/>
    <n v="621022.04"/>
    <n v="46311"/>
  </r>
  <r>
    <x v="18"/>
    <x v="1"/>
    <s v="WA"/>
    <s v="No agreement"/>
    <s v="100% MBS Fee to 125% MBS Fee"/>
    <n v="319585.5"/>
    <n v="214852.66"/>
    <n v="74915.17"/>
    <n v="2192"/>
  </r>
  <r>
    <x v="18"/>
    <x v="1"/>
    <s v="WA"/>
    <s v="No agreement"/>
    <s v="More than 125% MBS Fee to 150% MBS Fee"/>
    <n v="1019785.87"/>
    <n v="561995.07999999996"/>
    <n v="215950.72"/>
    <n v="4032"/>
  </r>
  <r>
    <x v="18"/>
    <x v="1"/>
    <s v="WA"/>
    <s v="No agreement"/>
    <s v="More than 150% MBS Fee to 200% MBS Fee"/>
    <n v="2705466.79"/>
    <n v="1174787.3500000001"/>
    <n v="437717.72"/>
    <n v="8102"/>
  </r>
  <r>
    <x v="18"/>
    <x v="1"/>
    <s v="WA"/>
    <s v="No agreement"/>
    <s v="More than 200% MBS Fee"/>
    <n v="9015583.8000000007"/>
    <n v="2278440.1"/>
    <n v="771621.3"/>
    <n v="22807"/>
  </r>
  <r>
    <x v="18"/>
    <x v="1"/>
    <s v="WA"/>
    <s v="Known gap agreement"/>
    <s v="100% MBS Fee to 125% MBS Fee"/>
    <n v="2666177.2999999998"/>
    <n v="1843266.3"/>
    <n v="789003.46"/>
    <n v="14951"/>
  </r>
  <r>
    <x v="18"/>
    <x v="1"/>
    <s v="WA"/>
    <s v="Known gap agreement"/>
    <s v="More than 125% MBS Fee to 150% MBS Fee"/>
    <n v="3920264.54"/>
    <n v="2090876.53"/>
    <n v="1588539.64"/>
    <n v="29584"/>
  </r>
  <r>
    <x v="18"/>
    <x v="1"/>
    <s v="WA"/>
    <s v="Known gap agreement"/>
    <s v="More than 150% MBS Fee to 200% MBS Fee"/>
    <n v="7571117.1600000001"/>
    <n v="3339831.93"/>
    <n v="2514757.4700000002"/>
    <n v="15566"/>
  </r>
  <r>
    <x v="18"/>
    <x v="1"/>
    <s v="WA"/>
    <s v="Known gap agreement"/>
    <s v="More than 200% MBS Fee"/>
    <n v="11629708.140000001"/>
    <n v="3139554.2"/>
    <n v="1996387.4"/>
    <n v="23144"/>
  </r>
  <r>
    <x v="18"/>
    <x v="1"/>
    <s v="WA"/>
    <s v="No gap agreement"/>
    <s v="Up to MBS Fee"/>
    <n v="1424717.79"/>
    <n v="1079610.6399999999"/>
    <n v="345107.04"/>
    <n v="13779"/>
  </r>
  <r>
    <x v="18"/>
    <x v="1"/>
    <s v="WA"/>
    <s v="No gap agreement"/>
    <s v="100% MBS Fee to 125% MBS Fee"/>
    <n v="7599409.25"/>
    <n v="4884556.91"/>
    <n v="2714842.73"/>
    <n v="64101"/>
  </r>
  <r>
    <x v="18"/>
    <x v="1"/>
    <s v="WA"/>
    <s v="No gap agreement"/>
    <s v="More than 125% MBS Fee to 150% MBS Fee"/>
    <n v="35876034.759999998"/>
    <n v="19840666.719999999"/>
    <n v="16035359.050000001"/>
    <n v="263272"/>
  </r>
  <r>
    <x v="18"/>
    <x v="1"/>
    <s v="WA"/>
    <s v="No gap agreement"/>
    <s v="More than 150% MBS Fee to 200% MBS Fee"/>
    <n v="42674598.939999998"/>
    <n v="18920094.690000001"/>
    <n v="23754492.23"/>
    <n v="199908"/>
  </r>
  <r>
    <x v="18"/>
    <x v="1"/>
    <s v="WA"/>
    <s v="No gap agreement"/>
    <s v="More than 200% MBS Fee"/>
    <n v="3643052.34"/>
    <n v="959931.12"/>
    <n v="2683121.02"/>
    <n v="2823"/>
  </r>
  <r>
    <x v="18"/>
    <x v="1"/>
    <s v="TAS"/>
    <s v="No agreement"/>
    <s v="Up to MBS Fee"/>
    <n v="588715.87"/>
    <n v="443237.12"/>
    <n v="145456.75"/>
    <n v="8309"/>
  </r>
  <r>
    <x v="18"/>
    <x v="1"/>
    <s v="TAS"/>
    <s v="No agreement"/>
    <s v="100% MBS Fee to 125% MBS Fee"/>
    <n v="117202.94"/>
    <n v="77963.600000000006"/>
    <n v="32107.65"/>
    <n v="1042"/>
  </r>
  <r>
    <x v="18"/>
    <x v="1"/>
    <s v="TAS"/>
    <s v="No agreement"/>
    <s v="More than 125% MBS Fee to 150% MBS Fee"/>
    <n v="169163.67"/>
    <n v="90547.94"/>
    <n v="51605.7"/>
    <n v="480"/>
  </r>
  <r>
    <x v="18"/>
    <x v="1"/>
    <s v="TAS"/>
    <s v="No agreement"/>
    <s v="More than 150% MBS Fee to 200% MBS Fee"/>
    <n v="720193.28"/>
    <n v="315220.62"/>
    <n v="174096.44"/>
    <n v="2843"/>
  </r>
  <r>
    <x v="18"/>
    <x v="1"/>
    <s v="TAS"/>
    <s v="No agreement"/>
    <s v="More than 200% MBS Fee"/>
    <n v="2064983.59"/>
    <n v="492719.69"/>
    <n v="170051.3"/>
    <n v="3458"/>
  </r>
  <r>
    <x v="18"/>
    <x v="1"/>
    <s v="TAS"/>
    <s v="Known gap agreement"/>
    <s v="100% MBS Fee to 125% MBS Fee"/>
    <n v="226823.2"/>
    <n v="153338.71"/>
    <n v="63560.58"/>
    <n v="1198"/>
  </r>
  <r>
    <x v="18"/>
    <x v="1"/>
    <s v="TAS"/>
    <s v="Known gap agreement"/>
    <s v="More than 125% MBS Fee to 150% MBS Fee"/>
    <n v="-116592.59"/>
    <n v="-76615.929999999993"/>
    <n v="17122.91"/>
    <n v="-6606"/>
  </r>
  <r>
    <x v="18"/>
    <x v="1"/>
    <s v="TAS"/>
    <s v="Known gap agreement"/>
    <s v="More than 150% MBS Fee to 200% MBS Fee"/>
    <n v="692748.54"/>
    <n v="298304.15999999997"/>
    <n v="300895.34000000003"/>
    <n v="1752"/>
  </r>
  <r>
    <x v="18"/>
    <x v="1"/>
    <s v="TAS"/>
    <s v="Known gap agreement"/>
    <s v="More than 200% MBS Fee"/>
    <n v="1124886.67"/>
    <n v="333248.57"/>
    <n v="390835.95"/>
    <n v="4144"/>
  </r>
  <r>
    <x v="18"/>
    <x v="1"/>
    <s v="TAS"/>
    <s v="No gap agreement"/>
    <s v="Up to MBS Fee"/>
    <n v="1804192.4"/>
    <n v="1355158.42"/>
    <n v="449034.42"/>
    <n v="28852"/>
  </r>
  <r>
    <x v="18"/>
    <x v="1"/>
    <s v="TAS"/>
    <s v="No gap agreement"/>
    <s v="100% MBS Fee to 125% MBS Fee"/>
    <n v="3528269.78"/>
    <n v="2232724.02"/>
    <n v="1295545.24"/>
    <n v="24613"/>
  </r>
  <r>
    <x v="18"/>
    <x v="1"/>
    <s v="TAS"/>
    <s v="No gap agreement"/>
    <s v="More than 125% MBS Fee to 150% MBS Fee"/>
    <n v="8847682.0199999996"/>
    <n v="4853258.1399999997"/>
    <n v="3994421.1"/>
    <n v="59439"/>
  </r>
  <r>
    <x v="18"/>
    <x v="1"/>
    <s v="TAS"/>
    <s v="No gap agreement"/>
    <s v="More than 150% MBS Fee to 200% MBS Fee"/>
    <n v="7494162.6799999997"/>
    <n v="3423783.12"/>
    <n v="4070378.23"/>
    <n v="40803"/>
  </r>
  <r>
    <x v="18"/>
    <x v="1"/>
    <s v="TAS"/>
    <s v="No gap agreement"/>
    <s v="More than 200% MBS Fee"/>
    <n v="561006.32999999996"/>
    <n v="161809.70000000001"/>
    <n v="399196.63"/>
    <n v="638"/>
  </r>
  <r>
    <x v="18"/>
    <x v="1"/>
    <s v="ACT"/>
    <s v="No agreement"/>
    <s v="Up to MBS Fee"/>
    <n v="948398.78"/>
    <n v="713273.23"/>
    <n v="234868.44"/>
    <n v="9268"/>
  </r>
  <r>
    <x v="18"/>
    <x v="1"/>
    <s v="ACT"/>
    <s v="No agreement"/>
    <s v="100% MBS Fee to 125% MBS Fee"/>
    <n v="76580.179999999993"/>
    <n v="49410.5"/>
    <n v="18107.599999999999"/>
    <n v="604"/>
  </r>
  <r>
    <x v="18"/>
    <x v="1"/>
    <s v="ACT"/>
    <s v="No agreement"/>
    <s v="More than 125% MBS Fee to 150% MBS Fee"/>
    <n v="153941.66"/>
    <n v="84088.63"/>
    <n v="31946.5"/>
    <n v="631"/>
  </r>
  <r>
    <x v="18"/>
    <x v="1"/>
    <s v="ACT"/>
    <s v="No agreement"/>
    <s v="More than 150% MBS Fee to 200% MBS Fee"/>
    <n v="791618.61"/>
    <n v="331453.42"/>
    <n v="119218.55"/>
    <n v="2938"/>
  </r>
  <r>
    <x v="18"/>
    <x v="1"/>
    <s v="ACT"/>
    <s v="No agreement"/>
    <s v="More than 200% MBS Fee"/>
    <n v="7963133.7199999997"/>
    <n v="1953597.99"/>
    <n v="652257.9"/>
    <n v="11715"/>
  </r>
  <r>
    <x v="18"/>
    <x v="1"/>
    <s v="ACT"/>
    <s v="Known gap agreement"/>
    <s v="100% MBS Fee to 125% MBS Fee"/>
    <n v="39926.93"/>
    <n v="25584.880000000001"/>
    <n v="12767.46"/>
    <n v="142"/>
  </r>
  <r>
    <x v="18"/>
    <x v="1"/>
    <s v="ACT"/>
    <s v="Known gap agreement"/>
    <s v="More than 125% MBS Fee to 150% MBS Fee"/>
    <n v="94327.31"/>
    <n v="52045.45"/>
    <n v="35622.370000000003"/>
    <n v="323"/>
  </r>
  <r>
    <x v="18"/>
    <x v="1"/>
    <s v="ACT"/>
    <s v="Known gap agreement"/>
    <s v="More than 150% MBS Fee to 200% MBS Fee"/>
    <n v="208463.75"/>
    <n v="91912.09"/>
    <n v="92423.86"/>
    <n v="875"/>
  </r>
  <r>
    <x v="18"/>
    <x v="1"/>
    <s v="ACT"/>
    <s v="Known gap agreement"/>
    <s v="More than 200% MBS Fee"/>
    <n v="927334.27"/>
    <n v="265128.8"/>
    <n v="280019.15999999997"/>
    <n v="2873"/>
  </r>
  <r>
    <x v="18"/>
    <x v="1"/>
    <s v="ACT"/>
    <s v="No gap agreement"/>
    <s v="Up to MBS Fee"/>
    <n v="386109.61"/>
    <n v="290388.15000000002"/>
    <n v="95721.34"/>
    <n v="13513"/>
  </r>
  <r>
    <x v="18"/>
    <x v="1"/>
    <s v="ACT"/>
    <s v="No gap agreement"/>
    <s v="100% MBS Fee to 125% MBS Fee"/>
    <n v="1104412.42"/>
    <n v="712389.51"/>
    <n v="392009.94"/>
    <n v="13606"/>
  </r>
  <r>
    <x v="18"/>
    <x v="1"/>
    <s v="ACT"/>
    <s v="No gap agreement"/>
    <s v="More than 125% MBS Fee to 150% MBS Fee"/>
    <n v="3047597.62"/>
    <n v="1685696.36"/>
    <n v="1361886.04"/>
    <n v="18479"/>
  </r>
  <r>
    <x v="18"/>
    <x v="1"/>
    <s v="ACT"/>
    <s v="No gap agreement"/>
    <s v="More than 150% MBS Fee to 200% MBS Fee"/>
    <n v="2278418.12"/>
    <n v="1041162.79"/>
    <n v="1237193.78"/>
    <n v="15093"/>
  </r>
  <r>
    <x v="18"/>
    <x v="1"/>
    <s v="ACT"/>
    <s v="No gap agreement"/>
    <s v="More than 200% MBS Fee"/>
    <n v="413066.01"/>
    <n v="126208.51"/>
    <n v="286857.5"/>
    <n v="1217"/>
  </r>
  <r>
    <x v="18"/>
    <x v="1"/>
    <s v="NT"/>
    <s v="No agreement"/>
    <s v="Up to MBS Fee"/>
    <n v="347975.33"/>
    <n v="261444.51"/>
    <n v="86530.82"/>
    <n v="1345"/>
  </r>
  <r>
    <x v="18"/>
    <x v="1"/>
    <s v="NT"/>
    <s v="No agreement"/>
    <s v="100% MBS Fee to 125% MBS Fee"/>
    <n v="42158.26"/>
    <n v="26862.14"/>
    <n v="9760.0499999999993"/>
    <n v="223"/>
  </r>
  <r>
    <x v="18"/>
    <x v="1"/>
    <s v="NT"/>
    <s v="No agreement"/>
    <s v="More than 125% MBS Fee to 150% MBS Fee"/>
    <n v="66934.929999999993"/>
    <n v="36688.699999999997"/>
    <n v="18528.2"/>
    <n v="517"/>
  </r>
  <r>
    <x v="18"/>
    <x v="1"/>
    <s v="NT"/>
    <s v="No agreement"/>
    <s v="More than 150% MBS Fee to 200% MBS Fee"/>
    <n v="169903.4"/>
    <n v="72991.89"/>
    <n v="32603.25"/>
    <n v="575"/>
  </r>
  <r>
    <x v="18"/>
    <x v="1"/>
    <s v="NT"/>
    <s v="No agreement"/>
    <s v="More than 200% MBS Fee"/>
    <n v="1372848.67"/>
    <n v="358116.92"/>
    <n v="121556.7"/>
    <n v="2048"/>
  </r>
  <r>
    <x v="18"/>
    <x v="1"/>
    <s v="NT"/>
    <s v="Known gap agreement"/>
    <s v="100% MBS Fee to 125% MBS Fee"/>
    <n v="21007.07"/>
    <n v="14332.35"/>
    <n v="5781.05"/>
    <n v="93"/>
  </r>
  <r>
    <x v="18"/>
    <x v="1"/>
    <s v="NT"/>
    <s v="Known gap agreement"/>
    <s v="More than 125% MBS Fee to 150% MBS Fee"/>
    <n v="54025.9"/>
    <n v="29124.85"/>
    <n v="20537.82"/>
    <n v="182"/>
  </r>
  <r>
    <x v="18"/>
    <x v="1"/>
    <s v="NT"/>
    <s v="Known gap agreement"/>
    <s v="More than 150% MBS Fee to 200% MBS Fee"/>
    <n v="176938.56"/>
    <n v="79327.8"/>
    <n v="74014.27"/>
    <n v="345"/>
  </r>
  <r>
    <x v="18"/>
    <x v="1"/>
    <s v="NT"/>
    <s v="Known gap agreement"/>
    <s v="More than 200% MBS Fee"/>
    <n v="311828.36"/>
    <n v="84634.2"/>
    <n v="96125.63"/>
    <n v="981"/>
  </r>
  <r>
    <x v="18"/>
    <x v="1"/>
    <s v="NT"/>
    <s v="No gap agreement"/>
    <s v="Up to MBS Fee"/>
    <n v="144981.99"/>
    <n v="109357.29"/>
    <n v="35630.120000000003"/>
    <n v="2024"/>
  </r>
  <r>
    <x v="18"/>
    <x v="1"/>
    <s v="NT"/>
    <s v="No gap agreement"/>
    <s v="100% MBS Fee to 125% MBS Fee"/>
    <n v="386904.78"/>
    <n v="246940.73"/>
    <n v="139963.94"/>
    <n v="3518"/>
  </r>
  <r>
    <x v="18"/>
    <x v="1"/>
    <s v="NT"/>
    <s v="No gap agreement"/>
    <s v="More than 125% MBS Fee to 150% MBS Fee"/>
    <n v="1161948.28"/>
    <n v="638053.27"/>
    <n v="523894.52"/>
    <n v="8175"/>
  </r>
  <r>
    <x v="18"/>
    <x v="1"/>
    <s v="NT"/>
    <s v="No gap agreement"/>
    <s v="More than 150% MBS Fee to 200% MBS Fee"/>
    <n v="1362988.69"/>
    <n v="626222.31999999995"/>
    <n v="736763.75"/>
    <n v="6528"/>
  </r>
  <r>
    <x v="18"/>
    <x v="1"/>
    <s v="NT"/>
    <s v="No gap agreement"/>
    <s v="More than 200% MBS Fee"/>
    <n v="26600.6"/>
    <n v="8445.0499999999993"/>
    <n v="18155.55"/>
    <n v="64"/>
  </r>
  <r>
    <x v="19"/>
    <x v="0"/>
    <s v="NSW"/>
    <s v="No agreement"/>
    <s v="Up to MBS Fee"/>
    <n v="40368817.899999999"/>
    <n v="30304182.899999999"/>
    <n v="10045263.84"/>
    <n v="675026"/>
  </r>
  <r>
    <x v="19"/>
    <x v="0"/>
    <s v="NSW"/>
    <s v="No agreement"/>
    <s v="100% MBS Fee to 125% MBS Fee"/>
    <n v="2975286.18"/>
    <n v="1963629.32"/>
    <n v="831704.38"/>
    <n v="19184"/>
  </r>
  <r>
    <x v="19"/>
    <x v="0"/>
    <s v="NSW"/>
    <s v="No agreement"/>
    <s v="More than 125% MBS Fee to 150% MBS Fee"/>
    <n v="3900835.38"/>
    <n v="2101364.73"/>
    <n v="1197926.24"/>
    <n v="19529"/>
  </r>
  <r>
    <x v="19"/>
    <x v="0"/>
    <s v="NSW"/>
    <s v="No agreement"/>
    <s v="More than 150% MBS Fee to 200% MBS Fee"/>
    <n v="13622961.17"/>
    <n v="5893054.1699999999"/>
    <n v="2930118.85"/>
    <n v="78277"/>
  </r>
  <r>
    <x v="19"/>
    <x v="0"/>
    <s v="NSW"/>
    <s v="No agreement"/>
    <s v="More than 200% MBS Fee"/>
    <n v="99006623.900000006"/>
    <n v="23821358.219999999"/>
    <n v="8102843.3499999996"/>
    <n v="128909"/>
  </r>
  <r>
    <x v="19"/>
    <x v="0"/>
    <s v="NSW"/>
    <s v="Known gap agreement"/>
    <s v="100% MBS Fee to 125% MBS Fee"/>
    <n v="1840544.99"/>
    <n v="1237901.8500000001"/>
    <n v="531613.24"/>
    <n v="7588"/>
  </r>
  <r>
    <x v="19"/>
    <x v="0"/>
    <s v="NSW"/>
    <s v="Known gap agreement"/>
    <s v="More than 125% MBS Fee to 150% MBS Fee"/>
    <n v="2637871.85"/>
    <n v="1412819.63"/>
    <n v="916492.61"/>
    <n v="13452"/>
  </r>
  <r>
    <x v="19"/>
    <x v="0"/>
    <s v="NSW"/>
    <s v="Known gap agreement"/>
    <s v="More than 150% MBS Fee to 200% MBS Fee"/>
    <n v="6568612.7599999998"/>
    <n v="2858519.37"/>
    <n v="2748368.21"/>
    <n v="17351"/>
  </r>
  <r>
    <x v="19"/>
    <x v="0"/>
    <s v="NSW"/>
    <s v="Known gap agreement"/>
    <s v="More than 200% MBS Fee"/>
    <n v="8954711.1699999999"/>
    <n v="2480245.66"/>
    <n v="2667835.75"/>
    <n v="33893"/>
  </r>
  <r>
    <x v="19"/>
    <x v="0"/>
    <s v="NSW"/>
    <s v="No gap agreement"/>
    <s v="Up to MBS Fee"/>
    <n v="16458415.9"/>
    <n v="12370891.380000001"/>
    <n v="4087538.87"/>
    <n v="428399"/>
  </r>
  <r>
    <x v="19"/>
    <x v="0"/>
    <s v="NSW"/>
    <s v="No gap agreement"/>
    <s v="100% MBS Fee to 125% MBS Fee"/>
    <n v="40531406.439999998"/>
    <n v="25882086.48"/>
    <n v="14649261.41"/>
    <n v="383758"/>
  </r>
  <r>
    <x v="19"/>
    <x v="0"/>
    <s v="NSW"/>
    <s v="No gap agreement"/>
    <s v="More than 125% MBS Fee to 150% MBS Fee"/>
    <n v="93198331.390000001"/>
    <n v="51329537.299999997"/>
    <n v="41868772.890000001"/>
    <n v="512103"/>
  </r>
  <r>
    <x v="19"/>
    <x v="0"/>
    <s v="NSW"/>
    <s v="No gap agreement"/>
    <s v="More than 150% MBS Fee to 200% MBS Fee"/>
    <n v="113388207.77"/>
    <n v="51627045.229999997"/>
    <n v="61760903.390000001"/>
    <n v="620288"/>
  </r>
  <r>
    <x v="19"/>
    <x v="0"/>
    <s v="NSW"/>
    <s v="No gap agreement"/>
    <s v="More than 200% MBS Fee"/>
    <n v="10708265.42"/>
    <n v="3299989.72"/>
    <n v="7408275.7000000002"/>
    <n v="45990"/>
  </r>
  <r>
    <x v="19"/>
    <x v="0"/>
    <s v="VIC"/>
    <s v="No agreement"/>
    <s v="Up to MBS Fee"/>
    <n v="8368534.9100000001"/>
    <n v="6289503.1399999997"/>
    <n v="2075069.13"/>
    <n v="83921"/>
  </r>
  <r>
    <x v="19"/>
    <x v="0"/>
    <s v="VIC"/>
    <s v="No agreement"/>
    <s v="100% MBS Fee to 125% MBS Fee"/>
    <n v="1595634.7"/>
    <n v="1036076.6"/>
    <n v="410269.45"/>
    <n v="8118"/>
  </r>
  <r>
    <x v="19"/>
    <x v="0"/>
    <s v="VIC"/>
    <s v="No agreement"/>
    <s v="More than 125% MBS Fee to 150% MBS Fee"/>
    <n v="3669573.87"/>
    <n v="2002758.32"/>
    <n v="1309413.44"/>
    <n v="34346"/>
  </r>
  <r>
    <x v="19"/>
    <x v="0"/>
    <s v="VIC"/>
    <s v="No agreement"/>
    <s v="More than 150% MBS Fee to 200% MBS Fee"/>
    <n v="6788846.0999999996"/>
    <n v="2927501.89"/>
    <n v="2490169.7000000002"/>
    <n v="27687"/>
  </r>
  <r>
    <x v="19"/>
    <x v="0"/>
    <s v="VIC"/>
    <s v="No agreement"/>
    <s v="More than 200% MBS Fee"/>
    <n v="23152671.440000001"/>
    <n v="5763974.1100000003"/>
    <n v="2129574.59"/>
    <n v="31395"/>
  </r>
  <r>
    <x v="19"/>
    <x v="0"/>
    <s v="VIC"/>
    <s v="Known gap agreement"/>
    <s v="100% MBS Fee to 125% MBS Fee"/>
    <n v="2536088.06"/>
    <n v="1697268.39"/>
    <n v="727915"/>
    <n v="13247"/>
  </r>
  <r>
    <x v="19"/>
    <x v="0"/>
    <s v="VIC"/>
    <s v="Known gap agreement"/>
    <s v="More than 125% MBS Fee to 150% MBS Fee"/>
    <n v="5421973.6100000003"/>
    <n v="2910882.74"/>
    <n v="1776806.29"/>
    <n v="39495"/>
  </r>
  <r>
    <x v="19"/>
    <x v="0"/>
    <s v="VIC"/>
    <s v="Known gap agreement"/>
    <s v="More than 150% MBS Fee to 200% MBS Fee"/>
    <n v="10036403.189999999"/>
    <n v="4312580.3899999997"/>
    <n v="3520036.16"/>
    <n v="28047"/>
  </r>
  <r>
    <x v="19"/>
    <x v="0"/>
    <s v="VIC"/>
    <s v="Known gap agreement"/>
    <s v="More than 200% MBS Fee"/>
    <n v="11624680.82"/>
    <n v="3367110.38"/>
    <n v="3392355.09"/>
    <n v="51404"/>
  </r>
  <r>
    <x v="19"/>
    <x v="0"/>
    <s v="VIC"/>
    <s v="No gap agreement"/>
    <s v="Up to MBS Fee"/>
    <n v="18441994.73"/>
    <n v="13867905.84"/>
    <n v="4574089.9400000004"/>
    <n v="365273"/>
  </r>
  <r>
    <x v="19"/>
    <x v="0"/>
    <s v="VIC"/>
    <s v="No gap agreement"/>
    <s v="100% MBS Fee to 125% MBS Fee"/>
    <n v="40348492.82"/>
    <n v="25730835.300000001"/>
    <n v="14617540.43"/>
    <n v="340004"/>
  </r>
  <r>
    <x v="19"/>
    <x v="0"/>
    <s v="VIC"/>
    <s v="No gap agreement"/>
    <s v="More than 125% MBS Fee to 150% MBS Fee"/>
    <n v="102781642.03"/>
    <n v="56538390.100000001"/>
    <n v="46243199.170000002"/>
    <n v="710687"/>
  </r>
  <r>
    <x v="19"/>
    <x v="0"/>
    <s v="VIC"/>
    <s v="No gap agreement"/>
    <s v="More than 150% MBS Fee to 200% MBS Fee"/>
    <n v="106632361.98999999"/>
    <n v="47735754.689999998"/>
    <n v="58896535.119999997"/>
    <n v="560222"/>
  </r>
  <r>
    <x v="19"/>
    <x v="0"/>
    <s v="VIC"/>
    <s v="No gap agreement"/>
    <s v="More than 200% MBS Fee"/>
    <n v="5081730.51"/>
    <n v="1438349.7"/>
    <n v="3643380.33"/>
    <n v="13866"/>
  </r>
  <r>
    <x v="19"/>
    <x v="0"/>
    <s v="QLD"/>
    <s v="No agreement"/>
    <s v="Up to MBS Fee"/>
    <n v="8195256.9800000004"/>
    <n v="6144141.9100000001"/>
    <n v="2027341.07"/>
    <n v="57113"/>
  </r>
  <r>
    <x v="19"/>
    <x v="0"/>
    <s v="QLD"/>
    <s v="No agreement"/>
    <s v="100% MBS Fee to 125% MBS Fee"/>
    <n v="3543999.41"/>
    <n v="2299169.98"/>
    <n v="1079972.28"/>
    <n v="31603"/>
  </r>
  <r>
    <x v="19"/>
    <x v="0"/>
    <s v="QLD"/>
    <s v="No agreement"/>
    <s v="More than 125% MBS Fee to 150% MBS Fee"/>
    <n v="3967474.91"/>
    <n v="2158360.2599999998"/>
    <n v="1349597.99"/>
    <n v="28915"/>
  </r>
  <r>
    <x v="19"/>
    <x v="0"/>
    <s v="QLD"/>
    <s v="No agreement"/>
    <s v="More than 150% MBS Fee to 200% MBS Fee"/>
    <n v="7608087.9299999997"/>
    <n v="3272584.76"/>
    <n v="1778022.99"/>
    <n v="27653"/>
  </r>
  <r>
    <x v="19"/>
    <x v="0"/>
    <s v="QLD"/>
    <s v="No agreement"/>
    <s v="More than 200% MBS Fee"/>
    <n v="44553271.200000003"/>
    <n v="11194322.51"/>
    <n v="3947983.28"/>
    <n v="60304"/>
  </r>
  <r>
    <x v="19"/>
    <x v="0"/>
    <s v="QLD"/>
    <s v="Known gap agreement"/>
    <s v="100% MBS Fee to 125% MBS Fee"/>
    <n v="1046526.91"/>
    <n v="691559.65"/>
    <n v="316124.17"/>
    <n v="4250"/>
  </r>
  <r>
    <x v="19"/>
    <x v="0"/>
    <s v="QLD"/>
    <s v="Known gap agreement"/>
    <s v="More than 125% MBS Fee to 150% MBS Fee"/>
    <n v="3115837.87"/>
    <n v="1648744.46"/>
    <n v="968080.7"/>
    <n v="31696"/>
  </r>
  <r>
    <x v="19"/>
    <x v="0"/>
    <s v="QLD"/>
    <s v="Known gap agreement"/>
    <s v="More than 150% MBS Fee to 200% MBS Fee"/>
    <n v="7105941.8300000001"/>
    <n v="3036599.46"/>
    <n v="2834413.01"/>
    <n v="15015"/>
  </r>
  <r>
    <x v="19"/>
    <x v="0"/>
    <s v="QLD"/>
    <s v="Known gap agreement"/>
    <s v="More than 200% MBS Fee"/>
    <n v="13888597.65"/>
    <n v="3969034.15"/>
    <n v="4447653.62"/>
    <n v="37638"/>
  </r>
  <r>
    <x v="19"/>
    <x v="0"/>
    <s v="QLD"/>
    <s v="No gap agreement"/>
    <s v="Up to MBS Fee"/>
    <n v="13265829.32"/>
    <n v="9960699.6799999997"/>
    <n v="3305157.6"/>
    <n v="268557"/>
  </r>
  <r>
    <x v="19"/>
    <x v="0"/>
    <s v="QLD"/>
    <s v="No gap agreement"/>
    <s v="100% MBS Fee to 125% MBS Fee"/>
    <n v="36005322.390000001"/>
    <n v="22968159.16"/>
    <n v="13037030.5"/>
    <n v="357691"/>
  </r>
  <r>
    <x v="19"/>
    <x v="0"/>
    <s v="QLD"/>
    <s v="No gap agreement"/>
    <s v="More than 125% MBS Fee to 150% MBS Fee"/>
    <n v="74699459.200000003"/>
    <n v="41266337.700000003"/>
    <n v="33432529.920000002"/>
    <n v="560701"/>
  </r>
  <r>
    <x v="19"/>
    <x v="0"/>
    <s v="QLD"/>
    <s v="No gap agreement"/>
    <s v="More than 150% MBS Fee to 200% MBS Fee"/>
    <n v="71541440.060000002"/>
    <n v="32767998.41"/>
    <n v="38773201.420000002"/>
    <n v="455294"/>
  </r>
  <r>
    <x v="19"/>
    <x v="0"/>
    <s v="QLD"/>
    <s v="No gap agreement"/>
    <s v="More than 200% MBS Fee"/>
    <n v="6386567.1299999999"/>
    <n v="1884549.4"/>
    <n v="4502016.29"/>
    <n v="16014"/>
  </r>
  <r>
    <x v="19"/>
    <x v="0"/>
    <s v="SA"/>
    <s v="No agreement"/>
    <s v="Up to MBS Fee"/>
    <n v="1778904.65"/>
    <n v="1337210.68"/>
    <n v="440996.67"/>
    <n v="12743"/>
  </r>
  <r>
    <x v="19"/>
    <x v="0"/>
    <s v="SA"/>
    <s v="No agreement"/>
    <s v="100% MBS Fee to 125% MBS Fee"/>
    <n v="406068.72"/>
    <n v="259987.31"/>
    <n v="122468.79"/>
    <n v="1955"/>
  </r>
  <r>
    <x v="19"/>
    <x v="0"/>
    <s v="SA"/>
    <s v="No agreement"/>
    <s v="More than 125% MBS Fee to 150% MBS Fee"/>
    <n v="1250360.98"/>
    <n v="679838.69"/>
    <n v="493934.07"/>
    <n v="12981"/>
  </r>
  <r>
    <x v="19"/>
    <x v="0"/>
    <s v="SA"/>
    <s v="No agreement"/>
    <s v="More than 150% MBS Fee to 200% MBS Fee"/>
    <n v="2565355.21"/>
    <n v="1119489.0900000001"/>
    <n v="1268576.07"/>
    <n v="7371"/>
  </r>
  <r>
    <x v="19"/>
    <x v="0"/>
    <s v="SA"/>
    <s v="No agreement"/>
    <s v="More than 200% MBS Fee"/>
    <n v="2302335.7000000002"/>
    <n v="546030.61"/>
    <n v="293640.89"/>
    <n v="3583"/>
  </r>
  <r>
    <x v="19"/>
    <x v="0"/>
    <s v="SA"/>
    <s v="Known gap agreement"/>
    <s v="100% MBS Fee to 125% MBS Fee"/>
    <n v="454905.84"/>
    <n v="307857.21999999997"/>
    <n v="126372.96"/>
    <n v="2925"/>
  </r>
  <r>
    <x v="19"/>
    <x v="0"/>
    <s v="SA"/>
    <s v="Known gap agreement"/>
    <s v="More than 125% MBS Fee to 150% MBS Fee"/>
    <n v="619878.86"/>
    <n v="334089.59999999998"/>
    <n v="226005.54"/>
    <n v="2383"/>
  </r>
  <r>
    <x v="19"/>
    <x v="0"/>
    <s v="SA"/>
    <s v="Known gap agreement"/>
    <s v="More than 150% MBS Fee to 200% MBS Fee"/>
    <n v="3458076.01"/>
    <n v="1458548.48"/>
    <n v="1500383.48"/>
    <n v="7839"/>
  </r>
  <r>
    <x v="19"/>
    <x v="0"/>
    <s v="SA"/>
    <s v="Known gap agreement"/>
    <s v="More than 200% MBS Fee"/>
    <n v="4554751.3099999996"/>
    <n v="1402867.49"/>
    <n v="1737065.05"/>
    <n v="23837"/>
  </r>
  <r>
    <x v="19"/>
    <x v="0"/>
    <s v="SA"/>
    <s v="No gap agreement"/>
    <s v="Up to MBS Fee"/>
    <n v="5095540.87"/>
    <n v="3827723.69"/>
    <n v="1267820.93"/>
    <n v="77522"/>
  </r>
  <r>
    <x v="19"/>
    <x v="0"/>
    <s v="SA"/>
    <s v="No gap agreement"/>
    <s v="100% MBS Fee to 125% MBS Fee"/>
    <n v="8768212.5500000007"/>
    <n v="5591858.9100000001"/>
    <n v="3176337.13"/>
    <n v="78143"/>
  </r>
  <r>
    <x v="19"/>
    <x v="0"/>
    <s v="SA"/>
    <s v="No gap agreement"/>
    <s v="More than 125% MBS Fee to 150% MBS Fee"/>
    <n v="23747904.32"/>
    <n v="12982649.720000001"/>
    <n v="10765241.300000001"/>
    <n v="198796"/>
  </r>
  <r>
    <x v="19"/>
    <x v="0"/>
    <s v="SA"/>
    <s v="No gap agreement"/>
    <s v="More than 150% MBS Fee to 200% MBS Fee"/>
    <n v="43675536.079999998"/>
    <n v="19449355.25"/>
    <n v="24226159.760000002"/>
    <n v="173941"/>
  </r>
  <r>
    <x v="19"/>
    <x v="0"/>
    <s v="SA"/>
    <s v="No gap agreement"/>
    <s v="More than 200% MBS Fee"/>
    <n v="2164239.38"/>
    <n v="610976.51"/>
    <n v="1553262.87"/>
    <n v="5016"/>
  </r>
  <r>
    <x v="19"/>
    <x v="0"/>
    <s v="WA"/>
    <s v="No agreement"/>
    <s v="Up to MBS Fee"/>
    <n v="2687439.77"/>
    <n v="2016074.13"/>
    <n v="667578.86"/>
    <n v="43813"/>
  </r>
  <r>
    <x v="19"/>
    <x v="0"/>
    <s v="WA"/>
    <s v="No agreement"/>
    <s v="100% MBS Fee to 125% MBS Fee"/>
    <n v="413945.28"/>
    <n v="278608.68"/>
    <n v="103222.81"/>
    <n v="2261"/>
  </r>
  <r>
    <x v="19"/>
    <x v="0"/>
    <s v="WA"/>
    <s v="No agreement"/>
    <s v="More than 125% MBS Fee to 150% MBS Fee"/>
    <n v="1073191.3899999999"/>
    <n v="585613.15"/>
    <n v="289879.99"/>
    <n v="5207"/>
  </r>
  <r>
    <x v="19"/>
    <x v="0"/>
    <s v="WA"/>
    <s v="No agreement"/>
    <s v="More than 150% MBS Fee to 200% MBS Fee"/>
    <n v="2544353"/>
    <n v="1113594.6299999999"/>
    <n v="507063.39"/>
    <n v="8604"/>
  </r>
  <r>
    <x v="19"/>
    <x v="0"/>
    <s v="WA"/>
    <s v="No agreement"/>
    <s v="More than 200% MBS Fee"/>
    <n v="9146937.5700000003"/>
    <n v="2237116.9500000002"/>
    <n v="794350.29"/>
    <n v="20476"/>
  </r>
  <r>
    <x v="19"/>
    <x v="0"/>
    <s v="WA"/>
    <s v="Known gap agreement"/>
    <s v="100% MBS Fee to 125% MBS Fee"/>
    <n v="2392308.04"/>
    <n v="1662851.45"/>
    <n v="694854.26"/>
    <n v="13653"/>
  </r>
  <r>
    <x v="19"/>
    <x v="0"/>
    <s v="WA"/>
    <s v="Known gap agreement"/>
    <s v="More than 125% MBS Fee to 150% MBS Fee"/>
    <n v="4243348.8099999996"/>
    <n v="2262303.35"/>
    <n v="1523405.33"/>
    <n v="47740"/>
  </r>
  <r>
    <x v="19"/>
    <x v="0"/>
    <s v="WA"/>
    <s v="Known gap agreement"/>
    <s v="More than 150% MBS Fee to 200% MBS Fee"/>
    <n v="8066299.46"/>
    <n v="3581135.15"/>
    <n v="3075589.7"/>
    <n v="19213"/>
  </r>
  <r>
    <x v="19"/>
    <x v="0"/>
    <s v="WA"/>
    <s v="Known gap agreement"/>
    <s v="More than 200% MBS Fee"/>
    <n v="12287425.789999999"/>
    <n v="3219746.15"/>
    <n v="2039836.69"/>
    <n v="19528"/>
  </r>
  <r>
    <x v="19"/>
    <x v="0"/>
    <s v="WA"/>
    <s v="No gap agreement"/>
    <s v="Up to MBS Fee"/>
    <n v="4345296.5199999996"/>
    <n v="3266586.59"/>
    <n v="1078709.96"/>
    <n v="48019"/>
  </r>
  <r>
    <x v="19"/>
    <x v="0"/>
    <s v="WA"/>
    <s v="No gap agreement"/>
    <s v="100% MBS Fee to 125% MBS Fee"/>
    <n v="7976112.1500000004"/>
    <n v="5153164.26"/>
    <n v="2822942.42"/>
    <n v="67098"/>
  </r>
  <r>
    <x v="19"/>
    <x v="0"/>
    <s v="WA"/>
    <s v="No gap agreement"/>
    <s v="More than 125% MBS Fee to 150% MBS Fee"/>
    <n v="36559580.939999998"/>
    <n v="20272425.649999999"/>
    <n v="16287152.800000001"/>
    <n v="269134"/>
  </r>
  <r>
    <x v="19"/>
    <x v="0"/>
    <s v="WA"/>
    <s v="No gap agreement"/>
    <s v="More than 150% MBS Fee to 200% MBS Fee"/>
    <n v="51372589.640000001"/>
    <n v="22765413.879999999"/>
    <n v="28607158.420000002"/>
    <n v="242106"/>
  </r>
  <r>
    <x v="19"/>
    <x v="0"/>
    <s v="WA"/>
    <s v="No gap agreement"/>
    <s v="More than 200% MBS Fee"/>
    <n v="3493465.45"/>
    <n v="934641.19"/>
    <n v="2558824.2599999998"/>
    <n v="2881"/>
  </r>
  <r>
    <x v="19"/>
    <x v="0"/>
    <s v="TAS"/>
    <s v="No agreement"/>
    <s v="Up to MBS Fee"/>
    <n v="601360.34"/>
    <n v="452158.85"/>
    <n v="149077.79"/>
    <n v="9104"/>
  </r>
  <r>
    <x v="19"/>
    <x v="0"/>
    <s v="TAS"/>
    <s v="No agreement"/>
    <s v="100% MBS Fee to 125% MBS Fee"/>
    <n v="154396.82999999999"/>
    <n v="100470.13"/>
    <n v="46581.38"/>
    <n v="1241"/>
  </r>
  <r>
    <x v="19"/>
    <x v="0"/>
    <s v="TAS"/>
    <s v="No agreement"/>
    <s v="More than 125% MBS Fee to 150% MBS Fee"/>
    <n v="283967.58"/>
    <n v="156029.87"/>
    <n v="87749.6"/>
    <n v="2093"/>
  </r>
  <r>
    <x v="19"/>
    <x v="0"/>
    <s v="TAS"/>
    <s v="No agreement"/>
    <s v="More than 150% MBS Fee to 200% MBS Fee"/>
    <n v="744093.08"/>
    <n v="327773.78999999998"/>
    <n v="271109.78000000003"/>
    <n v="3731"/>
  </r>
  <r>
    <x v="19"/>
    <x v="0"/>
    <s v="TAS"/>
    <s v="No agreement"/>
    <s v="More than 200% MBS Fee"/>
    <n v="1993880.57"/>
    <n v="479966.73"/>
    <n v="205651.64"/>
    <n v="2189"/>
  </r>
  <r>
    <x v="19"/>
    <x v="0"/>
    <s v="TAS"/>
    <s v="Known gap agreement"/>
    <s v="100% MBS Fee to 125% MBS Fee"/>
    <n v="265227.44"/>
    <n v="181060.6"/>
    <n v="69628.55"/>
    <n v="1463"/>
  </r>
  <r>
    <x v="19"/>
    <x v="0"/>
    <s v="TAS"/>
    <s v="Known gap agreement"/>
    <s v="More than 125% MBS Fee to 150% MBS Fee"/>
    <n v="326458.18"/>
    <n v="178222.35"/>
    <n v="130728.2"/>
    <n v="1353"/>
  </r>
  <r>
    <x v="19"/>
    <x v="0"/>
    <s v="TAS"/>
    <s v="Known gap agreement"/>
    <s v="More than 150% MBS Fee to 200% MBS Fee"/>
    <n v="1069489.8899999999"/>
    <n v="457857.05"/>
    <n v="464657.27"/>
    <n v="2299"/>
  </r>
  <r>
    <x v="19"/>
    <x v="0"/>
    <s v="TAS"/>
    <s v="Known gap agreement"/>
    <s v="More than 200% MBS Fee"/>
    <n v="1691577.18"/>
    <n v="501824.3"/>
    <n v="598608.96"/>
    <n v="5226"/>
  </r>
  <r>
    <x v="19"/>
    <x v="0"/>
    <s v="TAS"/>
    <s v="No gap agreement"/>
    <s v="Up to MBS Fee"/>
    <n v="1648893.17"/>
    <n v="1237952.6599999999"/>
    <n v="410940.96"/>
    <n v="29274"/>
  </r>
  <r>
    <x v="19"/>
    <x v="0"/>
    <s v="TAS"/>
    <s v="No gap agreement"/>
    <s v="100% MBS Fee to 125% MBS Fee"/>
    <n v="2763607.26"/>
    <n v="1752901.18"/>
    <n v="1010705.88"/>
    <n v="21567"/>
  </r>
  <r>
    <x v="19"/>
    <x v="0"/>
    <s v="TAS"/>
    <s v="No gap agreement"/>
    <s v="More than 125% MBS Fee to 150% MBS Fee"/>
    <n v="7906217.2300000004"/>
    <n v="4334454.62"/>
    <n v="3571759.59"/>
    <n v="49716"/>
  </r>
  <r>
    <x v="19"/>
    <x v="0"/>
    <s v="TAS"/>
    <s v="No gap agreement"/>
    <s v="More than 150% MBS Fee to 200% MBS Fee"/>
    <n v="9756264.4600000009"/>
    <n v="4471110.66"/>
    <n v="5285153.2"/>
    <n v="44886"/>
  </r>
  <r>
    <x v="19"/>
    <x v="0"/>
    <s v="TAS"/>
    <s v="No gap agreement"/>
    <s v="More than 200% MBS Fee"/>
    <n v="601306.02"/>
    <n v="169574.9"/>
    <n v="431731.12"/>
    <n v="741"/>
  </r>
  <r>
    <x v="19"/>
    <x v="0"/>
    <s v="ACT"/>
    <s v="No agreement"/>
    <s v="Up to MBS Fee"/>
    <n v="985709.46"/>
    <n v="735657.35"/>
    <n v="242121.16"/>
    <n v="8698"/>
  </r>
  <r>
    <x v="19"/>
    <x v="0"/>
    <s v="ACT"/>
    <s v="No agreement"/>
    <s v="100% MBS Fee to 125% MBS Fee"/>
    <n v="123111.38"/>
    <n v="80299.16"/>
    <n v="31605.15"/>
    <n v="672"/>
  </r>
  <r>
    <x v="19"/>
    <x v="0"/>
    <s v="ACT"/>
    <s v="No agreement"/>
    <s v="More than 125% MBS Fee to 150% MBS Fee"/>
    <n v="179824.92"/>
    <n v="98859.96"/>
    <n v="43179.3"/>
    <n v="983"/>
  </r>
  <r>
    <x v="19"/>
    <x v="0"/>
    <s v="ACT"/>
    <s v="No agreement"/>
    <s v="More than 150% MBS Fee to 200% MBS Fee"/>
    <n v="659142.94999999995"/>
    <n v="278875.95"/>
    <n v="111415.7"/>
    <n v="2348"/>
  </r>
  <r>
    <x v="19"/>
    <x v="0"/>
    <s v="ACT"/>
    <s v="No agreement"/>
    <s v="More than 200% MBS Fee"/>
    <n v="7980453.0899999999"/>
    <n v="1911494.08"/>
    <n v="648402.52"/>
    <n v="10022"/>
  </r>
  <r>
    <x v="19"/>
    <x v="0"/>
    <s v="ACT"/>
    <s v="Known gap agreement"/>
    <s v="100% MBS Fee to 125% MBS Fee"/>
    <n v="20707.099999999999"/>
    <n v="13866.8"/>
    <n v="5668.33"/>
    <n v="115"/>
  </r>
  <r>
    <x v="19"/>
    <x v="0"/>
    <s v="ACT"/>
    <s v="Known gap agreement"/>
    <s v="More than 125% MBS Fee to 150% MBS Fee"/>
    <n v="85148.93"/>
    <n v="45989.36"/>
    <n v="32764.37"/>
    <n v="428"/>
  </r>
  <r>
    <x v="19"/>
    <x v="0"/>
    <s v="ACT"/>
    <s v="Known gap agreement"/>
    <s v="More than 150% MBS Fee to 200% MBS Fee"/>
    <n v="242215.02"/>
    <n v="104062.39999999999"/>
    <n v="102844.83"/>
    <n v="676"/>
  </r>
  <r>
    <x v="19"/>
    <x v="0"/>
    <s v="ACT"/>
    <s v="Known gap agreement"/>
    <s v="More than 200% MBS Fee"/>
    <n v="1700848.46"/>
    <n v="459113.4"/>
    <n v="500407.62"/>
    <n v="6080"/>
  </r>
  <r>
    <x v="19"/>
    <x v="0"/>
    <s v="ACT"/>
    <s v="No gap agreement"/>
    <s v="Up to MBS Fee"/>
    <n v="464049.73"/>
    <n v="348398.12"/>
    <n v="115651.44"/>
    <n v="16314"/>
  </r>
  <r>
    <x v="19"/>
    <x v="0"/>
    <s v="ACT"/>
    <s v="No gap agreement"/>
    <s v="100% MBS Fee to 125% MBS Fee"/>
    <n v="1164794.25"/>
    <n v="746827.53"/>
    <n v="418095.51"/>
    <n v="12515"/>
  </r>
  <r>
    <x v="19"/>
    <x v="0"/>
    <s v="ACT"/>
    <s v="No gap agreement"/>
    <s v="More than 125% MBS Fee to 150% MBS Fee"/>
    <n v="3120699"/>
    <n v="1714076.37"/>
    <n v="1406606.63"/>
    <n v="19426"/>
  </r>
  <r>
    <x v="19"/>
    <x v="0"/>
    <s v="ACT"/>
    <s v="No gap agreement"/>
    <s v="More than 150% MBS Fee to 200% MBS Fee"/>
    <n v="2753151.25"/>
    <n v="1250610.3400000001"/>
    <n v="1502517.41"/>
    <n v="17409"/>
  </r>
  <r>
    <x v="19"/>
    <x v="0"/>
    <s v="ACT"/>
    <s v="No gap agreement"/>
    <s v="More than 200% MBS Fee"/>
    <n v="439642.85"/>
    <n v="134012.54999999999"/>
    <n v="305630.28000000003"/>
    <n v="1552"/>
  </r>
  <r>
    <x v="19"/>
    <x v="0"/>
    <s v="NT"/>
    <s v="No agreement"/>
    <s v="Up to MBS Fee"/>
    <n v="298661.90000000002"/>
    <n v="223995.08"/>
    <n v="74544.52"/>
    <n v="1012"/>
  </r>
  <r>
    <x v="19"/>
    <x v="0"/>
    <s v="NT"/>
    <s v="No agreement"/>
    <s v="100% MBS Fee to 125% MBS Fee"/>
    <n v="51731.43"/>
    <n v="33249"/>
    <n v="14140.38"/>
    <n v="303"/>
  </r>
  <r>
    <x v="19"/>
    <x v="0"/>
    <s v="NT"/>
    <s v="No agreement"/>
    <s v="More than 125% MBS Fee to 150% MBS Fee"/>
    <n v="71271.98"/>
    <n v="38897.65"/>
    <n v="22778.3"/>
    <n v="552"/>
  </r>
  <r>
    <x v="19"/>
    <x v="0"/>
    <s v="NT"/>
    <s v="No agreement"/>
    <s v="More than 150% MBS Fee to 200% MBS Fee"/>
    <n v="142906.62"/>
    <n v="61914.33"/>
    <n v="38616.15"/>
    <n v="544"/>
  </r>
  <r>
    <x v="19"/>
    <x v="0"/>
    <s v="NT"/>
    <s v="No agreement"/>
    <s v="More than 200% MBS Fee"/>
    <n v="1497487.4"/>
    <n v="381703.33"/>
    <n v="133270.70000000001"/>
    <n v="1923"/>
  </r>
  <r>
    <x v="19"/>
    <x v="0"/>
    <s v="NT"/>
    <s v="Known gap agreement"/>
    <s v="100% MBS Fee to 125% MBS Fee"/>
    <n v="27359.35"/>
    <n v="18233.75"/>
    <n v="7762.7"/>
    <n v="189"/>
  </r>
  <r>
    <x v="19"/>
    <x v="0"/>
    <s v="NT"/>
    <s v="Known gap agreement"/>
    <s v="More than 125% MBS Fee to 150% MBS Fee"/>
    <n v="72397.77"/>
    <n v="37269.65"/>
    <n v="17112.060000000001"/>
    <n v="605"/>
  </r>
  <r>
    <x v="19"/>
    <x v="0"/>
    <s v="NT"/>
    <s v="Known gap agreement"/>
    <s v="More than 150% MBS Fee to 200% MBS Fee"/>
    <n v="221137.06"/>
    <n v="92947.55"/>
    <n v="89830.54"/>
    <n v="423"/>
  </r>
  <r>
    <x v="19"/>
    <x v="0"/>
    <s v="NT"/>
    <s v="Known gap agreement"/>
    <s v="More than 200% MBS Fee"/>
    <n v="595081.98"/>
    <n v="161922.75"/>
    <n v="164451.59"/>
    <n v="2864"/>
  </r>
  <r>
    <x v="19"/>
    <x v="0"/>
    <s v="NT"/>
    <s v="No gap agreement"/>
    <s v="Up to MBS Fee"/>
    <n v="220450.68"/>
    <n v="165667.09"/>
    <n v="54783.59"/>
    <n v="2913"/>
  </r>
  <r>
    <x v="19"/>
    <x v="0"/>
    <s v="NT"/>
    <s v="No gap agreement"/>
    <s v="100% MBS Fee to 125% MBS Fee"/>
    <n v="486407.96"/>
    <n v="312423.94"/>
    <n v="173978.98"/>
    <n v="3254"/>
  </r>
  <r>
    <x v="19"/>
    <x v="0"/>
    <s v="NT"/>
    <s v="No gap agreement"/>
    <s v="More than 125% MBS Fee to 150% MBS Fee"/>
    <n v="1119601.55"/>
    <n v="615717.91"/>
    <n v="503881.33"/>
    <n v="7550"/>
  </r>
  <r>
    <x v="19"/>
    <x v="0"/>
    <s v="NT"/>
    <s v="No gap agreement"/>
    <s v="More than 150% MBS Fee to 200% MBS Fee"/>
    <n v="1781223.77"/>
    <n v="819593.95"/>
    <n v="961625.88"/>
    <n v="8045"/>
  </r>
  <r>
    <x v="19"/>
    <x v="0"/>
    <s v="NT"/>
    <s v="No gap agreement"/>
    <s v="More than 200% MBS Fee"/>
    <n v="59486.46"/>
    <n v="17813.7"/>
    <n v="41672.76"/>
    <n v="136"/>
  </r>
  <r>
    <x v="19"/>
    <x v="2"/>
    <s v="NSW"/>
    <s v="No agreement"/>
    <s v="Up to MBS Fee"/>
    <n v="41547915.899999999"/>
    <n v="31241411.329999998"/>
    <n v="10302004.83"/>
    <n v="632187"/>
  </r>
  <r>
    <x v="19"/>
    <x v="2"/>
    <s v="NSW"/>
    <s v="No agreement"/>
    <s v="100% MBS Fee to 125% MBS Fee"/>
    <n v="2765897.14"/>
    <n v="1837160.96"/>
    <n v="737228.65"/>
    <n v="17380"/>
  </r>
  <r>
    <x v="19"/>
    <x v="2"/>
    <s v="NSW"/>
    <s v="No agreement"/>
    <s v="More than 125% MBS Fee to 150% MBS Fee"/>
    <n v="3454912.15"/>
    <n v="1866883.61"/>
    <n v="891726.67"/>
    <n v="13480"/>
  </r>
  <r>
    <x v="19"/>
    <x v="2"/>
    <s v="NSW"/>
    <s v="No agreement"/>
    <s v="More than 150% MBS Fee to 200% MBS Fee"/>
    <n v="14138509.07"/>
    <n v="6054691.9900000002"/>
    <n v="2614752.5"/>
    <n v="73720"/>
  </r>
  <r>
    <x v="19"/>
    <x v="2"/>
    <s v="NSW"/>
    <s v="No agreement"/>
    <s v="More than 200% MBS Fee"/>
    <n v="103478887.51000001"/>
    <n v="25457950.02"/>
    <n v="8557897.9299999997"/>
    <n v="156240"/>
  </r>
  <r>
    <x v="19"/>
    <x v="2"/>
    <s v="NSW"/>
    <s v="Known gap agreement"/>
    <s v="100% MBS Fee to 125% MBS Fee"/>
    <n v="1366605.13"/>
    <n v="916963.86"/>
    <n v="404666.64"/>
    <n v="6283"/>
  </r>
  <r>
    <x v="19"/>
    <x v="2"/>
    <s v="NSW"/>
    <s v="Known gap agreement"/>
    <s v="More than 125% MBS Fee to 150% MBS Fee"/>
    <n v="1868287.25"/>
    <n v="1010740.84"/>
    <n v="700872.56"/>
    <n v="6402"/>
  </r>
  <r>
    <x v="19"/>
    <x v="2"/>
    <s v="NSW"/>
    <s v="Known gap agreement"/>
    <s v="More than 150% MBS Fee to 200% MBS Fee"/>
    <n v="5097669.8899999997"/>
    <n v="2238882.2200000002"/>
    <n v="2136469.19"/>
    <n v="13466"/>
  </r>
  <r>
    <x v="19"/>
    <x v="2"/>
    <s v="NSW"/>
    <s v="Known gap agreement"/>
    <s v="More than 200% MBS Fee"/>
    <n v="5883918.5999999996"/>
    <n v="1642707.89"/>
    <n v="1797807.91"/>
    <n v="16938"/>
  </r>
  <r>
    <x v="19"/>
    <x v="2"/>
    <s v="NSW"/>
    <s v="No gap agreement"/>
    <s v="Up to MBS Fee"/>
    <n v="13813365.779999999"/>
    <n v="10386880.75"/>
    <n v="3426532.49"/>
    <n v="379883"/>
  </r>
  <r>
    <x v="19"/>
    <x v="2"/>
    <s v="NSW"/>
    <s v="No gap agreement"/>
    <s v="100% MBS Fee to 125% MBS Fee"/>
    <n v="40329028.229999997"/>
    <n v="25829847"/>
    <n v="14499140.470000001"/>
    <n v="400903"/>
  </r>
  <r>
    <x v="19"/>
    <x v="2"/>
    <s v="NSW"/>
    <s v="No gap agreement"/>
    <s v="More than 125% MBS Fee to 150% MBS Fee"/>
    <n v="90345523.129999995"/>
    <n v="49967103.450000003"/>
    <n v="40378373.579999998"/>
    <n v="528458"/>
  </r>
  <r>
    <x v="19"/>
    <x v="2"/>
    <s v="NSW"/>
    <s v="No gap agreement"/>
    <s v="More than 150% MBS Fee to 200% MBS Fee"/>
    <n v="100458693.72"/>
    <n v="45918994.350000001"/>
    <n v="54539616.310000002"/>
    <n v="554931"/>
  </r>
  <r>
    <x v="19"/>
    <x v="2"/>
    <s v="NSW"/>
    <s v="No gap agreement"/>
    <s v="More than 200% MBS Fee"/>
    <n v="10473633.279999999"/>
    <n v="3246599.97"/>
    <n v="7227033.3099999996"/>
    <n v="45550"/>
  </r>
  <r>
    <x v="19"/>
    <x v="2"/>
    <s v="VIC"/>
    <s v="No agreement"/>
    <s v="Up to MBS Fee"/>
    <n v="9612487.3399999999"/>
    <n v="7232860.4000000004"/>
    <n v="2378696.87"/>
    <n v="90887"/>
  </r>
  <r>
    <x v="19"/>
    <x v="2"/>
    <s v="VIC"/>
    <s v="No agreement"/>
    <s v="100% MBS Fee to 125% MBS Fee"/>
    <n v="1262076.99"/>
    <n v="827312.15"/>
    <n v="316701.09000000003"/>
    <n v="7144"/>
  </r>
  <r>
    <x v="19"/>
    <x v="2"/>
    <s v="VIC"/>
    <s v="No agreement"/>
    <s v="More than 125% MBS Fee to 150% MBS Fee"/>
    <n v="2401441.61"/>
    <n v="1309733.32"/>
    <n v="810216.8"/>
    <n v="17249"/>
  </r>
  <r>
    <x v="19"/>
    <x v="2"/>
    <s v="VIC"/>
    <s v="No agreement"/>
    <s v="More than 150% MBS Fee to 200% MBS Fee"/>
    <n v="5656388.0899999999"/>
    <n v="2423155.5699999998"/>
    <n v="1997892.88"/>
    <n v="23270"/>
  </r>
  <r>
    <x v="19"/>
    <x v="2"/>
    <s v="VIC"/>
    <s v="No agreement"/>
    <s v="More than 200% MBS Fee"/>
    <n v="23981776.5"/>
    <n v="6169349.46"/>
    <n v="2164288.39"/>
    <n v="44149"/>
  </r>
  <r>
    <x v="19"/>
    <x v="2"/>
    <s v="VIC"/>
    <s v="Known gap agreement"/>
    <s v="100% MBS Fee to 125% MBS Fee"/>
    <n v="2185241.0099999998"/>
    <n v="1455498.19"/>
    <n v="616081.77"/>
    <n v="11403"/>
  </r>
  <r>
    <x v="19"/>
    <x v="2"/>
    <s v="VIC"/>
    <s v="Known gap agreement"/>
    <s v="More than 125% MBS Fee to 150% MBS Fee"/>
    <n v="4353206.8499999996"/>
    <n v="2371786.29"/>
    <n v="1580417.12"/>
    <n v="14767"/>
  </r>
  <r>
    <x v="19"/>
    <x v="2"/>
    <s v="VIC"/>
    <s v="Known gap agreement"/>
    <s v="More than 150% MBS Fee to 200% MBS Fee"/>
    <n v="7322616.75"/>
    <n v="3170316.2"/>
    <n v="2825144.1"/>
    <n v="18479"/>
  </r>
  <r>
    <x v="19"/>
    <x v="2"/>
    <s v="VIC"/>
    <s v="Known gap agreement"/>
    <s v="More than 200% MBS Fee"/>
    <n v="7926368.21"/>
    <n v="2328237.33"/>
    <n v="2352738.02"/>
    <n v="21062"/>
  </r>
  <r>
    <x v="19"/>
    <x v="2"/>
    <s v="VIC"/>
    <s v="No gap agreement"/>
    <s v="Up to MBS Fee"/>
    <n v="14962273.140000001"/>
    <n v="11251257.880000001"/>
    <n v="3711270.12"/>
    <n v="252418"/>
  </r>
  <r>
    <x v="19"/>
    <x v="2"/>
    <s v="VIC"/>
    <s v="No gap agreement"/>
    <s v="100% MBS Fee to 125% MBS Fee"/>
    <n v="41815648.310000002"/>
    <n v="26723540.289999999"/>
    <n v="15092097.880000001"/>
    <n v="359177"/>
  </r>
  <r>
    <x v="19"/>
    <x v="2"/>
    <s v="VIC"/>
    <s v="No gap agreement"/>
    <s v="More than 125% MBS Fee to 150% MBS Fee"/>
    <n v="102685476.45"/>
    <n v="56732248.869999997"/>
    <n v="45953179.640000001"/>
    <n v="829011"/>
  </r>
  <r>
    <x v="19"/>
    <x v="2"/>
    <s v="VIC"/>
    <s v="No gap agreement"/>
    <s v="More than 150% MBS Fee to 200% MBS Fee"/>
    <n v="98628088.019999996"/>
    <n v="44412174.280000001"/>
    <n v="54215869.359999999"/>
    <n v="517105"/>
  </r>
  <r>
    <x v="19"/>
    <x v="2"/>
    <s v="VIC"/>
    <s v="No gap agreement"/>
    <s v="More than 200% MBS Fee"/>
    <n v="5360944.6399999997"/>
    <n v="1535607.87"/>
    <n v="3825336.77"/>
    <n v="14782"/>
  </r>
  <r>
    <x v="19"/>
    <x v="2"/>
    <s v="QLD"/>
    <s v="No agreement"/>
    <s v="Up to MBS Fee"/>
    <n v="9413853.7100000009"/>
    <n v="7081879.5599999996"/>
    <n v="2327447.39"/>
    <n v="65514"/>
  </r>
  <r>
    <x v="19"/>
    <x v="2"/>
    <s v="QLD"/>
    <s v="No agreement"/>
    <s v="100% MBS Fee to 125% MBS Fee"/>
    <n v="2620210.4900000002"/>
    <n v="1717129.7"/>
    <n v="744080.9"/>
    <n v="18498"/>
  </r>
  <r>
    <x v="19"/>
    <x v="2"/>
    <s v="QLD"/>
    <s v="No agreement"/>
    <s v="More than 125% MBS Fee to 150% MBS Fee"/>
    <n v="3268944.94"/>
    <n v="1776771.43"/>
    <n v="934659.56"/>
    <n v="19128"/>
  </r>
  <r>
    <x v="19"/>
    <x v="2"/>
    <s v="QLD"/>
    <s v="No agreement"/>
    <s v="More than 150% MBS Fee to 200% MBS Fee"/>
    <n v="8914775.5399999991"/>
    <n v="3811315.5"/>
    <n v="1790167.69"/>
    <n v="30066"/>
  </r>
  <r>
    <x v="19"/>
    <x v="2"/>
    <s v="QLD"/>
    <s v="No agreement"/>
    <s v="More than 200% MBS Fee"/>
    <n v="52178615.149999999"/>
    <n v="13562153.439999999"/>
    <n v="4635906.79"/>
    <n v="89154"/>
  </r>
  <r>
    <x v="19"/>
    <x v="2"/>
    <s v="QLD"/>
    <s v="Known gap agreement"/>
    <s v="100% MBS Fee to 125% MBS Fee"/>
    <n v="752041.83"/>
    <n v="492216.75"/>
    <n v="227848.3"/>
    <n v="3078"/>
  </r>
  <r>
    <x v="19"/>
    <x v="2"/>
    <s v="QLD"/>
    <s v="Known gap agreement"/>
    <s v="More than 125% MBS Fee to 150% MBS Fee"/>
    <n v="1973136.64"/>
    <n v="1064555.07"/>
    <n v="718367.49"/>
    <n v="7105"/>
  </r>
  <r>
    <x v="19"/>
    <x v="2"/>
    <s v="QLD"/>
    <s v="Known gap agreement"/>
    <s v="More than 150% MBS Fee to 200% MBS Fee"/>
    <n v="4525466.1100000003"/>
    <n v="1954487.65"/>
    <n v="1858268.52"/>
    <n v="9408"/>
  </r>
  <r>
    <x v="19"/>
    <x v="2"/>
    <s v="QLD"/>
    <s v="Known gap agreement"/>
    <s v="More than 200% MBS Fee"/>
    <n v="8431119.8699999992"/>
    <n v="2480609.9300000002"/>
    <n v="2724129.63"/>
    <n v="22370"/>
  </r>
  <r>
    <x v="19"/>
    <x v="2"/>
    <s v="QLD"/>
    <s v="No gap agreement"/>
    <s v="Up to MBS Fee"/>
    <n v="9112995.6400000006"/>
    <n v="6844551.6299999999"/>
    <n v="2268436.89"/>
    <n v="152567"/>
  </r>
  <r>
    <x v="19"/>
    <x v="2"/>
    <s v="QLD"/>
    <s v="No gap agreement"/>
    <s v="100% MBS Fee to 125% MBS Fee"/>
    <n v="35784332.899999999"/>
    <n v="22915789.469999999"/>
    <n v="12868431.960000001"/>
    <n v="364199"/>
  </r>
  <r>
    <x v="19"/>
    <x v="2"/>
    <s v="QLD"/>
    <s v="No gap agreement"/>
    <s v="More than 125% MBS Fee to 150% MBS Fee"/>
    <n v="72128071.659999996"/>
    <n v="40105838.829999998"/>
    <n v="32021850.52"/>
    <n v="613813"/>
  </r>
  <r>
    <x v="19"/>
    <x v="2"/>
    <s v="QLD"/>
    <s v="No gap agreement"/>
    <s v="More than 150% MBS Fee to 200% MBS Fee"/>
    <n v="59321815.020000003"/>
    <n v="27305248.239999998"/>
    <n v="32016381.18"/>
    <n v="373116"/>
  </r>
  <r>
    <x v="19"/>
    <x v="2"/>
    <s v="QLD"/>
    <s v="No gap agreement"/>
    <s v="More than 200% MBS Fee"/>
    <n v="6508453.3700000001"/>
    <n v="1909277.22"/>
    <n v="4599175.8600000003"/>
    <n v="15583"/>
  </r>
  <r>
    <x v="19"/>
    <x v="2"/>
    <s v="SA"/>
    <s v="No agreement"/>
    <s v="Up to MBS Fee"/>
    <n v="1937836.32"/>
    <n v="1482203.51"/>
    <n v="456097.76"/>
    <n v="13458"/>
  </r>
  <r>
    <x v="19"/>
    <x v="2"/>
    <s v="SA"/>
    <s v="No agreement"/>
    <s v="100% MBS Fee to 125% MBS Fee"/>
    <n v="464781.98"/>
    <n v="302809.15000000002"/>
    <n v="141577"/>
    <n v="2544"/>
  </r>
  <r>
    <x v="19"/>
    <x v="2"/>
    <s v="SA"/>
    <s v="No agreement"/>
    <s v="More than 125% MBS Fee to 150% MBS Fee"/>
    <n v="916032.11"/>
    <n v="495624.04"/>
    <n v="322132.25"/>
    <n v="5481"/>
  </r>
  <r>
    <x v="19"/>
    <x v="2"/>
    <s v="SA"/>
    <s v="No agreement"/>
    <s v="More than 150% MBS Fee to 200% MBS Fee"/>
    <n v="2794785.91"/>
    <n v="1209091.19"/>
    <n v="1339212.8400000001"/>
    <n v="11374"/>
  </r>
  <r>
    <x v="19"/>
    <x v="2"/>
    <s v="SA"/>
    <s v="No agreement"/>
    <s v="More than 200% MBS Fee"/>
    <n v="2971270.06"/>
    <n v="769829.34"/>
    <n v="311016.90999999997"/>
    <n v="7932"/>
  </r>
  <r>
    <x v="19"/>
    <x v="2"/>
    <s v="SA"/>
    <s v="Known gap agreement"/>
    <s v="100% MBS Fee to 125% MBS Fee"/>
    <n v="377077.42"/>
    <n v="256501.65"/>
    <n v="103275.41"/>
    <n v="1945"/>
  </r>
  <r>
    <x v="19"/>
    <x v="2"/>
    <s v="SA"/>
    <s v="Known gap agreement"/>
    <s v="More than 125% MBS Fee to 150% MBS Fee"/>
    <n v="526740.75"/>
    <n v="284908.53999999998"/>
    <n v="178845.89"/>
    <n v="1855"/>
  </r>
  <r>
    <x v="19"/>
    <x v="2"/>
    <s v="SA"/>
    <s v="Known gap agreement"/>
    <s v="More than 150% MBS Fee to 200% MBS Fee"/>
    <n v="2914993.31"/>
    <n v="1224400.79"/>
    <n v="1227022.8999999999"/>
    <n v="5074"/>
  </r>
  <r>
    <x v="19"/>
    <x v="2"/>
    <s v="SA"/>
    <s v="Known gap agreement"/>
    <s v="More than 200% MBS Fee"/>
    <n v="1924871.5"/>
    <n v="588741.9"/>
    <n v="672189.89"/>
    <n v="6893"/>
  </r>
  <r>
    <x v="19"/>
    <x v="2"/>
    <s v="SA"/>
    <s v="No gap agreement"/>
    <s v="Up to MBS Fee"/>
    <n v="4277332.24"/>
    <n v="3214131.02"/>
    <n v="1063200.93"/>
    <n v="56052"/>
  </r>
  <r>
    <x v="19"/>
    <x v="2"/>
    <s v="SA"/>
    <s v="No gap agreement"/>
    <s v="100% MBS Fee to 125% MBS Fee"/>
    <n v="9557303.1600000001"/>
    <n v="6161353.5099999998"/>
    <n v="3395939.34"/>
    <n v="85491"/>
  </r>
  <r>
    <x v="19"/>
    <x v="2"/>
    <s v="SA"/>
    <s v="No gap agreement"/>
    <s v="More than 125% MBS Fee to 150% MBS Fee"/>
    <n v="22162132.489999998"/>
    <n v="12171663.380000001"/>
    <n v="9990452.2699999996"/>
    <n v="194156"/>
  </r>
  <r>
    <x v="19"/>
    <x v="2"/>
    <s v="SA"/>
    <s v="No gap agreement"/>
    <s v="More than 150% MBS Fee to 200% MBS Fee"/>
    <n v="41247783"/>
    <n v="18419838.02"/>
    <n v="22827941.77"/>
    <n v="163410"/>
  </r>
  <r>
    <x v="19"/>
    <x v="2"/>
    <s v="SA"/>
    <s v="No gap agreement"/>
    <s v="More than 200% MBS Fee"/>
    <n v="2083802.58"/>
    <n v="591962.9"/>
    <n v="1491839.68"/>
    <n v="4602"/>
  </r>
  <r>
    <x v="19"/>
    <x v="2"/>
    <s v="WA"/>
    <s v="No agreement"/>
    <s v="Up to MBS Fee"/>
    <n v="2817025.44"/>
    <n v="2121948.98"/>
    <n v="693795.66"/>
    <n v="43908"/>
  </r>
  <r>
    <x v="19"/>
    <x v="2"/>
    <s v="WA"/>
    <s v="No agreement"/>
    <s v="100% MBS Fee to 125% MBS Fee"/>
    <n v="430114.51"/>
    <n v="289478.69"/>
    <n v="103471.2"/>
    <n v="2611"/>
  </r>
  <r>
    <x v="19"/>
    <x v="2"/>
    <s v="WA"/>
    <s v="No agreement"/>
    <s v="More than 125% MBS Fee to 150% MBS Fee"/>
    <n v="1063438.79"/>
    <n v="584382.44999999995"/>
    <n v="231272.16"/>
    <n v="3920"/>
  </r>
  <r>
    <x v="19"/>
    <x v="2"/>
    <s v="WA"/>
    <s v="No agreement"/>
    <s v="More than 150% MBS Fee to 200% MBS Fee"/>
    <n v="2749366.35"/>
    <n v="1198352.1000000001"/>
    <n v="469884.1"/>
    <n v="8543"/>
  </r>
  <r>
    <x v="19"/>
    <x v="2"/>
    <s v="WA"/>
    <s v="No agreement"/>
    <s v="More than 200% MBS Fee"/>
    <n v="9178009.1999999993"/>
    <n v="2273926.89"/>
    <n v="788456.25"/>
    <n v="22801"/>
  </r>
  <r>
    <x v="19"/>
    <x v="2"/>
    <s v="WA"/>
    <s v="Known gap agreement"/>
    <s v="100% MBS Fee to 125% MBS Fee"/>
    <n v="2496250.1800000002"/>
    <n v="1713971.85"/>
    <n v="748970.85"/>
    <n v="13446"/>
  </r>
  <r>
    <x v="19"/>
    <x v="2"/>
    <s v="WA"/>
    <s v="Known gap agreement"/>
    <s v="More than 125% MBS Fee to 150% MBS Fee"/>
    <n v="3464094.43"/>
    <n v="1874623.24"/>
    <n v="1378831.44"/>
    <n v="26272"/>
  </r>
  <r>
    <x v="19"/>
    <x v="2"/>
    <s v="WA"/>
    <s v="Known gap agreement"/>
    <s v="More than 150% MBS Fee to 200% MBS Fee"/>
    <n v="8689711.7300000004"/>
    <n v="3868289.55"/>
    <n v="3043454.23"/>
    <n v="19709"/>
  </r>
  <r>
    <x v="19"/>
    <x v="2"/>
    <s v="WA"/>
    <s v="Known gap agreement"/>
    <s v="More than 200% MBS Fee"/>
    <n v="12907667.85"/>
    <n v="3426471.36"/>
    <n v="2192178.61"/>
    <n v="26258"/>
  </r>
  <r>
    <x v="19"/>
    <x v="2"/>
    <s v="WA"/>
    <s v="No gap agreement"/>
    <s v="Up to MBS Fee"/>
    <n v="1611120.23"/>
    <n v="1217273.1100000001"/>
    <n v="393846.76"/>
    <n v="14512"/>
  </r>
  <r>
    <x v="19"/>
    <x v="2"/>
    <s v="WA"/>
    <s v="No gap agreement"/>
    <s v="100% MBS Fee to 125% MBS Fee"/>
    <n v="7267448.1699999999"/>
    <n v="4682638.6500000004"/>
    <n v="2584802.92"/>
    <n v="63306"/>
  </r>
  <r>
    <x v="19"/>
    <x v="2"/>
    <s v="WA"/>
    <s v="No gap agreement"/>
    <s v="More than 125% MBS Fee to 150% MBS Fee"/>
    <n v="35812487.049999997"/>
    <n v="19847431.579999998"/>
    <n v="15965047.74"/>
    <n v="267804"/>
  </r>
  <r>
    <x v="19"/>
    <x v="2"/>
    <s v="WA"/>
    <s v="No gap agreement"/>
    <s v="More than 150% MBS Fee to 200% MBS Fee"/>
    <n v="45134763.909999996"/>
    <n v="19963069.510000002"/>
    <n v="25171692.41"/>
    <n v="210630"/>
  </r>
  <r>
    <x v="19"/>
    <x v="2"/>
    <s v="WA"/>
    <s v="No gap agreement"/>
    <s v="More than 200% MBS Fee"/>
    <n v="3794207.67"/>
    <n v="1002013.34"/>
    <n v="2792194.33"/>
    <n v="3032"/>
  </r>
  <r>
    <x v="19"/>
    <x v="2"/>
    <s v="TAS"/>
    <s v="No agreement"/>
    <s v="Up to MBS Fee"/>
    <n v="649515.17000000004"/>
    <n v="487653.71"/>
    <n v="161829.31"/>
    <n v="9887"/>
  </r>
  <r>
    <x v="19"/>
    <x v="2"/>
    <s v="TAS"/>
    <s v="No agreement"/>
    <s v="100% MBS Fee to 125% MBS Fee"/>
    <n v="176915.93"/>
    <n v="113371.44"/>
    <n v="56668.83"/>
    <n v="1314"/>
  </r>
  <r>
    <x v="19"/>
    <x v="2"/>
    <s v="TAS"/>
    <s v="No agreement"/>
    <s v="More than 125% MBS Fee to 150% MBS Fee"/>
    <n v="207809.71"/>
    <n v="111002.26"/>
    <n v="67878.3"/>
    <n v="601"/>
  </r>
  <r>
    <x v="19"/>
    <x v="2"/>
    <s v="TAS"/>
    <s v="No agreement"/>
    <s v="More than 150% MBS Fee to 200% MBS Fee"/>
    <n v="669244.80000000005"/>
    <n v="293011.28000000003"/>
    <n v="189011.20000000001"/>
    <n v="2558"/>
  </r>
  <r>
    <x v="19"/>
    <x v="2"/>
    <s v="TAS"/>
    <s v="No agreement"/>
    <s v="More than 200% MBS Fee"/>
    <n v="2422706.21"/>
    <n v="576826.93000000005"/>
    <n v="206798.55"/>
    <n v="3334"/>
  </r>
  <r>
    <x v="19"/>
    <x v="2"/>
    <s v="TAS"/>
    <s v="Known gap agreement"/>
    <s v="100% MBS Fee to 125% MBS Fee"/>
    <n v="233248.22"/>
    <n v="156365.51"/>
    <n v="66932.899999999994"/>
    <n v="1171"/>
  </r>
  <r>
    <x v="19"/>
    <x v="2"/>
    <s v="TAS"/>
    <s v="Known gap agreement"/>
    <s v="More than 125% MBS Fee to 150% MBS Fee"/>
    <n v="208631.11"/>
    <n v="113079.09"/>
    <n v="81312.02"/>
    <n v="895"/>
  </r>
  <r>
    <x v="19"/>
    <x v="2"/>
    <s v="TAS"/>
    <s v="Known gap agreement"/>
    <s v="More than 150% MBS Fee to 200% MBS Fee"/>
    <n v="798675.79"/>
    <n v="345245.3"/>
    <n v="350343.28"/>
    <n v="1770"/>
  </r>
  <r>
    <x v="19"/>
    <x v="2"/>
    <s v="TAS"/>
    <s v="Known gap agreement"/>
    <s v="More than 200% MBS Fee"/>
    <n v="1005424.76"/>
    <n v="305923.51"/>
    <n v="352002.99"/>
    <n v="3715"/>
  </r>
  <r>
    <x v="19"/>
    <x v="2"/>
    <s v="TAS"/>
    <s v="No gap agreement"/>
    <s v="Up to MBS Fee"/>
    <n v="1872218.09"/>
    <n v="1405975.06"/>
    <n v="466243.28"/>
    <n v="30131"/>
  </r>
  <r>
    <x v="19"/>
    <x v="2"/>
    <s v="TAS"/>
    <s v="No gap agreement"/>
    <s v="100% MBS Fee to 125% MBS Fee"/>
    <n v="3525170.18"/>
    <n v="2236704.73"/>
    <n v="1288465.1299999999"/>
    <n v="25060"/>
  </r>
  <r>
    <x v="19"/>
    <x v="2"/>
    <s v="TAS"/>
    <s v="No gap agreement"/>
    <s v="More than 125% MBS Fee to 150% MBS Fee"/>
    <n v="8524708.0099999998"/>
    <n v="4677238.49"/>
    <n v="3847453.56"/>
    <n v="53432"/>
  </r>
  <r>
    <x v="19"/>
    <x v="2"/>
    <s v="TAS"/>
    <s v="No gap agreement"/>
    <s v="More than 150% MBS Fee to 200% MBS Fee"/>
    <n v="8393550.2200000007"/>
    <n v="3831134.5"/>
    <n v="4562415.1399999997"/>
    <n v="43026"/>
  </r>
  <r>
    <x v="19"/>
    <x v="2"/>
    <s v="TAS"/>
    <s v="No gap agreement"/>
    <s v="More than 200% MBS Fee"/>
    <n v="534497.76"/>
    <n v="151531.85"/>
    <n v="382965.91"/>
    <n v="653"/>
  </r>
  <r>
    <x v="19"/>
    <x v="2"/>
    <s v="ACT"/>
    <s v="No agreement"/>
    <s v="Up to MBS Fee"/>
    <n v="1053763.29"/>
    <n v="777210.68"/>
    <n v="253544.32000000001"/>
    <n v="9746"/>
  </r>
  <r>
    <x v="19"/>
    <x v="2"/>
    <s v="ACT"/>
    <s v="No agreement"/>
    <s v="100% MBS Fee to 125% MBS Fee"/>
    <n v="115949.71"/>
    <n v="75531.289999999994"/>
    <n v="29092.3"/>
    <n v="649"/>
  </r>
  <r>
    <x v="19"/>
    <x v="2"/>
    <s v="ACT"/>
    <s v="No agreement"/>
    <s v="More than 125% MBS Fee to 150% MBS Fee"/>
    <n v="181066.31"/>
    <n v="99792.28"/>
    <n v="39822.1"/>
    <n v="556"/>
  </r>
  <r>
    <x v="19"/>
    <x v="2"/>
    <s v="ACT"/>
    <s v="No agreement"/>
    <s v="More than 150% MBS Fee to 200% MBS Fee"/>
    <n v="708154.61"/>
    <n v="294173.56"/>
    <n v="103150.03"/>
    <n v="2694"/>
  </r>
  <r>
    <x v="19"/>
    <x v="2"/>
    <s v="ACT"/>
    <s v="No agreement"/>
    <s v="More than 200% MBS Fee"/>
    <n v="8411312.5899999999"/>
    <n v="2062517.81"/>
    <n v="696424.16"/>
    <n v="11931"/>
  </r>
  <r>
    <x v="19"/>
    <x v="2"/>
    <s v="ACT"/>
    <s v="Known gap agreement"/>
    <s v="100% MBS Fee to 125% MBS Fee"/>
    <n v="94190.74"/>
    <n v="62001.05"/>
    <n v="29496.57"/>
    <n v="251"/>
  </r>
  <r>
    <x v="19"/>
    <x v="2"/>
    <s v="ACT"/>
    <s v="Known gap agreement"/>
    <s v="More than 125% MBS Fee to 150% MBS Fee"/>
    <n v="93639.92"/>
    <n v="51690.400000000001"/>
    <n v="36557.949999999997"/>
    <n v="236"/>
  </r>
  <r>
    <x v="19"/>
    <x v="2"/>
    <s v="ACT"/>
    <s v="Known gap agreement"/>
    <s v="More than 150% MBS Fee to 200% MBS Fee"/>
    <n v="216410.27"/>
    <n v="94242.8"/>
    <n v="89112.4"/>
    <n v="720"/>
  </r>
  <r>
    <x v="19"/>
    <x v="2"/>
    <s v="ACT"/>
    <s v="Known gap agreement"/>
    <s v="More than 200% MBS Fee"/>
    <n v="1197436.01"/>
    <n v="328802.3"/>
    <n v="353301.11"/>
    <n v="3900"/>
  </r>
  <r>
    <x v="19"/>
    <x v="2"/>
    <s v="ACT"/>
    <s v="No gap agreement"/>
    <s v="Up to MBS Fee"/>
    <n v="454897.91999999998"/>
    <n v="343237.17"/>
    <n v="111660.75"/>
    <n v="14540"/>
  </r>
  <r>
    <x v="19"/>
    <x v="2"/>
    <s v="ACT"/>
    <s v="No gap agreement"/>
    <s v="100% MBS Fee to 125% MBS Fee"/>
    <n v="1276402.24"/>
    <n v="823999.4"/>
    <n v="452389.05"/>
    <n v="14218"/>
  </r>
  <r>
    <x v="19"/>
    <x v="2"/>
    <s v="ACT"/>
    <s v="No gap agreement"/>
    <s v="More than 125% MBS Fee to 150% MBS Fee"/>
    <n v="2864241.94"/>
    <n v="1586520.59"/>
    <n v="1277717.49"/>
    <n v="19836"/>
  </r>
  <r>
    <x v="19"/>
    <x v="2"/>
    <s v="ACT"/>
    <s v="No gap agreement"/>
    <s v="More than 150% MBS Fee to 200% MBS Fee"/>
    <n v="2330826.58"/>
    <n v="1061395.49"/>
    <n v="1269409.3"/>
    <n v="14850"/>
  </r>
  <r>
    <x v="19"/>
    <x v="2"/>
    <s v="ACT"/>
    <s v="No gap agreement"/>
    <s v="More than 200% MBS Fee"/>
    <n v="421660.74"/>
    <n v="129214.5"/>
    <n v="292446.24"/>
    <n v="1492"/>
  </r>
  <r>
    <x v="19"/>
    <x v="2"/>
    <s v="NT"/>
    <s v="No agreement"/>
    <s v="Up to MBS Fee"/>
    <n v="292469.46000000002"/>
    <n v="218666.04"/>
    <n v="72553.42"/>
    <n v="1524"/>
  </r>
  <r>
    <x v="19"/>
    <x v="2"/>
    <s v="NT"/>
    <s v="No agreement"/>
    <s v="100% MBS Fee to 125% MBS Fee"/>
    <n v="26124.16"/>
    <n v="17447.21"/>
    <n v="7006.45"/>
    <n v="109"/>
  </r>
  <r>
    <x v="19"/>
    <x v="2"/>
    <s v="NT"/>
    <s v="No agreement"/>
    <s v="More than 125% MBS Fee to 150% MBS Fee"/>
    <n v="38592.22"/>
    <n v="21162.400000000001"/>
    <n v="9018"/>
    <n v="176"/>
  </r>
  <r>
    <x v="19"/>
    <x v="2"/>
    <s v="NT"/>
    <s v="No agreement"/>
    <s v="More than 150% MBS Fee to 200% MBS Fee"/>
    <n v="142264.64000000001"/>
    <n v="61528.75"/>
    <n v="34989.25"/>
    <n v="638"/>
  </r>
  <r>
    <x v="19"/>
    <x v="2"/>
    <s v="NT"/>
    <s v="No agreement"/>
    <s v="More than 200% MBS Fee"/>
    <n v="1528749.77"/>
    <n v="387209.49"/>
    <n v="129655.95"/>
    <n v="2029"/>
  </r>
  <r>
    <x v="19"/>
    <x v="2"/>
    <s v="NT"/>
    <s v="Known gap agreement"/>
    <s v="100% MBS Fee to 125% MBS Fee"/>
    <n v="12821.23"/>
    <n v="8457.35"/>
    <n v="3809"/>
    <n v="53"/>
  </r>
  <r>
    <x v="19"/>
    <x v="2"/>
    <s v="NT"/>
    <s v="Known gap agreement"/>
    <s v="More than 125% MBS Fee to 150% MBS Fee"/>
    <n v="34070.129999999997"/>
    <n v="18329.650000000001"/>
    <n v="12040.35"/>
    <n v="81"/>
  </r>
  <r>
    <x v="19"/>
    <x v="2"/>
    <s v="NT"/>
    <s v="Known gap agreement"/>
    <s v="More than 150% MBS Fee to 200% MBS Fee"/>
    <n v="199240.57"/>
    <n v="87249.85"/>
    <n v="78395.009999999995"/>
    <n v="376"/>
  </r>
  <r>
    <x v="19"/>
    <x v="2"/>
    <s v="NT"/>
    <s v="Known gap agreement"/>
    <s v="More than 200% MBS Fee"/>
    <n v="353387.65"/>
    <n v="92646.85"/>
    <n v="102014.68"/>
    <n v="1229"/>
  </r>
  <r>
    <x v="19"/>
    <x v="2"/>
    <s v="NT"/>
    <s v="No gap agreement"/>
    <s v="Up to MBS Fee"/>
    <n v="168339.7"/>
    <n v="126800.45"/>
    <n v="41539.25"/>
    <n v="1680"/>
  </r>
  <r>
    <x v="19"/>
    <x v="2"/>
    <s v="NT"/>
    <s v="No gap agreement"/>
    <s v="100% MBS Fee to 125% MBS Fee"/>
    <n v="476300.5"/>
    <n v="304549.57"/>
    <n v="171750.88"/>
    <n v="3932"/>
  </r>
  <r>
    <x v="19"/>
    <x v="2"/>
    <s v="NT"/>
    <s v="No gap agreement"/>
    <s v="More than 125% MBS Fee to 150% MBS Fee"/>
    <n v="1164885.6200000001"/>
    <n v="645548.65"/>
    <n v="519331.69"/>
    <n v="9410"/>
  </r>
  <r>
    <x v="19"/>
    <x v="2"/>
    <s v="NT"/>
    <s v="No gap agreement"/>
    <s v="More than 150% MBS Fee to 200% MBS Fee"/>
    <n v="1409954.32"/>
    <n v="647929.59999999998"/>
    <n v="762015.56"/>
    <n v="6663"/>
  </r>
  <r>
    <x v="19"/>
    <x v="2"/>
    <s v="NT"/>
    <s v="No gap agreement"/>
    <s v="More than 200% MBS Fee"/>
    <n v="55700.35"/>
    <n v="17190.55"/>
    <n v="38509.800000000003"/>
    <n v="106"/>
  </r>
  <r>
    <x v="19"/>
    <x v="3"/>
    <s v="NSW"/>
    <s v="No agreement"/>
    <s v="Up to MBS Fee"/>
    <n v="39991695.57"/>
    <n v="30053311.5"/>
    <n v="9904754.6400000006"/>
    <n v="625017"/>
  </r>
  <r>
    <x v="19"/>
    <x v="3"/>
    <s v="NSW"/>
    <s v="No agreement"/>
    <s v="100% MBS Fee to 125% MBS Fee"/>
    <n v="2443977.3199999998"/>
    <n v="1626651.6"/>
    <n v="618517.31000000006"/>
    <n v="14456"/>
  </r>
  <r>
    <x v="19"/>
    <x v="3"/>
    <s v="NSW"/>
    <s v="No agreement"/>
    <s v="More than 125% MBS Fee to 150% MBS Fee"/>
    <n v="2852444.81"/>
    <n v="1538787.93"/>
    <n v="633742.03"/>
    <n v="10864"/>
  </r>
  <r>
    <x v="19"/>
    <x v="3"/>
    <s v="NSW"/>
    <s v="No agreement"/>
    <s v="More than 150% MBS Fee to 200% MBS Fee"/>
    <n v="12216119.6"/>
    <n v="5209449.29"/>
    <n v="1975115.08"/>
    <n v="64349"/>
  </r>
  <r>
    <x v="19"/>
    <x v="3"/>
    <s v="NSW"/>
    <s v="No agreement"/>
    <s v="More than 200% MBS Fee"/>
    <n v="92191504.150000006"/>
    <n v="22895091.16"/>
    <n v="7692414.4500000002"/>
    <n v="145486"/>
  </r>
  <r>
    <x v="19"/>
    <x v="3"/>
    <s v="NSW"/>
    <s v="Known gap agreement"/>
    <s v="100% MBS Fee to 125% MBS Fee"/>
    <n v="1440372.76"/>
    <n v="962398.34"/>
    <n v="421906.1"/>
    <n v="6884"/>
  </r>
  <r>
    <x v="19"/>
    <x v="3"/>
    <s v="NSW"/>
    <s v="Known gap agreement"/>
    <s v="More than 125% MBS Fee to 150% MBS Fee"/>
    <n v="1947757.62"/>
    <n v="1053041.8799999999"/>
    <n v="733102.78"/>
    <n v="7699"/>
  </r>
  <r>
    <x v="19"/>
    <x v="3"/>
    <s v="NSW"/>
    <s v="Known gap agreement"/>
    <s v="More than 150% MBS Fee to 200% MBS Fee"/>
    <n v="4844082.21"/>
    <n v="2135354.16"/>
    <n v="2039727.67"/>
    <n v="12598"/>
  </r>
  <r>
    <x v="19"/>
    <x v="3"/>
    <s v="NSW"/>
    <s v="Known gap agreement"/>
    <s v="More than 200% MBS Fee"/>
    <n v="5244959.42"/>
    <n v="1441467.57"/>
    <n v="1602005.66"/>
    <n v="14933"/>
  </r>
  <r>
    <x v="19"/>
    <x v="3"/>
    <s v="NSW"/>
    <s v="No gap agreement"/>
    <s v="Up to MBS Fee"/>
    <n v="13513468.82"/>
    <n v="10163265.789999999"/>
    <n v="3351240.08"/>
    <n v="356420"/>
  </r>
  <r>
    <x v="19"/>
    <x v="3"/>
    <s v="NSW"/>
    <s v="No gap agreement"/>
    <s v="100% MBS Fee to 125% MBS Fee"/>
    <n v="36692475.439999998"/>
    <n v="23492061.25"/>
    <n v="13200125.35"/>
    <n v="362407"/>
  </r>
  <r>
    <x v="19"/>
    <x v="3"/>
    <s v="NSW"/>
    <s v="No gap agreement"/>
    <s v="More than 125% MBS Fee to 150% MBS Fee"/>
    <n v="81411154.849999994"/>
    <n v="44981601.850000001"/>
    <n v="36429296.18"/>
    <n v="465086"/>
  </r>
  <r>
    <x v="19"/>
    <x v="3"/>
    <s v="NSW"/>
    <s v="No gap agreement"/>
    <s v="More than 150% MBS Fee to 200% MBS Fee"/>
    <n v="89606183.459999993"/>
    <n v="40968722.289999999"/>
    <n v="48637256.390000001"/>
    <n v="501062"/>
  </r>
  <r>
    <x v="19"/>
    <x v="3"/>
    <s v="NSW"/>
    <s v="No gap agreement"/>
    <s v="More than 200% MBS Fee"/>
    <n v="9839946.9800000004"/>
    <n v="3039205.57"/>
    <n v="6800737.6200000001"/>
    <n v="41524"/>
  </r>
  <r>
    <x v="19"/>
    <x v="3"/>
    <s v="VIC"/>
    <s v="No agreement"/>
    <s v="Up to MBS Fee"/>
    <n v="8949618.0299999993"/>
    <n v="6727520.4500000002"/>
    <n v="2220014.7999999998"/>
    <n v="79283"/>
  </r>
  <r>
    <x v="19"/>
    <x v="3"/>
    <s v="VIC"/>
    <s v="No agreement"/>
    <s v="100% MBS Fee to 125% MBS Fee"/>
    <n v="1135307.07"/>
    <n v="745701.02"/>
    <n v="270371.40000000002"/>
    <n v="7333"/>
  </r>
  <r>
    <x v="19"/>
    <x v="3"/>
    <s v="VIC"/>
    <s v="No agreement"/>
    <s v="More than 125% MBS Fee to 150% MBS Fee"/>
    <n v="1982576.6399999999"/>
    <n v="1079363.97"/>
    <n v="584579.03"/>
    <n v="14118"/>
  </r>
  <r>
    <x v="19"/>
    <x v="3"/>
    <s v="VIC"/>
    <s v="No agreement"/>
    <s v="More than 150% MBS Fee to 200% MBS Fee"/>
    <n v="3813919.02"/>
    <n v="1622673.67"/>
    <n v="937377.72"/>
    <n v="15714"/>
  </r>
  <r>
    <x v="19"/>
    <x v="3"/>
    <s v="VIC"/>
    <s v="No agreement"/>
    <s v="More than 200% MBS Fee"/>
    <n v="22796607.379999999"/>
    <n v="5852876.0199999996"/>
    <n v="2012736.16"/>
    <n v="42773"/>
  </r>
  <r>
    <x v="19"/>
    <x v="3"/>
    <s v="VIC"/>
    <s v="Known gap agreement"/>
    <s v="100% MBS Fee to 125% MBS Fee"/>
    <n v="2187860.37"/>
    <n v="1457770.24"/>
    <n v="612453.74"/>
    <n v="11843"/>
  </r>
  <r>
    <x v="19"/>
    <x v="3"/>
    <s v="VIC"/>
    <s v="Known gap agreement"/>
    <s v="More than 125% MBS Fee to 150% MBS Fee"/>
    <n v="4236743.97"/>
    <n v="2310739.35"/>
    <n v="1519792.64"/>
    <n v="18907"/>
  </r>
  <r>
    <x v="19"/>
    <x v="3"/>
    <s v="VIC"/>
    <s v="Known gap agreement"/>
    <s v="More than 150% MBS Fee to 200% MBS Fee"/>
    <n v="6961814.2699999996"/>
    <n v="3018348.66"/>
    <n v="2750419.07"/>
    <n v="16578"/>
  </r>
  <r>
    <x v="19"/>
    <x v="3"/>
    <s v="VIC"/>
    <s v="Known gap agreement"/>
    <s v="More than 200% MBS Fee"/>
    <n v="7186112.2699999996"/>
    <n v="2127282.6800000002"/>
    <n v="2074691.86"/>
    <n v="18885"/>
  </r>
  <r>
    <x v="19"/>
    <x v="3"/>
    <s v="VIC"/>
    <s v="No gap agreement"/>
    <s v="Up to MBS Fee"/>
    <n v="14021135.18"/>
    <n v="10550237.949999999"/>
    <n v="3470897.31"/>
    <n v="244911"/>
  </r>
  <r>
    <x v="19"/>
    <x v="3"/>
    <s v="VIC"/>
    <s v="No gap agreement"/>
    <s v="100% MBS Fee to 125% MBS Fee"/>
    <n v="39124589.100000001"/>
    <n v="25029587.760000002"/>
    <n v="14094903.98"/>
    <n v="343920"/>
  </r>
  <r>
    <x v="19"/>
    <x v="3"/>
    <s v="VIC"/>
    <s v="No gap agreement"/>
    <s v="More than 125% MBS Fee to 150% MBS Fee"/>
    <n v="96749087.090000004"/>
    <n v="53448712.93"/>
    <n v="43300246.32"/>
    <n v="787136"/>
  </r>
  <r>
    <x v="19"/>
    <x v="3"/>
    <s v="VIC"/>
    <s v="No gap agreement"/>
    <s v="More than 150% MBS Fee to 200% MBS Fee"/>
    <n v="90328045.569999993"/>
    <n v="40721871.079999998"/>
    <n v="49606079.380000003"/>
    <n v="473654"/>
  </r>
  <r>
    <x v="19"/>
    <x v="3"/>
    <s v="VIC"/>
    <s v="No gap agreement"/>
    <s v="More than 200% MBS Fee"/>
    <n v="4875707.66"/>
    <n v="1390878.41"/>
    <n v="3484828.95"/>
    <n v="12907"/>
  </r>
  <r>
    <x v="19"/>
    <x v="3"/>
    <s v="QLD"/>
    <s v="No agreement"/>
    <s v="Up to MBS Fee"/>
    <n v="8626703.5"/>
    <n v="6487276.2699999996"/>
    <n v="2138488.4300000002"/>
    <n v="58614"/>
  </r>
  <r>
    <x v="19"/>
    <x v="3"/>
    <s v="QLD"/>
    <s v="No agreement"/>
    <s v="100% MBS Fee to 125% MBS Fee"/>
    <n v="2217740.4"/>
    <n v="1454924.76"/>
    <n v="583424.41"/>
    <n v="14490"/>
  </r>
  <r>
    <x v="19"/>
    <x v="3"/>
    <s v="QLD"/>
    <s v="No agreement"/>
    <s v="More than 125% MBS Fee to 150% MBS Fee"/>
    <n v="2802015.39"/>
    <n v="1526599.07"/>
    <n v="727674.18"/>
    <n v="14280"/>
  </r>
  <r>
    <x v="19"/>
    <x v="3"/>
    <s v="QLD"/>
    <s v="No agreement"/>
    <s v="More than 150% MBS Fee to 200% MBS Fee"/>
    <n v="7715053.6100000003"/>
    <n v="3273156.22"/>
    <n v="1237080.03"/>
    <n v="23279"/>
  </r>
  <r>
    <x v="19"/>
    <x v="3"/>
    <s v="QLD"/>
    <s v="No agreement"/>
    <s v="More than 200% MBS Fee"/>
    <n v="50223166.729999997"/>
    <n v="13029012.189999999"/>
    <n v="4404656.58"/>
    <n v="87825"/>
  </r>
  <r>
    <x v="19"/>
    <x v="3"/>
    <s v="QLD"/>
    <s v="Known gap agreement"/>
    <s v="100% MBS Fee to 125% MBS Fee"/>
    <n v="802135.11"/>
    <n v="529591.35"/>
    <n v="234624.92"/>
    <n v="3196"/>
  </r>
  <r>
    <x v="19"/>
    <x v="3"/>
    <s v="QLD"/>
    <s v="Known gap agreement"/>
    <s v="More than 125% MBS Fee to 150% MBS Fee"/>
    <n v="1937991.97"/>
    <n v="1045193.7"/>
    <n v="718609.49"/>
    <n v="6772"/>
  </r>
  <r>
    <x v="19"/>
    <x v="3"/>
    <s v="QLD"/>
    <s v="Known gap agreement"/>
    <s v="More than 150% MBS Fee to 200% MBS Fee"/>
    <n v="4697743.91"/>
    <n v="2022572.63"/>
    <n v="1948095"/>
    <n v="9015"/>
  </r>
  <r>
    <x v="19"/>
    <x v="3"/>
    <s v="QLD"/>
    <s v="Known gap agreement"/>
    <s v="More than 200% MBS Fee"/>
    <n v="7413921.3200000003"/>
    <n v="2189942.84"/>
    <n v="2370632.7599999998"/>
    <n v="18788"/>
  </r>
  <r>
    <x v="19"/>
    <x v="3"/>
    <s v="QLD"/>
    <s v="No gap agreement"/>
    <s v="Up to MBS Fee"/>
    <n v="9233928.6500000004"/>
    <n v="6936806.0999999996"/>
    <n v="2297690.7599999998"/>
    <n v="160511"/>
  </r>
  <r>
    <x v="19"/>
    <x v="3"/>
    <s v="QLD"/>
    <s v="No gap agreement"/>
    <s v="100% MBS Fee to 125% MBS Fee"/>
    <n v="33352029.350000001"/>
    <n v="21378251.670000002"/>
    <n v="11973664.460000001"/>
    <n v="340653"/>
  </r>
  <r>
    <x v="19"/>
    <x v="3"/>
    <s v="QLD"/>
    <s v="No gap agreement"/>
    <s v="More than 125% MBS Fee to 150% MBS Fee"/>
    <n v="68704930.540000007"/>
    <n v="38178389.18"/>
    <n v="30526315.170000002"/>
    <n v="574911"/>
  </r>
  <r>
    <x v="19"/>
    <x v="3"/>
    <s v="QLD"/>
    <s v="No gap agreement"/>
    <s v="More than 150% MBS Fee to 200% MBS Fee"/>
    <n v="57923146.090000004"/>
    <n v="26653665.219999999"/>
    <n v="31269291.469999999"/>
    <n v="367758"/>
  </r>
  <r>
    <x v="19"/>
    <x v="3"/>
    <s v="QLD"/>
    <s v="No gap agreement"/>
    <s v="More than 200% MBS Fee"/>
    <n v="6273599.7800000003"/>
    <n v="1844038.13"/>
    <n v="4429560.83"/>
    <n v="15031"/>
  </r>
  <r>
    <x v="19"/>
    <x v="3"/>
    <s v="SA"/>
    <s v="No agreement"/>
    <s v="Up to MBS Fee"/>
    <n v="1836925.36"/>
    <n v="1379219.95"/>
    <n v="455432.26"/>
    <n v="12067"/>
  </r>
  <r>
    <x v="19"/>
    <x v="3"/>
    <s v="SA"/>
    <s v="No agreement"/>
    <s v="100% MBS Fee to 125% MBS Fee"/>
    <n v="289378.74"/>
    <n v="186703.41"/>
    <n v="83428.95"/>
    <n v="1455"/>
  </r>
  <r>
    <x v="19"/>
    <x v="3"/>
    <s v="SA"/>
    <s v="No agreement"/>
    <s v="More than 125% MBS Fee to 150% MBS Fee"/>
    <n v="819186.54"/>
    <n v="442625.94"/>
    <n v="274622.53000000003"/>
    <n v="5526"/>
  </r>
  <r>
    <x v="19"/>
    <x v="3"/>
    <s v="SA"/>
    <s v="No agreement"/>
    <s v="More than 150% MBS Fee to 200% MBS Fee"/>
    <n v="1145217.74"/>
    <n v="503982.41"/>
    <n v="404505.69"/>
    <n v="3849"/>
  </r>
  <r>
    <x v="19"/>
    <x v="3"/>
    <s v="SA"/>
    <s v="No agreement"/>
    <s v="More than 200% MBS Fee"/>
    <n v="2514591.2999999998"/>
    <n v="646011.06999999995"/>
    <n v="263839.3"/>
    <n v="6660"/>
  </r>
  <r>
    <x v="19"/>
    <x v="3"/>
    <s v="SA"/>
    <s v="Known gap agreement"/>
    <s v="100% MBS Fee to 125% MBS Fee"/>
    <n v="357011.65"/>
    <n v="241958.5"/>
    <n v="100683.64"/>
    <n v="1683"/>
  </r>
  <r>
    <x v="19"/>
    <x v="3"/>
    <s v="SA"/>
    <s v="Known gap agreement"/>
    <s v="More than 125% MBS Fee to 150% MBS Fee"/>
    <n v="627299.26"/>
    <n v="340841.61"/>
    <n v="216263.88"/>
    <n v="3095"/>
  </r>
  <r>
    <x v="19"/>
    <x v="3"/>
    <s v="SA"/>
    <s v="Known gap agreement"/>
    <s v="More than 150% MBS Fee to 200% MBS Fee"/>
    <n v="2620776.15"/>
    <n v="1101818.95"/>
    <n v="1097768.46"/>
    <n v="4373"/>
  </r>
  <r>
    <x v="19"/>
    <x v="3"/>
    <s v="SA"/>
    <s v="Known gap agreement"/>
    <s v="More than 200% MBS Fee"/>
    <n v="1614725.34"/>
    <n v="477278.65"/>
    <n v="540416.80000000005"/>
    <n v="5204"/>
  </r>
  <r>
    <x v="19"/>
    <x v="3"/>
    <s v="SA"/>
    <s v="No gap agreement"/>
    <s v="Up to MBS Fee"/>
    <n v="4024625.8"/>
    <n v="3026442.38"/>
    <n v="998143.3"/>
    <n v="57533"/>
  </r>
  <r>
    <x v="19"/>
    <x v="3"/>
    <s v="SA"/>
    <s v="No gap agreement"/>
    <s v="100% MBS Fee to 125% MBS Fee"/>
    <n v="8661491.3699999992"/>
    <n v="5562566.2999999998"/>
    <n v="3098906.69"/>
    <n v="79321"/>
  </r>
  <r>
    <x v="19"/>
    <x v="3"/>
    <s v="SA"/>
    <s v="No gap agreement"/>
    <s v="More than 125% MBS Fee to 150% MBS Fee"/>
    <n v="20179361.039999999"/>
    <n v="11083098.359999999"/>
    <n v="9096229.1199999992"/>
    <n v="177006"/>
  </r>
  <r>
    <x v="19"/>
    <x v="3"/>
    <s v="SA"/>
    <s v="No gap agreement"/>
    <s v="More than 150% MBS Fee to 200% MBS Fee"/>
    <n v="37375090.450000003"/>
    <n v="16693416.27"/>
    <n v="20681650.190000001"/>
    <n v="151202"/>
  </r>
  <r>
    <x v="19"/>
    <x v="3"/>
    <s v="SA"/>
    <s v="No gap agreement"/>
    <s v="More than 200% MBS Fee"/>
    <n v="2018659.36"/>
    <n v="568764.05000000005"/>
    <n v="1449895.31"/>
    <n v="4284"/>
  </r>
  <r>
    <x v="19"/>
    <x v="3"/>
    <s v="WA"/>
    <s v="No agreement"/>
    <s v="Up to MBS Fee"/>
    <n v="2467695.9300000002"/>
    <n v="1858251.14"/>
    <n v="609381.43999999994"/>
    <n v="46813"/>
  </r>
  <r>
    <x v="19"/>
    <x v="3"/>
    <s v="WA"/>
    <s v="No agreement"/>
    <s v="100% MBS Fee to 125% MBS Fee"/>
    <n v="359070.71999999997"/>
    <n v="239795.85"/>
    <n v="84391.45"/>
    <n v="2331"/>
  </r>
  <r>
    <x v="19"/>
    <x v="3"/>
    <s v="WA"/>
    <s v="No agreement"/>
    <s v="More than 125% MBS Fee to 150% MBS Fee"/>
    <n v="961485.7"/>
    <n v="528474.87"/>
    <n v="200651.39"/>
    <n v="3196"/>
  </r>
  <r>
    <x v="19"/>
    <x v="3"/>
    <s v="WA"/>
    <s v="No agreement"/>
    <s v="More than 150% MBS Fee to 200% MBS Fee"/>
    <n v="2435033.4"/>
    <n v="1058978.79"/>
    <n v="384454.8"/>
    <n v="7532"/>
  </r>
  <r>
    <x v="19"/>
    <x v="3"/>
    <s v="WA"/>
    <s v="No agreement"/>
    <s v="More than 200% MBS Fee"/>
    <n v="8384773.7999999998"/>
    <n v="2064748.64"/>
    <n v="712526.51"/>
    <n v="20518"/>
  </r>
  <r>
    <x v="19"/>
    <x v="3"/>
    <s v="WA"/>
    <s v="Known gap agreement"/>
    <s v="100% MBS Fee to 125% MBS Fee"/>
    <n v="2564594.4500000002"/>
    <n v="1768284.7"/>
    <n v="759415.24"/>
    <n v="14583"/>
  </r>
  <r>
    <x v="19"/>
    <x v="3"/>
    <s v="WA"/>
    <s v="Known gap agreement"/>
    <s v="More than 125% MBS Fee to 150% MBS Fee"/>
    <n v="3393044.91"/>
    <n v="1841124.06"/>
    <n v="1339395.5900000001"/>
    <n v="25791"/>
  </r>
  <r>
    <x v="19"/>
    <x v="3"/>
    <s v="WA"/>
    <s v="Known gap agreement"/>
    <s v="More than 150% MBS Fee to 200% MBS Fee"/>
    <n v="7967918.4199999999"/>
    <n v="3545668.9"/>
    <n v="2797242.01"/>
    <n v="18174"/>
  </r>
  <r>
    <x v="19"/>
    <x v="3"/>
    <s v="WA"/>
    <s v="Known gap agreement"/>
    <s v="More than 200% MBS Fee"/>
    <n v="11566776.68"/>
    <n v="3061572.38"/>
    <n v="1901854.09"/>
    <n v="22514"/>
  </r>
  <r>
    <x v="19"/>
    <x v="3"/>
    <s v="WA"/>
    <s v="No gap agreement"/>
    <s v="Up to MBS Fee"/>
    <n v="1485181.33"/>
    <n v="1120445.8400000001"/>
    <n v="364832"/>
    <n v="13720"/>
  </r>
  <r>
    <x v="19"/>
    <x v="3"/>
    <s v="WA"/>
    <s v="No gap agreement"/>
    <s v="100% MBS Fee to 125% MBS Fee"/>
    <n v="8145703.4199999999"/>
    <n v="5219942.2300000004"/>
    <n v="2925756.76"/>
    <n v="84003"/>
  </r>
  <r>
    <x v="19"/>
    <x v="3"/>
    <s v="WA"/>
    <s v="No gap agreement"/>
    <s v="More than 125% MBS Fee to 150% MBS Fee"/>
    <n v="33287408.670000002"/>
    <n v="18430967.780000001"/>
    <n v="14856434.460000001"/>
    <n v="249281"/>
  </r>
  <r>
    <x v="19"/>
    <x v="3"/>
    <s v="WA"/>
    <s v="No gap agreement"/>
    <s v="More than 150% MBS Fee to 200% MBS Fee"/>
    <n v="43190621.960000001"/>
    <n v="19093197.16"/>
    <n v="24097413.969999999"/>
    <n v="198344"/>
  </r>
  <r>
    <x v="19"/>
    <x v="3"/>
    <s v="WA"/>
    <s v="No gap agreement"/>
    <s v="More than 200% MBS Fee"/>
    <n v="3781445.32"/>
    <n v="1001112.4"/>
    <n v="2780332.92"/>
    <n v="2940"/>
  </r>
  <r>
    <x v="19"/>
    <x v="3"/>
    <s v="TAS"/>
    <s v="No agreement"/>
    <s v="Up to MBS Fee"/>
    <n v="539245.27"/>
    <n v="404966.75"/>
    <n v="134279.06"/>
    <n v="8557"/>
  </r>
  <r>
    <x v="19"/>
    <x v="3"/>
    <s v="TAS"/>
    <s v="No agreement"/>
    <s v="100% MBS Fee to 125% MBS Fee"/>
    <n v="120544.93"/>
    <n v="78104.179999999993"/>
    <n v="36471.83"/>
    <n v="895"/>
  </r>
  <r>
    <x v="19"/>
    <x v="3"/>
    <s v="TAS"/>
    <s v="No agreement"/>
    <s v="More than 125% MBS Fee to 150% MBS Fee"/>
    <n v="146070.38"/>
    <n v="78779.460000000006"/>
    <n v="40753.480000000003"/>
    <n v="550"/>
  </r>
  <r>
    <x v="19"/>
    <x v="3"/>
    <s v="TAS"/>
    <s v="No agreement"/>
    <s v="More than 150% MBS Fee to 200% MBS Fee"/>
    <n v="429091.42"/>
    <n v="186132.88"/>
    <n v="94332.4"/>
    <n v="1483"/>
  </r>
  <r>
    <x v="19"/>
    <x v="3"/>
    <s v="TAS"/>
    <s v="No agreement"/>
    <s v="More than 200% MBS Fee"/>
    <n v="1798096.73"/>
    <n v="445787.18"/>
    <n v="152114.4"/>
    <n v="2806"/>
  </r>
  <r>
    <x v="19"/>
    <x v="3"/>
    <s v="TAS"/>
    <s v="Known gap agreement"/>
    <s v="100% MBS Fee to 125% MBS Fee"/>
    <n v="232572.2"/>
    <n v="153596.29999999999"/>
    <n v="67830.86"/>
    <n v="1179"/>
  </r>
  <r>
    <x v="19"/>
    <x v="3"/>
    <s v="TAS"/>
    <s v="Known gap agreement"/>
    <s v="More than 125% MBS Fee to 150% MBS Fee"/>
    <n v="178741.32"/>
    <n v="97010.65"/>
    <n v="70714.75"/>
    <n v="751"/>
  </r>
  <r>
    <x v="19"/>
    <x v="3"/>
    <s v="TAS"/>
    <s v="Known gap agreement"/>
    <s v="More than 150% MBS Fee to 200% MBS Fee"/>
    <n v="650879.21"/>
    <n v="279889.2"/>
    <n v="278068.47999999998"/>
    <n v="1476"/>
  </r>
  <r>
    <x v="19"/>
    <x v="3"/>
    <s v="TAS"/>
    <s v="Known gap agreement"/>
    <s v="More than 200% MBS Fee"/>
    <n v="851620.89"/>
    <n v="256752.55"/>
    <n v="298457.95"/>
    <n v="2966"/>
  </r>
  <r>
    <x v="19"/>
    <x v="3"/>
    <s v="TAS"/>
    <s v="No gap agreement"/>
    <s v="Up to MBS Fee"/>
    <n v="1778091.96"/>
    <n v="1335435.1000000001"/>
    <n v="442656.91"/>
    <n v="29794"/>
  </r>
  <r>
    <x v="19"/>
    <x v="3"/>
    <s v="TAS"/>
    <s v="No gap agreement"/>
    <s v="100% MBS Fee to 125% MBS Fee"/>
    <n v="3247352.34"/>
    <n v="2059877.3"/>
    <n v="1187471.55"/>
    <n v="23464"/>
  </r>
  <r>
    <x v="19"/>
    <x v="3"/>
    <s v="TAS"/>
    <s v="No gap agreement"/>
    <s v="More than 125% MBS Fee to 150% MBS Fee"/>
    <n v="7457572.2699999996"/>
    <n v="4085572.95"/>
    <n v="3371966.59"/>
    <n v="43148"/>
  </r>
  <r>
    <x v="19"/>
    <x v="3"/>
    <s v="TAS"/>
    <s v="No gap agreement"/>
    <s v="More than 150% MBS Fee to 200% MBS Fee"/>
    <n v="7178923.4400000004"/>
    <n v="3282148.93"/>
    <n v="3896772.04"/>
    <n v="37167"/>
  </r>
  <r>
    <x v="19"/>
    <x v="3"/>
    <s v="TAS"/>
    <s v="No gap agreement"/>
    <s v="More than 200% MBS Fee"/>
    <n v="612449.68000000005"/>
    <n v="172798.05"/>
    <n v="439651.55"/>
    <n v="645"/>
  </r>
  <r>
    <x v="19"/>
    <x v="3"/>
    <s v="ACT"/>
    <s v="No agreement"/>
    <s v="Up to MBS Fee"/>
    <n v="951396.98"/>
    <n v="709788.59"/>
    <n v="228726.04"/>
    <n v="8590"/>
  </r>
  <r>
    <x v="19"/>
    <x v="3"/>
    <s v="ACT"/>
    <s v="No agreement"/>
    <s v="100% MBS Fee to 125% MBS Fee"/>
    <n v="60259.13"/>
    <n v="40172.35"/>
    <n v="14448.95"/>
    <n v="336"/>
  </r>
  <r>
    <x v="19"/>
    <x v="3"/>
    <s v="ACT"/>
    <s v="No agreement"/>
    <s v="More than 125% MBS Fee to 150% MBS Fee"/>
    <n v="132139.41"/>
    <n v="71716.86"/>
    <n v="26319.9"/>
    <n v="493"/>
  </r>
  <r>
    <x v="19"/>
    <x v="3"/>
    <s v="ACT"/>
    <s v="No agreement"/>
    <s v="More than 150% MBS Fee to 200% MBS Fee"/>
    <n v="660095.01"/>
    <n v="278045.24"/>
    <n v="94464.81"/>
    <n v="2263"/>
  </r>
  <r>
    <x v="19"/>
    <x v="3"/>
    <s v="ACT"/>
    <s v="No agreement"/>
    <s v="More than 200% MBS Fee"/>
    <n v="7172574.6600000001"/>
    <n v="1721277.6"/>
    <n v="574615.85"/>
    <n v="10313"/>
  </r>
  <r>
    <x v="19"/>
    <x v="3"/>
    <s v="ACT"/>
    <s v="Known gap agreement"/>
    <s v="100% MBS Fee to 125% MBS Fee"/>
    <n v="76683.100000000006"/>
    <n v="50738.15"/>
    <n v="24454.23"/>
    <n v="214"/>
  </r>
  <r>
    <x v="19"/>
    <x v="3"/>
    <s v="ACT"/>
    <s v="Known gap agreement"/>
    <s v="More than 125% MBS Fee to 150% MBS Fee"/>
    <n v="77957.820000000007"/>
    <n v="43311.4"/>
    <n v="29471.7"/>
    <n v="212"/>
  </r>
  <r>
    <x v="19"/>
    <x v="3"/>
    <s v="ACT"/>
    <s v="Known gap agreement"/>
    <s v="More than 150% MBS Fee to 200% MBS Fee"/>
    <n v="211357.09"/>
    <n v="90238.7"/>
    <n v="85657.99"/>
    <n v="649"/>
  </r>
  <r>
    <x v="19"/>
    <x v="3"/>
    <s v="ACT"/>
    <s v="Known gap agreement"/>
    <s v="More than 200% MBS Fee"/>
    <n v="994216.23"/>
    <n v="271292.65000000002"/>
    <n v="288188.84999999998"/>
    <n v="3251"/>
  </r>
  <r>
    <x v="19"/>
    <x v="3"/>
    <s v="ACT"/>
    <s v="No gap agreement"/>
    <s v="Up to MBS Fee"/>
    <n v="447693.88"/>
    <n v="337554.42"/>
    <n v="110139.05"/>
    <n v="14406"/>
  </r>
  <r>
    <x v="19"/>
    <x v="3"/>
    <s v="ACT"/>
    <s v="No gap agreement"/>
    <s v="100% MBS Fee to 125% MBS Fee"/>
    <n v="1024127.03"/>
    <n v="662579.56999999995"/>
    <n v="361518.38"/>
    <n v="12319"/>
  </r>
  <r>
    <x v="19"/>
    <x v="3"/>
    <s v="ACT"/>
    <s v="No gap agreement"/>
    <s v="More than 125% MBS Fee to 150% MBS Fee"/>
    <n v="2610203.21"/>
    <n v="1444719.51"/>
    <n v="1165480.06"/>
    <n v="15622"/>
  </r>
  <r>
    <x v="19"/>
    <x v="3"/>
    <s v="ACT"/>
    <s v="No gap agreement"/>
    <s v="More than 150% MBS Fee to 200% MBS Fee"/>
    <n v="2028783.99"/>
    <n v="926590.35"/>
    <n v="1102176.57"/>
    <n v="13034"/>
  </r>
  <r>
    <x v="19"/>
    <x v="3"/>
    <s v="ACT"/>
    <s v="No gap agreement"/>
    <s v="More than 200% MBS Fee"/>
    <n v="362120.66"/>
    <n v="110315.15"/>
    <n v="251805.51"/>
    <n v="1229"/>
  </r>
  <r>
    <x v="19"/>
    <x v="3"/>
    <s v="NT"/>
    <s v="No agreement"/>
    <s v="Up to MBS Fee"/>
    <n v="307932.83"/>
    <n v="231676.32"/>
    <n v="76256.509999999995"/>
    <n v="1227"/>
  </r>
  <r>
    <x v="19"/>
    <x v="3"/>
    <s v="NT"/>
    <s v="No agreement"/>
    <s v="100% MBS Fee to 125% MBS Fee"/>
    <n v="39358.43"/>
    <n v="26175.95"/>
    <n v="10574.4"/>
    <n v="105"/>
  </r>
  <r>
    <x v="19"/>
    <x v="3"/>
    <s v="NT"/>
    <s v="No agreement"/>
    <s v="More than 125% MBS Fee to 150% MBS Fee"/>
    <n v="48771.26"/>
    <n v="26062.2"/>
    <n v="10259.200000000001"/>
    <n v="255"/>
  </r>
  <r>
    <x v="19"/>
    <x v="3"/>
    <s v="NT"/>
    <s v="No agreement"/>
    <s v="More than 150% MBS Fee to 200% MBS Fee"/>
    <n v="106844.9"/>
    <n v="45399.55"/>
    <n v="18442.849999999999"/>
    <n v="463"/>
  </r>
  <r>
    <x v="19"/>
    <x v="3"/>
    <s v="NT"/>
    <s v="No agreement"/>
    <s v="More than 200% MBS Fee"/>
    <n v="1388892.05"/>
    <n v="352228.47"/>
    <n v="118955.1"/>
    <n v="2005"/>
  </r>
  <r>
    <x v="19"/>
    <x v="3"/>
    <s v="NT"/>
    <s v="Known gap agreement"/>
    <s v="100% MBS Fee to 125% MBS Fee"/>
    <n v="17145.11"/>
    <n v="11622.43"/>
    <n v="5048.24"/>
    <n v="82"/>
  </r>
  <r>
    <x v="19"/>
    <x v="3"/>
    <s v="NT"/>
    <s v="Known gap agreement"/>
    <s v="More than 125% MBS Fee to 150% MBS Fee"/>
    <n v="52232.9"/>
    <n v="28073.1"/>
    <n v="17546.88"/>
    <n v="296"/>
  </r>
  <r>
    <x v="19"/>
    <x v="3"/>
    <s v="NT"/>
    <s v="Known gap agreement"/>
    <s v="More than 150% MBS Fee to 200% MBS Fee"/>
    <n v="198915.62"/>
    <n v="86161.9"/>
    <n v="75179.55"/>
    <n v="337"/>
  </r>
  <r>
    <x v="19"/>
    <x v="3"/>
    <s v="NT"/>
    <s v="Known gap agreement"/>
    <s v="More than 200% MBS Fee"/>
    <n v="337798.52"/>
    <n v="87549.2"/>
    <n v="99010.42"/>
    <n v="1179"/>
  </r>
  <r>
    <x v="19"/>
    <x v="3"/>
    <s v="NT"/>
    <s v="No gap agreement"/>
    <s v="Up to MBS Fee"/>
    <n v="169200.53"/>
    <n v="127096.82"/>
    <n v="42103.71"/>
    <n v="1976"/>
  </r>
  <r>
    <x v="19"/>
    <x v="3"/>
    <s v="NT"/>
    <s v="No gap agreement"/>
    <s v="100% MBS Fee to 125% MBS Fee"/>
    <n v="401893.28"/>
    <n v="256947.20000000001"/>
    <n v="144944.32999999999"/>
    <n v="3343"/>
  </r>
  <r>
    <x v="19"/>
    <x v="3"/>
    <s v="NT"/>
    <s v="No gap agreement"/>
    <s v="More than 125% MBS Fee to 150% MBS Fee"/>
    <n v="1075789.77"/>
    <n v="594839.98"/>
    <n v="480933.41"/>
    <n v="8192"/>
  </r>
  <r>
    <x v="19"/>
    <x v="3"/>
    <s v="NT"/>
    <s v="No gap agreement"/>
    <s v="More than 150% MBS Fee to 200% MBS Fee"/>
    <n v="1397372.82"/>
    <n v="642662.35"/>
    <n v="754702.95"/>
    <n v="6450"/>
  </r>
  <r>
    <x v="19"/>
    <x v="3"/>
    <s v="NT"/>
    <s v="No gap agreement"/>
    <s v="More than 200% MBS Fee"/>
    <n v="53910.15"/>
    <n v="16344.95"/>
    <n v="37565.199999999997"/>
    <n v="131"/>
  </r>
  <r>
    <x v="19"/>
    <x v="1"/>
    <s v="NSW"/>
    <s v="No agreement"/>
    <s v="Up to MBS Fee"/>
    <n v="41130890.200000003"/>
    <n v="30975085.879999999"/>
    <n v="10152970.859999999"/>
    <n v="632366"/>
  </r>
  <r>
    <x v="19"/>
    <x v="1"/>
    <s v="NSW"/>
    <s v="No agreement"/>
    <s v="100% MBS Fee to 125% MBS Fee"/>
    <n v="2735170.73"/>
    <n v="1820133.91"/>
    <n v="722118"/>
    <n v="16916"/>
  </r>
  <r>
    <x v="19"/>
    <x v="1"/>
    <s v="NSW"/>
    <s v="No agreement"/>
    <s v="More than 125% MBS Fee to 150% MBS Fee"/>
    <n v="3322931.09"/>
    <n v="1790417.34"/>
    <n v="858963.5"/>
    <n v="13737"/>
  </r>
  <r>
    <x v="19"/>
    <x v="1"/>
    <s v="NSW"/>
    <s v="No agreement"/>
    <s v="More than 150% MBS Fee to 200% MBS Fee"/>
    <n v="13608226.710000001"/>
    <n v="5838983.0099999998"/>
    <n v="2437882.0499999998"/>
    <n v="74665"/>
  </r>
  <r>
    <x v="19"/>
    <x v="1"/>
    <s v="NSW"/>
    <s v="No agreement"/>
    <s v="More than 200% MBS Fee"/>
    <n v="101381474.29000001"/>
    <n v="24773093.510000002"/>
    <n v="8350157.3700000001"/>
    <n v="146149"/>
  </r>
  <r>
    <x v="19"/>
    <x v="1"/>
    <s v="NSW"/>
    <s v="Known gap agreement"/>
    <s v="100% MBS Fee to 125% MBS Fee"/>
    <n v="1606268.98"/>
    <n v="1073958.3500000001"/>
    <n v="481111.31"/>
    <n v="6713"/>
  </r>
  <r>
    <x v="19"/>
    <x v="1"/>
    <s v="NSW"/>
    <s v="Known gap agreement"/>
    <s v="More than 125% MBS Fee to 150% MBS Fee"/>
    <n v="1974587.51"/>
    <n v="1068650.7"/>
    <n v="743314.12"/>
    <n v="7095"/>
  </r>
  <r>
    <x v="19"/>
    <x v="1"/>
    <s v="NSW"/>
    <s v="Known gap agreement"/>
    <s v="More than 150% MBS Fee to 200% MBS Fee"/>
    <n v="5645566.1299999999"/>
    <n v="2479426.7599999998"/>
    <n v="2405175.5699999998"/>
    <n v="15100"/>
  </r>
  <r>
    <x v="19"/>
    <x v="1"/>
    <s v="NSW"/>
    <s v="Known gap agreement"/>
    <s v="More than 200% MBS Fee"/>
    <n v="7162593.3799999999"/>
    <n v="2005243.36"/>
    <n v="2240114.4900000002"/>
    <n v="21693"/>
  </r>
  <r>
    <x v="19"/>
    <x v="1"/>
    <s v="NSW"/>
    <s v="No gap agreement"/>
    <s v="Up to MBS Fee"/>
    <n v="15740952.140000001"/>
    <n v="11833372.75"/>
    <n v="3907615.26"/>
    <n v="401245"/>
  </r>
  <r>
    <x v="19"/>
    <x v="1"/>
    <s v="NSW"/>
    <s v="No gap agreement"/>
    <s v="100% MBS Fee to 125% MBS Fee"/>
    <n v="40756357.57"/>
    <n v="26066732.469999999"/>
    <n v="14689565.09"/>
    <n v="395214"/>
  </r>
  <r>
    <x v="19"/>
    <x v="1"/>
    <s v="NSW"/>
    <s v="No gap agreement"/>
    <s v="More than 125% MBS Fee to 150% MBS Fee"/>
    <n v="91174540.379999995"/>
    <n v="50334568.159999996"/>
    <n v="40839934.43"/>
    <n v="540246"/>
  </r>
  <r>
    <x v="19"/>
    <x v="1"/>
    <s v="NSW"/>
    <s v="No gap agreement"/>
    <s v="More than 150% MBS Fee to 200% MBS Fee"/>
    <n v="107469806.19"/>
    <n v="48964227.969999999"/>
    <n v="58505262.619999997"/>
    <n v="599448"/>
  </r>
  <r>
    <x v="19"/>
    <x v="1"/>
    <s v="NSW"/>
    <s v="No gap agreement"/>
    <s v="More than 200% MBS Fee"/>
    <n v="10473511.800000001"/>
    <n v="3220194.73"/>
    <n v="7253315.8399999999"/>
    <n v="46234"/>
  </r>
  <r>
    <x v="19"/>
    <x v="1"/>
    <s v="VIC"/>
    <s v="No agreement"/>
    <s v="Up to MBS Fee"/>
    <n v="8944138.4700000007"/>
    <n v="6729373.9800000004"/>
    <n v="2213335.73"/>
    <n v="99180"/>
  </r>
  <r>
    <x v="19"/>
    <x v="1"/>
    <s v="VIC"/>
    <s v="No agreement"/>
    <s v="100% MBS Fee to 125% MBS Fee"/>
    <n v="1360254.22"/>
    <n v="885472.38"/>
    <n v="337764.75"/>
    <n v="7227"/>
  </r>
  <r>
    <x v="19"/>
    <x v="1"/>
    <s v="VIC"/>
    <s v="No agreement"/>
    <s v="More than 125% MBS Fee to 150% MBS Fee"/>
    <n v="2465312.54"/>
    <n v="1341118.98"/>
    <n v="819533.64"/>
    <n v="18682"/>
  </r>
  <r>
    <x v="19"/>
    <x v="1"/>
    <s v="VIC"/>
    <s v="No agreement"/>
    <s v="More than 150% MBS Fee to 200% MBS Fee"/>
    <n v="4969619.84"/>
    <n v="2126742.94"/>
    <n v="1565574.31"/>
    <n v="19879"/>
  </r>
  <r>
    <x v="19"/>
    <x v="1"/>
    <s v="VIC"/>
    <s v="No agreement"/>
    <s v="More than 200% MBS Fee"/>
    <n v="23949961.57"/>
    <n v="6045898.2400000002"/>
    <n v="2145771.5299999998"/>
    <n v="37607"/>
  </r>
  <r>
    <x v="19"/>
    <x v="1"/>
    <s v="VIC"/>
    <s v="Known gap agreement"/>
    <s v="100% MBS Fee to 125% MBS Fee"/>
    <n v="2473694.16"/>
    <n v="1644970.4"/>
    <n v="727444.22"/>
    <n v="12860"/>
  </r>
  <r>
    <x v="19"/>
    <x v="1"/>
    <s v="VIC"/>
    <s v="Known gap agreement"/>
    <s v="More than 125% MBS Fee to 150% MBS Fee"/>
    <n v="5115894.55"/>
    <n v="2782599.03"/>
    <n v="1894651.47"/>
    <n v="19370"/>
  </r>
  <r>
    <x v="19"/>
    <x v="1"/>
    <s v="VIC"/>
    <s v="Known gap agreement"/>
    <s v="More than 150% MBS Fee to 200% MBS Fee"/>
    <n v="8482727.9299999997"/>
    <n v="3657705.67"/>
    <n v="3288936.23"/>
    <n v="21829"/>
  </r>
  <r>
    <x v="19"/>
    <x v="1"/>
    <s v="VIC"/>
    <s v="Known gap agreement"/>
    <s v="More than 200% MBS Fee"/>
    <n v="10281204.109999999"/>
    <n v="2942963.89"/>
    <n v="3135525.42"/>
    <n v="31931"/>
  </r>
  <r>
    <x v="19"/>
    <x v="1"/>
    <s v="VIC"/>
    <s v="No gap agreement"/>
    <s v="Up to MBS Fee"/>
    <n v="15120639.970000001"/>
    <n v="11376284.439999999"/>
    <n v="3744361.85"/>
    <n v="254927"/>
  </r>
  <r>
    <x v="19"/>
    <x v="1"/>
    <s v="VIC"/>
    <s v="No gap agreement"/>
    <s v="100% MBS Fee to 125% MBS Fee"/>
    <n v="43716701.060000002"/>
    <n v="27917331.940000001"/>
    <n v="15799217.15"/>
    <n v="380903"/>
  </r>
  <r>
    <x v="19"/>
    <x v="1"/>
    <s v="VIC"/>
    <s v="No gap agreement"/>
    <s v="More than 125% MBS Fee to 150% MBS Fee"/>
    <n v="107198441.65000001"/>
    <n v="59159966.359999999"/>
    <n v="48038325.700000003"/>
    <n v="858877"/>
  </r>
  <r>
    <x v="19"/>
    <x v="1"/>
    <s v="VIC"/>
    <s v="No gap agreement"/>
    <s v="More than 150% MBS Fee to 200% MBS Fee"/>
    <n v="102403634.01000001"/>
    <n v="45810771.219999999"/>
    <n v="56592691.340000004"/>
    <n v="550686"/>
  </r>
  <r>
    <x v="19"/>
    <x v="1"/>
    <s v="VIC"/>
    <s v="No gap agreement"/>
    <s v="More than 200% MBS Fee"/>
    <n v="5221034.05"/>
    <n v="1487295.27"/>
    <n v="3733738.98"/>
    <n v="14836"/>
  </r>
  <r>
    <x v="19"/>
    <x v="1"/>
    <s v="QLD"/>
    <s v="No agreement"/>
    <s v="Up to MBS Fee"/>
    <n v="8824096.1999999993"/>
    <n v="6630384.4800000004"/>
    <n v="2181245.4300000002"/>
    <n v="60847"/>
  </r>
  <r>
    <x v="19"/>
    <x v="1"/>
    <s v="QLD"/>
    <s v="No agreement"/>
    <s v="100% MBS Fee to 125% MBS Fee"/>
    <n v="2730232.18"/>
    <n v="1786899.89"/>
    <n v="782913.2"/>
    <n v="23842"/>
  </r>
  <r>
    <x v="19"/>
    <x v="1"/>
    <s v="QLD"/>
    <s v="No agreement"/>
    <s v="More than 125% MBS Fee to 150% MBS Fee"/>
    <n v="2911957.92"/>
    <n v="1574645.54"/>
    <n v="827436.24"/>
    <n v="13236"/>
  </r>
  <r>
    <x v="19"/>
    <x v="1"/>
    <s v="QLD"/>
    <s v="No agreement"/>
    <s v="More than 150% MBS Fee to 200% MBS Fee"/>
    <n v="7545127.2800000003"/>
    <n v="3213334.82"/>
    <n v="1373741.11"/>
    <n v="24022"/>
  </r>
  <r>
    <x v="19"/>
    <x v="1"/>
    <s v="QLD"/>
    <s v="No agreement"/>
    <s v="More than 200% MBS Fee"/>
    <n v="48435546.799999997"/>
    <n v="12388799.07"/>
    <n v="4241759.6900000004"/>
    <n v="73638"/>
  </r>
  <r>
    <x v="19"/>
    <x v="1"/>
    <s v="QLD"/>
    <s v="Known gap agreement"/>
    <s v="100% MBS Fee to 125% MBS Fee"/>
    <n v="904519.73"/>
    <n v="599330.72"/>
    <n v="275882.28000000003"/>
    <n v="3735"/>
  </r>
  <r>
    <x v="19"/>
    <x v="1"/>
    <s v="QLD"/>
    <s v="Known gap agreement"/>
    <s v="More than 125% MBS Fee to 150% MBS Fee"/>
    <n v="2093630.6"/>
    <n v="1123721.48"/>
    <n v="754412.08"/>
    <n v="11133"/>
  </r>
  <r>
    <x v="19"/>
    <x v="1"/>
    <s v="QLD"/>
    <s v="Known gap agreement"/>
    <s v="More than 150% MBS Fee to 200% MBS Fee"/>
    <n v="5359137.8899999997"/>
    <n v="2298816.16"/>
    <n v="2231021.81"/>
    <n v="11046"/>
  </r>
  <r>
    <x v="19"/>
    <x v="1"/>
    <s v="QLD"/>
    <s v="Known gap agreement"/>
    <s v="More than 200% MBS Fee"/>
    <n v="10581496.84"/>
    <n v="3060193.44"/>
    <n v="3435302.54"/>
    <n v="28401"/>
  </r>
  <r>
    <x v="19"/>
    <x v="1"/>
    <s v="QLD"/>
    <s v="No gap agreement"/>
    <s v="Up to MBS Fee"/>
    <n v="10621195.58"/>
    <n v="7977586.0999999996"/>
    <n v="2643650.39"/>
    <n v="213659"/>
  </r>
  <r>
    <x v="19"/>
    <x v="1"/>
    <s v="QLD"/>
    <s v="No gap agreement"/>
    <s v="100% MBS Fee to 125% MBS Fee"/>
    <n v="37526819.350000001"/>
    <n v="23990795.879999999"/>
    <n v="13535794.720000001"/>
    <n v="379307"/>
  </r>
  <r>
    <x v="19"/>
    <x v="1"/>
    <s v="QLD"/>
    <s v="No gap agreement"/>
    <s v="More than 125% MBS Fee to 150% MBS Fee"/>
    <n v="74180248.090000004"/>
    <n v="41115210.289999999"/>
    <n v="33064510.120000001"/>
    <n v="616731"/>
  </r>
  <r>
    <x v="19"/>
    <x v="1"/>
    <s v="QLD"/>
    <s v="No gap agreement"/>
    <s v="More than 150% MBS Fee to 200% MBS Fee"/>
    <n v="66855639.68"/>
    <n v="30617156.949999999"/>
    <n v="36238095.25"/>
    <n v="437221"/>
  </r>
  <r>
    <x v="19"/>
    <x v="1"/>
    <s v="QLD"/>
    <s v="No gap agreement"/>
    <s v="More than 200% MBS Fee"/>
    <n v="6716223.4299999997"/>
    <n v="1982819.65"/>
    <n v="4733403.7"/>
    <n v="15629"/>
  </r>
  <r>
    <x v="19"/>
    <x v="1"/>
    <s v="SA"/>
    <s v="No agreement"/>
    <s v="Up to MBS Fee"/>
    <n v="1894174.31"/>
    <n v="1422685.67"/>
    <n v="471372.52"/>
    <n v="12531"/>
  </r>
  <r>
    <x v="19"/>
    <x v="1"/>
    <s v="SA"/>
    <s v="No agreement"/>
    <s v="100% MBS Fee to 125% MBS Fee"/>
    <n v="306089.02"/>
    <n v="196090.77"/>
    <n v="90794.84"/>
    <n v="1652"/>
  </r>
  <r>
    <x v="19"/>
    <x v="1"/>
    <s v="SA"/>
    <s v="No agreement"/>
    <s v="More than 125% MBS Fee to 150% MBS Fee"/>
    <n v="1004879.58"/>
    <n v="543770.17000000004"/>
    <n v="371942.55"/>
    <n v="8718"/>
  </r>
  <r>
    <x v="19"/>
    <x v="1"/>
    <s v="SA"/>
    <s v="No agreement"/>
    <s v="More than 150% MBS Fee to 200% MBS Fee"/>
    <n v="1919710.87"/>
    <n v="842197.73"/>
    <n v="865111.55"/>
    <n v="5062"/>
  </r>
  <r>
    <x v="19"/>
    <x v="1"/>
    <s v="SA"/>
    <s v="No agreement"/>
    <s v="More than 200% MBS Fee"/>
    <n v="2396332.0499999998"/>
    <n v="606234.76"/>
    <n v="262260.37"/>
    <n v="4663"/>
  </r>
  <r>
    <x v="19"/>
    <x v="1"/>
    <s v="SA"/>
    <s v="Known gap agreement"/>
    <s v="100% MBS Fee to 125% MBS Fee"/>
    <n v="423006.8"/>
    <n v="286775.2"/>
    <n v="118167.61"/>
    <n v="2553"/>
  </r>
  <r>
    <x v="19"/>
    <x v="1"/>
    <s v="SA"/>
    <s v="Known gap agreement"/>
    <s v="More than 125% MBS Fee to 150% MBS Fee"/>
    <n v="632460.02"/>
    <n v="340538.71"/>
    <n v="226860.67"/>
    <n v="2380"/>
  </r>
  <r>
    <x v="19"/>
    <x v="1"/>
    <s v="SA"/>
    <s v="Known gap agreement"/>
    <s v="More than 150% MBS Fee to 200% MBS Fee"/>
    <n v="3231798.36"/>
    <n v="1366602.51"/>
    <n v="1387865.99"/>
    <n v="6255"/>
  </r>
  <r>
    <x v="19"/>
    <x v="1"/>
    <s v="SA"/>
    <s v="Known gap agreement"/>
    <s v="More than 200% MBS Fee"/>
    <n v="3076808.65"/>
    <n v="952507"/>
    <n v="1209129.57"/>
    <n v="12631"/>
  </r>
  <r>
    <x v="19"/>
    <x v="1"/>
    <s v="SA"/>
    <s v="No gap agreement"/>
    <s v="Up to MBS Fee"/>
    <n v="4041927.38"/>
    <n v="3033039.99"/>
    <n v="1008903.57"/>
    <n v="56958"/>
  </r>
  <r>
    <x v="19"/>
    <x v="1"/>
    <s v="SA"/>
    <s v="No gap agreement"/>
    <s v="100% MBS Fee to 125% MBS Fee"/>
    <n v="9151016.2300000004"/>
    <n v="5849091.7599999998"/>
    <n v="3301869.9"/>
    <n v="80482"/>
  </r>
  <r>
    <x v="19"/>
    <x v="1"/>
    <s v="SA"/>
    <s v="No gap agreement"/>
    <s v="More than 125% MBS Fee to 150% MBS Fee"/>
    <n v="22704001.34"/>
    <n v="12453578.26"/>
    <n v="10250396.58"/>
    <n v="207965"/>
  </r>
  <r>
    <x v="19"/>
    <x v="1"/>
    <s v="SA"/>
    <s v="No gap agreement"/>
    <s v="More than 150% MBS Fee to 200% MBS Fee"/>
    <n v="41693756.5"/>
    <n v="18558903.649999999"/>
    <n v="23134816.710000001"/>
    <n v="165029"/>
  </r>
  <r>
    <x v="19"/>
    <x v="1"/>
    <s v="SA"/>
    <s v="No gap agreement"/>
    <s v="More than 200% MBS Fee"/>
    <n v="2027710.21"/>
    <n v="573702.14"/>
    <n v="1454008.07"/>
    <n v="4498"/>
  </r>
  <r>
    <x v="19"/>
    <x v="1"/>
    <s v="WA"/>
    <s v="No agreement"/>
    <s v="Up to MBS Fee"/>
    <n v="2981218.15"/>
    <n v="2243019.5499999998"/>
    <n v="735521.54"/>
    <n v="51685"/>
  </r>
  <r>
    <x v="19"/>
    <x v="1"/>
    <s v="WA"/>
    <s v="No agreement"/>
    <s v="100% MBS Fee to 125% MBS Fee"/>
    <n v="404869.96"/>
    <n v="271862.71999999997"/>
    <n v="99872.81"/>
    <n v="2464"/>
  </r>
  <r>
    <x v="19"/>
    <x v="1"/>
    <s v="WA"/>
    <s v="No agreement"/>
    <s v="More than 125% MBS Fee to 150% MBS Fee"/>
    <n v="850009.84"/>
    <n v="466686.63"/>
    <n v="199892.32"/>
    <n v="3904"/>
  </r>
  <r>
    <x v="19"/>
    <x v="1"/>
    <s v="WA"/>
    <s v="No agreement"/>
    <s v="More than 150% MBS Fee to 200% MBS Fee"/>
    <n v="2527754.4300000002"/>
    <n v="1098248.26"/>
    <n v="430903.92"/>
    <n v="7896"/>
  </r>
  <r>
    <x v="19"/>
    <x v="1"/>
    <s v="WA"/>
    <s v="No agreement"/>
    <s v="More than 200% MBS Fee"/>
    <n v="9402293.3399999999"/>
    <n v="2294418.52"/>
    <n v="821529.3"/>
    <n v="22243"/>
  </r>
  <r>
    <x v="19"/>
    <x v="1"/>
    <s v="WA"/>
    <s v="Known gap agreement"/>
    <s v="100% MBS Fee to 125% MBS Fee"/>
    <n v="2785839.4"/>
    <n v="1929853.75"/>
    <n v="811781.23"/>
    <n v="15499"/>
  </r>
  <r>
    <x v="19"/>
    <x v="1"/>
    <s v="WA"/>
    <s v="Known gap agreement"/>
    <s v="More than 125% MBS Fee to 150% MBS Fee"/>
    <n v="4042238.26"/>
    <n v="2193556.15"/>
    <n v="1569342.95"/>
    <n v="29041"/>
  </r>
  <r>
    <x v="19"/>
    <x v="1"/>
    <s v="WA"/>
    <s v="Known gap agreement"/>
    <s v="More than 150% MBS Fee to 200% MBS Fee"/>
    <n v="8530331.1999999993"/>
    <n v="3795706.05"/>
    <n v="3159305.21"/>
    <n v="21271"/>
  </r>
  <r>
    <x v="19"/>
    <x v="1"/>
    <s v="WA"/>
    <s v="Known gap agreement"/>
    <s v="More than 200% MBS Fee"/>
    <n v="12057973.41"/>
    <n v="3192791.65"/>
    <n v="2076270.23"/>
    <n v="22601"/>
  </r>
  <r>
    <x v="19"/>
    <x v="1"/>
    <s v="WA"/>
    <s v="No gap agreement"/>
    <s v="Up to MBS Fee"/>
    <n v="2678160.33"/>
    <n v="2019199.07"/>
    <n v="658961.19999999995"/>
    <n v="22867"/>
  </r>
  <r>
    <x v="19"/>
    <x v="1"/>
    <s v="WA"/>
    <s v="No gap agreement"/>
    <s v="100% MBS Fee to 125% MBS Fee"/>
    <n v="8146370.5700000003"/>
    <n v="5250288.59"/>
    <n v="2896071.66"/>
    <n v="73581"/>
  </r>
  <r>
    <x v="19"/>
    <x v="1"/>
    <s v="WA"/>
    <s v="No gap agreement"/>
    <s v="More than 125% MBS Fee to 150% MBS Fee"/>
    <n v="37339487.590000004"/>
    <n v="20733411.75"/>
    <n v="16606064.51"/>
    <n v="280861"/>
  </r>
  <r>
    <x v="19"/>
    <x v="1"/>
    <s v="WA"/>
    <s v="No gap agreement"/>
    <s v="More than 150% MBS Fee to 200% MBS Fee"/>
    <n v="48370628.060000002"/>
    <n v="21376239.010000002"/>
    <n v="26994376.899999999"/>
    <n v="227937"/>
  </r>
  <r>
    <x v="19"/>
    <x v="1"/>
    <s v="WA"/>
    <s v="No gap agreement"/>
    <s v="More than 200% MBS Fee"/>
    <n v="3772378.32"/>
    <n v="1005060.54"/>
    <n v="2767317.78"/>
    <n v="3067"/>
  </r>
  <r>
    <x v="19"/>
    <x v="1"/>
    <s v="TAS"/>
    <s v="No agreement"/>
    <s v="Up to MBS Fee"/>
    <n v="581558.35"/>
    <n v="435633.91999999998"/>
    <n v="144410.78"/>
    <n v="9768"/>
  </r>
  <r>
    <x v="19"/>
    <x v="1"/>
    <s v="TAS"/>
    <s v="No agreement"/>
    <s v="100% MBS Fee to 125% MBS Fee"/>
    <n v="113708.81"/>
    <n v="73879.33"/>
    <n v="33975.4"/>
    <n v="884"/>
  </r>
  <r>
    <x v="19"/>
    <x v="1"/>
    <s v="TAS"/>
    <s v="No agreement"/>
    <s v="More than 125% MBS Fee to 150% MBS Fee"/>
    <n v="176135.01"/>
    <n v="96260.75"/>
    <n v="52889.53"/>
    <n v="1112"/>
  </r>
  <r>
    <x v="19"/>
    <x v="1"/>
    <s v="TAS"/>
    <s v="No agreement"/>
    <s v="More than 150% MBS Fee to 200% MBS Fee"/>
    <n v="707988.46"/>
    <n v="311514.01"/>
    <n v="209972.48000000001"/>
    <n v="2743"/>
  </r>
  <r>
    <x v="19"/>
    <x v="1"/>
    <s v="TAS"/>
    <s v="No agreement"/>
    <s v="More than 200% MBS Fee"/>
    <n v="2299170.7200000002"/>
    <n v="554716"/>
    <n v="207570.75"/>
    <n v="2681"/>
  </r>
  <r>
    <x v="19"/>
    <x v="1"/>
    <s v="TAS"/>
    <s v="Known gap agreement"/>
    <s v="100% MBS Fee to 125% MBS Fee"/>
    <n v="223929.02"/>
    <n v="150396.75"/>
    <n v="61207.83"/>
    <n v="1025"/>
  </r>
  <r>
    <x v="19"/>
    <x v="1"/>
    <s v="TAS"/>
    <s v="Known gap agreement"/>
    <s v="More than 125% MBS Fee to 150% MBS Fee"/>
    <n v="244552.42"/>
    <n v="132082.25"/>
    <n v="98808.47"/>
    <n v="822"/>
  </r>
  <r>
    <x v="19"/>
    <x v="1"/>
    <s v="TAS"/>
    <s v="Known gap agreement"/>
    <s v="More than 150% MBS Fee to 200% MBS Fee"/>
    <n v="870383.96"/>
    <n v="372501.06"/>
    <n v="382611.63"/>
    <n v="2127"/>
  </r>
  <r>
    <x v="19"/>
    <x v="1"/>
    <s v="TAS"/>
    <s v="Known gap agreement"/>
    <s v="More than 200% MBS Fee"/>
    <n v="1351644.07"/>
    <n v="419386"/>
    <n v="487489.99"/>
    <n v="4849"/>
  </r>
  <r>
    <x v="19"/>
    <x v="1"/>
    <s v="TAS"/>
    <s v="No gap agreement"/>
    <s v="Up to MBS Fee"/>
    <n v="1581768.5"/>
    <n v="1189158.6200000001"/>
    <n v="392610.06"/>
    <n v="25412"/>
  </r>
  <r>
    <x v="19"/>
    <x v="1"/>
    <s v="TAS"/>
    <s v="No gap agreement"/>
    <s v="100% MBS Fee to 125% MBS Fee"/>
    <n v="3216261.35"/>
    <n v="2044290.56"/>
    <n v="1171960.53"/>
    <n v="24740"/>
  </r>
  <r>
    <x v="19"/>
    <x v="1"/>
    <s v="TAS"/>
    <s v="No gap agreement"/>
    <s v="More than 125% MBS Fee to 150% MBS Fee"/>
    <n v="8384781.54"/>
    <n v="4607179.45"/>
    <n v="3777598.06"/>
    <n v="53525"/>
  </r>
  <r>
    <x v="19"/>
    <x v="1"/>
    <s v="TAS"/>
    <s v="No gap agreement"/>
    <s v="More than 150% MBS Fee to 200% MBS Fee"/>
    <n v="9249154.0600000005"/>
    <n v="4221819.72"/>
    <n v="5027334.1100000003"/>
    <n v="46082"/>
  </r>
  <r>
    <x v="19"/>
    <x v="1"/>
    <s v="TAS"/>
    <s v="No gap agreement"/>
    <s v="More than 200% MBS Fee"/>
    <n v="523816.47"/>
    <n v="149663.9"/>
    <n v="374152.97"/>
    <n v="691"/>
  </r>
  <r>
    <x v="19"/>
    <x v="1"/>
    <s v="ACT"/>
    <s v="No agreement"/>
    <s v="Up to MBS Fee"/>
    <n v="1437794.96"/>
    <n v="1071509.1000000001"/>
    <n v="352082.26"/>
    <n v="13736"/>
  </r>
  <r>
    <x v="19"/>
    <x v="1"/>
    <s v="ACT"/>
    <s v="No agreement"/>
    <s v="100% MBS Fee to 125% MBS Fee"/>
    <n v="123196.73"/>
    <n v="82896.69"/>
    <n v="30144.15"/>
    <n v="449"/>
  </r>
  <r>
    <x v="19"/>
    <x v="1"/>
    <s v="ACT"/>
    <s v="No agreement"/>
    <s v="More than 125% MBS Fee to 150% MBS Fee"/>
    <n v="125326.85"/>
    <n v="68186.320000000007"/>
    <n v="25083.18"/>
    <n v="482"/>
  </r>
  <r>
    <x v="19"/>
    <x v="1"/>
    <s v="ACT"/>
    <s v="No agreement"/>
    <s v="More than 150% MBS Fee to 200% MBS Fee"/>
    <n v="687044.18"/>
    <n v="289901.76"/>
    <n v="101108.55"/>
    <n v="2775"/>
  </r>
  <r>
    <x v="19"/>
    <x v="1"/>
    <s v="ACT"/>
    <s v="No agreement"/>
    <s v="More than 200% MBS Fee"/>
    <n v="7877662.6799999997"/>
    <n v="1918860.14"/>
    <n v="643635.94999999995"/>
    <n v="10461"/>
  </r>
  <r>
    <x v="19"/>
    <x v="1"/>
    <s v="ACT"/>
    <s v="Known gap agreement"/>
    <s v="100% MBS Fee to 125% MBS Fee"/>
    <n v="76714.09"/>
    <n v="49747.9"/>
    <n v="22848.48"/>
    <n v="220"/>
  </r>
  <r>
    <x v="19"/>
    <x v="1"/>
    <s v="ACT"/>
    <s v="Known gap agreement"/>
    <s v="More than 125% MBS Fee to 150% MBS Fee"/>
    <n v="87137.86"/>
    <n v="48080.95"/>
    <n v="32567.9"/>
    <n v="272"/>
  </r>
  <r>
    <x v="19"/>
    <x v="1"/>
    <s v="ACT"/>
    <s v="Known gap agreement"/>
    <s v="More than 150% MBS Fee to 200% MBS Fee"/>
    <n v="251625.35"/>
    <n v="108913.12"/>
    <n v="105610.05"/>
    <n v="893"/>
  </r>
  <r>
    <x v="19"/>
    <x v="1"/>
    <s v="ACT"/>
    <s v="Known gap agreement"/>
    <s v="More than 200% MBS Fee"/>
    <n v="1569053.49"/>
    <n v="426781.05"/>
    <n v="468138.77"/>
    <n v="5536"/>
  </r>
  <r>
    <x v="19"/>
    <x v="1"/>
    <s v="ACT"/>
    <s v="No gap agreement"/>
    <s v="Up to MBS Fee"/>
    <n v="351627.4"/>
    <n v="264077.92"/>
    <n v="87549.01"/>
    <n v="11772"/>
  </r>
  <r>
    <x v="19"/>
    <x v="1"/>
    <s v="ACT"/>
    <s v="No gap agreement"/>
    <s v="100% MBS Fee to 125% MBS Fee"/>
    <n v="1299407.3"/>
    <n v="836716.85"/>
    <n v="462664.35"/>
    <n v="14449"/>
  </r>
  <r>
    <x v="19"/>
    <x v="1"/>
    <s v="ACT"/>
    <s v="No gap agreement"/>
    <s v="More than 125% MBS Fee to 150% MBS Fee"/>
    <n v="3103276.85"/>
    <n v="1716118.67"/>
    <n v="1387146.49"/>
    <n v="21098"/>
  </r>
  <r>
    <x v="19"/>
    <x v="1"/>
    <s v="ACT"/>
    <s v="No gap agreement"/>
    <s v="More than 150% MBS Fee to 200% MBS Fee"/>
    <n v="2584980.37"/>
    <n v="1174939.83"/>
    <n v="1409944.17"/>
    <n v="16808"/>
  </r>
  <r>
    <x v="19"/>
    <x v="1"/>
    <s v="ACT"/>
    <s v="No gap agreement"/>
    <s v="More than 200% MBS Fee"/>
    <n v="426243.62"/>
    <n v="133103"/>
    <n v="293140.62"/>
    <n v="1636"/>
  </r>
  <r>
    <x v="19"/>
    <x v="1"/>
    <s v="NT"/>
    <s v="No agreement"/>
    <s v="Up to MBS Fee"/>
    <n v="304106"/>
    <n v="226893.97"/>
    <n v="75290.63"/>
    <n v="957"/>
  </r>
  <r>
    <x v="19"/>
    <x v="1"/>
    <s v="NT"/>
    <s v="No agreement"/>
    <s v="100% MBS Fee to 125% MBS Fee"/>
    <n v="26856.7"/>
    <n v="17270.04"/>
    <n v="6933.72"/>
    <n v="202"/>
  </r>
  <r>
    <x v="19"/>
    <x v="1"/>
    <s v="NT"/>
    <s v="No agreement"/>
    <s v="More than 125% MBS Fee to 150% MBS Fee"/>
    <n v="55262.57"/>
    <n v="29691.19"/>
    <n v="14414.25"/>
    <n v="321"/>
  </r>
  <r>
    <x v="19"/>
    <x v="1"/>
    <s v="NT"/>
    <s v="No agreement"/>
    <s v="More than 150% MBS Fee to 200% MBS Fee"/>
    <n v="141639.24"/>
    <n v="59466.59"/>
    <n v="26164.400000000001"/>
    <n v="480"/>
  </r>
  <r>
    <x v="19"/>
    <x v="1"/>
    <s v="NT"/>
    <s v="No agreement"/>
    <s v="More than 200% MBS Fee"/>
    <n v="1374039.06"/>
    <n v="357321.22"/>
    <n v="120035.95"/>
    <n v="1887"/>
  </r>
  <r>
    <x v="19"/>
    <x v="1"/>
    <s v="NT"/>
    <s v="Known gap agreement"/>
    <s v="100% MBS Fee to 125% MBS Fee"/>
    <n v="21638.38"/>
    <n v="14696.2"/>
    <n v="5736.08"/>
    <n v="91"/>
  </r>
  <r>
    <x v="19"/>
    <x v="1"/>
    <s v="NT"/>
    <s v="Known gap agreement"/>
    <s v="More than 125% MBS Fee to 150% MBS Fee"/>
    <n v="29168.35"/>
    <n v="15810.89"/>
    <n v="11572.85"/>
    <n v="99"/>
  </r>
  <r>
    <x v="19"/>
    <x v="1"/>
    <s v="NT"/>
    <s v="Known gap agreement"/>
    <s v="More than 150% MBS Fee to 200% MBS Fee"/>
    <n v="229025.05"/>
    <n v="98243.15"/>
    <n v="95060.36"/>
    <n v="363"/>
  </r>
  <r>
    <x v="19"/>
    <x v="1"/>
    <s v="NT"/>
    <s v="Known gap agreement"/>
    <s v="More than 200% MBS Fee"/>
    <n v="384397.49"/>
    <n v="99269.15"/>
    <n v="116252.26"/>
    <n v="1366"/>
  </r>
  <r>
    <x v="19"/>
    <x v="1"/>
    <s v="NT"/>
    <s v="No gap agreement"/>
    <s v="Up to MBS Fee"/>
    <n v="127674.37"/>
    <n v="95869.04"/>
    <n v="31805.33"/>
    <n v="1519"/>
  </r>
  <r>
    <x v="19"/>
    <x v="1"/>
    <s v="NT"/>
    <s v="No gap agreement"/>
    <s v="100% MBS Fee to 125% MBS Fee"/>
    <n v="479529.86"/>
    <n v="307020.59000000003"/>
    <n v="172507.89"/>
    <n v="3674"/>
  </r>
  <r>
    <x v="19"/>
    <x v="1"/>
    <s v="NT"/>
    <s v="No gap agreement"/>
    <s v="More than 125% MBS Fee to 150% MBS Fee"/>
    <n v="1120690.49"/>
    <n v="619496.31000000006"/>
    <n v="501191.04"/>
    <n v="9631"/>
  </r>
  <r>
    <x v="19"/>
    <x v="1"/>
    <s v="NT"/>
    <s v="No gap agreement"/>
    <s v="More than 150% MBS Fee to 200% MBS Fee"/>
    <n v="1360706.76"/>
    <n v="624045.6"/>
    <n v="736651.7"/>
    <n v="6377"/>
  </r>
  <r>
    <x v="19"/>
    <x v="1"/>
    <s v="NT"/>
    <s v="No gap agreement"/>
    <s v="More than 200% MBS Fee"/>
    <n v="45499.98"/>
    <n v="13706.15"/>
    <n v="31793.83"/>
    <n v="118"/>
  </r>
  <r>
    <x v="20"/>
    <x v="0"/>
    <s v="NSW"/>
    <s v="No agreement"/>
    <s v="Up to MBS Fee"/>
    <n v="37542093.990000002"/>
    <n v="28314945.649999999"/>
    <n v="9226093.4100000001"/>
    <n v="584443"/>
  </r>
  <r>
    <x v="20"/>
    <x v="0"/>
    <s v="NSW"/>
    <s v="No agreement"/>
    <s v="100% MBS Fee to 125% MBS Fee"/>
    <n v="5112307.7"/>
    <n v="3389553.71"/>
    <n v="1367739.61"/>
    <n v="27877"/>
  </r>
  <r>
    <x v="20"/>
    <x v="0"/>
    <s v="NSW"/>
    <s v="No agreement"/>
    <s v="More than 125% MBS Fee to 150% MBS Fee"/>
    <n v="4428846.54"/>
    <n v="2397882.7200000002"/>
    <n v="1460903.4"/>
    <n v="33008"/>
  </r>
  <r>
    <x v="20"/>
    <x v="0"/>
    <s v="NSW"/>
    <s v="No agreement"/>
    <s v="More than 150% MBS Fee to 200% MBS Fee"/>
    <n v="11933582.57"/>
    <n v="5170315.1900000004"/>
    <n v="3113307.08"/>
    <n v="52747"/>
  </r>
  <r>
    <x v="20"/>
    <x v="0"/>
    <s v="NSW"/>
    <s v="No agreement"/>
    <s v="More than 200% MBS Fee"/>
    <n v="93332461.629999995"/>
    <n v="21695048"/>
    <n v="7582852.0999999996"/>
    <n v="109720"/>
  </r>
  <r>
    <x v="20"/>
    <x v="0"/>
    <s v="NSW"/>
    <s v="Known gap agreement"/>
    <s v="100% MBS Fee to 125% MBS Fee"/>
    <n v="2973850.92"/>
    <n v="1907355.37"/>
    <n v="964244.76"/>
    <n v="15437"/>
  </r>
  <r>
    <x v="20"/>
    <x v="0"/>
    <s v="NSW"/>
    <s v="Known gap agreement"/>
    <s v="More than 125% MBS Fee to 150% MBS Fee"/>
    <n v="5624269.1299999999"/>
    <n v="3069549.29"/>
    <n v="2257339.8199999998"/>
    <n v="18789"/>
  </r>
  <r>
    <x v="20"/>
    <x v="0"/>
    <s v="NSW"/>
    <s v="Known gap agreement"/>
    <s v="More than 150% MBS Fee to 200% MBS Fee"/>
    <n v="13435718.4"/>
    <n v="5865055.0199999996"/>
    <n v="5978018.7699999996"/>
    <n v="32700"/>
  </r>
  <r>
    <x v="20"/>
    <x v="0"/>
    <s v="NSW"/>
    <s v="Known gap agreement"/>
    <s v="More than 200% MBS Fee"/>
    <n v="29062236.359999999"/>
    <n v="7870929.1500000004"/>
    <n v="9333025.5"/>
    <n v="111959"/>
  </r>
  <r>
    <x v="20"/>
    <x v="0"/>
    <s v="NSW"/>
    <s v="No gap agreement"/>
    <s v="Up to MBS Fee"/>
    <n v="18087146.260000002"/>
    <n v="13586969.15"/>
    <n v="4500201.13"/>
    <n v="480652"/>
  </r>
  <r>
    <x v="20"/>
    <x v="0"/>
    <s v="NSW"/>
    <s v="No gap agreement"/>
    <s v="100% MBS Fee to 125% MBS Fee"/>
    <n v="47316348.149999999"/>
    <n v="30035126.879999999"/>
    <n v="17281172.719999999"/>
    <n v="487609"/>
  </r>
  <r>
    <x v="20"/>
    <x v="0"/>
    <s v="NSW"/>
    <s v="No gap agreement"/>
    <s v="More than 125% MBS Fee to 150% MBS Fee"/>
    <n v="86771217.769999996"/>
    <n v="47583337.060000002"/>
    <n v="39187859.909999996"/>
    <n v="531983"/>
  </r>
  <r>
    <x v="20"/>
    <x v="0"/>
    <s v="NSW"/>
    <s v="No gap agreement"/>
    <s v="More than 150% MBS Fee to 200% MBS Fee"/>
    <n v="96827071.390000001"/>
    <n v="44277506.729999997"/>
    <n v="52549506.859999999"/>
    <n v="522121"/>
  </r>
  <r>
    <x v="20"/>
    <x v="0"/>
    <s v="NSW"/>
    <s v="No gap agreement"/>
    <s v="More than 200% MBS Fee"/>
    <n v="7158889.9800000004"/>
    <n v="2100040.81"/>
    <n v="5058849.17"/>
    <n v="16206"/>
  </r>
  <r>
    <x v="20"/>
    <x v="0"/>
    <s v="VIC"/>
    <s v="No agreement"/>
    <s v="Up to MBS Fee"/>
    <n v="9930991.0500000007"/>
    <n v="7451743.3600000003"/>
    <n v="2473206.0499999998"/>
    <n v="210053"/>
  </r>
  <r>
    <x v="20"/>
    <x v="0"/>
    <s v="VIC"/>
    <s v="No agreement"/>
    <s v="100% MBS Fee to 125% MBS Fee"/>
    <n v="2005515.2"/>
    <n v="1306627.18"/>
    <n v="511641.62"/>
    <n v="9782"/>
  </r>
  <r>
    <x v="20"/>
    <x v="0"/>
    <s v="VIC"/>
    <s v="No agreement"/>
    <s v="More than 125% MBS Fee to 150% MBS Fee"/>
    <n v="4441742.91"/>
    <n v="2402877.65"/>
    <n v="1573151.22"/>
    <n v="53650"/>
  </r>
  <r>
    <x v="20"/>
    <x v="0"/>
    <s v="VIC"/>
    <s v="No agreement"/>
    <s v="More than 150% MBS Fee to 200% MBS Fee"/>
    <n v="7236831.7199999997"/>
    <n v="3101690.53"/>
    <n v="2587884.94"/>
    <n v="37335"/>
  </r>
  <r>
    <x v="20"/>
    <x v="0"/>
    <s v="VIC"/>
    <s v="No agreement"/>
    <s v="More than 200% MBS Fee"/>
    <n v="25785952.670000002"/>
    <n v="6350002.9800000004"/>
    <n v="2536476.7400000002"/>
    <n v="52084"/>
  </r>
  <r>
    <x v="20"/>
    <x v="0"/>
    <s v="VIC"/>
    <s v="Known gap agreement"/>
    <s v="100% MBS Fee to 125% MBS Fee"/>
    <n v="3203317.34"/>
    <n v="2118071.9"/>
    <n v="970023.85"/>
    <n v="19987"/>
  </r>
  <r>
    <x v="20"/>
    <x v="0"/>
    <s v="VIC"/>
    <s v="Known gap agreement"/>
    <s v="More than 125% MBS Fee to 150% MBS Fee"/>
    <n v="6339069.5800000001"/>
    <n v="3463985.32"/>
    <n v="2355886.4500000002"/>
    <n v="23550"/>
  </r>
  <r>
    <x v="20"/>
    <x v="0"/>
    <s v="VIC"/>
    <s v="Known gap agreement"/>
    <s v="More than 150% MBS Fee to 200% MBS Fee"/>
    <n v="12319552.98"/>
    <n v="5344342.96"/>
    <n v="5012657.67"/>
    <n v="31783"/>
  </r>
  <r>
    <x v="20"/>
    <x v="0"/>
    <s v="VIC"/>
    <s v="Known gap agreement"/>
    <s v="More than 200% MBS Fee"/>
    <n v="23781334.059999999"/>
    <n v="6921648"/>
    <n v="7915045.8099999996"/>
    <n v="98293"/>
  </r>
  <r>
    <x v="20"/>
    <x v="0"/>
    <s v="VIC"/>
    <s v="No gap agreement"/>
    <s v="Up to MBS Fee"/>
    <n v="16599729.59"/>
    <n v="12476867.869999999"/>
    <n v="4122865.22"/>
    <n v="272950"/>
  </r>
  <r>
    <x v="20"/>
    <x v="0"/>
    <s v="VIC"/>
    <s v="No gap agreement"/>
    <s v="100% MBS Fee to 125% MBS Fee"/>
    <n v="42331133.039999999"/>
    <n v="26878574.289999999"/>
    <n v="15452502.1"/>
    <n v="356470"/>
  </r>
  <r>
    <x v="20"/>
    <x v="0"/>
    <s v="VIC"/>
    <s v="No gap agreement"/>
    <s v="More than 125% MBS Fee to 150% MBS Fee"/>
    <n v="95986626.640000001"/>
    <n v="52621274.729999997"/>
    <n v="43365318.280000001"/>
    <n v="644044"/>
  </r>
  <r>
    <x v="20"/>
    <x v="0"/>
    <s v="VIC"/>
    <s v="No gap agreement"/>
    <s v="More than 150% MBS Fee to 200% MBS Fee"/>
    <n v="99256959.819999993"/>
    <n v="44455213.969999999"/>
    <n v="54801670.93"/>
    <n v="513653"/>
  </r>
  <r>
    <x v="20"/>
    <x v="0"/>
    <s v="VIC"/>
    <s v="No gap agreement"/>
    <s v="More than 200% MBS Fee"/>
    <n v="3449857.01"/>
    <n v="888074.86"/>
    <n v="2561782.15"/>
    <n v="4079"/>
  </r>
  <r>
    <x v="20"/>
    <x v="0"/>
    <s v="QLD"/>
    <s v="No agreement"/>
    <s v="Up to MBS Fee"/>
    <n v="7230880.5300000003"/>
    <n v="5424253.0599999996"/>
    <n v="1792528.46"/>
    <n v="98303"/>
  </r>
  <r>
    <x v="20"/>
    <x v="0"/>
    <s v="QLD"/>
    <s v="No agreement"/>
    <s v="100% MBS Fee to 125% MBS Fee"/>
    <n v="5679011.2999999998"/>
    <n v="3702688"/>
    <n v="1656144.81"/>
    <n v="49392"/>
  </r>
  <r>
    <x v="20"/>
    <x v="0"/>
    <s v="QLD"/>
    <s v="No agreement"/>
    <s v="More than 125% MBS Fee to 150% MBS Fee"/>
    <n v="4538913.84"/>
    <n v="2417182.86"/>
    <n v="1453433.18"/>
    <n v="44623"/>
  </r>
  <r>
    <x v="20"/>
    <x v="0"/>
    <s v="QLD"/>
    <s v="No agreement"/>
    <s v="More than 150% MBS Fee to 200% MBS Fee"/>
    <n v="10731616.18"/>
    <n v="4700412.93"/>
    <n v="3905040.85"/>
    <n v="56059"/>
  </r>
  <r>
    <x v="20"/>
    <x v="0"/>
    <s v="QLD"/>
    <s v="No agreement"/>
    <s v="More than 200% MBS Fee"/>
    <n v="42625472.850000001"/>
    <n v="10517643.1"/>
    <n v="3820614.97"/>
    <n v="52103"/>
  </r>
  <r>
    <x v="20"/>
    <x v="0"/>
    <s v="QLD"/>
    <s v="Known gap agreement"/>
    <s v="100% MBS Fee to 125% MBS Fee"/>
    <n v="1440227.43"/>
    <n v="924810.59"/>
    <n v="451068.55"/>
    <n v="6906"/>
  </r>
  <r>
    <x v="20"/>
    <x v="0"/>
    <s v="QLD"/>
    <s v="Known gap agreement"/>
    <s v="More than 125% MBS Fee to 150% MBS Fee"/>
    <n v="2760782.98"/>
    <n v="1495382.39"/>
    <n v="1078899.1399999999"/>
    <n v="11782"/>
  </r>
  <r>
    <x v="20"/>
    <x v="0"/>
    <s v="QLD"/>
    <s v="Known gap agreement"/>
    <s v="More than 150% MBS Fee to 200% MBS Fee"/>
    <n v="8929320.0999999996"/>
    <n v="3806702.4"/>
    <n v="3761390.18"/>
    <n v="16339"/>
  </r>
  <r>
    <x v="20"/>
    <x v="0"/>
    <s v="QLD"/>
    <s v="Known gap agreement"/>
    <s v="More than 200% MBS Fee"/>
    <n v="17726825.48"/>
    <n v="5005208.8600000003"/>
    <n v="5763984.1900000004"/>
    <n v="49553"/>
  </r>
  <r>
    <x v="20"/>
    <x v="0"/>
    <s v="QLD"/>
    <s v="No gap agreement"/>
    <s v="Up to MBS Fee"/>
    <n v="12816886.26"/>
    <n v="9620019.3200000003"/>
    <n v="3196346.55"/>
    <n v="242721"/>
  </r>
  <r>
    <x v="20"/>
    <x v="0"/>
    <s v="QLD"/>
    <s v="No gap agreement"/>
    <s v="100% MBS Fee to 125% MBS Fee"/>
    <n v="36908788.219999999"/>
    <n v="23498969.329999998"/>
    <n v="13409716.039999999"/>
    <n v="335824"/>
  </r>
  <r>
    <x v="20"/>
    <x v="0"/>
    <s v="QLD"/>
    <s v="No gap agreement"/>
    <s v="More than 125% MBS Fee to 150% MBS Fee"/>
    <n v="71365852.319999993"/>
    <n v="39374360.25"/>
    <n v="31991090.18"/>
    <n v="565231"/>
  </r>
  <r>
    <x v="20"/>
    <x v="0"/>
    <s v="QLD"/>
    <s v="No gap agreement"/>
    <s v="More than 150% MBS Fee to 200% MBS Fee"/>
    <n v="66092132.719999999"/>
    <n v="30272303.879999999"/>
    <n v="35819581.810000002"/>
    <n v="417224"/>
  </r>
  <r>
    <x v="20"/>
    <x v="0"/>
    <s v="QLD"/>
    <s v="No gap agreement"/>
    <s v="More than 200% MBS Fee"/>
    <n v="5331070.24"/>
    <n v="1543634.71"/>
    <n v="3787431.69"/>
    <n v="7056"/>
  </r>
  <r>
    <x v="20"/>
    <x v="0"/>
    <s v="SA"/>
    <s v="No agreement"/>
    <s v="Up to MBS Fee"/>
    <n v="2110580.27"/>
    <n v="1585127.36"/>
    <n v="524281.81"/>
    <n v="21551"/>
  </r>
  <r>
    <x v="20"/>
    <x v="0"/>
    <s v="SA"/>
    <s v="No agreement"/>
    <s v="100% MBS Fee to 125% MBS Fee"/>
    <n v="978009.7"/>
    <n v="617737.47"/>
    <n v="323533.56"/>
    <n v="4918"/>
  </r>
  <r>
    <x v="20"/>
    <x v="0"/>
    <s v="SA"/>
    <s v="No agreement"/>
    <s v="More than 125% MBS Fee to 150% MBS Fee"/>
    <n v="1531653.4"/>
    <n v="836214.48"/>
    <n v="631367.76"/>
    <n v="17988"/>
  </r>
  <r>
    <x v="20"/>
    <x v="0"/>
    <s v="SA"/>
    <s v="No agreement"/>
    <s v="More than 150% MBS Fee to 200% MBS Fee"/>
    <n v="2918315.58"/>
    <n v="1262727.93"/>
    <n v="1488380.05"/>
    <n v="11672"/>
  </r>
  <r>
    <x v="20"/>
    <x v="0"/>
    <s v="SA"/>
    <s v="No agreement"/>
    <s v="More than 200% MBS Fee"/>
    <n v="2048171.46"/>
    <n v="504330.19"/>
    <n v="278270.14"/>
    <n v="3825"/>
  </r>
  <r>
    <x v="20"/>
    <x v="0"/>
    <s v="SA"/>
    <s v="Known gap agreement"/>
    <s v="100% MBS Fee to 125% MBS Fee"/>
    <n v="446374.62"/>
    <n v="291148.75"/>
    <n v="138448.09"/>
    <n v="2767"/>
  </r>
  <r>
    <x v="20"/>
    <x v="0"/>
    <s v="SA"/>
    <s v="Known gap agreement"/>
    <s v="More than 125% MBS Fee to 150% MBS Fee"/>
    <n v="1040678.38"/>
    <n v="563406.31000000006"/>
    <n v="411526.62"/>
    <n v="3434"/>
  </r>
  <r>
    <x v="20"/>
    <x v="0"/>
    <s v="SA"/>
    <s v="Known gap agreement"/>
    <s v="More than 150% MBS Fee to 200% MBS Fee"/>
    <n v="3452817.86"/>
    <n v="1460525.5"/>
    <n v="1552003.02"/>
    <n v="6274"/>
  </r>
  <r>
    <x v="20"/>
    <x v="0"/>
    <s v="SA"/>
    <s v="Known gap agreement"/>
    <s v="More than 200% MBS Fee"/>
    <n v="4455568.93"/>
    <n v="1350531.33"/>
    <n v="1692583.89"/>
    <n v="19090"/>
  </r>
  <r>
    <x v="20"/>
    <x v="0"/>
    <s v="SA"/>
    <s v="No gap agreement"/>
    <s v="Up to MBS Fee"/>
    <n v="4300506.8"/>
    <n v="3229608.27"/>
    <n v="1070907.98"/>
    <n v="51508"/>
  </r>
  <r>
    <x v="20"/>
    <x v="0"/>
    <s v="SA"/>
    <s v="No gap agreement"/>
    <s v="100% MBS Fee to 125% MBS Fee"/>
    <n v="8565334.8800000008"/>
    <n v="5461713.7599999998"/>
    <n v="3103595.41"/>
    <n v="89537"/>
  </r>
  <r>
    <x v="20"/>
    <x v="0"/>
    <s v="SA"/>
    <s v="No gap agreement"/>
    <s v="More than 125% MBS Fee to 150% MBS Fee"/>
    <n v="22621627.300000001"/>
    <n v="12286813.619999999"/>
    <n v="10334797.609999999"/>
    <n v="174634"/>
  </r>
  <r>
    <x v="20"/>
    <x v="0"/>
    <s v="SA"/>
    <s v="No gap agreement"/>
    <s v="More than 150% MBS Fee to 200% MBS Fee"/>
    <n v="42807654.950000003"/>
    <n v="19031005.77"/>
    <n v="23776647.52"/>
    <n v="163739"/>
  </r>
  <r>
    <x v="20"/>
    <x v="0"/>
    <s v="SA"/>
    <s v="No gap agreement"/>
    <s v="More than 200% MBS Fee"/>
    <n v="1582122.22"/>
    <n v="417571"/>
    <n v="1164551.22"/>
    <n v="1592"/>
  </r>
  <r>
    <x v="20"/>
    <x v="0"/>
    <s v="WA"/>
    <s v="No agreement"/>
    <s v="Up to MBS Fee"/>
    <n v="2642998.2799999998"/>
    <n v="1987305.78"/>
    <n v="654133.88"/>
    <n v="60301"/>
  </r>
  <r>
    <x v="20"/>
    <x v="0"/>
    <s v="WA"/>
    <s v="No agreement"/>
    <s v="100% MBS Fee to 125% MBS Fee"/>
    <n v="524051.77"/>
    <n v="346165.26"/>
    <n v="136249.01999999999"/>
    <n v="2382"/>
  </r>
  <r>
    <x v="20"/>
    <x v="0"/>
    <s v="WA"/>
    <s v="No agreement"/>
    <s v="More than 125% MBS Fee to 150% MBS Fee"/>
    <n v="1138138.52"/>
    <n v="624734.22"/>
    <n v="351482.63"/>
    <n v="8905"/>
  </r>
  <r>
    <x v="20"/>
    <x v="0"/>
    <s v="WA"/>
    <s v="No agreement"/>
    <s v="More than 150% MBS Fee to 200% MBS Fee"/>
    <n v="2579742.7200000002"/>
    <n v="1127557.32"/>
    <n v="666953.13"/>
    <n v="9701"/>
  </r>
  <r>
    <x v="20"/>
    <x v="0"/>
    <s v="WA"/>
    <s v="No agreement"/>
    <s v="More than 200% MBS Fee"/>
    <n v="8602224.0199999996"/>
    <n v="2025331.25"/>
    <n v="748137.37"/>
    <n v="19056"/>
  </r>
  <r>
    <x v="20"/>
    <x v="0"/>
    <s v="WA"/>
    <s v="Known gap agreement"/>
    <s v="100% MBS Fee to 125% MBS Fee"/>
    <n v="2418365.2400000002"/>
    <n v="1670400.15"/>
    <n v="706623.99"/>
    <n v="13321"/>
  </r>
  <r>
    <x v="20"/>
    <x v="0"/>
    <s v="WA"/>
    <s v="Known gap agreement"/>
    <s v="More than 125% MBS Fee to 150% MBS Fee"/>
    <n v="4335067.92"/>
    <n v="2345436.06"/>
    <n v="1765847.01"/>
    <n v="28964"/>
  </r>
  <r>
    <x v="20"/>
    <x v="0"/>
    <s v="WA"/>
    <s v="Known gap agreement"/>
    <s v="More than 150% MBS Fee to 200% MBS Fee"/>
    <n v="8076737.3300000001"/>
    <n v="3583794.45"/>
    <n v="3154944.31"/>
    <n v="19228"/>
  </r>
  <r>
    <x v="20"/>
    <x v="0"/>
    <s v="WA"/>
    <s v="Known gap agreement"/>
    <s v="More than 200% MBS Fee"/>
    <n v="13941355.1"/>
    <n v="3570104.35"/>
    <n v="2433245.5099999998"/>
    <n v="23923"/>
  </r>
  <r>
    <x v="20"/>
    <x v="0"/>
    <s v="WA"/>
    <s v="No gap agreement"/>
    <s v="Up to MBS Fee"/>
    <n v="3599770.87"/>
    <n v="2708681.1"/>
    <n v="891089.77"/>
    <n v="53868"/>
  </r>
  <r>
    <x v="20"/>
    <x v="0"/>
    <s v="WA"/>
    <s v="No gap agreement"/>
    <s v="100% MBS Fee to 125% MBS Fee"/>
    <n v="6735265.2199999997"/>
    <n v="4365517.26"/>
    <n v="2369743.5499999998"/>
    <n v="45558"/>
  </r>
  <r>
    <x v="20"/>
    <x v="0"/>
    <s v="WA"/>
    <s v="No gap agreement"/>
    <s v="More than 125% MBS Fee to 150% MBS Fee"/>
    <n v="37943677.189999998"/>
    <n v="21036028.109999999"/>
    <n v="16907641.030000001"/>
    <n v="256984"/>
  </r>
  <r>
    <x v="20"/>
    <x v="0"/>
    <s v="WA"/>
    <s v="No gap agreement"/>
    <s v="More than 150% MBS Fee to 200% MBS Fee"/>
    <n v="52026153.18"/>
    <n v="23040739.09"/>
    <n v="28985395.239999998"/>
    <n v="243378"/>
  </r>
  <r>
    <x v="20"/>
    <x v="0"/>
    <s v="WA"/>
    <s v="No gap agreement"/>
    <s v="More than 200% MBS Fee"/>
    <n v="3289926.89"/>
    <n v="866420.8"/>
    <n v="2423506.09"/>
    <n v="2093"/>
  </r>
  <r>
    <x v="20"/>
    <x v="0"/>
    <s v="TAS"/>
    <s v="No agreement"/>
    <s v="Up to MBS Fee"/>
    <n v="624810.80000000005"/>
    <n v="469281.11"/>
    <n v="155529.69"/>
    <n v="13268"/>
  </r>
  <r>
    <x v="20"/>
    <x v="0"/>
    <s v="TAS"/>
    <s v="No agreement"/>
    <s v="100% MBS Fee to 125% MBS Fee"/>
    <n v="383494.14"/>
    <n v="238042.11"/>
    <n v="140069.69"/>
    <n v="2302"/>
  </r>
  <r>
    <x v="20"/>
    <x v="0"/>
    <s v="TAS"/>
    <s v="No agreement"/>
    <s v="More than 125% MBS Fee to 150% MBS Fee"/>
    <n v="267244.33"/>
    <n v="148002.46"/>
    <n v="94125.759999999995"/>
    <n v="1671"/>
  </r>
  <r>
    <x v="20"/>
    <x v="0"/>
    <s v="TAS"/>
    <s v="No agreement"/>
    <s v="More than 150% MBS Fee to 200% MBS Fee"/>
    <n v="613601.57999999996"/>
    <n v="272569.19"/>
    <n v="226328.22"/>
    <n v="3053"/>
  </r>
  <r>
    <x v="20"/>
    <x v="0"/>
    <s v="TAS"/>
    <s v="No agreement"/>
    <s v="More than 200% MBS Fee"/>
    <n v="2019676.76"/>
    <n v="442454.77"/>
    <n v="174221.09"/>
    <n v="1917"/>
  </r>
  <r>
    <x v="20"/>
    <x v="0"/>
    <s v="TAS"/>
    <s v="Known gap agreement"/>
    <s v="100% MBS Fee to 125% MBS Fee"/>
    <n v="183389.46"/>
    <n v="120949.75"/>
    <n v="50909.78"/>
    <n v="1417"/>
  </r>
  <r>
    <x v="20"/>
    <x v="0"/>
    <s v="TAS"/>
    <s v="Known gap agreement"/>
    <s v="More than 125% MBS Fee to 150% MBS Fee"/>
    <n v="309071.74"/>
    <n v="165816.9"/>
    <n v="122792.17"/>
    <n v="1174"/>
  </r>
  <r>
    <x v="20"/>
    <x v="0"/>
    <s v="TAS"/>
    <s v="Known gap agreement"/>
    <s v="More than 150% MBS Fee to 200% MBS Fee"/>
    <n v="1275785.8899999999"/>
    <n v="542927.15"/>
    <n v="555686.44999999995"/>
    <n v="2572"/>
  </r>
  <r>
    <x v="20"/>
    <x v="0"/>
    <s v="TAS"/>
    <s v="Known gap agreement"/>
    <s v="More than 200% MBS Fee"/>
    <n v="1504159.72"/>
    <n v="457824.3"/>
    <n v="529468.17000000004"/>
    <n v="4387"/>
  </r>
  <r>
    <x v="20"/>
    <x v="0"/>
    <s v="TAS"/>
    <s v="No gap agreement"/>
    <s v="Up to MBS Fee"/>
    <n v="1979260.34"/>
    <n v="1486180.68"/>
    <n v="493079.65"/>
    <n v="30063"/>
  </r>
  <r>
    <x v="20"/>
    <x v="0"/>
    <s v="TAS"/>
    <s v="No gap agreement"/>
    <s v="100% MBS Fee to 125% MBS Fee"/>
    <n v="2733154.8"/>
    <n v="1738998.52"/>
    <n v="994155.48"/>
    <n v="21562"/>
  </r>
  <r>
    <x v="20"/>
    <x v="0"/>
    <s v="TAS"/>
    <s v="No gap agreement"/>
    <s v="More than 125% MBS Fee to 150% MBS Fee"/>
    <n v="7721593.0499999998"/>
    <n v="4234124"/>
    <n v="3487468.79"/>
    <n v="50526"/>
  </r>
  <r>
    <x v="20"/>
    <x v="0"/>
    <s v="TAS"/>
    <s v="No gap agreement"/>
    <s v="More than 150% MBS Fee to 200% MBS Fee"/>
    <n v="10632360.210000001"/>
    <n v="4850131.51"/>
    <n v="5782227.1399999997"/>
    <n v="51180"/>
  </r>
  <r>
    <x v="20"/>
    <x v="0"/>
    <s v="TAS"/>
    <s v="No gap agreement"/>
    <s v="More than 200% MBS Fee"/>
    <n v="429967.71"/>
    <n v="117921.3"/>
    <n v="312046.40999999997"/>
    <n v="336"/>
  </r>
  <r>
    <x v="20"/>
    <x v="0"/>
    <s v="ACT"/>
    <s v="No agreement"/>
    <s v="Up to MBS Fee"/>
    <n v="979666.32"/>
    <n v="736041.73"/>
    <n v="238938.52"/>
    <n v="9188"/>
  </r>
  <r>
    <x v="20"/>
    <x v="0"/>
    <s v="ACT"/>
    <s v="No agreement"/>
    <s v="100% MBS Fee to 125% MBS Fee"/>
    <n v="141112.06"/>
    <n v="94583.96"/>
    <n v="37126.15"/>
    <n v="741"/>
  </r>
  <r>
    <x v="20"/>
    <x v="0"/>
    <s v="ACT"/>
    <s v="No agreement"/>
    <s v="More than 125% MBS Fee to 150% MBS Fee"/>
    <n v="130171.29"/>
    <n v="70593.38"/>
    <n v="31811.9"/>
    <n v="534"/>
  </r>
  <r>
    <x v="20"/>
    <x v="0"/>
    <s v="ACT"/>
    <s v="No agreement"/>
    <s v="More than 150% MBS Fee to 200% MBS Fee"/>
    <n v="703476.04"/>
    <n v="297825.86"/>
    <n v="170847.49"/>
    <n v="2922"/>
  </r>
  <r>
    <x v="20"/>
    <x v="0"/>
    <s v="ACT"/>
    <s v="No agreement"/>
    <s v="More than 200% MBS Fee"/>
    <n v="7320158.9299999997"/>
    <n v="1738897.68"/>
    <n v="595141.81999999995"/>
    <n v="8235"/>
  </r>
  <r>
    <x v="20"/>
    <x v="0"/>
    <s v="ACT"/>
    <s v="Known gap agreement"/>
    <s v="100% MBS Fee to 125% MBS Fee"/>
    <n v="65520.57"/>
    <n v="40311.449999999997"/>
    <n v="21434.83"/>
    <n v="461"/>
  </r>
  <r>
    <x v="20"/>
    <x v="0"/>
    <s v="ACT"/>
    <s v="Known gap agreement"/>
    <s v="More than 125% MBS Fee to 150% MBS Fee"/>
    <n v="140240.93"/>
    <n v="77727"/>
    <n v="54347.01"/>
    <n v="453"/>
  </r>
  <r>
    <x v="20"/>
    <x v="0"/>
    <s v="ACT"/>
    <s v="Known gap agreement"/>
    <s v="More than 150% MBS Fee to 200% MBS Fee"/>
    <n v="510171.11"/>
    <n v="217958.8"/>
    <n v="224905.63"/>
    <n v="1559"/>
  </r>
  <r>
    <x v="20"/>
    <x v="0"/>
    <s v="ACT"/>
    <s v="Known gap agreement"/>
    <s v="More than 200% MBS Fee"/>
    <n v="2520601.9500000002"/>
    <n v="678838.85"/>
    <n v="766512.68"/>
    <n v="9288"/>
  </r>
  <r>
    <x v="20"/>
    <x v="0"/>
    <s v="ACT"/>
    <s v="No gap agreement"/>
    <s v="Up to MBS Fee"/>
    <n v="398464.54"/>
    <n v="299750.67"/>
    <n v="98713.87"/>
    <n v="14219"/>
  </r>
  <r>
    <x v="20"/>
    <x v="0"/>
    <s v="ACT"/>
    <s v="No gap agreement"/>
    <s v="100% MBS Fee to 125% MBS Fee"/>
    <n v="1296689.75"/>
    <n v="828841.43"/>
    <n v="467836.29"/>
    <n v="15188"/>
  </r>
  <r>
    <x v="20"/>
    <x v="0"/>
    <s v="ACT"/>
    <s v="No gap agreement"/>
    <s v="More than 125% MBS Fee to 150% MBS Fee"/>
    <n v="3225345.24"/>
    <n v="1775783.16"/>
    <n v="1449560.9"/>
    <n v="23216"/>
  </r>
  <r>
    <x v="20"/>
    <x v="0"/>
    <s v="ACT"/>
    <s v="No gap agreement"/>
    <s v="More than 150% MBS Fee to 200% MBS Fee"/>
    <n v="2373309.06"/>
    <n v="1085451.76"/>
    <n v="1287844.6000000001"/>
    <n v="14915"/>
  </r>
  <r>
    <x v="20"/>
    <x v="0"/>
    <s v="ACT"/>
    <s v="No gap agreement"/>
    <s v="More than 200% MBS Fee"/>
    <n v="337123.31"/>
    <n v="101025.3"/>
    <n v="236098.01"/>
    <n v="587"/>
  </r>
  <r>
    <x v="20"/>
    <x v="0"/>
    <s v="NT"/>
    <s v="No agreement"/>
    <s v="Up to MBS Fee"/>
    <n v="318003.65000000002"/>
    <n v="238556.7"/>
    <n v="79418.95"/>
    <n v="2370"/>
  </r>
  <r>
    <x v="20"/>
    <x v="0"/>
    <s v="NT"/>
    <s v="No agreement"/>
    <s v="100% MBS Fee to 125% MBS Fee"/>
    <n v="139094.57"/>
    <n v="89791.91"/>
    <n v="44534.55"/>
    <n v="658"/>
  </r>
  <r>
    <x v="20"/>
    <x v="0"/>
    <s v="NT"/>
    <s v="No agreement"/>
    <s v="More than 125% MBS Fee to 150% MBS Fee"/>
    <n v="75309.7"/>
    <n v="40596.93"/>
    <n v="22942.05"/>
    <n v="512"/>
  </r>
  <r>
    <x v="20"/>
    <x v="0"/>
    <s v="NT"/>
    <s v="No agreement"/>
    <s v="More than 150% MBS Fee to 200% MBS Fee"/>
    <n v="148296.91"/>
    <n v="64252.17"/>
    <n v="53141.51"/>
    <n v="581"/>
  </r>
  <r>
    <x v="20"/>
    <x v="0"/>
    <s v="NT"/>
    <s v="No agreement"/>
    <s v="More than 200% MBS Fee"/>
    <n v="1276350.0900000001"/>
    <n v="308103.84000000003"/>
    <n v="106223.61"/>
    <n v="1122"/>
  </r>
  <r>
    <x v="20"/>
    <x v="0"/>
    <s v="NT"/>
    <s v="Known gap agreement"/>
    <s v="100% MBS Fee to 125% MBS Fee"/>
    <n v="21482.13"/>
    <n v="14225.05"/>
    <n v="5836.25"/>
    <n v="165"/>
  </r>
  <r>
    <x v="20"/>
    <x v="0"/>
    <s v="NT"/>
    <s v="Known gap agreement"/>
    <s v="More than 125% MBS Fee to 150% MBS Fee"/>
    <n v="50910.96"/>
    <n v="27461.7"/>
    <n v="20187.95"/>
    <n v="214"/>
  </r>
  <r>
    <x v="20"/>
    <x v="0"/>
    <s v="NT"/>
    <s v="Known gap agreement"/>
    <s v="More than 150% MBS Fee to 200% MBS Fee"/>
    <n v="192899.44"/>
    <n v="82696.75"/>
    <n v="82811.899999999994"/>
    <n v="447"/>
  </r>
  <r>
    <x v="20"/>
    <x v="0"/>
    <s v="NT"/>
    <s v="Known gap agreement"/>
    <s v="More than 200% MBS Fee"/>
    <n v="511295.35"/>
    <n v="136221.9"/>
    <n v="150305.93"/>
    <n v="2370"/>
  </r>
  <r>
    <x v="20"/>
    <x v="0"/>
    <s v="NT"/>
    <s v="No gap agreement"/>
    <s v="Up to MBS Fee"/>
    <n v="304947.84999999998"/>
    <n v="228790.67"/>
    <n v="76157.05"/>
    <n v="3151"/>
  </r>
  <r>
    <x v="20"/>
    <x v="0"/>
    <s v="NT"/>
    <s v="No gap agreement"/>
    <s v="100% MBS Fee to 125% MBS Fee"/>
    <n v="508852.55"/>
    <n v="326760"/>
    <n v="182080.38"/>
    <n v="4140"/>
  </r>
  <r>
    <x v="20"/>
    <x v="0"/>
    <s v="NT"/>
    <s v="No gap agreement"/>
    <s v="More than 125% MBS Fee to 150% MBS Fee"/>
    <n v="1167086.6100000001"/>
    <n v="635863.26"/>
    <n v="531216.98"/>
    <n v="6312"/>
  </r>
  <r>
    <x v="20"/>
    <x v="0"/>
    <s v="NT"/>
    <s v="No gap agreement"/>
    <s v="More than 150% MBS Fee to 200% MBS Fee"/>
    <n v="2066226.52"/>
    <n v="946509.8"/>
    <n v="1119705.3"/>
    <n v="9517"/>
  </r>
  <r>
    <x v="20"/>
    <x v="0"/>
    <s v="NT"/>
    <s v="No gap agreement"/>
    <s v="More than 200% MBS Fee"/>
    <n v="41452.400000000001"/>
    <n v="12232.35"/>
    <n v="29220.05"/>
    <n v="63"/>
  </r>
  <r>
    <x v="20"/>
    <x v="2"/>
    <s v="NSW"/>
    <s v="No agreement"/>
    <s v="Up to MBS Fee"/>
    <n v="47705620.740000002"/>
    <n v="35820336.530000001"/>
    <n v="11886098.35"/>
    <n v="825817"/>
  </r>
  <r>
    <x v="20"/>
    <x v="2"/>
    <s v="NSW"/>
    <s v="No agreement"/>
    <s v="100% MBS Fee to 125% MBS Fee"/>
    <n v="3029516.21"/>
    <n v="2019316.02"/>
    <n v="820470.28"/>
    <n v="19538"/>
  </r>
  <r>
    <x v="20"/>
    <x v="2"/>
    <s v="NSW"/>
    <s v="No agreement"/>
    <s v="More than 125% MBS Fee to 150% MBS Fee"/>
    <n v="5996547.9100000001"/>
    <n v="3329916.68"/>
    <n v="2057867.29"/>
    <n v="88441"/>
  </r>
  <r>
    <x v="20"/>
    <x v="2"/>
    <s v="NSW"/>
    <s v="No agreement"/>
    <s v="More than 150% MBS Fee to 200% MBS Fee"/>
    <n v="11992500.76"/>
    <n v="5175635.72"/>
    <n v="2737034.91"/>
    <n v="49872"/>
  </r>
  <r>
    <x v="20"/>
    <x v="2"/>
    <s v="NSW"/>
    <s v="No agreement"/>
    <s v="More than 200% MBS Fee"/>
    <n v="94323913.75"/>
    <n v="22323341.030000001"/>
    <n v="7550371.6600000001"/>
    <n v="121059"/>
  </r>
  <r>
    <x v="20"/>
    <x v="2"/>
    <s v="NSW"/>
    <s v="Known gap agreement"/>
    <s v="100% MBS Fee to 125% MBS Fee"/>
    <n v="1719868.98"/>
    <n v="1154979.8600000001"/>
    <n v="501381.8"/>
    <n v="6442"/>
  </r>
  <r>
    <x v="20"/>
    <x v="2"/>
    <s v="NSW"/>
    <s v="Known gap agreement"/>
    <s v="More than 125% MBS Fee to 150% MBS Fee"/>
    <n v="1997833.63"/>
    <n v="1076539.06"/>
    <n v="740978.43"/>
    <n v="7679"/>
  </r>
  <r>
    <x v="20"/>
    <x v="2"/>
    <s v="NSW"/>
    <s v="Known gap agreement"/>
    <s v="More than 150% MBS Fee to 200% MBS Fee"/>
    <n v="6463741.1100000003"/>
    <n v="2802660.77"/>
    <n v="2735550.57"/>
    <n v="16045"/>
  </r>
  <r>
    <x v="20"/>
    <x v="2"/>
    <s v="NSW"/>
    <s v="Known gap agreement"/>
    <s v="More than 200% MBS Fee"/>
    <n v="9773798.0899999999"/>
    <n v="2646672.6800000002"/>
    <n v="2851886.07"/>
    <n v="37632"/>
  </r>
  <r>
    <x v="20"/>
    <x v="2"/>
    <s v="NSW"/>
    <s v="No gap agreement"/>
    <s v="Up to MBS Fee"/>
    <n v="13718114.1"/>
    <n v="10315565.83"/>
    <n v="3402540.94"/>
    <n v="314755"/>
  </r>
  <r>
    <x v="20"/>
    <x v="2"/>
    <s v="NSW"/>
    <s v="No gap agreement"/>
    <s v="100% MBS Fee to 125% MBS Fee"/>
    <n v="41654751.060000002"/>
    <n v="26605604.539999999"/>
    <n v="15049080"/>
    <n v="404595"/>
  </r>
  <r>
    <x v="20"/>
    <x v="2"/>
    <s v="NSW"/>
    <s v="No gap agreement"/>
    <s v="More than 125% MBS Fee to 150% MBS Fee"/>
    <n v="92867587.870000005"/>
    <n v="51134660.920000002"/>
    <n v="41732895.539999999"/>
    <n v="544719"/>
  </r>
  <r>
    <x v="20"/>
    <x v="2"/>
    <s v="NSW"/>
    <s v="No gap agreement"/>
    <s v="More than 150% MBS Fee to 200% MBS Fee"/>
    <n v="108137810.52"/>
    <n v="49348894.479999997"/>
    <n v="58788830.219999999"/>
    <n v="561736"/>
  </r>
  <r>
    <x v="20"/>
    <x v="2"/>
    <s v="NSW"/>
    <s v="No gap agreement"/>
    <s v="More than 200% MBS Fee"/>
    <n v="9510914.9299999997"/>
    <n v="2971627.7"/>
    <n v="6539287"/>
    <n v="30596"/>
  </r>
  <r>
    <x v="20"/>
    <x v="2"/>
    <s v="VIC"/>
    <s v="No agreement"/>
    <s v="Up to MBS Fee"/>
    <n v="13566837.92"/>
    <n v="10189795.43"/>
    <n v="3373632.91"/>
    <n v="259632"/>
  </r>
  <r>
    <x v="20"/>
    <x v="2"/>
    <s v="VIC"/>
    <s v="No agreement"/>
    <s v="100% MBS Fee to 125% MBS Fee"/>
    <n v="1778588.18"/>
    <n v="1170848.23"/>
    <n v="435973.29"/>
    <n v="10024"/>
  </r>
  <r>
    <x v="20"/>
    <x v="2"/>
    <s v="VIC"/>
    <s v="No agreement"/>
    <s v="More than 125% MBS Fee to 150% MBS Fee"/>
    <n v="6385075.2400000002"/>
    <n v="3530703.49"/>
    <n v="2267134.69"/>
    <n v="116340"/>
  </r>
  <r>
    <x v="20"/>
    <x v="2"/>
    <s v="VIC"/>
    <s v="No agreement"/>
    <s v="More than 150% MBS Fee to 200% MBS Fee"/>
    <n v="7302487.6500000004"/>
    <n v="3129224.18"/>
    <n v="2092124.82"/>
    <n v="38130"/>
  </r>
  <r>
    <x v="20"/>
    <x v="2"/>
    <s v="VIC"/>
    <s v="No agreement"/>
    <s v="More than 200% MBS Fee"/>
    <n v="23142821.699999999"/>
    <n v="5778944.7800000003"/>
    <n v="2106066.3199999998"/>
    <n v="36747"/>
  </r>
  <r>
    <x v="20"/>
    <x v="2"/>
    <s v="VIC"/>
    <s v="Known gap agreement"/>
    <s v="100% MBS Fee to 125% MBS Fee"/>
    <n v="2364038.94"/>
    <n v="1584175.35"/>
    <n v="697476.47"/>
    <n v="10924"/>
  </r>
  <r>
    <x v="20"/>
    <x v="2"/>
    <s v="VIC"/>
    <s v="Known gap agreement"/>
    <s v="More than 125% MBS Fee to 150% MBS Fee"/>
    <n v="4704244.16"/>
    <n v="2559209.08"/>
    <n v="1707280.09"/>
    <n v="18303"/>
  </r>
  <r>
    <x v="20"/>
    <x v="2"/>
    <s v="VIC"/>
    <s v="Known gap agreement"/>
    <s v="More than 150% MBS Fee to 200% MBS Fee"/>
    <n v="8413575.8200000003"/>
    <n v="3622940.84"/>
    <n v="3306707.18"/>
    <n v="20078"/>
  </r>
  <r>
    <x v="20"/>
    <x v="2"/>
    <s v="VIC"/>
    <s v="Known gap agreement"/>
    <s v="More than 200% MBS Fee"/>
    <n v="11982922.359999999"/>
    <n v="3459495.15"/>
    <n v="3465072.15"/>
    <n v="51403"/>
  </r>
  <r>
    <x v="20"/>
    <x v="2"/>
    <s v="VIC"/>
    <s v="No gap agreement"/>
    <s v="Up to MBS Fee"/>
    <n v="13162193.130000001"/>
    <n v="9896184.6500000004"/>
    <n v="3266070.65"/>
    <n v="200303"/>
  </r>
  <r>
    <x v="20"/>
    <x v="2"/>
    <s v="VIC"/>
    <s v="No gap agreement"/>
    <s v="100% MBS Fee to 125% MBS Fee"/>
    <n v="41702977.93"/>
    <n v="26574878.559999999"/>
    <n v="15127938.470000001"/>
    <n v="335995"/>
  </r>
  <r>
    <x v="20"/>
    <x v="2"/>
    <s v="VIC"/>
    <s v="No gap agreement"/>
    <s v="More than 125% MBS Fee to 150% MBS Fee"/>
    <n v="100989394.62"/>
    <n v="55462581.020000003"/>
    <n v="45526781.710000001"/>
    <n v="652686"/>
  </r>
  <r>
    <x v="20"/>
    <x v="2"/>
    <s v="VIC"/>
    <s v="No gap agreement"/>
    <s v="More than 150% MBS Fee to 200% MBS Fee"/>
    <n v="106962817.3"/>
    <n v="47827804.299999997"/>
    <n v="59134961.159999996"/>
    <n v="552212"/>
  </r>
  <r>
    <x v="20"/>
    <x v="2"/>
    <s v="VIC"/>
    <s v="No gap agreement"/>
    <s v="More than 200% MBS Fee"/>
    <n v="4451931.47"/>
    <n v="1272551.74"/>
    <n v="3179379.27"/>
    <n v="10506"/>
  </r>
  <r>
    <x v="20"/>
    <x v="2"/>
    <s v="QLD"/>
    <s v="No agreement"/>
    <s v="Up to MBS Fee"/>
    <n v="11033072.880000001"/>
    <n v="8274125"/>
    <n v="2748248.27"/>
    <n v="161507"/>
  </r>
  <r>
    <x v="20"/>
    <x v="2"/>
    <s v="QLD"/>
    <s v="No agreement"/>
    <s v="100% MBS Fee to 125% MBS Fee"/>
    <n v="3058215.8"/>
    <n v="1972458.04"/>
    <n v="931536.49"/>
    <n v="36064"/>
  </r>
  <r>
    <x v="20"/>
    <x v="2"/>
    <s v="QLD"/>
    <s v="No agreement"/>
    <s v="More than 125% MBS Fee to 150% MBS Fee"/>
    <n v="7753216.2800000003"/>
    <n v="4297952.88"/>
    <n v="2691901.43"/>
    <n v="149955"/>
  </r>
  <r>
    <x v="20"/>
    <x v="2"/>
    <s v="QLD"/>
    <s v="No agreement"/>
    <s v="More than 150% MBS Fee to 200% MBS Fee"/>
    <n v="9311179.5199999996"/>
    <n v="4045063.68"/>
    <n v="2668963.33"/>
    <n v="42370"/>
  </r>
  <r>
    <x v="20"/>
    <x v="2"/>
    <s v="QLD"/>
    <s v="No agreement"/>
    <s v="More than 200% MBS Fee"/>
    <n v="42869175.450000003"/>
    <n v="10648949.300000001"/>
    <n v="3670952.25"/>
    <n v="56477"/>
  </r>
  <r>
    <x v="20"/>
    <x v="2"/>
    <s v="QLD"/>
    <s v="Known gap agreement"/>
    <s v="100% MBS Fee to 125% MBS Fee"/>
    <n v="1104599.54"/>
    <n v="730984.89"/>
    <n v="329567.07"/>
    <n v="4325"/>
  </r>
  <r>
    <x v="20"/>
    <x v="2"/>
    <s v="QLD"/>
    <s v="Known gap agreement"/>
    <s v="More than 125% MBS Fee to 150% MBS Fee"/>
    <n v="1873734.31"/>
    <n v="1010354.52"/>
    <n v="698500.57"/>
    <n v="8429"/>
  </r>
  <r>
    <x v="20"/>
    <x v="2"/>
    <s v="QLD"/>
    <s v="Known gap agreement"/>
    <s v="More than 150% MBS Fee to 200% MBS Fee"/>
    <n v="6700253.9699999997"/>
    <n v="2849962.59"/>
    <n v="2766532.2"/>
    <n v="11901"/>
  </r>
  <r>
    <x v="20"/>
    <x v="2"/>
    <s v="QLD"/>
    <s v="Known gap agreement"/>
    <s v="More than 200% MBS Fee"/>
    <n v="11554368.42"/>
    <n v="3405593.75"/>
    <n v="3744553.71"/>
    <n v="25883"/>
  </r>
  <r>
    <x v="20"/>
    <x v="2"/>
    <s v="QLD"/>
    <s v="No gap agreement"/>
    <s v="Up to MBS Fee"/>
    <n v="11172116.58"/>
    <n v="8395334.5800000001"/>
    <n v="2776751.71"/>
    <n v="225319"/>
  </r>
  <r>
    <x v="20"/>
    <x v="2"/>
    <s v="QLD"/>
    <s v="No gap agreement"/>
    <s v="100% MBS Fee to 125% MBS Fee"/>
    <n v="35876761.530000001"/>
    <n v="22899629.030000001"/>
    <n v="12977016.310000001"/>
    <n v="349308"/>
  </r>
  <r>
    <x v="20"/>
    <x v="2"/>
    <s v="QLD"/>
    <s v="No gap agreement"/>
    <s v="More than 125% MBS Fee to 150% MBS Fee"/>
    <n v="70926903.730000004"/>
    <n v="39100851.710000001"/>
    <n v="31825618.030000001"/>
    <n v="478396"/>
  </r>
  <r>
    <x v="20"/>
    <x v="2"/>
    <s v="QLD"/>
    <s v="No gap agreement"/>
    <s v="More than 150% MBS Fee to 200% MBS Fee"/>
    <n v="68268261.150000006"/>
    <n v="31283615.109999999"/>
    <n v="36984405.810000002"/>
    <n v="423242"/>
  </r>
  <r>
    <x v="20"/>
    <x v="2"/>
    <s v="QLD"/>
    <s v="No gap agreement"/>
    <s v="More than 200% MBS Fee"/>
    <n v="6287257.3700000001"/>
    <n v="1860664.29"/>
    <n v="4426592.88"/>
    <n v="11156"/>
  </r>
  <r>
    <x v="20"/>
    <x v="2"/>
    <s v="SA"/>
    <s v="No agreement"/>
    <s v="Up to MBS Fee"/>
    <n v="2936237.77"/>
    <n v="2204422.69"/>
    <n v="731772.14"/>
    <n v="30255"/>
  </r>
  <r>
    <x v="20"/>
    <x v="2"/>
    <s v="SA"/>
    <s v="No agreement"/>
    <s v="100% MBS Fee to 125% MBS Fee"/>
    <n v="598956.54"/>
    <n v="375685.07"/>
    <n v="203780.43"/>
    <n v="3478"/>
  </r>
  <r>
    <x v="20"/>
    <x v="2"/>
    <s v="SA"/>
    <s v="No agreement"/>
    <s v="More than 125% MBS Fee to 150% MBS Fee"/>
    <n v="1159529.51"/>
    <n v="629464.43999999994"/>
    <n v="445298.25"/>
    <n v="10739"/>
  </r>
  <r>
    <x v="20"/>
    <x v="2"/>
    <s v="SA"/>
    <s v="No agreement"/>
    <s v="More than 150% MBS Fee to 200% MBS Fee"/>
    <n v="1682610.66"/>
    <n v="730805.39"/>
    <n v="803671.95"/>
    <n v="6367"/>
  </r>
  <r>
    <x v="20"/>
    <x v="2"/>
    <s v="SA"/>
    <s v="No agreement"/>
    <s v="More than 200% MBS Fee"/>
    <n v="1807914.68"/>
    <n v="443121.5"/>
    <n v="205063.56"/>
    <n v="3261"/>
  </r>
  <r>
    <x v="20"/>
    <x v="2"/>
    <s v="SA"/>
    <s v="Known gap agreement"/>
    <s v="100% MBS Fee to 125% MBS Fee"/>
    <n v="403619.19"/>
    <n v="271762.44"/>
    <n v="116767.2"/>
    <n v="1594"/>
  </r>
  <r>
    <x v="20"/>
    <x v="2"/>
    <s v="SA"/>
    <s v="Known gap agreement"/>
    <s v="More than 125% MBS Fee to 150% MBS Fee"/>
    <n v="597354.64"/>
    <n v="321357.25"/>
    <n v="221687.04000000001"/>
    <n v="1964"/>
  </r>
  <r>
    <x v="20"/>
    <x v="2"/>
    <s v="SA"/>
    <s v="Known gap agreement"/>
    <s v="More than 150% MBS Fee to 200% MBS Fee"/>
    <n v="2868822"/>
    <n v="1200892.3999999999"/>
    <n v="1253524.8700000001"/>
    <n v="5236"/>
  </r>
  <r>
    <x v="20"/>
    <x v="2"/>
    <s v="SA"/>
    <s v="Known gap agreement"/>
    <s v="More than 200% MBS Fee"/>
    <n v="3443948.6"/>
    <n v="1055662.1499999999"/>
    <n v="1286934.18"/>
    <n v="18029"/>
  </r>
  <r>
    <x v="20"/>
    <x v="2"/>
    <s v="SA"/>
    <s v="No gap agreement"/>
    <s v="Up to MBS Fee"/>
    <n v="3917016.03"/>
    <n v="2944929.41"/>
    <n v="972084.84"/>
    <n v="58187"/>
  </r>
  <r>
    <x v="20"/>
    <x v="2"/>
    <s v="SA"/>
    <s v="No gap agreement"/>
    <s v="100% MBS Fee to 125% MBS Fee"/>
    <n v="8627828.3200000003"/>
    <n v="5509293.1299999999"/>
    <n v="3118488.81"/>
    <n v="75598"/>
  </r>
  <r>
    <x v="20"/>
    <x v="2"/>
    <s v="SA"/>
    <s v="No gap agreement"/>
    <s v="More than 125% MBS Fee to 150% MBS Fee"/>
    <n v="23627155.780000001"/>
    <n v="12895072.449999999"/>
    <n v="10732068.32"/>
    <n v="195462"/>
  </r>
  <r>
    <x v="20"/>
    <x v="2"/>
    <s v="SA"/>
    <s v="No gap agreement"/>
    <s v="More than 150% MBS Fee to 200% MBS Fee"/>
    <n v="44570625.509999998"/>
    <n v="19842332.170000002"/>
    <n v="24728284.399999999"/>
    <n v="169025"/>
  </r>
  <r>
    <x v="20"/>
    <x v="2"/>
    <s v="SA"/>
    <s v="No gap agreement"/>
    <s v="More than 200% MBS Fee"/>
    <n v="1893694.51"/>
    <n v="539237.59"/>
    <n v="1354456.92"/>
    <n v="3625"/>
  </r>
  <r>
    <x v="20"/>
    <x v="2"/>
    <s v="WA"/>
    <s v="No agreement"/>
    <s v="Up to MBS Fee"/>
    <n v="2202073.41"/>
    <n v="1653256.66"/>
    <n v="546724.19999999995"/>
    <n v="37780"/>
  </r>
  <r>
    <x v="20"/>
    <x v="2"/>
    <s v="WA"/>
    <s v="No agreement"/>
    <s v="100% MBS Fee to 125% MBS Fee"/>
    <n v="300522.28999999998"/>
    <n v="198401.7"/>
    <n v="77273.42"/>
    <n v="1755"/>
  </r>
  <r>
    <x v="20"/>
    <x v="2"/>
    <s v="WA"/>
    <s v="No agreement"/>
    <s v="More than 125% MBS Fee to 150% MBS Fee"/>
    <n v="1842499.76"/>
    <n v="989507.51"/>
    <n v="466288.9"/>
    <n v="27450"/>
  </r>
  <r>
    <x v="20"/>
    <x v="2"/>
    <s v="WA"/>
    <s v="No agreement"/>
    <s v="More than 150% MBS Fee to 200% MBS Fee"/>
    <n v="2421157.5699999998"/>
    <n v="1057979.23"/>
    <n v="523128.69"/>
    <n v="8603"/>
  </r>
  <r>
    <x v="20"/>
    <x v="2"/>
    <s v="WA"/>
    <s v="No agreement"/>
    <s v="More than 200% MBS Fee"/>
    <n v="8032711.0499999998"/>
    <n v="1952113.89"/>
    <n v="691683.3"/>
    <n v="19034"/>
  </r>
  <r>
    <x v="20"/>
    <x v="2"/>
    <s v="WA"/>
    <s v="Known gap agreement"/>
    <s v="100% MBS Fee to 125% MBS Fee"/>
    <n v="2135541.92"/>
    <n v="1486249.75"/>
    <n v="621252.94999999995"/>
    <n v="10977"/>
  </r>
  <r>
    <x v="20"/>
    <x v="2"/>
    <s v="WA"/>
    <s v="Known gap agreement"/>
    <s v="More than 125% MBS Fee to 150% MBS Fee"/>
    <n v="3771518.07"/>
    <n v="2032806.13"/>
    <n v="1559683.73"/>
    <n v="27294"/>
  </r>
  <r>
    <x v="20"/>
    <x v="2"/>
    <s v="WA"/>
    <s v="Known gap agreement"/>
    <s v="More than 150% MBS Fee to 200% MBS Fee"/>
    <n v="7585480.8200000003"/>
    <n v="3373300.6"/>
    <n v="2889656.49"/>
    <n v="17606"/>
  </r>
  <r>
    <x v="20"/>
    <x v="2"/>
    <s v="WA"/>
    <s v="Known gap agreement"/>
    <s v="More than 200% MBS Fee"/>
    <n v="11741214.970000001"/>
    <n v="3068524.9"/>
    <n v="1974959.04"/>
    <n v="18998"/>
  </r>
  <r>
    <x v="20"/>
    <x v="2"/>
    <s v="WA"/>
    <s v="No gap agreement"/>
    <s v="Up to MBS Fee"/>
    <n v="2886756.81"/>
    <n v="2176158.86"/>
    <n v="710597.94"/>
    <n v="42630"/>
  </r>
  <r>
    <x v="20"/>
    <x v="2"/>
    <s v="WA"/>
    <s v="No gap agreement"/>
    <s v="100% MBS Fee to 125% MBS Fee"/>
    <n v="6756451.0999999996"/>
    <n v="4359039.1100000003"/>
    <n v="2397410.58"/>
    <n v="42387"/>
  </r>
  <r>
    <x v="20"/>
    <x v="2"/>
    <s v="WA"/>
    <s v="No gap agreement"/>
    <s v="More than 125% MBS Fee to 150% MBS Fee"/>
    <n v="36609964.57"/>
    <n v="20303945.300000001"/>
    <n v="16306014.08"/>
    <n v="250960"/>
  </r>
  <r>
    <x v="20"/>
    <x v="2"/>
    <s v="WA"/>
    <s v="No gap agreement"/>
    <s v="More than 150% MBS Fee to 200% MBS Fee"/>
    <n v="48934096.420000002"/>
    <n v="21678192.960000001"/>
    <n v="27255887.460000001"/>
    <n v="228133"/>
  </r>
  <r>
    <x v="20"/>
    <x v="2"/>
    <s v="WA"/>
    <s v="No gap agreement"/>
    <s v="More than 200% MBS Fee"/>
    <n v="3351220.2"/>
    <n v="895121.77"/>
    <n v="2456098.4300000002"/>
    <n v="2759"/>
  </r>
  <r>
    <x v="20"/>
    <x v="2"/>
    <s v="TAS"/>
    <s v="No agreement"/>
    <s v="Up to MBS Fee"/>
    <n v="827537.38"/>
    <n v="621060.29"/>
    <n v="206477.09"/>
    <n v="12270"/>
  </r>
  <r>
    <x v="20"/>
    <x v="2"/>
    <s v="TAS"/>
    <s v="No agreement"/>
    <s v="100% MBS Fee to 125% MBS Fee"/>
    <n v="387701.79"/>
    <n v="243304.59"/>
    <n v="137791.25"/>
    <n v="2493"/>
  </r>
  <r>
    <x v="20"/>
    <x v="2"/>
    <s v="TAS"/>
    <s v="No agreement"/>
    <s v="More than 125% MBS Fee to 150% MBS Fee"/>
    <n v="695052.25"/>
    <n v="394598.8"/>
    <n v="266509.09999999998"/>
    <n v="10428"/>
  </r>
  <r>
    <x v="20"/>
    <x v="2"/>
    <s v="TAS"/>
    <s v="No agreement"/>
    <s v="More than 150% MBS Fee to 200% MBS Fee"/>
    <n v="522108.66"/>
    <n v="230829.1"/>
    <n v="185578.09"/>
    <n v="2823"/>
  </r>
  <r>
    <x v="20"/>
    <x v="2"/>
    <s v="TAS"/>
    <s v="No agreement"/>
    <s v="More than 200% MBS Fee"/>
    <n v="1776869.79"/>
    <n v="412038.62"/>
    <n v="146736.15"/>
    <n v="1649"/>
  </r>
  <r>
    <x v="20"/>
    <x v="2"/>
    <s v="TAS"/>
    <s v="Known gap agreement"/>
    <s v="100% MBS Fee to 125% MBS Fee"/>
    <n v="187875.51"/>
    <n v="128330.75"/>
    <n v="50826.33"/>
    <n v="1009"/>
  </r>
  <r>
    <x v="20"/>
    <x v="2"/>
    <s v="TAS"/>
    <s v="Known gap agreement"/>
    <s v="More than 125% MBS Fee to 150% MBS Fee"/>
    <n v="260801.82"/>
    <n v="139890.5"/>
    <n v="104184.66"/>
    <n v="869"/>
  </r>
  <r>
    <x v="20"/>
    <x v="2"/>
    <s v="TAS"/>
    <s v="Known gap agreement"/>
    <s v="More than 150% MBS Fee to 200% MBS Fee"/>
    <n v="1030339.81"/>
    <n v="441434.2"/>
    <n v="437070.18"/>
    <n v="1985"/>
  </r>
  <r>
    <x v="20"/>
    <x v="2"/>
    <s v="TAS"/>
    <s v="Known gap agreement"/>
    <s v="More than 200% MBS Fee"/>
    <n v="1253660.21"/>
    <n v="386049.5"/>
    <n v="438045.4"/>
    <n v="3291"/>
  </r>
  <r>
    <x v="20"/>
    <x v="2"/>
    <s v="TAS"/>
    <s v="No gap agreement"/>
    <s v="Up to MBS Fee"/>
    <n v="1844353.26"/>
    <n v="1385681.7"/>
    <n v="458671.48"/>
    <n v="25914"/>
  </r>
  <r>
    <x v="20"/>
    <x v="2"/>
    <s v="TAS"/>
    <s v="No gap agreement"/>
    <s v="100% MBS Fee to 125% MBS Fee"/>
    <n v="2750728.71"/>
    <n v="1751469.31"/>
    <n v="999259.3"/>
    <n v="21520"/>
  </r>
  <r>
    <x v="20"/>
    <x v="2"/>
    <s v="TAS"/>
    <s v="No gap agreement"/>
    <s v="More than 125% MBS Fee to 150% MBS Fee"/>
    <n v="8111378.6200000001"/>
    <n v="4439910.4000000004"/>
    <n v="3671467.33"/>
    <n v="46249"/>
  </r>
  <r>
    <x v="20"/>
    <x v="2"/>
    <s v="TAS"/>
    <s v="No gap agreement"/>
    <s v="More than 150% MBS Fee to 200% MBS Fee"/>
    <n v="11197047.24"/>
    <n v="5130581.18"/>
    <n v="6066465.4800000004"/>
    <n v="51237"/>
  </r>
  <r>
    <x v="20"/>
    <x v="2"/>
    <s v="TAS"/>
    <s v="No gap agreement"/>
    <s v="More than 200% MBS Fee"/>
    <n v="581604.97"/>
    <n v="166729"/>
    <n v="414875.97"/>
    <n v="658"/>
  </r>
  <r>
    <x v="20"/>
    <x v="2"/>
    <s v="ACT"/>
    <s v="No agreement"/>
    <s v="Up to MBS Fee"/>
    <n v="1240690.1499999999"/>
    <n v="932330.78"/>
    <n v="307630.02"/>
    <n v="17908"/>
  </r>
  <r>
    <x v="20"/>
    <x v="2"/>
    <s v="ACT"/>
    <s v="No agreement"/>
    <s v="100% MBS Fee to 125% MBS Fee"/>
    <n v="129688.85"/>
    <n v="86913.45"/>
    <n v="35765.300000000003"/>
    <n v="807"/>
  </r>
  <r>
    <x v="20"/>
    <x v="2"/>
    <s v="ACT"/>
    <s v="No agreement"/>
    <s v="More than 125% MBS Fee to 150% MBS Fee"/>
    <n v="447990.56"/>
    <n v="255184.82"/>
    <n v="167267.62"/>
    <n v="6467"/>
  </r>
  <r>
    <x v="20"/>
    <x v="2"/>
    <s v="ACT"/>
    <s v="No agreement"/>
    <s v="More than 150% MBS Fee to 200% MBS Fee"/>
    <n v="730480.17"/>
    <n v="309054.33"/>
    <n v="144216.66"/>
    <n v="3044"/>
  </r>
  <r>
    <x v="20"/>
    <x v="2"/>
    <s v="ACT"/>
    <s v="No agreement"/>
    <s v="More than 200% MBS Fee"/>
    <n v="7766550.7599999998"/>
    <n v="1840155.27"/>
    <n v="623591.79"/>
    <n v="9342"/>
  </r>
  <r>
    <x v="20"/>
    <x v="2"/>
    <s v="ACT"/>
    <s v="Known gap agreement"/>
    <s v="100% MBS Fee to 125% MBS Fee"/>
    <n v="29965.83"/>
    <n v="19497.900000000001"/>
    <n v="9311.3700000000008"/>
    <n v="115"/>
  </r>
  <r>
    <x v="20"/>
    <x v="2"/>
    <s v="ACT"/>
    <s v="Known gap agreement"/>
    <s v="More than 125% MBS Fee to 150% MBS Fee"/>
    <n v="99719.76"/>
    <n v="55635.45"/>
    <n v="35502.31"/>
    <n v="345"/>
  </r>
  <r>
    <x v="20"/>
    <x v="2"/>
    <s v="ACT"/>
    <s v="Known gap agreement"/>
    <s v="More than 150% MBS Fee to 200% MBS Fee"/>
    <n v="333889.90999999997"/>
    <n v="143090.20000000001"/>
    <n v="143247.51999999999"/>
    <n v="1084"/>
  </r>
  <r>
    <x v="20"/>
    <x v="2"/>
    <s v="ACT"/>
    <s v="Known gap agreement"/>
    <s v="More than 200% MBS Fee"/>
    <n v="1631646.61"/>
    <n v="440623.85"/>
    <n v="485185.88"/>
    <n v="5717"/>
  </r>
  <r>
    <x v="20"/>
    <x v="2"/>
    <s v="ACT"/>
    <s v="No gap agreement"/>
    <s v="Up to MBS Fee"/>
    <n v="318075.75"/>
    <n v="238953.35"/>
    <n v="79124.37"/>
    <n v="7631"/>
  </r>
  <r>
    <x v="20"/>
    <x v="2"/>
    <s v="ACT"/>
    <s v="No gap agreement"/>
    <s v="100% MBS Fee to 125% MBS Fee"/>
    <n v="1348961.43"/>
    <n v="863365.8"/>
    <n v="485585.67"/>
    <n v="15453"/>
  </r>
  <r>
    <x v="20"/>
    <x v="2"/>
    <s v="ACT"/>
    <s v="No gap agreement"/>
    <s v="More than 125% MBS Fee to 150% MBS Fee"/>
    <n v="3315250.36"/>
    <n v="1822356.7"/>
    <n v="1492881.67"/>
    <n v="19660"/>
  </r>
  <r>
    <x v="20"/>
    <x v="2"/>
    <s v="ACT"/>
    <s v="No gap agreement"/>
    <s v="More than 150% MBS Fee to 200% MBS Fee"/>
    <n v="2534117.58"/>
    <n v="1156333.6399999999"/>
    <n v="1377768.54"/>
    <n v="14562"/>
  </r>
  <r>
    <x v="20"/>
    <x v="2"/>
    <s v="ACT"/>
    <s v="No gap agreement"/>
    <s v="More than 200% MBS Fee"/>
    <n v="307858.24"/>
    <n v="94466.5"/>
    <n v="213391.74"/>
    <n v="888"/>
  </r>
  <r>
    <x v="20"/>
    <x v="2"/>
    <s v="NT"/>
    <s v="No agreement"/>
    <s v="Up to MBS Fee"/>
    <n v="371860.39"/>
    <n v="279028.88"/>
    <n v="92831.5"/>
    <n v="2446"/>
  </r>
  <r>
    <x v="20"/>
    <x v="2"/>
    <s v="NT"/>
    <s v="No agreement"/>
    <s v="100% MBS Fee to 125% MBS Fee"/>
    <n v="107600.39"/>
    <n v="67234.53"/>
    <n v="37081.949999999997"/>
    <n v="588"/>
  </r>
  <r>
    <x v="20"/>
    <x v="2"/>
    <s v="NT"/>
    <s v="No agreement"/>
    <s v="More than 125% MBS Fee to 150% MBS Fee"/>
    <n v="129980.29"/>
    <n v="70324.05"/>
    <n v="40907.14"/>
    <n v="1360"/>
  </r>
  <r>
    <x v="20"/>
    <x v="2"/>
    <s v="NT"/>
    <s v="No agreement"/>
    <s v="More than 150% MBS Fee to 200% MBS Fee"/>
    <n v="106236.72"/>
    <n v="45971.05"/>
    <n v="32250.05"/>
    <n v="503"/>
  </r>
  <r>
    <x v="20"/>
    <x v="2"/>
    <s v="NT"/>
    <s v="No agreement"/>
    <s v="More than 200% MBS Fee"/>
    <n v="1381320.85"/>
    <n v="337059.06"/>
    <n v="115272.95"/>
    <n v="1605"/>
  </r>
  <r>
    <x v="20"/>
    <x v="2"/>
    <s v="NT"/>
    <s v="Known gap agreement"/>
    <s v="100% MBS Fee to 125% MBS Fee"/>
    <n v="14983.5"/>
    <n v="10150.4"/>
    <n v="4439.45"/>
    <n v="59"/>
  </r>
  <r>
    <x v="20"/>
    <x v="2"/>
    <s v="NT"/>
    <s v="Known gap agreement"/>
    <s v="More than 125% MBS Fee to 150% MBS Fee"/>
    <n v="39540.76"/>
    <n v="21088.25"/>
    <n v="15241.11"/>
    <n v="152"/>
  </r>
  <r>
    <x v="20"/>
    <x v="2"/>
    <s v="NT"/>
    <s v="Known gap agreement"/>
    <s v="More than 150% MBS Fee to 200% MBS Fee"/>
    <n v="129500.17"/>
    <n v="55495.75"/>
    <n v="55721.15"/>
    <n v="278"/>
  </r>
  <r>
    <x v="20"/>
    <x v="2"/>
    <s v="NT"/>
    <s v="Known gap agreement"/>
    <s v="More than 200% MBS Fee"/>
    <n v="451495.56"/>
    <n v="124573.05"/>
    <n v="130325.09"/>
    <n v="2582"/>
  </r>
  <r>
    <x v="20"/>
    <x v="2"/>
    <s v="NT"/>
    <s v="No gap agreement"/>
    <s v="Up to MBS Fee"/>
    <n v="114137.97"/>
    <n v="85801.7"/>
    <n v="28336.27"/>
    <n v="1546"/>
  </r>
  <r>
    <x v="20"/>
    <x v="2"/>
    <s v="NT"/>
    <s v="No gap agreement"/>
    <s v="100% MBS Fee to 125% MBS Fee"/>
    <n v="487192.99"/>
    <n v="311753.09999999998"/>
    <n v="175439.83"/>
    <n v="3187"/>
  </r>
  <r>
    <x v="20"/>
    <x v="2"/>
    <s v="NT"/>
    <s v="No gap agreement"/>
    <s v="More than 125% MBS Fee to 150% MBS Fee"/>
    <n v="1288126.44"/>
    <n v="705951.7"/>
    <n v="582174.44999999995"/>
    <n v="7316"/>
  </r>
  <r>
    <x v="20"/>
    <x v="2"/>
    <s v="NT"/>
    <s v="No gap agreement"/>
    <s v="More than 150% MBS Fee to 200% MBS Fee"/>
    <n v="1933492.79"/>
    <n v="889429.85"/>
    <n v="1044061.72"/>
    <n v="8549"/>
  </r>
  <r>
    <x v="20"/>
    <x v="2"/>
    <s v="NT"/>
    <s v="No gap agreement"/>
    <s v="More than 200% MBS Fee"/>
    <n v="52809.2"/>
    <n v="15600.55"/>
    <n v="37208.65"/>
    <n v="104"/>
  </r>
  <r>
    <x v="20"/>
    <x v="3"/>
    <s v="NSW"/>
    <s v="No agreement"/>
    <s v="Up to MBS Fee"/>
    <n v="41286736.380000003"/>
    <n v="31021321.73"/>
    <n v="10258444.84"/>
    <n v="700943"/>
  </r>
  <r>
    <x v="20"/>
    <x v="3"/>
    <s v="NSW"/>
    <s v="No agreement"/>
    <s v="100% MBS Fee to 125% MBS Fee"/>
    <n v="2720019"/>
    <n v="1811122.62"/>
    <n v="722801.85"/>
    <n v="18981"/>
  </r>
  <r>
    <x v="20"/>
    <x v="3"/>
    <s v="NSW"/>
    <s v="No agreement"/>
    <s v="More than 125% MBS Fee to 150% MBS Fee"/>
    <n v="3511265.39"/>
    <n v="1889990.04"/>
    <n v="1060397.31"/>
    <n v="21126"/>
  </r>
  <r>
    <x v="20"/>
    <x v="3"/>
    <s v="NSW"/>
    <s v="No agreement"/>
    <s v="More than 150% MBS Fee to 200% MBS Fee"/>
    <n v="11266641.73"/>
    <n v="4863750.43"/>
    <n v="2439110.58"/>
    <n v="42220"/>
  </r>
  <r>
    <x v="20"/>
    <x v="3"/>
    <s v="NSW"/>
    <s v="No agreement"/>
    <s v="More than 200% MBS Fee"/>
    <n v="87812545.25"/>
    <n v="21052943.079999998"/>
    <n v="7118112.8200000003"/>
    <n v="116057"/>
  </r>
  <r>
    <x v="20"/>
    <x v="3"/>
    <s v="NSW"/>
    <s v="Known gap agreement"/>
    <s v="100% MBS Fee to 125% MBS Fee"/>
    <n v="1427266.31"/>
    <n v="957601.77"/>
    <n v="408642.27"/>
    <n v="6442"/>
  </r>
  <r>
    <x v="20"/>
    <x v="3"/>
    <s v="NSW"/>
    <s v="Known gap agreement"/>
    <s v="More than 125% MBS Fee to 150% MBS Fee"/>
    <n v="1842252.45"/>
    <n v="993368.12"/>
    <n v="686886.40000000002"/>
    <n v="7222"/>
  </r>
  <r>
    <x v="20"/>
    <x v="3"/>
    <s v="NSW"/>
    <s v="Known gap agreement"/>
    <s v="More than 150% MBS Fee to 200% MBS Fee"/>
    <n v="5506877.1500000004"/>
    <n v="2391619.7999999998"/>
    <n v="2333358.37"/>
    <n v="14264"/>
  </r>
  <r>
    <x v="20"/>
    <x v="3"/>
    <s v="NSW"/>
    <s v="Known gap agreement"/>
    <s v="More than 200% MBS Fee"/>
    <n v="8069164.0300000003"/>
    <n v="2236627.6"/>
    <n v="2416375.88"/>
    <n v="31329"/>
  </r>
  <r>
    <x v="20"/>
    <x v="3"/>
    <s v="NSW"/>
    <s v="No gap agreement"/>
    <s v="Up to MBS Fee"/>
    <n v="14866529.380000001"/>
    <n v="11175362.380000001"/>
    <n v="3691238.25"/>
    <n v="380185"/>
  </r>
  <r>
    <x v="20"/>
    <x v="3"/>
    <s v="NSW"/>
    <s v="No gap agreement"/>
    <s v="100% MBS Fee to 125% MBS Fee"/>
    <n v="37646441.299999997"/>
    <n v="24049834.960000001"/>
    <n v="13596576.82"/>
    <n v="364427"/>
  </r>
  <r>
    <x v="20"/>
    <x v="3"/>
    <s v="NSW"/>
    <s v="No gap agreement"/>
    <s v="More than 125% MBS Fee to 150% MBS Fee"/>
    <n v="84184362.870000005"/>
    <n v="46415508.920000002"/>
    <n v="37768839.850000001"/>
    <n v="513182"/>
  </r>
  <r>
    <x v="20"/>
    <x v="3"/>
    <s v="NSW"/>
    <s v="No gap agreement"/>
    <s v="More than 150% MBS Fee to 200% MBS Fee"/>
    <n v="99137255.159999996"/>
    <n v="45184675.390000001"/>
    <n v="53952395.060000002"/>
    <n v="538415"/>
  </r>
  <r>
    <x v="20"/>
    <x v="3"/>
    <s v="NSW"/>
    <s v="No gap agreement"/>
    <s v="More than 200% MBS Fee"/>
    <n v="9782504.8000000007"/>
    <n v="3036246.77"/>
    <n v="6746257.9000000004"/>
    <n v="34853"/>
  </r>
  <r>
    <x v="20"/>
    <x v="3"/>
    <s v="VIC"/>
    <s v="No agreement"/>
    <s v="Up to MBS Fee"/>
    <n v="9682783.7100000009"/>
    <n v="7271941.0700000003"/>
    <n v="2408583.88"/>
    <n v="146625"/>
  </r>
  <r>
    <x v="20"/>
    <x v="3"/>
    <s v="VIC"/>
    <s v="No agreement"/>
    <s v="100% MBS Fee to 125% MBS Fee"/>
    <n v="1579182.2"/>
    <n v="1026882.26"/>
    <n v="395915.31"/>
    <n v="7898"/>
  </r>
  <r>
    <x v="20"/>
    <x v="3"/>
    <s v="VIC"/>
    <s v="No agreement"/>
    <s v="More than 125% MBS Fee to 150% MBS Fee"/>
    <n v="5159391.82"/>
    <n v="2827538.61"/>
    <n v="1730333.12"/>
    <n v="81244"/>
  </r>
  <r>
    <x v="20"/>
    <x v="3"/>
    <s v="VIC"/>
    <s v="No agreement"/>
    <s v="More than 150% MBS Fee to 200% MBS Fee"/>
    <n v="7629477.9299999997"/>
    <n v="3275021.22"/>
    <n v="2455185.62"/>
    <n v="36718"/>
  </r>
  <r>
    <x v="20"/>
    <x v="3"/>
    <s v="VIC"/>
    <s v="No agreement"/>
    <s v="More than 200% MBS Fee"/>
    <n v="20774289.030000001"/>
    <n v="5238685.6100000003"/>
    <n v="1920906.37"/>
    <n v="29098"/>
  </r>
  <r>
    <x v="20"/>
    <x v="3"/>
    <s v="VIC"/>
    <s v="Known gap agreement"/>
    <s v="100% MBS Fee to 125% MBS Fee"/>
    <n v="2094921.72"/>
    <n v="1396636.42"/>
    <n v="613878.07999999996"/>
    <n v="10971"/>
  </r>
  <r>
    <x v="20"/>
    <x v="3"/>
    <s v="VIC"/>
    <s v="Known gap agreement"/>
    <s v="More than 125% MBS Fee to 150% MBS Fee"/>
    <n v="4056768.25"/>
    <n v="2205087.17"/>
    <n v="1436357.81"/>
    <n v="17450"/>
  </r>
  <r>
    <x v="20"/>
    <x v="3"/>
    <s v="VIC"/>
    <s v="Known gap agreement"/>
    <s v="More than 150% MBS Fee to 200% MBS Fee"/>
    <n v="6935885.7300000004"/>
    <n v="2991818.62"/>
    <n v="2700512.71"/>
    <n v="17850"/>
  </r>
  <r>
    <x v="20"/>
    <x v="3"/>
    <s v="VIC"/>
    <s v="Known gap agreement"/>
    <s v="More than 200% MBS Fee"/>
    <n v="10547062.939999999"/>
    <n v="3021829.45"/>
    <n v="3003868.11"/>
    <n v="49919"/>
  </r>
  <r>
    <x v="20"/>
    <x v="3"/>
    <s v="VIC"/>
    <s v="No gap agreement"/>
    <s v="Up to MBS Fee"/>
    <n v="16018442.550000001"/>
    <n v="12038527.27"/>
    <n v="3979944.43"/>
    <n v="308349"/>
  </r>
  <r>
    <x v="20"/>
    <x v="3"/>
    <s v="VIC"/>
    <s v="No gap agreement"/>
    <s v="100% MBS Fee to 125% MBS Fee"/>
    <n v="36636911.270000003"/>
    <n v="23395476.719999999"/>
    <n v="13241354.890000001"/>
    <n v="309987"/>
  </r>
  <r>
    <x v="20"/>
    <x v="3"/>
    <s v="VIC"/>
    <s v="No gap agreement"/>
    <s v="More than 125% MBS Fee to 150% MBS Fee"/>
    <n v="92347853.640000001"/>
    <n v="50746788.509999998"/>
    <n v="41601030.950000003"/>
    <n v="608531"/>
  </r>
  <r>
    <x v="20"/>
    <x v="3"/>
    <s v="VIC"/>
    <s v="No gap agreement"/>
    <s v="More than 150% MBS Fee to 200% MBS Fee"/>
    <n v="95566249.590000004"/>
    <n v="42788541.090000004"/>
    <n v="52777657.68"/>
    <n v="503556"/>
  </r>
  <r>
    <x v="20"/>
    <x v="3"/>
    <s v="VIC"/>
    <s v="No gap agreement"/>
    <s v="More than 200% MBS Fee"/>
    <n v="4580139.68"/>
    <n v="1308847.1299999999"/>
    <n v="3271292.54"/>
    <n v="11234"/>
  </r>
  <r>
    <x v="20"/>
    <x v="3"/>
    <s v="QLD"/>
    <s v="No agreement"/>
    <s v="Up to MBS Fee"/>
    <n v="8773932.8100000005"/>
    <n v="6592787.3499999996"/>
    <n v="2174383.94"/>
    <n v="71788"/>
  </r>
  <r>
    <x v="20"/>
    <x v="3"/>
    <s v="QLD"/>
    <s v="No agreement"/>
    <s v="100% MBS Fee to 125% MBS Fee"/>
    <n v="3558745.61"/>
    <n v="2301485.4900000002"/>
    <n v="1096427.1200000001"/>
    <n v="46999"/>
  </r>
  <r>
    <x v="20"/>
    <x v="3"/>
    <s v="QLD"/>
    <s v="No agreement"/>
    <s v="More than 125% MBS Fee to 150% MBS Fee"/>
    <n v="4141294.97"/>
    <n v="2200903.77"/>
    <n v="1164153.4099999999"/>
    <n v="43898"/>
  </r>
  <r>
    <x v="20"/>
    <x v="3"/>
    <s v="QLD"/>
    <s v="No agreement"/>
    <s v="More than 150% MBS Fee to 200% MBS Fee"/>
    <n v="8119936.25"/>
    <n v="3521305.42"/>
    <n v="2067368.75"/>
    <n v="33267"/>
  </r>
  <r>
    <x v="20"/>
    <x v="3"/>
    <s v="QLD"/>
    <s v="No agreement"/>
    <s v="More than 200% MBS Fee"/>
    <n v="40070985.460000001"/>
    <n v="10025050.380000001"/>
    <n v="3558230.46"/>
    <n v="53497"/>
  </r>
  <r>
    <x v="20"/>
    <x v="3"/>
    <s v="QLD"/>
    <s v="Known gap agreement"/>
    <s v="100% MBS Fee to 125% MBS Fee"/>
    <n v="944216.28"/>
    <n v="622175.28"/>
    <n v="273503.44"/>
    <n v="3486"/>
  </r>
  <r>
    <x v="20"/>
    <x v="3"/>
    <s v="QLD"/>
    <s v="Known gap agreement"/>
    <s v="More than 125% MBS Fee to 150% MBS Fee"/>
    <n v="1673337.59"/>
    <n v="902680.18"/>
    <n v="615600.86"/>
    <n v="8075"/>
  </r>
  <r>
    <x v="20"/>
    <x v="3"/>
    <s v="QLD"/>
    <s v="Known gap agreement"/>
    <s v="More than 150% MBS Fee to 200% MBS Fee"/>
    <n v="6042238.8700000001"/>
    <n v="2566830.0499999998"/>
    <n v="2480102.7599999998"/>
    <n v="11129"/>
  </r>
  <r>
    <x v="20"/>
    <x v="3"/>
    <s v="QLD"/>
    <s v="Known gap agreement"/>
    <s v="More than 200% MBS Fee"/>
    <n v="12108567.42"/>
    <n v="3492493.6"/>
    <n v="3899771.65"/>
    <n v="30896"/>
  </r>
  <r>
    <x v="20"/>
    <x v="3"/>
    <s v="QLD"/>
    <s v="No gap agreement"/>
    <s v="Up to MBS Fee"/>
    <n v="8965266.8800000008"/>
    <n v="6733628.2699999996"/>
    <n v="2231672.91"/>
    <n v="128280"/>
  </r>
  <r>
    <x v="20"/>
    <x v="3"/>
    <s v="QLD"/>
    <s v="No gap agreement"/>
    <s v="100% MBS Fee to 125% MBS Fee"/>
    <n v="33907143.420000002"/>
    <n v="21638908"/>
    <n v="12268102.82"/>
    <n v="322824"/>
  </r>
  <r>
    <x v="20"/>
    <x v="3"/>
    <s v="QLD"/>
    <s v="No gap agreement"/>
    <s v="More than 125% MBS Fee to 150% MBS Fee"/>
    <n v="69556927.060000002"/>
    <n v="38477111.090000004"/>
    <n v="31079356.140000001"/>
    <n v="550673"/>
  </r>
  <r>
    <x v="20"/>
    <x v="3"/>
    <s v="QLD"/>
    <s v="No gap agreement"/>
    <s v="More than 150% MBS Fee to 200% MBS Fee"/>
    <n v="64751614.799999997"/>
    <n v="29620210.120000001"/>
    <n v="35131191.060000002"/>
    <n v="413964"/>
  </r>
  <r>
    <x v="20"/>
    <x v="3"/>
    <s v="QLD"/>
    <s v="No gap agreement"/>
    <s v="More than 200% MBS Fee"/>
    <n v="6153344.04"/>
    <n v="1804814.33"/>
    <n v="4348529.59"/>
    <n v="12236"/>
  </r>
  <r>
    <x v="20"/>
    <x v="3"/>
    <s v="SA"/>
    <s v="No agreement"/>
    <s v="Up to MBS Fee"/>
    <n v="2325254.16"/>
    <n v="1747794.66"/>
    <n v="577436.61"/>
    <n v="19689"/>
  </r>
  <r>
    <x v="20"/>
    <x v="3"/>
    <s v="SA"/>
    <s v="No agreement"/>
    <s v="100% MBS Fee to 125% MBS Fee"/>
    <n v="491767.66"/>
    <n v="311567.83"/>
    <n v="161432.03"/>
    <n v="2539"/>
  </r>
  <r>
    <x v="20"/>
    <x v="3"/>
    <s v="SA"/>
    <s v="No agreement"/>
    <s v="More than 125% MBS Fee to 150% MBS Fee"/>
    <n v="1129557.71"/>
    <n v="609052.91"/>
    <n v="437319.7"/>
    <n v="8821"/>
  </r>
  <r>
    <x v="20"/>
    <x v="3"/>
    <s v="SA"/>
    <s v="No agreement"/>
    <s v="More than 150% MBS Fee to 200% MBS Fee"/>
    <n v="2507795.56"/>
    <n v="1085614.0800000001"/>
    <n v="1277377.43"/>
    <n v="9116"/>
  </r>
  <r>
    <x v="20"/>
    <x v="3"/>
    <s v="SA"/>
    <s v="No agreement"/>
    <s v="More than 200% MBS Fee"/>
    <n v="2011331.52"/>
    <n v="510794.67"/>
    <n v="269417.40000000002"/>
    <n v="3349"/>
  </r>
  <r>
    <x v="20"/>
    <x v="3"/>
    <s v="SA"/>
    <s v="Known gap agreement"/>
    <s v="100% MBS Fee to 125% MBS Fee"/>
    <n v="342565.45"/>
    <n v="229785.75"/>
    <n v="97710.84"/>
    <n v="1582"/>
  </r>
  <r>
    <x v="20"/>
    <x v="3"/>
    <s v="SA"/>
    <s v="Known gap agreement"/>
    <s v="More than 125% MBS Fee to 150% MBS Fee"/>
    <n v="516441.51"/>
    <n v="277739.84000000003"/>
    <n v="191530.96"/>
    <n v="1898"/>
  </r>
  <r>
    <x v="20"/>
    <x v="3"/>
    <s v="SA"/>
    <s v="Known gap agreement"/>
    <s v="More than 150% MBS Fee to 200% MBS Fee"/>
    <n v="3348480.81"/>
    <n v="1408949.45"/>
    <n v="1470667.34"/>
    <n v="6957"/>
  </r>
  <r>
    <x v="20"/>
    <x v="3"/>
    <s v="SA"/>
    <s v="Known gap agreement"/>
    <s v="More than 200% MBS Fee"/>
    <n v="3895980.35"/>
    <n v="1215967.6499999999"/>
    <n v="1528400.34"/>
    <n v="20688"/>
  </r>
  <r>
    <x v="20"/>
    <x v="3"/>
    <s v="SA"/>
    <s v="No gap agreement"/>
    <s v="Up to MBS Fee"/>
    <n v="4112886.95"/>
    <n v="3093474.11"/>
    <n v="1019498.4"/>
    <n v="59397"/>
  </r>
  <r>
    <x v="20"/>
    <x v="3"/>
    <s v="SA"/>
    <s v="No gap agreement"/>
    <s v="100% MBS Fee to 125% MBS Fee"/>
    <n v="7633053.2000000002"/>
    <n v="4864928.4400000004"/>
    <n v="2768116.11"/>
    <n v="67985"/>
  </r>
  <r>
    <x v="20"/>
    <x v="3"/>
    <s v="SA"/>
    <s v="No gap agreement"/>
    <s v="More than 125% MBS Fee to 150% MBS Fee"/>
    <n v="21446806.609999999"/>
    <n v="11723641.42"/>
    <n v="9723160.1199999992"/>
    <n v="185780"/>
  </r>
  <r>
    <x v="20"/>
    <x v="3"/>
    <s v="SA"/>
    <s v="No gap agreement"/>
    <s v="More than 150% MBS Fee to 200% MBS Fee"/>
    <n v="37968949.219999999"/>
    <n v="16916458.190000001"/>
    <n v="21052480.050000001"/>
    <n v="146384"/>
  </r>
  <r>
    <x v="20"/>
    <x v="3"/>
    <s v="SA"/>
    <s v="No gap agreement"/>
    <s v="More than 200% MBS Fee"/>
    <n v="1948842.35"/>
    <n v="551184.25"/>
    <n v="1397658.1"/>
    <n v="3760"/>
  </r>
  <r>
    <x v="20"/>
    <x v="3"/>
    <s v="WA"/>
    <s v="No agreement"/>
    <s v="Up to MBS Fee"/>
    <n v="2572206.02"/>
    <n v="1933867.93"/>
    <n v="636235.66"/>
    <n v="39561"/>
  </r>
  <r>
    <x v="20"/>
    <x v="3"/>
    <s v="WA"/>
    <s v="No agreement"/>
    <s v="100% MBS Fee to 125% MBS Fee"/>
    <n v="372657.48"/>
    <n v="250600.79"/>
    <n v="90928.47"/>
    <n v="1946"/>
  </r>
  <r>
    <x v="20"/>
    <x v="3"/>
    <s v="WA"/>
    <s v="No agreement"/>
    <s v="More than 125% MBS Fee to 150% MBS Fee"/>
    <n v="1518472.57"/>
    <n v="800683.5"/>
    <n v="328764.28000000003"/>
    <n v="19294"/>
  </r>
  <r>
    <x v="20"/>
    <x v="3"/>
    <s v="WA"/>
    <s v="No agreement"/>
    <s v="More than 150% MBS Fee to 200% MBS Fee"/>
    <n v="2318290.66"/>
    <n v="1012817.17"/>
    <n v="478732.6"/>
    <n v="8046"/>
  </r>
  <r>
    <x v="20"/>
    <x v="3"/>
    <s v="WA"/>
    <s v="No agreement"/>
    <s v="More than 200% MBS Fee"/>
    <n v="8125181.4800000004"/>
    <n v="1959582.7"/>
    <n v="688707.77"/>
    <n v="18708"/>
  </r>
  <r>
    <x v="20"/>
    <x v="3"/>
    <s v="WA"/>
    <s v="Known gap agreement"/>
    <s v="100% MBS Fee to 125% MBS Fee"/>
    <n v="2012992.44"/>
    <n v="1402228.35"/>
    <n v="583077.21"/>
    <n v="10336"/>
  </r>
  <r>
    <x v="20"/>
    <x v="3"/>
    <s v="WA"/>
    <s v="Known gap agreement"/>
    <s v="More than 125% MBS Fee to 150% MBS Fee"/>
    <n v="3287270.54"/>
    <n v="1772913.7"/>
    <n v="1351582.11"/>
    <n v="25384"/>
  </r>
  <r>
    <x v="20"/>
    <x v="3"/>
    <s v="WA"/>
    <s v="Known gap agreement"/>
    <s v="More than 150% MBS Fee to 200% MBS Fee"/>
    <n v="6986186.5"/>
    <n v="3102524.82"/>
    <n v="2688202.28"/>
    <n v="16676"/>
  </r>
  <r>
    <x v="20"/>
    <x v="3"/>
    <s v="WA"/>
    <s v="Known gap agreement"/>
    <s v="More than 200% MBS Fee"/>
    <n v="10652411.560000001"/>
    <n v="2781409.05"/>
    <n v="1817209.16"/>
    <n v="16969"/>
  </r>
  <r>
    <x v="20"/>
    <x v="3"/>
    <s v="WA"/>
    <s v="No gap agreement"/>
    <s v="Up to MBS Fee"/>
    <n v="3836491.81"/>
    <n v="2891682.46"/>
    <n v="944866.28"/>
    <n v="100710"/>
  </r>
  <r>
    <x v="20"/>
    <x v="3"/>
    <s v="WA"/>
    <s v="No gap agreement"/>
    <s v="100% MBS Fee to 125% MBS Fee"/>
    <n v="6076311.25"/>
    <n v="3943156.86"/>
    <n v="2133144.1"/>
    <n v="39542"/>
  </r>
  <r>
    <x v="20"/>
    <x v="3"/>
    <s v="WA"/>
    <s v="No gap agreement"/>
    <s v="More than 125% MBS Fee to 150% MBS Fee"/>
    <n v="34117701.240000002"/>
    <n v="18929392.280000001"/>
    <n v="15188306.189999999"/>
    <n v="236012"/>
  </r>
  <r>
    <x v="20"/>
    <x v="3"/>
    <s v="WA"/>
    <s v="No gap agreement"/>
    <s v="More than 150% MBS Fee to 200% MBS Fee"/>
    <n v="45464768.700000003"/>
    <n v="20130160.620000001"/>
    <n v="25334598.989999998"/>
    <n v="212084"/>
  </r>
  <r>
    <x v="20"/>
    <x v="3"/>
    <s v="WA"/>
    <s v="No gap agreement"/>
    <s v="More than 200% MBS Fee"/>
    <n v="3290335.39"/>
    <n v="873526.57"/>
    <n v="2416808.8199999998"/>
    <n v="2598"/>
  </r>
  <r>
    <x v="20"/>
    <x v="3"/>
    <s v="TAS"/>
    <s v="No agreement"/>
    <s v="Up to MBS Fee"/>
    <n v="632524.03"/>
    <n v="476320.65"/>
    <n v="156203.13"/>
    <n v="8145"/>
  </r>
  <r>
    <x v="20"/>
    <x v="3"/>
    <s v="TAS"/>
    <s v="No agreement"/>
    <s v="100% MBS Fee to 125% MBS Fee"/>
    <n v="234833.29"/>
    <n v="151111.10999999999"/>
    <n v="76788.009999999995"/>
    <n v="1638"/>
  </r>
  <r>
    <x v="20"/>
    <x v="3"/>
    <s v="TAS"/>
    <s v="No agreement"/>
    <s v="More than 125% MBS Fee to 150% MBS Fee"/>
    <n v="187970.53"/>
    <n v="102598.28"/>
    <n v="60092.94"/>
    <n v="852"/>
  </r>
  <r>
    <x v="20"/>
    <x v="3"/>
    <s v="TAS"/>
    <s v="No agreement"/>
    <s v="More than 150% MBS Fee to 200% MBS Fee"/>
    <n v="575953.73"/>
    <n v="253948.79999999999"/>
    <n v="203093.35"/>
    <n v="2522"/>
  </r>
  <r>
    <x v="20"/>
    <x v="3"/>
    <s v="TAS"/>
    <s v="No agreement"/>
    <s v="More than 200% MBS Fee"/>
    <n v="1812471.52"/>
    <n v="425940.46"/>
    <n v="151576.35"/>
    <n v="1678"/>
  </r>
  <r>
    <x v="20"/>
    <x v="3"/>
    <s v="TAS"/>
    <s v="Known gap agreement"/>
    <s v="100% MBS Fee to 125% MBS Fee"/>
    <n v="157190.6"/>
    <n v="107339.35"/>
    <n v="40553.5"/>
    <n v="898"/>
  </r>
  <r>
    <x v="20"/>
    <x v="3"/>
    <s v="TAS"/>
    <s v="Known gap agreement"/>
    <s v="More than 125% MBS Fee to 150% MBS Fee"/>
    <n v="254682.79"/>
    <n v="137987.54999999999"/>
    <n v="101593.8"/>
    <n v="983"/>
  </r>
  <r>
    <x v="20"/>
    <x v="3"/>
    <s v="TAS"/>
    <s v="Known gap agreement"/>
    <s v="More than 150% MBS Fee to 200% MBS Fee"/>
    <n v="865880.83"/>
    <n v="369594.35"/>
    <n v="371286.39"/>
    <n v="1915"/>
  </r>
  <r>
    <x v="20"/>
    <x v="3"/>
    <s v="TAS"/>
    <s v="Known gap agreement"/>
    <s v="More than 200% MBS Fee"/>
    <n v="1034674.96"/>
    <n v="322483.45"/>
    <n v="384950.62"/>
    <n v="3200"/>
  </r>
  <r>
    <x v="20"/>
    <x v="3"/>
    <s v="TAS"/>
    <s v="No gap agreement"/>
    <s v="Up to MBS Fee"/>
    <n v="1517849.43"/>
    <n v="1139798.6000000001"/>
    <n v="378051.07"/>
    <n v="26709"/>
  </r>
  <r>
    <x v="20"/>
    <x v="3"/>
    <s v="TAS"/>
    <s v="No gap agreement"/>
    <s v="100% MBS Fee to 125% MBS Fee"/>
    <n v="2651184.8199999998"/>
    <n v="1681989.72"/>
    <n v="969194.1"/>
    <n v="19933"/>
  </r>
  <r>
    <x v="20"/>
    <x v="3"/>
    <s v="TAS"/>
    <s v="No gap agreement"/>
    <s v="More than 125% MBS Fee to 150% MBS Fee"/>
    <n v="7151628.9100000001"/>
    <n v="3931735.74"/>
    <n v="3219886.28"/>
    <n v="46468"/>
  </r>
  <r>
    <x v="20"/>
    <x v="3"/>
    <s v="TAS"/>
    <s v="No gap agreement"/>
    <s v="More than 150% MBS Fee to 200% MBS Fee"/>
    <n v="8925459.1899999995"/>
    <n v="4084535.19"/>
    <n v="4840922.2"/>
    <n v="41965"/>
  </r>
  <r>
    <x v="20"/>
    <x v="3"/>
    <s v="TAS"/>
    <s v="No gap agreement"/>
    <s v="More than 200% MBS Fee"/>
    <n v="546850.43999999994"/>
    <n v="155329.85999999999"/>
    <n v="391520.58"/>
    <n v="590"/>
  </r>
  <r>
    <x v="20"/>
    <x v="3"/>
    <s v="ACT"/>
    <s v="No agreement"/>
    <s v="Up to MBS Fee"/>
    <n v="1089389.76"/>
    <n v="813850.67"/>
    <n v="266972.78999999998"/>
    <n v="11844"/>
  </r>
  <r>
    <x v="20"/>
    <x v="3"/>
    <s v="ACT"/>
    <s v="No agreement"/>
    <s v="100% MBS Fee to 125% MBS Fee"/>
    <n v="93329.48"/>
    <n v="61427.3"/>
    <n v="23994.03"/>
    <n v="572"/>
  </r>
  <r>
    <x v="20"/>
    <x v="3"/>
    <s v="ACT"/>
    <s v="No agreement"/>
    <s v="More than 125% MBS Fee to 150% MBS Fee"/>
    <n v="154187.04"/>
    <n v="84254.77"/>
    <n v="36257.599999999999"/>
    <n v="609"/>
  </r>
  <r>
    <x v="20"/>
    <x v="3"/>
    <s v="ACT"/>
    <s v="No agreement"/>
    <s v="More than 150% MBS Fee to 200% MBS Fee"/>
    <n v="589429.64"/>
    <n v="248544.94"/>
    <n v="105686.24"/>
    <n v="2155"/>
  </r>
  <r>
    <x v="20"/>
    <x v="3"/>
    <s v="ACT"/>
    <s v="No agreement"/>
    <s v="More than 200% MBS Fee"/>
    <n v="6411205.54"/>
    <n v="1552139.69"/>
    <n v="525667.22"/>
    <n v="8273"/>
  </r>
  <r>
    <x v="20"/>
    <x v="3"/>
    <s v="ACT"/>
    <s v="Known gap agreement"/>
    <s v="100% MBS Fee to 125% MBS Fee"/>
    <n v="33577.699999999997"/>
    <n v="20762.3"/>
    <n v="5516.23"/>
    <n v="396"/>
  </r>
  <r>
    <x v="20"/>
    <x v="3"/>
    <s v="ACT"/>
    <s v="Known gap agreement"/>
    <s v="More than 125% MBS Fee to 150% MBS Fee"/>
    <n v="82369.399999999994"/>
    <n v="45979.65"/>
    <n v="30052.13"/>
    <n v="266"/>
  </r>
  <r>
    <x v="20"/>
    <x v="3"/>
    <s v="ACT"/>
    <s v="Known gap agreement"/>
    <s v="More than 150% MBS Fee to 200% MBS Fee"/>
    <n v="242936.92"/>
    <n v="103749.1"/>
    <n v="99021.68"/>
    <n v="815"/>
  </r>
  <r>
    <x v="20"/>
    <x v="3"/>
    <s v="ACT"/>
    <s v="Known gap agreement"/>
    <s v="More than 200% MBS Fee"/>
    <n v="1477016.11"/>
    <n v="396125.9"/>
    <n v="439211.44"/>
    <n v="5189"/>
  </r>
  <r>
    <x v="20"/>
    <x v="3"/>
    <s v="ACT"/>
    <s v="No gap agreement"/>
    <s v="Up to MBS Fee"/>
    <n v="400740.91"/>
    <n v="301032.59000000003"/>
    <n v="99708.3"/>
    <n v="12897"/>
  </r>
  <r>
    <x v="20"/>
    <x v="3"/>
    <s v="ACT"/>
    <s v="No gap agreement"/>
    <s v="100% MBS Fee to 125% MBS Fee"/>
    <n v="1101330.55"/>
    <n v="708192.66"/>
    <n v="393132.19"/>
    <n v="12890"/>
  </r>
  <r>
    <x v="20"/>
    <x v="3"/>
    <s v="ACT"/>
    <s v="No gap agreement"/>
    <s v="More than 125% MBS Fee to 150% MBS Fee"/>
    <n v="2811618.82"/>
    <n v="1552122.57"/>
    <n v="1259486.3899999999"/>
    <n v="19332"/>
  </r>
  <r>
    <x v="20"/>
    <x v="3"/>
    <s v="ACT"/>
    <s v="No gap agreement"/>
    <s v="More than 150% MBS Fee to 200% MBS Fee"/>
    <n v="2336798.88"/>
    <n v="1064788.57"/>
    <n v="1271996.07"/>
    <n v="14791"/>
  </r>
  <r>
    <x v="20"/>
    <x v="3"/>
    <s v="ACT"/>
    <s v="No gap agreement"/>
    <s v="More than 200% MBS Fee"/>
    <n v="345770.48"/>
    <n v="107052.64"/>
    <n v="238717.84"/>
    <n v="1014"/>
  </r>
  <r>
    <x v="20"/>
    <x v="3"/>
    <s v="NT"/>
    <s v="No agreement"/>
    <s v="Up to MBS Fee"/>
    <n v="349018.87"/>
    <n v="261841.77"/>
    <n v="87177.1"/>
    <n v="1542"/>
  </r>
  <r>
    <x v="20"/>
    <x v="3"/>
    <s v="NT"/>
    <s v="No agreement"/>
    <s v="100% MBS Fee to 125% MBS Fee"/>
    <n v="70294"/>
    <n v="45638.31"/>
    <n v="20941.25"/>
    <n v="427"/>
  </r>
  <r>
    <x v="20"/>
    <x v="3"/>
    <s v="NT"/>
    <s v="No agreement"/>
    <s v="More than 125% MBS Fee to 150% MBS Fee"/>
    <n v="102321.83"/>
    <n v="53817.86"/>
    <n v="26152.400000000001"/>
    <n v="819"/>
  </r>
  <r>
    <x v="20"/>
    <x v="3"/>
    <s v="NT"/>
    <s v="No agreement"/>
    <s v="More than 150% MBS Fee to 200% MBS Fee"/>
    <n v="152815.88"/>
    <n v="65738.929999999993"/>
    <n v="49286.85"/>
    <n v="705"/>
  </r>
  <r>
    <x v="20"/>
    <x v="3"/>
    <s v="NT"/>
    <s v="No agreement"/>
    <s v="More than 200% MBS Fee"/>
    <n v="1307232.3500000001"/>
    <n v="333719.32"/>
    <n v="112645"/>
    <n v="1645"/>
  </r>
  <r>
    <x v="20"/>
    <x v="3"/>
    <s v="NT"/>
    <s v="Known gap agreement"/>
    <s v="100% MBS Fee to 125% MBS Fee"/>
    <n v="17510.04"/>
    <n v="11763"/>
    <n v="5205.7"/>
    <n v="84"/>
  </r>
  <r>
    <x v="20"/>
    <x v="3"/>
    <s v="NT"/>
    <s v="Known gap agreement"/>
    <s v="More than 125% MBS Fee to 150% MBS Fee"/>
    <n v="23025.05"/>
    <n v="12587.11"/>
    <n v="8666.76"/>
    <n v="119"/>
  </r>
  <r>
    <x v="20"/>
    <x v="3"/>
    <s v="NT"/>
    <s v="Known gap agreement"/>
    <s v="More than 150% MBS Fee to 200% MBS Fee"/>
    <n v="85340.37"/>
    <n v="37115.050000000003"/>
    <n v="37238.6"/>
    <n v="230"/>
  </r>
  <r>
    <x v="20"/>
    <x v="3"/>
    <s v="NT"/>
    <s v="Known gap agreement"/>
    <s v="More than 200% MBS Fee"/>
    <n v="414526.95"/>
    <n v="111146.75"/>
    <n v="114390.98"/>
    <n v="2280"/>
  </r>
  <r>
    <x v="20"/>
    <x v="3"/>
    <s v="NT"/>
    <s v="No gap agreement"/>
    <s v="Up to MBS Fee"/>
    <n v="142416.89000000001"/>
    <n v="106860.08"/>
    <n v="35556.81"/>
    <n v="2063"/>
  </r>
  <r>
    <x v="20"/>
    <x v="3"/>
    <s v="NT"/>
    <s v="No gap agreement"/>
    <s v="100% MBS Fee to 125% MBS Fee"/>
    <n v="461555.48"/>
    <n v="294559.15999999997"/>
    <n v="166990.1"/>
    <n v="3115"/>
  </r>
  <r>
    <x v="20"/>
    <x v="3"/>
    <s v="NT"/>
    <s v="No gap agreement"/>
    <s v="More than 125% MBS Fee to 150% MBS Fee"/>
    <n v="1071328.94"/>
    <n v="586551.47"/>
    <n v="484777.44"/>
    <n v="6310"/>
  </r>
  <r>
    <x v="20"/>
    <x v="3"/>
    <s v="NT"/>
    <s v="No gap agreement"/>
    <s v="More than 150% MBS Fee to 200% MBS Fee"/>
    <n v="1558159.3600000001"/>
    <n v="712515.08"/>
    <n v="845638.33"/>
    <n v="7059"/>
  </r>
  <r>
    <x v="20"/>
    <x v="3"/>
    <s v="NT"/>
    <s v="No gap agreement"/>
    <s v="More than 200% MBS Fee"/>
    <n v="60703.199999999997"/>
    <n v="17893.849999999999"/>
    <n v="42809.35"/>
    <n v="138"/>
  </r>
  <r>
    <x v="20"/>
    <x v="1"/>
    <s v="NSW"/>
    <s v="No agreement"/>
    <s v="Up to MBS Fee"/>
    <n v="40453038.100000001"/>
    <n v="30369666.260000002"/>
    <n v="10077858.33"/>
    <n v="650190"/>
  </r>
  <r>
    <x v="20"/>
    <x v="1"/>
    <s v="NSW"/>
    <s v="No agreement"/>
    <s v="100% MBS Fee to 125% MBS Fee"/>
    <n v="4663405.6900000004"/>
    <n v="3106272.49"/>
    <n v="1221386.1399999999"/>
    <n v="22878"/>
  </r>
  <r>
    <x v="20"/>
    <x v="1"/>
    <s v="NSW"/>
    <s v="No agreement"/>
    <s v="More than 125% MBS Fee to 150% MBS Fee"/>
    <n v="3785720.61"/>
    <n v="2037853.03"/>
    <n v="1142011.3"/>
    <n v="24589"/>
  </r>
  <r>
    <x v="20"/>
    <x v="1"/>
    <s v="NSW"/>
    <s v="No agreement"/>
    <s v="More than 150% MBS Fee to 200% MBS Fee"/>
    <n v="12034886.09"/>
    <n v="5199153.6399999997"/>
    <n v="2920372.84"/>
    <n v="52605"/>
  </r>
  <r>
    <x v="20"/>
    <x v="1"/>
    <s v="NSW"/>
    <s v="No agreement"/>
    <s v="More than 200% MBS Fee"/>
    <n v="97741408.370000005"/>
    <n v="22846631.02"/>
    <n v="7858228.79"/>
    <n v="122947"/>
  </r>
  <r>
    <x v="20"/>
    <x v="1"/>
    <s v="NSW"/>
    <s v="Known gap agreement"/>
    <s v="100% MBS Fee to 125% MBS Fee"/>
    <n v="4512170.0199999996"/>
    <n v="2891253.7599999998"/>
    <n v="1517909.72"/>
    <n v="28599"/>
  </r>
  <r>
    <x v="20"/>
    <x v="1"/>
    <s v="NSW"/>
    <s v="Known gap agreement"/>
    <s v="More than 125% MBS Fee to 150% MBS Fee"/>
    <n v="8705390.2799999993"/>
    <n v="4776549.5999999996"/>
    <n v="3604994.01"/>
    <n v="30596"/>
  </r>
  <r>
    <x v="20"/>
    <x v="1"/>
    <s v="NSW"/>
    <s v="Known gap agreement"/>
    <s v="More than 150% MBS Fee to 200% MBS Fee"/>
    <n v="21911303.039999999"/>
    <n v="9698879.3300000001"/>
    <n v="10627978.560000001"/>
    <n v="79695"/>
  </r>
  <r>
    <x v="20"/>
    <x v="1"/>
    <s v="NSW"/>
    <s v="Known gap agreement"/>
    <s v="More than 200% MBS Fee"/>
    <n v="25758266.719999999"/>
    <n v="7093175.4900000002"/>
    <n v="8493143.3000000007"/>
    <n v="102285"/>
  </r>
  <r>
    <x v="20"/>
    <x v="1"/>
    <s v="NSW"/>
    <s v="No gap agreement"/>
    <s v="Up to MBS Fee"/>
    <n v="17615336.440000001"/>
    <n v="13232169.59"/>
    <n v="4383218.4000000004"/>
    <n v="434467"/>
  </r>
  <r>
    <x v="20"/>
    <x v="1"/>
    <s v="NSW"/>
    <s v="No gap agreement"/>
    <s v="100% MBS Fee to 125% MBS Fee"/>
    <n v="44313315.329999998"/>
    <n v="28221444.539999999"/>
    <n v="16091781.27"/>
    <n v="423136"/>
  </r>
  <r>
    <x v="20"/>
    <x v="1"/>
    <s v="NSW"/>
    <s v="No gap agreement"/>
    <s v="More than 125% MBS Fee to 150% MBS Fee"/>
    <n v="88941491.120000005"/>
    <n v="48908325.609999999"/>
    <n v="40033143.039999999"/>
    <n v="575563"/>
  </r>
  <r>
    <x v="20"/>
    <x v="1"/>
    <s v="NSW"/>
    <s v="No gap agreement"/>
    <s v="More than 150% MBS Fee to 200% MBS Fee"/>
    <n v="92261859.109999999"/>
    <n v="42226101.670000002"/>
    <n v="50035684.350000001"/>
    <n v="507535"/>
  </r>
  <r>
    <x v="20"/>
    <x v="1"/>
    <s v="NSW"/>
    <s v="No gap agreement"/>
    <s v="More than 200% MBS Fee"/>
    <n v="7515142.3799999999"/>
    <n v="2282080.89"/>
    <n v="5233061.9000000004"/>
    <n v="19550"/>
  </r>
  <r>
    <x v="20"/>
    <x v="1"/>
    <s v="VIC"/>
    <s v="No agreement"/>
    <s v="Up to MBS Fee"/>
    <n v="10450505.51"/>
    <n v="7856431.5"/>
    <n v="2590728.58"/>
    <n v="205082"/>
  </r>
  <r>
    <x v="20"/>
    <x v="1"/>
    <s v="VIC"/>
    <s v="No agreement"/>
    <s v="100% MBS Fee to 125% MBS Fee"/>
    <n v="2120603.34"/>
    <n v="1387092.82"/>
    <n v="523823.6"/>
    <n v="9099"/>
  </r>
  <r>
    <x v="20"/>
    <x v="1"/>
    <s v="VIC"/>
    <s v="No agreement"/>
    <s v="More than 125% MBS Fee to 150% MBS Fee"/>
    <n v="5548920.5999999996"/>
    <n v="3046496.1"/>
    <n v="1992590.62"/>
    <n v="93925"/>
  </r>
  <r>
    <x v="20"/>
    <x v="1"/>
    <s v="VIC"/>
    <s v="No agreement"/>
    <s v="More than 150% MBS Fee to 200% MBS Fee"/>
    <n v="7368055.6299999999"/>
    <n v="3159240.09"/>
    <n v="2342300.54"/>
    <n v="36117"/>
  </r>
  <r>
    <x v="20"/>
    <x v="1"/>
    <s v="VIC"/>
    <s v="No agreement"/>
    <s v="More than 200% MBS Fee"/>
    <n v="24447096.510000002"/>
    <n v="6190500.71"/>
    <n v="2360278.12"/>
    <n v="52024"/>
  </r>
  <r>
    <x v="20"/>
    <x v="1"/>
    <s v="VIC"/>
    <s v="Known gap agreement"/>
    <s v="100% MBS Fee to 125% MBS Fee"/>
    <n v="3840811.5"/>
    <n v="2523391.0499999998"/>
    <n v="1214481.75"/>
    <n v="28160"/>
  </r>
  <r>
    <x v="20"/>
    <x v="1"/>
    <s v="VIC"/>
    <s v="Known gap agreement"/>
    <s v="More than 125% MBS Fee to 150% MBS Fee"/>
    <n v="8262417.0300000003"/>
    <n v="4514145.62"/>
    <n v="3196712.93"/>
    <n v="30650"/>
  </r>
  <r>
    <x v="20"/>
    <x v="1"/>
    <s v="VIC"/>
    <s v="Known gap agreement"/>
    <s v="More than 150% MBS Fee to 200% MBS Fee"/>
    <n v="15822999.6"/>
    <n v="6925613.7400000002"/>
    <n v="6969031.2999999998"/>
    <n v="50789"/>
  </r>
  <r>
    <x v="20"/>
    <x v="1"/>
    <s v="VIC"/>
    <s v="Known gap agreement"/>
    <s v="More than 200% MBS Fee"/>
    <n v="22584301.899999999"/>
    <n v="6674225.2599999998"/>
    <n v="7661867.75"/>
    <n v="100000"/>
  </r>
  <r>
    <x v="20"/>
    <x v="1"/>
    <s v="VIC"/>
    <s v="No gap agreement"/>
    <s v="Up to MBS Fee"/>
    <n v="17132594.5"/>
    <n v="12877783.640000001"/>
    <n v="4254856.83"/>
    <n v="305925"/>
  </r>
  <r>
    <x v="20"/>
    <x v="1"/>
    <s v="VIC"/>
    <s v="No gap agreement"/>
    <s v="100% MBS Fee to 125% MBS Fee"/>
    <n v="42115111.280000001"/>
    <n v="26781769.25"/>
    <n v="15333194.15"/>
    <n v="342864"/>
  </r>
  <r>
    <x v="20"/>
    <x v="1"/>
    <s v="VIC"/>
    <s v="No gap agreement"/>
    <s v="More than 125% MBS Fee to 150% MBS Fee"/>
    <n v="98451106.879999995"/>
    <n v="54070684.689999998"/>
    <n v="44380316.729999997"/>
    <n v="646496"/>
  </r>
  <r>
    <x v="20"/>
    <x v="1"/>
    <s v="VIC"/>
    <s v="No gap agreement"/>
    <s v="More than 150% MBS Fee to 200% MBS Fee"/>
    <n v="95462304.890000001"/>
    <n v="42807313.409999996"/>
    <n v="52654828.719999999"/>
    <n v="500897"/>
  </r>
  <r>
    <x v="20"/>
    <x v="1"/>
    <s v="VIC"/>
    <s v="No gap agreement"/>
    <s v="More than 200% MBS Fee"/>
    <n v="3553845.22"/>
    <n v="965173.11"/>
    <n v="2588671.81"/>
    <n v="5617"/>
  </r>
  <r>
    <x v="20"/>
    <x v="1"/>
    <s v="QLD"/>
    <s v="No agreement"/>
    <s v="Up to MBS Fee"/>
    <n v="7735075.3300000001"/>
    <n v="5805533.71"/>
    <n v="1918201.02"/>
    <n v="98887"/>
  </r>
  <r>
    <x v="20"/>
    <x v="1"/>
    <s v="QLD"/>
    <s v="No agreement"/>
    <s v="100% MBS Fee to 125% MBS Fee"/>
    <n v="5214101.7699999996"/>
    <n v="3403685.57"/>
    <n v="1508653.48"/>
    <n v="49666"/>
  </r>
  <r>
    <x v="20"/>
    <x v="1"/>
    <s v="QLD"/>
    <s v="No agreement"/>
    <s v="More than 125% MBS Fee to 150% MBS Fee"/>
    <n v="4469779.28"/>
    <n v="2378221.0699999998"/>
    <n v="1293270.6299999999"/>
    <n v="43158"/>
  </r>
  <r>
    <x v="20"/>
    <x v="1"/>
    <s v="QLD"/>
    <s v="No agreement"/>
    <s v="More than 150% MBS Fee to 200% MBS Fee"/>
    <n v="10335261.41"/>
    <n v="4514107.16"/>
    <n v="3620090.68"/>
    <n v="54868"/>
  </r>
  <r>
    <x v="20"/>
    <x v="1"/>
    <s v="QLD"/>
    <s v="No agreement"/>
    <s v="More than 200% MBS Fee"/>
    <n v="42752174.960000001"/>
    <n v="10576905.25"/>
    <n v="3712944.26"/>
    <n v="55530"/>
  </r>
  <r>
    <x v="20"/>
    <x v="1"/>
    <s v="QLD"/>
    <s v="Known gap agreement"/>
    <s v="100% MBS Fee to 125% MBS Fee"/>
    <n v="1877143.63"/>
    <n v="1202504.3999999999"/>
    <n v="608685.4"/>
    <n v="10756"/>
  </r>
  <r>
    <x v="20"/>
    <x v="1"/>
    <s v="QLD"/>
    <s v="Known gap agreement"/>
    <s v="More than 125% MBS Fee to 150% MBS Fee"/>
    <n v="3694557.87"/>
    <n v="2018270.53"/>
    <n v="1479163.19"/>
    <n v="14881"/>
  </r>
  <r>
    <x v="20"/>
    <x v="1"/>
    <s v="QLD"/>
    <s v="Known gap agreement"/>
    <s v="More than 150% MBS Fee to 200% MBS Fee"/>
    <n v="11380650.02"/>
    <n v="4930450.68"/>
    <n v="5179248.3499999996"/>
    <n v="33981"/>
  </r>
  <r>
    <x v="20"/>
    <x v="1"/>
    <s v="QLD"/>
    <s v="Known gap agreement"/>
    <s v="More than 200% MBS Fee"/>
    <n v="14671025.279999999"/>
    <n v="4284134.0999999996"/>
    <n v="4877795.1900000004"/>
    <n v="38977"/>
  </r>
  <r>
    <x v="20"/>
    <x v="1"/>
    <s v="QLD"/>
    <s v="No gap agreement"/>
    <s v="Up to MBS Fee"/>
    <n v="12668551.42"/>
    <n v="9508644.9499999993"/>
    <n v="3159956.15"/>
    <n v="218907"/>
  </r>
  <r>
    <x v="20"/>
    <x v="1"/>
    <s v="QLD"/>
    <s v="No gap agreement"/>
    <s v="100% MBS Fee to 125% MBS Fee"/>
    <n v="36948785.979999997"/>
    <n v="23561570.030000001"/>
    <n v="13386933.640000001"/>
    <n v="336716"/>
  </r>
  <r>
    <x v="20"/>
    <x v="1"/>
    <s v="QLD"/>
    <s v="No gap agreement"/>
    <s v="More than 125% MBS Fee to 150% MBS Fee"/>
    <n v="71799376.930000007"/>
    <n v="39662379.960000001"/>
    <n v="32136455.550000001"/>
    <n v="584004"/>
  </r>
  <r>
    <x v="20"/>
    <x v="1"/>
    <s v="QLD"/>
    <s v="No gap agreement"/>
    <s v="More than 150% MBS Fee to 200% MBS Fee"/>
    <n v="65196210.409999996"/>
    <n v="29859390.82"/>
    <n v="35336424.780000001"/>
    <n v="420453"/>
  </r>
  <r>
    <x v="20"/>
    <x v="1"/>
    <s v="QLD"/>
    <s v="No gap agreement"/>
    <s v="More than 200% MBS Fee"/>
    <n v="5852052.6200000001"/>
    <n v="1711202.69"/>
    <n v="4140844.94"/>
    <n v="7935"/>
  </r>
  <r>
    <x v="20"/>
    <x v="1"/>
    <s v="SA"/>
    <s v="No agreement"/>
    <s v="Up to MBS Fee"/>
    <n v="2485344.84"/>
    <n v="1865042.12"/>
    <n v="620163.97"/>
    <n v="25935"/>
  </r>
  <r>
    <x v="20"/>
    <x v="1"/>
    <s v="SA"/>
    <s v="No agreement"/>
    <s v="100% MBS Fee to 125% MBS Fee"/>
    <n v="1005446.87"/>
    <n v="635510.09"/>
    <n v="322485.37"/>
    <n v="4820"/>
  </r>
  <r>
    <x v="20"/>
    <x v="1"/>
    <s v="SA"/>
    <s v="No agreement"/>
    <s v="More than 125% MBS Fee to 150% MBS Fee"/>
    <n v="1386210.25"/>
    <n v="763332.45"/>
    <n v="542424.68000000005"/>
    <n v="18927"/>
  </r>
  <r>
    <x v="20"/>
    <x v="1"/>
    <s v="SA"/>
    <s v="No agreement"/>
    <s v="More than 150% MBS Fee to 200% MBS Fee"/>
    <n v="2114921.39"/>
    <n v="920422.77"/>
    <n v="1006361.72"/>
    <n v="7623"/>
  </r>
  <r>
    <x v="20"/>
    <x v="1"/>
    <s v="SA"/>
    <s v="No agreement"/>
    <s v="More than 200% MBS Fee"/>
    <n v="1959562.96"/>
    <n v="477358.07"/>
    <n v="230837.81"/>
    <n v="3527"/>
  </r>
  <r>
    <x v="20"/>
    <x v="1"/>
    <s v="SA"/>
    <s v="Known gap agreement"/>
    <s v="100% MBS Fee to 125% MBS Fee"/>
    <n v="549200.69999999995"/>
    <n v="354929.24"/>
    <n v="175312.6"/>
    <n v="3655"/>
  </r>
  <r>
    <x v="20"/>
    <x v="1"/>
    <s v="SA"/>
    <s v="Known gap agreement"/>
    <s v="More than 125% MBS Fee to 150% MBS Fee"/>
    <n v="1451963.36"/>
    <n v="793389.59"/>
    <n v="597121.34"/>
    <n v="4846"/>
  </r>
  <r>
    <x v="20"/>
    <x v="1"/>
    <s v="SA"/>
    <s v="Known gap agreement"/>
    <s v="More than 150% MBS Fee to 200% MBS Fee"/>
    <n v="4873494.83"/>
    <n v="2105959.7999999998"/>
    <n v="2319548.21"/>
    <n v="13619"/>
  </r>
  <r>
    <x v="20"/>
    <x v="1"/>
    <s v="SA"/>
    <s v="Known gap agreement"/>
    <s v="More than 200% MBS Fee"/>
    <n v="3753003.29"/>
    <n v="1152771.75"/>
    <n v="1443487.94"/>
    <n v="18387"/>
  </r>
  <r>
    <x v="20"/>
    <x v="1"/>
    <s v="SA"/>
    <s v="No gap agreement"/>
    <s v="Up to MBS Fee"/>
    <n v="4517638.24"/>
    <n v="3389685.9"/>
    <n v="1127925.56"/>
    <n v="71471"/>
  </r>
  <r>
    <x v="20"/>
    <x v="1"/>
    <s v="SA"/>
    <s v="No gap agreement"/>
    <s v="100% MBS Fee to 125% MBS Fee"/>
    <n v="8475384.2899999991"/>
    <n v="5405417.4500000002"/>
    <n v="3069947.22"/>
    <n v="77594"/>
  </r>
  <r>
    <x v="20"/>
    <x v="1"/>
    <s v="SA"/>
    <s v="No gap agreement"/>
    <s v="More than 125% MBS Fee to 150% MBS Fee"/>
    <n v="22500138.100000001"/>
    <n v="12246402.890000001"/>
    <n v="10253706.67"/>
    <n v="182264"/>
  </r>
  <r>
    <x v="20"/>
    <x v="1"/>
    <s v="SA"/>
    <s v="No gap agreement"/>
    <s v="More than 150% MBS Fee to 200% MBS Fee"/>
    <n v="42658672.619999997"/>
    <n v="18928818.530000001"/>
    <n v="23729829.77"/>
    <n v="168904"/>
  </r>
  <r>
    <x v="20"/>
    <x v="1"/>
    <s v="SA"/>
    <s v="No gap agreement"/>
    <s v="More than 200% MBS Fee"/>
    <n v="1576486.19"/>
    <n v="431488.12"/>
    <n v="1144998.47"/>
    <n v="1838"/>
  </r>
  <r>
    <x v="20"/>
    <x v="1"/>
    <s v="WA"/>
    <s v="No agreement"/>
    <s v="Up to MBS Fee"/>
    <n v="2477088.17"/>
    <n v="1870697.87"/>
    <n v="604712.54"/>
    <n v="44420"/>
  </r>
  <r>
    <x v="20"/>
    <x v="1"/>
    <s v="WA"/>
    <s v="No agreement"/>
    <s v="100% MBS Fee to 125% MBS Fee"/>
    <n v="476072.21"/>
    <n v="316516.24"/>
    <n v="116926.08"/>
    <n v="2123"/>
  </r>
  <r>
    <x v="20"/>
    <x v="1"/>
    <s v="WA"/>
    <s v="No agreement"/>
    <s v="More than 125% MBS Fee to 150% MBS Fee"/>
    <n v="1520294.76"/>
    <n v="819098.15"/>
    <n v="390413.91"/>
    <n v="20968"/>
  </r>
  <r>
    <x v="20"/>
    <x v="1"/>
    <s v="WA"/>
    <s v="No agreement"/>
    <s v="More than 150% MBS Fee to 200% MBS Fee"/>
    <n v="2347091.44"/>
    <n v="1024025.12"/>
    <n v="514807.91"/>
    <n v="8325"/>
  </r>
  <r>
    <x v="20"/>
    <x v="1"/>
    <s v="WA"/>
    <s v="No agreement"/>
    <s v="More than 200% MBS Fee"/>
    <n v="8554075.4700000007"/>
    <n v="2013132.97"/>
    <n v="748029.72"/>
    <n v="19387"/>
  </r>
  <r>
    <x v="20"/>
    <x v="1"/>
    <s v="WA"/>
    <s v="Known gap agreement"/>
    <s v="100% MBS Fee to 125% MBS Fee"/>
    <n v="2251230.31"/>
    <n v="1553264.3"/>
    <n v="661623.39"/>
    <n v="12217"/>
  </r>
  <r>
    <x v="20"/>
    <x v="1"/>
    <s v="WA"/>
    <s v="Known gap agreement"/>
    <s v="More than 125% MBS Fee to 150% MBS Fee"/>
    <n v="4231002.46"/>
    <n v="2283703.4500000002"/>
    <n v="1759852.31"/>
    <n v="28726"/>
  </r>
  <r>
    <x v="20"/>
    <x v="1"/>
    <s v="WA"/>
    <s v="Known gap agreement"/>
    <s v="More than 150% MBS Fee to 200% MBS Fee"/>
    <n v="8235575.0300000003"/>
    <n v="3656670.17"/>
    <n v="3255060.8"/>
    <n v="20921"/>
  </r>
  <r>
    <x v="20"/>
    <x v="1"/>
    <s v="WA"/>
    <s v="Known gap agreement"/>
    <s v="More than 200% MBS Fee"/>
    <n v="13038927.73"/>
    <n v="3399471.6"/>
    <n v="2263157.7999999998"/>
    <n v="22515"/>
  </r>
  <r>
    <x v="20"/>
    <x v="1"/>
    <s v="WA"/>
    <s v="No gap agreement"/>
    <s v="Up to MBS Fee"/>
    <n v="4181280.58"/>
    <n v="3148411.96"/>
    <n v="1032868.22"/>
    <n v="87460"/>
  </r>
  <r>
    <x v="20"/>
    <x v="1"/>
    <s v="WA"/>
    <s v="No gap agreement"/>
    <s v="100% MBS Fee to 125% MBS Fee"/>
    <n v="6770832.4100000001"/>
    <n v="4394775.74"/>
    <n v="2376048.87"/>
    <n v="43027"/>
  </r>
  <r>
    <x v="20"/>
    <x v="1"/>
    <s v="WA"/>
    <s v="No gap agreement"/>
    <s v="More than 125% MBS Fee to 150% MBS Fee"/>
    <n v="38992250.43"/>
    <n v="21633408.969999999"/>
    <n v="17358823.890000001"/>
    <n v="274157"/>
  </r>
  <r>
    <x v="20"/>
    <x v="1"/>
    <s v="WA"/>
    <s v="No gap agreement"/>
    <s v="More than 150% MBS Fee to 200% MBS Fee"/>
    <n v="51332382.770000003"/>
    <n v="22711095.359999999"/>
    <n v="28621248.760000002"/>
    <n v="243894"/>
  </r>
  <r>
    <x v="20"/>
    <x v="1"/>
    <s v="WA"/>
    <s v="No gap agreement"/>
    <s v="More than 200% MBS Fee"/>
    <n v="3375192.72"/>
    <n v="892378.5"/>
    <n v="2482814.2200000002"/>
    <n v="2303"/>
  </r>
  <r>
    <x v="20"/>
    <x v="1"/>
    <s v="TAS"/>
    <s v="No agreement"/>
    <s v="Up to MBS Fee"/>
    <n v="570630.31999999995"/>
    <n v="428741.59"/>
    <n v="141889.15"/>
    <n v="7815"/>
  </r>
  <r>
    <x v="20"/>
    <x v="1"/>
    <s v="TAS"/>
    <s v="No agreement"/>
    <s v="100% MBS Fee to 125% MBS Fee"/>
    <n v="562787.28"/>
    <n v="351306.52"/>
    <n v="197975.3"/>
    <n v="2768"/>
  </r>
  <r>
    <x v="20"/>
    <x v="1"/>
    <s v="TAS"/>
    <s v="No agreement"/>
    <s v="More than 125% MBS Fee to 150% MBS Fee"/>
    <n v="266483.73"/>
    <n v="147195.76"/>
    <n v="89168.5"/>
    <n v="1593"/>
  </r>
  <r>
    <x v="20"/>
    <x v="1"/>
    <s v="TAS"/>
    <s v="No agreement"/>
    <s v="More than 150% MBS Fee to 200% MBS Fee"/>
    <n v="544423.79"/>
    <n v="241053.6"/>
    <n v="179494.18"/>
    <n v="2665"/>
  </r>
  <r>
    <x v="20"/>
    <x v="1"/>
    <s v="TAS"/>
    <s v="No agreement"/>
    <s v="More than 200% MBS Fee"/>
    <n v="1737992.61"/>
    <n v="407938.09"/>
    <n v="147888.67000000001"/>
    <n v="1774"/>
  </r>
  <r>
    <x v="20"/>
    <x v="1"/>
    <s v="TAS"/>
    <s v="Known gap agreement"/>
    <s v="100% MBS Fee to 125% MBS Fee"/>
    <n v="195231.6"/>
    <n v="130400.95"/>
    <n v="53335.89"/>
    <n v="1609"/>
  </r>
  <r>
    <x v="20"/>
    <x v="1"/>
    <s v="TAS"/>
    <s v="Known gap agreement"/>
    <s v="More than 125% MBS Fee to 150% MBS Fee"/>
    <n v="371484.85"/>
    <n v="200290.1"/>
    <n v="152008.70000000001"/>
    <n v="1283"/>
  </r>
  <r>
    <x v="20"/>
    <x v="1"/>
    <s v="TAS"/>
    <s v="Known gap agreement"/>
    <s v="More than 150% MBS Fee to 200% MBS Fee"/>
    <n v="1255847.57"/>
    <n v="536742.9"/>
    <n v="563762.73"/>
    <n v="2898"/>
  </r>
  <r>
    <x v="20"/>
    <x v="1"/>
    <s v="TAS"/>
    <s v="Known gap agreement"/>
    <s v="More than 200% MBS Fee"/>
    <n v="1402039.49"/>
    <n v="430128.35"/>
    <n v="509168.24"/>
    <n v="4221"/>
  </r>
  <r>
    <x v="20"/>
    <x v="1"/>
    <s v="TAS"/>
    <s v="No gap agreement"/>
    <s v="Up to MBS Fee"/>
    <n v="1962286.78"/>
    <n v="1473377.31"/>
    <n v="488925.37"/>
    <n v="29943"/>
  </r>
  <r>
    <x v="20"/>
    <x v="1"/>
    <s v="TAS"/>
    <s v="No gap agreement"/>
    <s v="100% MBS Fee to 125% MBS Fee"/>
    <n v="2686385.58"/>
    <n v="1710378.28"/>
    <n v="976002.14"/>
    <n v="21812"/>
  </r>
  <r>
    <x v="20"/>
    <x v="1"/>
    <s v="TAS"/>
    <s v="No gap agreement"/>
    <s v="More than 125% MBS Fee to 150% MBS Fee"/>
    <n v="8691409.5099999998"/>
    <n v="4771232.24"/>
    <n v="3920174.98"/>
    <n v="57418"/>
  </r>
  <r>
    <x v="20"/>
    <x v="1"/>
    <s v="TAS"/>
    <s v="No gap agreement"/>
    <s v="More than 150% MBS Fee to 200% MBS Fee"/>
    <n v="11060191.08"/>
    <n v="5054673.54"/>
    <n v="6005510.4800000004"/>
    <n v="52899"/>
  </r>
  <r>
    <x v="20"/>
    <x v="1"/>
    <s v="TAS"/>
    <s v="No gap agreement"/>
    <s v="More than 200% MBS Fee"/>
    <n v="495487.97"/>
    <n v="138415.4"/>
    <n v="357072.57"/>
    <n v="402"/>
  </r>
  <r>
    <x v="20"/>
    <x v="1"/>
    <s v="ACT"/>
    <s v="No agreement"/>
    <s v="Up to MBS Fee"/>
    <n v="998358.9"/>
    <n v="749646.07"/>
    <n v="247558.08"/>
    <n v="9389"/>
  </r>
  <r>
    <x v="20"/>
    <x v="1"/>
    <s v="ACT"/>
    <s v="No agreement"/>
    <s v="100% MBS Fee to 125% MBS Fee"/>
    <n v="166209.5"/>
    <n v="111653.79"/>
    <n v="45493.81"/>
    <n v="912"/>
  </r>
  <r>
    <x v="20"/>
    <x v="1"/>
    <s v="ACT"/>
    <s v="No agreement"/>
    <s v="More than 125% MBS Fee to 150% MBS Fee"/>
    <n v="106583.94"/>
    <n v="57909.36"/>
    <n v="27207.3"/>
    <n v="464"/>
  </r>
  <r>
    <x v="20"/>
    <x v="1"/>
    <s v="ACT"/>
    <s v="No agreement"/>
    <s v="More than 150% MBS Fee to 200% MBS Fee"/>
    <n v="733527.77"/>
    <n v="310939.46000000002"/>
    <n v="164875.76999999999"/>
    <n v="2726"/>
  </r>
  <r>
    <x v="20"/>
    <x v="1"/>
    <s v="ACT"/>
    <s v="No agreement"/>
    <s v="More than 200% MBS Fee"/>
    <n v="7191922.54"/>
    <n v="1706410.83"/>
    <n v="581279.26"/>
    <n v="8375"/>
  </r>
  <r>
    <x v="20"/>
    <x v="1"/>
    <s v="ACT"/>
    <s v="Known gap agreement"/>
    <s v="100% MBS Fee to 125% MBS Fee"/>
    <n v="71830.899999999994"/>
    <n v="46553.2"/>
    <n v="23293.64"/>
    <n v="326"/>
  </r>
  <r>
    <x v="20"/>
    <x v="1"/>
    <s v="ACT"/>
    <s v="Known gap agreement"/>
    <s v="More than 125% MBS Fee to 150% MBS Fee"/>
    <n v="277160.2"/>
    <n v="155000.29999999999"/>
    <n v="114151.01"/>
    <n v="829"/>
  </r>
  <r>
    <x v="20"/>
    <x v="1"/>
    <s v="ACT"/>
    <s v="Known gap agreement"/>
    <s v="More than 150% MBS Fee to 200% MBS Fee"/>
    <n v="600895.4"/>
    <n v="260617.55"/>
    <n v="278869.06"/>
    <n v="2248"/>
  </r>
  <r>
    <x v="20"/>
    <x v="1"/>
    <s v="ACT"/>
    <s v="Known gap agreement"/>
    <s v="More than 200% MBS Fee"/>
    <n v="2487229.33"/>
    <n v="669636.05000000005"/>
    <n v="739970.76"/>
    <n v="8583"/>
  </r>
  <r>
    <x v="20"/>
    <x v="1"/>
    <s v="ACT"/>
    <s v="No gap agreement"/>
    <s v="Up to MBS Fee"/>
    <n v="402208.55"/>
    <n v="302355.05"/>
    <n v="99853.5"/>
    <n v="14365"/>
  </r>
  <r>
    <x v="20"/>
    <x v="1"/>
    <s v="ACT"/>
    <s v="No gap agreement"/>
    <s v="100% MBS Fee to 125% MBS Fee"/>
    <n v="1158498.3400000001"/>
    <n v="742499.5"/>
    <n v="415980.09"/>
    <n v="13067"/>
  </r>
  <r>
    <x v="20"/>
    <x v="1"/>
    <s v="ACT"/>
    <s v="No gap agreement"/>
    <s v="More than 125% MBS Fee to 150% MBS Fee"/>
    <n v="3129211.58"/>
    <n v="1721754.91"/>
    <n v="1407454.56"/>
    <n v="22374"/>
  </r>
  <r>
    <x v="20"/>
    <x v="1"/>
    <s v="ACT"/>
    <s v="No gap agreement"/>
    <s v="More than 150% MBS Fee to 200% MBS Fee"/>
    <n v="2363688.23"/>
    <n v="1080154.97"/>
    <n v="1283521.76"/>
    <n v="14352"/>
  </r>
  <r>
    <x v="20"/>
    <x v="1"/>
    <s v="ACT"/>
    <s v="No gap agreement"/>
    <s v="More than 200% MBS Fee"/>
    <n v="318925.71000000002"/>
    <n v="98388.2"/>
    <n v="220537.41"/>
    <n v="677"/>
  </r>
  <r>
    <x v="20"/>
    <x v="1"/>
    <s v="NT"/>
    <s v="No agreement"/>
    <s v="Up to MBS Fee"/>
    <n v="264969"/>
    <n v="198081.92000000001"/>
    <n v="65836.12"/>
    <n v="1430"/>
  </r>
  <r>
    <x v="20"/>
    <x v="1"/>
    <s v="NT"/>
    <s v="No agreement"/>
    <s v="100% MBS Fee to 125% MBS Fee"/>
    <n v="120960.14"/>
    <n v="76316.7"/>
    <n v="40715.050000000003"/>
    <n v="684"/>
  </r>
  <r>
    <x v="20"/>
    <x v="1"/>
    <s v="NT"/>
    <s v="No agreement"/>
    <s v="More than 125% MBS Fee to 150% MBS Fee"/>
    <n v="76562.66"/>
    <n v="40941.35"/>
    <n v="23758.74"/>
    <n v="621"/>
  </r>
  <r>
    <x v="20"/>
    <x v="1"/>
    <s v="NT"/>
    <s v="No agreement"/>
    <s v="More than 150% MBS Fee to 200% MBS Fee"/>
    <n v="128987.85"/>
    <n v="56080.94"/>
    <n v="39538.1"/>
    <n v="505"/>
  </r>
  <r>
    <x v="20"/>
    <x v="1"/>
    <s v="NT"/>
    <s v="No agreement"/>
    <s v="More than 200% MBS Fee"/>
    <n v="1225130.6399999999"/>
    <n v="305368.39"/>
    <n v="105971.75"/>
    <n v="1294"/>
  </r>
  <r>
    <x v="20"/>
    <x v="1"/>
    <s v="NT"/>
    <s v="Known gap agreement"/>
    <s v="100% MBS Fee to 125% MBS Fee"/>
    <n v="24664.22"/>
    <n v="16765.3"/>
    <n v="7113.45"/>
    <n v="182"/>
  </r>
  <r>
    <x v="20"/>
    <x v="1"/>
    <s v="NT"/>
    <s v="Known gap agreement"/>
    <s v="More than 125% MBS Fee to 150% MBS Fee"/>
    <n v="74934.25"/>
    <n v="40530.949999999997"/>
    <n v="29255.56"/>
    <n v="263"/>
  </r>
  <r>
    <x v="20"/>
    <x v="1"/>
    <s v="NT"/>
    <s v="Known gap agreement"/>
    <s v="More than 150% MBS Fee to 200% MBS Fee"/>
    <n v="185258.91"/>
    <n v="81245.850000000006"/>
    <n v="81732.7"/>
    <n v="510"/>
  </r>
  <r>
    <x v="20"/>
    <x v="1"/>
    <s v="NT"/>
    <s v="Known gap agreement"/>
    <s v="More than 200% MBS Fee"/>
    <n v="543466.59"/>
    <n v="144703.85"/>
    <n v="157851.9"/>
    <n v="2490"/>
  </r>
  <r>
    <x v="20"/>
    <x v="1"/>
    <s v="NT"/>
    <s v="No gap agreement"/>
    <s v="Up to MBS Fee"/>
    <n v="278642.55"/>
    <n v="208947.15"/>
    <n v="69695.399999999994"/>
    <n v="3153"/>
  </r>
  <r>
    <x v="20"/>
    <x v="1"/>
    <s v="NT"/>
    <s v="No gap agreement"/>
    <s v="100% MBS Fee to 125% MBS Fee"/>
    <n v="469075.27"/>
    <n v="300352.3"/>
    <n v="168717.24"/>
    <n v="3302"/>
  </r>
  <r>
    <x v="20"/>
    <x v="1"/>
    <s v="NT"/>
    <s v="No gap agreement"/>
    <s v="More than 125% MBS Fee to 150% MBS Fee"/>
    <n v="1160385.06"/>
    <n v="634287.93000000005"/>
    <n v="526096.73"/>
    <n v="6732"/>
  </r>
  <r>
    <x v="20"/>
    <x v="1"/>
    <s v="NT"/>
    <s v="No gap agreement"/>
    <s v="More than 150% MBS Fee to 200% MBS Fee"/>
    <n v="1858645.04"/>
    <n v="854395.65"/>
    <n v="1004248.34"/>
    <n v="8836"/>
  </r>
  <r>
    <x v="20"/>
    <x v="1"/>
    <s v="NT"/>
    <s v="No gap agreement"/>
    <s v="More than 200% MBS Fee"/>
    <n v="51610.74"/>
    <n v="14711.45"/>
    <n v="36899.29"/>
    <n v="91"/>
  </r>
  <r>
    <x v="21"/>
    <x v="0"/>
    <s v="NSW"/>
    <s v="No agreement"/>
    <s v="Up to MBS Fee"/>
    <n v="35821964.020000003"/>
    <n v="26906727.120000001"/>
    <n v="8908683.3699999992"/>
    <n v="508708"/>
  </r>
  <r>
    <x v="21"/>
    <x v="0"/>
    <s v="NSW"/>
    <s v="No agreement"/>
    <s v="100% MBS Fee to 125% MBS Fee"/>
    <n v="4223963.62"/>
    <n v="2748693.02"/>
    <n v="1272061.24"/>
    <n v="29489"/>
  </r>
  <r>
    <x v="21"/>
    <x v="0"/>
    <s v="NSW"/>
    <s v="No agreement"/>
    <s v="More than 125% MBS Fee to 150% MBS Fee"/>
    <n v="5273228.97"/>
    <n v="2856966.83"/>
    <n v="1936408.39"/>
    <n v="41318"/>
  </r>
  <r>
    <x v="21"/>
    <x v="0"/>
    <s v="NSW"/>
    <s v="No agreement"/>
    <s v="More than 150% MBS Fee to 200% MBS Fee"/>
    <n v="11605070.039999999"/>
    <n v="5085650.38"/>
    <n v="3707404.24"/>
    <n v="55964"/>
  </r>
  <r>
    <x v="21"/>
    <x v="0"/>
    <s v="NSW"/>
    <s v="No agreement"/>
    <s v="More than 200% MBS Fee"/>
    <n v="76931396.730000004"/>
    <n v="17478858.84"/>
    <n v="6318478.9100000001"/>
    <n v="88964"/>
  </r>
  <r>
    <x v="21"/>
    <x v="0"/>
    <s v="NSW"/>
    <s v="Known gap agreement"/>
    <s v="100% MBS Fee to 125% MBS Fee"/>
    <n v="2559275.4"/>
    <n v="1665114.07"/>
    <n v="813008.84"/>
    <n v="9560"/>
  </r>
  <r>
    <x v="21"/>
    <x v="0"/>
    <s v="NSW"/>
    <s v="Known gap agreement"/>
    <s v="More than 125% MBS Fee to 150% MBS Fee"/>
    <n v="4378259.03"/>
    <n v="2375425.67"/>
    <n v="1765807.17"/>
    <n v="13428"/>
  </r>
  <r>
    <x v="21"/>
    <x v="0"/>
    <s v="NSW"/>
    <s v="Known gap agreement"/>
    <s v="More than 150% MBS Fee to 200% MBS Fee"/>
    <n v="12714743.210000001"/>
    <n v="5503266.5700000003"/>
    <n v="5571951.5199999996"/>
    <n v="29576"/>
  </r>
  <r>
    <x v="21"/>
    <x v="0"/>
    <s v="NSW"/>
    <s v="Known gap agreement"/>
    <s v="More than 200% MBS Fee"/>
    <n v="32893675.699999999"/>
    <n v="8756321.9499999993"/>
    <n v="10288810.82"/>
    <n v="121009"/>
  </r>
  <r>
    <x v="21"/>
    <x v="0"/>
    <s v="NSW"/>
    <s v="No gap agreement"/>
    <s v="Up to MBS Fee"/>
    <n v="19771899.079999998"/>
    <n v="14853866.939999999"/>
    <n v="4918066.4400000004"/>
    <n v="554386"/>
  </r>
  <r>
    <x v="21"/>
    <x v="0"/>
    <s v="NSW"/>
    <s v="No gap agreement"/>
    <s v="100% MBS Fee to 125% MBS Fee"/>
    <n v="48591977.979999997"/>
    <n v="30823988.719999999"/>
    <n v="17767953.66"/>
    <n v="510839"/>
  </r>
  <r>
    <x v="21"/>
    <x v="0"/>
    <s v="NSW"/>
    <s v="No gap agreement"/>
    <s v="More than 125% MBS Fee to 150% MBS Fee"/>
    <n v="88639914.049999997"/>
    <n v="48612421.829999998"/>
    <n v="40027469.450000003"/>
    <n v="548672"/>
  </r>
  <r>
    <x v="21"/>
    <x v="0"/>
    <s v="NSW"/>
    <s v="No gap agreement"/>
    <s v="More than 150% MBS Fee to 200% MBS Fee"/>
    <n v="100719577.90000001"/>
    <n v="46054138.009999998"/>
    <n v="54665379.369999997"/>
    <n v="549545"/>
  </r>
  <r>
    <x v="21"/>
    <x v="0"/>
    <s v="NSW"/>
    <s v="No gap agreement"/>
    <s v="More than 200% MBS Fee"/>
    <n v="7085333.9000000004"/>
    <n v="2086169.78"/>
    <n v="4999164.12"/>
    <n v="16174"/>
  </r>
  <r>
    <x v="21"/>
    <x v="0"/>
    <s v="VIC"/>
    <s v="No agreement"/>
    <s v="Up to MBS Fee"/>
    <n v="9579472.0199999996"/>
    <n v="7187376.3099999996"/>
    <n v="2385476.15"/>
    <n v="186763"/>
  </r>
  <r>
    <x v="21"/>
    <x v="0"/>
    <s v="VIC"/>
    <s v="No agreement"/>
    <s v="100% MBS Fee to 125% MBS Fee"/>
    <n v="1852400.3"/>
    <n v="1206252.58"/>
    <n v="512194.39"/>
    <n v="11428"/>
  </r>
  <r>
    <x v="21"/>
    <x v="0"/>
    <s v="VIC"/>
    <s v="No agreement"/>
    <s v="More than 125% MBS Fee to 150% MBS Fee"/>
    <n v="5155282.05"/>
    <n v="2796644.88"/>
    <n v="1853805.51"/>
    <n v="55397"/>
  </r>
  <r>
    <x v="21"/>
    <x v="0"/>
    <s v="VIC"/>
    <s v="No agreement"/>
    <s v="More than 150% MBS Fee to 200% MBS Fee"/>
    <n v="10326631.58"/>
    <n v="4398829.46"/>
    <n v="4181705.81"/>
    <n v="59095"/>
  </r>
  <r>
    <x v="21"/>
    <x v="0"/>
    <s v="VIC"/>
    <s v="No agreement"/>
    <s v="More than 200% MBS Fee"/>
    <n v="23716013.149999999"/>
    <n v="5700853.0300000003"/>
    <n v="2451907.6800000002"/>
    <n v="45036"/>
  </r>
  <r>
    <x v="21"/>
    <x v="0"/>
    <s v="VIC"/>
    <s v="Known gap agreement"/>
    <s v="100% MBS Fee to 125% MBS Fee"/>
    <n v="3552311.29"/>
    <n v="2372180.7400000002"/>
    <n v="999142.61"/>
    <n v="32468"/>
  </r>
  <r>
    <x v="21"/>
    <x v="0"/>
    <s v="VIC"/>
    <s v="Known gap agreement"/>
    <s v="More than 125% MBS Fee to 150% MBS Fee"/>
    <n v="5318846.18"/>
    <n v="2897408.94"/>
    <n v="1971840.23"/>
    <n v="21315"/>
  </r>
  <r>
    <x v="21"/>
    <x v="0"/>
    <s v="VIC"/>
    <s v="Known gap agreement"/>
    <s v="More than 150% MBS Fee to 200% MBS Fee"/>
    <n v="12538044.949999999"/>
    <n v="5416933.9000000004"/>
    <n v="5078703.21"/>
    <n v="32667"/>
  </r>
  <r>
    <x v="21"/>
    <x v="0"/>
    <s v="VIC"/>
    <s v="Known gap agreement"/>
    <s v="More than 200% MBS Fee"/>
    <n v="25985323.59"/>
    <n v="7398678.8700000001"/>
    <n v="8434955.5999999996"/>
    <n v="109823"/>
  </r>
  <r>
    <x v="21"/>
    <x v="0"/>
    <s v="VIC"/>
    <s v="No gap agreement"/>
    <s v="Up to MBS Fee"/>
    <n v="19088474.649999999"/>
    <n v="14338643.6"/>
    <n v="4749855.29"/>
    <n v="318020"/>
  </r>
  <r>
    <x v="21"/>
    <x v="0"/>
    <s v="VIC"/>
    <s v="No gap agreement"/>
    <s v="100% MBS Fee to 125% MBS Fee"/>
    <n v="41381806.710000001"/>
    <n v="26366413.140000001"/>
    <n v="15015309.83"/>
    <n v="363946"/>
  </r>
  <r>
    <x v="21"/>
    <x v="0"/>
    <s v="VIC"/>
    <s v="No gap agreement"/>
    <s v="More than 125% MBS Fee to 150% MBS Fee"/>
    <n v="101766963.45"/>
    <n v="55847883.189999998"/>
    <n v="45919056.829999998"/>
    <n v="684306"/>
  </r>
  <r>
    <x v="21"/>
    <x v="0"/>
    <s v="VIC"/>
    <s v="No gap agreement"/>
    <s v="More than 150% MBS Fee to 200% MBS Fee"/>
    <n v="99584295.299999997"/>
    <n v="44708775.770000003"/>
    <n v="54875486.920000002"/>
    <n v="527891"/>
  </r>
  <r>
    <x v="21"/>
    <x v="0"/>
    <s v="VIC"/>
    <s v="No gap agreement"/>
    <s v="More than 200% MBS Fee"/>
    <n v="3383136.11"/>
    <n v="878449.97"/>
    <n v="2504686.14"/>
    <n v="3930"/>
  </r>
  <r>
    <x v="21"/>
    <x v="0"/>
    <s v="QLD"/>
    <s v="No agreement"/>
    <s v="Up to MBS Fee"/>
    <n v="6719816.0499999998"/>
    <n v="5040452.3499999996"/>
    <n v="1670351.25"/>
    <n v="106088"/>
  </r>
  <r>
    <x v="21"/>
    <x v="0"/>
    <s v="QLD"/>
    <s v="No agreement"/>
    <s v="100% MBS Fee to 125% MBS Fee"/>
    <n v="5002919.71"/>
    <n v="3192098.35"/>
    <n v="1655702.58"/>
    <n v="56030"/>
  </r>
  <r>
    <x v="21"/>
    <x v="0"/>
    <s v="QLD"/>
    <s v="No agreement"/>
    <s v="More than 125% MBS Fee to 150% MBS Fee"/>
    <n v="5914810.9900000002"/>
    <n v="3161312.45"/>
    <n v="2081450.01"/>
    <n v="59216"/>
  </r>
  <r>
    <x v="21"/>
    <x v="0"/>
    <s v="QLD"/>
    <s v="No agreement"/>
    <s v="More than 150% MBS Fee to 200% MBS Fee"/>
    <n v="11319509.67"/>
    <n v="4993339.53"/>
    <n v="4662625.66"/>
    <n v="63249"/>
  </r>
  <r>
    <x v="21"/>
    <x v="0"/>
    <s v="QLD"/>
    <s v="No agreement"/>
    <s v="More than 200% MBS Fee"/>
    <n v="34795447.960000001"/>
    <n v="8403059.6699999999"/>
    <n v="3286854.09"/>
    <n v="42635"/>
  </r>
  <r>
    <x v="21"/>
    <x v="0"/>
    <s v="QLD"/>
    <s v="Known gap agreement"/>
    <s v="100% MBS Fee to 125% MBS Fee"/>
    <n v="1388352.23"/>
    <n v="915124.87"/>
    <n v="404443.11"/>
    <n v="6359"/>
  </r>
  <r>
    <x v="21"/>
    <x v="0"/>
    <s v="QLD"/>
    <s v="Known gap agreement"/>
    <s v="More than 125% MBS Fee to 150% MBS Fee"/>
    <n v="2595072.59"/>
    <n v="1401399.91"/>
    <n v="953318.2"/>
    <n v="10415"/>
  </r>
  <r>
    <x v="21"/>
    <x v="0"/>
    <s v="QLD"/>
    <s v="Known gap agreement"/>
    <s v="More than 150% MBS Fee to 200% MBS Fee"/>
    <n v="9802711.6300000008"/>
    <n v="4173865.56"/>
    <n v="4082041.36"/>
    <n v="16745"/>
  </r>
  <r>
    <x v="21"/>
    <x v="0"/>
    <s v="QLD"/>
    <s v="Known gap agreement"/>
    <s v="More than 200% MBS Fee"/>
    <n v="21755142.010000002"/>
    <n v="5970001.1699999999"/>
    <n v="6748902.0099999998"/>
    <n v="58240"/>
  </r>
  <r>
    <x v="21"/>
    <x v="0"/>
    <s v="QLD"/>
    <s v="No gap agreement"/>
    <s v="Up to MBS Fee"/>
    <n v="13665987.25"/>
    <n v="10257459.25"/>
    <n v="3408520.19"/>
    <n v="242246"/>
  </r>
  <r>
    <x v="21"/>
    <x v="0"/>
    <s v="QLD"/>
    <s v="No gap agreement"/>
    <s v="100% MBS Fee to 125% MBS Fee"/>
    <n v="36915998.409999996"/>
    <n v="23503738.629999999"/>
    <n v="13412174.84"/>
    <n v="339304"/>
  </r>
  <r>
    <x v="21"/>
    <x v="0"/>
    <s v="QLD"/>
    <s v="No gap agreement"/>
    <s v="More than 125% MBS Fee to 150% MBS Fee"/>
    <n v="69964866.290000007"/>
    <n v="38633489.530000001"/>
    <n v="31330836.75"/>
    <n v="561807"/>
  </r>
  <r>
    <x v="21"/>
    <x v="0"/>
    <s v="QLD"/>
    <s v="No gap agreement"/>
    <s v="More than 150% MBS Fee to 200% MBS Fee"/>
    <n v="65959567.920000002"/>
    <n v="30180895.050000001"/>
    <n v="35778334.659999996"/>
    <n v="424430"/>
  </r>
  <r>
    <x v="21"/>
    <x v="0"/>
    <s v="QLD"/>
    <s v="No gap agreement"/>
    <s v="More than 200% MBS Fee"/>
    <n v="5170115.71"/>
    <n v="1509471.35"/>
    <n v="3660696.12"/>
    <n v="7431"/>
  </r>
  <r>
    <x v="21"/>
    <x v="0"/>
    <s v="SA"/>
    <s v="No agreement"/>
    <s v="Up to MBS Fee"/>
    <n v="2055078.98"/>
    <n v="1542136.16"/>
    <n v="512673.67"/>
    <n v="19067"/>
  </r>
  <r>
    <x v="21"/>
    <x v="0"/>
    <s v="SA"/>
    <s v="No agreement"/>
    <s v="100% MBS Fee to 125% MBS Fee"/>
    <n v="814304.79"/>
    <n v="517188.09"/>
    <n v="267702.42"/>
    <n v="3864"/>
  </r>
  <r>
    <x v="21"/>
    <x v="0"/>
    <s v="SA"/>
    <s v="No agreement"/>
    <s v="More than 125% MBS Fee to 150% MBS Fee"/>
    <n v="1868940.51"/>
    <n v="1031345.4"/>
    <n v="788789.37"/>
    <n v="20923"/>
  </r>
  <r>
    <x v="21"/>
    <x v="0"/>
    <s v="SA"/>
    <s v="No agreement"/>
    <s v="More than 150% MBS Fee to 200% MBS Fee"/>
    <n v="3731748.66"/>
    <n v="1613455.52"/>
    <n v="1986688.14"/>
    <n v="14182"/>
  </r>
  <r>
    <x v="21"/>
    <x v="0"/>
    <s v="SA"/>
    <s v="No agreement"/>
    <s v="More than 200% MBS Fee"/>
    <n v="2046715.44"/>
    <n v="506669.72"/>
    <n v="352512.71"/>
    <n v="3907"/>
  </r>
  <r>
    <x v="21"/>
    <x v="0"/>
    <s v="SA"/>
    <s v="Known gap agreement"/>
    <s v="100% MBS Fee to 125% MBS Fee"/>
    <n v="370986.6"/>
    <n v="242162.26"/>
    <n v="117159.57"/>
    <n v="1532"/>
  </r>
  <r>
    <x v="21"/>
    <x v="0"/>
    <s v="SA"/>
    <s v="Known gap agreement"/>
    <s v="More than 125% MBS Fee to 150% MBS Fee"/>
    <n v="858245.36"/>
    <n v="464249.7"/>
    <n v="340870.37"/>
    <n v="3148"/>
  </r>
  <r>
    <x v="21"/>
    <x v="0"/>
    <s v="SA"/>
    <s v="Known gap agreement"/>
    <s v="More than 150% MBS Fee to 200% MBS Fee"/>
    <n v="4003857.2"/>
    <n v="1693648.45"/>
    <n v="1760730.18"/>
    <n v="8643"/>
  </r>
  <r>
    <x v="21"/>
    <x v="0"/>
    <s v="SA"/>
    <s v="Known gap agreement"/>
    <s v="More than 200% MBS Fee"/>
    <n v="6122266.0300000003"/>
    <n v="1841054.69"/>
    <n v="2342067.8199999998"/>
    <n v="26329"/>
  </r>
  <r>
    <x v="21"/>
    <x v="0"/>
    <s v="SA"/>
    <s v="No gap agreement"/>
    <s v="Up to MBS Fee"/>
    <n v="4795156.26"/>
    <n v="3599500.73"/>
    <n v="1195662.6599999999"/>
    <n v="59266"/>
  </r>
  <r>
    <x v="21"/>
    <x v="0"/>
    <s v="SA"/>
    <s v="No gap agreement"/>
    <s v="100% MBS Fee to 125% MBS Fee"/>
    <n v="7226985.6900000004"/>
    <n v="4537590.38"/>
    <n v="2689394.04"/>
    <n v="69878"/>
  </r>
  <r>
    <x v="21"/>
    <x v="0"/>
    <s v="SA"/>
    <s v="No gap agreement"/>
    <s v="More than 125% MBS Fee to 150% MBS Fee"/>
    <n v="24913951.02"/>
    <n v="13586873.08"/>
    <n v="11327062.34"/>
    <n v="200951"/>
  </r>
  <r>
    <x v="21"/>
    <x v="0"/>
    <s v="SA"/>
    <s v="No gap agreement"/>
    <s v="More than 150% MBS Fee to 200% MBS Fee"/>
    <n v="41412043.560000002"/>
    <n v="18417673.219999999"/>
    <n v="22994363.260000002"/>
    <n v="159697"/>
  </r>
  <r>
    <x v="21"/>
    <x v="0"/>
    <s v="SA"/>
    <s v="No gap agreement"/>
    <s v="More than 200% MBS Fee"/>
    <n v="1391855.83"/>
    <n v="370730.8"/>
    <n v="1021125.03"/>
    <n v="1408"/>
  </r>
  <r>
    <x v="21"/>
    <x v="0"/>
    <s v="WA"/>
    <s v="No agreement"/>
    <s v="Up to MBS Fee"/>
    <n v="1960431.68"/>
    <n v="1471602.9"/>
    <n v="487300.67"/>
    <n v="32292"/>
  </r>
  <r>
    <x v="21"/>
    <x v="0"/>
    <s v="WA"/>
    <s v="No agreement"/>
    <s v="100% MBS Fee to 125% MBS Fee"/>
    <n v="509267.59"/>
    <n v="331736.92"/>
    <n v="143164.73000000001"/>
    <n v="3002"/>
  </r>
  <r>
    <x v="21"/>
    <x v="0"/>
    <s v="WA"/>
    <s v="No agreement"/>
    <s v="More than 125% MBS Fee to 150% MBS Fee"/>
    <n v="1611723.53"/>
    <n v="854561.8"/>
    <n v="432666.91"/>
    <n v="17739"/>
  </r>
  <r>
    <x v="21"/>
    <x v="0"/>
    <s v="WA"/>
    <s v="No agreement"/>
    <s v="More than 150% MBS Fee to 200% MBS Fee"/>
    <n v="2737988.9"/>
    <n v="1202413.3400000001"/>
    <n v="817374.64"/>
    <n v="10040"/>
  </r>
  <r>
    <x v="21"/>
    <x v="0"/>
    <s v="WA"/>
    <s v="No agreement"/>
    <s v="More than 200% MBS Fee"/>
    <n v="7675422.7800000003"/>
    <n v="1742958.37"/>
    <n v="703391.42"/>
    <n v="11247"/>
  </r>
  <r>
    <x v="21"/>
    <x v="0"/>
    <s v="WA"/>
    <s v="Known gap agreement"/>
    <s v="100% MBS Fee to 125% MBS Fee"/>
    <n v="2411470.4500000002"/>
    <n v="1646247.9"/>
    <n v="727870.63"/>
    <n v="13319"/>
  </r>
  <r>
    <x v="21"/>
    <x v="0"/>
    <s v="WA"/>
    <s v="Known gap agreement"/>
    <s v="More than 125% MBS Fee to 150% MBS Fee"/>
    <n v="4286949.83"/>
    <n v="2316150.56"/>
    <n v="1767489.42"/>
    <n v="32531"/>
  </r>
  <r>
    <x v="21"/>
    <x v="0"/>
    <s v="WA"/>
    <s v="Known gap agreement"/>
    <s v="More than 150% MBS Fee to 200% MBS Fee"/>
    <n v="8054665.46"/>
    <n v="3579127.72"/>
    <n v="3200570.79"/>
    <n v="17499"/>
  </r>
  <r>
    <x v="21"/>
    <x v="0"/>
    <s v="WA"/>
    <s v="Known gap agreement"/>
    <s v="More than 200% MBS Fee"/>
    <n v="15144283.91"/>
    <n v="3951698.83"/>
    <n v="2722493.05"/>
    <n v="33874"/>
  </r>
  <r>
    <x v="21"/>
    <x v="0"/>
    <s v="WA"/>
    <s v="No gap agreement"/>
    <s v="Up to MBS Fee"/>
    <n v="6082946.0099999998"/>
    <n v="4580527.7300000004"/>
    <n v="1502401.32"/>
    <n v="125835"/>
  </r>
  <r>
    <x v="21"/>
    <x v="0"/>
    <s v="WA"/>
    <s v="No gap agreement"/>
    <s v="100% MBS Fee to 125% MBS Fee"/>
    <n v="7340144.5300000003"/>
    <n v="4789571.5199999996"/>
    <n v="2550569.06"/>
    <n v="49099"/>
  </r>
  <r>
    <x v="21"/>
    <x v="0"/>
    <s v="WA"/>
    <s v="No gap agreement"/>
    <s v="More than 125% MBS Fee to 150% MBS Fee"/>
    <n v="41367718.710000001"/>
    <n v="22956845.059999999"/>
    <n v="18410871.039999999"/>
    <n v="295069"/>
  </r>
  <r>
    <x v="21"/>
    <x v="0"/>
    <s v="WA"/>
    <s v="No gap agreement"/>
    <s v="More than 150% MBS Fee to 200% MBS Fee"/>
    <n v="52686258"/>
    <n v="23301865.68"/>
    <n v="29384288.98"/>
    <n v="247404"/>
  </r>
  <r>
    <x v="21"/>
    <x v="0"/>
    <s v="WA"/>
    <s v="No gap agreement"/>
    <s v="More than 200% MBS Fee"/>
    <n v="2980402.36"/>
    <n v="788148.15"/>
    <n v="2192254.21"/>
    <n v="2029"/>
  </r>
  <r>
    <x v="21"/>
    <x v="0"/>
    <s v="TAS"/>
    <s v="No agreement"/>
    <s v="Up to MBS Fee"/>
    <n v="461571.7"/>
    <n v="346544.86"/>
    <n v="114760.36"/>
    <n v="5220"/>
  </r>
  <r>
    <x v="21"/>
    <x v="0"/>
    <s v="TAS"/>
    <s v="No agreement"/>
    <s v="100% MBS Fee to 125% MBS Fee"/>
    <n v="456132.58"/>
    <n v="283839.40999999997"/>
    <n v="167351.20000000001"/>
    <n v="2916"/>
  </r>
  <r>
    <x v="21"/>
    <x v="0"/>
    <s v="TAS"/>
    <s v="No agreement"/>
    <s v="More than 125% MBS Fee to 150% MBS Fee"/>
    <n v="424098.4"/>
    <n v="238310.33"/>
    <n v="167409.43"/>
    <n v="4496"/>
  </r>
  <r>
    <x v="21"/>
    <x v="0"/>
    <s v="TAS"/>
    <s v="No agreement"/>
    <s v="More than 150% MBS Fee to 200% MBS Fee"/>
    <n v="719076.31"/>
    <n v="321053.21999999997"/>
    <n v="301319.07"/>
    <n v="3364"/>
  </r>
  <r>
    <x v="21"/>
    <x v="0"/>
    <s v="TAS"/>
    <s v="No agreement"/>
    <s v="More than 200% MBS Fee"/>
    <n v="1410870.7"/>
    <n v="334109.81"/>
    <n v="147893.4"/>
    <n v="1372"/>
  </r>
  <r>
    <x v="21"/>
    <x v="0"/>
    <s v="TAS"/>
    <s v="Known gap agreement"/>
    <s v="100% MBS Fee to 125% MBS Fee"/>
    <n v="177509.39"/>
    <n v="120051"/>
    <n v="47391.1"/>
    <n v="1499"/>
  </r>
  <r>
    <x v="21"/>
    <x v="0"/>
    <s v="TAS"/>
    <s v="Known gap agreement"/>
    <s v="More than 125% MBS Fee to 150% MBS Fee"/>
    <n v="304481.32"/>
    <n v="163926.95000000001"/>
    <n v="127038.74"/>
    <n v="1140"/>
  </r>
  <r>
    <x v="21"/>
    <x v="0"/>
    <s v="TAS"/>
    <s v="Known gap agreement"/>
    <s v="More than 150% MBS Fee to 200% MBS Fee"/>
    <n v="1270810.81"/>
    <n v="538531.79"/>
    <n v="559050.85"/>
    <n v="2511"/>
  </r>
  <r>
    <x v="21"/>
    <x v="0"/>
    <s v="TAS"/>
    <s v="Known gap agreement"/>
    <s v="More than 200% MBS Fee"/>
    <n v="1483356.89"/>
    <n v="452752.55"/>
    <n v="535870.98"/>
    <n v="4473"/>
  </r>
  <r>
    <x v="21"/>
    <x v="0"/>
    <s v="TAS"/>
    <s v="No gap agreement"/>
    <s v="Up to MBS Fee"/>
    <n v="2103285.08"/>
    <n v="1578842.08"/>
    <n v="524442.9"/>
    <n v="41081"/>
  </r>
  <r>
    <x v="21"/>
    <x v="0"/>
    <s v="TAS"/>
    <s v="No gap agreement"/>
    <s v="100% MBS Fee to 125% MBS Fee"/>
    <n v="2577565.04"/>
    <n v="1638990.34"/>
    <n v="938572.65"/>
    <n v="20440"/>
  </r>
  <r>
    <x v="21"/>
    <x v="0"/>
    <s v="TAS"/>
    <s v="No gap agreement"/>
    <s v="More than 125% MBS Fee to 150% MBS Fee"/>
    <n v="7543826.2400000002"/>
    <n v="4125075.06"/>
    <n v="3418748.93"/>
    <n v="46694"/>
  </r>
  <r>
    <x v="21"/>
    <x v="0"/>
    <s v="TAS"/>
    <s v="No gap agreement"/>
    <s v="More than 150% MBS Fee to 200% MBS Fee"/>
    <n v="10581750.369999999"/>
    <n v="4825777.99"/>
    <n v="5755971.8700000001"/>
    <n v="49669"/>
  </r>
  <r>
    <x v="21"/>
    <x v="0"/>
    <s v="TAS"/>
    <s v="No gap agreement"/>
    <s v="More than 200% MBS Fee"/>
    <n v="421904.9"/>
    <n v="118003.1"/>
    <n v="303901.8"/>
    <n v="417"/>
  </r>
  <r>
    <x v="21"/>
    <x v="0"/>
    <s v="ACT"/>
    <s v="No agreement"/>
    <s v="Up to MBS Fee"/>
    <n v="1104921.83"/>
    <n v="828923.66"/>
    <n v="274689.38"/>
    <n v="9221"/>
  </r>
  <r>
    <x v="21"/>
    <x v="0"/>
    <s v="ACT"/>
    <s v="No agreement"/>
    <s v="100% MBS Fee to 125% MBS Fee"/>
    <n v="139829.98000000001"/>
    <n v="93839.360000000001"/>
    <n v="38533.599999999999"/>
    <n v="748"/>
  </r>
  <r>
    <x v="21"/>
    <x v="0"/>
    <s v="ACT"/>
    <s v="No agreement"/>
    <s v="More than 125% MBS Fee to 150% MBS Fee"/>
    <n v="186226.97"/>
    <n v="101618.2"/>
    <n v="57253.5"/>
    <n v="630"/>
  </r>
  <r>
    <x v="21"/>
    <x v="0"/>
    <s v="ACT"/>
    <s v="No agreement"/>
    <s v="More than 150% MBS Fee to 200% MBS Fee"/>
    <n v="657660.19999999995"/>
    <n v="282055.12"/>
    <n v="166220.57999999999"/>
    <n v="2800"/>
  </r>
  <r>
    <x v="21"/>
    <x v="0"/>
    <s v="ACT"/>
    <s v="No agreement"/>
    <s v="More than 200% MBS Fee"/>
    <n v="6136988.0700000003"/>
    <n v="1458699.54"/>
    <n v="499898.77"/>
    <n v="6269"/>
  </r>
  <r>
    <x v="21"/>
    <x v="0"/>
    <s v="ACT"/>
    <s v="Known gap agreement"/>
    <s v="100% MBS Fee to 125% MBS Fee"/>
    <n v="46438.67"/>
    <n v="29628.45"/>
    <n v="13924.73"/>
    <n v="211"/>
  </r>
  <r>
    <x v="21"/>
    <x v="0"/>
    <s v="ACT"/>
    <s v="Known gap agreement"/>
    <s v="More than 125% MBS Fee to 150% MBS Fee"/>
    <n v="137578.01999999999"/>
    <n v="76066.52"/>
    <n v="53870.400000000001"/>
    <n v="381"/>
  </r>
  <r>
    <x v="21"/>
    <x v="0"/>
    <s v="ACT"/>
    <s v="Known gap agreement"/>
    <s v="More than 150% MBS Fee to 200% MBS Fee"/>
    <n v="432850.76"/>
    <n v="184750.27"/>
    <n v="189931.74"/>
    <n v="1251"/>
  </r>
  <r>
    <x v="21"/>
    <x v="0"/>
    <s v="ACT"/>
    <s v="Known gap agreement"/>
    <s v="More than 200% MBS Fee"/>
    <n v="2790504.44"/>
    <n v="731448.3"/>
    <n v="799808.09"/>
    <n v="9948"/>
  </r>
  <r>
    <x v="21"/>
    <x v="0"/>
    <s v="ACT"/>
    <s v="No gap agreement"/>
    <s v="Up to MBS Fee"/>
    <n v="435933.13"/>
    <n v="327301.7"/>
    <n v="108631.29"/>
    <n v="13696"/>
  </r>
  <r>
    <x v="21"/>
    <x v="0"/>
    <s v="ACT"/>
    <s v="No gap agreement"/>
    <s v="100% MBS Fee to 125% MBS Fee"/>
    <n v="1349948.55"/>
    <n v="860443.95"/>
    <n v="489497.75"/>
    <n v="15387"/>
  </r>
  <r>
    <x v="21"/>
    <x v="0"/>
    <s v="ACT"/>
    <s v="No gap agreement"/>
    <s v="More than 125% MBS Fee to 150% MBS Fee"/>
    <n v="3484590.12"/>
    <n v="1917710.27"/>
    <n v="1566878.98"/>
    <n v="29312"/>
  </r>
  <r>
    <x v="21"/>
    <x v="0"/>
    <s v="ACT"/>
    <s v="No gap agreement"/>
    <s v="More than 150% MBS Fee to 200% MBS Fee"/>
    <n v="2341847.7400000002"/>
    <n v="1066646.1299999999"/>
    <n v="1275198.21"/>
    <n v="13126"/>
  </r>
  <r>
    <x v="21"/>
    <x v="0"/>
    <s v="ACT"/>
    <s v="No gap agreement"/>
    <s v="More than 200% MBS Fee"/>
    <n v="301275.57"/>
    <n v="91055.75"/>
    <n v="210219.82"/>
    <n v="499"/>
  </r>
  <r>
    <x v="21"/>
    <x v="0"/>
    <s v="NT"/>
    <s v="No agreement"/>
    <s v="Up to MBS Fee"/>
    <n v="268648.49"/>
    <n v="201331.99"/>
    <n v="66838.399999999994"/>
    <n v="1694"/>
  </r>
  <r>
    <x v="21"/>
    <x v="0"/>
    <s v="NT"/>
    <s v="No agreement"/>
    <s v="100% MBS Fee to 125% MBS Fee"/>
    <n v="101825.5"/>
    <n v="65074.49"/>
    <n v="33453.050000000003"/>
    <n v="631"/>
  </r>
  <r>
    <x v="21"/>
    <x v="0"/>
    <s v="NT"/>
    <s v="No agreement"/>
    <s v="More than 125% MBS Fee to 150% MBS Fee"/>
    <n v="83829.850000000006"/>
    <n v="45183.9"/>
    <n v="28024.75"/>
    <n v="520"/>
  </r>
  <r>
    <x v="21"/>
    <x v="0"/>
    <s v="NT"/>
    <s v="No agreement"/>
    <s v="More than 150% MBS Fee to 200% MBS Fee"/>
    <n v="254471.92"/>
    <n v="113563.81"/>
    <n v="115620.6"/>
    <n v="1285"/>
  </r>
  <r>
    <x v="21"/>
    <x v="0"/>
    <s v="NT"/>
    <s v="No agreement"/>
    <s v="More than 200% MBS Fee"/>
    <n v="1046368.76"/>
    <n v="251603.83"/>
    <n v="93982.65"/>
    <n v="996"/>
  </r>
  <r>
    <x v="21"/>
    <x v="0"/>
    <s v="NT"/>
    <s v="Known gap agreement"/>
    <s v="100% MBS Fee to 125% MBS Fee"/>
    <n v="28236.48"/>
    <n v="18602.3"/>
    <n v="8184.6"/>
    <n v="118"/>
  </r>
  <r>
    <x v="21"/>
    <x v="0"/>
    <s v="NT"/>
    <s v="Known gap agreement"/>
    <s v="More than 125% MBS Fee to 150% MBS Fee"/>
    <n v="43158.59"/>
    <n v="23419.8"/>
    <n v="17424.22"/>
    <n v="154"/>
  </r>
  <r>
    <x v="21"/>
    <x v="0"/>
    <s v="NT"/>
    <s v="Known gap agreement"/>
    <s v="More than 150% MBS Fee to 200% MBS Fee"/>
    <n v="152719.76999999999"/>
    <n v="67163.55"/>
    <n v="68934.179999999993"/>
    <n v="368"/>
  </r>
  <r>
    <x v="21"/>
    <x v="0"/>
    <s v="NT"/>
    <s v="Known gap agreement"/>
    <s v="More than 200% MBS Fee"/>
    <n v="419254.82"/>
    <n v="120566.55"/>
    <n v="135497.79999999999"/>
    <n v="1831"/>
  </r>
  <r>
    <x v="21"/>
    <x v="0"/>
    <s v="NT"/>
    <s v="No gap agreement"/>
    <s v="Up to MBS Fee"/>
    <n v="218436.8"/>
    <n v="164037"/>
    <n v="54399.8"/>
    <n v="2288"/>
  </r>
  <r>
    <x v="21"/>
    <x v="0"/>
    <s v="NT"/>
    <s v="No gap agreement"/>
    <s v="100% MBS Fee to 125% MBS Fee"/>
    <n v="482914.19"/>
    <n v="309656.45"/>
    <n v="173255.1"/>
    <n v="3646"/>
  </r>
  <r>
    <x v="21"/>
    <x v="0"/>
    <s v="NT"/>
    <s v="No gap agreement"/>
    <s v="More than 125% MBS Fee to 150% MBS Fee"/>
    <n v="1285152.25"/>
    <n v="696836.24"/>
    <n v="588312.91"/>
    <n v="6153"/>
  </r>
  <r>
    <x v="21"/>
    <x v="0"/>
    <s v="NT"/>
    <s v="No gap agreement"/>
    <s v="More than 150% MBS Fee to 200% MBS Fee"/>
    <n v="2014066.26"/>
    <n v="922484.55"/>
    <n v="1091573.21"/>
    <n v="9594"/>
  </r>
  <r>
    <x v="21"/>
    <x v="0"/>
    <s v="NT"/>
    <s v="No gap agreement"/>
    <s v="More than 200% MBS Fee"/>
    <n v="51196.84"/>
    <n v="15375.89"/>
    <n v="35820.949999999997"/>
    <n v="87"/>
  </r>
  <r>
    <x v="21"/>
    <x v="2"/>
    <s v="NSW"/>
    <s v="No agreement"/>
    <s v="Up to MBS Fee"/>
    <n v="37508547.310000002"/>
    <n v="28151098.82"/>
    <n v="9353722.0800000001"/>
    <n v="494533"/>
  </r>
  <r>
    <x v="21"/>
    <x v="2"/>
    <s v="NSW"/>
    <s v="No agreement"/>
    <s v="100% MBS Fee to 125% MBS Fee"/>
    <n v="5016192.63"/>
    <n v="3298218.11"/>
    <n v="1412009.41"/>
    <n v="29502"/>
  </r>
  <r>
    <x v="21"/>
    <x v="2"/>
    <s v="NSW"/>
    <s v="No agreement"/>
    <s v="More than 125% MBS Fee to 150% MBS Fee"/>
    <n v="4840732.41"/>
    <n v="2624915.12"/>
    <n v="1655019.23"/>
    <n v="39745"/>
  </r>
  <r>
    <x v="21"/>
    <x v="2"/>
    <s v="NSW"/>
    <s v="No agreement"/>
    <s v="More than 150% MBS Fee to 200% MBS Fee"/>
    <n v="12273326.220000001"/>
    <n v="5356200.6399999997"/>
    <n v="3501312.69"/>
    <n v="56293"/>
  </r>
  <r>
    <x v="21"/>
    <x v="2"/>
    <s v="NSW"/>
    <s v="No agreement"/>
    <s v="More than 200% MBS Fee"/>
    <n v="91719454.340000004"/>
    <n v="20667795.07"/>
    <n v="7262458.0599999996"/>
    <n v="106199"/>
  </r>
  <r>
    <x v="21"/>
    <x v="2"/>
    <s v="NSW"/>
    <s v="Known gap agreement"/>
    <s v="100% MBS Fee to 125% MBS Fee"/>
    <n v="2781246.06"/>
    <n v="1772497.97"/>
    <n v="912669.44"/>
    <n v="13893"/>
  </r>
  <r>
    <x v="21"/>
    <x v="2"/>
    <s v="NSW"/>
    <s v="Known gap agreement"/>
    <s v="More than 125% MBS Fee to 150% MBS Fee"/>
    <n v="5111723.59"/>
    <n v="2773110.62"/>
    <n v="2060505.83"/>
    <n v="16851"/>
  </r>
  <r>
    <x v="21"/>
    <x v="2"/>
    <s v="NSW"/>
    <s v="Known gap agreement"/>
    <s v="More than 150% MBS Fee to 200% MBS Fee"/>
    <n v="12985330.68"/>
    <n v="5652318.2599999998"/>
    <n v="5745913.0999999996"/>
    <n v="30470"/>
  </r>
  <r>
    <x v="21"/>
    <x v="2"/>
    <s v="NSW"/>
    <s v="Known gap agreement"/>
    <s v="More than 200% MBS Fee"/>
    <n v="32052333.899999999"/>
    <n v="8463838.8399999999"/>
    <n v="10040481.68"/>
    <n v="116825"/>
  </r>
  <r>
    <x v="21"/>
    <x v="2"/>
    <s v="NSW"/>
    <s v="No gap agreement"/>
    <s v="Up to MBS Fee"/>
    <n v="19604334.899999999"/>
    <n v="14724633.560000001"/>
    <n v="4879762.09"/>
    <n v="532569"/>
  </r>
  <r>
    <x v="21"/>
    <x v="2"/>
    <s v="NSW"/>
    <s v="No gap agreement"/>
    <s v="100% MBS Fee to 125% MBS Fee"/>
    <n v="49288766.600000001"/>
    <n v="31277094.050000001"/>
    <n v="18011632.41"/>
    <n v="517573"/>
  </r>
  <r>
    <x v="21"/>
    <x v="2"/>
    <s v="NSW"/>
    <s v="No gap agreement"/>
    <s v="More than 125% MBS Fee to 150% MBS Fee"/>
    <n v="90412815.370000005"/>
    <n v="49546998.710000001"/>
    <n v="40865799.68"/>
    <n v="552865"/>
  </r>
  <r>
    <x v="21"/>
    <x v="2"/>
    <s v="NSW"/>
    <s v="No gap agreement"/>
    <s v="More than 150% MBS Fee to 200% MBS Fee"/>
    <n v="102750602.29000001"/>
    <n v="47013634.259999998"/>
    <n v="55736907.32"/>
    <n v="553698"/>
  </r>
  <r>
    <x v="21"/>
    <x v="2"/>
    <s v="NSW"/>
    <s v="No gap agreement"/>
    <s v="More than 200% MBS Fee"/>
    <n v="7418782.0700000003"/>
    <n v="2184240.58"/>
    <n v="5234541.92"/>
    <n v="17185"/>
  </r>
  <r>
    <x v="21"/>
    <x v="2"/>
    <s v="VIC"/>
    <s v="No agreement"/>
    <s v="Up to MBS Fee"/>
    <n v="10979323.82"/>
    <n v="8228804.75"/>
    <n v="2731445.24"/>
    <n v="204520"/>
  </r>
  <r>
    <x v="21"/>
    <x v="2"/>
    <s v="VIC"/>
    <s v="No agreement"/>
    <s v="100% MBS Fee to 125% MBS Fee"/>
    <n v="2513221.86"/>
    <n v="1644659.05"/>
    <n v="653528.98"/>
    <n v="11890"/>
  </r>
  <r>
    <x v="21"/>
    <x v="2"/>
    <s v="VIC"/>
    <s v="No agreement"/>
    <s v="More than 125% MBS Fee to 150% MBS Fee"/>
    <n v="4826770.01"/>
    <n v="2628382.06"/>
    <n v="1654301.98"/>
    <n v="58726"/>
  </r>
  <r>
    <x v="21"/>
    <x v="2"/>
    <s v="VIC"/>
    <s v="No agreement"/>
    <s v="More than 150% MBS Fee to 200% MBS Fee"/>
    <n v="9287342.75"/>
    <n v="3961781.27"/>
    <n v="3459236.88"/>
    <n v="55812"/>
  </r>
  <r>
    <x v="21"/>
    <x v="2"/>
    <s v="VIC"/>
    <s v="No agreement"/>
    <s v="More than 200% MBS Fee"/>
    <n v="25577922.120000001"/>
    <n v="6297906.7699999996"/>
    <n v="2565142.87"/>
    <n v="53194"/>
  </r>
  <r>
    <x v="21"/>
    <x v="2"/>
    <s v="VIC"/>
    <s v="Known gap agreement"/>
    <s v="100% MBS Fee to 125% MBS Fee"/>
    <n v="3500923.54"/>
    <n v="2296752.5099999998"/>
    <n v="1048696.22"/>
    <n v="21775"/>
  </r>
  <r>
    <x v="21"/>
    <x v="2"/>
    <s v="VIC"/>
    <s v="Known gap agreement"/>
    <s v="More than 125% MBS Fee to 150% MBS Fee"/>
    <n v="5988477.8200000003"/>
    <n v="3265740.87"/>
    <n v="2205923.9500000002"/>
    <n v="21742"/>
  </r>
  <r>
    <x v="21"/>
    <x v="2"/>
    <s v="VIC"/>
    <s v="Known gap agreement"/>
    <s v="More than 150% MBS Fee to 200% MBS Fee"/>
    <n v="12683951.42"/>
    <n v="5489618.1299999999"/>
    <n v="5078808.24"/>
    <n v="31843"/>
  </r>
  <r>
    <x v="21"/>
    <x v="2"/>
    <s v="VIC"/>
    <s v="Known gap agreement"/>
    <s v="More than 200% MBS Fee"/>
    <n v="23643421.629999999"/>
    <n v="6873750.3300000001"/>
    <n v="7942688.6699999999"/>
    <n v="95052"/>
  </r>
  <r>
    <x v="21"/>
    <x v="2"/>
    <s v="VIC"/>
    <s v="No gap agreement"/>
    <s v="Up to MBS Fee"/>
    <n v="17474176.73"/>
    <n v="13142285.939999999"/>
    <n v="4331922.63"/>
    <n v="277664"/>
  </r>
  <r>
    <x v="21"/>
    <x v="2"/>
    <s v="VIC"/>
    <s v="No gap agreement"/>
    <s v="100% MBS Fee to 125% MBS Fee"/>
    <n v="43347136.520000003"/>
    <n v="27552535.489999998"/>
    <n v="15794538.9"/>
    <n v="365803"/>
  </r>
  <r>
    <x v="21"/>
    <x v="2"/>
    <s v="VIC"/>
    <s v="No gap agreement"/>
    <s v="More than 125% MBS Fee to 150% MBS Fee"/>
    <n v="99746353.469999999"/>
    <n v="54728271.549999997"/>
    <n v="45018039.75"/>
    <n v="665424"/>
  </r>
  <r>
    <x v="21"/>
    <x v="2"/>
    <s v="VIC"/>
    <s v="No gap agreement"/>
    <s v="More than 150% MBS Fee to 200% MBS Fee"/>
    <n v="99941580.420000002"/>
    <n v="44824098.090000004"/>
    <n v="55117445.810000002"/>
    <n v="519985"/>
  </r>
  <r>
    <x v="21"/>
    <x v="2"/>
    <s v="VIC"/>
    <s v="No gap agreement"/>
    <s v="More than 200% MBS Fee"/>
    <n v="3650838.7"/>
    <n v="946804.07"/>
    <n v="2704034.63"/>
    <n v="4404"/>
  </r>
  <r>
    <x v="21"/>
    <x v="2"/>
    <s v="QLD"/>
    <s v="No agreement"/>
    <s v="Up to MBS Fee"/>
    <n v="7623342.1399999997"/>
    <n v="5712550.2999999998"/>
    <n v="1894999.41"/>
    <n v="92821"/>
  </r>
  <r>
    <x v="21"/>
    <x v="2"/>
    <s v="QLD"/>
    <s v="No agreement"/>
    <s v="100% MBS Fee to 125% MBS Fee"/>
    <n v="5660462.5599999996"/>
    <n v="3701563.72"/>
    <n v="1667403.33"/>
    <n v="46828"/>
  </r>
  <r>
    <x v="21"/>
    <x v="2"/>
    <s v="QLD"/>
    <s v="No agreement"/>
    <s v="More than 125% MBS Fee to 150% MBS Fee"/>
    <n v="5140804.9800000004"/>
    <n v="2754096.8"/>
    <n v="1636661.34"/>
    <n v="55973"/>
  </r>
  <r>
    <x v="21"/>
    <x v="2"/>
    <s v="QLD"/>
    <s v="No agreement"/>
    <s v="More than 150% MBS Fee to 200% MBS Fee"/>
    <n v="10060916.77"/>
    <n v="4398527.82"/>
    <n v="3613023.56"/>
    <n v="51520"/>
  </r>
  <r>
    <x v="21"/>
    <x v="2"/>
    <s v="QLD"/>
    <s v="No agreement"/>
    <s v="More than 200% MBS Fee"/>
    <n v="39218714.880000003"/>
    <n v="9628895.9100000001"/>
    <n v="3463248.24"/>
    <n v="48852"/>
  </r>
  <r>
    <x v="21"/>
    <x v="2"/>
    <s v="QLD"/>
    <s v="Known gap agreement"/>
    <s v="100% MBS Fee to 125% MBS Fee"/>
    <n v="1495224.21"/>
    <n v="958721.16"/>
    <n v="473586.54"/>
    <n v="7382"/>
  </r>
  <r>
    <x v="21"/>
    <x v="2"/>
    <s v="QLD"/>
    <s v="Known gap agreement"/>
    <s v="More than 125% MBS Fee to 150% MBS Fee"/>
    <n v="2523980.25"/>
    <n v="1359915.79"/>
    <n v="972709.5"/>
    <n v="10039"/>
  </r>
  <r>
    <x v="21"/>
    <x v="2"/>
    <s v="QLD"/>
    <s v="Known gap agreement"/>
    <s v="More than 150% MBS Fee to 200% MBS Fee"/>
    <n v="9233509.4499999993"/>
    <n v="3941996.72"/>
    <n v="3870518.37"/>
    <n v="17049"/>
  </r>
  <r>
    <x v="21"/>
    <x v="2"/>
    <s v="QLD"/>
    <s v="Known gap agreement"/>
    <s v="More than 200% MBS Fee"/>
    <n v="20207813.010000002"/>
    <n v="5668707.6699999999"/>
    <n v="6453222.96"/>
    <n v="54455"/>
  </r>
  <r>
    <x v="21"/>
    <x v="2"/>
    <s v="QLD"/>
    <s v="No gap agreement"/>
    <s v="Up to MBS Fee"/>
    <n v="12768387.689999999"/>
    <n v="9583695.75"/>
    <n v="3184687.14"/>
    <n v="200277"/>
  </r>
  <r>
    <x v="21"/>
    <x v="2"/>
    <s v="QLD"/>
    <s v="No gap agreement"/>
    <s v="100% MBS Fee to 125% MBS Fee"/>
    <n v="37840516.289999999"/>
    <n v="24100620.420000002"/>
    <n v="13739838.609999999"/>
    <n v="350575"/>
  </r>
  <r>
    <x v="21"/>
    <x v="2"/>
    <s v="QLD"/>
    <s v="No gap agreement"/>
    <s v="More than 125% MBS Fee to 150% MBS Fee"/>
    <n v="72270726.659999996"/>
    <n v="39862486.890000001"/>
    <n v="32407769.98"/>
    <n v="567098"/>
  </r>
  <r>
    <x v="21"/>
    <x v="2"/>
    <s v="QLD"/>
    <s v="No gap agreement"/>
    <s v="More than 150% MBS Fee to 200% MBS Fee"/>
    <n v="67869436.659999996"/>
    <n v="31050408.010000002"/>
    <n v="36818727.710000001"/>
    <n v="424521"/>
  </r>
  <r>
    <x v="21"/>
    <x v="2"/>
    <s v="QLD"/>
    <s v="No gap agreement"/>
    <s v="More than 200% MBS Fee"/>
    <n v="6130097.5199999996"/>
    <n v="1775182.72"/>
    <n v="4354913.2"/>
    <n v="7711"/>
  </r>
  <r>
    <x v="21"/>
    <x v="2"/>
    <s v="SA"/>
    <s v="No agreement"/>
    <s v="Up to MBS Fee"/>
    <n v="2295787.91"/>
    <n v="1713961.25"/>
    <n v="570625.81000000006"/>
    <n v="23259"/>
  </r>
  <r>
    <x v="21"/>
    <x v="2"/>
    <s v="SA"/>
    <s v="No agreement"/>
    <s v="100% MBS Fee to 125% MBS Fee"/>
    <n v="1003241.15"/>
    <n v="645293.81999999995"/>
    <n v="295985.15999999997"/>
    <n v="5646"/>
  </r>
  <r>
    <x v="21"/>
    <x v="2"/>
    <s v="SA"/>
    <s v="No agreement"/>
    <s v="More than 125% MBS Fee to 150% MBS Fee"/>
    <n v="2795001.25"/>
    <n v="1563854.61"/>
    <n v="1165622.45"/>
    <n v="35310"/>
  </r>
  <r>
    <x v="21"/>
    <x v="2"/>
    <s v="SA"/>
    <s v="No agreement"/>
    <s v="More than 150% MBS Fee to 200% MBS Fee"/>
    <n v="3410525.5"/>
    <n v="1473452.61"/>
    <n v="1750333.6"/>
    <n v="12526"/>
  </r>
  <r>
    <x v="21"/>
    <x v="2"/>
    <s v="SA"/>
    <s v="No agreement"/>
    <s v="More than 200% MBS Fee"/>
    <n v="2328633.44"/>
    <n v="551848.21"/>
    <n v="332684.67"/>
    <n v="3951"/>
  </r>
  <r>
    <x v="21"/>
    <x v="2"/>
    <s v="SA"/>
    <s v="Known gap agreement"/>
    <s v="100% MBS Fee to 125% MBS Fee"/>
    <n v="473660.53"/>
    <n v="301941.21000000002"/>
    <n v="133822.14000000001"/>
    <n v="2323"/>
  </r>
  <r>
    <x v="21"/>
    <x v="2"/>
    <s v="SA"/>
    <s v="Known gap agreement"/>
    <s v="More than 125% MBS Fee to 150% MBS Fee"/>
    <n v="952856"/>
    <n v="516960.81"/>
    <n v="376513.05"/>
    <n v="3289"/>
  </r>
  <r>
    <x v="21"/>
    <x v="2"/>
    <s v="SA"/>
    <s v="Known gap agreement"/>
    <s v="More than 150% MBS Fee to 200% MBS Fee"/>
    <n v="4140382.96"/>
    <n v="1748041.1"/>
    <n v="1824657.76"/>
    <n v="8625"/>
  </r>
  <r>
    <x v="21"/>
    <x v="2"/>
    <s v="SA"/>
    <s v="Known gap agreement"/>
    <s v="More than 200% MBS Fee"/>
    <n v="5499547.9000000004"/>
    <n v="1672644.75"/>
    <n v="2129998.9"/>
    <n v="23279"/>
  </r>
  <r>
    <x v="21"/>
    <x v="2"/>
    <s v="SA"/>
    <s v="No gap agreement"/>
    <s v="Up to MBS Fee"/>
    <n v="4093279.91"/>
    <n v="3072734.42"/>
    <n v="1020545.68"/>
    <n v="61893"/>
  </r>
  <r>
    <x v="21"/>
    <x v="2"/>
    <s v="SA"/>
    <s v="No gap agreement"/>
    <s v="100% MBS Fee to 125% MBS Fee"/>
    <n v="7245024.0199999996"/>
    <n v="4560424.95"/>
    <n v="2684591.91"/>
    <n v="64485"/>
  </r>
  <r>
    <x v="21"/>
    <x v="2"/>
    <s v="SA"/>
    <s v="No gap agreement"/>
    <s v="More than 125% MBS Fee to 150% MBS Fee"/>
    <n v="26048191.579999998"/>
    <n v="14203961.09"/>
    <n v="11844221.67"/>
    <n v="212424"/>
  </r>
  <r>
    <x v="21"/>
    <x v="2"/>
    <s v="SA"/>
    <s v="No gap agreement"/>
    <s v="More than 150% MBS Fee to 200% MBS Fee"/>
    <n v="41570716.359999999"/>
    <n v="18486229.199999999"/>
    <n v="23084482.02"/>
    <n v="158955"/>
  </r>
  <r>
    <x v="21"/>
    <x v="2"/>
    <s v="SA"/>
    <s v="No gap agreement"/>
    <s v="More than 200% MBS Fee"/>
    <n v="1547942.5"/>
    <n v="407103.74"/>
    <n v="1140838.76"/>
    <n v="1503"/>
  </r>
  <r>
    <x v="21"/>
    <x v="2"/>
    <s v="WA"/>
    <s v="No agreement"/>
    <s v="Up to MBS Fee"/>
    <n v="2393889.5"/>
    <n v="1796077.33"/>
    <n v="594860.72"/>
    <n v="40676"/>
  </r>
  <r>
    <x v="21"/>
    <x v="2"/>
    <s v="WA"/>
    <s v="No agreement"/>
    <s v="100% MBS Fee to 125% MBS Fee"/>
    <n v="638780.62"/>
    <n v="423736.5"/>
    <n v="157884.25"/>
    <n v="2560"/>
  </r>
  <r>
    <x v="21"/>
    <x v="2"/>
    <s v="WA"/>
    <s v="No agreement"/>
    <s v="More than 125% MBS Fee to 150% MBS Fee"/>
    <n v="1739240.18"/>
    <n v="925878.82"/>
    <n v="434556.63"/>
    <n v="24927"/>
  </r>
  <r>
    <x v="21"/>
    <x v="2"/>
    <s v="WA"/>
    <s v="No agreement"/>
    <s v="More than 150% MBS Fee to 200% MBS Fee"/>
    <n v="2529812.2400000002"/>
    <n v="1106597.47"/>
    <n v="613760.13"/>
    <n v="8714"/>
  </r>
  <r>
    <x v="21"/>
    <x v="2"/>
    <s v="WA"/>
    <s v="No agreement"/>
    <s v="More than 200% MBS Fee"/>
    <n v="7644403.7800000003"/>
    <n v="1772417.71"/>
    <n v="678269.84"/>
    <n v="12138"/>
  </r>
  <r>
    <x v="21"/>
    <x v="2"/>
    <s v="WA"/>
    <s v="Known gap agreement"/>
    <s v="100% MBS Fee to 125% MBS Fee"/>
    <n v="2294398.79"/>
    <n v="1569526.1"/>
    <n v="684900.03"/>
    <n v="13439"/>
  </r>
  <r>
    <x v="21"/>
    <x v="2"/>
    <s v="WA"/>
    <s v="Known gap agreement"/>
    <s v="More than 125% MBS Fee to 150% MBS Fee"/>
    <n v="4536576.09"/>
    <n v="2452796.6"/>
    <n v="1872046.33"/>
    <n v="31498"/>
  </r>
  <r>
    <x v="21"/>
    <x v="2"/>
    <s v="WA"/>
    <s v="Known gap agreement"/>
    <s v="More than 150% MBS Fee to 200% MBS Fee"/>
    <n v="8610936.5500000007"/>
    <n v="3831870.59"/>
    <n v="3395558.24"/>
    <n v="19277"/>
  </r>
  <r>
    <x v="21"/>
    <x v="2"/>
    <s v="WA"/>
    <s v="Known gap agreement"/>
    <s v="More than 200% MBS Fee"/>
    <n v="14493561.619999999"/>
    <n v="3765839.6"/>
    <n v="2505904.0299999998"/>
    <n v="37343"/>
  </r>
  <r>
    <x v="21"/>
    <x v="2"/>
    <s v="WA"/>
    <s v="No gap agreement"/>
    <s v="Up to MBS Fee"/>
    <n v="4425313.59"/>
    <n v="3330270.04"/>
    <n v="1095056.6100000001"/>
    <n v="40810"/>
  </r>
  <r>
    <x v="21"/>
    <x v="2"/>
    <s v="WA"/>
    <s v="No gap agreement"/>
    <s v="100% MBS Fee to 125% MBS Fee"/>
    <n v="7960591.3300000001"/>
    <n v="5169905.1100000003"/>
    <n v="2790682.07"/>
    <n v="54164"/>
  </r>
  <r>
    <x v="21"/>
    <x v="2"/>
    <s v="WA"/>
    <s v="No gap agreement"/>
    <s v="More than 125% MBS Fee to 150% MBS Fee"/>
    <n v="39537835.090000004"/>
    <n v="21899440.800000001"/>
    <n v="17638391.5"/>
    <n v="269457"/>
  </r>
  <r>
    <x v="21"/>
    <x v="2"/>
    <s v="WA"/>
    <s v="No gap agreement"/>
    <s v="More than 150% MBS Fee to 200% MBS Fee"/>
    <n v="52364891.729999997"/>
    <n v="23201713.93"/>
    <n v="29163173.800000001"/>
    <n v="243042"/>
  </r>
  <r>
    <x v="21"/>
    <x v="2"/>
    <s v="WA"/>
    <s v="No gap agreement"/>
    <s v="More than 200% MBS Fee"/>
    <n v="3315665.87"/>
    <n v="873156.4"/>
    <n v="2442509.4700000002"/>
    <n v="2231"/>
  </r>
  <r>
    <x v="21"/>
    <x v="2"/>
    <s v="TAS"/>
    <s v="No agreement"/>
    <s v="Up to MBS Fee"/>
    <n v="631380.36"/>
    <n v="474180.43"/>
    <n v="157104.38"/>
    <n v="6851"/>
  </r>
  <r>
    <x v="21"/>
    <x v="2"/>
    <s v="TAS"/>
    <s v="No agreement"/>
    <s v="100% MBS Fee to 125% MBS Fee"/>
    <n v="503392.09"/>
    <n v="317324.88"/>
    <n v="171140.24"/>
    <n v="2674"/>
  </r>
  <r>
    <x v="21"/>
    <x v="2"/>
    <s v="TAS"/>
    <s v="No agreement"/>
    <s v="More than 125% MBS Fee to 150% MBS Fee"/>
    <n v="316063.08"/>
    <n v="174791.2"/>
    <n v="109465.93"/>
    <n v="1740"/>
  </r>
  <r>
    <x v="21"/>
    <x v="2"/>
    <s v="TAS"/>
    <s v="No agreement"/>
    <s v="More than 150% MBS Fee to 200% MBS Fee"/>
    <n v="771842.4"/>
    <n v="342196.6"/>
    <n v="309294.65000000002"/>
    <n v="3569"/>
  </r>
  <r>
    <x v="21"/>
    <x v="2"/>
    <s v="TAS"/>
    <s v="No agreement"/>
    <s v="More than 200% MBS Fee"/>
    <n v="1747461.17"/>
    <n v="413220.37"/>
    <n v="160418.17000000001"/>
    <n v="1771"/>
  </r>
  <r>
    <x v="21"/>
    <x v="2"/>
    <s v="TAS"/>
    <s v="Known gap agreement"/>
    <s v="100% MBS Fee to 125% MBS Fee"/>
    <n v="193868.63"/>
    <n v="127828.7"/>
    <n v="49361.02"/>
    <n v="1318"/>
  </r>
  <r>
    <x v="21"/>
    <x v="2"/>
    <s v="TAS"/>
    <s v="Known gap agreement"/>
    <s v="More than 125% MBS Fee to 150% MBS Fee"/>
    <n v="310977.64"/>
    <n v="167615.35"/>
    <n v="125804.32"/>
    <n v="1050"/>
  </r>
  <r>
    <x v="21"/>
    <x v="2"/>
    <s v="TAS"/>
    <s v="Known gap agreement"/>
    <s v="More than 150% MBS Fee to 200% MBS Fee"/>
    <n v="1266000.96"/>
    <n v="538217.25"/>
    <n v="545469.18000000005"/>
    <n v="2389"/>
  </r>
  <r>
    <x v="21"/>
    <x v="2"/>
    <s v="TAS"/>
    <s v="Known gap agreement"/>
    <s v="More than 200% MBS Fee"/>
    <n v="1585150.37"/>
    <n v="485673.8"/>
    <n v="566298.65"/>
    <n v="4712"/>
  </r>
  <r>
    <x v="21"/>
    <x v="2"/>
    <s v="TAS"/>
    <s v="No gap agreement"/>
    <s v="Up to MBS Fee"/>
    <n v="2035171.9"/>
    <n v="1527974.94"/>
    <n v="507217.72"/>
    <n v="31330"/>
  </r>
  <r>
    <x v="21"/>
    <x v="2"/>
    <s v="TAS"/>
    <s v="No gap agreement"/>
    <s v="100% MBS Fee to 125% MBS Fee"/>
    <n v="2617858.39"/>
    <n v="1665967.14"/>
    <n v="951891.1"/>
    <n v="20733"/>
  </r>
  <r>
    <x v="21"/>
    <x v="2"/>
    <s v="TAS"/>
    <s v="No gap agreement"/>
    <s v="More than 125% MBS Fee to 150% MBS Fee"/>
    <n v="7930665.96"/>
    <n v="4344362.78"/>
    <n v="3586303.29"/>
    <n v="51302"/>
  </r>
  <r>
    <x v="21"/>
    <x v="2"/>
    <s v="TAS"/>
    <s v="No gap agreement"/>
    <s v="More than 150% MBS Fee to 200% MBS Fee"/>
    <n v="10996461.49"/>
    <n v="5025786.25"/>
    <n v="5970673.0199999996"/>
    <n v="50795"/>
  </r>
  <r>
    <x v="21"/>
    <x v="2"/>
    <s v="TAS"/>
    <s v="No gap agreement"/>
    <s v="More than 200% MBS Fee"/>
    <n v="541200.28"/>
    <n v="145451.29999999999"/>
    <n v="395748.98"/>
    <n v="443"/>
  </r>
  <r>
    <x v="21"/>
    <x v="2"/>
    <s v="ACT"/>
    <s v="No agreement"/>
    <s v="Up to MBS Fee"/>
    <n v="1110911.3500000001"/>
    <n v="833591.28"/>
    <n v="276020.34999999998"/>
    <n v="9896"/>
  </r>
  <r>
    <x v="21"/>
    <x v="2"/>
    <s v="ACT"/>
    <s v="No agreement"/>
    <s v="100% MBS Fee to 125% MBS Fee"/>
    <n v="171546.13"/>
    <n v="114453.49"/>
    <n v="46739.3"/>
    <n v="964"/>
  </r>
  <r>
    <x v="21"/>
    <x v="2"/>
    <s v="ACT"/>
    <s v="No agreement"/>
    <s v="More than 125% MBS Fee to 150% MBS Fee"/>
    <n v="189649.36"/>
    <n v="103635.72"/>
    <n v="53355.25"/>
    <n v="879"/>
  </r>
  <r>
    <x v="21"/>
    <x v="2"/>
    <s v="ACT"/>
    <s v="No agreement"/>
    <s v="More than 150% MBS Fee to 200% MBS Fee"/>
    <n v="658808.75"/>
    <n v="280315.98"/>
    <n v="150707.75"/>
    <n v="2881"/>
  </r>
  <r>
    <x v="21"/>
    <x v="2"/>
    <s v="ACT"/>
    <s v="No agreement"/>
    <s v="More than 200% MBS Fee"/>
    <n v="7023325.0099999998"/>
    <n v="1627267.8"/>
    <n v="559430.41"/>
    <n v="7615"/>
  </r>
  <r>
    <x v="21"/>
    <x v="2"/>
    <s v="ACT"/>
    <s v="Known gap agreement"/>
    <s v="100% MBS Fee to 125% MBS Fee"/>
    <n v="81489.179999999993"/>
    <n v="49452.5"/>
    <n v="26584.73"/>
    <n v="433"/>
  </r>
  <r>
    <x v="21"/>
    <x v="2"/>
    <s v="ACT"/>
    <s v="Known gap agreement"/>
    <s v="More than 125% MBS Fee to 150% MBS Fee"/>
    <n v="126848.09"/>
    <n v="69109.25"/>
    <n v="51021.96"/>
    <n v="443"/>
  </r>
  <r>
    <x v="21"/>
    <x v="2"/>
    <s v="ACT"/>
    <s v="Known gap agreement"/>
    <s v="More than 150% MBS Fee to 200% MBS Fee"/>
    <n v="431525.44"/>
    <n v="184849.9"/>
    <n v="190940.04"/>
    <n v="1293"/>
  </r>
  <r>
    <x v="21"/>
    <x v="2"/>
    <s v="ACT"/>
    <s v="Known gap agreement"/>
    <s v="More than 200% MBS Fee"/>
    <n v="2683452.29"/>
    <n v="720271.05"/>
    <n v="804586.01"/>
    <n v="9651"/>
  </r>
  <r>
    <x v="21"/>
    <x v="2"/>
    <s v="ACT"/>
    <s v="No gap agreement"/>
    <s v="Up to MBS Fee"/>
    <n v="438404.34"/>
    <n v="329117.25"/>
    <n v="109287.09"/>
    <n v="16679"/>
  </r>
  <r>
    <x v="21"/>
    <x v="2"/>
    <s v="ACT"/>
    <s v="No gap agreement"/>
    <s v="100% MBS Fee to 125% MBS Fee"/>
    <n v="1407269.45"/>
    <n v="899253.24"/>
    <n v="507998.56"/>
    <n v="16520"/>
  </r>
  <r>
    <x v="21"/>
    <x v="2"/>
    <s v="ACT"/>
    <s v="No gap agreement"/>
    <s v="More than 125% MBS Fee to 150% MBS Fee"/>
    <n v="3297004.97"/>
    <n v="1810164.61"/>
    <n v="1486837.84"/>
    <n v="24138"/>
  </r>
  <r>
    <x v="21"/>
    <x v="2"/>
    <s v="ACT"/>
    <s v="No gap agreement"/>
    <s v="More than 150% MBS Fee to 200% MBS Fee"/>
    <n v="2502890.64"/>
    <n v="1144952.56"/>
    <n v="1357935.83"/>
    <n v="14697"/>
  </r>
  <r>
    <x v="21"/>
    <x v="2"/>
    <s v="ACT"/>
    <s v="No gap agreement"/>
    <s v="More than 200% MBS Fee"/>
    <n v="369527"/>
    <n v="110244.8"/>
    <n v="259282.2"/>
    <n v="609"/>
  </r>
  <r>
    <x v="21"/>
    <x v="2"/>
    <s v="NT"/>
    <s v="No agreement"/>
    <s v="Up to MBS Fee"/>
    <n v="346173.99"/>
    <n v="260821.24"/>
    <n v="86668.95"/>
    <n v="1582"/>
  </r>
  <r>
    <x v="21"/>
    <x v="2"/>
    <s v="NT"/>
    <s v="No agreement"/>
    <s v="100% MBS Fee to 125% MBS Fee"/>
    <n v="107466.34"/>
    <n v="69256.38"/>
    <n v="33151.599999999999"/>
    <n v="568"/>
  </r>
  <r>
    <x v="21"/>
    <x v="2"/>
    <s v="NT"/>
    <s v="No agreement"/>
    <s v="More than 125% MBS Fee to 150% MBS Fee"/>
    <n v="80567.56"/>
    <n v="43380.94"/>
    <n v="23868.14"/>
    <n v="589"/>
  </r>
  <r>
    <x v="21"/>
    <x v="2"/>
    <s v="NT"/>
    <s v="No agreement"/>
    <s v="More than 150% MBS Fee to 200% MBS Fee"/>
    <n v="134795.79999999999"/>
    <n v="59194.34"/>
    <n v="52080.46"/>
    <n v="531"/>
  </r>
  <r>
    <x v="21"/>
    <x v="2"/>
    <s v="NT"/>
    <s v="No agreement"/>
    <s v="More than 200% MBS Fee"/>
    <n v="1245881.08"/>
    <n v="294966.03999999998"/>
    <n v="107548.11"/>
    <n v="1144"/>
  </r>
  <r>
    <x v="21"/>
    <x v="2"/>
    <s v="NT"/>
    <s v="Known gap agreement"/>
    <s v="100% MBS Fee to 125% MBS Fee"/>
    <n v="27429.21"/>
    <n v="17746.05"/>
    <n v="7069.93"/>
    <n v="135"/>
  </r>
  <r>
    <x v="21"/>
    <x v="2"/>
    <s v="NT"/>
    <s v="Known gap agreement"/>
    <s v="More than 125% MBS Fee to 150% MBS Fee"/>
    <n v="61096.4"/>
    <n v="33316.1"/>
    <n v="19778.47"/>
    <n v="289"/>
  </r>
  <r>
    <x v="21"/>
    <x v="2"/>
    <s v="NT"/>
    <s v="Known gap agreement"/>
    <s v="More than 150% MBS Fee to 200% MBS Fee"/>
    <n v="166374.38"/>
    <n v="72435.25"/>
    <n v="66593.47"/>
    <n v="398"/>
  </r>
  <r>
    <x v="21"/>
    <x v="2"/>
    <s v="NT"/>
    <s v="Known gap agreement"/>
    <s v="More than 200% MBS Fee"/>
    <n v="541752.81999999995"/>
    <n v="146226.45000000001"/>
    <n v="162954.09"/>
    <n v="2225"/>
  </r>
  <r>
    <x v="21"/>
    <x v="2"/>
    <s v="NT"/>
    <s v="No gap agreement"/>
    <s v="Up to MBS Fee"/>
    <n v="268580.96000000002"/>
    <n v="201614.03"/>
    <n v="66966.929999999993"/>
    <n v="3412"/>
  </r>
  <r>
    <x v="21"/>
    <x v="2"/>
    <s v="NT"/>
    <s v="No gap agreement"/>
    <s v="100% MBS Fee to 125% MBS Fee"/>
    <n v="452506.58"/>
    <n v="290506.5"/>
    <n v="161997.07999999999"/>
    <n v="3522"/>
  </r>
  <r>
    <x v="21"/>
    <x v="2"/>
    <s v="NT"/>
    <s v="No gap agreement"/>
    <s v="More than 125% MBS Fee to 150% MBS Fee"/>
    <n v="1263789.42"/>
    <n v="689664.03"/>
    <n v="574110.42000000004"/>
    <n v="6682"/>
  </r>
  <r>
    <x v="21"/>
    <x v="2"/>
    <s v="NT"/>
    <s v="No gap agreement"/>
    <s v="More than 150% MBS Fee to 200% MBS Fee"/>
    <n v="1945607.08"/>
    <n v="892718.15"/>
    <n v="1052886.96"/>
    <n v="8992"/>
  </r>
  <r>
    <x v="21"/>
    <x v="2"/>
    <s v="NT"/>
    <s v="No gap agreement"/>
    <s v="More than 200% MBS Fee"/>
    <n v="43698.95"/>
    <n v="12486.1"/>
    <n v="31212.85"/>
    <n v="74"/>
  </r>
  <r>
    <x v="21"/>
    <x v="3"/>
    <s v="NSW"/>
    <s v="No agreement"/>
    <s v="Up to MBS Fee"/>
    <n v="34498740.869999997"/>
    <n v="25903220.34"/>
    <n v="8587145.3699999992"/>
    <n v="491515"/>
  </r>
  <r>
    <x v="21"/>
    <x v="3"/>
    <s v="NSW"/>
    <s v="No agreement"/>
    <s v="100% MBS Fee to 125% MBS Fee"/>
    <n v="4743636.83"/>
    <n v="3145500.04"/>
    <n v="1280344.49"/>
    <n v="24682"/>
  </r>
  <r>
    <x v="21"/>
    <x v="3"/>
    <s v="NSW"/>
    <s v="No agreement"/>
    <s v="More than 125% MBS Fee to 150% MBS Fee"/>
    <n v="3657010.42"/>
    <n v="1975061.81"/>
    <n v="1184444.27"/>
    <n v="28955"/>
  </r>
  <r>
    <x v="21"/>
    <x v="3"/>
    <s v="NSW"/>
    <s v="No agreement"/>
    <s v="More than 150% MBS Fee to 200% MBS Fee"/>
    <n v="10195757.699999999"/>
    <n v="4428998.93"/>
    <n v="2814118.76"/>
    <n v="47704"/>
  </r>
  <r>
    <x v="21"/>
    <x v="3"/>
    <s v="NSW"/>
    <s v="No agreement"/>
    <s v="More than 200% MBS Fee"/>
    <n v="78750675.540000007"/>
    <n v="18141047.850000001"/>
    <n v="6342754.0300000003"/>
    <n v="93303"/>
  </r>
  <r>
    <x v="21"/>
    <x v="3"/>
    <s v="NSW"/>
    <s v="Known gap agreement"/>
    <s v="100% MBS Fee to 125% MBS Fee"/>
    <n v="2769169.23"/>
    <n v="1773000.64"/>
    <n v="906181.73"/>
    <n v="14060"/>
  </r>
  <r>
    <x v="21"/>
    <x v="3"/>
    <s v="NSW"/>
    <s v="Known gap agreement"/>
    <s v="More than 125% MBS Fee to 150% MBS Fee"/>
    <n v="4657898.3099999996"/>
    <n v="2533835.21"/>
    <n v="1866047.25"/>
    <n v="15649"/>
  </r>
  <r>
    <x v="21"/>
    <x v="3"/>
    <s v="NSW"/>
    <s v="Known gap agreement"/>
    <s v="More than 150% MBS Fee to 200% MBS Fee"/>
    <n v="11595619.65"/>
    <n v="5048550.12"/>
    <n v="5147492.93"/>
    <n v="27688"/>
  </r>
  <r>
    <x v="21"/>
    <x v="3"/>
    <s v="NSW"/>
    <s v="Known gap agreement"/>
    <s v="More than 200% MBS Fee"/>
    <n v="26551562.670000002"/>
    <n v="7113082.6200000001"/>
    <n v="8407757.0199999996"/>
    <n v="100636"/>
  </r>
  <r>
    <x v="21"/>
    <x v="3"/>
    <s v="NSW"/>
    <s v="No gap agreement"/>
    <s v="Up to MBS Fee"/>
    <n v="17065112.300000001"/>
    <n v="12818437.439999999"/>
    <n v="4246798.7"/>
    <n v="460324"/>
  </r>
  <r>
    <x v="21"/>
    <x v="3"/>
    <s v="NSW"/>
    <s v="No gap agreement"/>
    <s v="100% MBS Fee to 125% MBS Fee"/>
    <n v="43242604.079999998"/>
    <n v="27446021.010000002"/>
    <n v="15796523.48"/>
    <n v="452438"/>
  </r>
  <r>
    <x v="21"/>
    <x v="3"/>
    <s v="NSW"/>
    <s v="No gap agreement"/>
    <s v="More than 125% MBS Fee to 150% MBS Fee"/>
    <n v="78202667.980000004"/>
    <n v="42874923.700000003"/>
    <n v="35327718.890000001"/>
    <n v="486310"/>
  </r>
  <r>
    <x v="21"/>
    <x v="3"/>
    <s v="NSW"/>
    <s v="No gap agreement"/>
    <s v="More than 150% MBS Fee to 200% MBS Fee"/>
    <n v="86600128.150000006"/>
    <n v="39635200.25"/>
    <n v="46964858.039999999"/>
    <n v="469743"/>
  </r>
  <r>
    <x v="21"/>
    <x v="3"/>
    <s v="NSW"/>
    <s v="No gap agreement"/>
    <s v="More than 200% MBS Fee"/>
    <n v="6882119.7800000003"/>
    <n v="2012738.54"/>
    <n v="4869381.24"/>
    <n v="15128"/>
  </r>
  <r>
    <x v="21"/>
    <x v="3"/>
    <s v="VIC"/>
    <s v="No agreement"/>
    <s v="Up to MBS Fee"/>
    <n v="8494386.8699999992"/>
    <n v="6376903.5599999996"/>
    <n v="2106381.39"/>
    <n v="169023"/>
  </r>
  <r>
    <x v="21"/>
    <x v="3"/>
    <s v="VIC"/>
    <s v="No agreement"/>
    <s v="100% MBS Fee to 125% MBS Fee"/>
    <n v="1785863.64"/>
    <n v="1162519.92"/>
    <n v="467455.48"/>
    <n v="8318"/>
  </r>
  <r>
    <x v="21"/>
    <x v="3"/>
    <s v="VIC"/>
    <s v="No agreement"/>
    <s v="More than 125% MBS Fee to 150% MBS Fee"/>
    <n v="4524437.3099999996"/>
    <n v="2454784.5299999998"/>
    <n v="1539921.83"/>
    <n v="62895"/>
  </r>
  <r>
    <x v="21"/>
    <x v="3"/>
    <s v="VIC"/>
    <s v="No agreement"/>
    <s v="More than 150% MBS Fee to 200% MBS Fee"/>
    <n v="7369879.29"/>
    <n v="3139418.48"/>
    <n v="2684231.7200000002"/>
    <n v="45351"/>
  </r>
  <r>
    <x v="21"/>
    <x v="3"/>
    <s v="VIC"/>
    <s v="No agreement"/>
    <s v="More than 200% MBS Fee"/>
    <n v="21862561.620000001"/>
    <n v="5366562.34"/>
    <n v="2131664.2400000002"/>
    <n v="44177"/>
  </r>
  <r>
    <x v="21"/>
    <x v="3"/>
    <s v="VIC"/>
    <s v="Known gap agreement"/>
    <s v="100% MBS Fee to 125% MBS Fee"/>
    <n v="3349490.42"/>
    <n v="2208763.85"/>
    <n v="978927.96"/>
    <n v="20786"/>
  </r>
  <r>
    <x v="21"/>
    <x v="3"/>
    <s v="VIC"/>
    <s v="Known gap agreement"/>
    <s v="More than 125% MBS Fee to 150% MBS Fee"/>
    <n v="5857882.4900000002"/>
    <n v="3198043.25"/>
    <n v="2113102.54"/>
    <n v="22076"/>
  </r>
  <r>
    <x v="21"/>
    <x v="3"/>
    <s v="VIC"/>
    <s v="Known gap agreement"/>
    <s v="More than 150% MBS Fee to 200% MBS Fee"/>
    <n v="11170137.970000001"/>
    <n v="4839187.32"/>
    <n v="4453964.04"/>
    <n v="29105"/>
  </r>
  <r>
    <x v="21"/>
    <x v="3"/>
    <s v="VIC"/>
    <s v="Known gap agreement"/>
    <s v="More than 200% MBS Fee"/>
    <n v="20597115.140000001"/>
    <n v="5950213.5"/>
    <n v="6798330.6399999997"/>
    <n v="83705"/>
  </r>
  <r>
    <x v="21"/>
    <x v="3"/>
    <s v="VIC"/>
    <s v="No gap agreement"/>
    <s v="Up to MBS Fee"/>
    <n v="17279363.399999999"/>
    <n v="12995879.960000001"/>
    <n v="4283565.9400000004"/>
    <n v="275863"/>
  </r>
  <r>
    <x v="21"/>
    <x v="3"/>
    <s v="VIC"/>
    <s v="No gap agreement"/>
    <s v="100% MBS Fee to 125% MBS Fee"/>
    <n v="39800362.640000001"/>
    <n v="25248494.41"/>
    <n v="14551678.02"/>
    <n v="331100"/>
  </r>
  <r>
    <x v="21"/>
    <x v="3"/>
    <s v="VIC"/>
    <s v="No gap agreement"/>
    <s v="More than 125% MBS Fee to 150% MBS Fee"/>
    <n v="88717817.359999999"/>
    <n v="48687214.100000001"/>
    <n v="40030567.670000002"/>
    <n v="616868"/>
  </r>
  <r>
    <x v="21"/>
    <x v="3"/>
    <s v="VIC"/>
    <s v="No gap agreement"/>
    <s v="More than 150% MBS Fee to 200% MBS Fee"/>
    <n v="88128043.510000005"/>
    <n v="39538724.439999998"/>
    <n v="48589251.409999996"/>
    <n v="463229"/>
  </r>
  <r>
    <x v="21"/>
    <x v="3"/>
    <s v="VIC"/>
    <s v="No gap agreement"/>
    <s v="More than 200% MBS Fee"/>
    <n v="3174038.5"/>
    <n v="816947.38"/>
    <n v="2357088.9900000002"/>
    <n v="3800"/>
  </r>
  <r>
    <x v="21"/>
    <x v="3"/>
    <s v="QLD"/>
    <s v="No agreement"/>
    <s v="Up to MBS Fee"/>
    <n v="6758339.3600000003"/>
    <n v="5062048.99"/>
    <n v="1679760.39"/>
    <n v="92868"/>
  </r>
  <r>
    <x v="21"/>
    <x v="3"/>
    <s v="QLD"/>
    <s v="No agreement"/>
    <s v="100% MBS Fee to 125% MBS Fee"/>
    <n v="5833718.5999999996"/>
    <n v="3811108.47"/>
    <n v="1678820.78"/>
    <n v="49008"/>
  </r>
  <r>
    <x v="21"/>
    <x v="3"/>
    <s v="QLD"/>
    <s v="No agreement"/>
    <s v="More than 125% MBS Fee to 150% MBS Fee"/>
    <n v="4281365.18"/>
    <n v="2279804.04"/>
    <n v="1328394.5"/>
    <n v="45491"/>
  </r>
  <r>
    <x v="21"/>
    <x v="3"/>
    <s v="QLD"/>
    <s v="No agreement"/>
    <s v="More than 150% MBS Fee to 200% MBS Fee"/>
    <n v="9286599.8100000005"/>
    <n v="4069174.28"/>
    <n v="3383995.15"/>
    <n v="48571"/>
  </r>
  <r>
    <x v="21"/>
    <x v="3"/>
    <s v="QLD"/>
    <s v="No agreement"/>
    <s v="More than 200% MBS Fee"/>
    <n v="36371328.200000003"/>
    <n v="8936599.2100000009"/>
    <n v="3193656.19"/>
    <n v="45384"/>
  </r>
  <r>
    <x v="21"/>
    <x v="3"/>
    <s v="QLD"/>
    <s v="Known gap agreement"/>
    <s v="100% MBS Fee to 125% MBS Fee"/>
    <n v="1397545.47"/>
    <n v="887439.2"/>
    <n v="426113.02"/>
    <n v="6707"/>
  </r>
  <r>
    <x v="21"/>
    <x v="3"/>
    <s v="QLD"/>
    <s v="Known gap agreement"/>
    <s v="More than 125% MBS Fee to 150% MBS Fee"/>
    <n v="2415217.59"/>
    <n v="1305640.97"/>
    <n v="924877.7"/>
    <n v="10658"/>
  </r>
  <r>
    <x v="21"/>
    <x v="3"/>
    <s v="QLD"/>
    <s v="Known gap agreement"/>
    <s v="More than 150% MBS Fee to 200% MBS Fee"/>
    <n v="8373884.8600000003"/>
    <n v="3573715.19"/>
    <n v="3515369.83"/>
    <n v="15620"/>
  </r>
  <r>
    <x v="21"/>
    <x v="3"/>
    <s v="QLD"/>
    <s v="Known gap agreement"/>
    <s v="More than 200% MBS Fee"/>
    <n v="17343368.620000001"/>
    <n v="4843249.6900000004"/>
    <n v="5592169.46"/>
    <n v="47493"/>
  </r>
  <r>
    <x v="21"/>
    <x v="3"/>
    <s v="QLD"/>
    <s v="No gap agreement"/>
    <s v="Up to MBS Fee"/>
    <n v="12494789.939999999"/>
    <n v="9380231.1099999994"/>
    <n v="3114552.67"/>
    <n v="219991"/>
  </r>
  <r>
    <x v="21"/>
    <x v="3"/>
    <s v="QLD"/>
    <s v="No gap agreement"/>
    <s v="100% MBS Fee to 125% MBS Fee"/>
    <n v="35256983.75"/>
    <n v="22449405.370000001"/>
    <n v="12807489.65"/>
    <n v="322395"/>
  </r>
  <r>
    <x v="21"/>
    <x v="3"/>
    <s v="QLD"/>
    <s v="No gap agreement"/>
    <s v="More than 125% MBS Fee to 150% MBS Fee"/>
    <n v="66335157.549999997"/>
    <n v="36621030.240000002"/>
    <n v="29713671.079999998"/>
    <n v="539268"/>
  </r>
  <r>
    <x v="21"/>
    <x v="3"/>
    <s v="QLD"/>
    <s v="No gap agreement"/>
    <s v="More than 150% MBS Fee to 200% MBS Fee"/>
    <n v="60439905.350000001"/>
    <n v="27674148.859999999"/>
    <n v="32765457.809999999"/>
    <n v="386576"/>
  </r>
  <r>
    <x v="21"/>
    <x v="3"/>
    <s v="QLD"/>
    <s v="No gap agreement"/>
    <s v="More than 200% MBS Fee"/>
    <n v="5605313.7699999996"/>
    <n v="1609856.3"/>
    <n v="3995455.72"/>
    <n v="6981"/>
  </r>
  <r>
    <x v="21"/>
    <x v="3"/>
    <s v="SA"/>
    <s v="No agreement"/>
    <s v="Up to MBS Fee"/>
    <n v="1682937.79"/>
    <n v="1262799.3799999999"/>
    <n v="419919.21"/>
    <n v="18222"/>
  </r>
  <r>
    <x v="21"/>
    <x v="3"/>
    <s v="SA"/>
    <s v="No agreement"/>
    <s v="100% MBS Fee to 125% MBS Fee"/>
    <n v="772256.72"/>
    <n v="495660.08"/>
    <n v="230394.71"/>
    <n v="3401"/>
  </r>
  <r>
    <x v="21"/>
    <x v="3"/>
    <s v="SA"/>
    <s v="No agreement"/>
    <s v="More than 125% MBS Fee to 150% MBS Fee"/>
    <n v="1401205.32"/>
    <n v="768881.14"/>
    <n v="580833.81000000006"/>
    <n v="17687"/>
  </r>
  <r>
    <x v="21"/>
    <x v="3"/>
    <s v="SA"/>
    <s v="No agreement"/>
    <s v="More than 150% MBS Fee to 200% MBS Fee"/>
    <n v="2233583.73"/>
    <n v="966318.41"/>
    <n v="1138811.96"/>
    <n v="9057"/>
  </r>
  <r>
    <x v="21"/>
    <x v="3"/>
    <s v="SA"/>
    <s v="No agreement"/>
    <s v="More than 200% MBS Fee"/>
    <n v="1812658.73"/>
    <n v="454577.41"/>
    <n v="249075.7"/>
    <n v="2909"/>
  </r>
  <r>
    <x v="21"/>
    <x v="3"/>
    <s v="SA"/>
    <s v="Known gap agreement"/>
    <s v="100% MBS Fee to 125% MBS Fee"/>
    <n v="456458.66"/>
    <n v="305584.09999999998"/>
    <n v="114405.66"/>
    <n v="2290"/>
  </r>
  <r>
    <x v="21"/>
    <x v="3"/>
    <s v="SA"/>
    <s v="Known gap agreement"/>
    <s v="More than 125% MBS Fee to 150% MBS Fee"/>
    <n v="813621.23"/>
    <n v="441482.03"/>
    <n v="322329.84000000003"/>
    <n v="2866"/>
  </r>
  <r>
    <x v="21"/>
    <x v="3"/>
    <s v="SA"/>
    <s v="Known gap agreement"/>
    <s v="More than 150% MBS Fee to 200% MBS Fee"/>
    <n v="3600473.74"/>
    <n v="1519228.9"/>
    <n v="1602079.28"/>
    <n v="7207"/>
  </r>
  <r>
    <x v="21"/>
    <x v="3"/>
    <s v="SA"/>
    <s v="Known gap agreement"/>
    <s v="More than 200% MBS Fee"/>
    <n v="5022506.3099999996"/>
    <n v="1520508.45"/>
    <n v="1956475.45"/>
    <n v="21938"/>
  </r>
  <r>
    <x v="21"/>
    <x v="3"/>
    <s v="SA"/>
    <s v="No gap agreement"/>
    <s v="Up to MBS Fee"/>
    <n v="4146102.12"/>
    <n v="3111890.05"/>
    <n v="1034212.05"/>
    <n v="70226"/>
  </r>
  <r>
    <x v="21"/>
    <x v="3"/>
    <s v="SA"/>
    <s v="No gap agreement"/>
    <s v="100% MBS Fee to 125% MBS Fee"/>
    <n v="6920924.5700000003"/>
    <n v="4365378.9000000004"/>
    <n v="2555534.39"/>
    <n v="67940"/>
  </r>
  <r>
    <x v="21"/>
    <x v="3"/>
    <s v="SA"/>
    <s v="No gap agreement"/>
    <s v="More than 125% MBS Fee to 150% MBS Fee"/>
    <n v="21284283.969999999"/>
    <n v="11587145.109999999"/>
    <n v="9697131.2799999993"/>
    <n v="173500"/>
  </r>
  <r>
    <x v="21"/>
    <x v="3"/>
    <s v="SA"/>
    <s v="No gap agreement"/>
    <s v="More than 150% MBS Fee to 200% MBS Fee"/>
    <n v="37003989.799999997"/>
    <n v="16464367.07"/>
    <n v="20539620.579999998"/>
    <n v="141470"/>
  </r>
  <r>
    <x v="21"/>
    <x v="3"/>
    <s v="SA"/>
    <s v="No gap agreement"/>
    <s v="More than 200% MBS Fee"/>
    <n v="1569055.29"/>
    <n v="415091.75"/>
    <n v="1153963.54"/>
    <n v="1497"/>
  </r>
  <r>
    <x v="21"/>
    <x v="3"/>
    <s v="WA"/>
    <s v="No agreement"/>
    <s v="Up to MBS Fee"/>
    <n v="2450590.42"/>
    <n v="1847655.68"/>
    <n v="602569.92000000004"/>
    <n v="50145"/>
  </r>
  <r>
    <x v="21"/>
    <x v="3"/>
    <s v="WA"/>
    <s v="No agreement"/>
    <s v="100% MBS Fee to 125% MBS Fee"/>
    <n v="482799.7"/>
    <n v="320331.15000000002"/>
    <n v="120502.52"/>
    <n v="2067"/>
  </r>
  <r>
    <x v="21"/>
    <x v="3"/>
    <s v="WA"/>
    <s v="No agreement"/>
    <s v="More than 125% MBS Fee to 150% MBS Fee"/>
    <n v="1075202.0900000001"/>
    <n v="588952.38"/>
    <n v="330283.53999999998"/>
    <n v="10306"/>
  </r>
  <r>
    <x v="21"/>
    <x v="3"/>
    <s v="WA"/>
    <s v="No agreement"/>
    <s v="More than 150% MBS Fee to 200% MBS Fee"/>
    <n v="2187884.66"/>
    <n v="958345.69"/>
    <n v="572706.48"/>
    <n v="8176"/>
  </r>
  <r>
    <x v="21"/>
    <x v="3"/>
    <s v="WA"/>
    <s v="No agreement"/>
    <s v="More than 200% MBS Fee"/>
    <n v="7001020.0700000003"/>
    <n v="1674903.93"/>
    <n v="636389.57999999996"/>
    <n v="13148"/>
  </r>
  <r>
    <x v="21"/>
    <x v="3"/>
    <s v="WA"/>
    <s v="Known gap agreement"/>
    <s v="100% MBS Fee to 125% MBS Fee"/>
    <n v="2025657.73"/>
    <n v="1399691.65"/>
    <n v="599835.99"/>
    <n v="11185"/>
  </r>
  <r>
    <x v="21"/>
    <x v="3"/>
    <s v="WA"/>
    <s v="Known gap agreement"/>
    <s v="More than 125% MBS Fee to 150% MBS Fee"/>
    <n v="3910173.37"/>
    <n v="2112226.1"/>
    <n v="1610253.99"/>
    <n v="27522"/>
  </r>
  <r>
    <x v="21"/>
    <x v="3"/>
    <s v="WA"/>
    <s v="Known gap agreement"/>
    <s v="More than 150% MBS Fee to 200% MBS Fee"/>
    <n v="7458475.4000000004"/>
    <n v="3319446.84"/>
    <n v="2948136.64"/>
    <n v="17337"/>
  </r>
  <r>
    <x v="21"/>
    <x v="3"/>
    <s v="WA"/>
    <s v="Known gap agreement"/>
    <s v="More than 200% MBS Fee"/>
    <n v="12995117.59"/>
    <n v="3419872.55"/>
    <n v="2243778.83"/>
    <n v="33676"/>
  </r>
  <r>
    <x v="21"/>
    <x v="3"/>
    <s v="WA"/>
    <s v="No gap agreement"/>
    <s v="Up to MBS Fee"/>
    <n v="3899301.33"/>
    <n v="2934816.33"/>
    <n v="964502.8"/>
    <n v="35850"/>
  </r>
  <r>
    <x v="21"/>
    <x v="3"/>
    <s v="WA"/>
    <s v="No gap agreement"/>
    <s v="100% MBS Fee to 125% MBS Fee"/>
    <n v="6674082.7599999998"/>
    <n v="4320825.03"/>
    <n v="2353256.77"/>
    <n v="42799"/>
  </r>
  <r>
    <x v="21"/>
    <x v="3"/>
    <s v="WA"/>
    <s v="No gap agreement"/>
    <s v="More than 125% MBS Fee to 150% MBS Fee"/>
    <n v="34944502.509999998"/>
    <n v="19365513.800000001"/>
    <n v="15578984.140000001"/>
    <n v="246851"/>
  </r>
  <r>
    <x v="21"/>
    <x v="3"/>
    <s v="WA"/>
    <s v="No gap agreement"/>
    <s v="More than 150% MBS Fee to 200% MBS Fee"/>
    <n v="47229342.689999998"/>
    <n v="20918054.699999999"/>
    <n v="26311265.640000001"/>
    <n v="219820"/>
  </r>
  <r>
    <x v="21"/>
    <x v="3"/>
    <s v="WA"/>
    <s v="No gap agreement"/>
    <s v="More than 200% MBS Fee"/>
    <n v="3181742.05"/>
    <n v="827124.81"/>
    <n v="2354617.25"/>
    <n v="2123"/>
  </r>
  <r>
    <x v="21"/>
    <x v="3"/>
    <s v="TAS"/>
    <s v="No agreement"/>
    <s v="Up to MBS Fee"/>
    <n v="501828.91"/>
    <n v="375917.69"/>
    <n v="124411.02"/>
    <n v="5922"/>
  </r>
  <r>
    <x v="21"/>
    <x v="3"/>
    <s v="TAS"/>
    <s v="No agreement"/>
    <s v="100% MBS Fee to 125% MBS Fee"/>
    <n v="386019.47"/>
    <n v="241275.17"/>
    <n v="131913.25"/>
    <n v="1977"/>
  </r>
  <r>
    <x v="21"/>
    <x v="3"/>
    <s v="TAS"/>
    <s v="No agreement"/>
    <s v="More than 125% MBS Fee to 150% MBS Fee"/>
    <n v="208390.85"/>
    <n v="113591.46"/>
    <n v="67825.490000000005"/>
    <n v="868"/>
  </r>
  <r>
    <x v="21"/>
    <x v="3"/>
    <s v="TAS"/>
    <s v="No agreement"/>
    <s v="More than 150% MBS Fee to 200% MBS Fee"/>
    <n v="520217.3"/>
    <n v="232072.13"/>
    <n v="199605.13"/>
    <n v="2540"/>
  </r>
  <r>
    <x v="21"/>
    <x v="3"/>
    <s v="TAS"/>
    <s v="No agreement"/>
    <s v="More than 200% MBS Fee"/>
    <n v="1435348.11"/>
    <n v="328073.23"/>
    <n v="126456.03"/>
    <n v="1422"/>
  </r>
  <r>
    <x v="21"/>
    <x v="3"/>
    <s v="TAS"/>
    <s v="Known gap agreement"/>
    <s v="100% MBS Fee to 125% MBS Fee"/>
    <n v="191002.21"/>
    <n v="128286.27"/>
    <n v="50727.56"/>
    <n v="1200"/>
  </r>
  <r>
    <x v="21"/>
    <x v="3"/>
    <s v="TAS"/>
    <s v="Known gap agreement"/>
    <s v="More than 125% MBS Fee to 150% MBS Fee"/>
    <n v="287232.21000000002"/>
    <n v="153788.54999999999"/>
    <n v="116838.23"/>
    <n v="882"/>
  </r>
  <r>
    <x v="21"/>
    <x v="3"/>
    <s v="TAS"/>
    <s v="Known gap agreement"/>
    <s v="More than 150% MBS Fee to 200% MBS Fee"/>
    <n v="1089695.25"/>
    <n v="465106.7"/>
    <n v="475003.68"/>
    <n v="2137"/>
  </r>
  <r>
    <x v="21"/>
    <x v="3"/>
    <s v="TAS"/>
    <s v="Known gap agreement"/>
    <s v="More than 200% MBS Fee"/>
    <n v="1272263.95"/>
    <n v="379021.2"/>
    <n v="443201.86"/>
    <n v="3644"/>
  </r>
  <r>
    <x v="21"/>
    <x v="3"/>
    <s v="TAS"/>
    <s v="No gap agreement"/>
    <s v="Up to MBS Fee"/>
    <n v="1859169.9"/>
    <n v="1394755.89"/>
    <n v="464414.01"/>
    <n v="30864"/>
  </r>
  <r>
    <x v="21"/>
    <x v="3"/>
    <s v="TAS"/>
    <s v="No gap agreement"/>
    <s v="100% MBS Fee to 125% MBS Fee"/>
    <n v="2555367.0299999998"/>
    <n v="1624974.3"/>
    <n v="930392.88"/>
    <n v="19580"/>
  </r>
  <r>
    <x v="21"/>
    <x v="3"/>
    <s v="TAS"/>
    <s v="No gap agreement"/>
    <s v="More than 125% MBS Fee to 150% MBS Fee"/>
    <n v="7230920.21"/>
    <n v="3963088.7"/>
    <n v="3267831.32"/>
    <n v="47178"/>
  </r>
  <r>
    <x v="21"/>
    <x v="3"/>
    <s v="TAS"/>
    <s v="No gap agreement"/>
    <s v="More than 150% MBS Fee to 200% MBS Fee"/>
    <n v="9313919.5500000007"/>
    <n v="4255809.1500000004"/>
    <n v="5058110.3499999996"/>
    <n v="42405"/>
  </r>
  <r>
    <x v="21"/>
    <x v="3"/>
    <s v="TAS"/>
    <s v="No gap agreement"/>
    <s v="More than 200% MBS Fee"/>
    <n v="410930.81"/>
    <n v="112958.75"/>
    <n v="297972.06"/>
    <n v="349"/>
  </r>
  <r>
    <x v="21"/>
    <x v="3"/>
    <s v="ACT"/>
    <s v="No agreement"/>
    <s v="Up to MBS Fee"/>
    <n v="945091.51"/>
    <n v="709124.8"/>
    <n v="234370.8"/>
    <n v="9464"/>
  </r>
  <r>
    <x v="21"/>
    <x v="3"/>
    <s v="ACT"/>
    <s v="No agreement"/>
    <s v="100% MBS Fee to 125% MBS Fee"/>
    <n v="139010.95000000001"/>
    <n v="94142.52"/>
    <n v="36619.949999999997"/>
    <n v="645"/>
  </r>
  <r>
    <x v="21"/>
    <x v="3"/>
    <s v="ACT"/>
    <s v="No agreement"/>
    <s v="More than 125% MBS Fee to 150% MBS Fee"/>
    <n v="96593.79"/>
    <n v="52758.63"/>
    <n v="26395.5"/>
    <n v="393"/>
  </r>
  <r>
    <x v="21"/>
    <x v="3"/>
    <s v="ACT"/>
    <s v="No agreement"/>
    <s v="More than 150% MBS Fee to 200% MBS Fee"/>
    <n v="572852.27"/>
    <n v="244783.67"/>
    <n v="139615.26999999999"/>
    <n v="2424"/>
  </r>
  <r>
    <x v="21"/>
    <x v="3"/>
    <s v="ACT"/>
    <s v="No agreement"/>
    <s v="More than 200% MBS Fee"/>
    <n v="5946810.2599999998"/>
    <n v="1342531.67"/>
    <n v="457775.95"/>
    <n v="6285"/>
  </r>
  <r>
    <x v="21"/>
    <x v="3"/>
    <s v="ACT"/>
    <s v="Known gap agreement"/>
    <s v="100% MBS Fee to 125% MBS Fee"/>
    <n v="47089.69"/>
    <n v="28913.05"/>
    <n v="15860.9"/>
    <n v="343"/>
  </r>
  <r>
    <x v="21"/>
    <x v="3"/>
    <s v="ACT"/>
    <s v="Known gap agreement"/>
    <s v="More than 125% MBS Fee to 150% MBS Fee"/>
    <n v="138254.42000000001"/>
    <n v="75412"/>
    <n v="53613.14"/>
    <n v="379"/>
  </r>
  <r>
    <x v="21"/>
    <x v="3"/>
    <s v="ACT"/>
    <s v="Known gap agreement"/>
    <s v="More than 150% MBS Fee to 200% MBS Fee"/>
    <n v="426610.45"/>
    <n v="183117.24"/>
    <n v="191064.43"/>
    <n v="1237"/>
  </r>
  <r>
    <x v="21"/>
    <x v="3"/>
    <s v="ACT"/>
    <s v="Known gap agreement"/>
    <s v="More than 200% MBS Fee"/>
    <n v="2152010.77"/>
    <n v="576522.9"/>
    <n v="645661.18000000005"/>
    <n v="7688"/>
  </r>
  <r>
    <x v="21"/>
    <x v="3"/>
    <s v="ACT"/>
    <s v="No gap agreement"/>
    <s v="Up to MBS Fee"/>
    <n v="339499.08"/>
    <n v="255026.16"/>
    <n v="84472.89"/>
    <n v="13032"/>
  </r>
  <r>
    <x v="21"/>
    <x v="3"/>
    <s v="ACT"/>
    <s v="No gap agreement"/>
    <s v="100% MBS Fee to 125% MBS Fee"/>
    <n v="1222712.95"/>
    <n v="778927.74"/>
    <n v="443776.71"/>
    <n v="13385"/>
  </r>
  <r>
    <x v="21"/>
    <x v="3"/>
    <s v="ACT"/>
    <s v="No gap agreement"/>
    <s v="More than 125% MBS Fee to 150% MBS Fee"/>
    <n v="2784633.56"/>
    <n v="1534975.28"/>
    <n v="1249653.69"/>
    <n v="19962"/>
  </r>
  <r>
    <x v="21"/>
    <x v="3"/>
    <s v="ACT"/>
    <s v="No gap agreement"/>
    <s v="More than 150% MBS Fee to 200% MBS Fee"/>
    <n v="2072256.94"/>
    <n v="947006.88"/>
    <n v="1125237.8400000001"/>
    <n v="12332"/>
  </r>
  <r>
    <x v="21"/>
    <x v="3"/>
    <s v="ACT"/>
    <s v="No gap agreement"/>
    <s v="More than 200% MBS Fee"/>
    <n v="250335.61"/>
    <n v="75062.75"/>
    <n v="175272.86"/>
    <n v="476"/>
  </r>
  <r>
    <x v="21"/>
    <x v="3"/>
    <s v="NT"/>
    <s v="No agreement"/>
    <s v="Up to MBS Fee"/>
    <n v="319232.21999999997"/>
    <n v="239053.59"/>
    <n v="79626.78"/>
    <n v="1719"/>
  </r>
  <r>
    <x v="21"/>
    <x v="3"/>
    <s v="NT"/>
    <s v="No agreement"/>
    <s v="100% MBS Fee to 125% MBS Fee"/>
    <n v="72045.11"/>
    <n v="46792.83"/>
    <n v="23754.7"/>
    <n v="414"/>
  </r>
  <r>
    <x v="21"/>
    <x v="3"/>
    <s v="NT"/>
    <s v="No agreement"/>
    <s v="More than 125% MBS Fee to 150% MBS Fee"/>
    <n v="43445.1"/>
    <n v="23683.45"/>
    <n v="13844.6"/>
    <n v="393"/>
  </r>
  <r>
    <x v="21"/>
    <x v="3"/>
    <s v="NT"/>
    <s v="No agreement"/>
    <s v="More than 150% MBS Fee to 200% MBS Fee"/>
    <n v="116323.97"/>
    <n v="50456.26"/>
    <n v="41453.050000000003"/>
    <n v="497"/>
  </r>
  <r>
    <x v="21"/>
    <x v="3"/>
    <s v="NT"/>
    <s v="No agreement"/>
    <s v="More than 200% MBS Fee"/>
    <n v="996726.53"/>
    <n v="247575.13"/>
    <n v="85684.7"/>
    <n v="893"/>
  </r>
  <r>
    <x v="21"/>
    <x v="3"/>
    <s v="NT"/>
    <s v="Known gap agreement"/>
    <s v="100% MBS Fee to 125% MBS Fee"/>
    <n v="14667.05"/>
    <n v="9859.6"/>
    <n v="3855.26"/>
    <n v="152"/>
  </r>
  <r>
    <x v="21"/>
    <x v="3"/>
    <s v="NT"/>
    <s v="Known gap agreement"/>
    <s v="More than 125% MBS Fee to 150% MBS Fee"/>
    <n v="46849.120000000003"/>
    <n v="25482.3"/>
    <n v="16492.95"/>
    <n v="221"/>
  </r>
  <r>
    <x v="21"/>
    <x v="3"/>
    <s v="NT"/>
    <s v="Known gap agreement"/>
    <s v="More than 150% MBS Fee to 200% MBS Fee"/>
    <n v="125602.95"/>
    <n v="54461.1"/>
    <n v="53253.33"/>
    <n v="285"/>
  </r>
  <r>
    <x v="21"/>
    <x v="3"/>
    <s v="NT"/>
    <s v="Known gap agreement"/>
    <s v="More than 200% MBS Fee"/>
    <n v="513903.99"/>
    <n v="139852.95000000001"/>
    <n v="153930.54999999999"/>
    <n v="2318"/>
  </r>
  <r>
    <x v="21"/>
    <x v="3"/>
    <s v="NT"/>
    <s v="No gap agreement"/>
    <s v="Up to MBS Fee"/>
    <n v="350589.37"/>
    <n v="262994.63"/>
    <n v="87594.73"/>
    <n v="3889"/>
  </r>
  <r>
    <x v="21"/>
    <x v="3"/>
    <s v="NT"/>
    <s v="No gap agreement"/>
    <s v="100% MBS Fee to 125% MBS Fee"/>
    <n v="434441.67"/>
    <n v="277391.84999999998"/>
    <n v="157042.20000000001"/>
    <n v="3531"/>
  </r>
  <r>
    <x v="21"/>
    <x v="3"/>
    <s v="NT"/>
    <s v="No gap agreement"/>
    <s v="More than 125% MBS Fee to 150% MBS Fee"/>
    <n v="1013072.06"/>
    <n v="554099.43999999994"/>
    <n v="458966.76"/>
    <n v="5136"/>
  </r>
  <r>
    <x v="21"/>
    <x v="3"/>
    <s v="NT"/>
    <s v="No gap agreement"/>
    <s v="More than 150% MBS Fee to 200% MBS Fee"/>
    <n v="1630759.11"/>
    <n v="749226.55"/>
    <n v="881528.76"/>
    <n v="7556"/>
  </r>
  <r>
    <x v="21"/>
    <x v="3"/>
    <s v="NT"/>
    <s v="No gap agreement"/>
    <s v="More than 200% MBS Fee"/>
    <n v="46676.45"/>
    <n v="14105.25"/>
    <n v="32571.200000000001"/>
    <n v="63"/>
  </r>
  <r>
    <x v="21"/>
    <x v="1"/>
    <s v="NSW"/>
    <s v="No agreement"/>
    <s v="Up to MBS Fee"/>
    <n v="39039946.009999998"/>
    <n v="29319220.969999999"/>
    <n v="9719878.6500000004"/>
    <n v="559550"/>
  </r>
  <r>
    <x v="21"/>
    <x v="1"/>
    <s v="NSW"/>
    <s v="No agreement"/>
    <s v="100% MBS Fee to 125% MBS Fee"/>
    <n v="4413491"/>
    <n v="2900095.64"/>
    <n v="1282648.97"/>
    <n v="29272"/>
  </r>
  <r>
    <x v="21"/>
    <x v="1"/>
    <s v="NSW"/>
    <s v="No agreement"/>
    <s v="More than 125% MBS Fee to 150% MBS Fee"/>
    <n v="5001132.91"/>
    <n v="2712316.63"/>
    <n v="1726087.26"/>
    <n v="41109"/>
  </r>
  <r>
    <x v="21"/>
    <x v="1"/>
    <s v="NSW"/>
    <s v="No agreement"/>
    <s v="More than 150% MBS Fee to 200% MBS Fee"/>
    <n v="11932455.130000001"/>
    <n v="5215801"/>
    <n v="3587978.33"/>
    <n v="57838"/>
  </r>
  <r>
    <x v="21"/>
    <x v="1"/>
    <s v="NSW"/>
    <s v="No agreement"/>
    <s v="More than 200% MBS Fee"/>
    <n v="80357153.689999998"/>
    <n v="18653063.27"/>
    <n v="6614889.1299999999"/>
    <n v="94959"/>
  </r>
  <r>
    <x v="21"/>
    <x v="1"/>
    <s v="NSW"/>
    <s v="Known gap agreement"/>
    <s v="100% MBS Fee to 125% MBS Fee"/>
    <n v="2747908.46"/>
    <n v="1783950.31"/>
    <n v="885273.66"/>
    <n v="11008"/>
  </r>
  <r>
    <x v="21"/>
    <x v="1"/>
    <s v="NSW"/>
    <s v="Known gap agreement"/>
    <s v="More than 125% MBS Fee to 150% MBS Fee"/>
    <n v="5137586.08"/>
    <n v="2792160.43"/>
    <n v="2068636.22"/>
    <n v="16832"/>
  </r>
  <r>
    <x v="21"/>
    <x v="1"/>
    <s v="NSW"/>
    <s v="Known gap agreement"/>
    <s v="More than 150% MBS Fee to 200% MBS Fee"/>
    <n v="13351426.82"/>
    <n v="5804164.8200000003"/>
    <n v="5891075.4800000004"/>
    <n v="30954"/>
  </r>
  <r>
    <x v="21"/>
    <x v="1"/>
    <s v="NSW"/>
    <s v="Known gap agreement"/>
    <s v="More than 200% MBS Fee"/>
    <n v="33412424.77"/>
    <n v="8939712.3900000006"/>
    <n v="10586919.01"/>
    <n v="123699"/>
  </r>
  <r>
    <x v="21"/>
    <x v="1"/>
    <s v="NSW"/>
    <s v="No gap agreement"/>
    <s v="Up to MBS Fee"/>
    <n v="21086345.710000001"/>
    <n v="15840220.42"/>
    <n v="5246118.22"/>
    <n v="575656"/>
  </r>
  <r>
    <x v="21"/>
    <x v="1"/>
    <s v="NSW"/>
    <s v="No gap agreement"/>
    <s v="100% MBS Fee to 125% MBS Fee"/>
    <n v="52257808.549999997"/>
    <n v="33158912.039999999"/>
    <n v="19098844.329999998"/>
    <n v="544321"/>
  </r>
  <r>
    <x v="21"/>
    <x v="1"/>
    <s v="NSW"/>
    <s v="No gap agreement"/>
    <s v="More than 125% MBS Fee to 150% MBS Fee"/>
    <n v="93679703.840000004"/>
    <n v="51322344.979999997"/>
    <n v="42357336.68"/>
    <n v="566011"/>
  </r>
  <r>
    <x v="21"/>
    <x v="1"/>
    <s v="NSW"/>
    <s v="No gap agreement"/>
    <s v="More than 150% MBS Fee to 200% MBS Fee"/>
    <n v="105182210.55"/>
    <n v="48108809.920000002"/>
    <n v="57073345.810000002"/>
    <n v="570514"/>
  </r>
  <r>
    <x v="21"/>
    <x v="1"/>
    <s v="NSW"/>
    <s v="No gap agreement"/>
    <s v="More than 200% MBS Fee"/>
    <n v="7616029.7199999997"/>
    <n v="2235447.84"/>
    <n v="5380581.8399999999"/>
    <n v="18004"/>
  </r>
  <r>
    <x v="21"/>
    <x v="1"/>
    <s v="VIC"/>
    <s v="No agreement"/>
    <s v="Up to MBS Fee"/>
    <n v="10451637.82"/>
    <n v="7851807.9000000004"/>
    <n v="2595623.1"/>
    <n v="204583"/>
  </r>
  <r>
    <x v="21"/>
    <x v="1"/>
    <s v="VIC"/>
    <s v="No agreement"/>
    <s v="100% MBS Fee to 125% MBS Fee"/>
    <n v="2186097.54"/>
    <n v="1438501.9"/>
    <n v="573784.75"/>
    <n v="10381"/>
  </r>
  <r>
    <x v="21"/>
    <x v="1"/>
    <s v="VIC"/>
    <s v="No agreement"/>
    <s v="More than 125% MBS Fee to 150% MBS Fee"/>
    <n v="5308553.9800000004"/>
    <n v="2887838.01"/>
    <n v="1849902.84"/>
    <n v="62095"/>
  </r>
  <r>
    <x v="21"/>
    <x v="1"/>
    <s v="VIC"/>
    <s v="No agreement"/>
    <s v="More than 150% MBS Fee to 200% MBS Fee"/>
    <n v="9679529.7400000002"/>
    <n v="4124769.01"/>
    <n v="3775412.72"/>
    <n v="57619"/>
  </r>
  <r>
    <x v="21"/>
    <x v="1"/>
    <s v="VIC"/>
    <s v="No agreement"/>
    <s v="More than 200% MBS Fee"/>
    <n v="24601110.41"/>
    <n v="5977566.5899999999"/>
    <n v="2431560.7799999998"/>
    <n v="53496"/>
  </r>
  <r>
    <x v="21"/>
    <x v="1"/>
    <s v="VIC"/>
    <s v="Known gap agreement"/>
    <s v="100% MBS Fee to 125% MBS Fee"/>
    <n v="3520819.82"/>
    <n v="2342833.83"/>
    <n v="1022123.78"/>
    <n v="23058"/>
  </r>
  <r>
    <x v="21"/>
    <x v="1"/>
    <s v="VIC"/>
    <s v="Known gap agreement"/>
    <s v="More than 125% MBS Fee to 150% MBS Fee"/>
    <n v="5643151.5700000003"/>
    <n v="3080567.8"/>
    <n v="2077234.92"/>
    <n v="21012"/>
  </r>
  <r>
    <x v="21"/>
    <x v="1"/>
    <s v="VIC"/>
    <s v="Known gap agreement"/>
    <s v="More than 150% MBS Fee to 200% MBS Fee"/>
    <n v="12465676.18"/>
    <n v="5378817.4000000004"/>
    <n v="5002557.0999999996"/>
    <n v="33045"/>
  </r>
  <r>
    <x v="21"/>
    <x v="1"/>
    <s v="VIC"/>
    <s v="Known gap agreement"/>
    <s v="More than 200% MBS Fee"/>
    <n v="25209087.370000001"/>
    <n v="7194211.2199999997"/>
    <n v="8367433.5099999998"/>
    <n v="101371"/>
  </r>
  <r>
    <x v="21"/>
    <x v="1"/>
    <s v="VIC"/>
    <s v="No gap agreement"/>
    <s v="Up to MBS Fee"/>
    <n v="18606051.489999998"/>
    <n v="13987791.470000001"/>
    <n v="4618512.95"/>
    <n v="298401"/>
  </r>
  <r>
    <x v="21"/>
    <x v="1"/>
    <s v="VIC"/>
    <s v="No gap agreement"/>
    <s v="100% MBS Fee to 125% MBS Fee"/>
    <n v="43178556.240000002"/>
    <n v="27511612.32"/>
    <n v="15666882.300000001"/>
    <n v="382151"/>
  </r>
  <r>
    <x v="21"/>
    <x v="1"/>
    <s v="VIC"/>
    <s v="No gap agreement"/>
    <s v="More than 125% MBS Fee to 150% MBS Fee"/>
    <n v="105477586.67"/>
    <n v="57891229.369999997"/>
    <n v="47586321.369999997"/>
    <n v="711202"/>
  </r>
  <r>
    <x v="21"/>
    <x v="1"/>
    <s v="VIC"/>
    <s v="No gap agreement"/>
    <s v="More than 150% MBS Fee to 200% MBS Fee"/>
    <n v="104783695.45"/>
    <n v="46998307.780000001"/>
    <n v="57785342.829999998"/>
    <n v="551039"/>
  </r>
  <r>
    <x v="21"/>
    <x v="1"/>
    <s v="VIC"/>
    <s v="No gap agreement"/>
    <s v="More than 200% MBS Fee"/>
    <n v="3429580.45"/>
    <n v="865176.09"/>
    <n v="2564404.36"/>
    <n v="4093"/>
  </r>
  <r>
    <x v="21"/>
    <x v="1"/>
    <s v="QLD"/>
    <s v="No agreement"/>
    <s v="Up to MBS Fee"/>
    <n v="7059640.0800000001"/>
    <n v="5281871.03"/>
    <n v="1752159"/>
    <n v="106905"/>
  </r>
  <r>
    <x v="21"/>
    <x v="1"/>
    <s v="QLD"/>
    <s v="No agreement"/>
    <s v="100% MBS Fee to 125% MBS Fee"/>
    <n v="4477898.71"/>
    <n v="2871637.85"/>
    <n v="1430759.63"/>
    <n v="47508"/>
  </r>
  <r>
    <x v="21"/>
    <x v="1"/>
    <s v="QLD"/>
    <s v="No agreement"/>
    <s v="More than 125% MBS Fee to 150% MBS Fee"/>
    <n v="5070832.0599999996"/>
    <n v="2705411.15"/>
    <n v="1674056.57"/>
    <n v="49822"/>
  </r>
  <r>
    <x v="21"/>
    <x v="1"/>
    <s v="QLD"/>
    <s v="No agreement"/>
    <s v="More than 150% MBS Fee to 200% MBS Fee"/>
    <n v="10533583.039999999"/>
    <n v="4624838.3499999996"/>
    <n v="4105176.96"/>
    <n v="59345"/>
  </r>
  <r>
    <x v="21"/>
    <x v="1"/>
    <s v="QLD"/>
    <s v="No agreement"/>
    <s v="More than 200% MBS Fee"/>
    <n v="36955462.359999999"/>
    <n v="8958777.6999999993"/>
    <n v="3287529.05"/>
    <n v="45917"/>
  </r>
  <r>
    <x v="21"/>
    <x v="1"/>
    <s v="QLD"/>
    <s v="Known gap agreement"/>
    <s v="100% MBS Fee to 125% MBS Fee"/>
    <n v="1515726.4"/>
    <n v="985870.96"/>
    <n v="451427.04"/>
    <n v="6450"/>
  </r>
  <r>
    <x v="21"/>
    <x v="1"/>
    <s v="QLD"/>
    <s v="Known gap agreement"/>
    <s v="More than 125% MBS Fee to 150% MBS Fee"/>
    <n v="2676861.2599999998"/>
    <n v="1450214.56"/>
    <n v="968040.51"/>
    <n v="10857"/>
  </r>
  <r>
    <x v="21"/>
    <x v="1"/>
    <s v="QLD"/>
    <s v="Known gap agreement"/>
    <s v="More than 150% MBS Fee to 200% MBS Fee"/>
    <n v="10006051.640000001"/>
    <n v="4255396.09"/>
    <n v="4174597.09"/>
    <n v="17516"/>
  </r>
  <r>
    <x v="21"/>
    <x v="1"/>
    <s v="QLD"/>
    <s v="Known gap agreement"/>
    <s v="More than 200% MBS Fee"/>
    <n v="22164776.109999999"/>
    <n v="6128647.6699999999"/>
    <n v="6944225.7800000003"/>
    <n v="59489"/>
  </r>
  <r>
    <x v="21"/>
    <x v="1"/>
    <s v="QLD"/>
    <s v="No gap agreement"/>
    <s v="Up to MBS Fee"/>
    <n v="15026066.77"/>
    <n v="11277398.17"/>
    <n v="3748672.64"/>
    <n v="273060"/>
  </r>
  <r>
    <x v="21"/>
    <x v="1"/>
    <s v="QLD"/>
    <s v="No gap agreement"/>
    <s v="100% MBS Fee to 125% MBS Fee"/>
    <n v="39885604.049999997"/>
    <n v="25385929.16"/>
    <n v="14499601.039999999"/>
    <n v="369591"/>
  </r>
  <r>
    <x v="21"/>
    <x v="1"/>
    <s v="QLD"/>
    <s v="No gap agreement"/>
    <s v="More than 125% MBS Fee to 150% MBS Fee"/>
    <n v="74798058.450000003"/>
    <n v="41297884.43"/>
    <n v="33499721.399999999"/>
    <n v="601641"/>
  </r>
  <r>
    <x v="21"/>
    <x v="1"/>
    <s v="QLD"/>
    <s v="No gap agreement"/>
    <s v="More than 150% MBS Fee to 200% MBS Fee"/>
    <n v="67408884.900000006"/>
    <n v="30838781.239999998"/>
    <n v="36569819.170000002"/>
    <n v="429423"/>
  </r>
  <r>
    <x v="21"/>
    <x v="1"/>
    <s v="QLD"/>
    <s v="No gap agreement"/>
    <s v="More than 200% MBS Fee"/>
    <n v="5877748.5999999996"/>
    <n v="1696972.15"/>
    <n v="4180776.33"/>
    <n v="7517"/>
  </r>
  <r>
    <x v="21"/>
    <x v="1"/>
    <s v="SA"/>
    <s v="No agreement"/>
    <s v="Up to MBS Fee"/>
    <n v="2455544.75"/>
    <n v="1841922.01"/>
    <n v="612397.04"/>
    <n v="27119"/>
  </r>
  <r>
    <x v="21"/>
    <x v="1"/>
    <s v="SA"/>
    <s v="No agreement"/>
    <s v="100% MBS Fee to 125% MBS Fee"/>
    <n v="991093.64"/>
    <n v="637033.76"/>
    <n v="303199.61"/>
    <n v="4188"/>
  </r>
  <r>
    <x v="21"/>
    <x v="1"/>
    <s v="SA"/>
    <s v="No agreement"/>
    <s v="More than 125% MBS Fee to 150% MBS Fee"/>
    <n v="2087140.45"/>
    <n v="1160548.98"/>
    <n v="877243.48"/>
    <n v="25382"/>
  </r>
  <r>
    <x v="21"/>
    <x v="1"/>
    <s v="SA"/>
    <s v="No agreement"/>
    <s v="More than 150% MBS Fee to 200% MBS Fee"/>
    <n v="3341807.96"/>
    <n v="1443434.06"/>
    <n v="1772928.05"/>
    <n v="13293"/>
  </r>
  <r>
    <x v="21"/>
    <x v="1"/>
    <s v="SA"/>
    <s v="No agreement"/>
    <s v="More than 200% MBS Fee"/>
    <n v="1879173.93"/>
    <n v="436710.68"/>
    <n v="270022.81"/>
    <n v="3358"/>
  </r>
  <r>
    <x v="21"/>
    <x v="1"/>
    <s v="SA"/>
    <s v="Known gap agreement"/>
    <s v="100% MBS Fee to 125% MBS Fee"/>
    <n v="454483.35"/>
    <n v="300556.07"/>
    <n v="123130.58"/>
    <n v="1734"/>
  </r>
  <r>
    <x v="21"/>
    <x v="1"/>
    <s v="SA"/>
    <s v="Known gap agreement"/>
    <s v="More than 125% MBS Fee to 150% MBS Fee"/>
    <n v="1009930.26"/>
    <n v="547267.44999999995"/>
    <n v="401038.47"/>
    <n v="3466"/>
  </r>
  <r>
    <x v="21"/>
    <x v="1"/>
    <s v="SA"/>
    <s v="Known gap agreement"/>
    <s v="More than 150% MBS Fee to 200% MBS Fee"/>
    <n v="4093351.06"/>
    <n v="1727326.46"/>
    <n v="1804816.65"/>
    <n v="8660"/>
  </r>
  <r>
    <x v="21"/>
    <x v="1"/>
    <s v="SA"/>
    <s v="Known gap agreement"/>
    <s v="More than 200% MBS Fee"/>
    <n v="6188246.4100000001"/>
    <n v="1874107.63"/>
    <n v="2377611.44"/>
    <n v="26453"/>
  </r>
  <r>
    <x v="21"/>
    <x v="1"/>
    <s v="SA"/>
    <s v="No gap agreement"/>
    <s v="Up to MBS Fee"/>
    <n v="4949386.47"/>
    <n v="3715870.36"/>
    <n v="1233515.8"/>
    <n v="74712"/>
  </r>
  <r>
    <x v="21"/>
    <x v="1"/>
    <s v="SA"/>
    <s v="No gap agreement"/>
    <s v="100% MBS Fee to 125% MBS Fee"/>
    <n v="7488040.1799999997"/>
    <n v="4711507.12"/>
    <n v="2776523.27"/>
    <n v="73178"/>
  </r>
  <r>
    <x v="21"/>
    <x v="1"/>
    <s v="SA"/>
    <s v="No gap agreement"/>
    <s v="More than 125% MBS Fee to 150% MBS Fee"/>
    <n v="25504575.149999999"/>
    <n v="13890753.1"/>
    <n v="11613801.91"/>
    <n v="211102"/>
  </r>
  <r>
    <x v="21"/>
    <x v="1"/>
    <s v="SA"/>
    <s v="No gap agreement"/>
    <s v="More than 150% MBS Fee to 200% MBS Fee"/>
    <n v="43471465.490000002"/>
    <n v="19330295.050000001"/>
    <n v="24141168.969999999"/>
    <n v="165822"/>
  </r>
  <r>
    <x v="21"/>
    <x v="1"/>
    <s v="SA"/>
    <s v="No gap agreement"/>
    <s v="More than 200% MBS Fee"/>
    <n v="1720921.63"/>
    <n v="464117.4"/>
    <n v="1256804.23"/>
    <n v="1686"/>
  </r>
  <r>
    <x v="21"/>
    <x v="1"/>
    <s v="WA"/>
    <s v="No agreement"/>
    <s v="Up to MBS Fee"/>
    <n v="1996009.97"/>
    <n v="1498624.46"/>
    <n v="494336.91"/>
    <n v="31050"/>
  </r>
  <r>
    <x v="21"/>
    <x v="1"/>
    <s v="WA"/>
    <s v="No agreement"/>
    <s v="100% MBS Fee to 125% MBS Fee"/>
    <n v="459991.44"/>
    <n v="303231.83"/>
    <n v="119141.24"/>
    <n v="2185"/>
  </r>
  <r>
    <x v="21"/>
    <x v="1"/>
    <s v="WA"/>
    <s v="No agreement"/>
    <s v="More than 125% MBS Fee to 150% MBS Fee"/>
    <n v="1650364.77"/>
    <n v="884318.41"/>
    <n v="447427.71"/>
    <n v="21576"/>
  </r>
  <r>
    <x v="21"/>
    <x v="1"/>
    <s v="WA"/>
    <s v="No agreement"/>
    <s v="More than 150% MBS Fee to 200% MBS Fee"/>
    <n v="2312459.58"/>
    <n v="1013475.9"/>
    <n v="609446.97"/>
    <n v="8351"/>
  </r>
  <r>
    <x v="21"/>
    <x v="1"/>
    <s v="WA"/>
    <s v="No agreement"/>
    <s v="More than 200% MBS Fee"/>
    <n v="7245481.9400000004"/>
    <n v="1695878.99"/>
    <n v="656073.94999999995"/>
    <n v="11539"/>
  </r>
  <r>
    <x v="21"/>
    <x v="1"/>
    <s v="WA"/>
    <s v="Known gap agreement"/>
    <s v="100% MBS Fee to 125% MBS Fee"/>
    <n v="2420550.4900000002"/>
    <n v="1658566.51"/>
    <n v="723294.38"/>
    <n v="13222"/>
  </r>
  <r>
    <x v="21"/>
    <x v="1"/>
    <s v="WA"/>
    <s v="Known gap agreement"/>
    <s v="More than 125% MBS Fee to 150% MBS Fee"/>
    <n v="4787199.93"/>
    <n v="2583251.09"/>
    <n v="1962679.72"/>
    <n v="33349"/>
  </r>
  <r>
    <x v="21"/>
    <x v="1"/>
    <s v="WA"/>
    <s v="Known gap agreement"/>
    <s v="More than 150% MBS Fee to 200% MBS Fee"/>
    <n v="8009323.9299999997"/>
    <n v="3565604.8"/>
    <n v="3163214.46"/>
    <n v="17606"/>
  </r>
  <r>
    <x v="21"/>
    <x v="1"/>
    <s v="WA"/>
    <s v="Known gap agreement"/>
    <s v="More than 200% MBS Fee"/>
    <n v="16110725.810000001"/>
    <n v="4161665.58"/>
    <n v="2872255.16"/>
    <n v="40018"/>
  </r>
  <r>
    <x v="21"/>
    <x v="1"/>
    <s v="WA"/>
    <s v="No gap agreement"/>
    <s v="Up to MBS Fee"/>
    <n v="6430953.1600000001"/>
    <n v="4838702.3600000003"/>
    <n v="1592287.21"/>
    <n v="167783"/>
  </r>
  <r>
    <x v="21"/>
    <x v="1"/>
    <s v="WA"/>
    <s v="No gap agreement"/>
    <s v="100% MBS Fee to 125% MBS Fee"/>
    <n v="7698913.4699999997"/>
    <n v="5015467.8600000003"/>
    <n v="2683439.9700000002"/>
    <n v="52666"/>
  </r>
  <r>
    <x v="21"/>
    <x v="1"/>
    <s v="WA"/>
    <s v="No gap agreement"/>
    <s v="More than 125% MBS Fee to 150% MBS Fee"/>
    <n v="41203031.799999997"/>
    <n v="22834992.84"/>
    <n v="18368033.109999999"/>
    <n v="285200"/>
  </r>
  <r>
    <x v="21"/>
    <x v="1"/>
    <s v="WA"/>
    <s v="No gap agreement"/>
    <s v="More than 150% MBS Fee to 200% MBS Fee"/>
    <n v="54227783.909999996"/>
    <n v="23963901.02"/>
    <n v="30263874.280000001"/>
    <n v="259803"/>
  </r>
  <r>
    <x v="21"/>
    <x v="1"/>
    <s v="WA"/>
    <s v="No gap agreement"/>
    <s v="More than 200% MBS Fee"/>
    <n v="3233583.87"/>
    <n v="856501.33"/>
    <n v="2377082.54"/>
    <n v="2174"/>
  </r>
  <r>
    <x v="21"/>
    <x v="1"/>
    <s v="TAS"/>
    <s v="No agreement"/>
    <s v="Up to MBS Fee"/>
    <n v="488539.59"/>
    <n v="367355.36"/>
    <n v="121152.93"/>
    <n v="5498"/>
  </r>
  <r>
    <x v="21"/>
    <x v="1"/>
    <s v="TAS"/>
    <s v="No agreement"/>
    <s v="100% MBS Fee to 125% MBS Fee"/>
    <n v="499214.38"/>
    <n v="310509.51"/>
    <n v="175875.75"/>
    <n v="2788"/>
  </r>
  <r>
    <x v="21"/>
    <x v="1"/>
    <s v="TAS"/>
    <s v="No agreement"/>
    <s v="More than 125% MBS Fee to 150% MBS Fee"/>
    <n v="340751.07"/>
    <n v="189041.3"/>
    <n v="126921.75"/>
    <n v="2623"/>
  </r>
  <r>
    <x v="21"/>
    <x v="1"/>
    <s v="TAS"/>
    <s v="No agreement"/>
    <s v="More than 150% MBS Fee to 200% MBS Fee"/>
    <n v="708129.67"/>
    <n v="316236.79999999999"/>
    <n v="289995.15000000002"/>
    <n v="3419"/>
  </r>
  <r>
    <x v="21"/>
    <x v="1"/>
    <s v="TAS"/>
    <s v="No agreement"/>
    <s v="More than 200% MBS Fee"/>
    <n v="1508742.53"/>
    <n v="347992.65"/>
    <n v="144639.9"/>
    <n v="1560"/>
  </r>
  <r>
    <x v="21"/>
    <x v="1"/>
    <s v="TAS"/>
    <s v="Known gap agreement"/>
    <s v="100% MBS Fee to 125% MBS Fee"/>
    <n v="189003.56"/>
    <n v="128362.95"/>
    <n v="50063.05"/>
    <n v="1259"/>
  </r>
  <r>
    <x v="21"/>
    <x v="1"/>
    <s v="TAS"/>
    <s v="Known gap agreement"/>
    <s v="More than 125% MBS Fee to 150% MBS Fee"/>
    <n v="280046.2"/>
    <n v="151718.65"/>
    <n v="115196.84"/>
    <n v="1234"/>
  </r>
  <r>
    <x v="21"/>
    <x v="1"/>
    <s v="TAS"/>
    <s v="Known gap agreement"/>
    <s v="More than 150% MBS Fee to 200% MBS Fee"/>
    <n v="1339355.53"/>
    <n v="569476.98"/>
    <n v="567422.87"/>
    <n v="2635"/>
  </r>
  <r>
    <x v="21"/>
    <x v="1"/>
    <s v="TAS"/>
    <s v="Known gap agreement"/>
    <s v="More than 200% MBS Fee"/>
    <n v="1641592.31"/>
    <n v="496504.55"/>
    <n v="577049.52"/>
    <n v="4696"/>
  </r>
  <r>
    <x v="21"/>
    <x v="1"/>
    <s v="TAS"/>
    <s v="No gap agreement"/>
    <s v="Up to MBS Fee"/>
    <n v="2091544.47"/>
    <n v="1569623.23"/>
    <n v="521921.74"/>
    <n v="36712"/>
  </r>
  <r>
    <x v="21"/>
    <x v="1"/>
    <s v="TAS"/>
    <s v="No gap agreement"/>
    <s v="100% MBS Fee to 125% MBS Fee"/>
    <n v="2837777.75"/>
    <n v="1805006.4"/>
    <n v="1032770.85"/>
    <n v="23053"/>
  </r>
  <r>
    <x v="21"/>
    <x v="1"/>
    <s v="TAS"/>
    <s v="No gap agreement"/>
    <s v="More than 125% MBS Fee to 150% MBS Fee"/>
    <n v="8322529.2199999997"/>
    <n v="4556151.37"/>
    <n v="3766370.17"/>
    <n v="54475"/>
  </r>
  <r>
    <x v="21"/>
    <x v="1"/>
    <s v="TAS"/>
    <s v="No gap agreement"/>
    <s v="More than 150% MBS Fee to 200% MBS Fee"/>
    <n v="11234803.699999999"/>
    <n v="5125626.6399999997"/>
    <n v="6109175.0800000001"/>
    <n v="51385"/>
  </r>
  <r>
    <x v="21"/>
    <x v="1"/>
    <s v="TAS"/>
    <s v="No gap agreement"/>
    <s v="More than 200% MBS Fee"/>
    <n v="427876.13"/>
    <n v="117246.2"/>
    <n v="310629.93"/>
    <n v="340"/>
  </r>
  <r>
    <x v="21"/>
    <x v="1"/>
    <s v="ACT"/>
    <s v="No agreement"/>
    <s v="Up to MBS Fee"/>
    <n v="987009.72"/>
    <n v="738719.48"/>
    <n v="242992.44"/>
    <n v="8671"/>
  </r>
  <r>
    <x v="21"/>
    <x v="1"/>
    <s v="ACT"/>
    <s v="No agreement"/>
    <s v="100% MBS Fee to 125% MBS Fee"/>
    <n v="165106.01999999999"/>
    <n v="110206.9"/>
    <n v="47494.8"/>
    <n v="1043"/>
  </r>
  <r>
    <x v="21"/>
    <x v="1"/>
    <s v="ACT"/>
    <s v="No agreement"/>
    <s v="More than 125% MBS Fee to 150% MBS Fee"/>
    <n v="179281.74"/>
    <n v="97729.51"/>
    <n v="50534.35"/>
    <n v="769"/>
  </r>
  <r>
    <x v="21"/>
    <x v="1"/>
    <s v="ACT"/>
    <s v="No agreement"/>
    <s v="More than 150% MBS Fee to 200% MBS Fee"/>
    <n v="769974.89"/>
    <n v="328019.86"/>
    <n v="185033.29"/>
    <n v="3080"/>
  </r>
  <r>
    <x v="21"/>
    <x v="1"/>
    <s v="ACT"/>
    <s v="No agreement"/>
    <s v="More than 200% MBS Fee"/>
    <n v="6556706.8099999996"/>
    <n v="1533492.22"/>
    <n v="528324.23"/>
    <n v="6830"/>
  </r>
  <r>
    <x v="21"/>
    <x v="1"/>
    <s v="ACT"/>
    <s v="Known gap agreement"/>
    <s v="100% MBS Fee to 125% MBS Fee"/>
    <n v="87833.37"/>
    <n v="56054.35"/>
    <n v="28600.77"/>
    <n v="433"/>
  </r>
  <r>
    <x v="21"/>
    <x v="1"/>
    <s v="ACT"/>
    <s v="Known gap agreement"/>
    <s v="More than 125% MBS Fee to 150% MBS Fee"/>
    <n v="130324.66"/>
    <n v="71702.5"/>
    <n v="49146.57"/>
    <n v="332"/>
  </r>
  <r>
    <x v="21"/>
    <x v="1"/>
    <s v="ACT"/>
    <s v="Known gap agreement"/>
    <s v="More than 150% MBS Fee to 200% MBS Fee"/>
    <n v="429421.9"/>
    <n v="184173.25"/>
    <n v="187293.18"/>
    <n v="1430"/>
  </r>
  <r>
    <x v="21"/>
    <x v="1"/>
    <s v="ACT"/>
    <s v="Known gap agreement"/>
    <s v="More than 200% MBS Fee"/>
    <n v="2808454.64"/>
    <n v="751571.59"/>
    <n v="825091.81"/>
    <n v="9782"/>
  </r>
  <r>
    <x v="21"/>
    <x v="1"/>
    <s v="ACT"/>
    <s v="No gap agreement"/>
    <s v="Up to MBS Fee"/>
    <n v="438475.82"/>
    <n v="329486.15999999997"/>
    <n v="108989.21"/>
    <n v="14795"/>
  </r>
  <r>
    <x v="21"/>
    <x v="1"/>
    <s v="ACT"/>
    <s v="No gap agreement"/>
    <s v="100% MBS Fee to 125% MBS Fee"/>
    <n v="1483815.11"/>
    <n v="946230.4"/>
    <n v="537579.31999999995"/>
    <n v="16153"/>
  </r>
  <r>
    <x v="21"/>
    <x v="1"/>
    <s v="ACT"/>
    <s v="No gap agreement"/>
    <s v="More than 125% MBS Fee to 150% MBS Fee"/>
    <n v="3649631.82"/>
    <n v="2008669.4"/>
    <n v="1640961.69"/>
    <n v="27948"/>
  </r>
  <r>
    <x v="21"/>
    <x v="1"/>
    <s v="ACT"/>
    <s v="No gap agreement"/>
    <s v="More than 150% MBS Fee to 200% MBS Fee"/>
    <n v="2577821.39"/>
    <n v="1176380.3500000001"/>
    <n v="1401441.64"/>
    <n v="14945"/>
  </r>
  <r>
    <x v="21"/>
    <x v="1"/>
    <s v="ACT"/>
    <s v="No gap agreement"/>
    <s v="More than 200% MBS Fee"/>
    <n v="343120.51"/>
    <n v="102080.65"/>
    <n v="241039.86"/>
    <n v="544"/>
  </r>
  <r>
    <x v="21"/>
    <x v="1"/>
    <s v="NT"/>
    <s v="No agreement"/>
    <s v="Up to MBS Fee"/>
    <n v="253282.54"/>
    <n v="189995.94"/>
    <n v="63286.6"/>
    <n v="1748"/>
  </r>
  <r>
    <x v="21"/>
    <x v="1"/>
    <s v="NT"/>
    <s v="No agreement"/>
    <s v="100% MBS Fee to 125% MBS Fee"/>
    <n v="82566.350000000006"/>
    <n v="54291.199999999997"/>
    <n v="26273.1"/>
    <n v="503"/>
  </r>
  <r>
    <x v="21"/>
    <x v="1"/>
    <s v="NT"/>
    <s v="No agreement"/>
    <s v="More than 125% MBS Fee to 150% MBS Fee"/>
    <n v="64330.57"/>
    <n v="34680.67"/>
    <n v="16259.65"/>
    <n v="410"/>
  </r>
  <r>
    <x v="21"/>
    <x v="1"/>
    <s v="NT"/>
    <s v="No agreement"/>
    <s v="More than 150% MBS Fee to 200% MBS Fee"/>
    <n v="134617.34"/>
    <n v="59159.6"/>
    <n v="55641.2"/>
    <n v="641"/>
  </r>
  <r>
    <x v="21"/>
    <x v="1"/>
    <s v="NT"/>
    <s v="No agreement"/>
    <s v="More than 200% MBS Fee"/>
    <n v="976205.07"/>
    <n v="240223.76"/>
    <n v="85340.5"/>
    <n v="873"/>
  </r>
  <r>
    <x v="21"/>
    <x v="1"/>
    <s v="NT"/>
    <s v="Known gap agreement"/>
    <s v="100% MBS Fee to 125% MBS Fee"/>
    <n v="18800.439999999999"/>
    <n v="12659.45"/>
    <n v="4530.2"/>
    <n v="89"/>
  </r>
  <r>
    <x v="21"/>
    <x v="1"/>
    <s v="NT"/>
    <s v="Known gap agreement"/>
    <s v="More than 125% MBS Fee to 150% MBS Fee"/>
    <n v="39666.86"/>
    <n v="21797"/>
    <n v="14664.95"/>
    <n v="188"/>
  </r>
  <r>
    <x v="21"/>
    <x v="1"/>
    <s v="NT"/>
    <s v="Known gap agreement"/>
    <s v="More than 150% MBS Fee to 200% MBS Fee"/>
    <n v="153120.56"/>
    <n v="66616.179999999993"/>
    <n v="64173.42"/>
    <n v="327"/>
  </r>
  <r>
    <x v="21"/>
    <x v="1"/>
    <s v="NT"/>
    <s v="Known gap agreement"/>
    <s v="More than 200% MBS Fee"/>
    <n v="599950.66"/>
    <n v="157667.15"/>
    <n v="179639.06"/>
    <n v="2648"/>
  </r>
  <r>
    <x v="21"/>
    <x v="1"/>
    <s v="NT"/>
    <s v="No gap agreement"/>
    <s v="Up to MBS Fee"/>
    <n v="267596.93"/>
    <n v="200841.72"/>
    <n v="66755.19"/>
    <n v="3218"/>
  </r>
  <r>
    <x v="21"/>
    <x v="1"/>
    <s v="NT"/>
    <s v="No gap agreement"/>
    <s v="100% MBS Fee to 125% MBS Fee"/>
    <n v="520519.5"/>
    <n v="334482.03000000003"/>
    <n v="186033.3"/>
    <n v="4377"/>
  </r>
  <r>
    <x v="21"/>
    <x v="1"/>
    <s v="NT"/>
    <s v="No gap agreement"/>
    <s v="More than 125% MBS Fee to 150% MBS Fee"/>
    <n v="1268644.29"/>
    <n v="693302.7"/>
    <n v="575338.30000000005"/>
    <n v="6577"/>
  </r>
  <r>
    <x v="21"/>
    <x v="1"/>
    <s v="NT"/>
    <s v="No gap agreement"/>
    <s v="More than 150% MBS Fee to 200% MBS Fee"/>
    <n v="2004218.89"/>
    <n v="917642.6"/>
    <n v="1086574.8700000001"/>
    <n v="9182"/>
  </r>
  <r>
    <x v="21"/>
    <x v="1"/>
    <s v="NT"/>
    <s v="No gap agreement"/>
    <s v="More than 200% MBS Fee"/>
    <n v="45470.6"/>
    <n v="13460.1"/>
    <n v="32010.5"/>
    <n v="105"/>
  </r>
  <r>
    <x v="22"/>
    <x v="0"/>
    <s v="NSW"/>
    <s v="No agreement"/>
    <s v="Up to MBS Fee"/>
    <n v="35229042.469999999"/>
    <n v="26437276.809999999"/>
    <n v="8781528.7100000009"/>
    <n v="447810"/>
  </r>
  <r>
    <x v="22"/>
    <x v="0"/>
    <s v="NSW"/>
    <s v="No agreement"/>
    <s v="100% MBS Fee to 125% MBS Fee"/>
    <n v="2739277.08"/>
    <n v="1827299.21"/>
    <n v="703819.35"/>
    <n v="13924"/>
  </r>
  <r>
    <x v="22"/>
    <x v="0"/>
    <s v="NSW"/>
    <s v="No agreement"/>
    <s v="More than 125% MBS Fee to 150% MBS Fee"/>
    <n v="2707141.61"/>
    <n v="1459122.75"/>
    <n v="728396.55"/>
    <n v="15127"/>
  </r>
  <r>
    <x v="22"/>
    <x v="0"/>
    <s v="NSW"/>
    <s v="No agreement"/>
    <s v="More than 150% MBS Fee to 200% MBS Fee"/>
    <n v="7993246.3799999999"/>
    <n v="3449393.91"/>
    <n v="1791175.6"/>
    <n v="31416"/>
  </r>
  <r>
    <x v="22"/>
    <x v="0"/>
    <s v="NSW"/>
    <s v="No agreement"/>
    <s v="More than 200% MBS Fee"/>
    <n v="79180525.670000002"/>
    <n v="17624490.379999999"/>
    <n v="6018835.6600000001"/>
    <n v="77927"/>
  </r>
  <r>
    <x v="22"/>
    <x v="0"/>
    <s v="NSW"/>
    <s v="Known gap agreement"/>
    <s v="100% MBS Fee to 125% MBS Fee"/>
    <n v="3313250.2"/>
    <n v="2160387.59"/>
    <n v="1068278.43"/>
    <n v="13346"/>
  </r>
  <r>
    <x v="22"/>
    <x v="0"/>
    <s v="NSW"/>
    <s v="Known gap agreement"/>
    <s v="More than 125% MBS Fee to 150% MBS Fee"/>
    <n v="4463556.67"/>
    <n v="2407221.5699999998"/>
    <n v="1798287.2"/>
    <n v="14225"/>
  </r>
  <r>
    <x v="22"/>
    <x v="0"/>
    <s v="NSW"/>
    <s v="Known gap agreement"/>
    <s v="More than 150% MBS Fee to 200% MBS Fee"/>
    <n v="15675712.039999999"/>
    <n v="6735639.5999999996"/>
    <n v="6974103.7300000004"/>
    <n v="35293"/>
  </r>
  <r>
    <x v="22"/>
    <x v="0"/>
    <s v="NSW"/>
    <s v="Known gap agreement"/>
    <s v="More than 200% MBS Fee"/>
    <n v="40270051.039999999"/>
    <n v="10570787.060000001"/>
    <n v="12510340.57"/>
    <n v="142943"/>
  </r>
  <r>
    <x v="22"/>
    <x v="0"/>
    <s v="NSW"/>
    <s v="No gap agreement"/>
    <s v="Up to MBS Fee"/>
    <n v="25615944.66"/>
    <n v="19235076.219999999"/>
    <n v="6380928.6500000004"/>
    <n v="776829"/>
  </r>
  <r>
    <x v="22"/>
    <x v="0"/>
    <s v="NSW"/>
    <s v="No gap agreement"/>
    <s v="100% MBS Fee to 125% MBS Fee"/>
    <n v="50758246.850000001"/>
    <n v="32033007.07"/>
    <n v="18725199.370000001"/>
    <n v="446796"/>
  </r>
  <r>
    <x v="22"/>
    <x v="0"/>
    <s v="NSW"/>
    <s v="No gap agreement"/>
    <s v="More than 125% MBS Fee to 150% MBS Fee"/>
    <n v="94269847.900000006"/>
    <n v="51569953.57"/>
    <n v="42699866.530000001"/>
    <n v="601351"/>
  </r>
  <r>
    <x v="22"/>
    <x v="0"/>
    <s v="NSW"/>
    <s v="No gap agreement"/>
    <s v="More than 150% MBS Fee to 200% MBS Fee"/>
    <n v="110792752.89"/>
    <n v="50468275.18"/>
    <n v="60324398.75"/>
    <n v="603510"/>
  </r>
  <r>
    <x v="22"/>
    <x v="0"/>
    <s v="NSW"/>
    <s v="No gap agreement"/>
    <s v="More than 200% MBS Fee"/>
    <n v="7022211.9100000001"/>
    <n v="2020656.69"/>
    <n v="5001555.22"/>
    <n v="14591"/>
  </r>
  <r>
    <x v="22"/>
    <x v="0"/>
    <s v="VIC"/>
    <s v="No agreement"/>
    <s v="Up to MBS Fee"/>
    <n v="9077075.9000000004"/>
    <n v="6808061.0800000001"/>
    <n v="2258862.83"/>
    <n v="177908"/>
  </r>
  <r>
    <x v="22"/>
    <x v="0"/>
    <s v="VIC"/>
    <s v="No agreement"/>
    <s v="100% MBS Fee to 125% MBS Fee"/>
    <n v="1161379.6200000001"/>
    <n v="760703.34"/>
    <n v="300571.78999999998"/>
    <n v="6367"/>
  </r>
  <r>
    <x v="22"/>
    <x v="0"/>
    <s v="VIC"/>
    <s v="No agreement"/>
    <s v="More than 125% MBS Fee to 150% MBS Fee"/>
    <n v="3235651.39"/>
    <n v="1777597.11"/>
    <n v="937325.23"/>
    <n v="39340"/>
  </r>
  <r>
    <x v="22"/>
    <x v="0"/>
    <s v="VIC"/>
    <s v="No agreement"/>
    <s v="More than 150% MBS Fee to 200% MBS Fee"/>
    <n v="6049334.8700000001"/>
    <n v="2580866.4300000002"/>
    <n v="1472695.93"/>
    <n v="38709"/>
  </r>
  <r>
    <x v="22"/>
    <x v="0"/>
    <s v="VIC"/>
    <s v="No agreement"/>
    <s v="More than 200% MBS Fee"/>
    <n v="24199433.300000001"/>
    <n v="5692375.0199999996"/>
    <n v="2078626.37"/>
    <n v="27646"/>
  </r>
  <r>
    <x v="22"/>
    <x v="0"/>
    <s v="VIC"/>
    <s v="Known gap agreement"/>
    <s v="100% MBS Fee to 125% MBS Fee"/>
    <n v="3584131.64"/>
    <n v="2387526.48"/>
    <n v="1068067.03"/>
    <n v="20794"/>
  </r>
  <r>
    <x v="22"/>
    <x v="0"/>
    <s v="VIC"/>
    <s v="Known gap agreement"/>
    <s v="More than 125% MBS Fee to 150% MBS Fee"/>
    <n v="6419806.1200000001"/>
    <n v="3481521.36"/>
    <n v="2493349.29"/>
    <n v="24988"/>
  </r>
  <r>
    <x v="22"/>
    <x v="0"/>
    <s v="VIC"/>
    <s v="Known gap agreement"/>
    <s v="More than 150% MBS Fee to 200% MBS Fee"/>
    <n v="14777318.49"/>
    <n v="6380429.4199999999"/>
    <n v="6200333.1699999999"/>
    <n v="38173"/>
  </r>
  <r>
    <x v="22"/>
    <x v="0"/>
    <s v="VIC"/>
    <s v="Known gap agreement"/>
    <s v="More than 200% MBS Fee"/>
    <n v="32931692.18"/>
    <n v="8900215.0700000003"/>
    <n v="10186648.98"/>
    <n v="125593"/>
  </r>
  <r>
    <x v="22"/>
    <x v="0"/>
    <s v="VIC"/>
    <s v="No gap agreement"/>
    <s v="Up to MBS Fee"/>
    <n v="18181015.199999999"/>
    <n v="13657213.140000001"/>
    <n v="4523804.43"/>
    <n v="257256"/>
  </r>
  <r>
    <x v="22"/>
    <x v="0"/>
    <s v="VIC"/>
    <s v="No gap agreement"/>
    <s v="100% MBS Fee to 125% MBS Fee"/>
    <n v="44006650.57"/>
    <n v="27976485.190000001"/>
    <n v="16030122.17"/>
    <n v="387344"/>
  </r>
  <r>
    <x v="22"/>
    <x v="0"/>
    <s v="VIC"/>
    <s v="No gap agreement"/>
    <s v="More than 125% MBS Fee to 150% MBS Fee"/>
    <n v="106645248.77"/>
    <n v="58423915.409999996"/>
    <n v="48221200.310000002"/>
    <n v="730284"/>
  </r>
  <r>
    <x v="22"/>
    <x v="0"/>
    <s v="VIC"/>
    <s v="No gap agreement"/>
    <s v="More than 150% MBS Fee to 200% MBS Fee"/>
    <n v="104213700.64"/>
    <n v="46545060.280000001"/>
    <n v="57668206.799999997"/>
    <n v="551293"/>
  </r>
  <r>
    <x v="22"/>
    <x v="0"/>
    <s v="VIC"/>
    <s v="No gap agreement"/>
    <s v="More than 200% MBS Fee"/>
    <n v="3167866.81"/>
    <n v="813872.98"/>
    <n v="2353993.83"/>
    <n v="3652"/>
  </r>
  <r>
    <x v="22"/>
    <x v="0"/>
    <s v="QLD"/>
    <s v="No agreement"/>
    <s v="Up to MBS Fee"/>
    <n v="6642345.9299999997"/>
    <n v="4965975.05"/>
    <n v="1649823.34"/>
    <n v="101515"/>
  </r>
  <r>
    <x v="22"/>
    <x v="0"/>
    <s v="QLD"/>
    <s v="No agreement"/>
    <s v="100% MBS Fee to 125% MBS Fee"/>
    <n v="1946816.92"/>
    <n v="1269249.1100000001"/>
    <n v="545965.06999999995"/>
    <n v="13213"/>
  </r>
  <r>
    <x v="22"/>
    <x v="0"/>
    <s v="QLD"/>
    <s v="No agreement"/>
    <s v="More than 125% MBS Fee to 150% MBS Fee"/>
    <n v="3044882.64"/>
    <n v="1624608.32"/>
    <n v="838471.05"/>
    <n v="31087"/>
  </r>
  <r>
    <x v="22"/>
    <x v="0"/>
    <s v="QLD"/>
    <s v="No agreement"/>
    <s v="More than 150% MBS Fee to 200% MBS Fee"/>
    <n v="5569920.6299999999"/>
    <n v="2422252.56"/>
    <n v="1496078.23"/>
    <n v="23444"/>
  </r>
  <r>
    <x v="22"/>
    <x v="0"/>
    <s v="QLD"/>
    <s v="No agreement"/>
    <s v="More than 200% MBS Fee"/>
    <n v="38622478.990000002"/>
    <n v="9032417.5199999996"/>
    <n v="3131034.89"/>
    <n v="46603"/>
  </r>
  <r>
    <x v="22"/>
    <x v="0"/>
    <s v="QLD"/>
    <s v="Known gap agreement"/>
    <s v="100% MBS Fee to 125% MBS Fee"/>
    <n v="1632998.24"/>
    <n v="1074071.51"/>
    <n v="523863.78"/>
    <n v="7231"/>
  </r>
  <r>
    <x v="22"/>
    <x v="0"/>
    <s v="QLD"/>
    <s v="Known gap agreement"/>
    <s v="More than 125% MBS Fee to 150% MBS Fee"/>
    <n v="2976507.85"/>
    <n v="1610767.68"/>
    <n v="1107440.48"/>
    <n v="10619"/>
  </r>
  <r>
    <x v="22"/>
    <x v="0"/>
    <s v="QLD"/>
    <s v="Known gap agreement"/>
    <s v="More than 150% MBS Fee to 200% MBS Fee"/>
    <n v="12898810.74"/>
    <n v="5470644.7999999998"/>
    <n v="5499659.9400000004"/>
    <n v="21165"/>
  </r>
  <r>
    <x v="22"/>
    <x v="0"/>
    <s v="QLD"/>
    <s v="Known gap agreement"/>
    <s v="More than 200% MBS Fee"/>
    <n v="27452484.52"/>
    <n v="7406228.4800000004"/>
    <n v="8459361.4700000007"/>
    <n v="69411"/>
  </r>
  <r>
    <x v="22"/>
    <x v="0"/>
    <s v="QLD"/>
    <s v="No gap agreement"/>
    <s v="Up to MBS Fee"/>
    <n v="14594159.890000001"/>
    <n v="10953469.449999999"/>
    <n v="3640756.29"/>
    <n v="250333"/>
  </r>
  <r>
    <x v="22"/>
    <x v="0"/>
    <s v="QLD"/>
    <s v="No gap agreement"/>
    <s v="100% MBS Fee to 125% MBS Fee"/>
    <n v="41846517.789999999"/>
    <n v="26582848.539999999"/>
    <n v="15263547.460000001"/>
    <n v="399011"/>
  </r>
  <r>
    <x v="22"/>
    <x v="0"/>
    <s v="QLD"/>
    <s v="No gap agreement"/>
    <s v="More than 125% MBS Fee to 150% MBS Fee"/>
    <n v="74169954.620000005"/>
    <n v="40836182.460000001"/>
    <n v="33333188.84"/>
    <n v="585978"/>
  </r>
  <r>
    <x v="22"/>
    <x v="0"/>
    <s v="QLD"/>
    <s v="No gap agreement"/>
    <s v="More than 150% MBS Fee to 200% MBS Fee"/>
    <n v="72993226.010000005"/>
    <n v="33171326.109999999"/>
    <n v="39821430.07"/>
    <n v="481341"/>
  </r>
  <r>
    <x v="22"/>
    <x v="0"/>
    <s v="QLD"/>
    <s v="No gap agreement"/>
    <s v="More than 200% MBS Fee"/>
    <n v="4816680.24"/>
    <n v="1396837.42"/>
    <n v="3419840.48"/>
    <n v="6731"/>
  </r>
  <r>
    <x v="22"/>
    <x v="0"/>
    <s v="SA"/>
    <s v="No agreement"/>
    <s v="Up to MBS Fee"/>
    <n v="1974914.46"/>
    <n v="1478988.95"/>
    <n v="490954.56"/>
    <n v="19915"/>
  </r>
  <r>
    <x v="22"/>
    <x v="0"/>
    <s v="SA"/>
    <s v="No agreement"/>
    <s v="100% MBS Fee to 125% MBS Fee"/>
    <n v="364578.6"/>
    <n v="234718.56"/>
    <n v="104801.84"/>
    <n v="1341"/>
  </r>
  <r>
    <x v="22"/>
    <x v="0"/>
    <s v="SA"/>
    <s v="No agreement"/>
    <s v="More than 125% MBS Fee to 150% MBS Fee"/>
    <n v="818518.17"/>
    <n v="453612.51"/>
    <n v="317374.21999999997"/>
    <n v="9224"/>
  </r>
  <r>
    <x v="22"/>
    <x v="0"/>
    <s v="SA"/>
    <s v="No agreement"/>
    <s v="More than 150% MBS Fee to 200% MBS Fee"/>
    <n v="943664.62"/>
    <n v="408145.97"/>
    <n v="405584.12"/>
    <n v="3043"/>
  </r>
  <r>
    <x v="22"/>
    <x v="0"/>
    <s v="SA"/>
    <s v="No agreement"/>
    <s v="More than 200% MBS Fee"/>
    <n v="1987297.42"/>
    <n v="465556.79"/>
    <n v="203939.08"/>
    <n v="2553"/>
  </r>
  <r>
    <x v="22"/>
    <x v="0"/>
    <s v="SA"/>
    <s v="Known gap agreement"/>
    <s v="100% MBS Fee to 125% MBS Fee"/>
    <n v="377169.32"/>
    <n v="241868.98"/>
    <n v="127082.94"/>
    <n v="1686"/>
  </r>
  <r>
    <x v="22"/>
    <x v="0"/>
    <s v="SA"/>
    <s v="Known gap agreement"/>
    <s v="More than 125% MBS Fee to 150% MBS Fee"/>
    <n v="776884.9"/>
    <n v="410352.58"/>
    <n v="355140.47"/>
    <n v="-820"/>
  </r>
  <r>
    <x v="22"/>
    <x v="0"/>
    <s v="SA"/>
    <s v="Known gap agreement"/>
    <s v="More than 150% MBS Fee to 200% MBS Fee"/>
    <n v="5772804.4699999997"/>
    <n v="2447311.7799999998"/>
    <n v="2581492.52"/>
    <n v="11311"/>
  </r>
  <r>
    <x v="22"/>
    <x v="0"/>
    <s v="SA"/>
    <s v="Known gap agreement"/>
    <s v="More than 200% MBS Fee"/>
    <n v="8853352.75"/>
    <n v="2680256.59"/>
    <n v="3390488.1"/>
    <n v="33313"/>
  </r>
  <r>
    <x v="22"/>
    <x v="0"/>
    <s v="SA"/>
    <s v="No gap agreement"/>
    <s v="Up to MBS Fee"/>
    <n v="5805000.3499999996"/>
    <n v="4357501.13"/>
    <n v="1447527.25"/>
    <n v="123613"/>
  </r>
  <r>
    <x v="22"/>
    <x v="0"/>
    <s v="SA"/>
    <s v="No gap agreement"/>
    <s v="100% MBS Fee to 125% MBS Fee"/>
    <n v="8009559.8899999997"/>
    <n v="5033758.93"/>
    <n v="2975786.76"/>
    <n v="75346"/>
  </r>
  <r>
    <x v="22"/>
    <x v="0"/>
    <s v="SA"/>
    <s v="No gap agreement"/>
    <s v="More than 125% MBS Fee to 150% MBS Fee"/>
    <n v="27061624"/>
    <n v="14753713.060000001"/>
    <n v="12307888.310000001"/>
    <n v="227058"/>
  </r>
  <r>
    <x v="22"/>
    <x v="0"/>
    <s v="SA"/>
    <s v="No gap agreement"/>
    <s v="More than 150% MBS Fee to 200% MBS Fee"/>
    <n v="43956818.030000001"/>
    <n v="19466955.289999999"/>
    <n v="24489859.940000001"/>
    <n v="174832"/>
  </r>
  <r>
    <x v="22"/>
    <x v="0"/>
    <s v="SA"/>
    <s v="No gap agreement"/>
    <s v="More than 200% MBS Fee"/>
    <n v="1332704.99"/>
    <n v="352633.38"/>
    <n v="980071.61"/>
    <n v="1082"/>
  </r>
  <r>
    <x v="22"/>
    <x v="0"/>
    <s v="WA"/>
    <s v="No agreement"/>
    <s v="Up to MBS Fee"/>
    <n v="2116060.77"/>
    <n v="1587611.38"/>
    <n v="525725.49"/>
    <n v="33292"/>
  </r>
  <r>
    <x v="22"/>
    <x v="0"/>
    <s v="WA"/>
    <s v="No agreement"/>
    <s v="100% MBS Fee to 125% MBS Fee"/>
    <n v="418069.8"/>
    <n v="280619.32"/>
    <n v="103716.47"/>
    <n v="2225"/>
  </r>
  <r>
    <x v="22"/>
    <x v="0"/>
    <s v="WA"/>
    <s v="No agreement"/>
    <s v="More than 125% MBS Fee to 150% MBS Fee"/>
    <n v="1305367.78"/>
    <n v="684249.1"/>
    <n v="267289.81"/>
    <n v="18448"/>
  </r>
  <r>
    <x v="22"/>
    <x v="0"/>
    <s v="WA"/>
    <s v="No agreement"/>
    <s v="More than 150% MBS Fee to 200% MBS Fee"/>
    <n v="1898176.86"/>
    <n v="826342.53"/>
    <n v="372348.85"/>
    <n v="6027"/>
  </r>
  <r>
    <x v="22"/>
    <x v="0"/>
    <s v="WA"/>
    <s v="No agreement"/>
    <s v="More than 200% MBS Fee"/>
    <n v="7375140.0300000003"/>
    <n v="1664640.86"/>
    <n v="592032.6"/>
    <n v="10208"/>
  </r>
  <r>
    <x v="22"/>
    <x v="0"/>
    <s v="WA"/>
    <s v="Known gap agreement"/>
    <s v="100% MBS Fee to 125% MBS Fee"/>
    <n v="2589307.71"/>
    <n v="1782228.43"/>
    <n v="768571.7"/>
    <n v="12974"/>
  </r>
  <r>
    <x v="22"/>
    <x v="0"/>
    <s v="WA"/>
    <s v="Known gap agreement"/>
    <s v="More than 125% MBS Fee to 150% MBS Fee"/>
    <n v="4571559.08"/>
    <n v="2459826.79"/>
    <n v="1914320.24"/>
    <n v="33531"/>
  </r>
  <r>
    <x v="22"/>
    <x v="0"/>
    <s v="WA"/>
    <s v="Known gap agreement"/>
    <s v="More than 150% MBS Fee to 200% MBS Fee"/>
    <n v="8930340.3100000005"/>
    <n v="3950544.39"/>
    <n v="3656119.5"/>
    <n v="20914"/>
  </r>
  <r>
    <x v="22"/>
    <x v="0"/>
    <s v="WA"/>
    <s v="Known gap agreement"/>
    <s v="More than 200% MBS Fee"/>
    <n v="16851736.649999999"/>
    <n v="4314084.45"/>
    <n v="3195514.41"/>
    <n v="43246"/>
  </r>
  <r>
    <x v="22"/>
    <x v="0"/>
    <s v="WA"/>
    <s v="No gap agreement"/>
    <s v="Up to MBS Fee"/>
    <n v="7387148.0499999998"/>
    <n v="5549168.0700000003"/>
    <n v="1837978.62"/>
    <n v="128175"/>
  </r>
  <r>
    <x v="22"/>
    <x v="0"/>
    <s v="WA"/>
    <s v="No gap agreement"/>
    <s v="100% MBS Fee to 125% MBS Fee"/>
    <n v="7903284.1299999999"/>
    <n v="5119575.58"/>
    <n v="2783706.07"/>
    <n v="56945"/>
  </r>
  <r>
    <x v="22"/>
    <x v="0"/>
    <s v="WA"/>
    <s v="No gap agreement"/>
    <s v="More than 125% MBS Fee to 150% MBS Fee"/>
    <n v="41677883.210000001"/>
    <n v="23106901.199999999"/>
    <n v="18570850.550000001"/>
    <n v="302294"/>
  </r>
  <r>
    <x v="22"/>
    <x v="0"/>
    <s v="WA"/>
    <s v="No gap agreement"/>
    <s v="More than 150% MBS Fee to 200% MBS Fee"/>
    <n v="55503507.560000002"/>
    <n v="24527994.829999998"/>
    <n v="30975511.379999999"/>
    <n v="252881"/>
  </r>
  <r>
    <x v="22"/>
    <x v="0"/>
    <s v="WA"/>
    <s v="No gap agreement"/>
    <s v="More than 200% MBS Fee"/>
    <n v="2776682.38"/>
    <n v="723081.87"/>
    <n v="2053600.51"/>
    <n v="1901"/>
  </r>
  <r>
    <x v="22"/>
    <x v="0"/>
    <s v="TAS"/>
    <s v="No agreement"/>
    <s v="Up to MBS Fee"/>
    <n v="412630.79"/>
    <n v="309644.15000000002"/>
    <n v="102990.64"/>
    <n v="3280"/>
  </r>
  <r>
    <x v="22"/>
    <x v="0"/>
    <s v="TAS"/>
    <s v="No agreement"/>
    <s v="100% MBS Fee to 125% MBS Fee"/>
    <n v="160335.82999999999"/>
    <n v="102472.79"/>
    <n v="49299.83"/>
    <n v="714"/>
  </r>
  <r>
    <x v="22"/>
    <x v="0"/>
    <s v="TAS"/>
    <s v="No agreement"/>
    <s v="More than 125% MBS Fee to 150% MBS Fee"/>
    <n v="200699.53"/>
    <n v="111575.39"/>
    <n v="61703.06"/>
    <n v="1701"/>
  </r>
  <r>
    <x v="22"/>
    <x v="0"/>
    <s v="TAS"/>
    <s v="No agreement"/>
    <s v="More than 150% MBS Fee to 200% MBS Fee"/>
    <n v="278756.26"/>
    <n v="122518.2"/>
    <n v="72573.7"/>
    <n v="1135"/>
  </r>
  <r>
    <x v="22"/>
    <x v="0"/>
    <s v="TAS"/>
    <s v="No agreement"/>
    <s v="More than 200% MBS Fee"/>
    <n v="1438108.5"/>
    <n v="327814.59000000003"/>
    <n v="116554.71"/>
    <n v="1423"/>
  </r>
  <r>
    <x v="22"/>
    <x v="0"/>
    <s v="TAS"/>
    <s v="Known gap agreement"/>
    <s v="100% MBS Fee to 125% MBS Fee"/>
    <n v="180790.54"/>
    <n v="122089.91"/>
    <n v="50369.41"/>
    <n v="1282"/>
  </r>
  <r>
    <x v="22"/>
    <x v="0"/>
    <s v="TAS"/>
    <s v="Known gap agreement"/>
    <s v="More than 125% MBS Fee to 150% MBS Fee"/>
    <n v="383943.85"/>
    <n v="207588.67"/>
    <n v="161942.69"/>
    <n v="1117"/>
  </r>
  <r>
    <x v="22"/>
    <x v="0"/>
    <s v="TAS"/>
    <s v="Known gap agreement"/>
    <s v="More than 150% MBS Fee to 200% MBS Fee"/>
    <n v="1338184.54"/>
    <n v="569011.31000000006"/>
    <n v="595014.29"/>
    <n v="2667"/>
  </r>
  <r>
    <x v="22"/>
    <x v="0"/>
    <s v="TAS"/>
    <s v="Known gap agreement"/>
    <s v="More than 200% MBS Fee"/>
    <n v="2189637.54"/>
    <n v="646579.03"/>
    <n v="782570.83"/>
    <n v="6421"/>
  </r>
  <r>
    <x v="22"/>
    <x v="0"/>
    <s v="TAS"/>
    <s v="No gap agreement"/>
    <s v="Up to MBS Fee"/>
    <n v="1911787.31"/>
    <n v="1434983.67"/>
    <n v="476803.39"/>
    <n v="30299"/>
  </r>
  <r>
    <x v="22"/>
    <x v="0"/>
    <s v="TAS"/>
    <s v="No gap agreement"/>
    <s v="100% MBS Fee to 125% MBS Fee"/>
    <n v="2810678.39"/>
    <n v="1781187.12"/>
    <n v="1029489.07"/>
    <n v="21877"/>
  </r>
  <r>
    <x v="22"/>
    <x v="0"/>
    <s v="TAS"/>
    <s v="No gap agreement"/>
    <s v="More than 125% MBS Fee to 150% MBS Fee"/>
    <n v="8383741.3300000001"/>
    <n v="4578271.99"/>
    <n v="3805459.32"/>
    <n v="50983"/>
  </r>
  <r>
    <x v="22"/>
    <x v="0"/>
    <s v="TAS"/>
    <s v="No gap agreement"/>
    <s v="More than 150% MBS Fee to 200% MBS Fee"/>
    <n v="11338985.439999999"/>
    <n v="5162779.8"/>
    <n v="6176203.5800000001"/>
    <n v="52508"/>
  </r>
  <r>
    <x v="22"/>
    <x v="0"/>
    <s v="TAS"/>
    <s v="No gap agreement"/>
    <s v="More than 200% MBS Fee"/>
    <n v="460179.22"/>
    <n v="126422.72"/>
    <n v="333756.5"/>
    <n v="384"/>
  </r>
  <r>
    <x v="22"/>
    <x v="0"/>
    <s v="ACT"/>
    <s v="No agreement"/>
    <s v="Up to MBS Fee"/>
    <n v="1028999.63"/>
    <n v="759755.98"/>
    <n v="252198.98"/>
    <n v="7852"/>
  </r>
  <r>
    <x v="22"/>
    <x v="0"/>
    <s v="ACT"/>
    <s v="No agreement"/>
    <s v="100% MBS Fee to 125% MBS Fee"/>
    <n v="197527.39"/>
    <n v="132209.49"/>
    <n v="53123.57"/>
    <n v="1026"/>
  </r>
  <r>
    <x v="22"/>
    <x v="0"/>
    <s v="ACT"/>
    <s v="No agreement"/>
    <s v="More than 125% MBS Fee to 150% MBS Fee"/>
    <n v="156699.49"/>
    <n v="85083.94"/>
    <n v="34946.400000000001"/>
    <n v="379"/>
  </r>
  <r>
    <x v="22"/>
    <x v="0"/>
    <s v="ACT"/>
    <s v="No agreement"/>
    <s v="More than 150% MBS Fee to 200% MBS Fee"/>
    <n v="706213.79"/>
    <n v="299113.33"/>
    <n v="126931"/>
    <n v="2306"/>
  </r>
  <r>
    <x v="22"/>
    <x v="0"/>
    <s v="ACT"/>
    <s v="No agreement"/>
    <s v="More than 200% MBS Fee"/>
    <n v="7242144.9000000004"/>
    <n v="1657796.68"/>
    <n v="555760.43000000005"/>
    <n v="7082"/>
  </r>
  <r>
    <x v="22"/>
    <x v="0"/>
    <s v="ACT"/>
    <s v="Known gap agreement"/>
    <s v="100% MBS Fee to 125% MBS Fee"/>
    <n v="55570.42"/>
    <n v="36161.839999999997"/>
    <n v="17750.990000000002"/>
    <n v="194"/>
  </r>
  <r>
    <x v="22"/>
    <x v="0"/>
    <s v="ACT"/>
    <s v="Known gap agreement"/>
    <s v="More than 125% MBS Fee to 150% MBS Fee"/>
    <n v="123601.7"/>
    <n v="67359.06"/>
    <n v="48975.69"/>
    <n v="308"/>
  </r>
  <r>
    <x v="22"/>
    <x v="0"/>
    <s v="ACT"/>
    <s v="Known gap agreement"/>
    <s v="More than 150% MBS Fee to 200% MBS Fee"/>
    <n v="487631.24"/>
    <n v="208710.7"/>
    <n v="223693.09"/>
    <n v="1560"/>
  </r>
  <r>
    <x v="22"/>
    <x v="0"/>
    <s v="ACT"/>
    <s v="Known gap agreement"/>
    <s v="More than 200% MBS Fee"/>
    <n v="3043587.74"/>
    <n v="785615.93"/>
    <n v="886889.66"/>
    <n v="10564"/>
  </r>
  <r>
    <x v="22"/>
    <x v="0"/>
    <s v="ACT"/>
    <s v="No gap agreement"/>
    <s v="Up to MBS Fee"/>
    <n v="473075"/>
    <n v="355062.34"/>
    <n v="118012.65"/>
    <n v="13623"/>
  </r>
  <r>
    <x v="22"/>
    <x v="0"/>
    <s v="ACT"/>
    <s v="No gap agreement"/>
    <s v="100% MBS Fee to 125% MBS Fee"/>
    <n v="1636324.33"/>
    <n v="1038047.08"/>
    <n v="598271.19999999995"/>
    <n v="15552"/>
  </r>
  <r>
    <x v="22"/>
    <x v="0"/>
    <s v="ACT"/>
    <s v="No gap agreement"/>
    <s v="More than 125% MBS Fee to 150% MBS Fee"/>
    <n v="3869311.68"/>
    <n v="2133367.4300000002"/>
    <n v="1735936.56"/>
    <n v="31714"/>
  </r>
  <r>
    <x v="22"/>
    <x v="0"/>
    <s v="ACT"/>
    <s v="No gap agreement"/>
    <s v="More than 150% MBS Fee to 200% MBS Fee"/>
    <n v="2711074.82"/>
    <n v="1234418.6599999999"/>
    <n v="1476614.58"/>
    <n v="15406"/>
  </r>
  <r>
    <x v="22"/>
    <x v="0"/>
    <s v="ACT"/>
    <s v="No gap agreement"/>
    <s v="More than 200% MBS Fee"/>
    <n v="287431.65000000002"/>
    <n v="81611.48"/>
    <n v="205820.17"/>
    <n v="452"/>
  </r>
  <r>
    <x v="22"/>
    <x v="0"/>
    <s v="NT"/>
    <s v="No agreement"/>
    <s v="Up to MBS Fee"/>
    <n v="261233.46"/>
    <n v="195950.49"/>
    <n v="65283.97"/>
    <n v="1543"/>
  </r>
  <r>
    <x v="22"/>
    <x v="0"/>
    <s v="NT"/>
    <s v="No agreement"/>
    <s v="100% MBS Fee to 125% MBS Fee"/>
    <n v="51726.14"/>
    <n v="32877.919999999998"/>
    <n v="15620.63"/>
    <n v="193"/>
  </r>
  <r>
    <x v="22"/>
    <x v="0"/>
    <s v="NT"/>
    <s v="No agreement"/>
    <s v="More than 125% MBS Fee to 150% MBS Fee"/>
    <n v="47731.5"/>
    <n v="26335.72"/>
    <n v="11392.65"/>
    <n v="385"/>
  </r>
  <r>
    <x v="22"/>
    <x v="0"/>
    <s v="NT"/>
    <s v="No agreement"/>
    <s v="More than 150% MBS Fee to 200% MBS Fee"/>
    <n v="101845.93"/>
    <n v="44254.99"/>
    <n v="28702.51"/>
    <n v="380"/>
  </r>
  <r>
    <x v="22"/>
    <x v="0"/>
    <s v="NT"/>
    <s v="No agreement"/>
    <s v="More than 200% MBS Fee"/>
    <n v="1034681.68"/>
    <n v="251854.56"/>
    <n v="87553.91"/>
    <n v="891"/>
  </r>
  <r>
    <x v="22"/>
    <x v="0"/>
    <s v="NT"/>
    <s v="Known gap agreement"/>
    <s v="100% MBS Fee to 125% MBS Fee"/>
    <n v="31200.03"/>
    <n v="20349.48"/>
    <n v="10005.57"/>
    <n v="178"/>
  </r>
  <r>
    <x v="22"/>
    <x v="0"/>
    <s v="NT"/>
    <s v="Known gap agreement"/>
    <s v="More than 125% MBS Fee to 150% MBS Fee"/>
    <n v="53610.01"/>
    <n v="29412.65"/>
    <n v="21458.45"/>
    <n v="180"/>
  </r>
  <r>
    <x v="22"/>
    <x v="0"/>
    <s v="NT"/>
    <s v="Known gap agreement"/>
    <s v="More than 150% MBS Fee to 200% MBS Fee"/>
    <n v="190341.18"/>
    <n v="82335.48"/>
    <n v="83410.83"/>
    <n v="403"/>
  </r>
  <r>
    <x v="22"/>
    <x v="0"/>
    <s v="NT"/>
    <s v="Known gap agreement"/>
    <s v="More than 200% MBS Fee"/>
    <n v="545705.63"/>
    <n v="150276.03"/>
    <n v="175265.64"/>
    <n v="2201"/>
  </r>
  <r>
    <x v="22"/>
    <x v="0"/>
    <s v="NT"/>
    <s v="No gap agreement"/>
    <s v="Up to MBS Fee"/>
    <n v="301398.84000000003"/>
    <n v="226153.25"/>
    <n v="75245.55"/>
    <n v="3733"/>
  </r>
  <r>
    <x v="22"/>
    <x v="0"/>
    <s v="NT"/>
    <s v="No gap agreement"/>
    <s v="100% MBS Fee to 125% MBS Fee"/>
    <n v="560022.11"/>
    <n v="355647.87"/>
    <n v="204369.99"/>
    <n v="3773"/>
  </r>
  <r>
    <x v="22"/>
    <x v="0"/>
    <s v="NT"/>
    <s v="No gap agreement"/>
    <s v="More than 125% MBS Fee to 150% MBS Fee"/>
    <n v="1461534.28"/>
    <n v="798303.61"/>
    <n v="663229.16"/>
    <n v="7731"/>
  </r>
  <r>
    <x v="22"/>
    <x v="0"/>
    <s v="NT"/>
    <s v="No gap agreement"/>
    <s v="More than 150% MBS Fee to 200% MBS Fee"/>
    <n v="2189737"/>
    <n v="1000039.84"/>
    <n v="1189691.1399999999"/>
    <n v="10720"/>
  </r>
  <r>
    <x v="22"/>
    <x v="0"/>
    <s v="NT"/>
    <s v="No gap agreement"/>
    <s v="More than 200% MBS Fee"/>
    <n v="62844.06"/>
    <n v="19367.57"/>
    <n v="43476.49"/>
    <n v="82"/>
  </r>
  <r>
    <x v="22"/>
    <x v="2"/>
    <s v="NSW"/>
    <s v="No agreement"/>
    <s v="Up to MBS Fee"/>
    <n v="39858162.850000001"/>
    <n v="29912777.57"/>
    <n v="9932727.3399999999"/>
    <n v="570191"/>
  </r>
  <r>
    <x v="22"/>
    <x v="2"/>
    <s v="NSW"/>
    <s v="No agreement"/>
    <s v="100% MBS Fee to 125% MBS Fee"/>
    <n v="2668885.5499999998"/>
    <n v="1775900.12"/>
    <n v="709799.53"/>
    <n v="14657"/>
  </r>
  <r>
    <x v="22"/>
    <x v="2"/>
    <s v="NSW"/>
    <s v="No agreement"/>
    <s v="More than 125% MBS Fee to 150% MBS Fee"/>
    <n v="2945070.99"/>
    <n v="1599002.16"/>
    <n v="900251.63"/>
    <n v="22525"/>
  </r>
  <r>
    <x v="22"/>
    <x v="2"/>
    <s v="NSW"/>
    <s v="No agreement"/>
    <s v="More than 150% MBS Fee to 200% MBS Fee"/>
    <n v="8426216.8800000008"/>
    <n v="3640639.12"/>
    <n v="2054604.55"/>
    <n v="36017"/>
  </r>
  <r>
    <x v="22"/>
    <x v="2"/>
    <s v="NSW"/>
    <s v="No agreement"/>
    <s v="More than 200% MBS Fee"/>
    <n v="79347451.129999995"/>
    <n v="17893544.039999999"/>
    <n v="6160455.96"/>
    <n v="82575"/>
  </r>
  <r>
    <x v="22"/>
    <x v="2"/>
    <s v="NSW"/>
    <s v="Known gap agreement"/>
    <s v="100% MBS Fee to 125% MBS Fee"/>
    <n v="3208106.66"/>
    <n v="2075361.98"/>
    <n v="1037690.9"/>
    <n v="12195"/>
  </r>
  <r>
    <x v="22"/>
    <x v="2"/>
    <s v="NSW"/>
    <s v="Known gap agreement"/>
    <s v="More than 125% MBS Fee to 150% MBS Fee"/>
    <n v="4534680.95"/>
    <n v="2447598.54"/>
    <n v="1826973.13"/>
    <n v="14618"/>
  </r>
  <r>
    <x v="22"/>
    <x v="2"/>
    <s v="NSW"/>
    <s v="Known gap agreement"/>
    <s v="More than 150% MBS Fee to 200% MBS Fee"/>
    <n v="14522009.67"/>
    <n v="6273655.2699999996"/>
    <n v="6503366.9199999999"/>
    <n v="33398"/>
  </r>
  <r>
    <x v="22"/>
    <x v="2"/>
    <s v="NSW"/>
    <s v="Known gap agreement"/>
    <s v="More than 200% MBS Fee"/>
    <n v="36934173.159999996"/>
    <n v="9704194.2100000009"/>
    <n v="11428557.890000001"/>
    <n v="131603"/>
  </r>
  <r>
    <x v="22"/>
    <x v="2"/>
    <s v="NSW"/>
    <s v="No gap agreement"/>
    <s v="Up to MBS Fee"/>
    <n v="24022173.329999998"/>
    <n v="18051924.809999999"/>
    <n v="5970341.9699999997"/>
    <n v="703768"/>
  </r>
  <r>
    <x v="22"/>
    <x v="2"/>
    <s v="NSW"/>
    <s v="No gap agreement"/>
    <s v="100% MBS Fee to 125% MBS Fee"/>
    <n v="49204713.719999999"/>
    <n v="31092686.489999998"/>
    <n v="18111910.850000001"/>
    <n v="455686"/>
  </r>
  <r>
    <x v="22"/>
    <x v="2"/>
    <s v="NSW"/>
    <s v="No gap agreement"/>
    <s v="More than 125% MBS Fee to 150% MBS Fee"/>
    <n v="91647692.469999999"/>
    <n v="50173470.420000002"/>
    <n v="41474186.189999998"/>
    <n v="569011"/>
  </r>
  <r>
    <x v="22"/>
    <x v="2"/>
    <s v="NSW"/>
    <s v="No gap agreement"/>
    <s v="More than 150% MBS Fee to 200% MBS Fee"/>
    <n v="104969383.58"/>
    <n v="47976825.460000001"/>
    <n v="56992460.590000004"/>
    <n v="562326"/>
  </r>
  <r>
    <x v="22"/>
    <x v="2"/>
    <s v="NSW"/>
    <s v="No gap agreement"/>
    <s v="More than 200% MBS Fee"/>
    <n v="7348667.21"/>
    <n v="2128899.9900000002"/>
    <n v="5219766.07"/>
    <n v="15887"/>
  </r>
  <r>
    <x v="22"/>
    <x v="2"/>
    <s v="VIC"/>
    <s v="No agreement"/>
    <s v="Up to MBS Fee"/>
    <n v="9930824.8900000006"/>
    <n v="7449336.3200000003"/>
    <n v="2470927.21"/>
    <n v="183652"/>
  </r>
  <r>
    <x v="22"/>
    <x v="2"/>
    <s v="VIC"/>
    <s v="No agreement"/>
    <s v="100% MBS Fee to 125% MBS Fee"/>
    <n v="1759205.98"/>
    <n v="1150419.52"/>
    <n v="462195.4"/>
    <n v="12010"/>
  </r>
  <r>
    <x v="22"/>
    <x v="2"/>
    <s v="VIC"/>
    <s v="No agreement"/>
    <s v="More than 125% MBS Fee to 150% MBS Fee"/>
    <n v="3571851.01"/>
    <n v="1952580.2"/>
    <n v="1059733"/>
    <n v="41766"/>
  </r>
  <r>
    <x v="22"/>
    <x v="2"/>
    <s v="VIC"/>
    <s v="No agreement"/>
    <s v="More than 150% MBS Fee to 200% MBS Fee"/>
    <n v="6481713.4699999997"/>
    <n v="2764590.46"/>
    <n v="1848618.19"/>
    <n v="37261"/>
  </r>
  <r>
    <x v="22"/>
    <x v="2"/>
    <s v="VIC"/>
    <s v="No agreement"/>
    <s v="More than 200% MBS Fee"/>
    <n v="22137579.579999998"/>
    <n v="5319279.5999999996"/>
    <n v="2079871.96"/>
    <n v="31514"/>
  </r>
  <r>
    <x v="22"/>
    <x v="2"/>
    <s v="VIC"/>
    <s v="Known gap agreement"/>
    <s v="100% MBS Fee to 125% MBS Fee"/>
    <n v="3882510.26"/>
    <n v="2579884.86"/>
    <n v="1123032.78"/>
    <n v="25354"/>
  </r>
  <r>
    <x v="22"/>
    <x v="2"/>
    <s v="VIC"/>
    <s v="Known gap agreement"/>
    <s v="More than 125% MBS Fee to 150% MBS Fee"/>
    <n v="6609742.21"/>
    <n v="3598152.69"/>
    <n v="2533617.2400000002"/>
    <n v="26987"/>
  </r>
  <r>
    <x v="22"/>
    <x v="2"/>
    <s v="VIC"/>
    <s v="Known gap agreement"/>
    <s v="More than 150% MBS Fee to 200% MBS Fee"/>
    <n v="13377210.08"/>
    <n v="5779330.7699999996"/>
    <n v="5594849.4000000004"/>
    <n v="35578"/>
  </r>
  <r>
    <x v="22"/>
    <x v="2"/>
    <s v="VIC"/>
    <s v="Known gap agreement"/>
    <s v="More than 200% MBS Fee"/>
    <n v="27285224.100000001"/>
    <n v="7355729.6299999999"/>
    <n v="8289919.2400000002"/>
    <n v="104950"/>
  </r>
  <r>
    <x v="22"/>
    <x v="2"/>
    <s v="VIC"/>
    <s v="No gap agreement"/>
    <s v="Up to MBS Fee"/>
    <n v="18809001.52"/>
    <n v="14155702.029999999"/>
    <n v="4653377.8899999997"/>
    <n v="300460"/>
  </r>
  <r>
    <x v="22"/>
    <x v="2"/>
    <s v="VIC"/>
    <s v="No gap agreement"/>
    <s v="100% MBS Fee to 125% MBS Fee"/>
    <n v="42615406.119999997"/>
    <n v="27131977.829999998"/>
    <n v="15483387.640000001"/>
    <n v="384477"/>
  </r>
  <r>
    <x v="22"/>
    <x v="2"/>
    <s v="VIC"/>
    <s v="No gap agreement"/>
    <s v="More than 125% MBS Fee to 150% MBS Fee"/>
    <n v="106385609.12"/>
    <n v="58296467.649999999"/>
    <n v="48088990.82"/>
    <n v="729944"/>
  </r>
  <r>
    <x v="22"/>
    <x v="2"/>
    <s v="VIC"/>
    <s v="No gap agreement"/>
    <s v="More than 150% MBS Fee to 200% MBS Fee"/>
    <n v="105666211.73999999"/>
    <n v="47196668.210000001"/>
    <n v="58468807.490000002"/>
    <n v="551197"/>
  </r>
  <r>
    <x v="22"/>
    <x v="2"/>
    <s v="VIC"/>
    <s v="No gap agreement"/>
    <s v="More than 200% MBS Fee"/>
    <n v="3225386.11"/>
    <n v="839667.33"/>
    <n v="2385718.7799999998"/>
    <n v="3699"/>
  </r>
  <r>
    <x v="22"/>
    <x v="2"/>
    <s v="QLD"/>
    <s v="No agreement"/>
    <s v="Up to MBS Fee"/>
    <n v="6679793.71"/>
    <n v="4987685.8499999996"/>
    <n v="1658915.88"/>
    <n v="90248"/>
  </r>
  <r>
    <x v="22"/>
    <x v="2"/>
    <s v="QLD"/>
    <s v="No agreement"/>
    <s v="100% MBS Fee to 125% MBS Fee"/>
    <n v="2536484.8199999998"/>
    <n v="1652622.75"/>
    <n v="719243.94"/>
    <n v="18932"/>
  </r>
  <r>
    <x v="22"/>
    <x v="2"/>
    <s v="QLD"/>
    <s v="No agreement"/>
    <s v="More than 125% MBS Fee to 150% MBS Fee"/>
    <n v="3237086.59"/>
    <n v="1731943.3"/>
    <n v="915502.33"/>
    <n v="36056"/>
  </r>
  <r>
    <x v="22"/>
    <x v="2"/>
    <s v="QLD"/>
    <s v="No agreement"/>
    <s v="More than 150% MBS Fee to 200% MBS Fee"/>
    <n v="6272863.3099999996"/>
    <n v="2734205.74"/>
    <n v="1871580"/>
    <n v="29839"/>
  </r>
  <r>
    <x v="22"/>
    <x v="2"/>
    <s v="QLD"/>
    <s v="No agreement"/>
    <s v="More than 200% MBS Fee"/>
    <n v="37023459.119999997"/>
    <n v="8810038.0800000001"/>
    <n v="3078791.26"/>
    <n v="42483"/>
  </r>
  <r>
    <x v="22"/>
    <x v="2"/>
    <s v="QLD"/>
    <s v="Known gap agreement"/>
    <s v="100% MBS Fee to 125% MBS Fee"/>
    <n v="1560673.71"/>
    <n v="1025328.05"/>
    <n v="461737.58"/>
    <n v="7699"/>
  </r>
  <r>
    <x v="22"/>
    <x v="2"/>
    <s v="QLD"/>
    <s v="Known gap agreement"/>
    <s v="More than 125% MBS Fee to 150% MBS Fee"/>
    <n v="2998194.95"/>
    <n v="1619183.68"/>
    <n v="1058106.08"/>
    <n v="13346"/>
  </r>
  <r>
    <x v="22"/>
    <x v="2"/>
    <s v="QLD"/>
    <s v="Known gap agreement"/>
    <s v="More than 150% MBS Fee to 200% MBS Fee"/>
    <n v="10832405.949999999"/>
    <n v="4614109.7699999996"/>
    <n v="4607266.3099999996"/>
    <n v="18987"/>
  </r>
  <r>
    <x v="22"/>
    <x v="2"/>
    <s v="QLD"/>
    <s v="Known gap agreement"/>
    <s v="More than 200% MBS Fee"/>
    <n v="23918695.550000001"/>
    <n v="6496402.25"/>
    <n v="7363102.8099999996"/>
    <n v="62053"/>
  </r>
  <r>
    <x v="22"/>
    <x v="2"/>
    <s v="QLD"/>
    <s v="No gap agreement"/>
    <s v="Up to MBS Fee"/>
    <n v="15349370.51"/>
    <n v="11524704.880000001"/>
    <n v="3824711.27"/>
    <n v="291628"/>
  </r>
  <r>
    <x v="22"/>
    <x v="2"/>
    <s v="QLD"/>
    <s v="No gap agreement"/>
    <s v="100% MBS Fee to 125% MBS Fee"/>
    <n v="40308610.049999997"/>
    <n v="25605850.309999999"/>
    <n v="14702683.77"/>
    <n v="381215"/>
  </r>
  <r>
    <x v="22"/>
    <x v="2"/>
    <s v="QLD"/>
    <s v="No gap agreement"/>
    <s v="More than 125% MBS Fee to 150% MBS Fee"/>
    <n v="72924036.599999994"/>
    <n v="40184976.539999999"/>
    <n v="32738514.75"/>
    <n v="577360"/>
  </r>
  <r>
    <x v="22"/>
    <x v="2"/>
    <s v="QLD"/>
    <s v="No gap agreement"/>
    <s v="More than 150% MBS Fee to 200% MBS Fee"/>
    <n v="68269869.310000002"/>
    <n v="31146861.579999998"/>
    <n v="37122970.030000001"/>
    <n v="432219"/>
  </r>
  <r>
    <x v="22"/>
    <x v="2"/>
    <s v="QLD"/>
    <s v="No gap agreement"/>
    <s v="More than 200% MBS Fee"/>
    <n v="5375789.1500000004"/>
    <n v="1545045.31"/>
    <n v="3830741.29"/>
    <n v="7181"/>
  </r>
  <r>
    <x v="22"/>
    <x v="2"/>
    <s v="SA"/>
    <s v="No agreement"/>
    <s v="Up to MBS Fee"/>
    <n v="2380185.7400000002"/>
    <n v="1785021.77"/>
    <n v="594522.36"/>
    <n v="16644"/>
  </r>
  <r>
    <x v="22"/>
    <x v="2"/>
    <s v="SA"/>
    <s v="No agreement"/>
    <s v="100% MBS Fee to 125% MBS Fee"/>
    <n v="583356"/>
    <n v="374024.1"/>
    <n v="171823.91"/>
    <n v="2477"/>
  </r>
  <r>
    <x v="22"/>
    <x v="2"/>
    <s v="SA"/>
    <s v="No agreement"/>
    <s v="More than 125% MBS Fee to 150% MBS Fee"/>
    <n v="851182.01"/>
    <n v="472786.93"/>
    <n v="327628.19"/>
    <n v="8911"/>
  </r>
  <r>
    <x v="22"/>
    <x v="2"/>
    <s v="SA"/>
    <s v="No agreement"/>
    <s v="More than 150% MBS Fee to 200% MBS Fee"/>
    <n v="1234729.8"/>
    <n v="535510.48"/>
    <n v="574059.24"/>
    <n v="4152"/>
  </r>
  <r>
    <x v="22"/>
    <x v="2"/>
    <s v="SA"/>
    <s v="No agreement"/>
    <s v="More than 200% MBS Fee"/>
    <n v="1804623.14"/>
    <n v="425889.13"/>
    <n v="203345.97"/>
    <n v="2471"/>
  </r>
  <r>
    <x v="22"/>
    <x v="2"/>
    <s v="SA"/>
    <s v="Known gap agreement"/>
    <s v="100% MBS Fee to 125% MBS Fee"/>
    <n v="362251.83"/>
    <n v="233535.94"/>
    <n v="116057.34"/>
    <n v="1738"/>
  </r>
  <r>
    <x v="22"/>
    <x v="2"/>
    <s v="SA"/>
    <s v="Known gap agreement"/>
    <s v="More than 125% MBS Fee to 150% MBS Fee"/>
    <n v="965102.73"/>
    <n v="519481.22"/>
    <n v="398536.59"/>
    <n v="3238"/>
  </r>
  <r>
    <x v="22"/>
    <x v="2"/>
    <s v="SA"/>
    <s v="Known gap agreement"/>
    <s v="More than 150% MBS Fee to 200% MBS Fee"/>
    <n v="4460984.41"/>
    <n v="1890440.19"/>
    <n v="1975875.62"/>
    <n v="9071"/>
  </r>
  <r>
    <x v="22"/>
    <x v="2"/>
    <s v="SA"/>
    <s v="Known gap agreement"/>
    <s v="More than 200% MBS Fee"/>
    <n v="7188568.4800000004"/>
    <n v="2175015.73"/>
    <n v="2733935.17"/>
    <n v="26919"/>
  </r>
  <r>
    <x v="22"/>
    <x v="2"/>
    <s v="SA"/>
    <s v="No gap agreement"/>
    <s v="Up to MBS Fee"/>
    <n v="6061002.7199999997"/>
    <n v="4547955.32"/>
    <n v="1513110.7"/>
    <n v="111279"/>
  </r>
  <r>
    <x v="22"/>
    <x v="2"/>
    <s v="SA"/>
    <s v="No gap agreement"/>
    <s v="100% MBS Fee to 125% MBS Fee"/>
    <n v="7830835.6900000004"/>
    <n v="4921758.6399999997"/>
    <n v="2909065.4"/>
    <n v="74479"/>
  </r>
  <r>
    <x v="22"/>
    <x v="2"/>
    <s v="SA"/>
    <s v="No gap agreement"/>
    <s v="More than 125% MBS Fee to 150% MBS Fee"/>
    <n v="26786954.149999999"/>
    <n v="14585776.970000001"/>
    <n v="12201163.029999999"/>
    <n v="220905"/>
  </r>
  <r>
    <x v="22"/>
    <x v="2"/>
    <s v="SA"/>
    <s v="No gap agreement"/>
    <s v="More than 150% MBS Fee to 200% MBS Fee"/>
    <n v="43351415.43"/>
    <n v="19243437.809999999"/>
    <n v="24107969.600000001"/>
    <n v="165882"/>
  </r>
  <r>
    <x v="22"/>
    <x v="2"/>
    <s v="SA"/>
    <s v="No gap agreement"/>
    <s v="More than 200% MBS Fee"/>
    <n v="1570567.63"/>
    <n v="415780.12"/>
    <n v="1154787.93"/>
    <n v="1484"/>
  </r>
  <r>
    <x v="22"/>
    <x v="2"/>
    <s v="WA"/>
    <s v="No agreement"/>
    <s v="Up to MBS Fee"/>
    <n v="2109013.67"/>
    <n v="1583143.9"/>
    <n v="524293.87"/>
    <n v="34916"/>
  </r>
  <r>
    <x v="22"/>
    <x v="2"/>
    <s v="WA"/>
    <s v="No agreement"/>
    <s v="100% MBS Fee to 125% MBS Fee"/>
    <n v="651728.63"/>
    <n v="420916.59"/>
    <n v="194914.1"/>
    <n v="9208"/>
  </r>
  <r>
    <x v="22"/>
    <x v="2"/>
    <s v="WA"/>
    <s v="No agreement"/>
    <s v="More than 125% MBS Fee to 150% MBS Fee"/>
    <n v="1216367.58"/>
    <n v="641008.21"/>
    <n v="254688.37"/>
    <n v="14527"/>
  </r>
  <r>
    <x v="22"/>
    <x v="2"/>
    <s v="WA"/>
    <s v="No agreement"/>
    <s v="More than 150% MBS Fee to 200% MBS Fee"/>
    <n v="1967147.15"/>
    <n v="859862"/>
    <n v="395722.97"/>
    <n v="6067"/>
  </r>
  <r>
    <x v="22"/>
    <x v="2"/>
    <s v="WA"/>
    <s v="No agreement"/>
    <s v="More than 200% MBS Fee"/>
    <n v="7219773.9800000004"/>
    <n v="1657401.93"/>
    <n v="600991.67000000004"/>
    <n v="10805"/>
  </r>
  <r>
    <x v="22"/>
    <x v="2"/>
    <s v="WA"/>
    <s v="Known gap agreement"/>
    <s v="100% MBS Fee to 125% MBS Fee"/>
    <n v="2772345.25"/>
    <n v="1893581"/>
    <n v="835067.83"/>
    <n v="15269"/>
  </r>
  <r>
    <x v="22"/>
    <x v="2"/>
    <s v="WA"/>
    <s v="Known gap agreement"/>
    <s v="More than 125% MBS Fee to 150% MBS Fee"/>
    <n v="4648104.37"/>
    <n v="2506509.4900000002"/>
    <n v="1954502.84"/>
    <n v="34841"/>
  </r>
  <r>
    <x v="22"/>
    <x v="2"/>
    <s v="WA"/>
    <s v="Known gap agreement"/>
    <s v="More than 150% MBS Fee to 200% MBS Fee"/>
    <n v="8787415.4199999999"/>
    <n v="3901471.8"/>
    <n v="3554721.26"/>
    <n v="19687"/>
  </r>
  <r>
    <x v="22"/>
    <x v="2"/>
    <s v="WA"/>
    <s v="Known gap agreement"/>
    <s v="More than 200% MBS Fee"/>
    <n v="15739823.5"/>
    <n v="3988664.91"/>
    <n v="2802607.41"/>
    <n v="39450"/>
  </r>
  <r>
    <x v="22"/>
    <x v="2"/>
    <s v="WA"/>
    <s v="No gap agreement"/>
    <s v="Up to MBS Fee"/>
    <n v="6915587.3200000003"/>
    <n v="5203100.3099999996"/>
    <n v="1712509.06"/>
    <n v="134023"/>
  </r>
  <r>
    <x v="22"/>
    <x v="2"/>
    <s v="WA"/>
    <s v="No gap agreement"/>
    <s v="100% MBS Fee to 125% MBS Fee"/>
    <n v="7514308.79"/>
    <n v="4889412.24"/>
    <n v="2624888.81"/>
    <n v="56509"/>
  </r>
  <r>
    <x v="22"/>
    <x v="2"/>
    <s v="WA"/>
    <s v="No gap agreement"/>
    <s v="More than 125% MBS Fee to 150% MBS Fee"/>
    <n v="41068256.07"/>
    <n v="22792561.190000001"/>
    <n v="18275613"/>
    <n v="290859"/>
  </r>
  <r>
    <x v="22"/>
    <x v="2"/>
    <s v="WA"/>
    <s v="No gap agreement"/>
    <s v="More than 150% MBS Fee to 200% MBS Fee"/>
    <n v="52347542.530000001"/>
    <n v="23189715.59"/>
    <n v="29157806.370000001"/>
    <n v="237980"/>
  </r>
  <r>
    <x v="22"/>
    <x v="2"/>
    <s v="WA"/>
    <s v="No gap agreement"/>
    <s v="More than 200% MBS Fee"/>
    <n v="2845302.32"/>
    <n v="749538.85"/>
    <n v="2095763.47"/>
    <n v="1991"/>
  </r>
  <r>
    <x v="22"/>
    <x v="2"/>
    <s v="TAS"/>
    <s v="No agreement"/>
    <s v="Up to MBS Fee"/>
    <n v="457008.67"/>
    <n v="343882.34"/>
    <n v="113114.42"/>
    <n v="3592"/>
  </r>
  <r>
    <x v="22"/>
    <x v="2"/>
    <s v="TAS"/>
    <s v="No agreement"/>
    <s v="100% MBS Fee to 125% MBS Fee"/>
    <n v="248548.55"/>
    <n v="157176.74"/>
    <n v="80372.7"/>
    <n v="1348"/>
  </r>
  <r>
    <x v="22"/>
    <x v="2"/>
    <s v="TAS"/>
    <s v="No agreement"/>
    <s v="More than 125% MBS Fee to 150% MBS Fee"/>
    <n v="199538.87"/>
    <n v="110110.67"/>
    <n v="62289.279999999999"/>
    <n v="1100"/>
  </r>
  <r>
    <x v="22"/>
    <x v="2"/>
    <s v="TAS"/>
    <s v="No agreement"/>
    <s v="More than 150% MBS Fee to 200% MBS Fee"/>
    <n v="396473.43"/>
    <n v="177048.51"/>
    <n v="132300.51999999999"/>
    <n v="1880"/>
  </r>
  <r>
    <x v="22"/>
    <x v="2"/>
    <s v="TAS"/>
    <s v="No agreement"/>
    <s v="More than 200% MBS Fee"/>
    <n v="1538764.96"/>
    <n v="352878.29"/>
    <n v="124524.11"/>
    <n v="1343"/>
  </r>
  <r>
    <x v="22"/>
    <x v="2"/>
    <s v="TAS"/>
    <s v="Known gap agreement"/>
    <s v="100% MBS Fee to 125% MBS Fee"/>
    <n v="194336.58"/>
    <n v="131074.56"/>
    <n v="49634.96"/>
    <n v="1237"/>
  </r>
  <r>
    <x v="22"/>
    <x v="2"/>
    <s v="TAS"/>
    <s v="Known gap agreement"/>
    <s v="More than 125% MBS Fee to 150% MBS Fee"/>
    <n v="363759.71"/>
    <n v="197253.39"/>
    <n v="149332.63"/>
    <n v="1229"/>
  </r>
  <r>
    <x v="22"/>
    <x v="2"/>
    <s v="TAS"/>
    <s v="Known gap agreement"/>
    <s v="More than 150% MBS Fee to 200% MBS Fee"/>
    <n v="1215463.6200000001"/>
    <n v="513053.3"/>
    <n v="542953.48"/>
    <n v="2196"/>
  </r>
  <r>
    <x v="22"/>
    <x v="2"/>
    <s v="TAS"/>
    <s v="Known gap agreement"/>
    <s v="More than 200% MBS Fee"/>
    <n v="1726423.11"/>
    <n v="523453.92"/>
    <n v="618872.55000000005"/>
    <n v="4967"/>
  </r>
  <r>
    <x v="22"/>
    <x v="2"/>
    <s v="TAS"/>
    <s v="No gap agreement"/>
    <s v="Up to MBS Fee"/>
    <n v="2289419.46"/>
    <n v="1718556.96"/>
    <n v="570862.57999999996"/>
    <n v="31319"/>
  </r>
  <r>
    <x v="22"/>
    <x v="2"/>
    <s v="TAS"/>
    <s v="No gap agreement"/>
    <s v="100% MBS Fee to 125% MBS Fee"/>
    <n v="2924710.84"/>
    <n v="1853549.83"/>
    <n v="1071157.18"/>
    <n v="23061"/>
  </r>
  <r>
    <x v="22"/>
    <x v="2"/>
    <s v="TAS"/>
    <s v="No gap agreement"/>
    <s v="More than 125% MBS Fee to 150% MBS Fee"/>
    <n v="8335933.0899999999"/>
    <n v="4558405.1100000003"/>
    <n v="3777523.45"/>
    <n v="53594"/>
  </r>
  <r>
    <x v="22"/>
    <x v="2"/>
    <s v="TAS"/>
    <s v="No gap agreement"/>
    <s v="More than 150% MBS Fee to 200% MBS Fee"/>
    <n v="11479274.779999999"/>
    <n v="5239642.0199999996"/>
    <n v="6239631.71"/>
    <n v="53491"/>
  </r>
  <r>
    <x v="22"/>
    <x v="2"/>
    <s v="TAS"/>
    <s v="No gap agreement"/>
    <s v="More than 200% MBS Fee"/>
    <n v="485006.43"/>
    <n v="132226.6"/>
    <n v="352779.83"/>
    <n v="400"/>
  </r>
  <r>
    <x v="22"/>
    <x v="2"/>
    <s v="ACT"/>
    <s v="No agreement"/>
    <s v="Up to MBS Fee"/>
    <n v="1153879.54"/>
    <n v="865217.5"/>
    <n v="286818.24"/>
    <n v="10863"/>
  </r>
  <r>
    <x v="22"/>
    <x v="2"/>
    <s v="ACT"/>
    <s v="No agreement"/>
    <s v="100% MBS Fee to 125% MBS Fee"/>
    <n v="145684.13"/>
    <n v="100336.02"/>
    <n v="36196.15"/>
    <n v="512"/>
  </r>
  <r>
    <x v="22"/>
    <x v="2"/>
    <s v="ACT"/>
    <s v="No agreement"/>
    <s v="More than 125% MBS Fee to 150% MBS Fee"/>
    <n v="135632.91"/>
    <n v="74580.61"/>
    <n v="31351.45"/>
    <n v="485"/>
  </r>
  <r>
    <x v="22"/>
    <x v="2"/>
    <s v="ACT"/>
    <s v="No agreement"/>
    <s v="More than 150% MBS Fee to 200% MBS Fee"/>
    <n v="636835.93999999994"/>
    <n v="270928.21999999997"/>
    <n v="120314.06"/>
    <n v="2539"/>
  </r>
  <r>
    <x v="22"/>
    <x v="2"/>
    <s v="ACT"/>
    <s v="No agreement"/>
    <s v="More than 200% MBS Fee"/>
    <n v="6776905.79"/>
    <n v="1569750.84"/>
    <n v="530147.19999999995"/>
    <n v="6598"/>
  </r>
  <r>
    <x v="22"/>
    <x v="2"/>
    <s v="ACT"/>
    <s v="Known gap agreement"/>
    <s v="100% MBS Fee to 125% MBS Fee"/>
    <n v="57254.03"/>
    <n v="30415.8"/>
    <n v="14243.32"/>
    <n v="209"/>
  </r>
  <r>
    <x v="22"/>
    <x v="2"/>
    <s v="ACT"/>
    <s v="Known gap agreement"/>
    <s v="More than 125% MBS Fee to 150% MBS Fee"/>
    <n v="207694.33"/>
    <n v="112096.48"/>
    <n v="84559.57"/>
    <n v="400"/>
  </r>
  <r>
    <x v="22"/>
    <x v="2"/>
    <s v="ACT"/>
    <s v="Known gap agreement"/>
    <s v="More than 150% MBS Fee to 200% MBS Fee"/>
    <n v="482135.16"/>
    <n v="208115.79"/>
    <n v="215728.72"/>
    <n v="1292"/>
  </r>
  <r>
    <x v="22"/>
    <x v="2"/>
    <s v="ACT"/>
    <s v="Known gap agreement"/>
    <s v="More than 200% MBS Fee"/>
    <n v="2773010.75"/>
    <n v="726297.32"/>
    <n v="804534.84"/>
    <n v="9550"/>
  </r>
  <r>
    <x v="22"/>
    <x v="2"/>
    <s v="ACT"/>
    <s v="No gap agreement"/>
    <s v="Up to MBS Fee"/>
    <n v="459311.05"/>
    <n v="345184.28"/>
    <n v="114126.77"/>
    <n v="13188"/>
  </r>
  <r>
    <x v="22"/>
    <x v="2"/>
    <s v="ACT"/>
    <s v="No gap agreement"/>
    <s v="100% MBS Fee to 125% MBS Fee"/>
    <n v="1474962.2"/>
    <n v="938168.54"/>
    <n v="536787.65"/>
    <n v="15077"/>
  </r>
  <r>
    <x v="22"/>
    <x v="2"/>
    <s v="ACT"/>
    <s v="No gap agreement"/>
    <s v="More than 125% MBS Fee to 150% MBS Fee"/>
    <n v="3591400.71"/>
    <n v="1977780.35"/>
    <n v="1613613.02"/>
    <n v="29442"/>
  </r>
  <r>
    <x v="22"/>
    <x v="2"/>
    <s v="ACT"/>
    <s v="No gap agreement"/>
    <s v="More than 150% MBS Fee to 200% MBS Fee"/>
    <n v="2644869.19"/>
    <n v="1204435.51"/>
    <n v="1440426.35"/>
    <n v="15234"/>
  </r>
  <r>
    <x v="22"/>
    <x v="2"/>
    <s v="ACT"/>
    <s v="No gap agreement"/>
    <s v="More than 200% MBS Fee"/>
    <n v="290273.82"/>
    <n v="84593.4"/>
    <n v="205680.42"/>
    <n v="507"/>
  </r>
  <r>
    <x v="22"/>
    <x v="2"/>
    <s v="NT"/>
    <s v="No agreement"/>
    <s v="Up to MBS Fee"/>
    <n v="284146.32"/>
    <n v="213002.27"/>
    <n v="70911.55"/>
    <n v="1423"/>
  </r>
  <r>
    <x v="22"/>
    <x v="2"/>
    <s v="NT"/>
    <s v="No agreement"/>
    <s v="100% MBS Fee to 125% MBS Fee"/>
    <n v="50006.14"/>
    <n v="31394.55"/>
    <n v="13409.1"/>
    <n v="217"/>
  </r>
  <r>
    <x v="22"/>
    <x v="2"/>
    <s v="NT"/>
    <s v="No agreement"/>
    <s v="More than 125% MBS Fee to 150% MBS Fee"/>
    <n v="49434.9"/>
    <n v="26719.53"/>
    <n v="11204.7"/>
    <n v="344"/>
  </r>
  <r>
    <x v="22"/>
    <x v="2"/>
    <s v="NT"/>
    <s v="No agreement"/>
    <s v="More than 150% MBS Fee to 200% MBS Fee"/>
    <n v="118192.01"/>
    <n v="51207.41"/>
    <n v="33671.65"/>
    <n v="404"/>
  </r>
  <r>
    <x v="22"/>
    <x v="2"/>
    <s v="NT"/>
    <s v="No agreement"/>
    <s v="More than 200% MBS Fee"/>
    <n v="1112143.48"/>
    <n v="257402.86"/>
    <n v="88043.199999999997"/>
    <n v="886"/>
  </r>
  <r>
    <x v="22"/>
    <x v="2"/>
    <s v="NT"/>
    <s v="Known gap agreement"/>
    <s v="100% MBS Fee to 125% MBS Fee"/>
    <n v="43278.559999999998"/>
    <n v="28520.799999999999"/>
    <n v="12799.85"/>
    <n v="139"/>
  </r>
  <r>
    <x v="22"/>
    <x v="2"/>
    <s v="NT"/>
    <s v="Known gap agreement"/>
    <s v="More than 125% MBS Fee to 150% MBS Fee"/>
    <n v="80605.95"/>
    <n v="43115.1"/>
    <n v="31952.880000000001"/>
    <n v="276"/>
  </r>
  <r>
    <x v="22"/>
    <x v="2"/>
    <s v="NT"/>
    <s v="Known gap agreement"/>
    <s v="More than 150% MBS Fee to 200% MBS Fee"/>
    <n v="197684.68"/>
    <n v="84831.7"/>
    <n v="86320.03"/>
    <n v="477"/>
  </r>
  <r>
    <x v="22"/>
    <x v="2"/>
    <s v="NT"/>
    <s v="Known gap agreement"/>
    <s v="More than 200% MBS Fee"/>
    <n v="432842.86"/>
    <n v="118657.3"/>
    <n v="134134.84"/>
    <n v="1791"/>
  </r>
  <r>
    <x v="22"/>
    <x v="2"/>
    <s v="NT"/>
    <s v="No gap agreement"/>
    <s v="Up to MBS Fee"/>
    <n v="227841.25"/>
    <n v="171166.25"/>
    <n v="56675"/>
    <n v="3384"/>
  </r>
  <r>
    <x v="22"/>
    <x v="2"/>
    <s v="NT"/>
    <s v="No gap agreement"/>
    <s v="100% MBS Fee to 125% MBS Fee"/>
    <n v="488744.35"/>
    <n v="311645.09999999998"/>
    <n v="177096.05"/>
    <n v="3841"/>
  </r>
  <r>
    <x v="22"/>
    <x v="2"/>
    <s v="NT"/>
    <s v="No gap agreement"/>
    <s v="More than 125% MBS Fee to 150% MBS Fee"/>
    <n v="1216189.42"/>
    <n v="663763.16"/>
    <n v="552421.89"/>
    <n v="6189"/>
  </r>
  <r>
    <x v="22"/>
    <x v="2"/>
    <s v="NT"/>
    <s v="No gap agreement"/>
    <s v="More than 150% MBS Fee to 200% MBS Fee"/>
    <n v="1969246.21"/>
    <n v="901086.9"/>
    <n v="1068154.6299999999"/>
    <n v="9431"/>
  </r>
  <r>
    <x v="22"/>
    <x v="2"/>
    <s v="NT"/>
    <s v="No gap agreement"/>
    <s v="More than 200% MBS Fee"/>
    <n v="52400.4"/>
    <n v="14862.8"/>
    <n v="37537.599999999999"/>
    <n v="45"/>
  </r>
  <r>
    <x v="22"/>
    <x v="3"/>
    <s v="NSW"/>
    <s v="No agreement"/>
    <s v="Up to MBS Fee"/>
    <n v="36899507.299999997"/>
    <n v="27697418.050000001"/>
    <n v="9185015.4700000007"/>
    <n v="509984"/>
  </r>
  <r>
    <x v="22"/>
    <x v="3"/>
    <s v="NSW"/>
    <s v="No agreement"/>
    <s v="100% MBS Fee to 125% MBS Fee"/>
    <n v="3653461.36"/>
    <n v="2402699.63"/>
    <n v="1035968"/>
    <n v="22370"/>
  </r>
  <r>
    <x v="22"/>
    <x v="3"/>
    <s v="NSW"/>
    <s v="No agreement"/>
    <s v="More than 125% MBS Fee to 150% MBS Fee"/>
    <n v="4292835.71"/>
    <n v="2331991.73"/>
    <n v="1420406.52"/>
    <n v="32285"/>
  </r>
  <r>
    <x v="22"/>
    <x v="3"/>
    <s v="NSW"/>
    <s v="No agreement"/>
    <s v="More than 150% MBS Fee to 200% MBS Fee"/>
    <n v="10889795.710000001"/>
    <n v="4739822.5"/>
    <n v="3040432.33"/>
    <n v="51153"/>
  </r>
  <r>
    <x v="22"/>
    <x v="3"/>
    <s v="NSW"/>
    <s v="No agreement"/>
    <s v="More than 200% MBS Fee"/>
    <n v="84348263.590000004"/>
    <n v="19181406.350000001"/>
    <n v="6683237.4500000002"/>
    <n v="94436"/>
  </r>
  <r>
    <x v="22"/>
    <x v="3"/>
    <s v="NSW"/>
    <s v="Known gap agreement"/>
    <s v="100% MBS Fee to 125% MBS Fee"/>
    <n v="2441024.2400000002"/>
    <n v="1577667.57"/>
    <n v="786477.44"/>
    <n v="9439"/>
  </r>
  <r>
    <x v="22"/>
    <x v="3"/>
    <s v="NSW"/>
    <s v="Known gap agreement"/>
    <s v="More than 125% MBS Fee to 150% MBS Fee"/>
    <n v="4000395.15"/>
    <n v="2161225.7400000002"/>
    <n v="1614016.51"/>
    <n v="13188"/>
  </r>
  <r>
    <x v="22"/>
    <x v="3"/>
    <s v="NSW"/>
    <s v="Known gap agreement"/>
    <s v="More than 150% MBS Fee to 200% MBS Fee"/>
    <n v="12359033.18"/>
    <n v="5347090.51"/>
    <n v="5478944.0300000003"/>
    <n v="28492"/>
  </r>
  <r>
    <x v="22"/>
    <x v="3"/>
    <s v="NSW"/>
    <s v="Known gap agreement"/>
    <s v="More than 200% MBS Fee"/>
    <n v="31123631.98"/>
    <n v="8284803.25"/>
    <n v="9762884.8800000008"/>
    <n v="113426"/>
  </r>
  <r>
    <x v="22"/>
    <x v="3"/>
    <s v="NSW"/>
    <s v="No gap agreement"/>
    <s v="Up to MBS Fee"/>
    <n v="19976966.93"/>
    <n v="15002061.869999999"/>
    <n v="4974899.66"/>
    <n v="579076"/>
  </r>
  <r>
    <x v="22"/>
    <x v="3"/>
    <s v="NSW"/>
    <s v="No gap agreement"/>
    <s v="100% MBS Fee to 125% MBS Fee"/>
    <n v="47213893.299999997"/>
    <n v="29929892.640000001"/>
    <n v="17283944.489999998"/>
    <n v="502415"/>
  </r>
  <r>
    <x v="22"/>
    <x v="3"/>
    <s v="NSW"/>
    <s v="No gap agreement"/>
    <s v="More than 125% MBS Fee to 150% MBS Fee"/>
    <n v="84148802.510000005"/>
    <n v="46087641.759999998"/>
    <n v="38061108.920000002"/>
    <n v="519119"/>
  </r>
  <r>
    <x v="22"/>
    <x v="3"/>
    <s v="NSW"/>
    <s v="No gap agreement"/>
    <s v="More than 150% MBS Fee to 200% MBS Fee"/>
    <n v="95048723.700000003"/>
    <n v="43453794.579999998"/>
    <n v="51594747.810000002"/>
    <n v="504527"/>
  </r>
  <r>
    <x v="22"/>
    <x v="3"/>
    <s v="NSW"/>
    <s v="No gap agreement"/>
    <s v="More than 200% MBS Fee"/>
    <n v="7186180.3799999999"/>
    <n v="2074743.62"/>
    <n v="5111435.37"/>
    <n v="15340"/>
  </r>
  <r>
    <x v="22"/>
    <x v="3"/>
    <s v="VIC"/>
    <s v="No agreement"/>
    <s v="Up to MBS Fee"/>
    <n v="9645893.6300000008"/>
    <n v="7240693.6900000004"/>
    <n v="2396066.46"/>
    <n v="186781"/>
  </r>
  <r>
    <x v="22"/>
    <x v="3"/>
    <s v="VIC"/>
    <s v="No agreement"/>
    <s v="100% MBS Fee to 125% MBS Fee"/>
    <n v="1990364.84"/>
    <n v="1296046.49"/>
    <n v="536672.19999999995"/>
    <n v="16264"/>
  </r>
  <r>
    <x v="22"/>
    <x v="3"/>
    <s v="VIC"/>
    <s v="No agreement"/>
    <s v="More than 125% MBS Fee to 150% MBS Fee"/>
    <n v="3996002.95"/>
    <n v="2168637.06"/>
    <n v="1281056.04"/>
    <n v="41684"/>
  </r>
  <r>
    <x v="22"/>
    <x v="3"/>
    <s v="VIC"/>
    <s v="No agreement"/>
    <s v="More than 150% MBS Fee to 200% MBS Fee"/>
    <n v="8199329.5999999996"/>
    <n v="3483722.47"/>
    <n v="2929833.59"/>
    <n v="45870"/>
  </r>
  <r>
    <x v="22"/>
    <x v="3"/>
    <s v="VIC"/>
    <s v="No agreement"/>
    <s v="More than 200% MBS Fee"/>
    <n v="25354899.07"/>
    <n v="6120907.5999999996"/>
    <n v="2380976.14"/>
    <n v="41700"/>
  </r>
  <r>
    <x v="22"/>
    <x v="3"/>
    <s v="VIC"/>
    <s v="Known gap agreement"/>
    <s v="100% MBS Fee to 125% MBS Fee"/>
    <n v="3515475.32"/>
    <n v="2347239.16"/>
    <n v="989277.5"/>
    <n v="24625"/>
  </r>
  <r>
    <x v="22"/>
    <x v="3"/>
    <s v="VIC"/>
    <s v="Known gap agreement"/>
    <s v="More than 125% MBS Fee to 150% MBS Fee"/>
    <n v="5725548.3700000001"/>
    <n v="3105318.31"/>
    <n v="2159251.79"/>
    <n v="23069"/>
  </r>
  <r>
    <x v="22"/>
    <x v="3"/>
    <s v="VIC"/>
    <s v="Known gap agreement"/>
    <s v="More than 150% MBS Fee to 200% MBS Fee"/>
    <n v="12251218.84"/>
    <n v="5306495.62"/>
    <n v="5015139.1900000004"/>
    <n v="32027"/>
  </r>
  <r>
    <x v="22"/>
    <x v="3"/>
    <s v="VIC"/>
    <s v="Known gap agreement"/>
    <s v="More than 200% MBS Fee"/>
    <n v="23440229.280000001"/>
    <n v="6483235.8499999996"/>
    <n v="7229400.6900000004"/>
    <n v="93837"/>
  </r>
  <r>
    <x v="22"/>
    <x v="3"/>
    <s v="VIC"/>
    <s v="No gap agreement"/>
    <s v="Up to MBS Fee"/>
    <n v="18080034.960000001"/>
    <n v="13586168.16"/>
    <n v="4493843.2300000004"/>
    <n v="285146"/>
  </r>
  <r>
    <x v="22"/>
    <x v="3"/>
    <s v="VIC"/>
    <s v="No gap agreement"/>
    <s v="100% MBS Fee to 125% MBS Fee"/>
    <n v="40400609.649999999"/>
    <n v="25725080.539999999"/>
    <n v="14675422.09"/>
    <n v="358471"/>
  </r>
  <r>
    <x v="22"/>
    <x v="3"/>
    <s v="VIC"/>
    <s v="No gap agreement"/>
    <s v="More than 125% MBS Fee to 150% MBS Fee"/>
    <n v="100217213.76000001"/>
    <n v="54939957.509999998"/>
    <n v="45276990.68"/>
    <n v="691529"/>
  </r>
  <r>
    <x v="22"/>
    <x v="3"/>
    <s v="VIC"/>
    <s v="No gap agreement"/>
    <s v="More than 150% MBS Fee to 200% MBS Fee"/>
    <n v="97226928.780000001"/>
    <n v="43487479.310000002"/>
    <n v="53738764.939999998"/>
    <n v="512274"/>
  </r>
  <r>
    <x v="22"/>
    <x v="3"/>
    <s v="VIC"/>
    <s v="No gap agreement"/>
    <s v="More than 200% MBS Fee"/>
    <n v="3389353.48"/>
    <n v="882102.48"/>
    <n v="2507248.69"/>
    <n v="3908"/>
  </r>
  <r>
    <x v="22"/>
    <x v="3"/>
    <s v="QLD"/>
    <s v="No agreement"/>
    <s v="Up to MBS Fee"/>
    <n v="7241050.7699999996"/>
    <n v="5436898.3300000001"/>
    <n v="1787087.71"/>
    <n v="96287"/>
  </r>
  <r>
    <x v="22"/>
    <x v="3"/>
    <s v="QLD"/>
    <s v="No agreement"/>
    <s v="100% MBS Fee to 125% MBS Fee"/>
    <n v="3908678.99"/>
    <n v="2513196.58"/>
    <n v="1221687.1499999999"/>
    <n v="38818"/>
  </r>
  <r>
    <x v="22"/>
    <x v="3"/>
    <s v="QLD"/>
    <s v="No agreement"/>
    <s v="More than 125% MBS Fee to 150% MBS Fee"/>
    <n v="4052573.55"/>
    <n v="2162021.2400000002"/>
    <n v="1294410.42"/>
    <n v="38929"/>
  </r>
  <r>
    <x v="22"/>
    <x v="3"/>
    <s v="QLD"/>
    <s v="No agreement"/>
    <s v="More than 150% MBS Fee to 200% MBS Fee"/>
    <n v="9156095.5600000005"/>
    <n v="4013063.17"/>
    <n v="3334565.24"/>
    <n v="47566"/>
  </r>
  <r>
    <x v="22"/>
    <x v="3"/>
    <s v="QLD"/>
    <s v="No agreement"/>
    <s v="More than 200% MBS Fee"/>
    <n v="40892901.710000001"/>
    <n v="9796079"/>
    <n v="3597825.81"/>
    <n v="46907"/>
  </r>
  <r>
    <x v="22"/>
    <x v="3"/>
    <s v="QLD"/>
    <s v="Known gap agreement"/>
    <s v="100% MBS Fee to 125% MBS Fee"/>
    <n v="1415666.78"/>
    <n v="932204.2"/>
    <n v="404552.67"/>
    <n v="6561"/>
  </r>
  <r>
    <x v="22"/>
    <x v="3"/>
    <s v="QLD"/>
    <s v="Known gap agreement"/>
    <s v="More than 125% MBS Fee to 150% MBS Fee"/>
    <n v="2664713.7200000002"/>
    <n v="1443419.09"/>
    <n v="988651.18"/>
    <n v="10869"/>
  </r>
  <r>
    <x v="22"/>
    <x v="3"/>
    <s v="QLD"/>
    <s v="Known gap agreement"/>
    <s v="More than 150% MBS Fee to 200% MBS Fee"/>
    <n v="9839082.5500000007"/>
    <n v="4185101.2"/>
    <n v="4152820.65"/>
    <n v="16594"/>
  </r>
  <r>
    <x v="22"/>
    <x v="3"/>
    <s v="QLD"/>
    <s v="Known gap agreement"/>
    <s v="More than 200% MBS Fee"/>
    <n v="21662917.710000001"/>
    <n v="5940198.2400000002"/>
    <n v="6718995.2000000002"/>
    <n v="55697"/>
  </r>
  <r>
    <x v="22"/>
    <x v="3"/>
    <s v="QLD"/>
    <s v="No gap agreement"/>
    <s v="Up to MBS Fee"/>
    <n v="14993755.85"/>
    <n v="11253444.890000001"/>
    <n v="3740308.39"/>
    <n v="252164"/>
  </r>
  <r>
    <x v="22"/>
    <x v="3"/>
    <s v="QLD"/>
    <s v="No gap agreement"/>
    <s v="100% MBS Fee to 125% MBS Fee"/>
    <n v="38253188.649999999"/>
    <n v="24333137.850000001"/>
    <n v="13919771.01"/>
    <n v="356507"/>
  </r>
  <r>
    <x v="22"/>
    <x v="3"/>
    <s v="QLD"/>
    <s v="No gap agreement"/>
    <s v="More than 125% MBS Fee to 150% MBS Fee"/>
    <n v="68594577.579999998"/>
    <n v="37840008.960000001"/>
    <n v="30753876.359999999"/>
    <n v="552209"/>
  </r>
  <r>
    <x v="22"/>
    <x v="3"/>
    <s v="QLD"/>
    <s v="No gap agreement"/>
    <s v="More than 150% MBS Fee to 200% MBS Fee"/>
    <n v="64660323.700000003"/>
    <n v="29533118.75"/>
    <n v="35127039.289999999"/>
    <n v="414566"/>
  </r>
  <r>
    <x v="22"/>
    <x v="3"/>
    <s v="QLD"/>
    <s v="No gap agreement"/>
    <s v="More than 200% MBS Fee"/>
    <n v="5079791.99"/>
    <n v="1438684.62"/>
    <n v="3641104.01"/>
    <n v="6969"/>
  </r>
  <r>
    <x v="22"/>
    <x v="3"/>
    <s v="SA"/>
    <s v="No agreement"/>
    <s v="Up to MBS Fee"/>
    <n v="2351341.71"/>
    <n v="1764556.43"/>
    <n v="586531.98"/>
    <n v="19462"/>
  </r>
  <r>
    <x v="22"/>
    <x v="3"/>
    <s v="SA"/>
    <s v="No agreement"/>
    <s v="100% MBS Fee to 125% MBS Fee"/>
    <n v="832328.39"/>
    <n v="526510.85"/>
    <n v="265386.53000000003"/>
    <n v="3782"/>
  </r>
  <r>
    <x v="22"/>
    <x v="3"/>
    <s v="SA"/>
    <s v="No agreement"/>
    <s v="More than 125% MBS Fee to 150% MBS Fee"/>
    <n v="1595789.33"/>
    <n v="889290.96"/>
    <n v="655774.81999999995"/>
    <n v="20140"/>
  </r>
  <r>
    <x v="22"/>
    <x v="3"/>
    <s v="SA"/>
    <s v="No agreement"/>
    <s v="More than 150% MBS Fee to 200% MBS Fee"/>
    <n v="2789092.71"/>
    <n v="1199389.54"/>
    <n v="1431679.73"/>
    <n v="9869"/>
  </r>
  <r>
    <x v="22"/>
    <x v="3"/>
    <s v="SA"/>
    <s v="No agreement"/>
    <s v="More than 200% MBS Fee"/>
    <n v="2217640.9700000002"/>
    <n v="523517.69"/>
    <n v="294312.45"/>
    <n v="3334"/>
  </r>
  <r>
    <x v="22"/>
    <x v="3"/>
    <s v="SA"/>
    <s v="Known gap agreement"/>
    <s v="100% MBS Fee to 125% MBS Fee"/>
    <n v="352799.61"/>
    <n v="230727.98"/>
    <n v="112972.75"/>
    <n v="1415"/>
  </r>
  <r>
    <x v="22"/>
    <x v="3"/>
    <s v="SA"/>
    <s v="Known gap agreement"/>
    <s v="More than 125% MBS Fee to 150% MBS Fee"/>
    <n v="848777.32"/>
    <n v="457982.17"/>
    <n v="343244.11"/>
    <n v="3047"/>
  </r>
  <r>
    <x v="22"/>
    <x v="3"/>
    <s v="SA"/>
    <s v="Known gap agreement"/>
    <s v="More than 150% MBS Fee to 200% MBS Fee"/>
    <n v="3964539.07"/>
    <n v="1682868.09"/>
    <n v="1763065.35"/>
    <n v="8203"/>
  </r>
  <r>
    <x v="22"/>
    <x v="3"/>
    <s v="SA"/>
    <s v="Known gap agreement"/>
    <s v="More than 200% MBS Fee"/>
    <n v="5923069.7400000002"/>
    <n v="1793397.92"/>
    <n v="2282987.5"/>
    <n v="23804"/>
  </r>
  <r>
    <x v="22"/>
    <x v="3"/>
    <s v="SA"/>
    <s v="No gap agreement"/>
    <s v="Up to MBS Fee"/>
    <n v="5276115.79"/>
    <n v="3960472.01"/>
    <n v="1315643.81"/>
    <n v="96796"/>
  </r>
  <r>
    <x v="22"/>
    <x v="3"/>
    <s v="SA"/>
    <s v="No gap agreement"/>
    <s v="100% MBS Fee to 125% MBS Fee"/>
    <n v="7078232.1100000003"/>
    <n v="4449037.5599999996"/>
    <n v="2629187.7599999998"/>
    <n v="69056"/>
  </r>
  <r>
    <x v="22"/>
    <x v="3"/>
    <s v="SA"/>
    <s v="No gap agreement"/>
    <s v="More than 125% MBS Fee to 150% MBS Fee"/>
    <n v="24219125.460000001"/>
    <n v="13179638.57"/>
    <n v="11039412.369999999"/>
    <n v="196587"/>
  </r>
  <r>
    <x v="22"/>
    <x v="3"/>
    <s v="SA"/>
    <s v="No gap agreement"/>
    <s v="More than 150% MBS Fee to 200% MBS Fee"/>
    <n v="40442383.359999999"/>
    <n v="17943882.41"/>
    <n v="22498494.920000002"/>
    <n v="150410"/>
  </r>
  <r>
    <x v="22"/>
    <x v="3"/>
    <s v="SA"/>
    <s v="No gap agreement"/>
    <s v="More than 200% MBS Fee"/>
    <n v="1525417.89"/>
    <n v="397847.64"/>
    <n v="1127570.25"/>
    <n v="1371"/>
  </r>
  <r>
    <x v="22"/>
    <x v="3"/>
    <s v="WA"/>
    <s v="No agreement"/>
    <s v="Up to MBS Fee"/>
    <n v="2754410.54"/>
    <n v="2067769.61"/>
    <n v="684279.23"/>
    <n v="45652"/>
  </r>
  <r>
    <x v="22"/>
    <x v="3"/>
    <s v="WA"/>
    <s v="No agreement"/>
    <s v="100% MBS Fee to 125% MBS Fee"/>
    <n v="576767.32999999996"/>
    <n v="382154.83"/>
    <n v="158175.73000000001"/>
    <n v="4031"/>
  </r>
  <r>
    <x v="22"/>
    <x v="3"/>
    <s v="WA"/>
    <s v="No agreement"/>
    <s v="More than 125% MBS Fee to 150% MBS Fee"/>
    <n v="1363949.9"/>
    <n v="724954.89"/>
    <n v="335707.02"/>
    <n v="13305"/>
  </r>
  <r>
    <x v="22"/>
    <x v="3"/>
    <s v="WA"/>
    <s v="No agreement"/>
    <s v="More than 150% MBS Fee to 200% MBS Fee"/>
    <n v="2625518.39"/>
    <n v="1155390.79"/>
    <n v="656265.53"/>
    <n v="8724"/>
  </r>
  <r>
    <x v="22"/>
    <x v="3"/>
    <s v="WA"/>
    <s v="No agreement"/>
    <s v="More than 200% MBS Fee"/>
    <n v="7645171.0300000003"/>
    <n v="1746784.6"/>
    <n v="670813.18999999994"/>
    <n v="11599"/>
  </r>
  <r>
    <x v="22"/>
    <x v="3"/>
    <s v="WA"/>
    <s v="Known gap agreement"/>
    <s v="100% MBS Fee to 125% MBS Fee"/>
    <n v="2337783.66"/>
    <n v="1597227.16"/>
    <n v="706972.87"/>
    <n v="13169"/>
  </r>
  <r>
    <x v="22"/>
    <x v="3"/>
    <s v="WA"/>
    <s v="Known gap agreement"/>
    <s v="More than 125% MBS Fee to 150% MBS Fee"/>
    <n v="4296377.4800000004"/>
    <n v="2318866"/>
    <n v="1769844.45"/>
    <n v="29350"/>
  </r>
  <r>
    <x v="22"/>
    <x v="3"/>
    <s v="WA"/>
    <s v="Known gap agreement"/>
    <s v="More than 150% MBS Fee to 200% MBS Fee"/>
    <n v="7587081.3700000001"/>
    <n v="3366228.59"/>
    <n v="3017174.81"/>
    <n v="16692"/>
  </r>
  <r>
    <x v="22"/>
    <x v="3"/>
    <s v="WA"/>
    <s v="Known gap agreement"/>
    <s v="More than 200% MBS Fee"/>
    <n v="15137920.970000001"/>
    <n v="3911440.24"/>
    <n v="2714787.92"/>
    <n v="41306"/>
  </r>
  <r>
    <x v="22"/>
    <x v="3"/>
    <s v="WA"/>
    <s v="No gap agreement"/>
    <s v="Up to MBS Fee"/>
    <n v="5863185.1500000004"/>
    <n v="4408167.41"/>
    <n v="1455104.93"/>
    <n v="74948"/>
  </r>
  <r>
    <x v="22"/>
    <x v="3"/>
    <s v="WA"/>
    <s v="No gap agreement"/>
    <s v="100% MBS Fee to 125% MBS Fee"/>
    <n v="7050910.4400000004"/>
    <n v="4590391.04"/>
    <n v="2460511.56"/>
    <n v="48068"/>
  </r>
  <r>
    <x v="22"/>
    <x v="3"/>
    <s v="WA"/>
    <s v="No gap agreement"/>
    <s v="More than 125% MBS Fee to 150% MBS Fee"/>
    <n v="37386746.700000003"/>
    <n v="20753349.140000001"/>
    <n v="16633375.35"/>
    <n v="269009"/>
  </r>
  <r>
    <x v="22"/>
    <x v="3"/>
    <s v="WA"/>
    <s v="No gap agreement"/>
    <s v="More than 150% MBS Fee to 200% MBS Fee"/>
    <n v="49361455.530000001"/>
    <n v="21817378.57"/>
    <n v="27543893.449999999"/>
    <n v="227750"/>
  </r>
  <r>
    <x v="22"/>
    <x v="3"/>
    <s v="WA"/>
    <s v="No gap agreement"/>
    <s v="More than 200% MBS Fee"/>
    <n v="2899482.09"/>
    <n v="758060.15"/>
    <n v="2141422.09"/>
    <n v="1926"/>
  </r>
  <r>
    <x v="22"/>
    <x v="3"/>
    <s v="TAS"/>
    <s v="No agreement"/>
    <s v="Up to MBS Fee"/>
    <n v="510228.83"/>
    <n v="383263.87"/>
    <n v="126956.76"/>
    <n v="5623"/>
  </r>
  <r>
    <x v="22"/>
    <x v="3"/>
    <s v="TAS"/>
    <s v="No agreement"/>
    <s v="100% MBS Fee to 125% MBS Fee"/>
    <n v="364133.79"/>
    <n v="229061.13"/>
    <n v="125320.45"/>
    <n v="2189"/>
  </r>
  <r>
    <x v="22"/>
    <x v="3"/>
    <s v="TAS"/>
    <s v="No agreement"/>
    <s v="More than 125% MBS Fee to 150% MBS Fee"/>
    <n v="327571.14"/>
    <n v="182510.16"/>
    <n v="117128.88"/>
    <n v="2992"/>
  </r>
  <r>
    <x v="22"/>
    <x v="3"/>
    <s v="TAS"/>
    <s v="No agreement"/>
    <s v="More than 150% MBS Fee to 200% MBS Fee"/>
    <n v="614780.64"/>
    <n v="275175.02"/>
    <n v="225901.65"/>
    <n v="2932"/>
  </r>
  <r>
    <x v="22"/>
    <x v="3"/>
    <s v="TAS"/>
    <s v="No agreement"/>
    <s v="More than 200% MBS Fee"/>
    <n v="1244884.1000000001"/>
    <n v="300592.52"/>
    <n v="115567.15"/>
    <n v="1571"/>
  </r>
  <r>
    <x v="22"/>
    <x v="3"/>
    <s v="TAS"/>
    <s v="Known gap agreement"/>
    <s v="100% MBS Fee to 125% MBS Fee"/>
    <n v="165157.54999999999"/>
    <n v="111400.65"/>
    <n v="44025.33"/>
    <n v="1094"/>
  </r>
  <r>
    <x v="22"/>
    <x v="3"/>
    <s v="TAS"/>
    <s v="Known gap agreement"/>
    <s v="More than 125% MBS Fee to 150% MBS Fee"/>
    <n v="326460.65999999997"/>
    <n v="176587.9"/>
    <n v="134904.62"/>
    <n v="1087"/>
  </r>
  <r>
    <x v="22"/>
    <x v="3"/>
    <s v="TAS"/>
    <s v="Known gap agreement"/>
    <s v="More than 150% MBS Fee to 200% MBS Fee"/>
    <n v="1242751.67"/>
    <n v="530477.39"/>
    <n v="534589.39"/>
    <n v="2332"/>
  </r>
  <r>
    <x v="22"/>
    <x v="3"/>
    <s v="TAS"/>
    <s v="Known gap agreement"/>
    <s v="More than 200% MBS Fee"/>
    <n v="1521238.92"/>
    <n v="462008.7"/>
    <n v="540892.39"/>
    <n v="4064"/>
  </r>
  <r>
    <x v="22"/>
    <x v="3"/>
    <s v="TAS"/>
    <s v="No gap agreement"/>
    <s v="Up to MBS Fee"/>
    <n v="1817973.96"/>
    <n v="1364219.09"/>
    <n v="453754.5"/>
    <n v="31589"/>
  </r>
  <r>
    <x v="22"/>
    <x v="3"/>
    <s v="TAS"/>
    <s v="No gap agreement"/>
    <s v="100% MBS Fee to 125% MBS Fee"/>
    <n v="2465851.61"/>
    <n v="1564115.56"/>
    <n v="901722.8"/>
    <n v="18918"/>
  </r>
  <r>
    <x v="22"/>
    <x v="3"/>
    <s v="TAS"/>
    <s v="No gap agreement"/>
    <s v="More than 125% MBS Fee to 150% MBS Fee"/>
    <n v="7222430.2300000004"/>
    <n v="3942762.78"/>
    <n v="3279644.1"/>
    <n v="45784"/>
  </r>
  <r>
    <x v="22"/>
    <x v="3"/>
    <s v="TAS"/>
    <s v="No gap agreement"/>
    <s v="More than 150% MBS Fee to 200% MBS Fee"/>
    <n v="9932125.5099999998"/>
    <n v="4549429.01"/>
    <n v="5382693.9000000004"/>
    <n v="45523"/>
  </r>
  <r>
    <x v="22"/>
    <x v="3"/>
    <s v="TAS"/>
    <s v="No gap agreement"/>
    <s v="More than 200% MBS Fee"/>
    <n v="444219.85"/>
    <n v="120636.45"/>
    <n v="323583.40000000002"/>
    <n v="354"/>
  </r>
  <r>
    <x v="22"/>
    <x v="3"/>
    <s v="ACT"/>
    <s v="No agreement"/>
    <s v="Up to MBS Fee"/>
    <n v="960681.46"/>
    <n v="716506.69"/>
    <n v="237310.47"/>
    <n v="9331"/>
  </r>
  <r>
    <x v="22"/>
    <x v="3"/>
    <s v="ACT"/>
    <s v="No agreement"/>
    <s v="100% MBS Fee to 125% MBS Fee"/>
    <n v="134712.17000000001"/>
    <n v="92141.67"/>
    <n v="35004.300000000003"/>
    <n v="592"/>
  </r>
  <r>
    <x v="22"/>
    <x v="3"/>
    <s v="ACT"/>
    <s v="No agreement"/>
    <s v="More than 125% MBS Fee to 150% MBS Fee"/>
    <n v="160611.16"/>
    <n v="87792.81"/>
    <n v="40030.85"/>
    <n v="554"/>
  </r>
  <r>
    <x v="22"/>
    <x v="3"/>
    <s v="ACT"/>
    <s v="No agreement"/>
    <s v="More than 150% MBS Fee to 200% MBS Fee"/>
    <n v="731570.18"/>
    <n v="312468.65000000002"/>
    <n v="155345.70000000001"/>
    <n v="2763"/>
  </r>
  <r>
    <x v="22"/>
    <x v="3"/>
    <s v="ACT"/>
    <s v="No agreement"/>
    <s v="More than 200% MBS Fee"/>
    <n v="6292950.5800000001"/>
    <n v="1457378.16"/>
    <n v="493723.11"/>
    <n v="6395"/>
  </r>
  <r>
    <x v="22"/>
    <x v="3"/>
    <s v="ACT"/>
    <s v="Known gap agreement"/>
    <s v="100% MBS Fee to 125% MBS Fee"/>
    <n v="60913.06"/>
    <n v="39558.959999999999"/>
    <n v="18332.21"/>
    <n v="232"/>
  </r>
  <r>
    <x v="22"/>
    <x v="3"/>
    <s v="ACT"/>
    <s v="Known gap agreement"/>
    <s v="More than 125% MBS Fee to 150% MBS Fee"/>
    <n v="181387.57"/>
    <n v="99288.95"/>
    <n v="73715.72"/>
    <n v="315"/>
  </r>
  <r>
    <x v="22"/>
    <x v="3"/>
    <s v="ACT"/>
    <s v="Known gap agreement"/>
    <s v="More than 150% MBS Fee to 200% MBS Fee"/>
    <n v="429281.28000000003"/>
    <n v="183988.6"/>
    <n v="187698.89"/>
    <n v="1202"/>
  </r>
  <r>
    <x v="22"/>
    <x v="3"/>
    <s v="ACT"/>
    <s v="Known gap agreement"/>
    <s v="More than 200% MBS Fee"/>
    <n v="2456096.5299999998"/>
    <n v="638570.68000000005"/>
    <n v="691668.79"/>
    <n v="8574"/>
  </r>
  <r>
    <x v="22"/>
    <x v="3"/>
    <s v="ACT"/>
    <s v="No gap agreement"/>
    <s v="Up to MBS Fee"/>
    <n v="432497.67"/>
    <n v="324790.07"/>
    <n v="107707.6"/>
    <n v="13006"/>
  </r>
  <r>
    <x v="22"/>
    <x v="3"/>
    <s v="ACT"/>
    <s v="No gap agreement"/>
    <s v="100% MBS Fee to 125% MBS Fee"/>
    <n v="1381014.12"/>
    <n v="878153.42"/>
    <n v="502853.75"/>
    <n v="15226"/>
  </r>
  <r>
    <x v="22"/>
    <x v="3"/>
    <s v="ACT"/>
    <s v="No gap agreement"/>
    <s v="More than 125% MBS Fee to 150% MBS Fee"/>
    <n v="3144179.62"/>
    <n v="1726117.42"/>
    <n v="1418024"/>
    <n v="24464"/>
  </r>
  <r>
    <x v="22"/>
    <x v="3"/>
    <s v="ACT"/>
    <s v="No gap agreement"/>
    <s v="More than 150% MBS Fee to 200% MBS Fee"/>
    <n v="2287345.2200000002"/>
    <n v="1042849.25"/>
    <n v="1244479.3"/>
    <n v="13280"/>
  </r>
  <r>
    <x v="22"/>
    <x v="3"/>
    <s v="ACT"/>
    <s v="No gap agreement"/>
    <s v="More than 200% MBS Fee"/>
    <n v="271202.53999999998"/>
    <n v="79232.55"/>
    <n v="191969.99"/>
    <n v="479"/>
  </r>
  <r>
    <x v="22"/>
    <x v="3"/>
    <s v="NT"/>
    <s v="No agreement"/>
    <s v="Up to MBS Fee"/>
    <n v="378922.08"/>
    <n v="283370.26"/>
    <n v="94191.87"/>
    <n v="2377"/>
  </r>
  <r>
    <x v="22"/>
    <x v="3"/>
    <s v="NT"/>
    <s v="No agreement"/>
    <s v="100% MBS Fee to 125% MBS Fee"/>
    <n v="122721.33"/>
    <n v="77422.83"/>
    <n v="41769.08"/>
    <n v="678"/>
  </r>
  <r>
    <x v="22"/>
    <x v="3"/>
    <s v="NT"/>
    <s v="No agreement"/>
    <s v="More than 125% MBS Fee to 150% MBS Fee"/>
    <n v="94877.93"/>
    <n v="51580.65"/>
    <n v="26613.7"/>
    <n v="616"/>
  </r>
  <r>
    <x v="22"/>
    <x v="3"/>
    <s v="NT"/>
    <s v="No agreement"/>
    <s v="More than 150% MBS Fee to 200% MBS Fee"/>
    <n v="198697.38"/>
    <n v="87477.06"/>
    <n v="76717.55"/>
    <n v="971"/>
  </r>
  <r>
    <x v="22"/>
    <x v="3"/>
    <s v="NT"/>
    <s v="No agreement"/>
    <s v="More than 200% MBS Fee"/>
    <n v="1124657.6000000001"/>
    <n v="262269.78999999998"/>
    <n v="96675.45"/>
    <n v="1074"/>
  </r>
  <r>
    <x v="22"/>
    <x v="3"/>
    <s v="NT"/>
    <s v="Known gap agreement"/>
    <s v="100% MBS Fee to 125% MBS Fee"/>
    <n v="28398.74"/>
    <n v="18477.75"/>
    <n v="7821.35"/>
    <n v="184"/>
  </r>
  <r>
    <x v="22"/>
    <x v="3"/>
    <s v="NT"/>
    <s v="Known gap agreement"/>
    <s v="More than 125% MBS Fee to 150% MBS Fee"/>
    <n v="72434.17"/>
    <n v="39136.9"/>
    <n v="26747.200000000001"/>
    <n v="247"/>
  </r>
  <r>
    <x v="22"/>
    <x v="3"/>
    <s v="NT"/>
    <s v="Known gap agreement"/>
    <s v="More than 150% MBS Fee to 200% MBS Fee"/>
    <n v="222574.16"/>
    <n v="97278.61"/>
    <n v="94928.07"/>
    <n v="437"/>
  </r>
  <r>
    <x v="22"/>
    <x v="3"/>
    <s v="NT"/>
    <s v="Known gap agreement"/>
    <s v="More than 200% MBS Fee"/>
    <n v="449640.03"/>
    <n v="124602.8"/>
    <n v="141016.66"/>
    <n v="1797"/>
  </r>
  <r>
    <x v="22"/>
    <x v="3"/>
    <s v="NT"/>
    <s v="No gap agreement"/>
    <s v="Up to MBS Fee"/>
    <n v="266074.75"/>
    <n v="199979.09"/>
    <n v="66095.66"/>
    <n v="3520"/>
  </r>
  <r>
    <x v="22"/>
    <x v="3"/>
    <s v="NT"/>
    <s v="No gap agreement"/>
    <s v="100% MBS Fee to 125% MBS Fee"/>
    <n v="534543.53"/>
    <n v="339093.2"/>
    <n v="195447.74"/>
    <n v="3887"/>
  </r>
  <r>
    <x v="22"/>
    <x v="3"/>
    <s v="NT"/>
    <s v="No gap agreement"/>
    <s v="More than 125% MBS Fee to 150% MBS Fee"/>
    <n v="1209576.46"/>
    <n v="660337.9"/>
    <n v="549234.68999999994"/>
    <n v="5979"/>
  </r>
  <r>
    <x v="22"/>
    <x v="3"/>
    <s v="NT"/>
    <s v="No gap agreement"/>
    <s v="More than 150% MBS Fee to 200% MBS Fee"/>
    <n v="1815346.69"/>
    <n v="832608.4"/>
    <n v="982721.1"/>
    <n v="8141"/>
  </r>
  <r>
    <x v="22"/>
    <x v="3"/>
    <s v="NT"/>
    <s v="No gap agreement"/>
    <s v="More than 200% MBS Fee"/>
    <n v="49835.82"/>
    <n v="14223.31"/>
    <n v="35612.519999999997"/>
    <n v="67"/>
  </r>
  <r>
    <x v="22"/>
    <x v="1"/>
    <s v="NSW"/>
    <s v="No agreement"/>
    <s v="Up to MBS Fee"/>
    <n v="39723207.390000001"/>
    <n v="29824471.02"/>
    <n v="9890398.7699999996"/>
    <n v="557752"/>
  </r>
  <r>
    <x v="22"/>
    <x v="1"/>
    <s v="NSW"/>
    <s v="No agreement"/>
    <s v="100% MBS Fee to 125% MBS Fee"/>
    <n v="2977703.91"/>
    <n v="1982397.21"/>
    <n v="771412.11"/>
    <n v="16560"/>
  </r>
  <r>
    <x v="22"/>
    <x v="1"/>
    <s v="NSW"/>
    <s v="No agreement"/>
    <s v="More than 125% MBS Fee to 150% MBS Fee"/>
    <n v="2996139.68"/>
    <n v="1619237.69"/>
    <n v="872775.61"/>
    <n v="19234"/>
  </r>
  <r>
    <x v="22"/>
    <x v="1"/>
    <s v="NSW"/>
    <s v="No agreement"/>
    <s v="More than 150% MBS Fee to 200% MBS Fee"/>
    <n v="8334391.4800000004"/>
    <n v="3605192.27"/>
    <n v="1945518.09"/>
    <n v="33282"/>
  </r>
  <r>
    <x v="22"/>
    <x v="1"/>
    <s v="NSW"/>
    <s v="No agreement"/>
    <s v="More than 200% MBS Fee"/>
    <n v="80630708.810000002"/>
    <n v="17750323.93"/>
    <n v="6096959.0099999998"/>
    <n v="79733"/>
  </r>
  <r>
    <x v="22"/>
    <x v="1"/>
    <s v="NSW"/>
    <s v="Known gap agreement"/>
    <s v="100% MBS Fee to 125% MBS Fee"/>
    <n v="3486029.98"/>
    <n v="2241796.25"/>
    <n v="1127305.58"/>
    <n v="14936"/>
  </r>
  <r>
    <x v="22"/>
    <x v="1"/>
    <s v="NSW"/>
    <s v="Known gap agreement"/>
    <s v="More than 125% MBS Fee to 150% MBS Fee"/>
    <n v="4829380.8600000003"/>
    <n v="2608522.62"/>
    <n v="1938547.5"/>
    <n v="15950"/>
  </r>
  <r>
    <x v="22"/>
    <x v="1"/>
    <s v="NSW"/>
    <s v="Known gap agreement"/>
    <s v="More than 150% MBS Fee to 200% MBS Fee"/>
    <n v="15232778.210000001"/>
    <n v="6571919.2300000004"/>
    <n v="6796564.6900000004"/>
    <n v="35265"/>
  </r>
  <r>
    <x v="22"/>
    <x v="1"/>
    <s v="NSW"/>
    <s v="Known gap agreement"/>
    <s v="More than 200% MBS Fee"/>
    <n v="39167535.039999999"/>
    <n v="10213500.24"/>
    <n v="12045578.07"/>
    <n v="139786"/>
  </r>
  <r>
    <x v="22"/>
    <x v="1"/>
    <s v="NSW"/>
    <s v="No gap agreement"/>
    <s v="Up to MBS Fee"/>
    <n v="25535261.379999999"/>
    <n v="19172950.649999999"/>
    <n v="6362347.8099999996"/>
    <n v="774930"/>
  </r>
  <r>
    <x v="22"/>
    <x v="1"/>
    <s v="NSW"/>
    <s v="No gap agreement"/>
    <s v="100% MBS Fee to 125% MBS Fee"/>
    <n v="53403992.710000001"/>
    <n v="33708993.289999999"/>
    <n v="19694923.34"/>
    <n v="478135"/>
  </r>
  <r>
    <x v="22"/>
    <x v="1"/>
    <s v="NSW"/>
    <s v="No gap agreement"/>
    <s v="More than 125% MBS Fee to 150% MBS Fee"/>
    <n v="96270590.400000006"/>
    <n v="52716990.530000001"/>
    <n v="43553575.219999999"/>
    <n v="599654"/>
  </r>
  <r>
    <x v="22"/>
    <x v="1"/>
    <s v="NSW"/>
    <s v="No gap agreement"/>
    <s v="More than 150% MBS Fee to 200% MBS Fee"/>
    <n v="110713543.5"/>
    <n v="50519227.939999998"/>
    <n v="60194248.670000002"/>
    <n v="602149"/>
  </r>
  <r>
    <x v="22"/>
    <x v="1"/>
    <s v="NSW"/>
    <s v="No gap agreement"/>
    <s v="More than 200% MBS Fee"/>
    <n v="7280351.4500000002"/>
    <n v="2092130.39"/>
    <n v="5188221.0599999996"/>
    <n v="16264"/>
  </r>
  <r>
    <x v="22"/>
    <x v="1"/>
    <s v="VIC"/>
    <s v="No agreement"/>
    <s v="Up to MBS Fee"/>
    <n v="9673395.5299999993"/>
    <n v="7259017.21"/>
    <n v="2407459.96"/>
    <n v="184519"/>
  </r>
  <r>
    <x v="22"/>
    <x v="1"/>
    <s v="VIC"/>
    <s v="No agreement"/>
    <s v="100% MBS Fee to 125% MBS Fee"/>
    <n v="1542888.22"/>
    <n v="1016990.55"/>
    <n v="403751.98"/>
    <n v="9647"/>
  </r>
  <r>
    <x v="22"/>
    <x v="1"/>
    <s v="VIC"/>
    <s v="No agreement"/>
    <s v="More than 125% MBS Fee to 150% MBS Fee"/>
    <n v="3537935.57"/>
    <n v="1945949.5"/>
    <n v="1058541.9099999999"/>
    <n v="47146"/>
  </r>
  <r>
    <x v="22"/>
    <x v="1"/>
    <s v="VIC"/>
    <s v="No agreement"/>
    <s v="More than 150% MBS Fee to 200% MBS Fee"/>
    <n v="6102462.9500000002"/>
    <n v="2593131.86"/>
    <n v="1568480.71"/>
    <n v="35791"/>
  </r>
  <r>
    <x v="22"/>
    <x v="1"/>
    <s v="VIC"/>
    <s v="No agreement"/>
    <s v="More than 200% MBS Fee"/>
    <n v="22696773.620000001"/>
    <n v="5378646.6699999999"/>
    <n v="1997101.79"/>
    <n v="30700"/>
  </r>
  <r>
    <x v="22"/>
    <x v="1"/>
    <s v="VIC"/>
    <s v="Known gap agreement"/>
    <s v="100% MBS Fee to 125% MBS Fee"/>
    <n v="4219116.16"/>
    <n v="2804707.08"/>
    <n v="1202255.78"/>
    <n v="27762"/>
  </r>
  <r>
    <x v="22"/>
    <x v="1"/>
    <s v="VIC"/>
    <s v="Known gap agreement"/>
    <s v="More than 125% MBS Fee to 150% MBS Fee"/>
    <n v="6954773.0300000003"/>
    <n v="3777628.69"/>
    <n v="2688988.31"/>
    <n v="29092"/>
  </r>
  <r>
    <x v="22"/>
    <x v="1"/>
    <s v="VIC"/>
    <s v="Known gap agreement"/>
    <s v="More than 150% MBS Fee to 200% MBS Fee"/>
    <n v="14166321.84"/>
    <n v="6122594.29"/>
    <n v="5935921.71"/>
    <n v="38506"/>
  </r>
  <r>
    <x v="22"/>
    <x v="1"/>
    <s v="VIC"/>
    <s v="Known gap agreement"/>
    <s v="More than 200% MBS Fee"/>
    <n v="28934207.940000001"/>
    <n v="7825146.9500000002"/>
    <n v="8911951.1199999992"/>
    <n v="110859"/>
  </r>
  <r>
    <x v="22"/>
    <x v="1"/>
    <s v="VIC"/>
    <s v="No gap agreement"/>
    <s v="Up to MBS Fee"/>
    <n v="19952902.050000001"/>
    <n v="14991490.67"/>
    <n v="4961410.25"/>
    <n v="322054"/>
  </r>
  <r>
    <x v="22"/>
    <x v="1"/>
    <s v="VIC"/>
    <s v="No gap agreement"/>
    <s v="100% MBS Fee to 125% MBS Fee"/>
    <n v="44838769.060000002"/>
    <n v="28513127.329999998"/>
    <n v="16325506.93"/>
    <n v="404523"/>
  </r>
  <r>
    <x v="22"/>
    <x v="1"/>
    <s v="VIC"/>
    <s v="No gap agreement"/>
    <s v="More than 125% MBS Fee to 150% MBS Fee"/>
    <n v="110976550.12"/>
    <n v="60805485.740000002"/>
    <n v="50171605.359999999"/>
    <n v="769787"/>
  </r>
  <r>
    <x v="22"/>
    <x v="1"/>
    <s v="VIC"/>
    <s v="No gap agreement"/>
    <s v="More than 150% MBS Fee to 200% MBS Fee"/>
    <n v="106195066.02"/>
    <n v="47418735.240000002"/>
    <n v="58776244.18"/>
    <n v="564564"/>
  </r>
  <r>
    <x v="22"/>
    <x v="1"/>
    <s v="VIC"/>
    <s v="No gap agreement"/>
    <s v="More than 200% MBS Fee"/>
    <n v="3117766.49"/>
    <n v="814526.55"/>
    <n v="2303239.94"/>
    <n v="4008"/>
  </r>
  <r>
    <x v="22"/>
    <x v="1"/>
    <s v="QLD"/>
    <s v="No agreement"/>
    <s v="Up to MBS Fee"/>
    <n v="6903151.9699999997"/>
    <n v="5155084.34"/>
    <n v="1710932.03"/>
    <n v="97098"/>
  </r>
  <r>
    <x v="22"/>
    <x v="1"/>
    <s v="QLD"/>
    <s v="No agreement"/>
    <s v="100% MBS Fee to 125% MBS Fee"/>
    <n v="2564810.83"/>
    <n v="1667026.92"/>
    <n v="750191.54"/>
    <n v="23204"/>
  </r>
  <r>
    <x v="22"/>
    <x v="1"/>
    <s v="QLD"/>
    <s v="No agreement"/>
    <s v="More than 125% MBS Fee to 150% MBS Fee"/>
    <n v="3160886.44"/>
    <n v="1693938.93"/>
    <n v="894711.38"/>
    <n v="36213"/>
  </r>
  <r>
    <x v="22"/>
    <x v="1"/>
    <s v="QLD"/>
    <s v="No agreement"/>
    <s v="More than 150% MBS Fee to 200% MBS Fee"/>
    <n v="5514531.7699999996"/>
    <n v="2402311.5499999998"/>
    <n v="1530612.39"/>
    <n v="25214"/>
  </r>
  <r>
    <x v="22"/>
    <x v="1"/>
    <s v="QLD"/>
    <s v="No agreement"/>
    <s v="More than 200% MBS Fee"/>
    <n v="37431316.07"/>
    <n v="8858638.3100000005"/>
    <n v="3106917.98"/>
    <n v="42700"/>
  </r>
  <r>
    <x v="22"/>
    <x v="1"/>
    <s v="QLD"/>
    <s v="Known gap agreement"/>
    <s v="100% MBS Fee to 125% MBS Fee"/>
    <n v="1998762.97"/>
    <n v="1295858.25"/>
    <n v="596819.4"/>
    <n v="10507"/>
  </r>
  <r>
    <x v="22"/>
    <x v="1"/>
    <s v="QLD"/>
    <s v="Known gap agreement"/>
    <s v="More than 125% MBS Fee to 150% MBS Fee"/>
    <n v="2909623"/>
    <n v="1574316.62"/>
    <n v="1076077.73"/>
    <n v="11745"/>
  </r>
  <r>
    <x v="22"/>
    <x v="1"/>
    <s v="QLD"/>
    <s v="Known gap agreement"/>
    <s v="More than 150% MBS Fee to 200% MBS Fee"/>
    <n v="11982180.300000001"/>
    <n v="5100124.32"/>
    <n v="5089071.97"/>
    <n v="20879"/>
  </r>
  <r>
    <x v="22"/>
    <x v="1"/>
    <s v="QLD"/>
    <s v="Known gap agreement"/>
    <s v="More than 200% MBS Fee"/>
    <n v="25711188.469999999"/>
    <n v="6895537.9299999997"/>
    <n v="7902996.9299999997"/>
    <n v="67324"/>
  </r>
  <r>
    <x v="22"/>
    <x v="1"/>
    <s v="QLD"/>
    <s v="No gap agreement"/>
    <s v="Up to MBS Fee"/>
    <n v="15557832.640000001"/>
    <n v="11677566.02"/>
    <n v="3880434.97"/>
    <n v="288881"/>
  </r>
  <r>
    <x v="22"/>
    <x v="1"/>
    <s v="QLD"/>
    <s v="No gap agreement"/>
    <s v="100% MBS Fee to 125% MBS Fee"/>
    <n v="42752637.130000003"/>
    <n v="27151049.039999999"/>
    <n v="15601497.029999999"/>
    <n v="407214"/>
  </r>
  <r>
    <x v="22"/>
    <x v="1"/>
    <s v="QLD"/>
    <s v="No gap agreement"/>
    <s v="More than 125% MBS Fee to 150% MBS Fee"/>
    <n v="74351631.030000001"/>
    <n v="40947156.490000002"/>
    <n v="33403982.780000001"/>
    <n v="595526"/>
  </r>
  <r>
    <x v="22"/>
    <x v="1"/>
    <s v="QLD"/>
    <s v="No gap agreement"/>
    <s v="More than 150% MBS Fee to 200% MBS Fee"/>
    <n v="72428867.349999994"/>
    <n v="32974183.359999999"/>
    <n v="39454340.310000002"/>
    <n v="470149"/>
  </r>
  <r>
    <x v="22"/>
    <x v="1"/>
    <s v="QLD"/>
    <s v="No gap agreement"/>
    <s v="More than 200% MBS Fee"/>
    <n v="5375301.7000000002"/>
    <n v="1546925.4"/>
    <n v="3828375.34"/>
    <n v="7563"/>
  </r>
  <r>
    <x v="22"/>
    <x v="1"/>
    <s v="SA"/>
    <s v="No agreement"/>
    <s v="Up to MBS Fee"/>
    <n v="2109279.3199999998"/>
    <n v="1582651.35"/>
    <n v="525397.85"/>
    <n v="17968"/>
  </r>
  <r>
    <x v="22"/>
    <x v="1"/>
    <s v="SA"/>
    <s v="No agreement"/>
    <s v="100% MBS Fee to 125% MBS Fee"/>
    <n v="510529.87"/>
    <n v="330655.83"/>
    <n v="149703.04999999999"/>
    <n v="2307"/>
  </r>
  <r>
    <x v="22"/>
    <x v="1"/>
    <s v="SA"/>
    <s v="No agreement"/>
    <s v="More than 125% MBS Fee to 150% MBS Fee"/>
    <n v="1103076.25"/>
    <n v="612646.57999999996"/>
    <n v="440708.51"/>
    <n v="14118"/>
  </r>
  <r>
    <x v="22"/>
    <x v="1"/>
    <s v="SA"/>
    <s v="No agreement"/>
    <s v="More than 150% MBS Fee to 200% MBS Fee"/>
    <n v="1731978.02"/>
    <n v="744109.91"/>
    <n v="855361.13"/>
    <n v="6931"/>
  </r>
  <r>
    <x v="22"/>
    <x v="1"/>
    <s v="SA"/>
    <s v="No agreement"/>
    <s v="More than 200% MBS Fee"/>
    <n v="2077663.19"/>
    <n v="500678.1"/>
    <n v="274872.73"/>
    <n v="3246"/>
  </r>
  <r>
    <x v="22"/>
    <x v="1"/>
    <s v="SA"/>
    <s v="Known gap agreement"/>
    <s v="100% MBS Fee to 125% MBS Fee"/>
    <n v="400776.57"/>
    <n v="254633.1"/>
    <n v="128303.6"/>
    <n v="2116"/>
  </r>
  <r>
    <x v="22"/>
    <x v="1"/>
    <s v="SA"/>
    <s v="Known gap agreement"/>
    <s v="More than 125% MBS Fee to 150% MBS Fee"/>
    <n v="1139390.54"/>
    <n v="620885.44999999995"/>
    <n v="423647.63"/>
    <n v="7560"/>
  </r>
  <r>
    <x v="22"/>
    <x v="1"/>
    <s v="SA"/>
    <s v="Known gap agreement"/>
    <s v="More than 150% MBS Fee to 200% MBS Fee"/>
    <n v="5079996.4400000004"/>
    <n v="2159938.21"/>
    <n v="2258832.2000000002"/>
    <n v="10196"/>
  </r>
  <r>
    <x v="22"/>
    <x v="1"/>
    <s v="SA"/>
    <s v="Known gap agreement"/>
    <s v="More than 200% MBS Fee"/>
    <n v="8013811.2599999998"/>
    <n v="2418780.1"/>
    <n v="3035901.36"/>
    <n v="29113"/>
  </r>
  <r>
    <x v="22"/>
    <x v="1"/>
    <s v="SA"/>
    <s v="No gap agreement"/>
    <s v="Up to MBS Fee"/>
    <n v="5576947.0800000001"/>
    <n v="4188690.38"/>
    <n v="1388541.52"/>
    <n v="88479"/>
  </r>
  <r>
    <x v="22"/>
    <x v="1"/>
    <s v="SA"/>
    <s v="No gap agreement"/>
    <s v="100% MBS Fee to 125% MBS Fee"/>
    <n v="8133463.5999999996"/>
    <n v="5105938.84"/>
    <n v="3027516.47"/>
    <n v="77861"/>
  </r>
  <r>
    <x v="22"/>
    <x v="1"/>
    <s v="SA"/>
    <s v="No gap agreement"/>
    <s v="More than 125% MBS Fee to 150% MBS Fee"/>
    <n v="27063715.239999998"/>
    <n v="14734716.050000001"/>
    <n v="12328986.630000001"/>
    <n v="221513"/>
  </r>
  <r>
    <x v="22"/>
    <x v="1"/>
    <s v="SA"/>
    <s v="No gap agreement"/>
    <s v="More than 150% MBS Fee to 200% MBS Fee"/>
    <n v="43422021.369999997"/>
    <n v="19281766.199999999"/>
    <n v="24140247.039999999"/>
    <n v="168455"/>
  </r>
  <r>
    <x v="22"/>
    <x v="1"/>
    <s v="SA"/>
    <s v="No gap agreement"/>
    <s v="More than 200% MBS Fee"/>
    <n v="1417010.23"/>
    <n v="377485.1"/>
    <n v="1039525.13"/>
    <n v="1440"/>
  </r>
  <r>
    <x v="22"/>
    <x v="1"/>
    <s v="WA"/>
    <s v="No agreement"/>
    <s v="Up to MBS Fee"/>
    <n v="2448805.85"/>
    <n v="1838515.11"/>
    <n v="609450.74"/>
    <n v="45121"/>
  </r>
  <r>
    <x v="22"/>
    <x v="1"/>
    <s v="WA"/>
    <s v="No agreement"/>
    <s v="100% MBS Fee to 125% MBS Fee"/>
    <n v="472125.48"/>
    <n v="313638.24"/>
    <n v="119815.32"/>
    <n v="3129"/>
  </r>
  <r>
    <x v="22"/>
    <x v="1"/>
    <s v="WA"/>
    <s v="No agreement"/>
    <s v="More than 125% MBS Fee to 150% MBS Fee"/>
    <n v="1281970.99"/>
    <n v="675827.65"/>
    <n v="253399.11"/>
    <n v="17960"/>
  </r>
  <r>
    <x v="22"/>
    <x v="1"/>
    <s v="WA"/>
    <s v="No agreement"/>
    <s v="More than 150% MBS Fee to 200% MBS Fee"/>
    <n v="1941330.72"/>
    <n v="846390.2"/>
    <n v="354829.27"/>
    <n v="6191"/>
  </r>
  <r>
    <x v="22"/>
    <x v="1"/>
    <s v="WA"/>
    <s v="No agreement"/>
    <s v="More than 200% MBS Fee"/>
    <n v="6944362.0300000003"/>
    <n v="1565631.85"/>
    <n v="561730.49"/>
    <n v="10486"/>
  </r>
  <r>
    <x v="22"/>
    <x v="1"/>
    <s v="WA"/>
    <s v="Known gap agreement"/>
    <s v="100% MBS Fee to 125% MBS Fee"/>
    <n v="2656354.98"/>
    <n v="1818566.2"/>
    <n v="798288.53"/>
    <n v="15593"/>
  </r>
  <r>
    <x v="22"/>
    <x v="1"/>
    <s v="WA"/>
    <s v="Known gap agreement"/>
    <s v="More than 125% MBS Fee to 150% MBS Fee"/>
    <n v="4657991.97"/>
    <n v="2510911.94"/>
    <n v="1934490.44"/>
    <n v="36781"/>
  </r>
  <r>
    <x v="22"/>
    <x v="1"/>
    <s v="WA"/>
    <s v="Known gap agreement"/>
    <s v="More than 150% MBS Fee to 200% MBS Fee"/>
    <n v="9082367.9399999995"/>
    <n v="4036179.46"/>
    <n v="3685037.85"/>
    <n v="20929"/>
  </r>
  <r>
    <x v="22"/>
    <x v="1"/>
    <s v="WA"/>
    <s v="Known gap agreement"/>
    <s v="More than 200% MBS Fee"/>
    <n v="16533642.460000001"/>
    <n v="4217318.7"/>
    <n v="3108198.49"/>
    <n v="43585"/>
  </r>
  <r>
    <x v="22"/>
    <x v="1"/>
    <s v="WA"/>
    <s v="No gap agreement"/>
    <s v="Up to MBS Fee"/>
    <n v="8510782.6199999992"/>
    <n v="6399427.46"/>
    <n v="2111508.63"/>
    <n v="159475"/>
  </r>
  <r>
    <x v="22"/>
    <x v="1"/>
    <s v="WA"/>
    <s v="No gap agreement"/>
    <s v="100% MBS Fee to 125% MBS Fee"/>
    <n v="7792185.9900000002"/>
    <n v="5060745.51"/>
    <n v="2731433.68"/>
    <n v="61259"/>
  </r>
  <r>
    <x v="22"/>
    <x v="1"/>
    <s v="WA"/>
    <s v="No gap agreement"/>
    <s v="More than 125% MBS Fee to 150% MBS Fee"/>
    <n v="43176244.18"/>
    <n v="23989275.23"/>
    <n v="19186892.23"/>
    <n v="332181"/>
  </r>
  <r>
    <x v="22"/>
    <x v="1"/>
    <s v="WA"/>
    <s v="No gap agreement"/>
    <s v="More than 150% MBS Fee to 200% MBS Fee"/>
    <n v="56183779.960000001"/>
    <n v="24808613.399999999"/>
    <n v="31375162.420000002"/>
    <n v="258812"/>
  </r>
  <r>
    <x v="22"/>
    <x v="1"/>
    <s v="WA"/>
    <s v="No gap agreement"/>
    <s v="More than 200% MBS Fee"/>
    <n v="2984899.17"/>
    <n v="785546.95"/>
    <n v="2199352.12"/>
    <n v="2060"/>
  </r>
  <r>
    <x v="22"/>
    <x v="1"/>
    <s v="TAS"/>
    <s v="No agreement"/>
    <s v="Up to MBS Fee"/>
    <n v="422344.47"/>
    <n v="317436.25"/>
    <n v="104859.91"/>
    <n v="3558"/>
  </r>
  <r>
    <x v="22"/>
    <x v="1"/>
    <s v="TAS"/>
    <s v="No agreement"/>
    <s v="100% MBS Fee to 125% MBS Fee"/>
    <n v="201444.3"/>
    <n v="129080.71"/>
    <n v="60617.1"/>
    <n v="1051"/>
  </r>
  <r>
    <x v="22"/>
    <x v="1"/>
    <s v="TAS"/>
    <s v="No agreement"/>
    <s v="More than 125% MBS Fee to 150% MBS Fee"/>
    <n v="239158.38"/>
    <n v="133961.60000000001"/>
    <n v="82698.39"/>
    <n v="2825"/>
  </r>
  <r>
    <x v="22"/>
    <x v="1"/>
    <s v="TAS"/>
    <s v="No agreement"/>
    <s v="More than 150% MBS Fee to 200% MBS Fee"/>
    <n v="398151.81"/>
    <n v="177187.44"/>
    <n v="129160.61"/>
    <n v="1722"/>
  </r>
  <r>
    <x v="22"/>
    <x v="1"/>
    <s v="TAS"/>
    <s v="No agreement"/>
    <s v="More than 200% MBS Fee"/>
    <n v="1660771.81"/>
    <n v="381410.71"/>
    <n v="140390.51999999999"/>
    <n v="1434"/>
  </r>
  <r>
    <x v="22"/>
    <x v="1"/>
    <s v="TAS"/>
    <s v="Known gap agreement"/>
    <s v="100% MBS Fee to 125% MBS Fee"/>
    <n v="200209.84"/>
    <n v="133520.85"/>
    <n v="55298.48"/>
    <n v="1354"/>
  </r>
  <r>
    <x v="22"/>
    <x v="1"/>
    <s v="TAS"/>
    <s v="Known gap agreement"/>
    <s v="More than 125% MBS Fee to 150% MBS Fee"/>
    <n v="380639.08"/>
    <n v="206008.32000000001"/>
    <n v="157972.71"/>
    <n v="1068"/>
  </r>
  <r>
    <x v="22"/>
    <x v="1"/>
    <s v="TAS"/>
    <s v="Known gap agreement"/>
    <s v="More than 150% MBS Fee to 200% MBS Fee"/>
    <n v="1123867.17"/>
    <n v="476445.92"/>
    <n v="490768.74"/>
    <n v="2389"/>
  </r>
  <r>
    <x v="22"/>
    <x v="1"/>
    <s v="TAS"/>
    <s v="Known gap agreement"/>
    <s v="More than 200% MBS Fee"/>
    <n v="2047220.87"/>
    <n v="606812.1"/>
    <n v="724676.58"/>
    <n v="6132"/>
  </r>
  <r>
    <x v="22"/>
    <x v="1"/>
    <s v="TAS"/>
    <s v="No gap agreement"/>
    <s v="Up to MBS Fee"/>
    <n v="2243129.75"/>
    <n v="1684167.17"/>
    <n v="558961.89"/>
    <n v="39684"/>
  </r>
  <r>
    <x v="22"/>
    <x v="1"/>
    <s v="TAS"/>
    <s v="No gap agreement"/>
    <s v="100% MBS Fee to 125% MBS Fee"/>
    <n v="3152879.6"/>
    <n v="1998129.81"/>
    <n v="1154747.0900000001"/>
    <n v="25269"/>
  </r>
  <r>
    <x v="22"/>
    <x v="1"/>
    <s v="TAS"/>
    <s v="No gap agreement"/>
    <s v="More than 125% MBS Fee to 150% MBS Fee"/>
    <n v="8419093.8699999992"/>
    <n v="4606395.67"/>
    <n v="3812690.43"/>
    <n v="55227"/>
  </r>
  <r>
    <x v="22"/>
    <x v="1"/>
    <s v="TAS"/>
    <s v="No gap agreement"/>
    <s v="More than 150% MBS Fee to 200% MBS Fee"/>
    <n v="11067137.27"/>
    <n v="5044666.6399999997"/>
    <n v="6022465.79"/>
    <n v="52237"/>
  </r>
  <r>
    <x v="22"/>
    <x v="1"/>
    <s v="TAS"/>
    <s v="No gap agreement"/>
    <s v="More than 200% MBS Fee"/>
    <n v="401549.19"/>
    <n v="110525.1"/>
    <n v="291024.09000000003"/>
    <n v="352"/>
  </r>
  <r>
    <x v="22"/>
    <x v="1"/>
    <s v="ACT"/>
    <s v="No agreement"/>
    <s v="Up to MBS Fee"/>
    <n v="1090623.71"/>
    <n v="818469.21"/>
    <n v="268654.59999999998"/>
    <n v="9485"/>
  </r>
  <r>
    <x v="22"/>
    <x v="1"/>
    <s v="ACT"/>
    <s v="No agreement"/>
    <s v="100% MBS Fee to 125% MBS Fee"/>
    <n v="101988.23"/>
    <n v="69610.070000000007"/>
    <n v="24949.8"/>
    <n v="446"/>
  </r>
  <r>
    <x v="22"/>
    <x v="1"/>
    <s v="ACT"/>
    <s v="No agreement"/>
    <s v="More than 125% MBS Fee to 150% MBS Fee"/>
    <n v="137601.45000000001"/>
    <n v="76246.81"/>
    <n v="28205.05"/>
    <n v="496"/>
  </r>
  <r>
    <x v="22"/>
    <x v="1"/>
    <s v="ACT"/>
    <s v="No agreement"/>
    <s v="More than 150% MBS Fee to 200% MBS Fee"/>
    <n v="642928.74"/>
    <n v="271801.25"/>
    <n v="111194.25"/>
    <n v="2259"/>
  </r>
  <r>
    <x v="22"/>
    <x v="1"/>
    <s v="ACT"/>
    <s v="No agreement"/>
    <s v="More than 200% MBS Fee"/>
    <n v="6677757.8099999996"/>
    <n v="1518735.47"/>
    <n v="511918"/>
    <n v="6784"/>
  </r>
  <r>
    <x v="22"/>
    <x v="1"/>
    <s v="ACT"/>
    <s v="Known gap agreement"/>
    <s v="100% MBS Fee to 125% MBS Fee"/>
    <n v="85743.24"/>
    <n v="53846.2"/>
    <n v="25335.55"/>
    <n v="434"/>
  </r>
  <r>
    <x v="22"/>
    <x v="1"/>
    <s v="ACT"/>
    <s v="Known gap agreement"/>
    <s v="More than 125% MBS Fee to 150% MBS Fee"/>
    <n v="162104.57"/>
    <n v="88926.51"/>
    <n v="64408.15"/>
    <n v="464"/>
  </r>
  <r>
    <x v="22"/>
    <x v="1"/>
    <s v="ACT"/>
    <s v="Known gap agreement"/>
    <s v="More than 150% MBS Fee to 200% MBS Fee"/>
    <n v="450913.67"/>
    <n v="193250.95"/>
    <n v="204606.2"/>
    <n v="1398"/>
  </r>
  <r>
    <x v="22"/>
    <x v="1"/>
    <s v="ACT"/>
    <s v="Known gap agreement"/>
    <s v="More than 200% MBS Fee"/>
    <n v="2819484.57"/>
    <n v="735475.86"/>
    <n v="821976.24"/>
    <n v="9778"/>
  </r>
  <r>
    <x v="22"/>
    <x v="1"/>
    <s v="ACT"/>
    <s v="No gap agreement"/>
    <s v="Up to MBS Fee"/>
    <n v="467916.31"/>
    <n v="351698.7"/>
    <n v="116232.57"/>
    <n v="14663"/>
  </r>
  <r>
    <x v="22"/>
    <x v="1"/>
    <s v="ACT"/>
    <s v="No gap agreement"/>
    <s v="100% MBS Fee to 125% MBS Fee"/>
    <n v="1532892.77"/>
    <n v="973006.75"/>
    <n v="559884.68999999994"/>
    <n v="15331"/>
  </r>
  <r>
    <x v="22"/>
    <x v="1"/>
    <s v="ACT"/>
    <s v="No gap agreement"/>
    <s v="More than 125% MBS Fee to 150% MBS Fee"/>
    <n v="3537725.01"/>
    <n v="1948881.14"/>
    <n v="1588840.05"/>
    <n v="27813"/>
  </r>
  <r>
    <x v="22"/>
    <x v="1"/>
    <s v="ACT"/>
    <s v="No gap agreement"/>
    <s v="More than 150% MBS Fee to 200% MBS Fee"/>
    <n v="2482712.7599999998"/>
    <n v="1127714.58"/>
    <n v="1354972.49"/>
    <n v="14671"/>
  </r>
  <r>
    <x v="22"/>
    <x v="1"/>
    <s v="ACT"/>
    <s v="No gap agreement"/>
    <s v="More than 200% MBS Fee"/>
    <n v="250859.05"/>
    <n v="73601.649999999994"/>
    <n v="177257.4"/>
    <n v="479"/>
  </r>
  <r>
    <x v="22"/>
    <x v="1"/>
    <s v="NT"/>
    <s v="No agreement"/>
    <s v="Up to MBS Fee"/>
    <n v="355952.65"/>
    <n v="267150.34999999998"/>
    <n v="88802.3"/>
    <n v="1982"/>
  </r>
  <r>
    <x v="22"/>
    <x v="1"/>
    <s v="NT"/>
    <s v="No agreement"/>
    <s v="100% MBS Fee to 125% MBS Fee"/>
    <n v="62157.8"/>
    <n v="39424.99"/>
    <n v="20163"/>
    <n v="261"/>
  </r>
  <r>
    <x v="22"/>
    <x v="1"/>
    <s v="NT"/>
    <s v="No agreement"/>
    <s v="More than 125% MBS Fee to 150% MBS Fee"/>
    <n v="48812.75"/>
    <n v="26635.66"/>
    <n v="10877.2"/>
    <n v="398"/>
  </r>
  <r>
    <x v="22"/>
    <x v="1"/>
    <s v="NT"/>
    <s v="No agreement"/>
    <s v="More than 150% MBS Fee to 200% MBS Fee"/>
    <n v="98904.01"/>
    <n v="43220.09"/>
    <n v="31686.75"/>
    <n v="337"/>
  </r>
  <r>
    <x v="22"/>
    <x v="1"/>
    <s v="NT"/>
    <s v="No agreement"/>
    <s v="More than 200% MBS Fee"/>
    <n v="962076.91"/>
    <n v="234012.95"/>
    <n v="82913.95"/>
    <n v="900"/>
  </r>
  <r>
    <x v="22"/>
    <x v="1"/>
    <s v="NT"/>
    <s v="Known gap agreement"/>
    <s v="100% MBS Fee to 125% MBS Fee"/>
    <n v="32827.11"/>
    <n v="21549.9"/>
    <n v="8945.6"/>
    <n v="254"/>
  </r>
  <r>
    <x v="22"/>
    <x v="1"/>
    <s v="NT"/>
    <s v="Known gap agreement"/>
    <s v="More than 125% MBS Fee to 150% MBS Fee"/>
    <n v="70094.81"/>
    <n v="38436.26"/>
    <n v="28501.73"/>
    <n v="300"/>
  </r>
  <r>
    <x v="22"/>
    <x v="1"/>
    <s v="NT"/>
    <s v="Known gap agreement"/>
    <s v="More than 150% MBS Fee to 200% MBS Fee"/>
    <n v="178685.64"/>
    <n v="77076.7"/>
    <n v="79931.490000000005"/>
    <n v="425"/>
  </r>
  <r>
    <x v="22"/>
    <x v="1"/>
    <s v="NT"/>
    <s v="Known gap agreement"/>
    <s v="More than 200% MBS Fee"/>
    <n v="475903.49"/>
    <n v="132284.70000000001"/>
    <n v="152416.42000000001"/>
    <n v="2004"/>
  </r>
  <r>
    <x v="22"/>
    <x v="1"/>
    <s v="NT"/>
    <s v="No gap agreement"/>
    <s v="Up to MBS Fee"/>
    <n v="314826.96000000002"/>
    <n v="236314.22"/>
    <n v="78512.740000000005"/>
    <n v="4008"/>
  </r>
  <r>
    <x v="22"/>
    <x v="1"/>
    <s v="NT"/>
    <s v="No gap agreement"/>
    <s v="100% MBS Fee to 125% MBS Fee"/>
    <n v="591928.38"/>
    <n v="376529.74"/>
    <n v="215397.64"/>
    <n v="4009"/>
  </r>
  <r>
    <x v="22"/>
    <x v="1"/>
    <s v="NT"/>
    <s v="No gap agreement"/>
    <s v="More than 125% MBS Fee to 150% MBS Fee"/>
    <n v="1233664.98"/>
    <n v="669366.4"/>
    <n v="564298.31999999995"/>
    <n v="5764"/>
  </r>
  <r>
    <x v="22"/>
    <x v="1"/>
    <s v="NT"/>
    <s v="No gap agreement"/>
    <s v="More than 150% MBS Fee to 200% MBS Fee"/>
    <n v="2087678.32"/>
    <n v="958785.71"/>
    <n v="1128888.76"/>
    <n v="9527"/>
  </r>
  <r>
    <x v="22"/>
    <x v="1"/>
    <s v="NT"/>
    <s v="No gap agreement"/>
    <s v="More than 200% MBS Fee"/>
    <n v="52857.760000000002"/>
    <n v="15800.9"/>
    <n v="37056.86"/>
    <n v="71"/>
  </r>
  <r>
    <x v="23"/>
    <x v="0"/>
    <s v="NSW"/>
    <s v="No agreement"/>
    <s v="Up to MBS Fee"/>
    <n v="32942284.170000002"/>
    <n v="24720497.82"/>
    <n v="8190755.4299999997"/>
    <n v="329823"/>
  </r>
  <r>
    <x v="23"/>
    <x v="0"/>
    <s v="NSW"/>
    <s v="No agreement"/>
    <s v="100% MBS Fee to 125% MBS Fee"/>
    <n v="3516726.42"/>
    <n v="2317052.56"/>
    <n v="918517.64"/>
    <n v="18288"/>
  </r>
  <r>
    <x v="23"/>
    <x v="0"/>
    <s v="NSW"/>
    <s v="No agreement"/>
    <s v="More than 125% MBS Fee to 150% MBS Fee"/>
    <n v="3373634.42"/>
    <n v="1820652.97"/>
    <n v="1083502.93"/>
    <n v="16737"/>
  </r>
  <r>
    <x v="23"/>
    <x v="0"/>
    <s v="NSW"/>
    <s v="No agreement"/>
    <s v="More than 150% MBS Fee to 200% MBS Fee"/>
    <n v="8465778.0700000003"/>
    <n v="3692915.98"/>
    <n v="2225452.73"/>
    <n v="36603"/>
  </r>
  <r>
    <x v="23"/>
    <x v="0"/>
    <s v="NSW"/>
    <s v="No agreement"/>
    <s v="More than 200% MBS Fee"/>
    <n v="79665941.069999993"/>
    <n v="17226475.399999999"/>
    <n v="5999162.4400000004"/>
    <n v="77216"/>
  </r>
  <r>
    <x v="23"/>
    <x v="0"/>
    <s v="NSW"/>
    <s v="Known gap agreement"/>
    <s v="100% MBS Fee to 125% MBS Fee"/>
    <n v="3168502.26"/>
    <n v="2075174.8"/>
    <n v="990020.59"/>
    <n v="15156"/>
  </r>
  <r>
    <x v="23"/>
    <x v="0"/>
    <s v="NSW"/>
    <s v="Known gap agreement"/>
    <s v="More than 125% MBS Fee to 150% MBS Fee"/>
    <n v="4752396.17"/>
    <n v="2546578.04"/>
    <n v="2021694.68"/>
    <n v="7974"/>
  </r>
  <r>
    <x v="23"/>
    <x v="0"/>
    <s v="NSW"/>
    <s v="Known gap agreement"/>
    <s v="More than 150% MBS Fee to 200% MBS Fee"/>
    <n v="17416506.010000002"/>
    <n v="7483544.21"/>
    <n v="7653699.6299999999"/>
    <n v="38959"/>
  </r>
  <r>
    <x v="23"/>
    <x v="0"/>
    <s v="NSW"/>
    <s v="Known gap agreement"/>
    <s v="More than 200% MBS Fee"/>
    <n v="44553713.090000004"/>
    <n v="11755838.16"/>
    <n v="13904255.5"/>
    <n v="151369"/>
  </r>
  <r>
    <x v="23"/>
    <x v="0"/>
    <s v="NSW"/>
    <s v="No gap agreement"/>
    <s v="Up to MBS Fee"/>
    <n v="28732207.32"/>
    <n v="21575607.370000001"/>
    <n v="7156597.5199999996"/>
    <n v="874114"/>
  </r>
  <r>
    <x v="23"/>
    <x v="0"/>
    <s v="NSW"/>
    <s v="No gap agreement"/>
    <s v="100% MBS Fee to 125% MBS Fee"/>
    <n v="52246813.5"/>
    <n v="33109351.75"/>
    <n v="19137351.539999999"/>
    <n v="498008"/>
  </r>
  <r>
    <x v="23"/>
    <x v="0"/>
    <s v="NSW"/>
    <s v="No gap agreement"/>
    <s v="More than 125% MBS Fee to 150% MBS Fee"/>
    <n v="97627922.599999994"/>
    <n v="53415140.520000003"/>
    <n v="44212744.270000003"/>
    <n v="610106"/>
  </r>
  <r>
    <x v="23"/>
    <x v="0"/>
    <s v="NSW"/>
    <s v="No gap agreement"/>
    <s v="More than 150% MBS Fee to 200% MBS Fee"/>
    <n v="113562470.65000001"/>
    <n v="51637499.280000001"/>
    <n v="61924863.240000002"/>
    <n v="621457"/>
  </r>
  <r>
    <x v="23"/>
    <x v="0"/>
    <s v="NSW"/>
    <s v="No gap agreement"/>
    <s v="More than 200% MBS Fee"/>
    <n v="7082581.8499999996"/>
    <n v="2032874.09"/>
    <n v="5049706.91"/>
    <n v="15213"/>
  </r>
  <r>
    <x v="23"/>
    <x v="0"/>
    <s v="VIC"/>
    <s v="No agreement"/>
    <s v="Up to MBS Fee"/>
    <n v="9161215.7300000004"/>
    <n v="6874735.8499999996"/>
    <n v="2280756.09"/>
    <n v="159763"/>
  </r>
  <r>
    <x v="23"/>
    <x v="0"/>
    <s v="VIC"/>
    <s v="No agreement"/>
    <s v="100% MBS Fee to 125% MBS Fee"/>
    <n v="1917686.24"/>
    <n v="1256116.3400000001"/>
    <n v="495270.78"/>
    <n v="8111"/>
  </r>
  <r>
    <x v="23"/>
    <x v="0"/>
    <s v="VIC"/>
    <s v="No agreement"/>
    <s v="More than 125% MBS Fee to 150% MBS Fee"/>
    <n v="3804243.87"/>
    <n v="2090005.15"/>
    <n v="1240957.6000000001"/>
    <n v="47269"/>
  </r>
  <r>
    <x v="23"/>
    <x v="0"/>
    <s v="VIC"/>
    <s v="No agreement"/>
    <s v="More than 150% MBS Fee to 200% MBS Fee"/>
    <n v="7894563.8700000001"/>
    <n v="3389731.64"/>
    <n v="2407986.96"/>
    <n v="49822"/>
  </r>
  <r>
    <x v="23"/>
    <x v="0"/>
    <s v="VIC"/>
    <s v="No agreement"/>
    <s v="More than 200% MBS Fee"/>
    <n v="25290440.620000001"/>
    <n v="5783157.1500000004"/>
    <n v="2218416.7999999998"/>
    <n v="25827"/>
  </r>
  <r>
    <x v="23"/>
    <x v="0"/>
    <s v="VIC"/>
    <s v="Known gap agreement"/>
    <s v="100% MBS Fee to 125% MBS Fee"/>
    <n v="3676550.95"/>
    <n v="2454373.4300000002"/>
    <n v="1068542.03"/>
    <n v="19082"/>
  </r>
  <r>
    <x v="23"/>
    <x v="0"/>
    <s v="VIC"/>
    <s v="Known gap agreement"/>
    <s v="More than 125% MBS Fee to 150% MBS Fee"/>
    <n v="6446745.0599999996"/>
    <n v="3482596.03"/>
    <n v="2580883.9300000002"/>
    <n v="15627"/>
  </r>
  <r>
    <x v="23"/>
    <x v="0"/>
    <s v="VIC"/>
    <s v="Known gap agreement"/>
    <s v="More than 150% MBS Fee to 200% MBS Fee"/>
    <n v="16653926.199999999"/>
    <n v="7167203.1500000004"/>
    <n v="6874584.2699999996"/>
    <n v="41298"/>
  </r>
  <r>
    <x v="23"/>
    <x v="0"/>
    <s v="VIC"/>
    <s v="Known gap agreement"/>
    <s v="More than 200% MBS Fee"/>
    <n v="36741293.75"/>
    <n v="9975564.9499999993"/>
    <n v="11550749.92"/>
    <n v="136685"/>
  </r>
  <r>
    <x v="23"/>
    <x v="0"/>
    <s v="VIC"/>
    <s v="No gap agreement"/>
    <s v="Up to MBS Fee"/>
    <n v="19493489.289999999"/>
    <n v="14645259.82"/>
    <n v="4848314.93"/>
    <n v="293117"/>
  </r>
  <r>
    <x v="23"/>
    <x v="0"/>
    <s v="VIC"/>
    <s v="No gap agreement"/>
    <s v="100% MBS Fee to 125% MBS Fee"/>
    <n v="46316619.899999999"/>
    <n v="29555742"/>
    <n v="16760636.560000001"/>
    <n v="393943"/>
  </r>
  <r>
    <x v="23"/>
    <x v="0"/>
    <s v="VIC"/>
    <s v="No gap agreement"/>
    <s v="More than 125% MBS Fee to 150% MBS Fee"/>
    <n v="110358672.95999999"/>
    <n v="60501496.530000001"/>
    <n v="49857133.659999996"/>
    <n v="744807"/>
  </r>
  <r>
    <x v="23"/>
    <x v="0"/>
    <s v="VIC"/>
    <s v="No gap agreement"/>
    <s v="More than 150% MBS Fee to 200% MBS Fee"/>
    <n v="102948764.90000001"/>
    <n v="46076706.210000001"/>
    <n v="56871717.829999998"/>
    <n v="550344"/>
  </r>
  <r>
    <x v="23"/>
    <x v="0"/>
    <s v="VIC"/>
    <s v="No gap agreement"/>
    <s v="More than 200% MBS Fee"/>
    <n v="3702014.73"/>
    <n v="996160.7"/>
    <n v="2705854.03"/>
    <n v="4396"/>
  </r>
  <r>
    <x v="23"/>
    <x v="0"/>
    <s v="QLD"/>
    <s v="No agreement"/>
    <s v="Up to MBS Fee"/>
    <n v="6420625.7999999998"/>
    <n v="4805727.71"/>
    <n v="1595972.91"/>
    <n v="92908"/>
  </r>
  <r>
    <x v="23"/>
    <x v="0"/>
    <s v="QLD"/>
    <s v="No agreement"/>
    <s v="100% MBS Fee to 125% MBS Fee"/>
    <n v="2636593.02"/>
    <n v="1709942.91"/>
    <n v="800144.94"/>
    <n v="21078"/>
  </r>
  <r>
    <x v="23"/>
    <x v="0"/>
    <s v="QLD"/>
    <s v="No agreement"/>
    <s v="More than 125% MBS Fee to 150% MBS Fee"/>
    <n v="2978429.2"/>
    <n v="1608795.45"/>
    <n v="1058436.8899999999"/>
    <n v="18414"/>
  </r>
  <r>
    <x v="23"/>
    <x v="0"/>
    <s v="QLD"/>
    <s v="No agreement"/>
    <s v="More than 150% MBS Fee to 200% MBS Fee"/>
    <n v="7257752.2400000002"/>
    <n v="3167020.49"/>
    <n v="2352461.67"/>
    <n v="40211"/>
  </r>
  <r>
    <x v="23"/>
    <x v="0"/>
    <s v="QLD"/>
    <s v="No agreement"/>
    <s v="More than 200% MBS Fee"/>
    <n v="36638300.170000002"/>
    <n v="8412093.2799999993"/>
    <n v="3043799.73"/>
    <n v="37787"/>
  </r>
  <r>
    <x v="23"/>
    <x v="0"/>
    <s v="QLD"/>
    <s v="Known gap agreement"/>
    <s v="100% MBS Fee to 125% MBS Fee"/>
    <n v="2070532.71"/>
    <n v="1371864.71"/>
    <n v="621376.11"/>
    <n v="10490"/>
  </r>
  <r>
    <x v="23"/>
    <x v="0"/>
    <s v="QLD"/>
    <s v="Known gap agreement"/>
    <s v="More than 125% MBS Fee to 150% MBS Fee"/>
    <n v="2991032.66"/>
    <n v="1605572.44"/>
    <n v="1275220.6399999999"/>
    <n v="2688"/>
  </r>
  <r>
    <x v="23"/>
    <x v="0"/>
    <s v="QLD"/>
    <s v="Known gap agreement"/>
    <s v="More than 150% MBS Fee to 200% MBS Fee"/>
    <n v="15783376.439999999"/>
    <n v="6673964.6900000004"/>
    <n v="6663180.71"/>
    <n v="24256"/>
  </r>
  <r>
    <x v="23"/>
    <x v="0"/>
    <s v="QLD"/>
    <s v="Known gap agreement"/>
    <s v="More than 200% MBS Fee"/>
    <n v="32009225.550000001"/>
    <n v="8620081.9800000004"/>
    <n v="9800592.4399999995"/>
    <n v="80312"/>
  </r>
  <r>
    <x v="23"/>
    <x v="0"/>
    <s v="QLD"/>
    <s v="No gap agreement"/>
    <s v="Up to MBS Fee"/>
    <n v="16861390.829999998"/>
    <n v="12653838.369999999"/>
    <n v="4207514.96"/>
    <n v="275463"/>
  </r>
  <r>
    <x v="23"/>
    <x v="0"/>
    <s v="QLD"/>
    <s v="No gap agreement"/>
    <s v="100% MBS Fee to 125% MBS Fee"/>
    <n v="43085422.850000001"/>
    <n v="27493063.920000002"/>
    <n v="15592223.800000001"/>
    <n v="407941"/>
  </r>
  <r>
    <x v="23"/>
    <x v="0"/>
    <s v="QLD"/>
    <s v="No gap agreement"/>
    <s v="More than 125% MBS Fee to 150% MBS Fee"/>
    <n v="75320382.719999999"/>
    <n v="41550039.840000004"/>
    <n v="33769581.840000004"/>
    <n v="617864"/>
  </r>
  <r>
    <x v="23"/>
    <x v="0"/>
    <s v="QLD"/>
    <s v="No gap agreement"/>
    <s v="More than 150% MBS Fee to 200% MBS Fee"/>
    <n v="74473139.120000005"/>
    <n v="33801581.649999999"/>
    <n v="40671091.270000003"/>
    <n v="485656"/>
  </r>
  <r>
    <x v="23"/>
    <x v="0"/>
    <s v="QLD"/>
    <s v="No gap agreement"/>
    <s v="More than 200% MBS Fee"/>
    <n v="5251385.16"/>
    <n v="1491029.69"/>
    <n v="3760355.45"/>
    <n v="7678"/>
  </r>
  <r>
    <x v="23"/>
    <x v="0"/>
    <s v="SA"/>
    <s v="No agreement"/>
    <s v="Up to MBS Fee"/>
    <n v="1996643.44"/>
    <n v="1497402.68"/>
    <n v="495412.12"/>
    <n v="17209"/>
  </r>
  <r>
    <x v="23"/>
    <x v="0"/>
    <s v="SA"/>
    <s v="No agreement"/>
    <s v="100% MBS Fee to 125% MBS Fee"/>
    <n v="698652.28"/>
    <n v="456649.68"/>
    <n v="189071.99"/>
    <n v="2021"/>
  </r>
  <r>
    <x v="23"/>
    <x v="0"/>
    <s v="SA"/>
    <s v="No agreement"/>
    <s v="More than 125% MBS Fee to 150% MBS Fee"/>
    <n v="1289025.26"/>
    <n v="715947.73"/>
    <n v="522523.78"/>
    <n v="14449"/>
  </r>
  <r>
    <x v="23"/>
    <x v="0"/>
    <s v="SA"/>
    <s v="No agreement"/>
    <s v="More than 150% MBS Fee to 200% MBS Fee"/>
    <n v="2524447.5499999998"/>
    <n v="1090363.8700000001"/>
    <n v="1312695.45"/>
    <n v="10187"/>
  </r>
  <r>
    <x v="23"/>
    <x v="0"/>
    <s v="SA"/>
    <s v="No agreement"/>
    <s v="More than 200% MBS Fee"/>
    <n v="2281425.12"/>
    <n v="520844.82"/>
    <n v="324909.62"/>
    <n v="3456"/>
  </r>
  <r>
    <x v="23"/>
    <x v="0"/>
    <s v="SA"/>
    <s v="Known gap agreement"/>
    <s v="100% MBS Fee to 125% MBS Fee"/>
    <n v="415708.11"/>
    <n v="268591.46000000002"/>
    <n v="125233.72"/>
    <n v="2103"/>
  </r>
  <r>
    <x v="23"/>
    <x v="0"/>
    <s v="SA"/>
    <s v="Known gap agreement"/>
    <s v="More than 125% MBS Fee to 150% MBS Fee"/>
    <n v="970108.91"/>
    <n v="517334.62"/>
    <n v="423104.93"/>
    <n v="2172"/>
  </r>
  <r>
    <x v="23"/>
    <x v="0"/>
    <s v="SA"/>
    <s v="Known gap agreement"/>
    <s v="More than 150% MBS Fee to 200% MBS Fee"/>
    <n v="5917030.9900000002"/>
    <n v="2496395.9"/>
    <n v="2601601.98"/>
    <n v="10902"/>
  </r>
  <r>
    <x v="23"/>
    <x v="0"/>
    <s v="SA"/>
    <s v="Known gap agreement"/>
    <s v="More than 200% MBS Fee"/>
    <n v="9597436.4800000004"/>
    <n v="2811417.59"/>
    <n v="3518498.27"/>
    <n v="36448"/>
  </r>
  <r>
    <x v="23"/>
    <x v="0"/>
    <s v="SA"/>
    <s v="No gap agreement"/>
    <s v="Up to MBS Fee"/>
    <n v="7133890.8399999999"/>
    <n v="5354028.38"/>
    <n v="1779862.46"/>
    <n v="113499"/>
  </r>
  <r>
    <x v="23"/>
    <x v="0"/>
    <s v="SA"/>
    <s v="No gap agreement"/>
    <s v="100% MBS Fee to 125% MBS Fee"/>
    <n v="8365499.0899999999"/>
    <n v="5249671.17"/>
    <n v="3115809.25"/>
    <n v="79202"/>
  </r>
  <r>
    <x v="23"/>
    <x v="0"/>
    <s v="SA"/>
    <s v="No gap agreement"/>
    <s v="More than 125% MBS Fee to 150% MBS Fee"/>
    <n v="27685980.149999999"/>
    <n v="15071608.869999999"/>
    <n v="12614361.310000001"/>
    <n v="221200"/>
  </r>
  <r>
    <x v="23"/>
    <x v="0"/>
    <s v="SA"/>
    <s v="No gap agreement"/>
    <s v="More than 150% MBS Fee to 200% MBS Fee"/>
    <n v="44020482.399999999"/>
    <n v="19539231.219999999"/>
    <n v="24481246.18"/>
    <n v="167738"/>
  </r>
  <r>
    <x v="23"/>
    <x v="0"/>
    <s v="SA"/>
    <s v="No gap agreement"/>
    <s v="More than 200% MBS Fee"/>
    <n v="1379775.48"/>
    <n v="356584.85"/>
    <n v="1023190.63"/>
    <n v="1032"/>
  </r>
  <r>
    <x v="23"/>
    <x v="0"/>
    <s v="WA"/>
    <s v="No agreement"/>
    <s v="Up to MBS Fee"/>
    <n v="2388571.65"/>
    <n v="1790787.91"/>
    <n v="593488.17000000004"/>
    <n v="39935"/>
  </r>
  <r>
    <x v="23"/>
    <x v="0"/>
    <s v="WA"/>
    <s v="No agreement"/>
    <s v="100% MBS Fee to 125% MBS Fee"/>
    <n v="440704.24"/>
    <n v="289636.27"/>
    <n v="112088.01"/>
    <n v="1943"/>
  </r>
  <r>
    <x v="23"/>
    <x v="0"/>
    <s v="WA"/>
    <s v="No agreement"/>
    <s v="More than 125% MBS Fee to 150% MBS Fee"/>
    <n v="748201.49"/>
    <n v="406588.69"/>
    <n v="202874.12"/>
    <n v="2161"/>
  </r>
  <r>
    <x v="23"/>
    <x v="0"/>
    <s v="WA"/>
    <s v="No agreement"/>
    <s v="More than 150% MBS Fee to 200% MBS Fee"/>
    <n v="2436434.88"/>
    <n v="1075200.75"/>
    <n v="548076.23"/>
    <n v="21375"/>
  </r>
  <r>
    <x v="23"/>
    <x v="0"/>
    <s v="WA"/>
    <s v="No agreement"/>
    <s v="More than 200% MBS Fee"/>
    <n v="7635211.79"/>
    <n v="1620280.5"/>
    <n v="608369.39"/>
    <n v="8913"/>
  </r>
  <r>
    <x v="23"/>
    <x v="0"/>
    <s v="WA"/>
    <s v="Known gap agreement"/>
    <s v="100% MBS Fee to 125% MBS Fee"/>
    <n v="2146036.79"/>
    <n v="1450978.69"/>
    <n v="653466.35"/>
    <n v="10308"/>
  </r>
  <r>
    <x v="23"/>
    <x v="0"/>
    <s v="WA"/>
    <s v="Known gap agreement"/>
    <s v="More than 125% MBS Fee to 150% MBS Fee"/>
    <n v="5097192.76"/>
    <n v="2734342.07"/>
    <n v="2119789.46"/>
    <n v="32763"/>
  </r>
  <r>
    <x v="23"/>
    <x v="0"/>
    <s v="WA"/>
    <s v="Known gap agreement"/>
    <s v="More than 150% MBS Fee to 200% MBS Fee"/>
    <n v="9627893.4399999995"/>
    <n v="4259726.99"/>
    <n v="3906318"/>
    <n v="22081"/>
  </r>
  <r>
    <x v="23"/>
    <x v="0"/>
    <s v="WA"/>
    <s v="Known gap agreement"/>
    <s v="More than 200% MBS Fee"/>
    <n v="18541478.620000001"/>
    <n v="4568175.05"/>
    <n v="3474503.08"/>
    <n v="46847"/>
  </r>
  <r>
    <x v="23"/>
    <x v="0"/>
    <s v="WA"/>
    <s v="No gap agreement"/>
    <s v="Up to MBS Fee"/>
    <n v="9005978.3800000008"/>
    <n v="6759196.2599999998"/>
    <n v="2246788.91"/>
    <n v="157667"/>
  </r>
  <r>
    <x v="23"/>
    <x v="0"/>
    <s v="WA"/>
    <s v="No gap agreement"/>
    <s v="100% MBS Fee to 125% MBS Fee"/>
    <n v="9484333.8800000008"/>
    <n v="6195250.2300000004"/>
    <n v="3289078.08"/>
    <n v="69075"/>
  </r>
  <r>
    <x v="23"/>
    <x v="0"/>
    <s v="WA"/>
    <s v="No gap agreement"/>
    <s v="More than 125% MBS Fee to 150% MBS Fee"/>
    <n v="41700630.960000001"/>
    <n v="23066777.68"/>
    <n v="18633782.140000001"/>
    <n v="306489"/>
  </r>
  <r>
    <x v="23"/>
    <x v="0"/>
    <s v="WA"/>
    <s v="No gap agreement"/>
    <s v="More than 150% MBS Fee to 200% MBS Fee"/>
    <n v="55904613.25"/>
    <n v="24710707.23"/>
    <n v="31193898.550000001"/>
    <n v="255973"/>
  </r>
  <r>
    <x v="23"/>
    <x v="0"/>
    <s v="WA"/>
    <s v="No gap agreement"/>
    <s v="More than 200% MBS Fee"/>
    <n v="2646945.58"/>
    <n v="697658.05"/>
    <n v="1949287.13"/>
    <n v="2165"/>
  </r>
  <r>
    <x v="23"/>
    <x v="0"/>
    <s v="TAS"/>
    <s v="No agreement"/>
    <s v="Up to MBS Fee"/>
    <n v="467071.7"/>
    <n v="350356.4"/>
    <n v="116075.29"/>
    <n v="3523"/>
  </r>
  <r>
    <x v="23"/>
    <x v="0"/>
    <s v="TAS"/>
    <s v="No agreement"/>
    <s v="100% MBS Fee to 125% MBS Fee"/>
    <n v="245096.86"/>
    <n v="159154.13"/>
    <n v="71892.399999999994"/>
    <n v="1330"/>
  </r>
  <r>
    <x v="23"/>
    <x v="0"/>
    <s v="TAS"/>
    <s v="No agreement"/>
    <s v="More than 125% MBS Fee to 150% MBS Fee"/>
    <n v="283203.05"/>
    <n v="157103.53"/>
    <n v="103749.86"/>
    <n v="2458"/>
  </r>
  <r>
    <x v="23"/>
    <x v="0"/>
    <s v="TAS"/>
    <s v="No agreement"/>
    <s v="More than 150% MBS Fee to 200% MBS Fee"/>
    <n v="383202.27"/>
    <n v="169079.57"/>
    <n v="123957.9"/>
    <n v="1860"/>
  </r>
  <r>
    <x v="23"/>
    <x v="0"/>
    <s v="TAS"/>
    <s v="No agreement"/>
    <s v="More than 200% MBS Fee"/>
    <n v="1456413"/>
    <n v="330926.32"/>
    <n v="128141.57"/>
    <n v="1318"/>
  </r>
  <r>
    <x v="23"/>
    <x v="0"/>
    <s v="TAS"/>
    <s v="Known gap agreement"/>
    <s v="100% MBS Fee to 125% MBS Fee"/>
    <n v="204021.15"/>
    <n v="136127.93"/>
    <n v="59493.59"/>
    <n v="1059"/>
  </r>
  <r>
    <x v="23"/>
    <x v="0"/>
    <s v="TAS"/>
    <s v="Known gap agreement"/>
    <s v="More than 125% MBS Fee to 150% MBS Fee"/>
    <n v="427126.3"/>
    <n v="227915.1"/>
    <n v="194245"/>
    <n v="35"/>
  </r>
  <r>
    <x v="23"/>
    <x v="0"/>
    <s v="TAS"/>
    <s v="Known gap agreement"/>
    <s v="More than 150% MBS Fee to 200% MBS Fee"/>
    <n v="1858622.79"/>
    <n v="799631.22"/>
    <n v="843867.03"/>
    <n v="3265"/>
  </r>
  <r>
    <x v="23"/>
    <x v="0"/>
    <s v="TAS"/>
    <s v="Known gap agreement"/>
    <s v="More than 200% MBS Fee"/>
    <n v="2699423.14"/>
    <n v="761145.19"/>
    <n v="919793.13"/>
    <n v="7475"/>
  </r>
  <r>
    <x v="23"/>
    <x v="0"/>
    <s v="TAS"/>
    <s v="No gap agreement"/>
    <s v="Up to MBS Fee"/>
    <n v="2036623.42"/>
    <n v="1528909.16"/>
    <n v="507714.26"/>
    <n v="31978"/>
  </r>
  <r>
    <x v="23"/>
    <x v="0"/>
    <s v="TAS"/>
    <s v="No gap agreement"/>
    <s v="100% MBS Fee to 125% MBS Fee"/>
    <n v="2714023.18"/>
    <n v="1724297.82"/>
    <n v="989725.26"/>
    <n v="19737"/>
  </r>
  <r>
    <x v="23"/>
    <x v="0"/>
    <s v="TAS"/>
    <s v="No gap agreement"/>
    <s v="More than 125% MBS Fee to 150% MBS Fee"/>
    <n v="8427218.5600000005"/>
    <n v="4600952.72"/>
    <n v="3826260.81"/>
    <n v="52889"/>
  </r>
  <r>
    <x v="23"/>
    <x v="0"/>
    <s v="TAS"/>
    <s v="No gap agreement"/>
    <s v="More than 150% MBS Fee to 200% MBS Fee"/>
    <n v="10566187.16"/>
    <n v="4804457.8899999997"/>
    <n v="5761728.4199999999"/>
    <n v="48855"/>
  </r>
  <r>
    <x v="23"/>
    <x v="0"/>
    <s v="TAS"/>
    <s v="No gap agreement"/>
    <s v="More than 200% MBS Fee"/>
    <n v="404206.72"/>
    <n v="111461.9"/>
    <n v="292744.82"/>
    <n v="402"/>
  </r>
  <r>
    <x v="23"/>
    <x v="0"/>
    <s v="ACT"/>
    <s v="No agreement"/>
    <s v="Up to MBS Fee"/>
    <n v="1038225.62"/>
    <n v="771750.12"/>
    <n v="251257.01"/>
    <n v="8534"/>
  </r>
  <r>
    <x v="23"/>
    <x v="0"/>
    <s v="ACT"/>
    <s v="No agreement"/>
    <s v="100% MBS Fee to 125% MBS Fee"/>
    <n v="142609.43"/>
    <n v="95510.2"/>
    <n v="35874.83"/>
    <n v="618"/>
  </r>
  <r>
    <x v="23"/>
    <x v="0"/>
    <s v="ACT"/>
    <s v="No agreement"/>
    <s v="More than 125% MBS Fee to 150% MBS Fee"/>
    <n v="172488.94"/>
    <n v="94250.75"/>
    <n v="37374.910000000003"/>
    <n v="492"/>
  </r>
  <r>
    <x v="23"/>
    <x v="0"/>
    <s v="ACT"/>
    <s v="No agreement"/>
    <s v="More than 150% MBS Fee to 200% MBS Fee"/>
    <n v="536771.86"/>
    <n v="229646.24"/>
    <n v="113738.92"/>
    <n v="2320"/>
  </r>
  <r>
    <x v="23"/>
    <x v="0"/>
    <s v="ACT"/>
    <s v="No agreement"/>
    <s v="More than 200% MBS Fee"/>
    <n v="6901007.96"/>
    <n v="1526954.35"/>
    <n v="515141.02"/>
    <n v="6676"/>
  </r>
  <r>
    <x v="23"/>
    <x v="0"/>
    <s v="ACT"/>
    <s v="Known gap agreement"/>
    <s v="100% MBS Fee to 125% MBS Fee"/>
    <n v="82242.05"/>
    <n v="53110.94"/>
    <n v="25906.19"/>
    <n v="364"/>
  </r>
  <r>
    <x v="23"/>
    <x v="0"/>
    <s v="ACT"/>
    <s v="Known gap agreement"/>
    <s v="More than 125% MBS Fee to 150% MBS Fee"/>
    <n v="88323.55"/>
    <n v="45302.1"/>
    <n v="44561.87"/>
    <n v="-215"/>
  </r>
  <r>
    <x v="23"/>
    <x v="0"/>
    <s v="ACT"/>
    <s v="Known gap agreement"/>
    <s v="More than 150% MBS Fee to 200% MBS Fee"/>
    <n v="644411.89"/>
    <n v="274277.59000000003"/>
    <n v="271793.23"/>
    <n v="1689"/>
  </r>
  <r>
    <x v="23"/>
    <x v="0"/>
    <s v="ACT"/>
    <s v="Known gap agreement"/>
    <s v="More than 200% MBS Fee"/>
    <n v="3306139.61"/>
    <n v="871012.02"/>
    <n v="969191.22"/>
    <n v="11076"/>
  </r>
  <r>
    <x v="23"/>
    <x v="0"/>
    <s v="ACT"/>
    <s v="No gap agreement"/>
    <s v="Up to MBS Fee"/>
    <n v="549709.77"/>
    <n v="412317.17"/>
    <n v="137392.6"/>
    <n v="15561"/>
  </r>
  <r>
    <x v="23"/>
    <x v="0"/>
    <s v="ACT"/>
    <s v="No gap agreement"/>
    <s v="100% MBS Fee to 125% MBS Fee"/>
    <n v="1444695.79"/>
    <n v="920105.17"/>
    <n v="524586.47"/>
    <n v="14640"/>
  </r>
  <r>
    <x v="23"/>
    <x v="0"/>
    <s v="ACT"/>
    <s v="No gap agreement"/>
    <s v="More than 125% MBS Fee to 150% MBS Fee"/>
    <n v="3834479.78"/>
    <n v="2113853.1"/>
    <n v="1720621.47"/>
    <n v="32610"/>
  </r>
  <r>
    <x v="23"/>
    <x v="0"/>
    <s v="ACT"/>
    <s v="No gap agreement"/>
    <s v="More than 150% MBS Fee to 200% MBS Fee"/>
    <n v="2853282.31"/>
    <n v="1296531.5"/>
    <n v="1556726.31"/>
    <n v="16770"/>
  </r>
  <r>
    <x v="23"/>
    <x v="0"/>
    <s v="ACT"/>
    <s v="No gap agreement"/>
    <s v="More than 200% MBS Fee"/>
    <n v="248669.5"/>
    <n v="74926.100000000006"/>
    <n v="173743.4"/>
    <n v="591"/>
  </r>
  <r>
    <x v="23"/>
    <x v="0"/>
    <s v="NT"/>
    <s v="No agreement"/>
    <s v="Up to MBS Fee"/>
    <n v="239342.59"/>
    <n v="179515.08"/>
    <n v="59827.25"/>
    <n v="1228"/>
  </r>
  <r>
    <x v="23"/>
    <x v="0"/>
    <s v="NT"/>
    <s v="No agreement"/>
    <s v="100% MBS Fee to 125% MBS Fee"/>
    <n v="62573.52"/>
    <n v="40433.300000000003"/>
    <n v="19427.349999999999"/>
    <n v="345"/>
  </r>
  <r>
    <x v="23"/>
    <x v="0"/>
    <s v="NT"/>
    <s v="No agreement"/>
    <s v="More than 125% MBS Fee to 150% MBS Fee"/>
    <n v="51859.67"/>
    <n v="28340.69"/>
    <n v="16102.05"/>
    <n v="222"/>
  </r>
  <r>
    <x v="23"/>
    <x v="0"/>
    <s v="NT"/>
    <s v="No agreement"/>
    <s v="More than 150% MBS Fee to 200% MBS Fee"/>
    <n v="135895.56"/>
    <n v="59372.5"/>
    <n v="46529.15"/>
    <n v="546"/>
  </r>
  <r>
    <x v="23"/>
    <x v="0"/>
    <s v="NT"/>
    <s v="No agreement"/>
    <s v="More than 200% MBS Fee"/>
    <n v="1076551.8600000001"/>
    <n v="244966.08"/>
    <n v="87091"/>
    <n v="848"/>
  </r>
  <r>
    <x v="23"/>
    <x v="0"/>
    <s v="NT"/>
    <s v="Known gap agreement"/>
    <s v="100% MBS Fee to 125% MBS Fee"/>
    <n v="38702.74"/>
    <n v="24991.89"/>
    <n v="10582.95"/>
    <n v="178"/>
  </r>
  <r>
    <x v="23"/>
    <x v="0"/>
    <s v="NT"/>
    <s v="Known gap agreement"/>
    <s v="More than 125% MBS Fee to 150% MBS Fee"/>
    <n v="71235.199999999997"/>
    <n v="39195.949999999997"/>
    <n v="24230.91"/>
    <n v="288"/>
  </r>
  <r>
    <x v="23"/>
    <x v="0"/>
    <s v="NT"/>
    <s v="Known gap agreement"/>
    <s v="More than 150% MBS Fee to 200% MBS Fee"/>
    <n v="248117.17"/>
    <n v="107775.79"/>
    <n v="101694.75"/>
    <n v="602"/>
  </r>
  <r>
    <x v="23"/>
    <x v="0"/>
    <s v="NT"/>
    <s v="Known gap agreement"/>
    <s v="More than 200% MBS Fee"/>
    <n v="662918.66"/>
    <n v="185578.54"/>
    <n v="214252.12"/>
    <n v="2375"/>
  </r>
  <r>
    <x v="23"/>
    <x v="0"/>
    <s v="NT"/>
    <s v="No gap agreement"/>
    <s v="Up to MBS Fee"/>
    <n v="512862.18"/>
    <n v="384789.34"/>
    <n v="128072.84"/>
    <n v="7474"/>
  </r>
  <r>
    <x v="23"/>
    <x v="0"/>
    <s v="NT"/>
    <s v="No gap agreement"/>
    <s v="100% MBS Fee to 125% MBS Fee"/>
    <n v="469507.33"/>
    <n v="298520.98"/>
    <n v="170986.6"/>
    <n v="3617"/>
  </r>
  <r>
    <x v="23"/>
    <x v="0"/>
    <s v="NT"/>
    <s v="No gap agreement"/>
    <s v="More than 125% MBS Fee to 150% MBS Fee"/>
    <n v="1282515.3500000001"/>
    <n v="698163.6"/>
    <n v="584349.81999999995"/>
    <n v="5962"/>
  </r>
  <r>
    <x v="23"/>
    <x v="0"/>
    <s v="NT"/>
    <s v="No gap agreement"/>
    <s v="More than 150% MBS Fee to 200% MBS Fee"/>
    <n v="2219565.4500000002"/>
    <n v="1009769.05"/>
    <n v="1209773.17"/>
    <n v="9868"/>
  </r>
  <r>
    <x v="23"/>
    <x v="0"/>
    <s v="NT"/>
    <s v="No gap agreement"/>
    <s v="More than 200% MBS Fee"/>
    <n v="67952.149999999994"/>
    <n v="19994.25"/>
    <n v="47957.9"/>
    <n v="90"/>
  </r>
  <r>
    <x v="23"/>
    <x v="2"/>
    <s v="NSW"/>
    <s v="No agreement"/>
    <s v="Up to MBS Fee"/>
    <n v="36689608.479999997"/>
    <n v="27525371.440000001"/>
    <n v="9127590.8800000008"/>
    <n v="421936"/>
  </r>
  <r>
    <x v="23"/>
    <x v="2"/>
    <s v="NSW"/>
    <s v="No agreement"/>
    <s v="100% MBS Fee to 125% MBS Fee"/>
    <n v="2797839.2"/>
    <n v="1871835.65"/>
    <n v="713808.47"/>
    <n v="13327"/>
  </r>
  <r>
    <x v="23"/>
    <x v="2"/>
    <s v="NSW"/>
    <s v="No agreement"/>
    <s v="More than 125% MBS Fee to 150% MBS Fee"/>
    <n v="2927451.91"/>
    <n v="1584830.75"/>
    <n v="840191.83"/>
    <n v="17354"/>
  </r>
  <r>
    <x v="23"/>
    <x v="2"/>
    <s v="NSW"/>
    <s v="No agreement"/>
    <s v="More than 150% MBS Fee to 200% MBS Fee"/>
    <n v="8161054.8499999996"/>
    <n v="3525103.29"/>
    <n v="1932047.41"/>
    <n v="32402"/>
  </r>
  <r>
    <x v="23"/>
    <x v="2"/>
    <s v="NSW"/>
    <s v="No agreement"/>
    <s v="More than 200% MBS Fee"/>
    <n v="81362935.450000003"/>
    <n v="17842294.32"/>
    <n v="6151362.5599999996"/>
    <n v="79105"/>
  </r>
  <r>
    <x v="23"/>
    <x v="2"/>
    <s v="NSW"/>
    <s v="Known gap agreement"/>
    <s v="100% MBS Fee to 125% MBS Fee"/>
    <n v="3279082.85"/>
    <n v="2129734.35"/>
    <n v="1046235.7"/>
    <n v="13749"/>
  </r>
  <r>
    <x v="23"/>
    <x v="2"/>
    <s v="NSW"/>
    <s v="Known gap agreement"/>
    <s v="More than 125% MBS Fee to 150% MBS Fee"/>
    <n v="4803799.4800000004"/>
    <n v="2581498.25"/>
    <n v="1966465.1"/>
    <n v="14286"/>
  </r>
  <r>
    <x v="23"/>
    <x v="2"/>
    <s v="NSW"/>
    <s v="Known gap agreement"/>
    <s v="More than 150% MBS Fee to 200% MBS Fee"/>
    <n v="16345324.960000001"/>
    <n v="7026309.0700000003"/>
    <n v="7289981.1100000003"/>
    <n v="35775"/>
  </r>
  <r>
    <x v="23"/>
    <x v="2"/>
    <s v="NSW"/>
    <s v="Known gap agreement"/>
    <s v="More than 200% MBS Fee"/>
    <n v="41933906.579999998"/>
    <n v="11021438.060000001"/>
    <n v="13046885.630000001"/>
    <n v="143647"/>
  </r>
  <r>
    <x v="23"/>
    <x v="2"/>
    <s v="NSW"/>
    <s v="No gap agreement"/>
    <s v="Up to MBS Fee"/>
    <n v="27789044.039999999"/>
    <n v="20861139.93"/>
    <n v="6927916.4299999997"/>
    <n v="847054"/>
  </r>
  <r>
    <x v="23"/>
    <x v="2"/>
    <s v="NSW"/>
    <s v="No gap agreement"/>
    <s v="100% MBS Fee to 125% MBS Fee"/>
    <n v="49886025.799999997"/>
    <n v="31480539.530000001"/>
    <n v="18405407.809999999"/>
    <n v="426764"/>
  </r>
  <r>
    <x v="23"/>
    <x v="2"/>
    <s v="NSW"/>
    <s v="No gap agreement"/>
    <s v="More than 125% MBS Fee to 150% MBS Fee"/>
    <n v="96426370.319999993"/>
    <n v="52680705.960000001"/>
    <n v="43745632.280000001"/>
    <n v="577001"/>
  </r>
  <r>
    <x v="23"/>
    <x v="2"/>
    <s v="NSW"/>
    <s v="No gap agreement"/>
    <s v="More than 150% MBS Fee to 200% MBS Fee"/>
    <n v="111983594.84999999"/>
    <n v="50994731.829999998"/>
    <n v="60988729.670000002"/>
    <n v="601116"/>
  </r>
  <r>
    <x v="23"/>
    <x v="2"/>
    <s v="NSW"/>
    <s v="No gap agreement"/>
    <s v="More than 200% MBS Fee"/>
    <n v="6980268.1600000001"/>
    <n v="2004062.32"/>
    <n v="4976205.4400000004"/>
    <n v="14716"/>
  </r>
  <r>
    <x v="23"/>
    <x v="2"/>
    <s v="VIC"/>
    <s v="No agreement"/>
    <s v="Up to MBS Fee"/>
    <n v="9592492.4000000004"/>
    <n v="7195215.8399999999"/>
    <n v="2386844.86"/>
    <n v="170080"/>
  </r>
  <r>
    <x v="23"/>
    <x v="2"/>
    <s v="VIC"/>
    <s v="No agreement"/>
    <s v="100% MBS Fee to 125% MBS Fee"/>
    <n v="1614069.01"/>
    <n v="1065949.2"/>
    <n v="411612.6"/>
    <n v="6979"/>
  </r>
  <r>
    <x v="23"/>
    <x v="2"/>
    <s v="VIC"/>
    <s v="No agreement"/>
    <s v="More than 125% MBS Fee to 150% MBS Fee"/>
    <n v="3775302.98"/>
    <n v="2074180.52"/>
    <n v="1166386.56"/>
    <n v="48263"/>
  </r>
  <r>
    <x v="23"/>
    <x v="2"/>
    <s v="VIC"/>
    <s v="No agreement"/>
    <s v="More than 150% MBS Fee to 200% MBS Fee"/>
    <n v="6498654.0599999996"/>
    <n v="2788573.11"/>
    <n v="1803791.24"/>
    <n v="43396"/>
  </r>
  <r>
    <x v="23"/>
    <x v="2"/>
    <s v="VIC"/>
    <s v="No agreement"/>
    <s v="More than 200% MBS Fee"/>
    <n v="24732602.989999998"/>
    <n v="5777491.29"/>
    <n v="2129702.4300000002"/>
    <n v="27795"/>
  </r>
  <r>
    <x v="23"/>
    <x v="2"/>
    <s v="VIC"/>
    <s v="Known gap agreement"/>
    <s v="100% MBS Fee to 125% MBS Fee"/>
    <n v="3678875.14"/>
    <n v="2447278.09"/>
    <n v="1077988.55"/>
    <n v="19037"/>
  </r>
  <r>
    <x v="23"/>
    <x v="2"/>
    <s v="VIC"/>
    <s v="Known gap agreement"/>
    <s v="More than 125% MBS Fee to 150% MBS Fee"/>
    <n v="6436310.54"/>
    <n v="3488221.7"/>
    <n v="2514186.9900000002"/>
    <n v="24635"/>
  </r>
  <r>
    <x v="23"/>
    <x v="2"/>
    <s v="VIC"/>
    <s v="Known gap agreement"/>
    <s v="More than 150% MBS Fee to 200% MBS Fee"/>
    <n v="15992072.279999999"/>
    <n v="6911115.3700000001"/>
    <n v="6681936.1799999997"/>
    <n v="39902"/>
  </r>
  <r>
    <x v="23"/>
    <x v="2"/>
    <s v="VIC"/>
    <s v="Known gap agreement"/>
    <s v="More than 200% MBS Fee"/>
    <n v="34659562.009999998"/>
    <n v="9398040.25"/>
    <n v="10856336.050000001"/>
    <n v="130587"/>
  </r>
  <r>
    <x v="23"/>
    <x v="2"/>
    <s v="VIC"/>
    <s v="No gap agreement"/>
    <s v="Up to MBS Fee"/>
    <n v="19385859.620000001"/>
    <n v="14578918.6"/>
    <n v="4807023.4800000004"/>
    <n v="281314"/>
  </r>
  <r>
    <x v="23"/>
    <x v="2"/>
    <s v="VIC"/>
    <s v="No gap agreement"/>
    <s v="100% MBS Fee to 125% MBS Fee"/>
    <n v="45527231.140000001"/>
    <n v="28927687.390000001"/>
    <n v="16599467.73"/>
    <n v="379971"/>
  </r>
  <r>
    <x v="23"/>
    <x v="2"/>
    <s v="VIC"/>
    <s v="No gap agreement"/>
    <s v="More than 125% MBS Fee to 150% MBS Fee"/>
    <n v="108333450.33"/>
    <n v="59281372.579999998"/>
    <n v="49051988.369999997"/>
    <n v="725483"/>
  </r>
  <r>
    <x v="23"/>
    <x v="2"/>
    <s v="VIC"/>
    <s v="No gap agreement"/>
    <s v="More than 150% MBS Fee to 200% MBS Fee"/>
    <n v="104219538.06999999"/>
    <n v="46612884.509999998"/>
    <n v="57606361.740000002"/>
    <n v="557889"/>
  </r>
  <r>
    <x v="23"/>
    <x v="2"/>
    <s v="VIC"/>
    <s v="No gap agreement"/>
    <s v="More than 200% MBS Fee"/>
    <n v="3343287.63"/>
    <n v="898916.74"/>
    <n v="2444370.59"/>
    <n v="4054"/>
  </r>
  <r>
    <x v="23"/>
    <x v="2"/>
    <s v="QLD"/>
    <s v="No agreement"/>
    <s v="Up to MBS Fee"/>
    <n v="6987346.7000000002"/>
    <n v="5228096.29"/>
    <n v="1731945.49"/>
    <n v="100172"/>
  </r>
  <r>
    <x v="23"/>
    <x v="2"/>
    <s v="QLD"/>
    <s v="No agreement"/>
    <s v="100% MBS Fee to 125% MBS Fee"/>
    <n v="2006916.56"/>
    <n v="1308238.6599999999"/>
    <n v="566054.57999999996"/>
    <n v="14086"/>
  </r>
  <r>
    <x v="23"/>
    <x v="2"/>
    <s v="QLD"/>
    <s v="No agreement"/>
    <s v="More than 125% MBS Fee to 150% MBS Fee"/>
    <n v="3103668.39"/>
    <n v="1666506.4"/>
    <n v="907931.22"/>
    <n v="32014"/>
  </r>
  <r>
    <x v="23"/>
    <x v="2"/>
    <s v="QLD"/>
    <s v="No agreement"/>
    <s v="More than 150% MBS Fee to 200% MBS Fee"/>
    <n v="5687509.0599999996"/>
    <n v="2476331.9300000002"/>
    <n v="1702132.03"/>
    <n v="27034"/>
  </r>
  <r>
    <x v="23"/>
    <x v="2"/>
    <s v="QLD"/>
    <s v="No agreement"/>
    <s v="More than 200% MBS Fee"/>
    <n v="37550176.829999998"/>
    <n v="8604722.9700000007"/>
    <n v="2997831.44"/>
    <n v="40108"/>
  </r>
  <r>
    <x v="23"/>
    <x v="2"/>
    <s v="QLD"/>
    <s v="Known gap agreement"/>
    <s v="100% MBS Fee to 125% MBS Fee"/>
    <n v="1847024.79"/>
    <n v="1213755.07"/>
    <n v="565309.36"/>
    <n v="9458"/>
  </r>
  <r>
    <x v="23"/>
    <x v="2"/>
    <s v="QLD"/>
    <s v="Known gap agreement"/>
    <s v="More than 125% MBS Fee to 150% MBS Fee"/>
    <n v="3022354.54"/>
    <n v="1634058.33"/>
    <n v="1143238.3400000001"/>
    <n v="11069"/>
  </r>
  <r>
    <x v="23"/>
    <x v="2"/>
    <s v="QLD"/>
    <s v="Known gap agreement"/>
    <s v="More than 150% MBS Fee to 200% MBS Fee"/>
    <n v="14021661.359999999"/>
    <n v="5934610.6299999999"/>
    <n v="5974593.3600000003"/>
    <n v="21943"/>
  </r>
  <r>
    <x v="23"/>
    <x v="2"/>
    <s v="QLD"/>
    <s v="Known gap agreement"/>
    <s v="More than 200% MBS Fee"/>
    <n v="28501710.84"/>
    <n v="7775097.4100000001"/>
    <n v="8902384.3100000005"/>
    <n v="70752"/>
  </r>
  <r>
    <x v="23"/>
    <x v="2"/>
    <s v="QLD"/>
    <s v="No gap agreement"/>
    <s v="Up to MBS Fee"/>
    <n v="18449274.760000002"/>
    <n v="13844819.6"/>
    <n v="4604764.5599999996"/>
    <n v="311833"/>
  </r>
  <r>
    <x v="23"/>
    <x v="2"/>
    <s v="QLD"/>
    <s v="No gap agreement"/>
    <s v="100% MBS Fee to 125% MBS Fee"/>
    <n v="42792339.479999997"/>
    <n v="27185984.010000002"/>
    <n v="15606254.01"/>
    <n v="411219"/>
  </r>
  <r>
    <x v="23"/>
    <x v="2"/>
    <s v="QLD"/>
    <s v="No gap agreement"/>
    <s v="More than 125% MBS Fee to 150% MBS Fee"/>
    <n v="74160747.900000006"/>
    <n v="40822188.420000002"/>
    <n v="33337879.399999999"/>
    <n v="587824"/>
  </r>
  <r>
    <x v="23"/>
    <x v="2"/>
    <s v="QLD"/>
    <s v="No gap agreement"/>
    <s v="More than 150% MBS Fee to 200% MBS Fee"/>
    <n v="70671522.680000007"/>
    <n v="32084604.010000002"/>
    <n v="38586467.359999999"/>
    <n v="460184"/>
  </r>
  <r>
    <x v="23"/>
    <x v="2"/>
    <s v="QLD"/>
    <s v="No gap agreement"/>
    <s v="More than 200% MBS Fee"/>
    <n v="5054095.54"/>
    <n v="1442095.11"/>
    <n v="3612000.41"/>
    <n v="6761"/>
  </r>
  <r>
    <x v="23"/>
    <x v="2"/>
    <s v="SA"/>
    <s v="No agreement"/>
    <s v="Up to MBS Fee"/>
    <n v="2058594.62"/>
    <n v="1543269.64"/>
    <n v="513879.03"/>
    <n v="15183"/>
  </r>
  <r>
    <x v="23"/>
    <x v="2"/>
    <s v="SA"/>
    <s v="No agreement"/>
    <s v="100% MBS Fee to 125% MBS Fee"/>
    <n v="682522.65"/>
    <n v="441570.94"/>
    <n v="190951.97"/>
    <n v="1646"/>
  </r>
  <r>
    <x v="23"/>
    <x v="2"/>
    <s v="SA"/>
    <s v="No agreement"/>
    <s v="More than 125% MBS Fee to 150% MBS Fee"/>
    <n v="1112333.55"/>
    <n v="622561.25"/>
    <n v="436925.09"/>
    <n v="15099"/>
  </r>
  <r>
    <x v="23"/>
    <x v="2"/>
    <s v="SA"/>
    <s v="No agreement"/>
    <s v="More than 150% MBS Fee to 200% MBS Fee"/>
    <n v="1558264.83"/>
    <n v="666275.81000000006"/>
    <n v="760874.6"/>
    <n v="6535"/>
  </r>
  <r>
    <x v="23"/>
    <x v="2"/>
    <s v="SA"/>
    <s v="No agreement"/>
    <s v="More than 200% MBS Fee"/>
    <n v="2111259.38"/>
    <n v="490575.09"/>
    <n v="253408.64000000001"/>
    <n v="2971"/>
  </r>
  <r>
    <x v="23"/>
    <x v="2"/>
    <s v="SA"/>
    <s v="Known gap agreement"/>
    <s v="100% MBS Fee to 125% MBS Fee"/>
    <n v="425257.11"/>
    <n v="271796.77"/>
    <n v="139552.44"/>
    <n v="2083"/>
  </r>
  <r>
    <x v="23"/>
    <x v="2"/>
    <s v="SA"/>
    <s v="Known gap agreement"/>
    <s v="More than 125% MBS Fee to 150% MBS Fee"/>
    <n v="882898.55"/>
    <n v="474569.61"/>
    <n v="357790.37"/>
    <n v="2830"/>
  </r>
  <r>
    <x v="23"/>
    <x v="2"/>
    <s v="SA"/>
    <s v="Known gap agreement"/>
    <s v="More than 150% MBS Fee to 200% MBS Fee"/>
    <n v="6094906.2699999996"/>
    <n v="2564137.5"/>
    <n v="2688281.68"/>
    <n v="10803"/>
  </r>
  <r>
    <x v="23"/>
    <x v="2"/>
    <s v="SA"/>
    <s v="Known gap agreement"/>
    <s v="More than 200% MBS Fee"/>
    <n v="9057471.1799999997"/>
    <n v="2752851.22"/>
    <n v="3442161.11"/>
    <n v="32861"/>
  </r>
  <r>
    <x v="23"/>
    <x v="2"/>
    <s v="SA"/>
    <s v="No gap agreement"/>
    <s v="Up to MBS Fee"/>
    <n v="6336424.0199999996"/>
    <n v="4756021.84"/>
    <n v="1580427.58"/>
    <n v="88188"/>
  </r>
  <r>
    <x v="23"/>
    <x v="2"/>
    <s v="SA"/>
    <s v="No gap agreement"/>
    <s v="100% MBS Fee to 125% MBS Fee"/>
    <n v="7848699.1900000004"/>
    <n v="4912392.2300000004"/>
    <n v="2936304.02"/>
    <n v="75006"/>
  </r>
  <r>
    <x v="23"/>
    <x v="2"/>
    <s v="SA"/>
    <s v="No gap agreement"/>
    <s v="More than 125% MBS Fee to 150% MBS Fee"/>
    <n v="27260431.530000001"/>
    <n v="14830784.84"/>
    <n v="12429632.74"/>
    <n v="219040"/>
  </r>
  <r>
    <x v="23"/>
    <x v="2"/>
    <s v="SA"/>
    <s v="No gap agreement"/>
    <s v="More than 150% MBS Fee to 200% MBS Fee"/>
    <n v="43799348.219999999"/>
    <n v="19398277.920000002"/>
    <n v="24401065.960000001"/>
    <n v="167673"/>
  </r>
  <r>
    <x v="23"/>
    <x v="2"/>
    <s v="SA"/>
    <s v="No gap agreement"/>
    <s v="More than 200% MBS Fee"/>
    <n v="1321589.67"/>
    <n v="345333.05"/>
    <n v="976256.62"/>
    <n v="1024"/>
  </r>
  <r>
    <x v="23"/>
    <x v="2"/>
    <s v="WA"/>
    <s v="No agreement"/>
    <s v="Up to MBS Fee"/>
    <n v="2085509.25"/>
    <n v="1564570.16"/>
    <n v="518024.2"/>
    <n v="30361"/>
  </r>
  <r>
    <x v="23"/>
    <x v="2"/>
    <s v="WA"/>
    <s v="No agreement"/>
    <s v="100% MBS Fee to 125% MBS Fee"/>
    <n v="387673.42"/>
    <n v="260258.46"/>
    <n v="94486.399999999994"/>
    <n v="1838"/>
  </r>
  <r>
    <x v="23"/>
    <x v="2"/>
    <s v="WA"/>
    <s v="No agreement"/>
    <s v="More than 125% MBS Fee to 150% MBS Fee"/>
    <n v="1186647.28"/>
    <n v="623265.36"/>
    <n v="239821.23"/>
    <n v="17164"/>
  </r>
  <r>
    <x v="23"/>
    <x v="2"/>
    <s v="WA"/>
    <s v="No agreement"/>
    <s v="More than 150% MBS Fee to 200% MBS Fee"/>
    <n v="1708350.01"/>
    <n v="741970.18"/>
    <n v="348888.38"/>
    <n v="5378"/>
  </r>
  <r>
    <x v="23"/>
    <x v="2"/>
    <s v="WA"/>
    <s v="No agreement"/>
    <s v="More than 200% MBS Fee"/>
    <n v="7016375.8799999999"/>
    <n v="1554240.8"/>
    <n v="574223.80000000005"/>
    <n v="9028"/>
  </r>
  <r>
    <x v="23"/>
    <x v="2"/>
    <s v="WA"/>
    <s v="Known gap agreement"/>
    <s v="100% MBS Fee to 125% MBS Fee"/>
    <n v="2572761.96"/>
    <n v="1751419.44"/>
    <n v="776992.97"/>
    <n v="12507"/>
  </r>
  <r>
    <x v="23"/>
    <x v="2"/>
    <s v="WA"/>
    <s v="Known gap agreement"/>
    <s v="More than 125% MBS Fee to 150% MBS Fee"/>
    <n v="4536639.2"/>
    <n v="2436124.1800000002"/>
    <n v="1895795.11"/>
    <n v="32796"/>
  </r>
  <r>
    <x v="23"/>
    <x v="2"/>
    <s v="WA"/>
    <s v="Known gap agreement"/>
    <s v="More than 150% MBS Fee to 200% MBS Fee"/>
    <n v="8774195.5"/>
    <n v="3884043"/>
    <n v="3577589.05"/>
    <n v="20423"/>
  </r>
  <r>
    <x v="23"/>
    <x v="2"/>
    <s v="WA"/>
    <s v="Known gap agreement"/>
    <s v="More than 200% MBS Fee"/>
    <n v="17049120.309999999"/>
    <n v="4209539.16"/>
    <n v="3157648.72"/>
    <n v="42662"/>
  </r>
  <r>
    <x v="23"/>
    <x v="2"/>
    <s v="WA"/>
    <s v="No gap agreement"/>
    <s v="Up to MBS Fee"/>
    <n v="6844905.4400000004"/>
    <n v="5141493.0999999996"/>
    <n v="1703413.28"/>
    <n v="108813"/>
  </r>
  <r>
    <x v="23"/>
    <x v="2"/>
    <s v="WA"/>
    <s v="No gap agreement"/>
    <s v="100% MBS Fee to 125% MBS Fee"/>
    <n v="8281652.4000000004"/>
    <n v="5369319.2800000003"/>
    <n v="2912318.62"/>
    <n v="60997"/>
  </r>
  <r>
    <x v="23"/>
    <x v="2"/>
    <s v="WA"/>
    <s v="No gap agreement"/>
    <s v="More than 125% MBS Fee to 150% MBS Fee"/>
    <n v="42612923.450000003"/>
    <n v="23621396.579999998"/>
    <n v="18991428.25"/>
    <n v="305798"/>
  </r>
  <r>
    <x v="23"/>
    <x v="2"/>
    <s v="WA"/>
    <s v="No gap agreement"/>
    <s v="More than 150% MBS Fee to 200% MBS Fee"/>
    <n v="54965605.219999999"/>
    <n v="24350751.48"/>
    <n v="30614853.600000001"/>
    <n v="250148"/>
  </r>
  <r>
    <x v="23"/>
    <x v="2"/>
    <s v="WA"/>
    <s v="No gap agreement"/>
    <s v="More than 200% MBS Fee"/>
    <n v="2521037.4500000002"/>
    <n v="664809.85"/>
    <n v="1856227.6"/>
    <n v="1760"/>
  </r>
  <r>
    <x v="23"/>
    <x v="2"/>
    <s v="TAS"/>
    <s v="No agreement"/>
    <s v="Up to MBS Fee"/>
    <n v="426463.23"/>
    <n v="320187.52000000002"/>
    <n v="106275.71"/>
    <n v="3564"/>
  </r>
  <r>
    <x v="23"/>
    <x v="2"/>
    <s v="TAS"/>
    <s v="No agreement"/>
    <s v="100% MBS Fee to 125% MBS Fee"/>
    <n v="174635.75"/>
    <n v="111879.36"/>
    <n v="56732.65"/>
    <n v="1051"/>
  </r>
  <r>
    <x v="23"/>
    <x v="2"/>
    <s v="TAS"/>
    <s v="No agreement"/>
    <s v="More than 125% MBS Fee to 150% MBS Fee"/>
    <n v="267468.31"/>
    <n v="149339.72"/>
    <n v="92291.95"/>
    <n v="2580"/>
  </r>
  <r>
    <x v="23"/>
    <x v="2"/>
    <s v="TAS"/>
    <s v="No agreement"/>
    <s v="More than 150% MBS Fee to 200% MBS Fee"/>
    <n v="374826.37"/>
    <n v="165236.29999999999"/>
    <n v="113074.18"/>
    <n v="1480"/>
  </r>
  <r>
    <x v="23"/>
    <x v="2"/>
    <s v="TAS"/>
    <s v="No agreement"/>
    <s v="More than 200% MBS Fee"/>
    <n v="1611568.45"/>
    <n v="362975.67"/>
    <n v="130914.08"/>
    <n v="1380"/>
  </r>
  <r>
    <x v="23"/>
    <x v="2"/>
    <s v="TAS"/>
    <s v="Known gap agreement"/>
    <s v="100% MBS Fee to 125% MBS Fee"/>
    <n v="210368.28"/>
    <n v="138902.79999999999"/>
    <n v="63053.7"/>
    <n v="1026"/>
  </r>
  <r>
    <x v="23"/>
    <x v="2"/>
    <s v="TAS"/>
    <s v="Known gap agreement"/>
    <s v="More than 125% MBS Fee to 150% MBS Fee"/>
    <n v="433702.12"/>
    <n v="235252.4"/>
    <n v="182286.04"/>
    <n v="1434"/>
  </r>
  <r>
    <x v="23"/>
    <x v="2"/>
    <s v="TAS"/>
    <s v="Known gap agreement"/>
    <s v="More than 150% MBS Fee to 200% MBS Fee"/>
    <n v="1500405.77"/>
    <n v="633616.1"/>
    <n v="683395.72"/>
    <n v="3000"/>
  </r>
  <r>
    <x v="23"/>
    <x v="2"/>
    <s v="TAS"/>
    <s v="Known gap agreement"/>
    <s v="More than 200% MBS Fee"/>
    <n v="2776962.69"/>
    <n v="799528.7"/>
    <n v="971482.8"/>
    <n v="7916"/>
  </r>
  <r>
    <x v="23"/>
    <x v="2"/>
    <s v="TAS"/>
    <s v="No gap agreement"/>
    <s v="Up to MBS Fee"/>
    <n v="2153887.15"/>
    <n v="1616693.07"/>
    <n v="537223.03"/>
    <n v="34871"/>
  </r>
  <r>
    <x v="23"/>
    <x v="2"/>
    <s v="TAS"/>
    <s v="No gap agreement"/>
    <s v="100% MBS Fee to 125% MBS Fee"/>
    <n v="3114089.59"/>
    <n v="1973009.86"/>
    <n v="1141079.58"/>
    <n v="22673"/>
  </r>
  <r>
    <x v="23"/>
    <x v="2"/>
    <s v="TAS"/>
    <s v="No gap agreement"/>
    <s v="More than 125% MBS Fee to 150% MBS Fee"/>
    <n v="8809566.6799999997"/>
    <n v="4808849.04"/>
    <n v="4000709.43"/>
    <n v="53993"/>
  </r>
  <r>
    <x v="23"/>
    <x v="2"/>
    <s v="TAS"/>
    <s v="No gap agreement"/>
    <s v="More than 150% MBS Fee to 200% MBS Fee"/>
    <n v="11988725.15"/>
    <n v="5462614.8899999997"/>
    <n v="6526110.6100000003"/>
    <n v="56152"/>
  </r>
  <r>
    <x v="23"/>
    <x v="2"/>
    <s v="TAS"/>
    <s v="No gap agreement"/>
    <s v="More than 200% MBS Fee"/>
    <n v="404161.02"/>
    <n v="109965.25"/>
    <n v="294195.77"/>
    <n v="329"/>
  </r>
  <r>
    <x v="23"/>
    <x v="2"/>
    <s v="ACT"/>
    <s v="No agreement"/>
    <s v="Up to MBS Fee"/>
    <n v="961507.54"/>
    <n v="717181.47"/>
    <n v="237293.17"/>
    <n v="8000"/>
  </r>
  <r>
    <x v="23"/>
    <x v="2"/>
    <s v="ACT"/>
    <s v="No agreement"/>
    <s v="100% MBS Fee to 125% MBS Fee"/>
    <n v="143996.04999999999"/>
    <n v="98684.29"/>
    <n v="34138.050000000003"/>
    <n v="455"/>
  </r>
  <r>
    <x v="23"/>
    <x v="2"/>
    <s v="ACT"/>
    <s v="No agreement"/>
    <s v="More than 125% MBS Fee to 150% MBS Fee"/>
    <n v="162899.26999999999"/>
    <n v="88722.36"/>
    <n v="34777"/>
    <n v="402"/>
  </r>
  <r>
    <x v="23"/>
    <x v="2"/>
    <s v="ACT"/>
    <s v="No agreement"/>
    <s v="More than 150% MBS Fee to 200% MBS Fee"/>
    <n v="587338"/>
    <n v="249774.59"/>
    <n v="105749.47"/>
    <n v="2289"/>
  </r>
  <r>
    <x v="23"/>
    <x v="2"/>
    <s v="ACT"/>
    <s v="No agreement"/>
    <s v="More than 200% MBS Fee"/>
    <n v="6807155.7999999998"/>
    <n v="1544031.58"/>
    <n v="520054.67"/>
    <n v="6856"/>
  </r>
  <r>
    <x v="23"/>
    <x v="2"/>
    <s v="ACT"/>
    <s v="Known gap agreement"/>
    <s v="100% MBS Fee to 125% MBS Fee"/>
    <n v="77132.84"/>
    <n v="48458.05"/>
    <n v="25002.7"/>
    <n v="317"/>
  </r>
  <r>
    <x v="23"/>
    <x v="2"/>
    <s v="ACT"/>
    <s v="Known gap agreement"/>
    <s v="More than 125% MBS Fee to 150% MBS Fee"/>
    <n v="180061.22"/>
    <n v="97396.1"/>
    <n v="69250.13"/>
    <n v="545"/>
  </r>
  <r>
    <x v="23"/>
    <x v="2"/>
    <s v="ACT"/>
    <s v="Known gap agreement"/>
    <s v="More than 150% MBS Fee to 200% MBS Fee"/>
    <n v="536265.66"/>
    <n v="230670.8"/>
    <n v="244800.38"/>
    <n v="1566"/>
  </r>
  <r>
    <x v="23"/>
    <x v="2"/>
    <s v="ACT"/>
    <s v="Known gap agreement"/>
    <s v="More than 200% MBS Fee"/>
    <n v="3032353.98"/>
    <n v="805132.74"/>
    <n v="906161.67"/>
    <n v="10531"/>
  </r>
  <r>
    <x v="23"/>
    <x v="2"/>
    <s v="ACT"/>
    <s v="No gap agreement"/>
    <s v="Up to MBS Fee"/>
    <n v="540096.5"/>
    <n v="406286.83"/>
    <n v="133809.54999999999"/>
    <n v="17944"/>
  </r>
  <r>
    <x v="23"/>
    <x v="2"/>
    <s v="ACT"/>
    <s v="No gap agreement"/>
    <s v="100% MBS Fee to 125% MBS Fee"/>
    <n v="1623675.16"/>
    <n v="1030634.75"/>
    <n v="593036.77"/>
    <n v="16412"/>
  </r>
  <r>
    <x v="23"/>
    <x v="2"/>
    <s v="ACT"/>
    <s v="No gap agreement"/>
    <s v="More than 125% MBS Fee to 150% MBS Fee"/>
    <n v="3749716.58"/>
    <n v="2062097.07"/>
    <n v="1687614.97"/>
    <n v="30132"/>
  </r>
  <r>
    <x v="23"/>
    <x v="2"/>
    <s v="ACT"/>
    <s v="No gap agreement"/>
    <s v="More than 150% MBS Fee to 200% MBS Fee"/>
    <n v="2822077.7"/>
    <n v="1284721.8500000001"/>
    <n v="1537336.46"/>
    <n v="16095"/>
  </r>
  <r>
    <x v="23"/>
    <x v="2"/>
    <s v="ACT"/>
    <s v="No gap agreement"/>
    <s v="More than 200% MBS Fee"/>
    <n v="278915.46999999997"/>
    <n v="84466.15"/>
    <n v="194449.3"/>
    <n v="522"/>
  </r>
  <r>
    <x v="23"/>
    <x v="2"/>
    <s v="NT"/>
    <s v="No agreement"/>
    <s v="Up to MBS Fee"/>
    <n v="307322.03999999998"/>
    <n v="230387.29"/>
    <n v="76691.75"/>
    <n v="1325"/>
  </r>
  <r>
    <x v="23"/>
    <x v="2"/>
    <s v="NT"/>
    <s v="No agreement"/>
    <s v="100% MBS Fee to 125% MBS Fee"/>
    <n v="48381.2"/>
    <n v="31054.25"/>
    <n v="14563.75"/>
    <n v="299"/>
  </r>
  <r>
    <x v="23"/>
    <x v="2"/>
    <s v="NT"/>
    <s v="No agreement"/>
    <s v="More than 125% MBS Fee to 150% MBS Fee"/>
    <n v="63944.25"/>
    <n v="34652.239999999998"/>
    <n v="17205.5"/>
    <n v="393"/>
  </r>
  <r>
    <x v="23"/>
    <x v="2"/>
    <s v="NT"/>
    <s v="No agreement"/>
    <s v="More than 150% MBS Fee to 200% MBS Fee"/>
    <n v="100833.33"/>
    <n v="45011.78"/>
    <n v="30459.75"/>
    <n v="398"/>
  </r>
  <r>
    <x v="23"/>
    <x v="2"/>
    <s v="NT"/>
    <s v="No agreement"/>
    <s v="More than 200% MBS Fee"/>
    <n v="1114204.76"/>
    <n v="261056.81"/>
    <n v="93119.1"/>
    <n v="1019"/>
  </r>
  <r>
    <x v="23"/>
    <x v="2"/>
    <s v="NT"/>
    <s v="Known gap agreement"/>
    <s v="100% MBS Fee to 125% MBS Fee"/>
    <n v="35353.69"/>
    <n v="23126.2"/>
    <n v="10763.6"/>
    <n v="195"/>
  </r>
  <r>
    <x v="23"/>
    <x v="2"/>
    <s v="NT"/>
    <s v="Known gap agreement"/>
    <s v="More than 125% MBS Fee to 150% MBS Fee"/>
    <n v="135980.9"/>
    <n v="74400.350000000006"/>
    <n v="44606.82"/>
    <n v="526"/>
  </r>
  <r>
    <x v="23"/>
    <x v="2"/>
    <s v="NT"/>
    <s v="Known gap agreement"/>
    <s v="More than 150% MBS Fee to 200% MBS Fee"/>
    <n v="244697.67"/>
    <n v="108740.25"/>
    <n v="95573.07"/>
    <n v="693"/>
  </r>
  <r>
    <x v="23"/>
    <x v="2"/>
    <s v="NT"/>
    <s v="Known gap agreement"/>
    <s v="More than 200% MBS Fee"/>
    <n v="425202.23"/>
    <n v="118692.4"/>
    <n v="136659.35"/>
    <n v="1707"/>
  </r>
  <r>
    <x v="23"/>
    <x v="2"/>
    <s v="NT"/>
    <s v="No gap agreement"/>
    <s v="Up to MBS Fee"/>
    <n v="610523.03"/>
    <n v="458391.95"/>
    <n v="152131.07999999999"/>
    <n v="6917"/>
  </r>
  <r>
    <x v="23"/>
    <x v="2"/>
    <s v="NT"/>
    <s v="No gap agreement"/>
    <s v="100% MBS Fee to 125% MBS Fee"/>
    <n v="528923.42000000004"/>
    <n v="335832.72"/>
    <n v="193090.25"/>
    <n v="3773"/>
  </r>
  <r>
    <x v="23"/>
    <x v="2"/>
    <s v="NT"/>
    <s v="No gap agreement"/>
    <s v="More than 125% MBS Fee to 150% MBS Fee"/>
    <n v="1313960.26"/>
    <n v="714418.54"/>
    <n v="599532.06999999995"/>
    <n v="6117"/>
  </r>
  <r>
    <x v="23"/>
    <x v="2"/>
    <s v="NT"/>
    <s v="No gap agreement"/>
    <s v="More than 150% MBS Fee to 200% MBS Fee"/>
    <n v="2055074.61"/>
    <n v="937225.9"/>
    <n v="1117831.3999999999"/>
    <n v="9456"/>
  </r>
  <r>
    <x v="23"/>
    <x v="2"/>
    <s v="NT"/>
    <s v="No gap agreement"/>
    <s v="More than 200% MBS Fee"/>
    <n v="50651.7"/>
    <n v="15185.9"/>
    <n v="35465.800000000003"/>
    <n v="70"/>
  </r>
  <r>
    <x v="23"/>
    <x v="3"/>
    <s v="NSW"/>
    <s v="No agreement"/>
    <s v="Up to MBS Fee"/>
    <n v="35032079.920000002"/>
    <n v="26299203.719999999"/>
    <n v="8717351.2899999991"/>
    <n v="433407"/>
  </r>
  <r>
    <x v="23"/>
    <x v="3"/>
    <s v="NSW"/>
    <s v="No agreement"/>
    <s v="100% MBS Fee to 125% MBS Fee"/>
    <n v="2460387.35"/>
    <n v="1653756.84"/>
    <n v="619692.16"/>
    <n v="11336"/>
  </r>
  <r>
    <x v="23"/>
    <x v="3"/>
    <s v="NSW"/>
    <s v="No agreement"/>
    <s v="More than 125% MBS Fee to 150% MBS Fee"/>
    <n v="2550217.1800000002"/>
    <n v="1373710.24"/>
    <n v="701546.88"/>
    <n v="12772"/>
  </r>
  <r>
    <x v="23"/>
    <x v="3"/>
    <s v="NSW"/>
    <s v="No agreement"/>
    <s v="More than 150% MBS Fee to 200% MBS Fee"/>
    <n v="6891562.1799999997"/>
    <n v="2979202.78"/>
    <n v="1549328.09"/>
    <n v="27192"/>
  </r>
  <r>
    <x v="23"/>
    <x v="3"/>
    <s v="NSW"/>
    <s v="No agreement"/>
    <s v="More than 200% MBS Fee"/>
    <n v="73518433.840000004"/>
    <n v="16321990.27"/>
    <n v="5548491.5599999996"/>
    <n v="69873"/>
  </r>
  <r>
    <x v="23"/>
    <x v="3"/>
    <s v="NSW"/>
    <s v="Known gap agreement"/>
    <s v="100% MBS Fee to 125% MBS Fee"/>
    <n v="2961302.17"/>
    <n v="1924417.54"/>
    <n v="956578"/>
    <n v="12424"/>
  </r>
  <r>
    <x v="23"/>
    <x v="3"/>
    <s v="NSW"/>
    <s v="Known gap agreement"/>
    <s v="More than 125% MBS Fee to 150% MBS Fee"/>
    <n v="4209822.97"/>
    <n v="2263577.71"/>
    <n v="1720534.9"/>
    <n v="12690"/>
  </r>
  <r>
    <x v="23"/>
    <x v="3"/>
    <s v="NSW"/>
    <s v="Known gap agreement"/>
    <s v="More than 150% MBS Fee to 200% MBS Fee"/>
    <n v="14479999.4"/>
    <n v="6228092.5499999998"/>
    <n v="6467186.8200000003"/>
    <n v="33188"/>
  </r>
  <r>
    <x v="23"/>
    <x v="3"/>
    <s v="NSW"/>
    <s v="Known gap agreement"/>
    <s v="More than 200% MBS Fee"/>
    <n v="36430912.259999998"/>
    <n v="9561753.0199999996"/>
    <n v="11327003.640000001"/>
    <n v="128158"/>
  </r>
  <r>
    <x v="23"/>
    <x v="3"/>
    <s v="NSW"/>
    <s v="No gap agreement"/>
    <s v="Up to MBS Fee"/>
    <n v="26405202.879999999"/>
    <n v="19821070.789999999"/>
    <n v="6584191.3200000003"/>
    <n v="814644"/>
  </r>
  <r>
    <x v="23"/>
    <x v="3"/>
    <s v="NSW"/>
    <s v="No gap agreement"/>
    <s v="100% MBS Fee to 125% MBS Fee"/>
    <n v="47832295.409999996"/>
    <n v="30198306.84"/>
    <n v="17633930.510000002"/>
    <n v="413748"/>
  </r>
  <r>
    <x v="23"/>
    <x v="3"/>
    <s v="NSW"/>
    <s v="No gap agreement"/>
    <s v="More than 125% MBS Fee to 150% MBS Fee"/>
    <n v="88545431.189999998"/>
    <n v="48363423.369999997"/>
    <n v="40181989.030000001"/>
    <n v="542644"/>
  </r>
  <r>
    <x v="23"/>
    <x v="3"/>
    <s v="NSW"/>
    <s v="No gap agreement"/>
    <s v="More than 150% MBS Fee to 200% MBS Fee"/>
    <n v="101928996.19"/>
    <n v="46485205.200000003"/>
    <n v="55443697.049999997"/>
    <n v="544686"/>
  </r>
  <r>
    <x v="23"/>
    <x v="3"/>
    <s v="NSW"/>
    <s v="No gap agreement"/>
    <s v="More than 200% MBS Fee"/>
    <n v="7171571.1100000003"/>
    <n v="2066500.5"/>
    <n v="5105070.6100000003"/>
    <n v="14056"/>
  </r>
  <r>
    <x v="23"/>
    <x v="3"/>
    <s v="VIC"/>
    <s v="No agreement"/>
    <s v="Up to MBS Fee"/>
    <n v="8871810.3200000003"/>
    <n v="6650187.4299999997"/>
    <n v="2204800.9700000002"/>
    <n v="156679"/>
  </r>
  <r>
    <x v="23"/>
    <x v="3"/>
    <s v="VIC"/>
    <s v="No agreement"/>
    <s v="100% MBS Fee to 125% MBS Fee"/>
    <n v="1371794.26"/>
    <n v="905430.86"/>
    <n v="352508"/>
    <n v="6558"/>
  </r>
  <r>
    <x v="23"/>
    <x v="3"/>
    <s v="VIC"/>
    <s v="No agreement"/>
    <s v="More than 125% MBS Fee to 150% MBS Fee"/>
    <n v="3205182.23"/>
    <n v="1764529.53"/>
    <n v="949002.2"/>
    <n v="41123"/>
  </r>
  <r>
    <x v="23"/>
    <x v="3"/>
    <s v="VIC"/>
    <s v="No agreement"/>
    <s v="More than 150% MBS Fee to 200% MBS Fee"/>
    <n v="5517402.5499999998"/>
    <n v="2365444.13"/>
    <n v="1369730.67"/>
    <n v="37921"/>
  </r>
  <r>
    <x v="23"/>
    <x v="3"/>
    <s v="VIC"/>
    <s v="No agreement"/>
    <s v="More than 200% MBS Fee"/>
    <n v="23553423.370000001"/>
    <n v="5496340.7400000002"/>
    <n v="1994524.42"/>
    <n v="26100"/>
  </r>
  <r>
    <x v="23"/>
    <x v="3"/>
    <s v="VIC"/>
    <s v="Known gap agreement"/>
    <s v="100% MBS Fee to 125% MBS Fee"/>
    <n v="3559982.44"/>
    <n v="2366272.48"/>
    <n v="1055030.5"/>
    <n v="16506"/>
  </r>
  <r>
    <x v="23"/>
    <x v="3"/>
    <s v="VIC"/>
    <s v="Known gap agreement"/>
    <s v="More than 125% MBS Fee to 150% MBS Fee"/>
    <n v="6202559.6900000004"/>
    <n v="3362290.3"/>
    <n v="2439525.89"/>
    <n v="23767"/>
  </r>
  <r>
    <x v="23"/>
    <x v="3"/>
    <s v="VIC"/>
    <s v="Known gap agreement"/>
    <s v="More than 150% MBS Fee to 200% MBS Fee"/>
    <n v="14105937.1"/>
    <n v="6091239.9100000001"/>
    <n v="5892514.3499999996"/>
    <n v="36042"/>
  </r>
  <r>
    <x v="23"/>
    <x v="3"/>
    <s v="VIC"/>
    <s v="Known gap agreement"/>
    <s v="More than 200% MBS Fee"/>
    <n v="30575331.940000001"/>
    <n v="8295893.1500000004"/>
    <n v="9546625.4199999999"/>
    <n v="114759"/>
  </r>
  <r>
    <x v="23"/>
    <x v="3"/>
    <s v="VIC"/>
    <s v="No gap agreement"/>
    <s v="Up to MBS Fee"/>
    <n v="16969067.710000001"/>
    <n v="12749470.310000001"/>
    <n v="4219621.8499999996"/>
    <n v="228857"/>
  </r>
  <r>
    <x v="23"/>
    <x v="3"/>
    <s v="VIC"/>
    <s v="No gap agreement"/>
    <s v="100% MBS Fee to 125% MBS Fee"/>
    <n v="41676542.229999997"/>
    <n v="26527998.98"/>
    <n v="15148424.5"/>
    <n v="363095"/>
  </r>
  <r>
    <x v="23"/>
    <x v="3"/>
    <s v="VIC"/>
    <s v="No gap agreement"/>
    <s v="More than 125% MBS Fee to 150% MBS Fee"/>
    <n v="102234934.48999999"/>
    <n v="55951452.109999999"/>
    <n v="46283417.780000001"/>
    <n v="688662"/>
  </r>
  <r>
    <x v="23"/>
    <x v="3"/>
    <s v="VIC"/>
    <s v="No gap agreement"/>
    <s v="More than 150% MBS Fee to 200% MBS Fee"/>
    <n v="98892849.650000006"/>
    <n v="44219157.060000002"/>
    <n v="54673347.920000002"/>
    <n v="514232"/>
  </r>
  <r>
    <x v="23"/>
    <x v="3"/>
    <s v="VIC"/>
    <s v="No gap agreement"/>
    <s v="More than 200% MBS Fee"/>
    <n v="3313196.52"/>
    <n v="864888.73"/>
    <n v="2448307.79"/>
    <n v="3857"/>
  </r>
  <r>
    <x v="23"/>
    <x v="3"/>
    <s v="QLD"/>
    <s v="No agreement"/>
    <s v="Up to MBS Fee"/>
    <n v="6272378.9299999997"/>
    <n v="4683648.29"/>
    <n v="1552516.6"/>
    <n v="91837"/>
  </r>
  <r>
    <x v="23"/>
    <x v="3"/>
    <s v="QLD"/>
    <s v="No agreement"/>
    <s v="100% MBS Fee to 125% MBS Fee"/>
    <n v="1779158.4"/>
    <n v="1161654.0900000001"/>
    <n v="497348.89"/>
    <n v="13713"/>
  </r>
  <r>
    <x v="23"/>
    <x v="3"/>
    <s v="QLD"/>
    <s v="No agreement"/>
    <s v="More than 125% MBS Fee to 150% MBS Fee"/>
    <n v="2642740.87"/>
    <n v="1416348.01"/>
    <n v="719381.61"/>
    <n v="27294"/>
  </r>
  <r>
    <x v="23"/>
    <x v="3"/>
    <s v="QLD"/>
    <s v="No agreement"/>
    <s v="More than 150% MBS Fee to 200% MBS Fee"/>
    <n v="5206604.4000000004"/>
    <n v="2266672.5499999998"/>
    <n v="1414959.33"/>
    <n v="22595"/>
  </r>
  <r>
    <x v="23"/>
    <x v="3"/>
    <s v="QLD"/>
    <s v="No agreement"/>
    <s v="More than 200% MBS Fee"/>
    <n v="36246576.039999999"/>
    <n v="8401129.3399999999"/>
    <n v="2892950.26"/>
    <n v="38584"/>
  </r>
  <r>
    <x v="23"/>
    <x v="3"/>
    <s v="QLD"/>
    <s v="Known gap agreement"/>
    <s v="100% MBS Fee to 125% MBS Fee"/>
    <n v="1949497.29"/>
    <n v="1282169.3999999999"/>
    <n v="595915.43999999994"/>
    <n v="9599"/>
  </r>
  <r>
    <x v="23"/>
    <x v="3"/>
    <s v="QLD"/>
    <s v="Known gap agreement"/>
    <s v="More than 125% MBS Fee to 150% MBS Fee"/>
    <n v="2974162.9"/>
    <n v="1605286.46"/>
    <n v="1136645.43"/>
    <n v="10331"/>
  </r>
  <r>
    <x v="23"/>
    <x v="3"/>
    <s v="QLD"/>
    <s v="Known gap agreement"/>
    <s v="More than 150% MBS Fee to 200% MBS Fee"/>
    <n v="12529181.390000001"/>
    <n v="5298016.9000000004"/>
    <n v="5303565.62"/>
    <n v="20025"/>
  </r>
  <r>
    <x v="23"/>
    <x v="3"/>
    <s v="QLD"/>
    <s v="Known gap agreement"/>
    <s v="More than 200% MBS Fee"/>
    <n v="26419534.399999999"/>
    <n v="7201654.7400000002"/>
    <n v="8185081.9699999997"/>
    <n v="65021"/>
  </r>
  <r>
    <x v="23"/>
    <x v="3"/>
    <s v="QLD"/>
    <s v="No gap agreement"/>
    <s v="Up to MBS Fee"/>
    <n v="16686572.92"/>
    <n v="12521368.57"/>
    <n v="4165218.81"/>
    <n v="303362"/>
  </r>
  <r>
    <x v="23"/>
    <x v="3"/>
    <s v="QLD"/>
    <s v="No gap agreement"/>
    <s v="100% MBS Fee to 125% MBS Fee"/>
    <n v="40849674.25"/>
    <n v="25946990.010000002"/>
    <n v="14902394.75"/>
    <n v="389908"/>
  </r>
  <r>
    <x v="23"/>
    <x v="3"/>
    <s v="QLD"/>
    <s v="No gap agreement"/>
    <s v="More than 125% MBS Fee to 150% MBS Fee"/>
    <n v="72111888.040000007"/>
    <n v="39656904.009999998"/>
    <n v="32454274.210000001"/>
    <n v="561049"/>
  </r>
  <r>
    <x v="23"/>
    <x v="3"/>
    <s v="QLD"/>
    <s v="No gap agreement"/>
    <s v="More than 150% MBS Fee to 200% MBS Fee"/>
    <n v="67876423.120000005"/>
    <n v="30837866.460000001"/>
    <n v="37038123.509999998"/>
    <n v="441831"/>
  </r>
  <r>
    <x v="23"/>
    <x v="3"/>
    <s v="QLD"/>
    <s v="No gap agreement"/>
    <s v="More than 200% MBS Fee"/>
    <n v="4890722.95"/>
    <n v="1401877.72"/>
    <n v="3488843.65"/>
    <n v="6602"/>
  </r>
  <r>
    <x v="23"/>
    <x v="3"/>
    <s v="SA"/>
    <s v="No agreement"/>
    <s v="Up to MBS Fee"/>
    <n v="1895177.96"/>
    <n v="1417693.99"/>
    <n v="470821"/>
    <n v="19023"/>
  </r>
  <r>
    <x v="23"/>
    <x v="3"/>
    <s v="SA"/>
    <s v="No agreement"/>
    <s v="100% MBS Fee to 125% MBS Fee"/>
    <n v="448341.48"/>
    <n v="290641.52"/>
    <n v="123026.45"/>
    <n v="1496"/>
  </r>
  <r>
    <x v="23"/>
    <x v="3"/>
    <s v="SA"/>
    <s v="No agreement"/>
    <s v="More than 125% MBS Fee to 150% MBS Fee"/>
    <n v="850294.01"/>
    <n v="479379.89"/>
    <n v="320709.01"/>
    <n v="12049"/>
  </r>
  <r>
    <x v="23"/>
    <x v="3"/>
    <s v="SA"/>
    <s v="No agreement"/>
    <s v="More than 150% MBS Fee to 200% MBS Fee"/>
    <n v="756494.63"/>
    <n v="328026.38"/>
    <n v="302928.14"/>
    <n v="2872"/>
  </r>
  <r>
    <x v="23"/>
    <x v="3"/>
    <s v="SA"/>
    <s v="No agreement"/>
    <s v="More than 200% MBS Fee"/>
    <n v="1957656.56"/>
    <n v="445720.78"/>
    <n v="187260.27"/>
    <n v="2225"/>
  </r>
  <r>
    <x v="23"/>
    <x v="3"/>
    <s v="SA"/>
    <s v="Known gap agreement"/>
    <s v="100% MBS Fee to 125% MBS Fee"/>
    <n v="398375.27"/>
    <n v="254809.55"/>
    <n v="131111"/>
    <n v="1868"/>
  </r>
  <r>
    <x v="23"/>
    <x v="3"/>
    <s v="SA"/>
    <s v="Known gap agreement"/>
    <s v="More than 125% MBS Fee to 150% MBS Fee"/>
    <n v="888861.95"/>
    <n v="476909.89"/>
    <n v="365791.58"/>
    <n v="2819"/>
  </r>
  <r>
    <x v="23"/>
    <x v="3"/>
    <s v="SA"/>
    <s v="Known gap agreement"/>
    <s v="More than 150% MBS Fee to 200% MBS Fee"/>
    <n v="5297281.47"/>
    <n v="2232809.98"/>
    <n v="2335037.7000000002"/>
    <n v="9453"/>
  </r>
  <r>
    <x v="23"/>
    <x v="3"/>
    <s v="SA"/>
    <s v="Known gap agreement"/>
    <s v="More than 200% MBS Fee"/>
    <n v="7951157.3399999999"/>
    <n v="2453491.71"/>
    <n v="3073934.55"/>
    <n v="28289"/>
  </r>
  <r>
    <x v="23"/>
    <x v="3"/>
    <s v="SA"/>
    <s v="No gap agreement"/>
    <s v="Up to MBS Fee"/>
    <n v="5882873.9699999997"/>
    <n v="4415554.7300000004"/>
    <n v="1467319.91"/>
    <n v="110831"/>
  </r>
  <r>
    <x v="23"/>
    <x v="3"/>
    <s v="SA"/>
    <s v="No gap agreement"/>
    <s v="100% MBS Fee to 125% MBS Fee"/>
    <n v="7439139.3399999999"/>
    <n v="4664349.62"/>
    <n v="2774788.73"/>
    <n v="70495"/>
  </r>
  <r>
    <x v="23"/>
    <x v="3"/>
    <s v="SA"/>
    <s v="No gap agreement"/>
    <s v="More than 125% MBS Fee to 150% MBS Fee"/>
    <n v="25555978.530000001"/>
    <n v="13910206.43"/>
    <n v="11645754.65"/>
    <n v="206966"/>
  </r>
  <r>
    <x v="23"/>
    <x v="3"/>
    <s v="SA"/>
    <s v="No gap agreement"/>
    <s v="More than 150% MBS Fee to 200% MBS Fee"/>
    <n v="42624688.530000001"/>
    <n v="18867982.32"/>
    <n v="23756703.66"/>
    <n v="162917"/>
  </r>
  <r>
    <x v="23"/>
    <x v="3"/>
    <s v="SA"/>
    <s v="No gap agreement"/>
    <s v="More than 200% MBS Fee"/>
    <n v="1419845.87"/>
    <n v="369895.15"/>
    <n v="1049950.72"/>
    <n v="1049"/>
  </r>
  <r>
    <x v="23"/>
    <x v="3"/>
    <s v="WA"/>
    <s v="No agreement"/>
    <s v="Up to MBS Fee"/>
    <n v="2201917.9700000002"/>
    <n v="1653272.3"/>
    <n v="548022.55000000005"/>
    <n v="35862"/>
  </r>
  <r>
    <x v="23"/>
    <x v="3"/>
    <s v="WA"/>
    <s v="No agreement"/>
    <s v="100% MBS Fee to 125% MBS Fee"/>
    <n v="362954.25"/>
    <n v="243024.03"/>
    <n v="88368.29"/>
    <n v="1648"/>
  </r>
  <r>
    <x v="23"/>
    <x v="3"/>
    <s v="WA"/>
    <s v="No agreement"/>
    <s v="More than 125% MBS Fee to 150% MBS Fee"/>
    <n v="1095740.49"/>
    <n v="574519"/>
    <n v="214155.73"/>
    <n v="15103"/>
  </r>
  <r>
    <x v="23"/>
    <x v="3"/>
    <s v="WA"/>
    <s v="No agreement"/>
    <s v="More than 150% MBS Fee to 200% MBS Fee"/>
    <n v="1648754.54"/>
    <n v="718233.59"/>
    <n v="321742.31"/>
    <n v="5356"/>
  </r>
  <r>
    <x v="23"/>
    <x v="3"/>
    <s v="WA"/>
    <s v="No agreement"/>
    <s v="More than 200% MBS Fee"/>
    <n v="6764016.5499999998"/>
    <n v="1492516.64"/>
    <n v="539545.06000000006"/>
    <n v="8885"/>
  </r>
  <r>
    <x v="23"/>
    <x v="3"/>
    <s v="WA"/>
    <s v="Known gap agreement"/>
    <s v="100% MBS Fee to 125% MBS Fee"/>
    <n v="2352641.94"/>
    <n v="1620389.77"/>
    <n v="697739.32"/>
    <n v="11829"/>
  </r>
  <r>
    <x v="23"/>
    <x v="3"/>
    <s v="WA"/>
    <s v="Known gap agreement"/>
    <s v="More than 125% MBS Fee to 150% MBS Fee"/>
    <n v="4282707.6399999997"/>
    <n v="2304042.2799999998"/>
    <n v="1790028.09"/>
    <n v="30377"/>
  </r>
  <r>
    <x v="23"/>
    <x v="3"/>
    <s v="WA"/>
    <s v="Known gap agreement"/>
    <s v="More than 150% MBS Fee to 200% MBS Fee"/>
    <n v="8394797.3900000006"/>
    <n v="3719403.41"/>
    <n v="3421036.46"/>
    <n v="19058"/>
  </r>
  <r>
    <x v="23"/>
    <x v="3"/>
    <s v="WA"/>
    <s v="Known gap agreement"/>
    <s v="More than 200% MBS Fee"/>
    <n v="15215476.73"/>
    <n v="3905025.01"/>
    <n v="2912360.27"/>
    <n v="39563"/>
  </r>
  <r>
    <x v="23"/>
    <x v="3"/>
    <s v="WA"/>
    <s v="No gap agreement"/>
    <s v="Up to MBS Fee"/>
    <n v="7295167.0999999996"/>
    <n v="5478806.8700000001"/>
    <n v="1816360.56"/>
    <n v="122847"/>
  </r>
  <r>
    <x v="23"/>
    <x v="3"/>
    <s v="WA"/>
    <s v="No gap agreement"/>
    <s v="100% MBS Fee to 125% MBS Fee"/>
    <n v="7672059.2599999998"/>
    <n v="4969141.5999999996"/>
    <n v="2702911.75"/>
    <n v="54750"/>
  </r>
  <r>
    <x v="23"/>
    <x v="3"/>
    <s v="WA"/>
    <s v="No gap agreement"/>
    <s v="More than 125% MBS Fee to 150% MBS Fee"/>
    <n v="38758016.240000002"/>
    <n v="21507740.469999999"/>
    <n v="17250184.719999999"/>
    <n v="275744"/>
  </r>
  <r>
    <x v="23"/>
    <x v="3"/>
    <s v="WA"/>
    <s v="No gap agreement"/>
    <s v="More than 150% MBS Fee to 200% MBS Fee"/>
    <n v="51938310.490000002"/>
    <n v="23005077.039999999"/>
    <n v="28933231.620000001"/>
    <n v="235282"/>
  </r>
  <r>
    <x v="23"/>
    <x v="3"/>
    <s v="WA"/>
    <s v="No gap agreement"/>
    <s v="More than 200% MBS Fee"/>
    <n v="2720486.27"/>
    <n v="710448.85"/>
    <n v="2010037.42"/>
    <n v="1855"/>
  </r>
  <r>
    <x v="23"/>
    <x v="3"/>
    <s v="TAS"/>
    <s v="No agreement"/>
    <s v="Up to MBS Fee"/>
    <n v="405032.21"/>
    <n v="304952.51"/>
    <n v="100080.15"/>
    <n v="3282"/>
  </r>
  <r>
    <x v="23"/>
    <x v="3"/>
    <s v="TAS"/>
    <s v="No agreement"/>
    <s v="100% MBS Fee to 125% MBS Fee"/>
    <n v="181748.96"/>
    <n v="117820.75"/>
    <n v="55202.95"/>
    <n v="863"/>
  </r>
  <r>
    <x v="23"/>
    <x v="3"/>
    <s v="TAS"/>
    <s v="No agreement"/>
    <s v="More than 125% MBS Fee to 150% MBS Fee"/>
    <n v="223387.74"/>
    <n v="125671.03999999999"/>
    <n v="75036.95"/>
    <n v="2422"/>
  </r>
  <r>
    <x v="23"/>
    <x v="3"/>
    <s v="TAS"/>
    <s v="No agreement"/>
    <s v="More than 150% MBS Fee to 200% MBS Fee"/>
    <n v="277259.71000000002"/>
    <n v="122964.19"/>
    <n v="63996.34"/>
    <n v="1017"/>
  </r>
  <r>
    <x v="23"/>
    <x v="3"/>
    <s v="TAS"/>
    <s v="No agreement"/>
    <s v="More than 200% MBS Fee"/>
    <n v="1460348.4"/>
    <n v="324927.92"/>
    <n v="111972.07"/>
    <n v="1285"/>
  </r>
  <r>
    <x v="23"/>
    <x v="3"/>
    <s v="TAS"/>
    <s v="Known gap agreement"/>
    <s v="100% MBS Fee to 125% MBS Fee"/>
    <n v="186480.06"/>
    <n v="124078.67"/>
    <n v="54038.32"/>
    <n v="854"/>
  </r>
  <r>
    <x v="23"/>
    <x v="3"/>
    <s v="TAS"/>
    <s v="Known gap agreement"/>
    <s v="More than 125% MBS Fee to 150% MBS Fee"/>
    <n v="396815.24"/>
    <n v="214346.31"/>
    <n v="166300.13"/>
    <n v="1127"/>
  </r>
  <r>
    <x v="23"/>
    <x v="3"/>
    <s v="TAS"/>
    <s v="Known gap agreement"/>
    <s v="More than 150% MBS Fee to 200% MBS Fee"/>
    <n v="1418613.82"/>
    <n v="602618.5"/>
    <n v="626525.46"/>
    <n v="2448"/>
  </r>
  <r>
    <x v="23"/>
    <x v="3"/>
    <s v="TAS"/>
    <s v="Known gap agreement"/>
    <s v="More than 200% MBS Fee"/>
    <n v="2311986.09"/>
    <n v="679538.1"/>
    <n v="819645.68"/>
    <n v="6625"/>
  </r>
  <r>
    <x v="23"/>
    <x v="3"/>
    <s v="TAS"/>
    <s v="No gap agreement"/>
    <s v="Up to MBS Fee"/>
    <n v="1870090.91"/>
    <n v="1402924.74"/>
    <n v="467167.36"/>
    <n v="29310"/>
  </r>
  <r>
    <x v="23"/>
    <x v="3"/>
    <s v="TAS"/>
    <s v="No gap agreement"/>
    <s v="100% MBS Fee to 125% MBS Fee"/>
    <n v="2644938.9900000002"/>
    <n v="1674125.49"/>
    <n v="970812.65"/>
    <n v="20094"/>
  </r>
  <r>
    <x v="23"/>
    <x v="3"/>
    <s v="TAS"/>
    <s v="No gap agreement"/>
    <s v="More than 125% MBS Fee to 150% MBS Fee"/>
    <n v="7816882.6799999997"/>
    <n v="4264075.8"/>
    <n v="3552805.69"/>
    <n v="47725"/>
  </r>
  <r>
    <x v="23"/>
    <x v="3"/>
    <s v="TAS"/>
    <s v="No gap agreement"/>
    <s v="More than 150% MBS Fee to 200% MBS Fee"/>
    <n v="10032926.85"/>
    <n v="4572378.6399999997"/>
    <n v="5460548.5"/>
    <n v="46346"/>
  </r>
  <r>
    <x v="23"/>
    <x v="3"/>
    <s v="TAS"/>
    <s v="No gap agreement"/>
    <s v="More than 200% MBS Fee"/>
    <n v="390109.33"/>
    <n v="105774.15"/>
    <n v="284335.18"/>
    <n v="306"/>
  </r>
  <r>
    <x v="23"/>
    <x v="3"/>
    <s v="ACT"/>
    <s v="No agreement"/>
    <s v="Up to MBS Fee"/>
    <n v="945981.11"/>
    <n v="700267.25"/>
    <n v="232351.89"/>
    <n v="7082"/>
  </r>
  <r>
    <x v="23"/>
    <x v="3"/>
    <s v="ACT"/>
    <s v="No agreement"/>
    <s v="100% MBS Fee to 125% MBS Fee"/>
    <n v="117392.71"/>
    <n v="80982.25"/>
    <n v="28181.05"/>
    <n v="391"/>
  </r>
  <r>
    <x v="23"/>
    <x v="3"/>
    <s v="ACT"/>
    <s v="No agreement"/>
    <s v="More than 125% MBS Fee to 150% MBS Fee"/>
    <n v="117771.61"/>
    <n v="64266.55"/>
    <n v="22544.400000000001"/>
    <n v="351"/>
  </r>
  <r>
    <x v="23"/>
    <x v="3"/>
    <s v="ACT"/>
    <s v="No agreement"/>
    <s v="More than 150% MBS Fee to 200% MBS Fee"/>
    <n v="512961.13"/>
    <n v="218582.66"/>
    <n v="93695.05"/>
    <n v="2414"/>
  </r>
  <r>
    <x v="23"/>
    <x v="3"/>
    <s v="ACT"/>
    <s v="No agreement"/>
    <s v="More than 200% MBS Fee"/>
    <n v="6178394.2000000002"/>
    <n v="1401069.07"/>
    <n v="472624.8"/>
    <n v="6387"/>
  </r>
  <r>
    <x v="23"/>
    <x v="3"/>
    <s v="ACT"/>
    <s v="Known gap agreement"/>
    <s v="100% MBS Fee to 125% MBS Fee"/>
    <n v="55365.81"/>
    <n v="35225.360000000001"/>
    <n v="17736.009999999998"/>
    <n v="222"/>
  </r>
  <r>
    <x v="23"/>
    <x v="3"/>
    <s v="ACT"/>
    <s v="Known gap agreement"/>
    <s v="More than 125% MBS Fee to 150% MBS Fee"/>
    <n v="121442.26"/>
    <n v="65860.399999999994"/>
    <n v="43655.28"/>
    <n v="366"/>
  </r>
  <r>
    <x v="23"/>
    <x v="3"/>
    <s v="ACT"/>
    <s v="Known gap agreement"/>
    <s v="More than 150% MBS Fee to 200% MBS Fee"/>
    <n v="532605.81999999995"/>
    <n v="227292.76"/>
    <n v="239189.17"/>
    <n v="1297"/>
  </r>
  <r>
    <x v="23"/>
    <x v="3"/>
    <s v="ACT"/>
    <s v="Known gap agreement"/>
    <s v="More than 200% MBS Fee"/>
    <n v="2544145.12"/>
    <n v="668479.77"/>
    <n v="746155.23"/>
    <n v="9099"/>
  </r>
  <r>
    <x v="23"/>
    <x v="3"/>
    <s v="ACT"/>
    <s v="No gap agreement"/>
    <s v="Up to MBS Fee"/>
    <n v="479758.41"/>
    <n v="360186.15"/>
    <n v="119572.26"/>
    <n v="16284"/>
  </r>
  <r>
    <x v="23"/>
    <x v="3"/>
    <s v="ACT"/>
    <s v="No gap agreement"/>
    <s v="100% MBS Fee to 125% MBS Fee"/>
    <n v="1513191.67"/>
    <n v="959722.02"/>
    <n v="553467.32999999996"/>
    <n v="16611"/>
  </r>
  <r>
    <x v="23"/>
    <x v="3"/>
    <s v="ACT"/>
    <s v="No gap agreement"/>
    <s v="More than 125% MBS Fee to 150% MBS Fee"/>
    <n v="3244388.86"/>
    <n v="1782015.9"/>
    <n v="1462369.58"/>
    <n v="24906"/>
  </r>
  <r>
    <x v="23"/>
    <x v="3"/>
    <s v="ACT"/>
    <s v="No gap agreement"/>
    <s v="More than 150% MBS Fee to 200% MBS Fee"/>
    <n v="2493495.9300000002"/>
    <n v="1134715.26"/>
    <n v="1358760.52"/>
    <n v="14257"/>
  </r>
  <r>
    <x v="23"/>
    <x v="3"/>
    <s v="ACT"/>
    <s v="No gap agreement"/>
    <s v="More than 200% MBS Fee"/>
    <n v="292186.34000000003"/>
    <n v="84918.03"/>
    <n v="207268.31"/>
    <n v="560"/>
  </r>
  <r>
    <x v="23"/>
    <x v="3"/>
    <s v="NT"/>
    <s v="No agreement"/>
    <s v="Up to MBS Fee"/>
    <n v="270989.46999999997"/>
    <n v="202755.41"/>
    <n v="67508.92"/>
    <n v="1076"/>
  </r>
  <r>
    <x v="23"/>
    <x v="3"/>
    <s v="NT"/>
    <s v="No agreement"/>
    <s v="100% MBS Fee to 125% MBS Fee"/>
    <n v="45752.22"/>
    <n v="29393.4"/>
    <n v="13540.25"/>
    <n v="202"/>
  </r>
  <r>
    <x v="23"/>
    <x v="3"/>
    <s v="NT"/>
    <s v="No agreement"/>
    <s v="More than 125% MBS Fee to 150% MBS Fee"/>
    <n v="42950.25"/>
    <n v="23624.09"/>
    <n v="10050.950000000001"/>
    <n v="291"/>
  </r>
  <r>
    <x v="23"/>
    <x v="3"/>
    <s v="NT"/>
    <s v="No agreement"/>
    <s v="More than 150% MBS Fee to 200% MBS Fee"/>
    <n v="91200.27"/>
    <n v="40202.22"/>
    <n v="29234.45"/>
    <n v="467"/>
  </r>
  <r>
    <x v="23"/>
    <x v="3"/>
    <s v="NT"/>
    <s v="No agreement"/>
    <s v="More than 200% MBS Fee"/>
    <n v="1009211.65"/>
    <n v="239397.08"/>
    <n v="81132.55"/>
    <n v="858"/>
  </r>
  <r>
    <x v="23"/>
    <x v="3"/>
    <s v="NT"/>
    <s v="Known gap agreement"/>
    <s v="100% MBS Fee to 125% MBS Fee"/>
    <n v="48951.8"/>
    <n v="32405.35"/>
    <n v="14548.18"/>
    <n v="229"/>
  </r>
  <r>
    <x v="23"/>
    <x v="3"/>
    <s v="NT"/>
    <s v="Known gap agreement"/>
    <s v="More than 125% MBS Fee to 150% MBS Fee"/>
    <n v="102171.64"/>
    <n v="55597.7"/>
    <n v="40218.69"/>
    <n v="323"/>
  </r>
  <r>
    <x v="23"/>
    <x v="3"/>
    <s v="NT"/>
    <s v="Known gap agreement"/>
    <s v="More than 150% MBS Fee to 200% MBS Fee"/>
    <n v="182454.06"/>
    <n v="78164.55"/>
    <n v="77112.639999999999"/>
    <n v="481"/>
  </r>
  <r>
    <x v="23"/>
    <x v="3"/>
    <s v="NT"/>
    <s v="Known gap agreement"/>
    <s v="More than 200% MBS Fee"/>
    <n v="544489.22"/>
    <n v="150263.29999999999"/>
    <n v="173502.86"/>
    <n v="1922"/>
  </r>
  <r>
    <x v="23"/>
    <x v="3"/>
    <s v="NT"/>
    <s v="No gap agreement"/>
    <s v="Up to MBS Fee"/>
    <n v="333119.33"/>
    <n v="250372.83"/>
    <n v="82746.509999999995"/>
    <n v="4157"/>
  </r>
  <r>
    <x v="23"/>
    <x v="3"/>
    <s v="NT"/>
    <s v="No gap agreement"/>
    <s v="100% MBS Fee to 125% MBS Fee"/>
    <n v="545021.03"/>
    <n v="344946.34"/>
    <n v="200073.69"/>
    <n v="4060"/>
  </r>
  <r>
    <x v="23"/>
    <x v="3"/>
    <s v="NT"/>
    <s v="No gap agreement"/>
    <s v="More than 125% MBS Fee to 150% MBS Fee"/>
    <n v="1278225.5"/>
    <n v="693934.18"/>
    <n v="584289.81999999995"/>
    <n v="5888"/>
  </r>
  <r>
    <x v="23"/>
    <x v="3"/>
    <s v="NT"/>
    <s v="No gap agreement"/>
    <s v="More than 150% MBS Fee to 200% MBS Fee"/>
    <n v="2079110.86"/>
    <n v="951777.5"/>
    <n v="1127331.1599999999"/>
    <n v="9072"/>
  </r>
  <r>
    <x v="23"/>
    <x v="3"/>
    <s v="NT"/>
    <s v="No gap agreement"/>
    <s v="More than 200% MBS Fee"/>
    <n v="47636.4"/>
    <n v="14273.9"/>
    <n v="33362.5"/>
    <n v="57"/>
  </r>
  <r>
    <x v="23"/>
    <x v="1"/>
    <s v="NSW"/>
    <s v="No agreement"/>
    <s v="Up to MBS Fee"/>
    <n v="35533481.090000004"/>
    <n v="26659199.460000001"/>
    <n v="8850877.9299999997"/>
    <n v="379130"/>
  </r>
  <r>
    <x v="23"/>
    <x v="1"/>
    <s v="NSW"/>
    <s v="No agreement"/>
    <s v="100% MBS Fee to 125% MBS Fee"/>
    <n v="3784167.16"/>
    <n v="2489556.9700000002"/>
    <n v="911473.59"/>
    <n v="16025"/>
  </r>
  <r>
    <x v="23"/>
    <x v="1"/>
    <s v="NSW"/>
    <s v="No agreement"/>
    <s v="More than 125% MBS Fee to 150% MBS Fee"/>
    <n v="2756586.2"/>
    <n v="1485319.94"/>
    <n v="775628.15"/>
    <n v="12977"/>
  </r>
  <r>
    <x v="23"/>
    <x v="1"/>
    <s v="NSW"/>
    <s v="No agreement"/>
    <s v="More than 150% MBS Fee to 200% MBS Fee"/>
    <n v="7559280.7999999998"/>
    <n v="3268753.18"/>
    <n v="1680359.14"/>
    <n v="31302"/>
  </r>
  <r>
    <x v="23"/>
    <x v="1"/>
    <s v="NSW"/>
    <s v="No agreement"/>
    <s v="More than 200% MBS Fee"/>
    <n v="80899779.659999996"/>
    <n v="17507097.140000001"/>
    <n v="5966603.9100000001"/>
    <n v="77879"/>
  </r>
  <r>
    <x v="23"/>
    <x v="1"/>
    <s v="NSW"/>
    <s v="Known gap agreement"/>
    <s v="100% MBS Fee to 125% MBS Fee"/>
    <n v="3587502.69"/>
    <n v="2344714.96"/>
    <n v="1119255.95"/>
    <n v="16162"/>
  </r>
  <r>
    <x v="23"/>
    <x v="1"/>
    <s v="NSW"/>
    <s v="Known gap agreement"/>
    <s v="More than 125% MBS Fee to 150% MBS Fee"/>
    <n v="5720127.1200000001"/>
    <n v="3093880.13"/>
    <n v="2237873.91"/>
    <n v="27421"/>
  </r>
  <r>
    <x v="23"/>
    <x v="1"/>
    <s v="NSW"/>
    <s v="Known gap agreement"/>
    <s v="More than 150% MBS Fee to 200% MBS Fee"/>
    <n v="17901990.309999999"/>
    <n v="7700696.71"/>
    <n v="7735604.5599999996"/>
    <n v="42383"/>
  </r>
  <r>
    <x v="23"/>
    <x v="1"/>
    <s v="NSW"/>
    <s v="Known gap agreement"/>
    <s v="More than 200% MBS Fee"/>
    <n v="43338200.170000002"/>
    <n v="11463465.59"/>
    <n v="13580107.15"/>
    <n v="146959"/>
  </r>
  <r>
    <x v="23"/>
    <x v="1"/>
    <s v="NSW"/>
    <s v="No gap agreement"/>
    <s v="Up to MBS Fee"/>
    <n v="29741219.850000001"/>
    <n v="22331573.170000002"/>
    <n v="7409707.7000000002"/>
    <n v="894510"/>
  </r>
  <r>
    <x v="23"/>
    <x v="1"/>
    <s v="NSW"/>
    <s v="No gap agreement"/>
    <s v="100% MBS Fee to 125% MBS Fee"/>
    <n v="54576324.159999996"/>
    <n v="34562382.210000001"/>
    <n v="20013862.030000001"/>
    <n v="509848"/>
  </r>
  <r>
    <x v="23"/>
    <x v="1"/>
    <s v="NSW"/>
    <s v="No gap agreement"/>
    <s v="More than 125% MBS Fee to 150% MBS Fee"/>
    <n v="99917038.280000001"/>
    <n v="54627071.789999999"/>
    <n v="45289941.159999996"/>
    <n v="595988"/>
  </r>
  <r>
    <x v="23"/>
    <x v="1"/>
    <s v="NSW"/>
    <s v="No gap agreement"/>
    <s v="More than 150% MBS Fee to 200% MBS Fee"/>
    <n v="116000402.59999999"/>
    <n v="52781642.039999999"/>
    <n v="63218654.57"/>
    <n v="625956"/>
  </r>
  <r>
    <x v="23"/>
    <x v="1"/>
    <s v="NSW"/>
    <s v="No gap agreement"/>
    <s v="More than 200% MBS Fee"/>
    <n v="7231752.7300000004"/>
    <n v="2089180.66"/>
    <n v="5142571.63"/>
    <n v="14969"/>
  </r>
  <r>
    <x v="23"/>
    <x v="1"/>
    <s v="VIC"/>
    <s v="No agreement"/>
    <s v="Up to MBS Fee"/>
    <n v="9000707.4499999993"/>
    <n v="6753346.1200000001"/>
    <n v="2236687.92"/>
    <n v="159919"/>
  </r>
  <r>
    <x v="23"/>
    <x v="1"/>
    <s v="VIC"/>
    <s v="No agreement"/>
    <s v="100% MBS Fee to 125% MBS Fee"/>
    <n v="1773902.5"/>
    <n v="1167647.25"/>
    <n v="431441.14"/>
    <n v="6788"/>
  </r>
  <r>
    <x v="23"/>
    <x v="1"/>
    <s v="VIC"/>
    <s v="No agreement"/>
    <s v="More than 125% MBS Fee to 150% MBS Fee"/>
    <n v="3345965.2"/>
    <n v="1838877.89"/>
    <n v="986190.86"/>
    <n v="43592"/>
  </r>
  <r>
    <x v="23"/>
    <x v="1"/>
    <s v="VIC"/>
    <s v="No agreement"/>
    <s v="More than 150% MBS Fee to 200% MBS Fee"/>
    <n v="6099674.1600000001"/>
    <n v="2615930.46"/>
    <n v="1525239.61"/>
    <n v="41596"/>
  </r>
  <r>
    <x v="23"/>
    <x v="1"/>
    <s v="VIC"/>
    <s v="No agreement"/>
    <s v="More than 200% MBS Fee"/>
    <n v="24368061.07"/>
    <n v="5587239.3200000003"/>
    <n v="2049944.59"/>
    <n v="27247"/>
  </r>
  <r>
    <x v="23"/>
    <x v="1"/>
    <s v="VIC"/>
    <s v="Known gap agreement"/>
    <s v="100% MBS Fee to 125% MBS Fee"/>
    <n v="3957366.66"/>
    <n v="2631519.56"/>
    <n v="1144456.3"/>
    <n v="21400"/>
  </r>
  <r>
    <x v="23"/>
    <x v="1"/>
    <s v="VIC"/>
    <s v="Known gap agreement"/>
    <s v="More than 125% MBS Fee to 150% MBS Fee"/>
    <n v="7320944.7999999998"/>
    <n v="3979526.19"/>
    <n v="2753027.56"/>
    <n v="41747"/>
  </r>
  <r>
    <x v="23"/>
    <x v="1"/>
    <s v="VIC"/>
    <s v="Known gap agreement"/>
    <s v="More than 150% MBS Fee to 200% MBS Fee"/>
    <n v="17173661.219999999"/>
    <n v="7407402.4299999997"/>
    <n v="7040807.0300000003"/>
    <n v="42826"/>
  </r>
  <r>
    <x v="23"/>
    <x v="1"/>
    <s v="VIC"/>
    <s v="Known gap agreement"/>
    <s v="More than 200% MBS Fee"/>
    <n v="35128529.229999997"/>
    <n v="9475963.9700000007"/>
    <n v="10951029.289999999"/>
    <n v="129904"/>
  </r>
  <r>
    <x v="23"/>
    <x v="1"/>
    <s v="VIC"/>
    <s v="No gap agreement"/>
    <s v="Up to MBS Fee"/>
    <n v="20155228.82"/>
    <n v="15141565.25"/>
    <n v="5013866.38"/>
    <n v="287433"/>
  </r>
  <r>
    <x v="23"/>
    <x v="1"/>
    <s v="VIC"/>
    <s v="No gap agreement"/>
    <s v="100% MBS Fee to 125% MBS Fee"/>
    <n v="47395791.479999997"/>
    <n v="30244369.550000001"/>
    <n v="17151210.579999998"/>
    <n v="406168"/>
  </r>
  <r>
    <x v="23"/>
    <x v="1"/>
    <s v="VIC"/>
    <s v="No gap agreement"/>
    <s v="More than 125% MBS Fee to 150% MBS Fee"/>
    <n v="111004786.37"/>
    <n v="60893956.960000001"/>
    <n v="50110782.25"/>
    <n v="731008"/>
  </r>
  <r>
    <x v="23"/>
    <x v="1"/>
    <s v="VIC"/>
    <s v="No gap agreement"/>
    <s v="More than 150% MBS Fee to 200% MBS Fee"/>
    <n v="105670406.61"/>
    <n v="47294139.240000002"/>
    <n v="58375950.399999999"/>
    <n v="557503"/>
  </r>
  <r>
    <x v="23"/>
    <x v="1"/>
    <s v="VIC"/>
    <s v="No gap agreement"/>
    <s v="More than 200% MBS Fee"/>
    <n v="3436272.27"/>
    <n v="923998.03"/>
    <n v="2512274.2400000002"/>
    <n v="4278"/>
  </r>
  <r>
    <x v="23"/>
    <x v="1"/>
    <s v="QLD"/>
    <s v="No agreement"/>
    <s v="Up to MBS Fee"/>
    <n v="6690916.3899999997"/>
    <n v="4984554.8600000003"/>
    <n v="1653890.57"/>
    <n v="92638"/>
  </r>
  <r>
    <x v="23"/>
    <x v="1"/>
    <s v="QLD"/>
    <s v="No agreement"/>
    <s v="100% MBS Fee to 125% MBS Fee"/>
    <n v="2182503.7000000002"/>
    <n v="1421725"/>
    <n v="581796.77"/>
    <n v="13386"/>
  </r>
  <r>
    <x v="23"/>
    <x v="1"/>
    <s v="QLD"/>
    <s v="No agreement"/>
    <s v="More than 125% MBS Fee to 150% MBS Fee"/>
    <n v="2627360.02"/>
    <n v="1412495.74"/>
    <n v="747724.44"/>
    <n v="22979"/>
  </r>
  <r>
    <x v="23"/>
    <x v="1"/>
    <s v="QLD"/>
    <s v="No agreement"/>
    <s v="More than 150% MBS Fee to 200% MBS Fee"/>
    <n v="5730211.7199999997"/>
    <n v="2491346.64"/>
    <n v="1654901.69"/>
    <n v="28577"/>
  </r>
  <r>
    <x v="23"/>
    <x v="1"/>
    <s v="QLD"/>
    <s v="No agreement"/>
    <s v="More than 200% MBS Fee"/>
    <n v="35836510.869999997"/>
    <n v="8232249.5"/>
    <n v="2829252.55"/>
    <n v="37792"/>
  </r>
  <r>
    <x v="23"/>
    <x v="1"/>
    <s v="QLD"/>
    <s v="Known gap agreement"/>
    <s v="100% MBS Fee to 125% MBS Fee"/>
    <n v="2193681.91"/>
    <n v="1437791.47"/>
    <n v="666753.38"/>
    <n v="10909"/>
  </r>
  <r>
    <x v="23"/>
    <x v="1"/>
    <s v="QLD"/>
    <s v="Known gap agreement"/>
    <s v="More than 125% MBS Fee to 150% MBS Fee"/>
    <n v="4351791.4400000004"/>
    <n v="2381207.31"/>
    <n v="1544199.72"/>
    <n v="37836"/>
  </r>
  <r>
    <x v="23"/>
    <x v="1"/>
    <s v="QLD"/>
    <s v="Known gap agreement"/>
    <s v="More than 150% MBS Fee to 200% MBS Fee"/>
    <n v="15147809.699999999"/>
    <n v="6398741.7999999998"/>
    <n v="6396524.79"/>
    <n v="24016"/>
  </r>
  <r>
    <x v="23"/>
    <x v="1"/>
    <s v="QLD"/>
    <s v="Known gap agreement"/>
    <s v="More than 200% MBS Fee"/>
    <n v="30458179.760000002"/>
    <n v="8322956.1600000001"/>
    <n v="9464736.2400000002"/>
    <n v="75101"/>
  </r>
  <r>
    <x v="23"/>
    <x v="1"/>
    <s v="QLD"/>
    <s v="No gap agreement"/>
    <s v="Up to MBS Fee"/>
    <n v="17826194.620000001"/>
    <n v="13375140.220000001"/>
    <n v="4450813.75"/>
    <n v="337049"/>
  </r>
  <r>
    <x v="23"/>
    <x v="1"/>
    <s v="QLD"/>
    <s v="No gap agreement"/>
    <s v="100% MBS Fee to 125% MBS Fee"/>
    <n v="44410521.479999997"/>
    <n v="28322927.149999999"/>
    <n v="16087345.27"/>
    <n v="423019"/>
  </r>
  <r>
    <x v="23"/>
    <x v="1"/>
    <s v="QLD"/>
    <s v="No gap agreement"/>
    <s v="More than 125% MBS Fee to 150% MBS Fee"/>
    <n v="75131932.219999999"/>
    <n v="41407471.240000002"/>
    <n v="33723714.789999999"/>
    <n v="579246"/>
  </r>
  <r>
    <x v="23"/>
    <x v="1"/>
    <s v="QLD"/>
    <s v="No gap agreement"/>
    <s v="More than 150% MBS Fee to 200% MBS Fee"/>
    <n v="75048053.209999993"/>
    <n v="34066285.960000001"/>
    <n v="40981268.369999997"/>
    <n v="490521"/>
  </r>
  <r>
    <x v="23"/>
    <x v="1"/>
    <s v="QLD"/>
    <s v="No gap agreement"/>
    <s v="More than 200% MBS Fee"/>
    <n v="5300962.9800000004"/>
    <n v="1502626.47"/>
    <n v="3798336.34"/>
    <n v="7669"/>
  </r>
  <r>
    <x v="23"/>
    <x v="1"/>
    <s v="SA"/>
    <s v="No agreement"/>
    <s v="Up to MBS Fee"/>
    <n v="2040978.86"/>
    <n v="1530255.63"/>
    <n v="507526.75"/>
    <n v="16625"/>
  </r>
  <r>
    <x v="23"/>
    <x v="1"/>
    <s v="SA"/>
    <s v="No agreement"/>
    <s v="100% MBS Fee to 125% MBS Fee"/>
    <n v="876960.05"/>
    <n v="557226.07999999996"/>
    <n v="218009.61"/>
    <n v="2279"/>
  </r>
  <r>
    <x v="23"/>
    <x v="1"/>
    <s v="SA"/>
    <s v="No agreement"/>
    <s v="More than 125% MBS Fee to 150% MBS Fee"/>
    <n v="1034502.61"/>
    <n v="579295.62"/>
    <n v="393314.52"/>
    <n v="12664"/>
  </r>
  <r>
    <x v="23"/>
    <x v="1"/>
    <s v="SA"/>
    <s v="No agreement"/>
    <s v="More than 150% MBS Fee to 200% MBS Fee"/>
    <n v="1262255.78"/>
    <n v="540283.81999999995"/>
    <n v="607089.56999999995"/>
    <n v="5441"/>
  </r>
  <r>
    <x v="23"/>
    <x v="1"/>
    <s v="SA"/>
    <s v="No agreement"/>
    <s v="More than 200% MBS Fee"/>
    <n v="2185980.21"/>
    <n v="457517.6"/>
    <n v="203478.6"/>
    <n v="2964"/>
  </r>
  <r>
    <x v="23"/>
    <x v="1"/>
    <s v="SA"/>
    <s v="Known gap agreement"/>
    <s v="100% MBS Fee to 125% MBS Fee"/>
    <n v="475873.13"/>
    <n v="303799.26"/>
    <n v="153510.66"/>
    <n v="2423"/>
  </r>
  <r>
    <x v="23"/>
    <x v="1"/>
    <s v="SA"/>
    <s v="Known gap agreement"/>
    <s v="More than 125% MBS Fee to 150% MBS Fee"/>
    <n v="1231455.8500000001"/>
    <n v="669286.68999999994"/>
    <n v="485781.55"/>
    <n v="7818"/>
  </r>
  <r>
    <x v="23"/>
    <x v="1"/>
    <s v="SA"/>
    <s v="Known gap agreement"/>
    <s v="More than 150% MBS Fee to 200% MBS Fee"/>
    <n v="6161295.21"/>
    <n v="2602419.75"/>
    <n v="2708640.98"/>
    <n v="11773"/>
  </r>
  <r>
    <x v="23"/>
    <x v="1"/>
    <s v="SA"/>
    <s v="Known gap agreement"/>
    <s v="More than 200% MBS Fee"/>
    <n v="9433881.5399999991"/>
    <n v="2752446.47"/>
    <n v="3430957.98"/>
    <n v="35491"/>
  </r>
  <r>
    <x v="23"/>
    <x v="1"/>
    <s v="SA"/>
    <s v="No gap agreement"/>
    <s v="Up to MBS Fee"/>
    <n v="6682301.4199999999"/>
    <n v="5014714.46"/>
    <n v="1667585.58"/>
    <n v="102776"/>
  </r>
  <r>
    <x v="23"/>
    <x v="1"/>
    <s v="SA"/>
    <s v="No gap agreement"/>
    <s v="100% MBS Fee to 125% MBS Fee"/>
    <n v="8283024.5899999999"/>
    <n v="5199449.4800000004"/>
    <n v="3083558.14"/>
    <n v="77740"/>
  </r>
  <r>
    <x v="23"/>
    <x v="1"/>
    <s v="SA"/>
    <s v="No gap agreement"/>
    <s v="More than 125% MBS Fee to 150% MBS Fee"/>
    <n v="28098362.440000001"/>
    <n v="15311869.380000001"/>
    <n v="12786478.130000001"/>
    <n v="224585"/>
  </r>
  <r>
    <x v="23"/>
    <x v="1"/>
    <s v="SA"/>
    <s v="No gap agreement"/>
    <s v="More than 150% MBS Fee to 200% MBS Fee"/>
    <n v="44964530.130000003"/>
    <n v="19923580.27"/>
    <n v="25040937.440000001"/>
    <n v="169618"/>
  </r>
  <r>
    <x v="23"/>
    <x v="1"/>
    <s v="SA"/>
    <s v="No gap agreement"/>
    <s v="More than 200% MBS Fee"/>
    <n v="1294247.7"/>
    <n v="337373.64"/>
    <n v="956874.06"/>
    <n v="996"/>
  </r>
  <r>
    <x v="23"/>
    <x v="1"/>
    <s v="WA"/>
    <s v="No agreement"/>
    <s v="Up to MBS Fee"/>
    <n v="2037293.53"/>
    <n v="1529617.7"/>
    <n v="506809.13"/>
    <n v="34459"/>
  </r>
  <r>
    <x v="23"/>
    <x v="1"/>
    <s v="WA"/>
    <s v="No agreement"/>
    <s v="100% MBS Fee to 125% MBS Fee"/>
    <n v="337814.99"/>
    <n v="224280.95999999999"/>
    <n v="80878.759999999995"/>
    <n v="1329"/>
  </r>
  <r>
    <x v="23"/>
    <x v="1"/>
    <s v="WA"/>
    <s v="No agreement"/>
    <s v="More than 125% MBS Fee to 150% MBS Fee"/>
    <n v="987341.24"/>
    <n v="522223.03"/>
    <n v="196818.02"/>
    <n v="11974"/>
  </r>
  <r>
    <x v="23"/>
    <x v="1"/>
    <s v="WA"/>
    <s v="No agreement"/>
    <s v="More than 150% MBS Fee to 200% MBS Fee"/>
    <n v="1675880.76"/>
    <n v="729446.61"/>
    <n v="310714.87"/>
    <n v="8505"/>
  </r>
  <r>
    <x v="23"/>
    <x v="1"/>
    <s v="WA"/>
    <s v="No agreement"/>
    <s v="More than 200% MBS Fee"/>
    <n v="7243419.7800000003"/>
    <n v="1530694.09"/>
    <n v="547008.77"/>
    <n v="8941"/>
  </r>
  <r>
    <x v="23"/>
    <x v="1"/>
    <s v="WA"/>
    <s v="Known gap agreement"/>
    <s v="100% MBS Fee to 125% MBS Fee"/>
    <n v="2392658.4300000002"/>
    <n v="1619285.4"/>
    <n v="727332.89"/>
    <n v="11884"/>
  </r>
  <r>
    <x v="23"/>
    <x v="1"/>
    <s v="WA"/>
    <s v="Known gap agreement"/>
    <s v="More than 125% MBS Fee to 150% MBS Fee"/>
    <n v="4527333.3499999996"/>
    <n v="2434658.85"/>
    <n v="1872781.32"/>
    <n v="34391"/>
  </r>
  <r>
    <x v="23"/>
    <x v="1"/>
    <s v="WA"/>
    <s v="Known gap agreement"/>
    <s v="More than 150% MBS Fee to 200% MBS Fee"/>
    <n v="8859532.4199999999"/>
    <n v="3928827.12"/>
    <n v="3609385.94"/>
    <n v="19756"/>
  </r>
  <r>
    <x v="23"/>
    <x v="1"/>
    <s v="WA"/>
    <s v="Known gap agreement"/>
    <s v="More than 200% MBS Fee"/>
    <n v="17610181.920000002"/>
    <n v="4356971.24"/>
    <n v="3199696.64"/>
    <n v="46247"/>
  </r>
  <r>
    <x v="23"/>
    <x v="1"/>
    <s v="WA"/>
    <s v="No gap agreement"/>
    <s v="Up to MBS Fee"/>
    <n v="6948013.3200000003"/>
    <n v="5221611.38"/>
    <n v="1726401.93"/>
    <n v="122236"/>
  </r>
  <r>
    <x v="23"/>
    <x v="1"/>
    <s v="WA"/>
    <s v="No gap agreement"/>
    <s v="100% MBS Fee to 125% MBS Fee"/>
    <n v="8530056.0899999999"/>
    <n v="5529599.8799999999"/>
    <n v="3000447.57"/>
    <n v="63490"/>
  </r>
  <r>
    <x v="23"/>
    <x v="1"/>
    <s v="WA"/>
    <s v="No gap agreement"/>
    <s v="More than 125% MBS Fee to 150% MBS Fee"/>
    <n v="44271309.979999997"/>
    <n v="24549122.41"/>
    <n v="19722029.57"/>
    <n v="324020"/>
  </r>
  <r>
    <x v="23"/>
    <x v="1"/>
    <s v="WA"/>
    <s v="No gap agreement"/>
    <s v="More than 150% MBS Fee to 200% MBS Fee"/>
    <n v="55862915.920000002"/>
    <n v="24695308.02"/>
    <n v="31167603.440000001"/>
    <n v="258162"/>
  </r>
  <r>
    <x v="23"/>
    <x v="1"/>
    <s v="WA"/>
    <s v="No gap agreement"/>
    <s v="More than 200% MBS Fee"/>
    <n v="2670198.5699999998"/>
    <n v="703242.86"/>
    <n v="1966955.71"/>
    <n v="1965"/>
  </r>
  <r>
    <x v="23"/>
    <x v="1"/>
    <s v="TAS"/>
    <s v="No agreement"/>
    <s v="Up to MBS Fee"/>
    <n v="412449.99"/>
    <n v="307047.19"/>
    <n v="101490.08"/>
    <n v="2948"/>
  </r>
  <r>
    <x v="23"/>
    <x v="1"/>
    <s v="TAS"/>
    <s v="No agreement"/>
    <s v="100% MBS Fee to 125% MBS Fee"/>
    <n v="245588.14"/>
    <n v="161801.78"/>
    <n v="66314.149999999994"/>
    <n v="1023"/>
  </r>
  <r>
    <x v="23"/>
    <x v="1"/>
    <s v="TAS"/>
    <s v="No agreement"/>
    <s v="More than 125% MBS Fee to 150% MBS Fee"/>
    <n v="205129.14"/>
    <n v="115045"/>
    <n v="68544.100000000006"/>
    <n v="2201"/>
  </r>
  <r>
    <x v="23"/>
    <x v="1"/>
    <s v="TAS"/>
    <s v="No agreement"/>
    <s v="More than 150% MBS Fee to 200% MBS Fee"/>
    <n v="287142.2"/>
    <n v="127059.68"/>
    <n v="80636.56"/>
    <n v="1263"/>
  </r>
  <r>
    <x v="23"/>
    <x v="1"/>
    <s v="TAS"/>
    <s v="No agreement"/>
    <s v="More than 200% MBS Fee"/>
    <n v="1539431.65"/>
    <n v="325248.43"/>
    <n v="111052.03"/>
    <n v="1184"/>
  </r>
  <r>
    <x v="23"/>
    <x v="1"/>
    <s v="TAS"/>
    <s v="Known gap agreement"/>
    <s v="100% MBS Fee to 125% MBS Fee"/>
    <n v="217987.37"/>
    <n v="146735.64000000001"/>
    <n v="62603.22"/>
    <n v="974"/>
  </r>
  <r>
    <x v="23"/>
    <x v="1"/>
    <s v="TAS"/>
    <s v="Known gap agreement"/>
    <s v="More than 125% MBS Fee to 150% MBS Fee"/>
    <n v="577284.09"/>
    <n v="314890.65999999997"/>
    <n v="221050.97"/>
    <n v="3484"/>
  </r>
  <r>
    <x v="23"/>
    <x v="1"/>
    <s v="TAS"/>
    <s v="Known gap agreement"/>
    <s v="More than 150% MBS Fee to 200% MBS Fee"/>
    <n v="1718339.2"/>
    <n v="726863.92"/>
    <n v="753455.05"/>
    <n v="3106"/>
  </r>
  <r>
    <x v="23"/>
    <x v="1"/>
    <s v="TAS"/>
    <s v="Known gap agreement"/>
    <s v="More than 200% MBS Fee"/>
    <n v="2844012.38"/>
    <n v="810106.96"/>
    <n v="978240.9"/>
    <n v="8226"/>
  </r>
  <r>
    <x v="23"/>
    <x v="1"/>
    <s v="TAS"/>
    <s v="No gap agreement"/>
    <s v="Up to MBS Fee"/>
    <n v="2030992.86"/>
    <n v="1524118.53"/>
    <n v="506959.33"/>
    <n v="36531"/>
  </r>
  <r>
    <x v="23"/>
    <x v="1"/>
    <s v="TAS"/>
    <s v="No gap agreement"/>
    <s v="100% MBS Fee to 125% MBS Fee"/>
    <n v="2890202.33"/>
    <n v="1837582.86"/>
    <n v="1052619.42"/>
    <n v="21766"/>
  </r>
  <r>
    <x v="23"/>
    <x v="1"/>
    <s v="TAS"/>
    <s v="No gap agreement"/>
    <s v="More than 125% MBS Fee to 150% MBS Fee"/>
    <n v="8643779.6400000006"/>
    <n v="4720155.25"/>
    <n v="3923613.25"/>
    <n v="52205"/>
  </r>
  <r>
    <x v="23"/>
    <x v="1"/>
    <s v="TAS"/>
    <s v="No gap agreement"/>
    <s v="More than 150% MBS Fee to 200% MBS Fee"/>
    <n v="11439049.25"/>
    <n v="5202463.5599999996"/>
    <n v="6236585.4400000004"/>
    <n v="53975"/>
  </r>
  <r>
    <x v="23"/>
    <x v="1"/>
    <s v="TAS"/>
    <s v="No gap agreement"/>
    <s v="More than 200% MBS Fee"/>
    <n v="409100.92"/>
    <n v="112364.3"/>
    <n v="296736.62"/>
    <n v="391"/>
  </r>
  <r>
    <x v="23"/>
    <x v="1"/>
    <s v="ACT"/>
    <s v="No agreement"/>
    <s v="Up to MBS Fee"/>
    <n v="895932.52"/>
    <n v="661620.31999999995"/>
    <n v="219256.78"/>
    <n v="7441"/>
  </r>
  <r>
    <x v="23"/>
    <x v="1"/>
    <s v="ACT"/>
    <s v="No agreement"/>
    <s v="100% MBS Fee to 125% MBS Fee"/>
    <n v="128602.82"/>
    <n v="87537.32"/>
    <n v="30394.95"/>
    <n v="479"/>
  </r>
  <r>
    <x v="23"/>
    <x v="1"/>
    <s v="ACT"/>
    <s v="No agreement"/>
    <s v="More than 125% MBS Fee to 150% MBS Fee"/>
    <n v="144289.69"/>
    <n v="78847.89"/>
    <n v="29054.3"/>
    <n v="355"/>
  </r>
  <r>
    <x v="23"/>
    <x v="1"/>
    <s v="ACT"/>
    <s v="No agreement"/>
    <s v="More than 150% MBS Fee to 200% MBS Fee"/>
    <n v="611247.18000000005"/>
    <n v="260471.58"/>
    <n v="110074.79"/>
    <n v="2608"/>
  </r>
  <r>
    <x v="23"/>
    <x v="1"/>
    <s v="ACT"/>
    <s v="No agreement"/>
    <s v="More than 200% MBS Fee"/>
    <n v="6524356.5099999998"/>
    <n v="1460836.59"/>
    <n v="494684.8"/>
    <n v="6562"/>
  </r>
  <r>
    <x v="23"/>
    <x v="1"/>
    <s v="ACT"/>
    <s v="Known gap agreement"/>
    <s v="100% MBS Fee to 125% MBS Fee"/>
    <n v="86428.06"/>
    <n v="54755.11"/>
    <n v="27489.57"/>
    <n v="430"/>
  </r>
  <r>
    <x v="23"/>
    <x v="1"/>
    <s v="ACT"/>
    <s v="Known gap agreement"/>
    <s v="More than 125% MBS Fee to 150% MBS Fee"/>
    <n v="212770.01"/>
    <n v="117263.13"/>
    <n v="72916.539999999994"/>
    <n v="1824"/>
  </r>
  <r>
    <x v="23"/>
    <x v="1"/>
    <s v="ACT"/>
    <s v="Known gap agreement"/>
    <s v="More than 150% MBS Fee to 200% MBS Fee"/>
    <n v="615498.88"/>
    <n v="264497.49"/>
    <n v="271615.59000000003"/>
    <n v="1855"/>
  </r>
  <r>
    <x v="23"/>
    <x v="1"/>
    <s v="ACT"/>
    <s v="Known gap agreement"/>
    <s v="More than 200% MBS Fee"/>
    <n v="3006839.13"/>
    <n v="800236.33"/>
    <n v="894592.55"/>
    <n v="10132"/>
  </r>
  <r>
    <x v="23"/>
    <x v="1"/>
    <s v="ACT"/>
    <s v="No gap agreement"/>
    <s v="Up to MBS Fee"/>
    <n v="567222.41"/>
    <n v="425701.06"/>
    <n v="141521.35"/>
    <n v="16633"/>
  </r>
  <r>
    <x v="23"/>
    <x v="1"/>
    <s v="ACT"/>
    <s v="No gap agreement"/>
    <s v="100% MBS Fee to 125% MBS Fee"/>
    <n v="1629772.79"/>
    <n v="1036863.32"/>
    <n v="592907.80000000005"/>
    <n v="16195"/>
  </r>
  <r>
    <x v="23"/>
    <x v="1"/>
    <s v="ACT"/>
    <s v="No gap agreement"/>
    <s v="More than 125% MBS Fee to 150% MBS Fee"/>
    <n v="3785176.67"/>
    <n v="2080855.13"/>
    <n v="1704312.5"/>
    <n v="29984"/>
  </r>
  <r>
    <x v="23"/>
    <x v="1"/>
    <s v="ACT"/>
    <s v="No gap agreement"/>
    <s v="More than 150% MBS Fee to 200% MBS Fee"/>
    <n v="2664214.92"/>
    <n v="1211590.8500000001"/>
    <n v="1452613.68"/>
    <n v="15243"/>
  </r>
  <r>
    <x v="23"/>
    <x v="1"/>
    <s v="ACT"/>
    <s v="No gap agreement"/>
    <s v="More than 200% MBS Fee"/>
    <n v="279309.81"/>
    <n v="80558.350000000006"/>
    <n v="198751.46"/>
    <n v="514"/>
  </r>
  <r>
    <x v="23"/>
    <x v="1"/>
    <s v="NT"/>
    <s v="No agreement"/>
    <s v="Up to MBS Fee"/>
    <n v="258556.35"/>
    <n v="193379.05"/>
    <n v="64424.05"/>
    <n v="1058"/>
  </r>
  <r>
    <x v="23"/>
    <x v="1"/>
    <s v="NT"/>
    <s v="No agreement"/>
    <s v="100% MBS Fee to 125% MBS Fee"/>
    <n v="71420.55"/>
    <n v="47553.25"/>
    <n v="18735.8"/>
    <n v="198"/>
  </r>
  <r>
    <x v="23"/>
    <x v="1"/>
    <s v="NT"/>
    <s v="No agreement"/>
    <s v="More than 125% MBS Fee to 150% MBS Fee"/>
    <n v="50839.56"/>
    <n v="27546.81"/>
    <n v="13098.9"/>
    <n v="338"/>
  </r>
  <r>
    <x v="23"/>
    <x v="1"/>
    <s v="NT"/>
    <s v="No agreement"/>
    <s v="More than 150% MBS Fee to 200% MBS Fee"/>
    <n v="75547.520000000004"/>
    <n v="33705.050000000003"/>
    <n v="24428.05"/>
    <n v="277"/>
  </r>
  <r>
    <x v="23"/>
    <x v="1"/>
    <s v="NT"/>
    <s v="No agreement"/>
    <s v="More than 200% MBS Fee"/>
    <n v="1128976.04"/>
    <n v="246798.65"/>
    <n v="84359.6"/>
    <n v="894"/>
  </r>
  <r>
    <x v="23"/>
    <x v="1"/>
    <s v="NT"/>
    <s v="Known gap agreement"/>
    <s v="100% MBS Fee to 125% MBS Fee"/>
    <n v="37038.29"/>
    <n v="24163.55"/>
    <n v="10714.25"/>
    <n v="144"/>
  </r>
  <r>
    <x v="23"/>
    <x v="1"/>
    <s v="NT"/>
    <s v="Known gap agreement"/>
    <s v="More than 125% MBS Fee to 150% MBS Fee"/>
    <n v="111934.22"/>
    <n v="61953.71"/>
    <n v="37473.67"/>
    <n v="570"/>
  </r>
  <r>
    <x v="23"/>
    <x v="1"/>
    <s v="NT"/>
    <s v="Known gap agreement"/>
    <s v="More than 150% MBS Fee to 200% MBS Fee"/>
    <n v="214768"/>
    <n v="95343.31"/>
    <n v="89957.75"/>
    <n v="537"/>
  </r>
  <r>
    <x v="23"/>
    <x v="1"/>
    <s v="NT"/>
    <s v="Known gap agreement"/>
    <s v="More than 200% MBS Fee"/>
    <n v="574422.73"/>
    <n v="161973.4"/>
    <n v="194083.53"/>
    <n v="2163"/>
  </r>
  <r>
    <x v="23"/>
    <x v="1"/>
    <s v="NT"/>
    <s v="No gap agreement"/>
    <s v="Up to MBS Fee"/>
    <n v="419537.54"/>
    <n v="314731.58"/>
    <n v="104805.96"/>
    <n v="5306"/>
  </r>
  <r>
    <x v="23"/>
    <x v="1"/>
    <s v="NT"/>
    <s v="No gap agreement"/>
    <s v="100% MBS Fee to 125% MBS Fee"/>
    <n v="514598.95"/>
    <n v="328068"/>
    <n v="186530.7"/>
    <n v="3739"/>
  </r>
  <r>
    <x v="23"/>
    <x v="1"/>
    <s v="NT"/>
    <s v="No gap agreement"/>
    <s v="More than 125% MBS Fee to 150% MBS Fee"/>
    <n v="1173852.1200000001"/>
    <n v="641055.35"/>
    <n v="532795.47"/>
    <n v="5586"/>
  </r>
  <r>
    <x v="23"/>
    <x v="1"/>
    <s v="NT"/>
    <s v="No gap agreement"/>
    <s v="More than 150% MBS Fee to 200% MBS Fee"/>
    <n v="1856026.91"/>
    <n v="844294.89"/>
    <n v="1011716.77"/>
    <n v="8835"/>
  </r>
  <r>
    <x v="23"/>
    <x v="1"/>
    <s v="NT"/>
    <s v="No gap agreement"/>
    <s v="More than 200% MBS Fee"/>
    <n v="51542.1"/>
    <n v="16050.7"/>
    <n v="35491.4"/>
    <n v="62"/>
  </r>
  <r>
    <x v="24"/>
    <x v="0"/>
    <s v="NSW"/>
    <s v="No agreement"/>
    <s v="Up to MBS Fee"/>
    <n v="31774380.530000001"/>
    <n v="23806048.539999999"/>
    <n v="7951313.7999999998"/>
    <n v="295165"/>
  </r>
  <r>
    <x v="24"/>
    <x v="0"/>
    <s v="NSW"/>
    <s v="No agreement"/>
    <s v="100% MBS Fee to 125% MBS Fee"/>
    <n v="2537235.59"/>
    <n v="1707160.25"/>
    <n v="602704.12"/>
    <n v="9695"/>
  </r>
  <r>
    <x v="24"/>
    <x v="0"/>
    <s v="NSW"/>
    <s v="No agreement"/>
    <s v="More than 125% MBS Fee to 150% MBS Fee"/>
    <n v="1812031.8"/>
    <n v="983168.33"/>
    <n v="378677.85"/>
    <n v="5673"/>
  </r>
  <r>
    <x v="24"/>
    <x v="0"/>
    <s v="NSW"/>
    <s v="No agreement"/>
    <s v="More than 150% MBS Fee to 200% MBS Fee"/>
    <n v="5861628.1299999999"/>
    <n v="2518598.2400000002"/>
    <n v="861729.7"/>
    <n v="18645"/>
  </r>
  <r>
    <x v="24"/>
    <x v="0"/>
    <s v="NSW"/>
    <s v="No agreement"/>
    <s v="More than 200% MBS Fee"/>
    <n v="76169589"/>
    <n v="16727036.93"/>
    <n v="5609981.2199999997"/>
    <n v="70283"/>
  </r>
  <r>
    <x v="24"/>
    <x v="0"/>
    <s v="NSW"/>
    <s v="Known gap agreement"/>
    <s v="100% MBS Fee to 125% MBS Fee"/>
    <n v="3018302.18"/>
    <n v="1970848.3"/>
    <n v="936045.12"/>
    <n v="12577"/>
  </r>
  <r>
    <x v="24"/>
    <x v="0"/>
    <s v="NSW"/>
    <s v="Known gap agreement"/>
    <s v="More than 125% MBS Fee to 150% MBS Fee"/>
    <n v="5328804.29"/>
    <n v="2875347.24"/>
    <n v="2215629.0299999998"/>
    <n v="27271"/>
  </r>
  <r>
    <x v="24"/>
    <x v="0"/>
    <s v="NSW"/>
    <s v="Known gap agreement"/>
    <s v="More than 150% MBS Fee to 200% MBS Fee"/>
    <n v="17812891.41"/>
    <n v="7622422.7300000004"/>
    <n v="7827497.6900000004"/>
    <n v="35009"/>
  </r>
  <r>
    <x v="24"/>
    <x v="0"/>
    <s v="NSW"/>
    <s v="Known gap agreement"/>
    <s v="More than 200% MBS Fee"/>
    <n v="47587847.450000003"/>
    <n v="12532529.51"/>
    <n v="14655334.07"/>
    <n v="157943"/>
  </r>
  <r>
    <x v="24"/>
    <x v="0"/>
    <s v="NSW"/>
    <s v="No gap agreement"/>
    <s v="Up to MBS Fee"/>
    <n v="31606709.43"/>
    <n v="23733439.359999999"/>
    <n v="7873543.5"/>
    <n v="931319"/>
  </r>
  <r>
    <x v="24"/>
    <x v="0"/>
    <s v="NSW"/>
    <s v="No gap agreement"/>
    <s v="100% MBS Fee to 125% MBS Fee"/>
    <n v="55236446.649999999"/>
    <n v="35073060.530000001"/>
    <n v="20163293.77"/>
    <n v="484530"/>
  </r>
  <r>
    <x v="24"/>
    <x v="0"/>
    <s v="NSW"/>
    <s v="No gap agreement"/>
    <s v="More than 125% MBS Fee to 150% MBS Fee"/>
    <n v="107581764.69"/>
    <n v="58790836.189999998"/>
    <n v="48790884.93"/>
    <n v="640014"/>
  </r>
  <r>
    <x v="24"/>
    <x v="0"/>
    <s v="NSW"/>
    <s v="No gap agreement"/>
    <s v="More than 150% MBS Fee to 200% MBS Fee"/>
    <n v="116706586.09999999"/>
    <n v="53157734.890000001"/>
    <n v="63548747.149999999"/>
    <n v="647520"/>
  </r>
  <r>
    <x v="24"/>
    <x v="0"/>
    <s v="NSW"/>
    <s v="No gap agreement"/>
    <s v="More than 200% MBS Fee"/>
    <n v="7175947.5599999996"/>
    <n v="2102273.69"/>
    <n v="5073671.5999999996"/>
    <n v="14984"/>
  </r>
  <r>
    <x v="24"/>
    <x v="0"/>
    <s v="VIC"/>
    <s v="No agreement"/>
    <s v="Up to MBS Fee"/>
    <n v="8208896.4400000004"/>
    <n v="6185547.1799999997"/>
    <n v="2018753.09"/>
    <n v="141643"/>
  </r>
  <r>
    <x v="24"/>
    <x v="0"/>
    <s v="VIC"/>
    <s v="No agreement"/>
    <s v="100% MBS Fee to 125% MBS Fee"/>
    <n v="1366014.02"/>
    <n v="909748.49"/>
    <n v="320146.32"/>
    <n v="4682"/>
  </r>
  <r>
    <x v="24"/>
    <x v="0"/>
    <s v="VIC"/>
    <s v="No agreement"/>
    <s v="More than 125% MBS Fee to 150% MBS Fee"/>
    <n v="1376774.52"/>
    <n v="747953.22"/>
    <n v="254676.67"/>
    <n v="6081"/>
  </r>
  <r>
    <x v="24"/>
    <x v="0"/>
    <s v="VIC"/>
    <s v="No agreement"/>
    <s v="More than 150% MBS Fee to 200% MBS Fee"/>
    <n v="3879876.75"/>
    <n v="1671759.99"/>
    <n v="575117.68999999994"/>
    <n v="16575"/>
  </r>
  <r>
    <x v="24"/>
    <x v="0"/>
    <s v="VIC"/>
    <s v="No agreement"/>
    <s v="More than 200% MBS Fee"/>
    <n v="25455251.120000001"/>
    <n v="5787555.5199999996"/>
    <n v="1987116.55"/>
    <n v="23149"/>
  </r>
  <r>
    <x v="24"/>
    <x v="0"/>
    <s v="VIC"/>
    <s v="Known gap agreement"/>
    <s v="100% MBS Fee to 125% MBS Fee"/>
    <n v="3097883.12"/>
    <n v="2057854.46"/>
    <n v="883201.9"/>
    <n v="15001"/>
  </r>
  <r>
    <x v="24"/>
    <x v="0"/>
    <s v="VIC"/>
    <s v="Known gap agreement"/>
    <s v="More than 125% MBS Fee to 150% MBS Fee"/>
    <n v="6370742.7800000003"/>
    <n v="3436577.02"/>
    <n v="2517340.5699999998"/>
    <n v="13811"/>
  </r>
  <r>
    <x v="24"/>
    <x v="0"/>
    <s v="VIC"/>
    <s v="Known gap agreement"/>
    <s v="More than 150% MBS Fee to 200% MBS Fee"/>
    <n v="18226330.120000001"/>
    <n v="7811255.0700000003"/>
    <n v="7475368.6100000003"/>
    <n v="38906"/>
  </r>
  <r>
    <x v="24"/>
    <x v="0"/>
    <s v="VIC"/>
    <s v="Known gap agreement"/>
    <s v="More than 200% MBS Fee"/>
    <n v="43145119.189999998"/>
    <n v="11693418.59"/>
    <n v="13574155.51"/>
    <n v="161572"/>
  </r>
  <r>
    <x v="24"/>
    <x v="0"/>
    <s v="VIC"/>
    <s v="No gap agreement"/>
    <s v="Up to MBS Fee"/>
    <n v="22060339.059999999"/>
    <n v="16598527.699999999"/>
    <n v="5461850.7000000002"/>
    <n v="324356"/>
  </r>
  <r>
    <x v="24"/>
    <x v="0"/>
    <s v="VIC"/>
    <s v="No gap agreement"/>
    <s v="100% MBS Fee to 125% MBS Fee"/>
    <n v="49170159.280000001"/>
    <n v="31478276.73"/>
    <n v="17691706.32"/>
    <n v="419603"/>
  </r>
  <r>
    <x v="24"/>
    <x v="0"/>
    <s v="VIC"/>
    <s v="No gap agreement"/>
    <s v="More than 125% MBS Fee to 150% MBS Fee"/>
    <n v="119622093.45999999"/>
    <n v="65600314.299999997"/>
    <n v="54021669.960000001"/>
    <n v="826284"/>
  </r>
  <r>
    <x v="24"/>
    <x v="0"/>
    <s v="VIC"/>
    <s v="No gap agreement"/>
    <s v="More than 150% MBS Fee to 200% MBS Fee"/>
    <n v="101906477.36"/>
    <n v="45709931.25"/>
    <n v="56196438.840000004"/>
    <n v="554822"/>
  </r>
  <r>
    <x v="24"/>
    <x v="0"/>
    <s v="VIC"/>
    <s v="No gap agreement"/>
    <s v="More than 200% MBS Fee"/>
    <n v="3469465"/>
    <n v="933564.42"/>
    <n v="2535899.59"/>
    <n v="3936"/>
  </r>
  <r>
    <x v="24"/>
    <x v="0"/>
    <s v="QLD"/>
    <s v="No agreement"/>
    <s v="Up to MBS Fee"/>
    <n v="5385830.1200000001"/>
    <n v="4011694.45"/>
    <n v="1327243.83"/>
    <n v="69565"/>
  </r>
  <r>
    <x v="24"/>
    <x v="0"/>
    <s v="QLD"/>
    <s v="No agreement"/>
    <s v="100% MBS Fee to 125% MBS Fee"/>
    <n v="1054026.97"/>
    <n v="709349.47"/>
    <n v="238909.23"/>
    <n v="3154"/>
  </r>
  <r>
    <x v="24"/>
    <x v="0"/>
    <s v="QLD"/>
    <s v="No agreement"/>
    <s v="More than 125% MBS Fee to 150% MBS Fee"/>
    <n v="1065824.79"/>
    <n v="575702.63"/>
    <n v="196718.07"/>
    <n v="2624"/>
  </r>
  <r>
    <x v="24"/>
    <x v="0"/>
    <s v="QLD"/>
    <s v="No agreement"/>
    <s v="More than 150% MBS Fee to 200% MBS Fee"/>
    <n v="4417738.7"/>
    <n v="1896257.66"/>
    <n v="637678.35"/>
    <n v="28056"/>
  </r>
  <r>
    <x v="24"/>
    <x v="0"/>
    <s v="QLD"/>
    <s v="No agreement"/>
    <s v="More than 200% MBS Fee"/>
    <n v="34898066.450000003"/>
    <n v="7783338.7400000002"/>
    <n v="2610434.27"/>
    <n v="32806"/>
  </r>
  <r>
    <x v="24"/>
    <x v="0"/>
    <s v="QLD"/>
    <s v="Known gap agreement"/>
    <s v="100% MBS Fee to 125% MBS Fee"/>
    <n v="1468786.45"/>
    <n v="961321.75"/>
    <n v="442932.79"/>
    <n v="6725"/>
  </r>
  <r>
    <x v="24"/>
    <x v="0"/>
    <s v="QLD"/>
    <s v="Known gap agreement"/>
    <s v="More than 125% MBS Fee to 150% MBS Fee"/>
    <n v="3500221.79"/>
    <n v="1892082.31"/>
    <n v="1331657.25"/>
    <n v="18087"/>
  </r>
  <r>
    <x v="24"/>
    <x v="0"/>
    <s v="QLD"/>
    <s v="Known gap agreement"/>
    <s v="More than 150% MBS Fee to 200% MBS Fee"/>
    <n v="17035596.359999999"/>
    <n v="7176227.71"/>
    <n v="7202092.2300000004"/>
    <n v="22865"/>
  </r>
  <r>
    <x v="24"/>
    <x v="0"/>
    <s v="QLD"/>
    <s v="Known gap agreement"/>
    <s v="More than 200% MBS Fee"/>
    <n v="34947499.060000002"/>
    <n v="9121613.2699999996"/>
    <n v="10378743.76"/>
    <n v="88750"/>
  </r>
  <r>
    <x v="24"/>
    <x v="0"/>
    <s v="QLD"/>
    <s v="No gap agreement"/>
    <s v="Up to MBS Fee"/>
    <n v="16828355.109999999"/>
    <n v="12638125.66"/>
    <n v="4190306.95"/>
    <n v="271012"/>
  </r>
  <r>
    <x v="24"/>
    <x v="0"/>
    <s v="QLD"/>
    <s v="No gap agreement"/>
    <s v="100% MBS Fee to 125% MBS Fee"/>
    <n v="45669429.600000001"/>
    <n v="29182332.890000001"/>
    <n v="16486748.539999999"/>
    <n v="435392"/>
  </r>
  <r>
    <x v="24"/>
    <x v="0"/>
    <s v="QLD"/>
    <s v="No gap agreement"/>
    <s v="More than 125% MBS Fee to 150% MBS Fee"/>
    <n v="79827872.030000001"/>
    <n v="43994285.57"/>
    <n v="35832767.210000001"/>
    <n v="623533"/>
  </r>
  <r>
    <x v="24"/>
    <x v="0"/>
    <s v="QLD"/>
    <s v="No gap agreement"/>
    <s v="More than 150% MBS Fee to 200% MBS Fee"/>
    <n v="76218682.079999998"/>
    <n v="34611861.210000001"/>
    <n v="41606135.280000001"/>
    <n v="499193"/>
  </r>
  <r>
    <x v="24"/>
    <x v="0"/>
    <s v="QLD"/>
    <s v="No gap agreement"/>
    <s v="More than 200% MBS Fee"/>
    <n v="5079795.68"/>
    <n v="1445400.09"/>
    <n v="3634393.55"/>
    <n v="7619"/>
  </r>
  <r>
    <x v="24"/>
    <x v="0"/>
    <s v="SA"/>
    <s v="No agreement"/>
    <s v="Up to MBS Fee"/>
    <n v="1717469.04"/>
    <n v="1289901.8999999999"/>
    <n v="423199.4"/>
    <n v="11257"/>
  </r>
  <r>
    <x v="24"/>
    <x v="0"/>
    <s v="SA"/>
    <s v="No agreement"/>
    <s v="100% MBS Fee to 125% MBS Fee"/>
    <n v="318701.3"/>
    <n v="211662.32"/>
    <n v="71554.36"/>
    <n v="750"/>
  </r>
  <r>
    <x v="24"/>
    <x v="0"/>
    <s v="SA"/>
    <s v="No agreement"/>
    <s v="More than 125% MBS Fee to 150% MBS Fee"/>
    <n v="190808.26"/>
    <n v="104270.37"/>
    <n v="35862.26"/>
    <n v="401"/>
  </r>
  <r>
    <x v="24"/>
    <x v="0"/>
    <s v="SA"/>
    <s v="No agreement"/>
    <s v="More than 150% MBS Fee to 200% MBS Fee"/>
    <n v="288960.78000000003"/>
    <n v="124088.3"/>
    <n v="42580.02"/>
    <n v="733"/>
  </r>
  <r>
    <x v="24"/>
    <x v="0"/>
    <s v="SA"/>
    <s v="No agreement"/>
    <s v="More than 200% MBS Fee"/>
    <n v="1837757.99"/>
    <n v="391407.64"/>
    <n v="134725.19"/>
    <n v="1847"/>
  </r>
  <r>
    <x v="24"/>
    <x v="0"/>
    <s v="SA"/>
    <s v="Known gap agreement"/>
    <s v="100% MBS Fee to 125% MBS Fee"/>
    <n v="419765.69"/>
    <n v="270898.38"/>
    <n v="111479.01"/>
    <n v="2256"/>
  </r>
  <r>
    <x v="24"/>
    <x v="0"/>
    <s v="SA"/>
    <s v="Known gap agreement"/>
    <s v="More than 125% MBS Fee to 150% MBS Fee"/>
    <n v="1196906.51"/>
    <n v="646341.18999999994"/>
    <n v="496227.58"/>
    <n v="4383"/>
  </r>
  <r>
    <x v="24"/>
    <x v="0"/>
    <s v="SA"/>
    <s v="Known gap agreement"/>
    <s v="More than 150% MBS Fee to 200% MBS Fee"/>
    <n v="7585456.1500000004"/>
    <n v="3186887.93"/>
    <n v="3373491.34"/>
    <n v="11401"/>
  </r>
  <r>
    <x v="24"/>
    <x v="0"/>
    <s v="SA"/>
    <s v="Known gap agreement"/>
    <s v="More than 200% MBS Fee"/>
    <n v="10334888.48"/>
    <n v="2915559.79"/>
    <n v="3603118.3"/>
    <n v="37828"/>
  </r>
  <r>
    <x v="24"/>
    <x v="0"/>
    <s v="SA"/>
    <s v="No gap agreement"/>
    <s v="Up to MBS Fee"/>
    <n v="7753443.8499999996"/>
    <n v="5821130.8499999996"/>
    <n v="1932312.5"/>
    <n v="134714"/>
  </r>
  <r>
    <x v="24"/>
    <x v="0"/>
    <s v="SA"/>
    <s v="No gap agreement"/>
    <s v="100% MBS Fee to 125% MBS Fee"/>
    <n v="8663979.7599999998"/>
    <n v="5442484.6799999997"/>
    <n v="3221436.92"/>
    <n v="78616"/>
  </r>
  <r>
    <x v="24"/>
    <x v="0"/>
    <s v="SA"/>
    <s v="No gap agreement"/>
    <s v="More than 125% MBS Fee to 150% MBS Fee"/>
    <n v="31229312.039999999"/>
    <n v="17025708.43"/>
    <n v="14203580.65"/>
    <n v="250805"/>
  </r>
  <r>
    <x v="24"/>
    <x v="0"/>
    <s v="SA"/>
    <s v="No gap agreement"/>
    <s v="More than 150% MBS Fee to 200% MBS Fee"/>
    <n v="44623318.590000004"/>
    <n v="19832147.640000001"/>
    <n v="24791160.77"/>
    <n v="176717"/>
  </r>
  <r>
    <x v="24"/>
    <x v="0"/>
    <s v="SA"/>
    <s v="No gap agreement"/>
    <s v="More than 200% MBS Fee"/>
    <n v="1161043.5900000001"/>
    <n v="289906.8"/>
    <n v="871136.14"/>
    <n v="952"/>
  </r>
  <r>
    <x v="24"/>
    <x v="0"/>
    <s v="WA"/>
    <s v="No agreement"/>
    <s v="Up to MBS Fee"/>
    <n v="1972887.42"/>
    <n v="1482228.49"/>
    <n v="485893.7"/>
    <n v="38383"/>
  </r>
  <r>
    <x v="24"/>
    <x v="0"/>
    <s v="WA"/>
    <s v="No agreement"/>
    <s v="100% MBS Fee to 125% MBS Fee"/>
    <n v="303273.11"/>
    <n v="200904.26"/>
    <n v="67897.259999999995"/>
    <n v="792"/>
  </r>
  <r>
    <x v="24"/>
    <x v="0"/>
    <s v="WA"/>
    <s v="No agreement"/>
    <s v="More than 125% MBS Fee to 150% MBS Fee"/>
    <n v="484482.44"/>
    <n v="263690.59999999998"/>
    <n v="89956.41"/>
    <n v="1226"/>
  </r>
  <r>
    <x v="24"/>
    <x v="0"/>
    <s v="WA"/>
    <s v="No agreement"/>
    <s v="More than 150% MBS Fee to 200% MBS Fee"/>
    <n v="1766753.87"/>
    <n v="768106.19"/>
    <n v="259236.7"/>
    <n v="16507"/>
  </r>
  <r>
    <x v="24"/>
    <x v="0"/>
    <s v="WA"/>
    <s v="No agreement"/>
    <s v="More than 200% MBS Fee"/>
    <n v="7638559.1200000001"/>
    <n v="1616875.69"/>
    <n v="551227.17000000004"/>
    <n v="8742"/>
  </r>
  <r>
    <x v="24"/>
    <x v="0"/>
    <s v="WA"/>
    <s v="Known gap agreement"/>
    <s v="100% MBS Fee to 125% MBS Fee"/>
    <n v="1052101.29"/>
    <n v="680676.36"/>
    <n v="331141.15999999997"/>
    <n v="5225"/>
  </r>
  <r>
    <x v="24"/>
    <x v="0"/>
    <s v="WA"/>
    <s v="Known gap agreement"/>
    <s v="More than 125% MBS Fee to 150% MBS Fee"/>
    <n v="3142209.78"/>
    <n v="1665801.58"/>
    <n v="1231732.46"/>
    <n v="26273"/>
  </r>
  <r>
    <x v="24"/>
    <x v="0"/>
    <s v="WA"/>
    <s v="Known gap agreement"/>
    <s v="More than 150% MBS Fee to 200% MBS Fee"/>
    <n v="9365351.1400000006"/>
    <n v="4097812.25"/>
    <n v="3701515.85"/>
    <n v="19109"/>
  </r>
  <r>
    <x v="24"/>
    <x v="0"/>
    <s v="WA"/>
    <s v="Known gap agreement"/>
    <s v="More than 200% MBS Fee"/>
    <n v="18350391.989999998"/>
    <n v="4596454.96"/>
    <n v="3439532.91"/>
    <n v="46537"/>
  </r>
  <r>
    <x v="24"/>
    <x v="0"/>
    <s v="WA"/>
    <s v="No gap agreement"/>
    <s v="Up to MBS Fee"/>
    <n v="9711311.8699999992"/>
    <n v="7295095.6500000004"/>
    <n v="2416216.2200000002"/>
    <n v="148605"/>
  </r>
  <r>
    <x v="24"/>
    <x v="0"/>
    <s v="WA"/>
    <s v="No gap agreement"/>
    <s v="100% MBS Fee to 125% MBS Fee"/>
    <n v="10305092.07"/>
    <n v="6643839.5099999998"/>
    <n v="3661227.15"/>
    <n v="76082"/>
  </r>
  <r>
    <x v="24"/>
    <x v="0"/>
    <s v="WA"/>
    <s v="No gap agreement"/>
    <s v="More than 125% MBS Fee to 150% MBS Fee"/>
    <n v="47115679.840000004"/>
    <n v="26033239.190000001"/>
    <n v="21082436.579999998"/>
    <n v="323137"/>
  </r>
  <r>
    <x v="24"/>
    <x v="0"/>
    <s v="WA"/>
    <s v="No gap agreement"/>
    <s v="More than 150% MBS Fee to 200% MBS Fee"/>
    <n v="55061103.369999997"/>
    <n v="24427306.030000001"/>
    <n v="30633787.640000001"/>
    <n v="249085"/>
  </r>
  <r>
    <x v="24"/>
    <x v="0"/>
    <s v="WA"/>
    <s v="No gap agreement"/>
    <s v="More than 200% MBS Fee"/>
    <n v="2634290.59"/>
    <n v="684757.65"/>
    <n v="1949532.94"/>
    <n v="2528"/>
  </r>
  <r>
    <x v="24"/>
    <x v="0"/>
    <s v="TAS"/>
    <s v="No agreement"/>
    <s v="Up to MBS Fee"/>
    <n v="435112.22"/>
    <n v="325879.46999999997"/>
    <n v="108732.75"/>
    <n v="2737"/>
  </r>
  <r>
    <x v="24"/>
    <x v="0"/>
    <s v="TAS"/>
    <s v="No agreement"/>
    <s v="100% MBS Fee to 125% MBS Fee"/>
    <n v="75504.320000000007"/>
    <n v="50707.46"/>
    <n v="16842"/>
    <n v="371"/>
  </r>
  <r>
    <x v="24"/>
    <x v="0"/>
    <s v="TAS"/>
    <s v="No agreement"/>
    <s v="More than 125% MBS Fee to 150% MBS Fee"/>
    <n v="74557.5"/>
    <n v="40115.839999999997"/>
    <n v="13966.95"/>
    <n v="228"/>
  </r>
  <r>
    <x v="24"/>
    <x v="0"/>
    <s v="TAS"/>
    <s v="No agreement"/>
    <s v="More than 150% MBS Fee to 200% MBS Fee"/>
    <n v="225213.04"/>
    <n v="97236.73"/>
    <n v="33357.440000000002"/>
    <n v="999"/>
  </r>
  <r>
    <x v="24"/>
    <x v="0"/>
    <s v="TAS"/>
    <s v="No agreement"/>
    <s v="More than 200% MBS Fee"/>
    <n v="1427978.06"/>
    <n v="325074.27"/>
    <n v="108722.05"/>
    <n v="1065"/>
  </r>
  <r>
    <x v="24"/>
    <x v="0"/>
    <s v="TAS"/>
    <s v="Known gap agreement"/>
    <s v="100% MBS Fee to 125% MBS Fee"/>
    <n v="282671.64"/>
    <n v="184410.68"/>
    <n v="82805.149999999994"/>
    <n v="1519"/>
  </r>
  <r>
    <x v="24"/>
    <x v="0"/>
    <s v="TAS"/>
    <s v="Known gap agreement"/>
    <s v="More than 125% MBS Fee to 150% MBS Fee"/>
    <n v="534268.86"/>
    <n v="291345.24"/>
    <n v="224217.57"/>
    <n v="2714"/>
  </r>
  <r>
    <x v="24"/>
    <x v="0"/>
    <s v="TAS"/>
    <s v="Known gap agreement"/>
    <s v="More than 150% MBS Fee to 200% MBS Fee"/>
    <n v="2145434.59"/>
    <n v="910934.55"/>
    <n v="966378.04"/>
    <n v="3554"/>
  </r>
  <r>
    <x v="24"/>
    <x v="0"/>
    <s v="TAS"/>
    <s v="Known gap agreement"/>
    <s v="More than 200% MBS Fee"/>
    <n v="2805022.85"/>
    <n v="751457.67"/>
    <n v="901103.48"/>
    <n v="7091"/>
  </r>
  <r>
    <x v="24"/>
    <x v="0"/>
    <s v="TAS"/>
    <s v="No gap agreement"/>
    <s v="Up to MBS Fee"/>
    <n v="2097794.04"/>
    <n v="1574313.58"/>
    <n v="523646.56"/>
    <n v="37147"/>
  </r>
  <r>
    <x v="24"/>
    <x v="0"/>
    <s v="TAS"/>
    <s v="No gap agreement"/>
    <s v="100% MBS Fee to 125% MBS Fee"/>
    <n v="2954715"/>
    <n v="1872520.36"/>
    <n v="1082171.26"/>
    <n v="22073"/>
  </r>
  <r>
    <x v="24"/>
    <x v="0"/>
    <s v="TAS"/>
    <s v="No gap agreement"/>
    <s v="More than 125% MBS Fee to 150% MBS Fee"/>
    <n v="9242685.6999999993"/>
    <n v="5042173.3099999996"/>
    <n v="4200503.46"/>
    <n v="56785"/>
  </r>
  <r>
    <x v="24"/>
    <x v="0"/>
    <s v="TAS"/>
    <s v="No gap agreement"/>
    <s v="More than 150% MBS Fee to 200% MBS Fee"/>
    <n v="11411993.32"/>
    <n v="5188352.09"/>
    <n v="6223635.9100000001"/>
    <n v="54460"/>
  </r>
  <r>
    <x v="24"/>
    <x v="0"/>
    <s v="TAS"/>
    <s v="No gap agreement"/>
    <s v="More than 200% MBS Fee"/>
    <n v="430317.08"/>
    <n v="120411.8"/>
    <n v="309905.26"/>
    <n v="428"/>
  </r>
  <r>
    <x v="24"/>
    <x v="0"/>
    <s v="ACT"/>
    <s v="No agreement"/>
    <s v="Up to MBS Fee"/>
    <n v="883959.86"/>
    <n v="659425.88"/>
    <n v="215111.95"/>
    <n v="7850"/>
  </r>
  <r>
    <x v="24"/>
    <x v="0"/>
    <s v="ACT"/>
    <s v="No agreement"/>
    <s v="100% MBS Fee to 125% MBS Fee"/>
    <n v="94612.4"/>
    <n v="64917.120000000003"/>
    <n v="21999.4"/>
    <n v="382"/>
  </r>
  <r>
    <x v="24"/>
    <x v="0"/>
    <s v="ACT"/>
    <s v="No agreement"/>
    <s v="More than 125% MBS Fee to 150% MBS Fee"/>
    <n v="132366.60999999999"/>
    <n v="71901.34"/>
    <n v="23997.56"/>
    <n v="288"/>
  </r>
  <r>
    <x v="24"/>
    <x v="0"/>
    <s v="ACT"/>
    <s v="No agreement"/>
    <s v="More than 150% MBS Fee to 200% MBS Fee"/>
    <n v="488178.7"/>
    <n v="207985.97"/>
    <n v="70094.62"/>
    <n v="2053"/>
  </r>
  <r>
    <x v="24"/>
    <x v="0"/>
    <s v="ACT"/>
    <s v="No agreement"/>
    <s v="More than 200% MBS Fee"/>
    <n v="7094167.6500000004"/>
    <n v="1565770.36"/>
    <n v="522560.14"/>
    <n v="6039"/>
  </r>
  <r>
    <x v="24"/>
    <x v="0"/>
    <s v="ACT"/>
    <s v="Known gap agreement"/>
    <s v="100% MBS Fee to 125% MBS Fee"/>
    <n v="70862.820000000007"/>
    <n v="44430.91"/>
    <n v="23873.360000000001"/>
    <n v="294"/>
  </r>
  <r>
    <x v="24"/>
    <x v="0"/>
    <s v="ACT"/>
    <s v="Known gap agreement"/>
    <s v="More than 125% MBS Fee to 150% MBS Fee"/>
    <n v="175746.46"/>
    <n v="96072.46"/>
    <n v="74099.27"/>
    <n v="1210"/>
  </r>
  <r>
    <x v="24"/>
    <x v="0"/>
    <s v="ACT"/>
    <s v="Known gap agreement"/>
    <s v="More than 150% MBS Fee to 200% MBS Fee"/>
    <n v="627273.1"/>
    <n v="264207.58"/>
    <n v="265542.14"/>
    <n v="1293"/>
  </r>
  <r>
    <x v="24"/>
    <x v="0"/>
    <s v="ACT"/>
    <s v="Known gap agreement"/>
    <s v="More than 200% MBS Fee"/>
    <n v="3908517.45"/>
    <n v="1043985.5"/>
    <n v="1120342.1399999999"/>
    <n v="12898"/>
  </r>
  <r>
    <x v="24"/>
    <x v="0"/>
    <s v="ACT"/>
    <s v="No gap agreement"/>
    <s v="Up to MBS Fee"/>
    <n v="487621.66"/>
    <n v="366426.05"/>
    <n v="121181.91"/>
    <n v="14436"/>
  </r>
  <r>
    <x v="24"/>
    <x v="0"/>
    <s v="ACT"/>
    <s v="No gap agreement"/>
    <s v="100% MBS Fee to 125% MBS Fee"/>
    <n v="1977122.01"/>
    <n v="1256344.8799999999"/>
    <n v="720777.13"/>
    <n v="19140"/>
  </r>
  <r>
    <x v="24"/>
    <x v="0"/>
    <s v="ACT"/>
    <s v="No gap agreement"/>
    <s v="More than 125% MBS Fee to 150% MBS Fee"/>
    <n v="4062426.98"/>
    <n v="2244637.44"/>
    <n v="1817785.55"/>
    <n v="34091"/>
  </r>
  <r>
    <x v="24"/>
    <x v="0"/>
    <s v="ACT"/>
    <s v="No gap agreement"/>
    <s v="More than 150% MBS Fee to 200% MBS Fee"/>
    <n v="2933249.33"/>
    <n v="1338284.72"/>
    <n v="1594911.84"/>
    <n v="16547"/>
  </r>
  <r>
    <x v="24"/>
    <x v="0"/>
    <s v="ACT"/>
    <s v="No gap agreement"/>
    <s v="More than 200% MBS Fee"/>
    <n v="275097.52"/>
    <n v="76727.22"/>
    <n v="198370.3"/>
    <n v="581"/>
  </r>
  <r>
    <x v="24"/>
    <x v="0"/>
    <s v="NT"/>
    <s v="No agreement"/>
    <s v="Up to MBS Fee"/>
    <n v="220387.21"/>
    <n v="165087.51"/>
    <n v="54978.73"/>
    <n v="985"/>
  </r>
  <r>
    <x v="24"/>
    <x v="0"/>
    <s v="NT"/>
    <s v="No agreement"/>
    <s v="100% MBS Fee to 125% MBS Fee"/>
    <n v="18014.849999999999"/>
    <n v="12358.35"/>
    <n v="4296.95"/>
    <n v="40"/>
  </r>
  <r>
    <x v="24"/>
    <x v="0"/>
    <s v="NT"/>
    <s v="No agreement"/>
    <s v="More than 125% MBS Fee to 150% MBS Fee"/>
    <n v="21085.86"/>
    <n v="11392.14"/>
    <n v="3717.36"/>
    <n v="43"/>
  </r>
  <r>
    <x v="24"/>
    <x v="0"/>
    <s v="NT"/>
    <s v="No agreement"/>
    <s v="More than 150% MBS Fee to 200% MBS Fee"/>
    <n v="75172.38"/>
    <n v="32604.240000000002"/>
    <n v="10871.25"/>
    <n v="272"/>
  </r>
  <r>
    <x v="24"/>
    <x v="0"/>
    <s v="NT"/>
    <s v="No agreement"/>
    <s v="More than 200% MBS Fee"/>
    <n v="1111840.47"/>
    <n v="248612.5"/>
    <n v="82859.78"/>
    <n v="799"/>
  </r>
  <r>
    <x v="24"/>
    <x v="0"/>
    <s v="NT"/>
    <s v="Known gap agreement"/>
    <s v="100% MBS Fee to 125% MBS Fee"/>
    <n v="33115.64"/>
    <n v="21821.33"/>
    <n v="8562.2000000000007"/>
    <n v="168"/>
  </r>
  <r>
    <x v="24"/>
    <x v="0"/>
    <s v="NT"/>
    <s v="Known gap agreement"/>
    <s v="More than 125% MBS Fee to 150% MBS Fee"/>
    <n v="59375.49"/>
    <n v="32106.799999999999"/>
    <n v="23883.66"/>
    <n v="168"/>
  </r>
  <r>
    <x v="24"/>
    <x v="0"/>
    <s v="NT"/>
    <s v="Known gap agreement"/>
    <s v="More than 150% MBS Fee to 200% MBS Fee"/>
    <n v="279183.24"/>
    <n v="118739.14"/>
    <n v="123471.29"/>
    <n v="485"/>
  </r>
  <r>
    <x v="24"/>
    <x v="0"/>
    <s v="NT"/>
    <s v="Known gap agreement"/>
    <s v="More than 200% MBS Fee"/>
    <n v="550975.69999999995"/>
    <n v="146695.35999999999"/>
    <n v="169135.32"/>
    <n v="1813"/>
  </r>
  <r>
    <x v="24"/>
    <x v="0"/>
    <s v="NT"/>
    <s v="No gap agreement"/>
    <s v="Up to MBS Fee"/>
    <n v="515779.36"/>
    <n v="386961.84"/>
    <n v="128817.52"/>
    <n v="7662"/>
  </r>
  <r>
    <x v="24"/>
    <x v="0"/>
    <s v="NT"/>
    <s v="No gap agreement"/>
    <s v="100% MBS Fee to 125% MBS Fee"/>
    <n v="519575.93"/>
    <n v="329386.2"/>
    <n v="190188.48"/>
    <n v="3699"/>
  </r>
  <r>
    <x v="24"/>
    <x v="0"/>
    <s v="NT"/>
    <s v="No gap agreement"/>
    <s v="More than 125% MBS Fee to 150% MBS Fee"/>
    <n v="1558452.99"/>
    <n v="849172.01"/>
    <n v="709278.78"/>
    <n v="7860"/>
  </r>
  <r>
    <x v="24"/>
    <x v="0"/>
    <s v="NT"/>
    <s v="No gap agreement"/>
    <s v="More than 150% MBS Fee to 200% MBS Fee"/>
    <n v="2488465.14"/>
    <n v="1138953.6499999999"/>
    <n v="1349497.98"/>
    <n v="11085"/>
  </r>
  <r>
    <x v="24"/>
    <x v="0"/>
    <s v="NT"/>
    <s v="No gap agreement"/>
    <s v="More than 200% MBS Fee"/>
    <n v="63586.35"/>
    <n v="19927.650000000001"/>
    <n v="43658.7"/>
    <n v="77"/>
  </r>
  <r>
    <x v="24"/>
    <x v="2"/>
    <s v="NSW"/>
    <s v="No agreement"/>
    <s v="Up to MBS Fee"/>
    <n v="33290637.23"/>
    <n v="24965163.199999999"/>
    <n v="8308447.0300000003"/>
    <n v="329074"/>
  </r>
  <r>
    <x v="24"/>
    <x v="2"/>
    <s v="NSW"/>
    <s v="No agreement"/>
    <s v="100% MBS Fee to 125% MBS Fee"/>
    <n v="3787642.27"/>
    <n v="2482942.0099999998"/>
    <n v="1072195.3899999999"/>
    <n v="21088"/>
  </r>
  <r>
    <x v="24"/>
    <x v="2"/>
    <s v="NSW"/>
    <s v="No agreement"/>
    <s v="More than 125% MBS Fee to 150% MBS Fee"/>
    <n v="4157570.06"/>
    <n v="2237480.2999999998"/>
    <n v="1473047.09"/>
    <n v="20718"/>
  </r>
  <r>
    <x v="24"/>
    <x v="2"/>
    <s v="NSW"/>
    <s v="No agreement"/>
    <s v="More than 150% MBS Fee to 200% MBS Fee"/>
    <n v="9128706.8900000006"/>
    <n v="4000716.66"/>
    <n v="2620167.31"/>
    <n v="38777"/>
  </r>
  <r>
    <x v="24"/>
    <x v="2"/>
    <s v="NSW"/>
    <s v="No agreement"/>
    <s v="More than 200% MBS Fee"/>
    <n v="77925670.549999997"/>
    <n v="16992464.059999999"/>
    <n v="6028044.1500000004"/>
    <n v="75710"/>
  </r>
  <r>
    <x v="24"/>
    <x v="2"/>
    <s v="NSW"/>
    <s v="Known gap agreement"/>
    <s v="100% MBS Fee to 125% MBS Fee"/>
    <n v="2954719.14"/>
    <n v="1933601.27"/>
    <n v="907844.79"/>
    <n v="13332"/>
  </r>
  <r>
    <x v="24"/>
    <x v="2"/>
    <s v="NSW"/>
    <s v="Known gap agreement"/>
    <s v="More than 125% MBS Fee to 150% MBS Fee"/>
    <n v="5160136.82"/>
    <n v="2782195.18"/>
    <n v="2146568.91"/>
    <n v="24910"/>
  </r>
  <r>
    <x v="24"/>
    <x v="2"/>
    <s v="NSW"/>
    <s v="Known gap agreement"/>
    <s v="More than 150% MBS Fee to 200% MBS Fee"/>
    <n v="16961459.670000002"/>
    <n v="7284458.4199999999"/>
    <n v="7512561.21"/>
    <n v="36654"/>
  </r>
  <r>
    <x v="24"/>
    <x v="2"/>
    <s v="NSW"/>
    <s v="Known gap agreement"/>
    <s v="More than 200% MBS Fee"/>
    <n v="43943023.140000001"/>
    <n v="11614440.640000001"/>
    <n v="13708085.48"/>
    <n v="147222"/>
  </r>
  <r>
    <x v="24"/>
    <x v="2"/>
    <s v="NSW"/>
    <s v="No gap agreement"/>
    <s v="Up to MBS Fee"/>
    <n v="29950904.93"/>
    <n v="22488566.870000001"/>
    <n v="7462325.7599999998"/>
    <n v="887317"/>
  </r>
  <r>
    <x v="24"/>
    <x v="2"/>
    <s v="NSW"/>
    <s v="No gap agreement"/>
    <s v="100% MBS Fee to 125% MBS Fee"/>
    <n v="51250606.560000002"/>
    <n v="32466697.859999999"/>
    <n v="18783854.559999999"/>
    <n v="483303"/>
  </r>
  <r>
    <x v="24"/>
    <x v="2"/>
    <s v="NSW"/>
    <s v="No gap agreement"/>
    <s v="More than 125% MBS Fee to 150% MBS Fee"/>
    <n v="96350272.060000002"/>
    <n v="52645989.079999998"/>
    <n v="43704249.109999999"/>
    <n v="584027"/>
  </r>
  <r>
    <x v="24"/>
    <x v="2"/>
    <s v="NSW"/>
    <s v="No gap agreement"/>
    <s v="More than 150% MBS Fee to 200% MBS Fee"/>
    <n v="112486909.15000001"/>
    <n v="51142930.229999997"/>
    <n v="61343907"/>
    <n v="607951"/>
  </r>
  <r>
    <x v="24"/>
    <x v="2"/>
    <s v="NSW"/>
    <s v="No gap agreement"/>
    <s v="More than 200% MBS Fee"/>
    <n v="7068558.0700000003"/>
    <n v="2042482.62"/>
    <n v="5026074.92"/>
    <n v="14600"/>
  </r>
  <r>
    <x v="24"/>
    <x v="2"/>
    <s v="VIC"/>
    <s v="No agreement"/>
    <s v="Up to MBS Fee"/>
    <n v="9036995"/>
    <n v="6799688.4000000004"/>
    <n v="2223857.2400000002"/>
    <n v="159656"/>
  </r>
  <r>
    <x v="24"/>
    <x v="2"/>
    <s v="VIC"/>
    <s v="No agreement"/>
    <s v="100% MBS Fee to 125% MBS Fee"/>
    <n v="2431239.77"/>
    <n v="1616053.06"/>
    <n v="644853.34"/>
    <n v="10923"/>
  </r>
  <r>
    <x v="24"/>
    <x v="2"/>
    <s v="VIC"/>
    <s v="No agreement"/>
    <s v="More than 125% MBS Fee to 150% MBS Fee"/>
    <n v="4925582.0599999996"/>
    <n v="2695101.72"/>
    <n v="1717277.21"/>
    <n v="56095"/>
  </r>
  <r>
    <x v="24"/>
    <x v="2"/>
    <s v="VIC"/>
    <s v="No agreement"/>
    <s v="More than 150% MBS Fee to 200% MBS Fee"/>
    <n v="9026133.5099999998"/>
    <n v="3889709.51"/>
    <n v="3013310.49"/>
    <n v="50945"/>
  </r>
  <r>
    <x v="24"/>
    <x v="2"/>
    <s v="VIC"/>
    <s v="No agreement"/>
    <s v="More than 200% MBS Fee"/>
    <n v="25412280.43"/>
    <n v="5829615.8899999997"/>
    <n v="2306913.4900000002"/>
    <n v="26332"/>
  </r>
  <r>
    <x v="24"/>
    <x v="2"/>
    <s v="VIC"/>
    <s v="Known gap agreement"/>
    <s v="100% MBS Fee to 125% MBS Fee"/>
    <n v="3344677.06"/>
    <n v="2221900.54"/>
    <n v="974550.99"/>
    <n v="17774"/>
  </r>
  <r>
    <x v="24"/>
    <x v="2"/>
    <s v="VIC"/>
    <s v="Known gap agreement"/>
    <s v="More than 125% MBS Fee to 150% MBS Fee"/>
    <n v="6737757.2699999996"/>
    <n v="3648010.71"/>
    <n v="2620747.91"/>
    <n v="24771"/>
  </r>
  <r>
    <x v="24"/>
    <x v="2"/>
    <s v="VIC"/>
    <s v="Known gap agreement"/>
    <s v="More than 150% MBS Fee to 200% MBS Fee"/>
    <n v="15949894.310000001"/>
    <n v="6850785.5700000003"/>
    <n v="6560025.6200000001"/>
    <n v="41282"/>
  </r>
  <r>
    <x v="24"/>
    <x v="2"/>
    <s v="VIC"/>
    <s v="Known gap agreement"/>
    <s v="More than 200% MBS Fee"/>
    <n v="39544251.149999999"/>
    <n v="10827287.550000001"/>
    <n v="12587909.470000001"/>
    <n v="151045"/>
  </r>
  <r>
    <x v="24"/>
    <x v="2"/>
    <s v="VIC"/>
    <s v="No gap agreement"/>
    <s v="Up to MBS Fee"/>
    <n v="20637219.629999999"/>
    <n v="15496601.85"/>
    <n v="5140620.2300000004"/>
    <n v="337399"/>
  </r>
  <r>
    <x v="24"/>
    <x v="2"/>
    <s v="VIC"/>
    <s v="No gap agreement"/>
    <s v="100% MBS Fee to 125% MBS Fee"/>
    <n v="45117314.5"/>
    <n v="28777828.199999999"/>
    <n v="16339444.52"/>
    <n v="386607"/>
  </r>
  <r>
    <x v="24"/>
    <x v="2"/>
    <s v="VIC"/>
    <s v="No gap agreement"/>
    <s v="More than 125% MBS Fee to 150% MBS Fee"/>
    <n v="108251840.94"/>
    <n v="59294407.729999997"/>
    <n v="48957391.920000002"/>
    <n v="716136"/>
  </r>
  <r>
    <x v="24"/>
    <x v="2"/>
    <s v="VIC"/>
    <s v="No gap agreement"/>
    <s v="More than 150% MBS Fee to 200% MBS Fee"/>
    <n v="97397378.709999993"/>
    <n v="43660934.259999998"/>
    <n v="53736310.299999997"/>
    <n v="537932"/>
  </r>
  <r>
    <x v="24"/>
    <x v="2"/>
    <s v="VIC"/>
    <s v="No gap agreement"/>
    <s v="More than 200% MBS Fee"/>
    <n v="3235215.44"/>
    <n v="854613.98"/>
    <n v="2380601.46"/>
    <n v="3844"/>
  </r>
  <r>
    <x v="24"/>
    <x v="2"/>
    <s v="QLD"/>
    <s v="No agreement"/>
    <s v="Up to MBS Fee"/>
    <n v="6253176.8899999997"/>
    <n v="4675400.47"/>
    <n v="1547305.31"/>
    <n v="81330"/>
  </r>
  <r>
    <x v="24"/>
    <x v="2"/>
    <s v="QLD"/>
    <s v="No agreement"/>
    <s v="100% MBS Fee to 125% MBS Fee"/>
    <n v="2787964.09"/>
    <n v="1811119.6"/>
    <n v="858103.91"/>
    <n v="20409"/>
  </r>
  <r>
    <x v="24"/>
    <x v="2"/>
    <s v="QLD"/>
    <s v="No agreement"/>
    <s v="More than 125% MBS Fee to 150% MBS Fee"/>
    <n v="3447651.4"/>
    <n v="1861835.2"/>
    <n v="1270372.6299999999"/>
    <n v="21393"/>
  </r>
  <r>
    <x v="24"/>
    <x v="2"/>
    <s v="QLD"/>
    <s v="No agreement"/>
    <s v="More than 150% MBS Fee to 200% MBS Fee"/>
    <n v="7916244.3300000001"/>
    <n v="3459482.68"/>
    <n v="2496517.69"/>
    <n v="49487"/>
  </r>
  <r>
    <x v="24"/>
    <x v="2"/>
    <s v="QLD"/>
    <s v="No agreement"/>
    <s v="More than 200% MBS Fee"/>
    <n v="35512026.450000003"/>
    <n v="8182600.5999999996"/>
    <n v="2992322.26"/>
    <n v="35984"/>
  </r>
  <r>
    <x v="24"/>
    <x v="2"/>
    <s v="QLD"/>
    <s v="Known gap agreement"/>
    <s v="100% MBS Fee to 125% MBS Fee"/>
    <n v="1778630.1"/>
    <n v="1178126.02"/>
    <n v="518140.36"/>
    <n v="9953"/>
  </r>
  <r>
    <x v="24"/>
    <x v="2"/>
    <s v="QLD"/>
    <s v="Known gap agreement"/>
    <s v="More than 125% MBS Fee to 150% MBS Fee"/>
    <n v="3343519.35"/>
    <n v="1809094.14"/>
    <n v="1272699.47"/>
    <n v="16744"/>
  </r>
  <r>
    <x v="24"/>
    <x v="2"/>
    <s v="QLD"/>
    <s v="Known gap agreement"/>
    <s v="More than 150% MBS Fee to 200% MBS Fee"/>
    <n v="15027185.4"/>
    <n v="6348642.6900000004"/>
    <n v="6415145.4900000002"/>
    <n v="21965"/>
  </r>
  <r>
    <x v="24"/>
    <x v="2"/>
    <s v="QLD"/>
    <s v="Known gap agreement"/>
    <s v="More than 200% MBS Fee"/>
    <n v="31980537.93"/>
    <n v="8477740.3900000006"/>
    <n v="9633558.3599999994"/>
    <n v="79607"/>
  </r>
  <r>
    <x v="24"/>
    <x v="2"/>
    <s v="QLD"/>
    <s v="No gap agreement"/>
    <s v="Up to MBS Fee"/>
    <n v="15699638.17"/>
    <n v="11782779.83"/>
    <n v="3916856.6"/>
    <n v="255856"/>
  </r>
  <r>
    <x v="24"/>
    <x v="2"/>
    <s v="QLD"/>
    <s v="No gap agreement"/>
    <s v="100% MBS Fee to 125% MBS Fee"/>
    <n v="41728558.590000004"/>
    <n v="26590860.41"/>
    <n v="15137556.789999999"/>
    <n v="402522"/>
  </r>
  <r>
    <x v="24"/>
    <x v="2"/>
    <s v="QLD"/>
    <s v="No gap agreement"/>
    <s v="More than 125% MBS Fee to 150% MBS Fee"/>
    <n v="73500039.840000004"/>
    <n v="40529093.420000002"/>
    <n v="32970209.68"/>
    <n v="585992"/>
  </r>
  <r>
    <x v="24"/>
    <x v="2"/>
    <s v="QLD"/>
    <s v="No gap agreement"/>
    <s v="More than 150% MBS Fee to 200% MBS Fee"/>
    <n v="70865521.939999998"/>
    <n v="32146096.510000002"/>
    <n v="38719000.979999997"/>
    <n v="465192"/>
  </r>
  <r>
    <x v="24"/>
    <x v="2"/>
    <s v="QLD"/>
    <s v="No gap agreement"/>
    <s v="More than 200% MBS Fee"/>
    <n v="5008668.3099999996"/>
    <n v="1404156.55"/>
    <n v="3604511.71"/>
    <n v="7167"/>
  </r>
  <r>
    <x v="24"/>
    <x v="2"/>
    <s v="SA"/>
    <s v="No agreement"/>
    <s v="Up to MBS Fee"/>
    <n v="2473608.21"/>
    <n v="1857149.44"/>
    <n v="614623.81000000006"/>
    <n v="22173"/>
  </r>
  <r>
    <x v="24"/>
    <x v="2"/>
    <s v="SA"/>
    <s v="No agreement"/>
    <s v="100% MBS Fee to 125% MBS Fee"/>
    <n v="691241.09"/>
    <n v="446374.45"/>
    <n v="181863.01"/>
    <n v="3307"/>
  </r>
  <r>
    <x v="24"/>
    <x v="2"/>
    <s v="SA"/>
    <s v="No agreement"/>
    <s v="More than 125% MBS Fee to 150% MBS Fee"/>
    <n v="2061404.05"/>
    <n v="1132019.98"/>
    <n v="877344.03"/>
    <n v="20931"/>
  </r>
  <r>
    <x v="24"/>
    <x v="2"/>
    <s v="SA"/>
    <s v="No agreement"/>
    <s v="More than 150% MBS Fee to 200% MBS Fee"/>
    <n v="3289464.26"/>
    <n v="1427615.07"/>
    <n v="1703134.89"/>
    <n v="11380"/>
  </r>
  <r>
    <x v="24"/>
    <x v="2"/>
    <s v="SA"/>
    <s v="No agreement"/>
    <s v="More than 200% MBS Fee"/>
    <n v="2638501.8199999998"/>
    <n v="585683.78"/>
    <n v="422917.76"/>
    <n v="3808"/>
  </r>
  <r>
    <x v="24"/>
    <x v="2"/>
    <s v="SA"/>
    <s v="Known gap agreement"/>
    <s v="100% MBS Fee to 125% MBS Fee"/>
    <n v="381000.05"/>
    <n v="243930.6"/>
    <n v="105703.15"/>
    <n v="1935"/>
  </r>
  <r>
    <x v="24"/>
    <x v="2"/>
    <s v="SA"/>
    <s v="Known gap agreement"/>
    <s v="More than 125% MBS Fee to 150% MBS Fee"/>
    <n v="1230329.23"/>
    <n v="658940.62"/>
    <n v="485577.09"/>
    <n v="5237"/>
  </r>
  <r>
    <x v="24"/>
    <x v="2"/>
    <s v="SA"/>
    <s v="Known gap agreement"/>
    <s v="More than 150% MBS Fee to 200% MBS Fee"/>
    <n v="5850517.9900000002"/>
    <n v="2462531.92"/>
    <n v="2621769.65"/>
    <n v="9851"/>
  </r>
  <r>
    <x v="24"/>
    <x v="2"/>
    <s v="SA"/>
    <s v="Known gap agreement"/>
    <s v="More than 200% MBS Fee"/>
    <n v="9104932.8399999999"/>
    <n v="2611294.09"/>
    <n v="3244435.83"/>
    <n v="30595"/>
  </r>
  <r>
    <x v="24"/>
    <x v="2"/>
    <s v="SA"/>
    <s v="No gap agreement"/>
    <s v="Up to MBS Fee"/>
    <n v="6171995.7599999998"/>
    <n v="4635128.04"/>
    <n v="1536867.55"/>
    <n v="84586"/>
  </r>
  <r>
    <x v="24"/>
    <x v="2"/>
    <s v="SA"/>
    <s v="No gap agreement"/>
    <s v="100% MBS Fee to 125% MBS Fee"/>
    <n v="8215280.2699999996"/>
    <n v="5146377.97"/>
    <n v="3068896.15"/>
    <n v="75574"/>
  </r>
  <r>
    <x v="24"/>
    <x v="2"/>
    <s v="SA"/>
    <s v="No gap agreement"/>
    <s v="More than 125% MBS Fee to 150% MBS Fee"/>
    <n v="25848773.030000001"/>
    <n v="14060237.939999999"/>
    <n v="11788524.57"/>
    <n v="195622"/>
  </r>
  <r>
    <x v="24"/>
    <x v="2"/>
    <s v="SA"/>
    <s v="No gap agreement"/>
    <s v="More than 150% MBS Fee to 200% MBS Fee"/>
    <n v="42144169.229999997"/>
    <n v="18712426.23"/>
    <n v="23431734.239999998"/>
    <n v="163518"/>
  </r>
  <r>
    <x v="24"/>
    <x v="2"/>
    <s v="SA"/>
    <s v="No gap agreement"/>
    <s v="More than 200% MBS Fee"/>
    <n v="1192568.9099999999"/>
    <n v="307856.27"/>
    <n v="884712.64"/>
    <n v="932"/>
  </r>
  <r>
    <x v="24"/>
    <x v="2"/>
    <s v="WA"/>
    <s v="No agreement"/>
    <s v="Up to MBS Fee"/>
    <n v="2226699.75"/>
    <n v="1669320.29"/>
    <n v="552861.23"/>
    <n v="40759"/>
  </r>
  <r>
    <x v="24"/>
    <x v="2"/>
    <s v="WA"/>
    <s v="No agreement"/>
    <s v="100% MBS Fee to 125% MBS Fee"/>
    <n v="467864.96"/>
    <n v="307098.38"/>
    <n v="124105.42"/>
    <n v="2292"/>
  </r>
  <r>
    <x v="24"/>
    <x v="2"/>
    <s v="WA"/>
    <s v="No agreement"/>
    <s v="More than 125% MBS Fee to 150% MBS Fee"/>
    <n v="802354.75"/>
    <n v="431247.14"/>
    <n v="245451.12"/>
    <n v="2720"/>
  </r>
  <r>
    <x v="24"/>
    <x v="2"/>
    <s v="WA"/>
    <s v="No agreement"/>
    <s v="More than 150% MBS Fee to 200% MBS Fee"/>
    <n v="2717474.41"/>
    <n v="1192772.54"/>
    <n v="627925.62"/>
    <n v="21846"/>
  </r>
  <r>
    <x v="24"/>
    <x v="2"/>
    <s v="WA"/>
    <s v="No agreement"/>
    <s v="More than 200% MBS Fee"/>
    <n v="7995115.4800000004"/>
    <n v="1617944.2"/>
    <n v="610933.68000000005"/>
    <n v="9644"/>
  </r>
  <r>
    <x v="24"/>
    <x v="2"/>
    <s v="WA"/>
    <s v="Known gap agreement"/>
    <s v="100% MBS Fee to 125% MBS Fee"/>
    <n v="1932552.37"/>
    <n v="1310944.79"/>
    <n v="579634.11"/>
    <n v="9548"/>
  </r>
  <r>
    <x v="24"/>
    <x v="2"/>
    <s v="WA"/>
    <s v="Known gap agreement"/>
    <s v="More than 125% MBS Fee to 150% MBS Fee"/>
    <n v="4469278.33"/>
    <n v="2406635"/>
    <n v="1845182.26"/>
    <n v="29298"/>
  </r>
  <r>
    <x v="24"/>
    <x v="2"/>
    <s v="WA"/>
    <s v="Known gap agreement"/>
    <s v="More than 150% MBS Fee to 200% MBS Fee"/>
    <n v="9528547.7899999991"/>
    <n v="4211421.2"/>
    <n v="3860499.64"/>
    <n v="21231"/>
  </r>
  <r>
    <x v="24"/>
    <x v="2"/>
    <s v="WA"/>
    <s v="Known gap agreement"/>
    <s v="More than 200% MBS Fee"/>
    <n v="16841999.41"/>
    <n v="4236308.63"/>
    <n v="3293685.41"/>
    <n v="44172"/>
  </r>
  <r>
    <x v="24"/>
    <x v="2"/>
    <s v="WA"/>
    <s v="No gap agreement"/>
    <s v="Up to MBS Fee"/>
    <n v="8489118.9399999995"/>
    <n v="6371908.5"/>
    <n v="2117279.39"/>
    <n v="141002"/>
  </r>
  <r>
    <x v="24"/>
    <x v="2"/>
    <s v="WA"/>
    <s v="No gap agreement"/>
    <s v="100% MBS Fee to 125% MBS Fee"/>
    <n v="9041085.3800000008"/>
    <n v="5887814.1699999999"/>
    <n v="3153258.43"/>
    <n v="65625"/>
  </r>
  <r>
    <x v="24"/>
    <x v="2"/>
    <s v="WA"/>
    <s v="No gap agreement"/>
    <s v="More than 125% MBS Fee to 150% MBS Fee"/>
    <n v="41692395.030000001"/>
    <n v="23101014.890000001"/>
    <n v="18591377.039999999"/>
    <n v="302608"/>
  </r>
  <r>
    <x v="24"/>
    <x v="2"/>
    <s v="WA"/>
    <s v="No gap agreement"/>
    <s v="More than 150% MBS Fee to 200% MBS Fee"/>
    <n v="55130586.979999997"/>
    <n v="24444068.41"/>
    <n v="30686513.370000001"/>
    <n v="244833"/>
  </r>
  <r>
    <x v="24"/>
    <x v="2"/>
    <s v="WA"/>
    <s v="No gap agreement"/>
    <s v="More than 200% MBS Fee"/>
    <n v="2546699.14"/>
    <n v="667123.55000000005"/>
    <n v="1879575.59"/>
    <n v="2167"/>
  </r>
  <r>
    <x v="24"/>
    <x v="2"/>
    <s v="TAS"/>
    <s v="No agreement"/>
    <s v="Up to MBS Fee"/>
    <n v="516106.81"/>
    <n v="387325.98"/>
    <n v="128537.04"/>
    <n v="4494"/>
  </r>
  <r>
    <x v="24"/>
    <x v="2"/>
    <s v="TAS"/>
    <s v="No agreement"/>
    <s v="100% MBS Fee to 125% MBS Fee"/>
    <n v="288625.05"/>
    <n v="186007.83"/>
    <n v="90940.95"/>
    <n v="1830"/>
  </r>
  <r>
    <x v="24"/>
    <x v="2"/>
    <s v="TAS"/>
    <s v="No agreement"/>
    <s v="More than 125% MBS Fee to 150% MBS Fee"/>
    <n v="344811.85"/>
    <n v="190285.68"/>
    <n v="134625.38"/>
    <n v="2882"/>
  </r>
  <r>
    <x v="24"/>
    <x v="2"/>
    <s v="TAS"/>
    <s v="No agreement"/>
    <s v="More than 150% MBS Fee to 200% MBS Fee"/>
    <n v="592547.44999999995"/>
    <n v="263204.92"/>
    <n v="241614.46"/>
    <n v="2420"/>
  </r>
  <r>
    <x v="24"/>
    <x v="2"/>
    <s v="TAS"/>
    <s v="No agreement"/>
    <s v="More than 200% MBS Fee"/>
    <n v="1477632.75"/>
    <n v="344627.77"/>
    <n v="152937.17000000001"/>
    <n v="1329"/>
  </r>
  <r>
    <x v="24"/>
    <x v="2"/>
    <s v="TAS"/>
    <s v="Known gap agreement"/>
    <s v="100% MBS Fee to 125% MBS Fee"/>
    <n v="213332.56"/>
    <n v="140663.93"/>
    <n v="63102.25"/>
    <n v="1289"/>
  </r>
  <r>
    <x v="24"/>
    <x v="2"/>
    <s v="TAS"/>
    <s v="Known gap agreement"/>
    <s v="More than 125% MBS Fee to 150% MBS Fee"/>
    <n v="550694.16"/>
    <n v="298773.34999999998"/>
    <n v="235605.5"/>
    <n v="2426"/>
  </r>
  <r>
    <x v="24"/>
    <x v="2"/>
    <s v="TAS"/>
    <s v="Known gap agreement"/>
    <s v="More than 150% MBS Fee to 200% MBS Fee"/>
    <n v="1737793.92"/>
    <n v="735614.26"/>
    <n v="788019.76"/>
    <n v="2553"/>
  </r>
  <r>
    <x v="24"/>
    <x v="2"/>
    <s v="TAS"/>
    <s v="Known gap agreement"/>
    <s v="More than 200% MBS Fee"/>
    <n v="2720325.71"/>
    <n v="754169.4"/>
    <n v="910261.19"/>
    <n v="7159"/>
  </r>
  <r>
    <x v="24"/>
    <x v="2"/>
    <s v="TAS"/>
    <s v="No gap agreement"/>
    <s v="Up to MBS Fee"/>
    <n v="1727598.08"/>
    <n v="1297332.3600000001"/>
    <n v="430265.57"/>
    <n v="32904"/>
  </r>
  <r>
    <x v="24"/>
    <x v="2"/>
    <s v="TAS"/>
    <s v="No gap agreement"/>
    <s v="100% MBS Fee to 125% MBS Fee"/>
    <n v="2869113.31"/>
    <n v="1814440.2"/>
    <n v="1054670.42"/>
    <n v="20959"/>
  </r>
  <r>
    <x v="24"/>
    <x v="2"/>
    <s v="TAS"/>
    <s v="No gap agreement"/>
    <s v="More than 125% MBS Fee to 150% MBS Fee"/>
    <n v="8980652.0299999993"/>
    <n v="4888613.66"/>
    <n v="4092032.85"/>
    <n v="53006"/>
  </r>
  <r>
    <x v="24"/>
    <x v="2"/>
    <s v="TAS"/>
    <s v="No gap agreement"/>
    <s v="More than 150% MBS Fee to 200% MBS Fee"/>
    <n v="10579834.83"/>
    <n v="4811034.1399999997"/>
    <n v="5768799.0700000003"/>
    <n v="49776"/>
  </r>
  <r>
    <x v="24"/>
    <x v="2"/>
    <s v="TAS"/>
    <s v="No gap agreement"/>
    <s v="More than 200% MBS Fee"/>
    <n v="362126.85"/>
    <n v="100614.7"/>
    <n v="261512.15"/>
    <n v="322"/>
  </r>
  <r>
    <x v="24"/>
    <x v="2"/>
    <s v="ACT"/>
    <s v="No agreement"/>
    <s v="Up to MBS Fee"/>
    <n v="821982.08"/>
    <n v="613917.84"/>
    <n v="193864.13"/>
    <n v="6958"/>
  </r>
  <r>
    <x v="24"/>
    <x v="2"/>
    <s v="ACT"/>
    <s v="No agreement"/>
    <s v="100% MBS Fee to 125% MBS Fee"/>
    <n v="143255.94"/>
    <n v="96612.23"/>
    <n v="40068.65"/>
    <n v="725"/>
  </r>
  <r>
    <x v="24"/>
    <x v="2"/>
    <s v="ACT"/>
    <s v="No agreement"/>
    <s v="More than 125% MBS Fee to 150% MBS Fee"/>
    <n v="176771.18"/>
    <n v="94910.78"/>
    <n v="38877.050000000003"/>
    <n v="421"/>
  </r>
  <r>
    <x v="24"/>
    <x v="2"/>
    <s v="ACT"/>
    <s v="No agreement"/>
    <s v="More than 150% MBS Fee to 200% MBS Fee"/>
    <n v="550730.96"/>
    <n v="235918.69"/>
    <n v="111943.74"/>
    <n v="2461"/>
  </r>
  <r>
    <x v="24"/>
    <x v="2"/>
    <s v="ACT"/>
    <s v="No agreement"/>
    <s v="More than 200% MBS Fee"/>
    <n v="6604887.1500000004"/>
    <n v="1471609.4"/>
    <n v="511152.97"/>
    <n v="6258"/>
  </r>
  <r>
    <x v="24"/>
    <x v="2"/>
    <s v="ACT"/>
    <s v="Known gap agreement"/>
    <s v="100% MBS Fee to 125% MBS Fee"/>
    <n v="116079.05"/>
    <n v="72988.33"/>
    <n v="38193.33"/>
    <n v="429"/>
  </r>
  <r>
    <x v="24"/>
    <x v="2"/>
    <s v="ACT"/>
    <s v="Known gap agreement"/>
    <s v="More than 125% MBS Fee to 150% MBS Fee"/>
    <n v="202603.96"/>
    <n v="110133.93"/>
    <n v="81504.05"/>
    <n v="880"/>
  </r>
  <r>
    <x v="24"/>
    <x v="2"/>
    <s v="ACT"/>
    <s v="Known gap agreement"/>
    <s v="More than 150% MBS Fee to 200% MBS Fee"/>
    <n v="697329.73"/>
    <n v="297275.40999999997"/>
    <n v="306733.53000000003"/>
    <n v="1575"/>
  </r>
  <r>
    <x v="24"/>
    <x v="2"/>
    <s v="ACT"/>
    <s v="Known gap agreement"/>
    <s v="More than 200% MBS Fee"/>
    <n v="3522267.42"/>
    <n v="940241.22"/>
    <n v="1009664.72"/>
    <n v="11461"/>
  </r>
  <r>
    <x v="24"/>
    <x v="2"/>
    <s v="ACT"/>
    <s v="No gap agreement"/>
    <s v="Up to MBS Fee"/>
    <n v="459997.65"/>
    <n v="345214.35"/>
    <n v="114781.75999999999"/>
    <n v="13033"/>
  </r>
  <r>
    <x v="24"/>
    <x v="2"/>
    <s v="ACT"/>
    <s v="No gap agreement"/>
    <s v="100% MBS Fee to 125% MBS Fee"/>
    <n v="1859100.87"/>
    <n v="1176352.55"/>
    <n v="682718.32"/>
    <n v="17428"/>
  </r>
  <r>
    <x v="24"/>
    <x v="2"/>
    <s v="ACT"/>
    <s v="No gap agreement"/>
    <s v="More than 125% MBS Fee to 150% MBS Fee"/>
    <n v="3883956.15"/>
    <n v="2136189.98"/>
    <n v="1747760.74"/>
    <n v="31250"/>
  </r>
  <r>
    <x v="24"/>
    <x v="2"/>
    <s v="ACT"/>
    <s v="No gap agreement"/>
    <s v="More than 150% MBS Fee to 200% MBS Fee"/>
    <n v="2907676.76"/>
    <n v="1322803.8"/>
    <n v="1584856.01"/>
    <n v="16436"/>
  </r>
  <r>
    <x v="24"/>
    <x v="2"/>
    <s v="ACT"/>
    <s v="No gap agreement"/>
    <s v="More than 200% MBS Fee"/>
    <n v="246917.2"/>
    <n v="73791.899999999994"/>
    <n v="173125.3"/>
    <n v="494"/>
  </r>
  <r>
    <x v="24"/>
    <x v="2"/>
    <s v="NT"/>
    <s v="No agreement"/>
    <s v="Up to MBS Fee"/>
    <n v="261202.86"/>
    <n v="195939.16"/>
    <n v="65263.7"/>
    <n v="1621"/>
  </r>
  <r>
    <x v="24"/>
    <x v="2"/>
    <s v="NT"/>
    <s v="No agreement"/>
    <s v="100% MBS Fee to 125% MBS Fee"/>
    <n v="49181.42"/>
    <n v="31349.94"/>
    <n v="16383.95"/>
    <n v="343"/>
  </r>
  <r>
    <x v="24"/>
    <x v="2"/>
    <s v="NT"/>
    <s v="No agreement"/>
    <s v="More than 125% MBS Fee to 150% MBS Fee"/>
    <n v="75078.25"/>
    <n v="40776.67"/>
    <n v="23749.599999999999"/>
    <n v="348"/>
  </r>
  <r>
    <x v="24"/>
    <x v="2"/>
    <s v="NT"/>
    <s v="No agreement"/>
    <s v="More than 150% MBS Fee to 200% MBS Fee"/>
    <n v="175424.41"/>
    <n v="77231.039999999994"/>
    <n v="68631.850000000006"/>
    <n v="745"/>
  </r>
  <r>
    <x v="24"/>
    <x v="2"/>
    <s v="NT"/>
    <s v="No agreement"/>
    <s v="More than 200% MBS Fee"/>
    <n v="1108282.3400000001"/>
    <n v="250507.7"/>
    <n v="91630.15"/>
    <n v="884"/>
  </r>
  <r>
    <x v="24"/>
    <x v="2"/>
    <s v="NT"/>
    <s v="Known gap agreement"/>
    <s v="100% MBS Fee to 125% MBS Fee"/>
    <n v="25129.13"/>
    <n v="15727.29"/>
    <n v="6117.75"/>
    <n v="180"/>
  </r>
  <r>
    <x v="24"/>
    <x v="2"/>
    <s v="NT"/>
    <s v="Known gap agreement"/>
    <s v="More than 125% MBS Fee to 150% MBS Fee"/>
    <n v="69824.12"/>
    <n v="37554.400000000001"/>
    <n v="27123.64"/>
    <n v="334"/>
  </r>
  <r>
    <x v="24"/>
    <x v="2"/>
    <s v="NT"/>
    <s v="Known gap agreement"/>
    <s v="More than 150% MBS Fee to 200% MBS Fee"/>
    <n v="229094.34"/>
    <n v="98441.52"/>
    <n v="100654.18"/>
    <n v="407"/>
  </r>
  <r>
    <x v="24"/>
    <x v="2"/>
    <s v="NT"/>
    <s v="Known gap agreement"/>
    <s v="More than 200% MBS Fee"/>
    <n v="545720.15"/>
    <n v="151449.01999999999"/>
    <n v="178878.77"/>
    <n v="1976"/>
  </r>
  <r>
    <x v="24"/>
    <x v="2"/>
    <s v="NT"/>
    <s v="No gap agreement"/>
    <s v="Up to MBS Fee"/>
    <n v="640021.05000000005"/>
    <n v="480161.45"/>
    <n v="159859.6"/>
    <n v="8628"/>
  </r>
  <r>
    <x v="24"/>
    <x v="2"/>
    <s v="NT"/>
    <s v="No gap agreement"/>
    <s v="100% MBS Fee to 125% MBS Fee"/>
    <n v="499066.64"/>
    <n v="316771.75"/>
    <n v="182292.89"/>
    <n v="3632"/>
  </r>
  <r>
    <x v="24"/>
    <x v="2"/>
    <s v="NT"/>
    <s v="No gap agreement"/>
    <s v="More than 125% MBS Fee to 150% MBS Fee"/>
    <n v="1286427.3400000001"/>
    <n v="701230.53"/>
    <n v="585194"/>
    <n v="6494"/>
  </r>
  <r>
    <x v="24"/>
    <x v="2"/>
    <s v="NT"/>
    <s v="No gap agreement"/>
    <s v="More than 150% MBS Fee to 200% MBS Fee"/>
    <n v="2058969.95"/>
    <n v="942318.5"/>
    <n v="1116647.42"/>
    <n v="9431"/>
  </r>
  <r>
    <x v="24"/>
    <x v="2"/>
    <s v="NT"/>
    <s v="No gap agreement"/>
    <s v="More than 200% MBS Fee"/>
    <n v="57433.52"/>
    <n v="17139.5"/>
    <n v="40294.019999999997"/>
    <n v="70"/>
  </r>
  <r>
    <x v="24"/>
    <x v="3"/>
    <s v="NSW"/>
    <s v="No agreement"/>
    <s v="Up to MBS Fee"/>
    <n v="32173872.640000001"/>
    <n v="24153346.899999999"/>
    <n v="8010546.25"/>
    <n v="323062"/>
  </r>
  <r>
    <x v="24"/>
    <x v="3"/>
    <s v="NSW"/>
    <s v="No agreement"/>
    <s v="100% MBS Fee to 125% MBS Fee"/>
    <n v="3371276.66"/>
    <n v="2241147.86"/>
    <n v="922490.8"/>
    <n v="18238"/>
  </r>
  <r>
    <x v="24"/>
    <x v="3"/>
    <s v="NSW"/>
    <s v="No agreement"/>
    <s v="More than 125% MBS Fee to 150% MBS Fee"/>
    <n v="3501915.56"/>
    <n v="1884837.25"/>
    <n v="1178322.0900000001"/>
    <n v="18330"/>
  </r>
  <r>
    <x v="24"/>
    <x v="3"/>
    <s v="NSW"/>
    <s v="No agreement"/>
    <s v="More than 150% MBS Fee to 200% MBS Fee"/>
    <n v="8514908.6199999992"/>
    <n v="3727739.56"/>
    <n v="2472196.34"/>
    <n v="35482"/>
  </r>
  <r>
    <x v="24"/>
    <x v="3"/>
    <s v="NSW"/>
    <s v="No agreement"/>
    <s v="More than 200% MBS Fee"/>
    <n v="73240726.019999996"/>
    <n v="15942331.640000001"/>
    <n v="5626586.0300000003"/>
    <n v="70553"/>
  </r>
  <r>
    <x v="24"/>
    <x v="3"/>
    <s v="NSW"/>
    <s v="Known gap agreement"/>
    <s v="100% MBS Fee to 125% MBS Fee"/>
    <n v="2878167.2"/>
    <n v="1887525.75"/>
    <n v="887322.32"/>
    <n v="13547"/>
  </r>
  <r>
    <x v="24"/>
    <x v="3"/>
    <s v="NSW"/>
    <s v="Known gap agreement"/>
    <s v="More than 125% MBS Fee to 150% MBS Fee"/>
    <n v="4483233.91"/>
    <n v="2408173.7999999998"/>
    <n v="1873074.35"/>
    <n v="15128"/>
  </r>
  <r>
    <x v="24"/>
    <x v="3"/>
    <s v="NSW"/>
    <s v="Known gap agreement"/>
    <s v="More than 150% MBS Fee to 200% MBS Fee"/>
    <n v="15076352.869999999"/>
    <n v="6491449.9699999997"/>
    <n v="6673632.7699999996"/>
    <n v="33262"/>
  </r>
  <r>
    <x v="24"/>
    <x v="3"/>
    <s v="NSW"/>
    <s v="Known gap agreement"/>
    <s v="More than 200% MBS Fee"/>
    <n v="37986179.009999998"/>
    <n v="10009064.390000001"/>
    <n v="11861029.65"/>
    <n v="127262"/>
  </r>
  <r>
    <x v="24"/>
    <x v="3"/>
    <s v="NSW"/>
    <s v="No gap agreement"/>
    <s v="Up to MBS Fee"/>
    <n v="29332887"/>
    <n v="22020025.829999998"/>
    <n v="7313002.9199999999"/>
    <n v="873769"/>
  </r>
  <r>
    <x v="24"/>
    <x v="3"/>
    <s v="NSW"/>
    <s v="No gap agreement"/>
    <s v="100% MBS Fee to 125% MBS Fee"/>
    <n v="47751797.289999999"/>
    <n v="30252720.48"/>
    <n v="17499174.379999999"/>
    <n v="453134"/>
  </r>
  <r>
    <x v="24"/>
    <x v="3"/>
    <s v="NSW"/>
    <s v="No gap agreement"/>
    <s v="More than 125% MBS Fee to 150% MBS Fee"/>
    <n v="87517722.790000007"/>
    <n v="47809961.030000001"/>
    <n v="39707743.109999999"/>
    <n v="521260"/>
  </r>
  <r>
    <x v="24"/>
    <x v="3"/>
    <s v="NSW"/>
    <s v="No gap agreement"/>
    <s v="More than 150% MBS Fee to 200% MBS Fee"/>
    <n v="103175582.81"/>
    <n v="46915673.729999997"/>
    <n v="56259811.07"/>
    <n v="554317"/>
  </r>
  <r>
    <x v="24"/>
    <x v="3"/>
    <s v="NSW"/>
    <s v="No gap agreement"/>
    <s v="More than 200% MBS Fee"/>
    <n v="6648838.5899999999"/>
    <n v="1887626.51"/>
    <n v="4761212.01"/>
    <n v="13584"/>
  </r>
  <r>
    <x v="24"/>
    <x v="3"/>
    <s v="VIC"/>
    <s v="No agreement"/>
    <s v="Up to MBS Fee"/>
    <n v="8760986.6699999999"/>
    <n v="6574924.3700000001"/>
    <n v="2179397.7999999998"/>
    <n v="163081"/>
  </r>
  <r>
    <x v="24"/>
    <x v="3"/>
    <s v="VIC"/>
    <s v="No agreement"/>
    <s v="100% MBS Fee to 125% MBS Fee"/>
    <n v="2019362.39"/>
    <n v="1333790.3600000001"/>
    <n v="525116.29"/>
    <n v="8368"/>
  </r>
  <r>
    <x v="24"/>
    <x v="3"/>
    <s v="VIC"/>
    <s v="No agreement"/>
    <s v="More than 125% MBS Fee to 150% MBS Fee"/>
    <n v="4131424.52"/>
    <n v="2258200.5099999998"/>
    <n v="1426895.19"/>
    <n v="46416"/>
  </r>
  <r>
    <x v="24"/>
    <x v="3"/>
    <s v="VIC"/>
    <s v="No agreement"/>
    <s v="More than 150% MBS Fee to 200% MBS Fee"/>
    <n v="8183984.8399999999"/>
    <n v="3522132.64"/>
    <n v="2750468.68"/>
    <n v="46930"/>
  </r>
  <r>
    <x v="24"/>
    <x v="3"/>
    <s v="VIC"/>
    <s v="No agreement"/>
    <s v="More than 200% MBS Fee"/>
    <n v="24101308.699999999"/>
    <n v="5655127.0899999999"/>
    <n v="2219216.2999999998"/>
    <n v="26350"/>
  </r>
  <r>
    <x v="24"/>
    <x v="3"/>
    <s v="VIC"/>
    <s v="Known gap agreement"/>
    <s v="100% MBS Fee to 125% MBS Fee"/>
    <n v="3351682.19"/>
    <n v="2239863.2599999998"/>
    <n v="969533.15"/>
    <n v="17787"/>
  </r>
  <r>
    <x v="24"/>
    <x v="3"/>
    <s v="VIC"/>
    <s v="Known gap agreement"/>
    <s v="More than 125% MBS Fee to 150% MBS Fee"/>
    <n v="6609508.2999999998"/>
    <n v="3574978.33"/>
    <n v="2557328.2799999998"/>
    <n v="24585"/>
  </r>
  <r>
    <x v="24"/>
    <x v="3"/>
    <s v="VIC"/>
    <s v="Known gap agreement"/>
    <s v="More than 150% MBS Fee to 200% MBS Fee"/>
    <n v="15097985.720000001"/>
    <n v="6501585.1200000001"/>
    <n v="6240447.0899999999"/>
    <n v="37553"/>
  </r>
  <r>
    <x v="24"/>
    <x v="3"/>
    <s v="VIC"/>
    <s v="Known gap agreement"/>
    <s v="More than 200% MBS Fee"/>
    <n v="35182326.530000001"/>
    <n v="9644874.5700000003"/>
    <n v="11222081.220000001"/>
    <n v="133202"/>
  </r>
  <r>
    <x v="24"/>
    <x v="3"/>
    <s v="VIC"/>
    <s v="No gap agreement"/>
    <s v="Up to MBS Fee"/>
    <n v="19799322.800000001"/>
    <n v="14874490.359999999"/>
    <n v="4924641.7300000004"/>
    <n v="314474"/>
  </r>
  <r>
    <x v="24"/>
    <x v="3"/>
    <s v="VIC"/>
    <s v="No gap agreement"/>
    <s v="100% MBS Fee to 125% MBS Fee"/>
    <n v="43496504.469999999"/>
    <n v="27782026.359999999"/>
    <n v="15714305.609999999"/>
    <n v="376526"/>
  </r>
  <r>
    <x v="24"/>
    <x v="3"/>
    <s v="VIC"/>
    <s v="No gap agreement"/>
    <s v="More than 125% MBS Fee to 150% MBS Fee"/>
    <n v="101334454.55"/>
    <n v="55526089.539999999"/>
    <n v="45808327.18"/>
    <n v="672332"/>
  </r>
  <r>
    <x v="24"/>
    <x v="3"/>
    <s v="VIC"/>
    <s v="No gap agreement"/>
    <s v="More than 150% MBS Fee to 200% MBS Fee"/>
    <n v="90976234.909999996"/>
    <n v="40777877.289999999"/>
    <n v="50198143.630000003"/>
    <n v="490496"/>
  </r>
  <r>
    <x v="24"/>
    <x v="3"/>
    <s v="VIC"/>
    <s v="No gap agreement"/>
    <s v="More than 200% MBS Fee"/>
    <n v="3488727.04"/>
    <n v="934837.62"/>
    <n v="2553886.06"/>
    <n v="3804"/>
  </r>
  <r>
    <x v="24"/>
    <x v="3"/>
    <s v="QLD"/>
    <s v="No agreement"/>
    <s v="Up to MBS Fee"/>
    <n v="6393449.9199999999"/>
    <n v="4786498.5"/>
    <n v="1588799.29"/>
    <n v="90880"/>
  </r>
  <r>
    <x v="24"/>
    <x v="3"/>
    <s v="QLD"/>
    <s v="No agreement"/>
    <s v="100% MBS Fee to 125% MBS Fee"/>
    <n v="3068833.67"/>
    <n v="1993150.74"/>
    <n v="940126.81"/>
    <n v="21866"/>
  </r>
  <r>
    <x v="24"/>
    <x v="3"/>
    <s v="QLD"/>
    <s v="No agreement"/>
    <s v="More than 125% MBS Fee to 150% MBS Fee"/>
    <n v="3142485.54"/>
    <n v="1695484.26"/>
    <n v="1136434.0900000001"/>
    <n v="15878"/>
  </r>
  <r>
    <x v="24"/>
    <x v="3"/>
    <s v="QLD"/>
    <s v="No agreement"/>
    <s v="More than 150% MBS Fee to 200% MBS Fee"/>
    <n v="7152019.5199999996"/>
    <n v="3124560.86"/>
    <n v="2392527.84"/>
    <n v="38547"/>
  </r>
  <r>
    <x v="24"/>
    <x v="3"/>
    <s v="QLD"/>
    <s v="No agreement"/>
    <s v="More than 200% MBS Fee"/>
    <n v="34587118.240000002"/>
    <n v="8005591"/>
    <n v="2970941.08"/>
    <n v="35503"/>
  </r>
  <r>
    <x v="24"/>
    <x v="3"/>
    <s v="QLD"/>
    <s v="Known gap agreement"/>
    <s v="100% MBS Fee to 125% MBS Fee"/>
    <n v="1651471.79"/>
    <n v="1090243.55"/>
    <n v="489105.61"/>
    <n v="8588"/>
  </r>
  <r>
    <x v="24"/>
    <x v="3"/>
    <s v="QLD"/>
    <s v="Known gap agreement"/>
    <s v="More than 125% MBS Fee to 150% MBS Fee"/>
    <n v="3351695.92"/>
    <n v="1823541.25"/>
    <n v="1305341.51"/>
    <n v="18745"/>
  </r>
  <r>
    <x v="24"/>
    <x v="3"/>
    <s v="QLD"/>
    <s v="Known gap agreement"/>
    <s v="More than 150% MBS Fee to 200% MBS Fee"/>
    <n v="13755449.43"/>
    <n v="5828103.6200000001"/>
    <n v="5856748.6799999997"/>
    <n v="20584"/>
  </r>
  <r>
    <x v="24"/>
    <x v="3"/>
    <s v="QLD"/>
    <s v="Known gap agreement"/>
    <s v="More than 200% MBS Fee"/>
    <n v="28045875.670000002"/>
    <n v="7441445"/>
    <n v="8441286.9499999993"/>
    <n v="70106"/>
  </r>
  <r>
    <x v="24"/>
    <x v="3"/>
    <s v="QLD"/>
    <s v="No gap agreement"/>
    <s v="Up to MBS Fee"/>
    <n v="14582929.68"/>
    <n v="10945085.07"/>
    <n v="3637839.89"/>
    <n v="286360"/>
  </r>
  <r>
    <x v="24"/>
    <x v="3"/>
    <s v="QLD"/>
    <s v="No gap agreement"/>
    <s v="100% MBS Fee to 125% MBS Fee"/>
    <n v="41033314.590000004"/>
    <n v="26154428.219999999"/>
    <n v="14878744.640000001"/>
    <n v="399084"/>
  </r>
  <r>
    <x v="24"/>
    <x v="3"/>
    <s v="QLD"/>
    <s v="No gap agreement"/>
    <s v="More than 125% MBS Fee to 150% MBS Fee"/>
    <n v="69581318.439999998"/>
    <n v="38355412.210000001"/>
    <n v="31225226.260000002"/>
    <n v="563438"/>
  </r>
  <r>
    <x v="24"/>
    <x v="3"/>
    <s v="QLD"/>
    <s v="No gap agreement"/>
    <s v="More than 150% MBS Fee to 200% MBS Fee"/>
    <n v="68064863.870000005"/>
    <n v="30873430.109999999"/>
    <n v="37191003.68"/>
    <n v="443797"/>
  </r>
  <r>
    <x v="24"/>
    <x v="3"/>
    <s v="QLD"/>
    <s v="No gap agreement"/>
    <s v="More than 200% MBS Fee"/>
    <n v="4872028.3099999996"/>
    <n v="1367375.51"/>
    <n v="3504652.8"/>
    <n v="6928"/>
  </r>
  <r>
    <x v="24"/>
    <x v="3"/>
    <s v="SA"/>
    <s v="No agreement"/>
    <s v="Up to MBS Fee"/>
    <n v="1988354.65"/>
    <n v="1480937.6"/>
    <n v="493052.5"/>
    <n v="15546"/>
  </r>
  <r>
    <x v="24"/>
    <x v="3"/>
    <s v="SA"/>
    <s v="No agreement"/>
    <s v="100% MBS Fee to 125% MBS Fee"/>
    <n v="724761.53"/>
    <n v="473844.04"/>
    <n v="200107.81"/>
    <n v="2305"/>
  </r>
  <r>
    <x v="24"/>
    <x v="3"/>
    <s v="SA"/>
    <s v="No agreement"/>
    <s v="More than 125% MBS Fee to 150% MBS Fee"/>
    <n v="1526336.31"/>
    <n v="841816.37"/>
    <n v="635815.36"/>
    <n v="16214"/>
  </r>
  <r>
    <x v="24"/>
    <x v="3"/>
    <s v="SA"/>
    <s v="No agreement"/>
    <s v="More than 150% MBS Fee to 200% MBS Fee"/>
    <n v="3311511.84"/>
    <n v="1429866.12"/>
    <n v="1722930.65"/>
    <n v="12093"/>
  </r>
  <r>
    <x v="24"/>
    <x v="3"/>
    <s v="SA"/>
    <s v="No agreement"/>
    <s v="More than 200% MBS Fee"/>
    <n v="2586024.64"/>
    <n v="592572.68000000005"/>
    <n v="375934.91"/>
    <n v="3467"/>
  </r>
  <r>
    <x v="24"/>
    <x v="3"/>
    <s v="SA"/>
    <s v="Known gap agreement"/>
    <s v="100% MBS Fee to 125% MBS Fee"/>
    <n v="367258.16"/>
    <n v="238115.75"/>
    <n v="108679.63"/>
    <n v="1960"/>
  </r>
  <r>
    <x v="24"/>
    <x v="3"/>
    <s v="SA"/>
    <s v="Known gap agreement"/>
    <s v="More than 125% MBS Fee to 150% MBS Fee"/>
    <n v="1049717.68"/>
    <n v="564543.43000000005"/>
    <n v="434817.1"/>
    <n v="4669"/>
  </r>
  <r>
    <x v="24"/>
    <x v="3"/>
    <s v="SA"/>
    <s v="Known gap agreement"/>
    <s v="More than 150% MBS Fee to 200% MBS Fee"/>
    <n v="5420292.1600000001"/>
    <n v="2293794.2599999998"/>
    <n v="2399841.27"/>
    <n v="9575"/>
  </r>
  <r>
    <x v="24"/>
    <x v="3"/>
    <s v="SA"/>
    <s v="Known gap agreement"/>
    <s v="More than 200% MBS Fee"/>
    <n v="8583290.1999999993"/>
    <n v="2476275.23"/>
    <n v="3061643.53"/>
    <n v="29746"/>
  </r>
  <r>
    <x v="24"/>
    <x v="3"/>
    <s v="SA"/>
    <s v="No gap agreement"/>
    <s v="Up to MBS Fee"/>
    <n v="6460123.7699999996"/>
    <n v="4850286.84"/>
    <n v="1609836.73"/>
    <n v="94146"/>
  </r>
  <r>
    <x v="24"/>
    <x v="3"/>
    <s v="SA"/>
    <s v="No gap agreement"/>
    <s v="100% MBS Fee to 125% MBS Fee"/>
    <n v="7605527.3200000003"/>
    <n v="4766202.96"/>
    <n v="2839318.54"/>
    <n v="71670"/>
  </r>
  <r>
    <x v="24"/>
    <x v="3"/>
    <s v="SA"/>
    <s v="No gap agreement"/>
    <s v="More than 125% MBS Fee to 150% MBS Fee"/>
    <n v="24609843.510000002"/>
    <n v="13394570.699999999"/>
    <n v="11215265.92"/>
    <n v="195251"/>
  </r>
  <r>
    <x v="24"/>
    <x v="3"/>
    <s v="SA"/>
    <s v="No gap agreement"/>
    <s v="More than 150% MBS Fee to 200% MBS Fee"/>
    <n v="39247423.549999997"/>
    <n v="17398144.640000001"/>
    <n v="21849272.870000001"/>
    <n v="149459"/>
  </r>
  <r>
    <x v="24"/>
    <x v="3"/>
    <s v="SA"/>
    <s v="No gap agreement"/>
    <s v="More than 200% MBS Fee"/>
    <n v="1180917.92"/>
    <n v="310515.7"/>
    <n v="870401.92"/>
    <n v="887"/>
  </r>
  <r>
    <x v="24"/>
    <x v="3"/>
    <s v="WA"/>
    <s v="No agreement"/>
    <s v="Up to MBS Fee"/>
    <n v="2252603.56"/>
    <n v="1700730.29"/>
    <n v="546916.42000000004"/>
    <n v="39615"/>
  </r>
  <r>
    <x v="24"/>
    <x v="3"/>
    <s v="WA"/>
    <s v="No agreement"/>
    <s v="100% MBS Fee to 125% MBS Fee"/>
    <n v="405174.9"/>
    <n v="264362.49"/>
    <n v="107351.08"/>
    <n v="2024"/>
  </r>
  <r>
    <x v="24"/>
    <x v="3"/>
    <s v="WA"/>
    <s v="No agreement"/>
    <s v="More than 125% MBS Fee to 150% MBS Fee"/>
    <n v="672979.81"/>
    <n v="365774.3"/>
    <n v="193134.37"/>
    <n v="2439"/>
  </r>
  <r>
    <x v="24"/>
    <x v="3"/>
    <s v="WA"/>
    <s v="No agreement"/>
    <s v="More than 150% MBS Fee to 200% MBS Fee"/>
    <n v="2348129.9900000002"/>
    <n v="1032394.08"/>
    <n v="587992.88"/>
    <n v="18618"/>
  </r>
  <r>
    <x v="24"/>
    <x v="3"/>
    <s v="WA"/>
    <s v="No agreement"/>
    <s v="More than 200% MBS Fee"/>
    <n v="6633024.5800000001"/>
    <n v="1446950.75"/>
    <n v="568874.91"/>
    <n v="8137"/>
  </r>
  <r>
    <x v="24"/>
    <x v="3"/>
    <s v="WA"/>
    <s v="Known gap agreement"/>
    <s v="100% MBS Fee to 125% MBS Fee"/>
    <n v="1949479.13"/>
    <n v="1325845.3899999999"/>
    <n v="581264.26"/>
    <n v="9625"/>
  </r>
  <r>
    <x v="24"/>
    <x v="3"/>
    <s v="WA"/>
    <s v="Known gap agreement"/>
    <s v="More than 125% MBS Fee to 150% MBS Fee"/>
    <n v="4386107.42"/>
    <n v="2363370.2000000002"/>
    <n v="1789101.63"/>
    <n v="27367"/>
  </r>
  <r>
    <x v="24"/>
    <x v="3"/>
    <s v="WA"/>
    <s v="Known gap agreement"/>
    <s v="More than 150% MBS Fee to 200% MBS Fee"/>
    <n v="8978411.4100000001"/>
    <n v="3987665.95"/>
    <n v="3656789.24"/>
    <n v="19829"/>
  </r>
  <r>
    <x v="24"/>
    <x v="3"/>
    <s v="WA"/>
    <s v="Known gap agreement"/>
    <s v="More than 200% MBS Fee"/>
    <n v="15644550.35"/>
    <n v="3946542.48"/>
    <n v="3024310.89"/>
    <n v="40432"/>
  </r>
  <r>
    <x v="24"/>
    <x v="3"/>
    <s v="WA"/>
    <s v="No gap agreement"/>
    <s v="Up to MBS Fee"/>
    <n v="7981248.4500000002"/>
    <n v="5992619.0899999999"/>
    <n v="1988664.29"/>
    <n v="146497"/>
  </r>
  <r>
    <x v="24"/>
    <x v="3"/>
    <s v="WA"/>
    <s v="No gap agreement"/>
    <s v="100% MBS Fee to 125% MBS Fee"/>
    <n v="8405004.0600000005"/>
    <n v="5484666.1799999997"/>
    <n v="2920332.45"/>
    <n v="61116"/>
  </r>
  <r>
    <x v="24"/>
    <x v="3"/>
    <s v="WA"/>
    <s v="No gap agreement"/>
    <s v="More than 125% MBS Fee to 150% MBS Fee"/>
    <n v="37829755.759999998"/>
    <n v="20960414.23"/>
    <n v="16869334.18"/>
    <n v="263655"/>
  </r>
  <r>
    <x v="24"/>
    <x v="3"/>
    <s v="WA"/>
    <s v="No gap agreement"/>
    <s v="More than 150% MBS Fee to 200% MBS Fee"/>
    <n v="50745218.810000002"/>
    <n v="22452006.59"/>
    <n v="28293209.399999999"/>
    <n v="226792"/>
  </r>
  <r>
    <x v="24"/>
    <x v="3"/>
    <s v="WA"/>
    <s v="No gap agreement"/>
    <s v="More than 200% MBS Fee"/>
    <n v="2561014.14"/>
    <n v="671279.8"/>
    <n v="1889734.34"/>
    <n v="2145"/>
  </r>
  <r>
    <x v="24"/>
    <x v="3"/>
    <s v="TAS"/>
    <s v="No agreement"/>
    <s v="Up to MBS Fee"/>
    <n v="502438.94"/>
    <n v="377189.83"/>
    <n v="125144.54"/>
    <n v="3578"/>
  </r>
  <r>
    <x v="24"/>
    <x v="3"/>
    <s v="TAS"/>
    <s v="No agreement"/>
    <s v="100% MBS Fee to 125% MBS Fee"/>
    <n v="227041.96"/>
    <n v="148997.73000000001"/>
    <n v="67482.75"/>
    <n v="1461"/>
  </r>
  <r>
    <x v="24"/>
    <x v="3"/>
    <s v="TAS"/>
    <s v="No agreement"/>
    <s v="More than 125% MBS Fee to 150% MBS Fee"/>
    <n v="304350"/>
    <n v="168545.85"/>
    <n v="116830.72"/>
    <n v="2645"/>
  </r>
  <r>
    <x v="24"/>
    <x v="3"/>
    <s v="TAS"/>
    <s v="No agreement"/>
    <s v="More than 150% MBS Fee to 200% MBS Fee"/>
    <n v="463433.44"/>
    <n v="205744.79"/>
    <n v="179260.24"/>
    <n v="1956"/>
  </r>
  <r>
    <x v="24"/>
    <x v="3"/>
    <s v="TAS"/>
    <s v="No agreement"/>
    <s v="More than 200% MBS Fee"/>
    <n v="1758977.69"/>
    <n v="381334.03"/>
    <n v="146290.48000000001"/>
    <n v="1309"/>
  </r>
  <r>
    <x v="24"/>
    <x v="3"/>
    <s v="TAS"/>
    <s v="Known gap agreement"/>
    <s v="100% MBS Fee to 125% MBS Fee"/>
    <n v="194878.46"/>
    <n v="128666.41"/>
    <n v="57182.09"/>
    <n v="1218"/>
  </r>
  <r>
    <x v="24"/>
    <x v="3"/>
    <s v="TAS"/>
    <s v="Known gap agreement"/>
    <s v="More than 125% MBS Fee to 150% MBS Fee"/>
    <n v="478193.72"/>
    <n v="259376.38"/>
    <n v="201764.6"/>
    <n v="1770"/>
  </r>
  <r>
    <x v="24"/>
    <x v="3"/>
    <s v="TAS"/>
    <s v="Known gap agreement"/>
    <s v="More than 150% MBS Fee to 200% MBS Fee"/>
    <n v="1769131.46"/>
    <n v="757829.11"/>
    <n v="815933.68"/>
    <n v="2772"/>
  </r>
  <r>
    <x v="24"/>
    <x v="3"/>
    <s v="TAS"/>
    <s v="Known gap agreement"/>
    <s v="More than 200% MBS Fee"/>
    <n v="2098063.06"/>
    <n v="590251.73"/>
    <n v="709556.28"/>
    <n v="5835"/>
  </r>
  <r>
    <x v="24"/>
    <x v="3"/>
    <s v="TAS"/>
    <s v="No gap agreement"/>
    <s v="Up to MBS Fee"/>
    <n v="1792918.72"/>
    <n v="1344338.82"/>
    <n v="448579.9"/>
    <n v="30525"/>
  </r>
  <r>
    <x v="24"/>
    <x v="3"/>
    <s v="TAS"/>
    <s v="No gap agreement"/>
    <s v="100% MBS Fee to 125% MBS Fee"/>
    <n v="2492839.35"/>
    <n v="1583245.68"/>
    <n v="909587.67"/>
    <n v="18436"/>
  </r>
  <r>
    <x v="24"/>
    <x v="3"/>
    <s v="TAS"/>
    <s v="No gap agreement"/>
    <s v="More than 125% MBS Fee to 150% MBS Fee"/>
    <n v="7660226.7000000002"/>
    <n v="4171978.21"/>
    <n v="3488247.77"/>
    <n v="45842"/>
  </r>
  <r>
    <x v="24"/>
    <x v="3"/>
    <s v="TAS"/>
    <s v="No gap agreement"/>
    <s v="More than 150% MBS Fee to 200% MBS Fee"/>
    <n v="9417347.9100000001"/>
    <n v="4280120.5199999996"/>
    <n v="5137215.45"/>
    <n v="44674"/>
  </r>
  <r>
    <x v="24"/>
    <x v="3"/>
    <s v="TAS"/>
    <s v="No gap agreement"/>
    <s v="More than 200% MBS Fee"/>
    <n v="393583.7"/>
    <n v="109836.18"/>
    <n v="283747.52"/>
    <n v="394"/>
  </r>
  <r>
    <x v="24"/>
    <x v="3"/>
    <s v="ACT"/>
    <s v="No agreement"/>
    <s v="Up to MBS Fee"/>
    <n v="873011.63"/>
    <n v="652211.44999999995"/>
    <n v="216753.07"/>
    <n v="7718"/>
  </r>
  <r>
    <x v="24"/>
    <x v="3"/>
    <s v="ACT"/>
    <s v="No agreement"/>
    <s v="100% MBS Fee to 125% MBS Fee"/>
    <n v="149249.78"/>
    <n v="102238.2"/>
    <n v="36529.4"/>
    <n v="493"/>
  </r>
  <r>
    <x v="24"/>
    <x v="3"/>
    <s v="ACT"/>
    <s v="No agreement"/>
    <s v="More than 125% MBS Fee to 150% MBS Fee"/>
    <n v="138671.32999999999"/>
    <n v="75400.570000000007"/>
    <n v="30272.3"/>
    <n v="364"/>
  </r>
  <r>
    <x v="24"/>
    <x v="3"/>
    <s v="ACT"/>
    <s v="No agreement"/>
    <s v="More than 150% MBS Fee to 200% MBS Fee"/>
    <n v="492882.69"/>
    <n v="210224.62"/>
    <n v="97380.15"/>
    <n v="2527"/>
  </r>
  <r>
    <x v="24"/>
    <x v="3"/>
    <s v="ACT"/>
    <s v="No agreement"/>
    <s v="More than 200% MBS Fee"/>
    <n v="5826169.2699999996"/>
    <n v="1290035.26"/>
    <n v="446442.7"/>
    <n v="5579"/>
  </r>
  <r>
    <x v="24"/>
    <x v="3"/>
    <s v="ACT"/>
    <s v="Known gap agreement"/>
    <s v="100% MBS Fee to 125% MBS Fee"/>
    <n v="77209.850000000006"/>
    <n v="47657.61"/>
    <n v="24622.57"/>
    <n v="359"/>
  </r>
  <r>
    <x v="24"/>
    <x v="3"/>
    <s v="ACT"/>
    <s v="Known gap agreement"/>
    <s v="More than 125% MBS Fee to 150% MBS Fee"/>
    <n v="133853.31"/>
    <n v="71799.62"/>
    <n v="54354.22"/>
    <n v="557"/>
  </r>
  <r>
    <x v="24"/>
    <x v="3"/>
    <s v="ACT"/>
    <s v="Known gap agreement"/>
    <s v="More than 150% MBS Fee to 200% MBS Fee"/>
    <n v="588169.63"/>
    <n v="249087.7"/>
    <n v="246590.6"/>
    <n v="1405"/>
  </r>
  <r>
    <x v="24"/>
    <x v="3"/>
    <s v="ACT"/>
    <s v="Known gap agreement"/>
    <s v="More than 200% MBS Fee"/>
    <n v="2907027.82"/>
    <n v="775039.84"/>
    <n v="854202.51"/>
    <n v="9793"/>
  </r>
  <r>
    <x v="24"/>
    <x v="3"/>
    <s v="ACT"/>
    <s v="No gap agreement"/>
    <s v="Up to MBS Fee"/>
    <n v="556960.69999999995"/>
    <n v="434127.99"/>
    <n v="122832.47"/>
    <n v="14690"/>
  </r>
  <r>
    <x v="24"/>
    <x v="3"/>
    <s v="ACT"/>
    <s v="No gap agreement"/>
    <s v="100% MBS Fee to 125% MBS Fee"/>
    <n v="1470477.62"/>
    <n v="933389.35"/>
    <n v="537080.12"/>
    <n v="15272"/>
  </r>
  <r>
    <x v="24"/>
    <x v="3"/>
    <s v="ACT"/>
    <s v="No gap agreement"/>
    <s v="More than 125% MBS Fee to 150% MBS Fee"/>
    <n v="3200802.47"/>
    <n v="1762722.85"/>
    <n v="1438076.02"/>
    <n v="25817"/>
  </r>
  <r>
    <x v="24"/>
    <x v="3"/>
    <s v="ACT"/>
    <s v="No gap agreement"/>
    <s v="More than 150% MBS Fee to 200% MBS Fee"/>
    <n v="2409015.66"/>
    <n v="1095257.77"/>
    <n v="1313606.55"/>
    <n v="13760"/>
  </r>
  <r>
    <x v="24"/>
    <x v="3"/>
    <s v="ACT"/>
    <s v="No gap agreement"/>
    <s v="More than 200% MBS Fee"/>
    <n v="256758.78"/>
    <n v="75555.199999999997"/>
    <n v="181203.58"/>
    <n v="444"/>
  </r>
  <r>
    <x v="24"/>
    <x v="3"/>
    <s v="NT"/>
    <s v="No agreement"/>
    <s v="Up to MBS Fee"/>
    <n v="331949.43"/>
    <n v="250644.69"/>
    <n v="78833.41"/>
    <n v="1680"/>
  </r>
  <r>
    <x v="24"/>
    <x v="3"/>
    <s v="NT"/>
    <s v="No agreement"/>
    <s v="100% MBS Fee to 125% MBS Fee"/>
    <n v="62616.800000000003"/>
    <n v="41575.199999999997"/>
    <n v="17489.099999999999"/>
    <n v="214"/>
  </r>
  <r>
    <x v="24"/>
    <x v="3"/>
    <s v="NT"/>
    <s v="No agreement"/>
    <s v="More than 125% MBS Fee to 150% MBS Fee"/>
    <n v="63945.54"/>
    <n v="34551.1"/>
    <n v="20477.150000000001"/>
    <n v="284"/>
  </r>
  <r>
    <x v="24"/>
    <x v="3"/>
    <s v="NT"/>
    <s v="No agreement"/>
    <s v="More than 150% MBS Fee to 200% MBS Fee"/>
    <n v="162199.10999999999"/>
    <n v="70335.34"/>
    <n v="60500.25"/>
    <n v="597"/>
  </r>
  <r>
    <x v="24"/>
    <x v="3"/>
    <s v="NT"/>
    <s v="No agreement"/>
    <s v="More than 200% MBS Fee"/>
    <n v="925648.83"/>
    <n v="212801.95"/>
    <n v="79216.34"/>
    <n v="796"/>
  </r>
  <r>
    <x v="24"/>
    <x v="3"/>
    <s v="NT"/>
    <s v="Known gap agreement"/>
    <s v="100% MBS Fee to 125% MBS Fee"/>
    <n v="35996.300000000003"/>
    <n v="23318"/>
    <n v="10292.9"/>
    <n v="217"/>
  </r>
  <r>
    <x v="24"/>
    <x v="3"/>
    <s v="NT"/>
    <s v="Known gap agreement"/>
    <s v="More than 125% MBS Fee to 150% MBS Fee"/>
    <n v="55435.57"/>
    <n v="30388.49"/>
    <n v="20705.189999999999"/>
    <n v="344"/>
  </r>
  <r>
    <x v="24"/>
    <x v="3"/>
    <s v="NT"/>
    <s v="Known gap agreement"/>
    <s v="More than 150% MBS Fee to 200% MBS Fee"/>
    <n v="201941.23"/>
    <n v="86941.03"/>
    <n v="87965.11"/>
    <n v="436"/>
  </r>
  <r>
    <x v="24"/>
    <x v="3"/>
    <s v="NT"/>
    <s v="Known gap agreement"/>
    <s v="More than 200% MBS Fee"/>
    <n v="573360.01"/>
    <n v="159799.29999999999"/>
    <n v="183314.13"/>
    <n v="2114"/>
  </r>
  <r>
    <x v="24"/>
    <x v="3"/>
    <s v="NT"/>
    <s v="No gap agreement"/>
    <s v="Up to MBS Fee"/>
    <n v="556311.76"/>
    <n v="417328.22"/>
    <n v="138983.54"/>
    <n v="7750"/>
  </r>
  <r>
    <x v="24"/>
    <x v="3"/>
    <s v="NT"/>
    <s v="No gap agreement"/>
    <s v="100% MBS Fee to 125% MBS Fee"/>
    <n v="507791.28"/>
    <n v="325470.93"/>
    <n v="182319.7"/>
    <n v="3525"/>
  </r>
  <r>
    <x v="24"/>
    <x v="3"/>
    <s v="NT"/>
    <s v="No gap agreement"/>
    <s v="More than 125% MBS Fee to 150% MBS Fee"/>
    <n v="1277912.19"/>
    <n v="696564.78"/>
    <n v="581346.28"/>
    <n v="6543"/>
  </r>
  <r>
    <x v="24"/>
    <x v="3"/>
    <s v="NT"/>
    <s v="No gap agreement"/>
    <s v="More than 150% MBS Fee to 200% MBS Fee"/>
    <n v="1897877.2"/>
    <n v="862488"/>
    <n v="1035382.29"/>
    <n v="8588"/>
  </r>
  <r>
    <x v="24"/>
    <x v="3"/>
    <s v="NT"/>
    <s v="No gap agreement"/>
    <s v="More than 200% MBS Fee"/>
    <n v="50137.83"/>
    <n v="15649.65"/>
    <n v="34488.18"/>
    <n v="80"/>
  </r>
  <r>
    <x v="24"/>
    <x v="1"/>
    <s v="NSW"/>
    <s v="No agreement"/>
    <s v="Up to MBS Fee"/>
    <n v="33357153.449999999"/>
    <n v="25040950.890000001"/>
    <n v="8297784.1500000004"/>
    <n v="314377"/>
  </r>
  <r>
    <x v="24"/>
    <x v="1"/>
    <s v="NSW"/>
    <s v="No agreement"/>
    <s v="100% MBS Fee to 125% MBS Fee"/>
    <n v="2737272.82"/>
    <n v="1843659.47"/>
    <n v="645749.17000000004"/>
    <n v="10363"/>
  </r>
  <r>
    <x v="24"/>
    <x v="1"/>
    <s v="NSW"/>
    <s v="No agreement"/>
    <s v="More than 125% MBS Fee to 150% MBS Fee"/>
    <n v="2048185.1"/>
    <n v="1112634.6499999999"/>
    <n v="432953.81"/>
    <n v="6034"/>
  </r>
  <r>
    <x v="24"/>
    <x v="1"/>
    <s v="NSW"/>
    <s v="No agreement"/>
    <s v="More than 150% MBS Fee to 200% MBS Fee"/>
    <n v="5836246.0300000003"/>
    <n v="2506319.17"/>
    <n v="859319.33"/>
    <n v="19647"/>
  </r>
  <r>
    <x v="24"/>
    <x v="1"/>
    <s v="NSW"/>
    <s v="No agreement"/>
    <s v="More than 200% MBS Fee"/>
    <n v="78625285.969999999"/>
    <n v="17179780.079999998"/>
    <n v="5758940.29"/>
    <n v="73614"/>
  </r>
  <r>
    <x v="24"/>
    <x v="1"/>
    <s v="NSW"/>
    <s v="Known gap agreement"/>
    <s v="100% MBS Fee to 125% MBS Fee"/>
    <n v="3252867.27"/>
    <n v="2125475.1800000002"/>
    <n v="992599.26"/>
    <n v="13379"/>
  </r>
  <r>
    <x v="24"/>
    <x v="1"/>
    <s v="NSW"/>
    <s v="Known gap agreement"/>
    <s v="More than 125% MBS Fee to 150% MBS Fee"/>
    <n v="6257958.2800000003"/>
    <n v="3378658.6"/>
    <n v="2608083.67"/>
    <n v="30426"/>
  </r>
  <r>
    <x v="24"/>
    <x v="1"/>
    <s v="NSW"/>
    <s v="Known gap agreement"/>
    <s v="More than 150% MBS Fee to 200% MBS Fee"/>
    <n v="18331081.73"/>
    <n v="7862457.7000000002"/>
    <n v="8078323.5599999996"/>
    <n v="36234"/>
  </r>
  <r>
    <x v="24"/>
    <x v="1"/>
    <s v="NSW"/>
    <s v="Known gap agreement"/>
    <s v="More than 200% MBS Fee"/>
    <n v="46506401.659999996"/>
    <n v="12262392.08"/>
    <n v="14372886.48"/>
    <n v="154138"/>
  </r>
  <r>
    <x v="24"/>
    <x v="1"/>
    <s v="NSW"/>
    <s v="No gap agreement"/>
    <s v="Up to MBS Fee"/>
    <n v="32753710.609999999"/>
    <n v="24588996.600000001"/>
    <n v="8164556.3899999997"/>
    <n v="976049"/>
  </r>
  <r>
    <x v="24"/>
    <x v="1"/>
    <s v="NSW"/>
    <s v="No gap agreement"/>
    <s v="100% MBS Fee to 125% MBS Fee"/>
    <n v="57990328.560000002"/>
    <n v="36877266.149999999"/>
    <n v="21112824.690000001"/>
    <n v="550038"/>
  </r>
  <r>
    <x v="24"/>
    <x v="1"/>
    <s v="NSW"/>
    <s v="No gap agreement"/>
    <s v="More than 125% MBS Fee to 150% MBS Fee"/>
    <n v="110247566.84999999"/>
    <n v="60288782.350000001"/>
    <n v="49958628.079999998"/>
    <n v="649025"/>
  </r>
  <r>
    <x v="24"/>
    <x v="1"/>
    <s v="NSW"/>
    <s v="No gap agreement"/>
    <s v="More than 150% MBS Fee to 200% MBS Fee"/>
    <n v="115795339.03"/>
    <n v="52709827.380000003"/>
    <n v="63085357.850000001"/>
    <n v="652418"/>
  </r>
  <r>
    <x v="24"/>
    <x v="1"/>
    <s v="NSW"/>
    <s v="No gap agreement"/>
    <s v="More than 200% MBS Fee"/>
    <n v="7226753.6500000004"/>
    <n v="2104347.39"/>
    <n v="5122403.51"/>
    <n v="14924"/>
  </r>
  <r>
    <x v="24"/>
    <x v="1"/>
    <s v="VIC"/>
    <s v="No agreement"/>
    <s v="Up to MBS Fee"/>
    <n v="8391561.4800000004"/>
    <n v="6301785.3300000001"/>
    <n v="2081932.63"/>
    <n v="140476"/>
  </r>
  <r>
    <x v="24"/>
    <x v="1"/>
    <s v="VIC"/>
    <s v="No agreement"/>
    <s v="100% MBS Fee to 125% MBS Fee"/>
    <n v="1516384"/>
    <n v="1012764.32"/>
    <n v="359338.05"/>
    <n v="4849"/>
  </r>
  <r>
    <x v="24"/>
    <x v="1"/>
    <s v="VIC"/>
    <s v="No agreement"/>
    <s v="More than 125% MBS Fee to 150% MBS Fee"/>
    <n v="1436052.69"/>
    <n v="778964.9"/>
    <n v="275833.98"/>
    <n v="7063"/>
  </r>
  <r>
    <x v="24"/>
    <x v="1"/>
    <s v="VIC"/>
    <s v="No agreement"/>
    <s v="More than 150% MBS Fee to 200% MBS Fee"/>
    <n v="3963994.93"/>
    <n v="1712882.6"/>
    <n v="607472.56000000006"/>
    <n v="21001"/>
  </r>
  <r>
    <x v="24"/>
    <x v="1"/>
    <s v="VIC"/>
    <s v="No agreement"/>
    <s v="More than 200% MBS Fee"/>
    <n v="25614903.030000001"/>
    <n v="5903354.5800000001"/>
    <n v="2034246.76"/>
    <n v="23802"/>
  </r>
  <r>
    <x v="24"/>
    <x v="1"/>
    <s v="VIC"/>
    <s v="Known gap agreement"/>
    <s v="100% MBS Fee to 125% MBS Fee"/>
    <n v="3451476.69"/>
    <n v="2276602.5299999998"/>
    <n v="1026027.05"/>
    <n v="17172"/>
  </r>
  <r>
    <x v="24"/>
    <x v="1"/>
    <s v="VIC"/>
    <s v="Known gap agreement"/>
    <s v="More than 125% MBS Fee to 150% MBS Fee"/>
    <n v="8176426.6600000001"/>
    <n v="4452368.91"/>
    <n v="3139977.42"/>
    <n v="42649"/>
  </r>
  <r>
    <x v="24"/>
    <x v="1"/>
    <s v="VIC"/>
    <s v="Known gap agreement"/>
    <s v="More than 150% MBS Fee to 200% MBS Fee"/>
    <n v="18090133.559999999"/>
    <n v="7774497.2000000002"/>
    <n v="7514421.4299999997"/>
    <n v="39178"/>
  </r>
  <r>
    <x v="24"/>
    <x v="1"/>
    <s v="VIC"/>
    <s v="Known gap agreement"/>
    <s v="More than 200% MBS Fee"/>
    <n v="40831366.039999999"/>
    <n v="11124555.140000001"/>
    <n v="12934828.84"/>
    <n v="154885"/>
  </r>
  <r>
    <x v="24"/>
    <x v="1"/>
    <s v="VIC"/>
    <s v="No gap agreement"/>
    <s v="Up to MBS Fee"/>
    <n v="20479345.77"/>
    <n v="15383247.529999999"/>
    <n v="5096197.58"/>
    <n v="304914"/>
  </r>
  <r>
    <x v="24"/>
    <x v="1"/>
    <s v="VIC"/>
    <s v="No gap agreement"/>
    <s v="100% MBS Fee to 125% MBS Fee"/>
    <n v="50492374.649999999"/>
    <n v="32276036.760000002"/>
    <n v="18215614.41"/>
    <n v="421443"/>
  </r>
  <r>
    <x v="24"/>
    <x v="1"/>
    <s v="VIC"/>
    <s v="No gap agreement"/>
    <s v="More than 125% MBS Fee to 150% MBS Fee"/>
    <n v="119719220"/>
    <n v="65665824.020000003"/>
    <n v="54053111.740000002"/>
    <n v="810398"/>
  </r>
  <r>
    <x v="24"/>
    <x v="1"/>
    <s v="VIC"/>
    <s v="No gap agreement"/>
    <s v="More than 150% MBS Fee to 200% MBS Fee"/>
    <n v="103221661.27"/>
    <n v="46282616.289999999"/>
    <n v="56938867.469999999"/>
    <n v="570249"/>
  </r>
  <r>
    <x v="24"/>
    <x v="1"/>
    <s v="VIC"/>
    <s v="No gap agreement"/>
    <s v="More than 200% MBS Fee"/>
    <n v="3686679.36"/>
    <n v="1009256.24"/>
    <n v="2677421.69"/>
    <n v="4298"/>
  </r>
  <r>
    <x v="24"/>
    <x v="1"/>
    <s v="QLD"/>
    <s v="No agreement"/>
    <s v="Up to MBS Fee"/>
    <n v="5589166.7699999996"/>
    <n v="4193424.98"/>
    <n v="1377866.45"/>
    <n v="70280"/>
  </r>
  <r>
    <x v="24"/>
    <x v="1"/>
    <s v="QLD"/>
    <s v="No agreement"/>
    <s v="100% MBS Fee to 125% MBS Fee"/>
    <n v="1325144.4099999999"/>
    <n v="893242.66"/>
    <n v="299967.24"/>
    <n v="3464"/>
  </r>
  <r>
    <x v="24"/>
    <x v="1"/>
    <s v="QLD"/>
    <s v="No agreement"/>
    <s v="More than 125% MBS Fee to 150% MBS Fee"/>
    <n v="1112779.95"/>
    <n v="601402.57999999996"/>
    <n v="204901.08"/>
    <n v="2838"/>
  </r>
  <r>
    <x v="24"/>
    <x v="1"/>
    <s v="QLD"/>
    <s v="No agreement"/>
    <s v="More than 150% MBS Fee to 200% MBS Fee"/>
    <n v="4399638.4800000004"/>
    <n v="1897201.54"/>
    <n v="634451.91"/>
    <n v="30102"/>
  </r>
  <r>
    <x v="24"/>
    <x v="1"/>
    <s v="QLD"/>
    <s v="No agreement"/>
    <s v="More than 200% MBS Fee"/>
    <n v="34867663.609999999"/>
    <n v="8001303.7300000004"/>
    <n v="2693655.84"/>
    <n v="33888"/>
  </r>
  <r>
    <x v="24"/>
    <x v="1"/>
    <s v="QLD"/>
    <s v="Known gap agreement"/>
    <s v="100% MBS Fee to 125% MBS Fee"/>
    <n v="1701188.18"/>
    <n v="1110995.48"/>
    <n v="508720.77"/>
    <n v="8665"/>
  </r>
  <r>
    <x v="24"/>
    <x v="1"/>
    <s v="QLD"/>
    <s v="Known gap agreement"/>
    <s v="More than 125% MBS Fee to 150% MBS Fee"/>
    <n v="3980843.1"/>
    <n v="2156518.69"/>
    <n v="1527475.88"/>
    <n v="21144"/>
  </r>
  <r>
    <x v="24"/>
    <x v="1"/>
    <s v="QLD"/>
    <s v="Known gap agreement"/>
    <s v="More than 150% MBS Fee to 200% MBS Fee"/>
    <n v="17151436.48"/>
    <n v="7269132.6699999999"/>
    <n v="7253577.7000000002"/>
    <n v="24004"/>
  </r>
  <r>
    <x v="24"/>
    <x v="1"/>
    <s v="QLD"/>
    <s v="Known gap agreement"/>
    <s v="More than 200% MBS Fee"/>
    <n v="34486624.060000002"/>
    <n v="9035920.5800000001"/>
    <n v="10277175.880000001"/>
    <n v="87634"/>
  </r>
  <r>
    <x v="24"/>
    <x v="1"/>
    <s v="QLD"/>
    <s v="No gap agreement"/>
    <s v="Up to MBS Fee"/>
    <n v="17383490.530000001"/>
    <n v="13045729.1"/>
    <n v="4337794.62"/>
    <n v="289851"/>
  </r>
  <r>
    <x v="24"/>
    <x v="1"/>
    <s v="QLD"/>
    <s v="No gap agreement"/>
    <s v="100% MBS Fee to 125% MBS Fee"/>
    <n v="47374033.789999999"/>
    <n v="30274984.640000001"/>
    <n v="17097562.420000002"/>
    <n v="452168"/>
  </r>
  <r>
    <x v="24"/>
    <x v="1"/>
    <s v="QLD"/>
    <s v="No gap agreement"/>
    <s v="More than 125% MBS Fee to 150% MBS Fee"/>
    <n v="81256794.400000006"/>
    <n v="44861240.119999997"/>
    <n v="36394484.090000004"/>
    <n v="643070"/>
  </r>
  <r>
    <x v="24"/>
    <x v="1"/>
    <s v="QLD"/>
    <s v="No gap agreement"/>
    <s v="More than 150% MBS Fee to 200% MBS Fee"/>
    <n v="77332283.299999997"/>
    <n v="35099808.109999999"/>
    <n v="42231731.530000001"/>
    <n v="516295"/>
  </r>
  <r>
    <x v="24"/>
    <x v="1"/>
    <s v="QLD"/>
    <s v="No gap agreement"/>
    <s v="More than 200% MBS Fee"/>
    <n v="5191518.66"/>
    <n v="1486138.35"/>
    <n v="3705373.25"/>
    <n v="7821"/>
  </r>
  <r>
    <x v="24"/>
    <x v="1"/>
    <s v="SA"/>
    <s v="No agreement"/>
    <s v="Up to MBS Fee"/>
    <n v="1586515"/>
    <n v="1191342.48"/>
    <n v="394847.62"/>
    <n v="11132"/>
  </r>
  <r>
    <x v="24"/>
    <x v="1"/>
    <s v="SA"/>
    <s v="No agreement"/>
    <s v="100% MBS Fee to 125% MBS Fee"/>
    <n v="332710.62"/>
    <n v="217336.33"/>
    <n v="72803.94"/>
    <n v="736"/>
  </r>
  <r>
    <x v="24"/>
    <x v="1"/>
    <s v="SA"/>
    <s v="No agreement"/>
    <s v="More than 125% MBS Fee to 150% MBS Fee"/>
    <n v="179140.68"/>
    <n v="98963.1"/>
    <n v="34417.230000000003"/>
    <n v="420"/>
  </r>
  <r>
    <x v="24"/>
    <x v="1"/>
    <s v="SA"/>
    <s v="No agreement"/>
    <s v="More than 150% MBS Fee to 200% MBS Fee"/>
    <n v="339177.02"/>
    <n v="145694.04"/>
    <n v="49368.09"/>
    <n v="754"/>
  </r>
  <r>
    <x v="24"/>
    <x v="1"/>
    <s v="SA"/>
    <s v="No agreement"/>
    <s v="More than 200% MBS Fee"/>
    <n v="1970582.71"/>
    <n v="414141.46"/>
    <n v="140126.51999999999"/>
    <n v="1788"/>
  </r>
  <r>
    <x v="24"/>
    <x v="1"/>
    <s v="SA"/>
    <s v="Known gap agreement"/>
    <s v="100% MBS Fee to 125% MBS Fee"/>
    <n v="493936.41"/>
    <n v="317062.83"/>
    <n v="148298.29999999999"/>
    <n v="2338"/>
  </r>
  <r>
    <x v="24"/>
    <x v="1"/>
    <s v="SA"/>
    <s v="Known gap agreement"/>
    <s v="More than 125% MBS Fee to 150% MBS Fee"/>
    <n v="1358545.85"/>
    <n v="732874.15"/>
    <n v="551281.30000000005"/>
    <n v="5834"/>
  </r>
  <r>
    <x v="24"/>
    <x v="1"/>
    <s v="SA"/>
    <s v="Known gap agreement"/>
    <s v="More than 150% MBS Fee to 200% MBS Fee"/>
    <n v="7606749.0899999999"/>
    <n v="3205067.55"/>
    <n v="3397357.51"/>
    <n v="11491"/>
  </r>
  <r>
    <x v="24"/>
    <x v="1"/>
    <s v="SA"/>
    <s v="Known gap agreement"/>
    <s v="More than 200% MBS Fee"/>
    <n v="10041642.720000001"/>
    <n v="2847603.33"/>
    <n v="3503791.55"/>
    <n v="37657"/>
  </r>
  <r>
    <x v="24"/>
    <x v="1"/>
    <s v="SA"/>
    <s v="No gap agreement"/>
    <s v="Up to MBS Fee"/>
    <n v="9033395.5"/>
    <n v="6779294.6500000004"/>
    <n v="2254100.85"/>
    <n v="169518"/>
  </r>
  <r>
    <x v="24"/>
    <x v="1"/>
    <s v="SA"/>
    <s v="No gap agreement"/>
    <s v="100% MBS Fee to 125% MBS Fee"/>
    <n v="8856375.5399999991"/>
    <n v="5565229.3600000003"/>
    <n v="3290986.59"/>
    <n v="80148"/>
  </r>
  <r>
    <x v="24"/>
    <x v="1"/>
    <s v="SA"/>
    <s v="No gap agreement"/>
    <s v="More than 125% MBS Fee to 150% MBS Fee"/>
    <n v="29818049.260000002"/>
    <n v="16263641.4"/>
    <n v="13554372.57"/>
    <n v="232811"/>
  </r>
  <r>
    <x v="24"/>
    <x v="1"/>
    <s v="SA"/>
    <s v="No gap agreement"/>
    <s v="More than 150% MBS Fee to 200% MBS Fee"/>
    <n v="45749012.869999997"/>
    <n v="20354500.57"/>
    <n v="25394487.23"/>
    <n v="181576"/>
  </r>
  <r>
    <x v="24"/>
    <x v="1"/>
    <s v="SA"/>
    <s v="No gap agreement"/>
    <s v="More than 200% MBS Fee"/>
    <n v="1393818.26"/>
    <n v="369335.1"/>
    <n v="1024482.56"/>
    <n v="1144"/>
  </r>
  <r>
    <x v="24"/>
    <x v="1"/>
    <s v="WA"/>
    <s v="No agreement"/>
    <s v="Up to MBS Fee"/>
    <n v="1974295.87"/>
    <n v="1482874.93"/>
    <n v="489752.4"/>
    <n v="39393"/>
  </r>
  <r>
    <x v="24"/>
    <x v="1"/>
    <s v="WA"/>
    <s v="No agreement"/>
    <s v="100% MBS Fee to 125% MBS Fee"/>
    <n v="347371.23"/>
    <n v="229994.89"/>
    <n v="76825.33"/>
    <n v="954"/>
  </r>
  <r>
    <x v="24"/>
    <x v="1"/>
    <s v="WA"/>
    <s v="No agreement"/>
    <s v="More than 125% MBS Fee to 150% MBS Fee"/>
    <n v="468471.09"/>
    <n v="256640.99"/>
    <n v="87574.56"/>
    <n v="1190"/>
  </r>
  <r>
    <x v="24"/>
    <x v="1"/>
    <s v="WA"/>
    <s v="No agreement"/>
    <s v="More than 150% MBS Fee to 200% MBS Fee"/>
    <n v="1840677.31"/>
    <n v="803555.83"/>
    <n v="271323.81"/>
    <n v="16920"/>
  </r>
  <r>
    <x v="24"/>
    <x v="1"/>
    <s v="WA"/>
    <s v="No agreement"/>
    <s v="More than 200% MBS Fee"/>
    <n v="6968485.1399999997"/>
    <n v="1515510.86"/>
    <n v="519959.64"/>
    <n v="8374"/>
  </r>
  <r>
    <x v="24"/>
    <x v="1"/>
    <s v="WA"/>
    <s v="Known gap agreement"/>
    <s v="100% MBS Fee to 125% MBS Fee"/>
    <n v="991018.64"/>
    <n v="635062.4"/>
    <n v="304569.17"/>
    <n v="5122"/>
  </r>
  <r>
    <x v="24"/>
    <x v="1"/>
    <s v="WA"/>
    <s v="Known gap agreement"/>
    <s v="More than 125% MBS Fee to 150% MBS Fee"/>
    <n v="3443960.25"/>
    <n v="1833749.33"/>
    <n v="1360506.38"/>
    <n v="29539"/>
  </r>
  <r>
    <x v="24"/>
    <x v="1"/>
    <s v="WA"/>
    <s v="Known gap agreement"/>
    <s v="More than 150% MBS Fee to 200% MBS Fee"/>
    <n v="8813368.8399999999"/>
    <n v="3869682.57"/>
    <n v="3491167.65"/>
    <n v="18636"/>
  </r>
  <r>
    <x v="24"/>
    <x v="1"/>
    <s v="WA"/>
    <s v="Known gap agreement"/>
    <s v="More than 200% MBS Fee"/>
    <n v="17388289.370000001"/>
    <n v="4372542.91"/>
    <n v="3292619.42"/>
    <n v="45336"/>
  </r>
  <r>
    <x v="24"/>
    <x v="1"/>
    <s v="WA"/>
    <s v="No gap agreement"/>
    <s v="Up to MBS Fee"/>
    <n v="11142550.109999999"/>
    <n v="8371187.6799999997"/>
    <n v="2771509.9"/>
    <n v="163800"/>
  </r>
  <r>
    <x v="24"/>
    <x v="1"/>
    <s v="WA"/>
    <s v="No gap agreement"/>
    <s v="100% MBS Fee to 125% MBS Fee"/>
    <n v="10015846.789999999"/>
    <n v="6506097.7800000003"/>
    <n v="3509592.59"/>
    <n v="74252"/>
  </r>
  <r>
    <x v="24"/>
    <x v="1"/>
    <s v="WA"/>
    <s v="No gap agreement"/>
    <s v="More than 125% MBS Fee to 150% MBS Fee"/>
    <n v="48925720.75"/>
    <n v="27044576.969999999"/>
    <n v="21881124.809999999"/>
    <n v="339149"/>
  </r>
  <r>
    <x v="24"/>
    <x v="1"/>
    <s v="WA"/>
    <s v="No gap agreement"/>
    <s v="More than 150% MBS Fee to 200% MBS Fee"/>
    <n v="55387628.030000001"/>
    <n v="24513775.890000001"/>
    <n v="30873825.239999998"/>
    <n v="256799"/>
  </r>
  <r>
    <x v="24"/>
    <x v="1"/>
    <s v="WA"/>
    <s v="No gap agreement"/>
    <s v="More than 200% MBS Fee"/>
    <n v="2659437.5699999998"/>
    <n v="693594.15"/>
    <n v="1965843.42"/>
    <n v="2588"/>
  </r>
  <r>
    <x v="24"/>
    <x v="1"/>
    <s v="TAS"/>
    <s v="No agreement"/>
    <s v="Up to MBS Fee"/>
    <n v="460219.81"/>
    <n v="346074.8"/>
    <n v="112586.73"/>
    <n v="3207"/>
  </r>
  <r>
    <x v="24"/>
    <x v="1"/>
    <s v="TAS"/>
    <s v="No agreement"/>
    <s v="100% MBS Fee to 125% MBS Fee"/>
    <n v="104968.81"/>
    <n v="71983.710000000006"/>
    <n v="23723.67"/>
    <n v="439"/>
  </r>
  <r>
    <x v="24"/>
    <x v="1"/>
    <s v="TAS"/>
    <s v="No agreement"/>
    <s v="More than 125% MBS Fee to 150% MBS Fee"/>
    <n v="71455.66"/>
    <n v="38500.67"/>
    <n v="13369.12"/>
    <n v="261"/>
  </r>
  <r>
    <x v="24"/>
    <x v="1"/>
    <s v="TAS"/>
    <s v="No agreement"/>
    <s v="More than 150% MBS Fee to 200% MBS Fee"/>
    <n v="177435.86"/>
    <n v="79011.509999999995"/>
    <n v="26375.85"/>
    <n v="722"/>
  </r>
  <r>
    <x v="24"/>
    <x v="1"/>
    <s v="TAS"/>
    <s v="No agreement"/>
    <s v="More than 200% MBS Fee"/>
    <n v="1778395.83"/>
    <n v="369129.14"/>
    <n v="125277.75"/>
    <n v="1288"/>
  </r>
  <r>
    <x v="24"/>
    <x v="1"/>
    <s v="TAS"/>
    <s v="Known gap agreement"/>
    <s v="100% MBS Fee to 125% MBS Fee"/>
    <n v="263362.94"/>
    <n v="172431.85"/>
    <n v="74493.990000000005"/>
    <n v="1434"/>
  </r>
  <r>
    <x v="24"/>
    <x v="1"/>
    <s v="TAS"/>
    <s v="Known gap agreement"/>
    <s v="More than 125% MBS Fee to 150% MBS Fee"/>
    <n v="449889.39"/>
    <n v="243768.38"/>
    <n v="187849.53"/>
    <n v="2224"/>
  </r>
  <r>
    <x v="24"/>
    <x v="1"/>
    <s v="TAS"/>
    <s v="Known gap agreement"/>
    <s v="More than 150% MBS Fee to 200% MBS Fee"/>
    <n v="2040082.32"/>
    <n v="863279.11"/>
    <n v="910987.17"/>
    <n v="3153"/>
  </r>
  <r>
    <x v="24"/>
    <x v="1"/>
    <s v="TAS"/>
    <s v="Known gap agreement"/>
    <s v="More than 200% MBS Fee"/>
    <n v="2919795.49"/>
    <n v="790624.13"/>
    <n v="942666.42"/>
    <n v="7658"/>
  </r>
  <r>
    <x v="24"/>
    <x v="1"/>
    <s v="TAS"/>
    <s v="No gap agreement"/>
    <s v="Up to MBS Fee"/>
    <n v="1770495.87"/>
    <n v="1327941.8500000001"/>
    <n v="442525.07"/>
    <n v="30234"/>
  </r>
  <r>
    <x v="24"/>
    <x v="1"/>
    <s v="TAS"/>
    <s v="No gap agreement"/>
    <s v="100% MBS Fee to 125% MBS Fee"/>
    <n v="3021679.65"/>
    <n v="1917279.36"/>
    <n v="1104392.3899999999"/>
    <n v="22802"/>
  </r>
  <r>
    <x v="24"/>
    <x v="1"/>
    <s v="TAS"/>
    <s v="No gap agreement"/>
    <s v="More than 125% MBS Fee to 150% MBS Fee"/>
    <n v="9769601.2799999993"/>
    <n v="5343215.6100000003"/>
    <n v="4426378.45"/>
    <n v="59987"/>
  </r>
  <r>
    <x v="24"/>
    <x v="1"/>
    <s v="TAS"/>
    <s v="No gap agreement"/>
    <s v="More than 150% MBS Fee to 200% MBS Fee"/>
    <n v="11511248.859999999"/>
    <n v="5243368.3499999996"/>
    <n v="6267877.7999999998"/>
    <n v="55529"/>
  </r>
  <r>
    <x v="24"/>
    <x v="1"/>
    <s v="TAS"/>
    <s v="No gap agreement"/>
    <s v="More than 200% MBS Fee"/>
    <n v="402444.09"/>
    <n v="112666.85"/>
    <n v="289777.24"/>
    <n v="414"/>
  </r>
  <r>
    <x v="24"/>
    <x v="1"/>
    <s v="ACT"/>
    <s v="No agreement"/>
    <s v="Up to MBS Fee"/>
    <n v="956466.69"/>
    <n v="715754.57"/>
    <n v="236280.55"/>
    <n v="7595"/>
  </r>
  <r>
    <x v="24"/>
    <x v="1"/>
    <s v="ACT"/>
    <s v="No agreement"/>
    <s v="100% MBS Fee to 125% MBS Fee"/>
    <n v="133520.48000000001"/>
    <n v="91224.28"/>
    <n v="31684.53"/>
    <n v="415"/>
  </r>
  <r>
    <x v="24"/>
    <x v="1"/>
    <s v="ACT"/>
    <s v="No agreement"/>
    <s v="More than 125% MBS Fee to 150% MBS Fee"/>
    <n v="152935.87"/>
    <n v="82205.679999999993"/>
    <n v="27451.8"/>
    <n v="292"/>
  </r>
  <r>
    <x v="24"/>
    <x v="1"/>
    <s v="ACT"/>
    <s v="No agreement"/>
    <s v="More than 150% MBS Fee to 200% MBS Fee"/>
    <n v="450154.7"/>
    <n v="190537.94"/>
    <n v="63830.96"/>
    <n v="1898"/>
  </r>
  <r>
    <x v="24"/>
    <x v="1"/>
    <s v="ACT"/>
    <s v="No agreement"/>
    <s v="More than 200% MBS Fee"/>
    <n v="6935791.0300000003"/>
    <n v="1522967.62"/>
    <n v="508261.87"/>
    <n v="6106"/>
  </r>
  <r>
    <x v="24"/>
    <x v="1"/>
    <s v="ACT"/>
    <s v="Known gap agreement"/>
    <s v="100% MBS Fee to 125% MBS Fee"/>
    <n v="82788.47"/>
    <n v="50971.57"/>
    <n v="24018.89"/>
    <n v="398"/>
  </r>
  <r>
    <x v="24"/>
    <x v="1"/>
    <s v="ACT"/>
    <s v="Known gap agreement"/>
    <s v="More than 125% MBS Fee to 150% MBS Fee"/>
    <n v="248016.16"/>
    <n v="134569.63"/>
    <n v="103740.6"/>
    <n v="1049"/>
  </r>
  <r>
    <x v="24"/>
    <x v="1"/>
    <s v="ACT"/>
    <s v="Known gap agreement"/>
    <s v="More than 150% MBS Fee to 200% MBS Fee"/>
    <n v="789678.64"/>
    <n v="334655.25"/>
    <n v="333307.75"/>
    <n v="1717"/>
  </r>
  <r>
    <x v="24"/>
    <x v="1"/>
    <s v="ACT"/>
    <s v="Known gap agreement"/>
    <s v="More than 200% MBS Fee"/>
    <n v="3742118.69"/>
    <n v="1008107.01"/>
    <n v="1090841.9099999999"/>
    <n v="12190"/>
  </r>
  <r>
    <x v="24"/>
    <x v="1"/>
    <s v="ACT"/>
    <s v="No gap agreement"/>
    <s v="Up to MBS Fee"/>
    <n v="492768.7"/>
    <n v="370289.94"/>
    <n v="122478.76"/>
    <n v="15666"/>
  </r>
  <r>
    <x v="24"/>
    <x v="1"/>
    <s v="ACT"/>
    <s v="No gap agreement"/>
    <s v="100% MBS Fee to 125% MBS Fee"/>
    <n v="1985758.85"/>
    <n v="1259586.5"/>
    <n v="726147.44"/>
    <n v="19252"/>
  </r>
  <r>
    <x v="24"/>
    <x v="1"/>
    <s v="ACT"/>
    <s v="No gap agreement"/>
    <s v="More than 125% MBS Fee to 150% MBS Fee"/>
    <n v="4299146.54"/>
    <n v="2373662.3199999998"/>
    <n v="1925475.68"/>
    <n v="35173"/>
  </r>
  <r>
    <x v="24"/>
    <x v="1"/>
    <s v="ACT"/>
    <s v="No gap agreement"/>
    <s v="More than 150% MBS Fee to 200% MBS Fee"/>
    <n v="2856158.32"/>
    <n v="1303918.25"/>
    <n v="1552194.17"/>
    <n v="16505"/>
  </r>
  <r>
    <x v="24"/>
    <x v="1"/>
    <s v="ACT"/>
    <s v="No gap agreement"/>
    <s v="More than 200% MBS Fee"/>
    <n v="280162.15999999997"/>
    <n v="81299.100000000006"/>
    <n v="198863.06"/>
    <n v="477"/>
  </r>
  <r>
    <x v="24"/>
    <x v="1"/>
    <s v="NT"/>
    <s v="No agreement"/>
    <s v="Up to MBS Fee"/>
    <n v="210786.8"/>
    <n v="159122.93"/>
    <n v="50422.67"/>
    <n v="849"/>
  </r>
  <r>
    <x v="24"/>
    <x v="1"/>
    <s v="NT"/>
    <s v="No agreement"/>
    <s v="100% MBS Fee to 125% MBS Fee"/>
    <n v="9565.2999999999993"/>
    <n v="6443.16"/>
    <n v="2217.6999999999998"/>
    <n v="33"/>
  </r>
  <r>
    <x v="24"/>
    <x v="1"/>
    <s v="NT"/>
    <s v="No agreement"/>
    <s v="More than 125% MBS Fee to 150% MBS Fee"/>
    <n v="11840.64"/>
    <n v="6350.1"/>
    <n v="2261.0500000000002"/>
    <n v="32"/>
  </r>
  <r>
    <x v="24"/>
    <x v="1"/>
    <s v="NT"/>
    <s v="No agreement"/>
    <s v="More than 150% MBS Fee to 200% MBS Fee"/>
    <n v="58201.06"/>
    <n v="24876.01"/>
    <n v="8800.2999999999993"/>
    <n v="200"/>
  </r>
  <r>
    <x v="24"/>
    <x v="1"/>
    <s v="NT"/>
    <s v="No agreement"/>
    <s v="More than 200% MBS Fee"/>
    <n v="933558.89"/>
    <n v="212014.64"/>
    <n v="72371.5"/>
    <n v="717"/>
  </r>
  <r>
    <x v="24"/>
    <x v="1"/>
    <s v="NT"/>
    <s v="Known gap agreement"/>
    <s v="100% MBS Fee to 125% MBS Fee"/>
    <n v="37185.06"/>
    <n v="24046.98"/>
    <n v="10352"/>
    <n v="154"/>
  </r>
  <r>
    <x v="24"/>
    <x v="1"/>
    <s v="NT"/>
    <s v="Known gap agreement"/>
    <s v="More than 125% MBS Fee to 150% MBS Fee"/>
    <n v="112649.46"/>
    <n v="60360.52"/>
    <n v="47614.559999999998"/>
    <n v="504"/>
  </r>
  <r>
    <x v="24"/>
    <x v="1"/>
    <s v="NT"/>
    <s v="Known gap agreement"/>
    <s v="More than 150% MBS Fee to 200% MBS Fee"/>
    <n v="319697.03000000003"/>
    <n v="141182.03"/>
    <n v="144969.09"/>
    <n v="487"/>
  </r>
  <r>
    <x v="24"/>
    <x v="1"/>
    <s v="NT"/>
    <s v="Known gap agreement"/>
    <s v="More than 200% MBS Fee"/>
    <n v="609280.12"/>
    <n v="162964.75"/>
    <n v="186494.73"/>
    <n v="2223"/>
  </r>
  <r>
    <x v="24"/>
    <x v="1"/>
    <s v="NT"/>
    <s v="No gap agreement"/>
    <s v="Up to MBS Fee"/>
    <n v="594501.91"/>
    <n v="446176.54"/>
    <n v="148325.37"/>
    <n v="8694"/>
  </r>
  <r>
    <x v="24"/>
    <x v="1"/>
    <s v="NT"/>
    <s v="No gap agreement"/>
    <s v="100% MBS Fee to 125% MBS Fee"/>
    <n v="564605.71"/>
    <n v="358482.85"/>
    <n v="206121.01"/>
    <n v="4110"/>
  </r>
  <r>
    <x v="24"/>
    <x v="1"/>
    <s v="NT"/>
    <s v="No gap agreement"/>
    <s v="More than 125% MBS Fee to 150% MBS Fee"/>
    <n v="1442286.49"/>
    <n v="787953.6"/>
    <n v="654325.49"/>
    <n v="6957"/>
  </r>
  <r>
    <x v="24"/>
    <x v="1"/>
    <s v="NT"/>
    <s v="No gap agreement"/>
    <s v="More than 150% MBS Fee to 200% MBS Fee"/>
    <n v="2057634.32"/>
    <n v="938243.25"/>
    <n v="1119377.18"/>
    <n v="10052"/>
  </r>
  <r>
    <x v="24"/>
    <x v="1"/>
    <s v="NT"/>
    <s v="No gap agreement"/>
    <s v="More than 200% MBS Fee"/>
    <n v="68418.25"/>
    <n v="21009.75"/>
    <n v="47408.5"/>
    <n v="124"/>
  </r>
  <r>
    <x v="25"/>
    <x v="0"/>
    <s v="NSW"/>
    <s v="No agreement"/>
    <s v="Up to MBS Fee"/>
    <n v="27246733.760000002"/>
    <n v="20374405.329999998"/>
    <n v="6857162.3399999999"/>
    <n v="254096"/>
  </r>
  <r>
    <x v="25"/>
    <x v="0"/>
    <s v="NSW"/>
    <s v="No agreement"/>
    <s v="100% MBS Fee to 125% MBS Fee"/>
    <n v="3893718.88"/>
    <n v="2610469.7999999998"/>
    <n v="1063663.17"/>
    <n v="18512"/>
  </r>
  <r>
    <x v="25"/>
    <x v="0"/>
    <s v="NSW"/>
    <s v="No agreement"/>
    <s v="More than 125% MBS Fee to 150% MBS Fee"/>
    <n v="3508221.7"/>
    <n v="1917694.33"/>
    <n v="1111118.28"/>
    <n v="12303"/>
  </r>
  <r>
    <x v="25"/>
    <x v="0"/>
    <s v="NSW"/>
    <s v="No agreement"/>
    <s v="More than 150% MBS Fee to 200% MBS Fee"/>
    <n v="9412327.6999999993"/>
    <n v="4078492.57"/>
    <n v="2993668.03"/>
    <n v="40654"/>
  </r>
  <r>
    <x v="25"/>
    <x v="0"/>
    <s v="NSW"/>
    <s v="No agreement"/>
    <s v="More than 200% MBS Fee"/>
    <n v="71622653.870000005"/>
    <n v="15548162.51"/>
    <n v="5655133.8499999996"/>
    <n v="68263"/>
  </r>
  <r>
    <x v="25"/>
    <x v="0"/>
    <s v="NSW"/>
    <s v="Known gap agreement"/>
    <s v="100% MBS Fee to 125% MBS Fee"/>
    <n v="2824547.89"/>
    <n v="1856256.25"/>
    <n v="860645.4"/>
    <n v="11631"/>
  </r>
  <r>
    <x v="25"/>
    <x v="0"/>
    <s v="NSW"/>
    <s v="Known gap agreement"/>
    <s v="More than 125% MBS Fee to 150% MBS Fee"/>
    <n v="5339367.92"/>
    <n v="2886855.35"/>
    <n v="2168460.79"/>
    <n v="22583"/>
  </r>
  <r>
    <x v="25"/>
    <x v="0"/>
    <s v="NSW"/>
    <s v="Known gap agreement"/>
    <s v="More than 150% MBS Fee to 200% MBS Fee"/>
    <n v="18438593.039999999"/>
    <n v="7939098.2599999998"/>
    <n v="7822970.9400000004"/>
    <n v="32760"/>
  </r>
  <r>
    <x v="25"/>
    <x v="0"/>
    <s v="NSW"/>
    <s v="Known gap agreement"/>
    <s v="More than 200% MBS Fee"/>
    <n v="57657102.729999997"/>
    <n v="14489770.67"/>
    <n v="14428846.75"/>
    <n v="164032"/>
  </r>
  <r>
    <x v="25"/>
    <x v="0"/>
    <s v="NSW"/>
    <s v="No gap agreement"/>
    <s v="Up to MBS Fee"/>
    <n v="28964651.629999999"/>
    <n v="21773251.48"/>
    <n v="7191400.1500000004"/>
    <n v="814810"/>
  </r>
  <r>
    <x v="25"/>
    <x v="0"/>
    <s v="NSW"/>
    <s v="No gap agreement"/>
    <s v="100% MBS Fee to 125% MBS Fee"/>
    <n v="52608621.859999999"/>
    <n v="33566748.670000002"/>
    <n v="19041727.079999998"/>
    <n v="436400"/>
  </r>
  <r>
    <x v="25"/>
    <x v="0"/>
    <s v="NSW"/>
    <s v="No gap agreement"/>
    <s v="More than 125% MBS Fee to 150% MBS Fee"/>
    <n v="107738410.04000001"/>
    <n v="59001262.409999996"/>
    <n v="48736985.880000003"/>
    <n v="625060"/>
  </r>
  <r>
    <x v="25"/>
    <x v="0"/>
    <s v="NSW"/>
    <s v="No gap agreement"/>
    <s v="More than 150% MBS Fee to 200% MBS Fee"/>
    <n v="117873474.55"/>
    <n v="54879900.130000003"/>
    <n v="62993405.359999999"/>
    <n v="654801"/>
  </r>
  <r>
    <x v="25"/>
    <x v="0"/>
    <s v="NSW"/>
    <s v="No gap agreement"/>
    <s v="More than 200% MBS Fee"/>
    <n v="7395069"/>
    <n v="2302183.09"/>
    <n v="5092885.79"/>
    <n v="14754"/>
  </r>
  <r>
    <x v="25"/>
    <x v="0"/>
    <s v="VIC"/>
    <s v="No agreement"/>
    <s v="Up to MBS Fee"/>
    <n v="8042892.3499999996"/>
    <n v="6015399.8799999999"/>
    <n v="2007942.26"/>
    <n v="141960"/>
  </r>
  <r>
    <x v="25"/>
    <x v="0"/>
    <s v="VIC"/>
    <s v="No agreement"/>
    <s v="100% MBS Fee to 125% MBS Fee"/>
    <n v="1952575.23"/>
    <n v="1295020.3"/>
    <n v="547282.96"/>
    <n v="10254"/>
  </r>
  <r>
    <x v="25"/>
    <x v="0"/>
    <s v="VIC"/>
    <s v="No agreement"/>
    <s v="More than 125% MBS Fee to 150% MBS Fee"/>
    <n v="3488419.58"/>
    <n v="1882390.85"/>
    <n v="1189133.17"/>
    <n v="14158"/>
  </r>
  <r>
    <x v="25"/>
    <x v="0"/>
    <s v="VIC"/>
    <s v="No agreement"/>
    <s v="More than 150% MBS Fee to 200% MBS Fee"/>
    <n v="5089197.42"/>
    <n v="2240932.66"/>
    <n v="1470448.76"/>
    <n v="27543"/>
  </r>
  <r>
    <x v="25"/>
    <x v="0"/>
    <s v="VIC"/>
    <s v="No agreement"/>
    <s v="More than 200% MBS Fee"/>
    <n v="21127201.579999998"/>
    <n v="4750230.82"/>
    <n v="1798832.05"/>
    <n v="21292"/>
  </r>
  <r>
    <x v="25"/>
    <x v="0"/>
    <s v="VIC"/>
    <s v="Known gap agreement"/>
    <s v="100% MBS Fee to 125% MBS Fee"/>
    <n v="2472905.94"/>
    <n v="1649059.71"/>
    <n v="699975.43"/>
    <n v="11053"/>
  </r>
  <r>
    <x v="25"/>
    <x v="0"/>
    <s v="VIC"/>
    <s v="Known gap agreement"/>
    <s v="More than 125% MBS Fee to 150% MBS Fee"/>
    <n v="5847902.75"/>
    <n v="3175223.22"/>
    <n v="2249032.42"/>
    <n v="19295"/>
  </r>
  <r>
    <x v="25"/>
    <x v="0"/>
    <s v="VIC"/>
    <s v="Known gap agreement"/>
    <s v="More than 150% MBS Fee to 200% MBS Fee"/>
    <n v="17010886.59"/>
    <n v="7338754.9699999997"/>
    <n v="6979112.4699999997"/>
    <n v="34571"/>
  </r>
  <r>
    <x v="25"/>
    <x v="0"/>
    <s v="VIC"/>
    <s v="Known gap agreement"/>
    <s v="More than 200% MBS Fee"/>
    <n v="41445939.229999997"/>
    <n v="11148243.58"/>
    <n v="12469917.050000001"/>
    <n v="145249"/>
  </r>
  <r>
    <x v="25"/>
    <x v="0"/>
    <s v="VIC"/>
    <s v="No gap agreement"/>
    <s v="Up to MBS Fee"/>
    <n v="21027657.5"/>
    <n v="15807472.18"/>
    <n v="5220206.1900000004"/>
    <n v="311008"/>
  </r>
  <r>
    <x v="25"/>
    <x v="0"/>
    <s v="VIC"/>
    <s v="No gap agreement"/>
    <s v="100% MBS Fee to 125% MBS Fee"/>
    <n v="45322294.299999997"/>
    <n v="28985379.800000001"/>
    <n v="16336585.99"/>
    <n v="369022"/>
  </r>
  <r>
    <x v="25"/>
    <x v="0"/>
    <s v="VIC"/>
    <s v="No gap agreement"/>
    <s v="More than 125% MBS Fee to 150% MBS Fee"/>
    <n v="115497351.69"/>
    <n v="63424233.869999997"/>
    <n v="52072987.990000002"/>
    <n v="770981"/>
  </r>
  <r>
    <x v="25"/>
    <x v="0"/>
    <s v="VIC"/>
    <s v="No gap agreement"/>
    <s v="More than 150% MBS Fee to 200% MBS Fee"/>
    <n v="95387037.400000006"/>
    <n v="43100818.450000003"/>
    <n v="52286175.32"/>
    <n v="510521"/>
  </r>
  <r>
    <x v="25"/>
    <x v="0"/>
    <s v="VIC"/>
    <s v="No gap agreement"/>
    <s v="More than 200% MBS Fee"/>
    <n v="2889958.57"/>
    <n v="801200.87"/>
    <n v="2088757.7"/>
    <n v="2615"/>
  </r>
  <r>
    <x v="25"/>
    <x v="0"/>
    <s v="QLD"/>
    <s v="No agreement"/>
    <s v="Up to MBS Fee"/>
    <n v="4124851.49"/>
    <n v="3081261.75"/>
    <n v="1021312.97"/>
    <n v="65159"/>
  </r>
  <r>
    <x v="25"/>
    <x v="0"/>
    <s v="QLD"/>
    <s v="No agreement"/>
    <s v="100% MBS Fee to 125% MBS Fee"/>
    <n v="1815041.98"/>
    <n v="1213776.8999999999"/>
    <n v="500237.21"/>
    <n v="8671"/>
  </r>
  <r>
    <x v="25"/>
    <x v="0"/>
    <s v="QLD"/>
    <s v="No agreement"/>
    <s v="More than 125% MBS Fee to 150% MBS Fee"/>
    <n v="1737541.35"/>
    <n v="946692.19"/>
    <n v="533045.64"/>
    <n v="6090"/>
  </r>
  <r>
    <x v="25"/>
    <x v="0"/>
    <s v="QLD"/>
    <s v="No agreement"/>
    <s v="More than 150% MBS Fee to 200% MBS Fee"/>
    <n v="5648808.04"/>
    <n v="2451671.69"/>
    <n v="1499331.37"/>
    <n v="34677"/>
  </r>
  <r>
    <x v="25"/>
    <x v="0"/>
    <s v="QLD"/>
    <s v="No agreement"/>
    <s v="More than 200% MBS Fee"/>
    <n v="34703802.119999997"/>
    <n v="7754763.96"/>
    <n v="2843536.2"/>
    <n v="33632"/>
  </r>
  <r>
    <x v="25"/>
    <x v="0"/>
    <s v="QLD"/>
    <s v="Known gap agreement"/>
    <s v="100% MBS Fee to 125% MBS Fee"/>
    <n v="1802613.41"/>
    <n v="1193569.76"/>
    <n v="518468.15"/>
    <n v="7622"/>
  </r>
  <r>
    <x v="25"/>
    <x v="0"/>
    <s v="QLD"/>
    <s v="Known gap agreement"/>
    <s v="More than 125% MBS Fee to 150% MBS Fee"/>
    <n v="3981261.38"/>
    <n v="2151735.02"/>
    <n v="1516225.27"/>
    <n v="17494"/>
  </r>
  <r>
    <x v="25"/>
    <x v="0"/>
    <s v="QLD"/>
    <s v="Known gap agreement"/>
    <s v="More than 150% MBS Fee to 200% MBS Fee"/>
    <n v="19341083.57"/>
    <n v="8171736.3899999997"/>
    <n v="8114926"/>
    <n v="25199"/>
  </r>
  <r>
    <x v="25"/>
    <x v="0"/>
    <s v="QLD"/>
    <s v="Known gap agreement"/>
    <s v="More than 200% MBS Fee"/>
    <n v="42637441.18"/>
    <n v="10747086.060000001"/>
    <n v="11594342.82"/>
    <n v="106224"/>
  </r>
  <r>
    <x v="25"/>
    <x v="0"/>
    <s v="QLD"/>
    <s v="No gap agreement"/>
    <s v="Up to MBS Fee"/>
    <n v="18109533.359999999"/>
    <n v="13598662.77"/>
    <n v="4511012.57"/>
    <n v="275281"/>
  </r>
  <r>
    <x v="25"/>
    <x v="0"/>
    <s v="QLD"/>
    <s v="No gap agreement"/>
    <s v="100% MBS Fee to 125% MBS Fee"/>
    <n v="49181451.829999998"/>
    <n v="31446830.84"/>
    <n v="17734050.93"/>
    <n v="426700"/>
  </r>
  <r>
    <x v="25"/>
    <x v="0"/>
    <s v="QLD"/>
    <s v="No gap agreement"/>
    <s v="More than 125% MBS Fee to 150% MBS Fee"/>
    <n v="84224652.030000001"/>
    <n v="46460979.399999999"/>
    <n v="37763488.729999997"/>
    <n v="658151"/>
  </r>
  <r>
    <x v="25"/>
    <x v="0"/>
    <s v="QLD"/>
    <s v="No gap agreement"/>
    <s v="More than 150% MBS Fee to 200% MBS Fee"/>
    <n v="78057731.510000005"/>
    <n v="35767695.240000002"/>
    <n v="42289205.560000002"/>
    <n v="508576"/>
  </r>
  <r>
    <x v="25"/>
    <x v="0"/>
    <s v="QLD"/>
    <s v="No gap agreement"/>
    <s v="More than 200% MBS Fee"/>
    <n v="4590511.8099999996"/>
    <n v="1350662.36"/>
    <n v="3239849.41"/>
    <n v="6566"/>
  </r>
  <r>
    <x v="25"/>
    <x v="0"/>
    <s v="SA"/>
    <s v="No agreement"/>
    <s v="Up to MBS Fee"/>
    <n v="1649485.73"/>
    <n v="1235566.42"/>
    <n v="410102.23"/>
    <n v="10129"/>
  </r>
  <r>
    <x v="25"/>
    <x v="0"/>
    <s v="SA"/>
    <s v="No agreement"/>
    <s v="100% MBS Fee to 125% MBS Fee"/>
    <n v="428735.32"/>
    <n v="282873.03999999998"/>
    <n v="112693.12"/>
    <n v="1457"/>
  </r>
  <r>
    <x v="25"/>
    <x v="0"/>
    <s v="SA"/>
    <s v="No agreement"/>
    <s v="More than 125% MBS Fee to 150% MBS Fee"/>
    <n v="537558.29"/>
    <n v="286494.98"/>
    <n v="208693.4"/>
    <n v="2679"/>
  </r>
  <r>
    <x v="25"/>
    <x v="0"/>
    <s v="SA"/>
    <s v="No agreement"/>
    <s v="More than 150% MBS Fee to 200% MBS Fee"/>
    <n v="710168.99"/>
    <n v="310836.19"/>
    <n v="275839.02"/>
    <n v="2542"/>
  </r>
  <r>
    <x v="25"/>
    <x v="0"/>
    <s v="SA"/>
    <s v="No agreement"/>
    <s v="More than 200% MBS Fee"/>
    <n v="2344362.2599999998"/>
    <n v="474377.99"/>
    <n v="194911.33"/>
    <n v="2295"/>
  </r>
  <r>
    <x v="25"/>
    <x v="0"/>
    <s v="SA"/>
    <s v="Known gap agreement"/>
    <s v="100% MBS Fee to 125% MBS Fee"/>
    <n v="374778.68"/>
    <n v="239570.76"/>
    <n v="108333.37"/>
    <n v="1918"/>
  </r>
  <r>
    <x v="25"/>
    <x v="0"/>
    <s v="SA"/>
    <s v="Known gap agreement"/>
    <s v="More than 125% MBS Fee to 150% MBS Fee"/>
    <n v="1165306.94"/>
    <n v="633717.98"/>
    <n v="464095.25"/>
    <n v="5302"/>
  </r>
  <r>
    <x v="25"/>
    <x v="0"/>
    <s v="SA"/>
    <s v="Known gap agreement"/>
    <s v="More than 150% MBS Fee to 200% MBS Fee"/>
    <n v="8591711.2300000004"/>
    <n v="3606719.77"/>
    <n v="3789882.45"/>
    <n v="13106"/>
  </r>
  <r>
    <x v="25"/>
    <x v="0"/>
    <s v="SA"/>
    <s v="Known gap agreement"/>
    <s v="More than 200% MBS Fee"/>
    <n v="11546559.26"/>
    <n v="3249884.07"/>
    <n v="3887797.59"/>
    <n v="40682"/>
  </r>
  <r>
    <x v="25"/>
    <x v="0"/>
    <s v="SA"/>
    <s v="No gap agreement"/>
    <s v="Up to MBS Fee"/>
    <n v="8134794.96"/>
    <n v="6106702.0999999996"/>
    <n v="2028092.86"/>
    <n v="170437"/>
  </r>
  <r>
    <x v="25"/>
    <x v="0"/>
    <s v="SA"/>
    <s v="No gap agreement"/>
    <s v="100% MBS Fee to 125% MBS Fee"/>
    <n v="9754959.2699999996"/>
    <n v="6136756.5999999996"/>
    <n v="3618049.02"/>
    <n v="80566"/>
  </r>
  <r>
    <x v="25"/>
    <x v="0"/>
    <s v="SA"/>
    <s v="No gap agreement"/>
    <s v="More than 125% MBS Fee to 150% MBS Fee"/>
    <n v="31516257.82"/>
    <n v="17203769.300000001"/>
    <n v="14312464.5"/>
    <n v="234924"/>
  </r>
  <r>
    <x v="25"/>
    <x v="0"/>
    <s v="SA"/>
    <s v="No gap agreement"/>
    <s v="More than 150% MBS Fee to 200% MBS Fee"/>
    <n v="44740966.960000001"/>
    <n v="20048904.050000001"/>
    <n v="24692039.600000001"/>
    <n v="182823"/>
  </r>
  <r>
    <x v="25"/>
    <x v="0"/>
    <s v="SA"/>
    <s v="No gap agreement"/>
    <s v="More than 200% MBS Fee"/>
    <n v="1096078.55"/>
    <n v="295162.15000000002"/>
    <n v="800916.4"/>
    <n v="907"/>
  </r>
  <r>
    <x v="25"/>
    <x v="0"/>
    <s v="WA"/>
    <s v="No agreement"/>
    <s v="Up to MBS Fee"/>
    <n v="1573797.16"/>
    <n v="1182339"/>
    <n v="390189.86"/>
    <n v="19345"/>
  </r>
  <r>
    <x v="25"/>
    <x v="0"/>
    <s v="WA"/>
    <s v="No agreement"/>
    <s v="100% MBS Fee to 125% MBS Fee"/>
    <n v="632577.49"/>
    <n v="422455.79"/>
    <n v="180138.71"/>
    <n v="3200"/>
  </r>
  <r>
    <x v="25"/>
    <x v="0"/>
    <s v="WA"/>
    <s v="No agreement"/>
    <s v="More than 125% MBS Fee to 150% MBS Fee"/>
    <n v="801796.01"/>
    <n v="432912.6"/>
    <n v="246332.63"/>
    <n v="3374"/>
  </r>
  <r>
    <x v="25"/>
    <x v="0"/>
    <s v="WA"/>
    <s v="No agreement"/>
    <s v="More than 150% MBS Fee to 200% MBS Fee"/>
    <n v="2376075.37"/>
    <n v="1039549.53"/>
    <n v="519488.94"/>
    <n v="19768"/>
  </r>
  <r>
    <x v="25"/>
    <x v="0"/>
    <s v="WA"/>
    <s v="No agreement"/>
    <s v="More than 200% MBS Fee"/>
    <n v="8153280.0599999996"/>
    <n v="1689873.76"/>
    <n v="617233.87"/>
    <n v="8812"/>
  </r>
  <r>
    <x v="25"/>
    <x v="0"/>
    <s v="WA"/>
    <s v="Known gap agreement"/>
    <s v="100% MBS Fee to 125% MBS Fee"/>
    <n v="855595.24"/>
    <n v="559633.11"/>
    <n v="263598.5"/>
    <n v="4077"/>
  </r>
  <r>
    <x v="25"/>
    <x v="0"/>
    <s v="WA"/>
    <s v="Known gap agreement"/>
    <s v="More than 125% MBS Fee to 150% MBS Fee"/>
    <n v="2928535.04"/>
    <n v="1568643.83"/>
    <n v="1143733.3799999999"/>
    <n v="24792"/>
  </r>
  <r>
    <x v="25"/>
    <x v="0"/>
    <s v="WA"/>
    <s v="Known gap agreement"/>
    <s v="More than 150% MBS Fee to 200% MBS Fee"/>
    <n v="9390912.2100000009"/>
    <n v="4132787.06"/>
    <n v="3827899.95"/>
    <n v="16607"/>
  </r>
  <r>
    <x v="25"/>
    <x v="0"/>
    <s v="WA"/>
    <s v="Known gap agreement"/>
    <s v="More than 200% MBS Fee"/>
    <n v="18338995.190000001"/>
    <n v="4522264.58"/>
    <n v="3258906.34"/>
    <n v="44320"/>
  </r>
  <r>
    <x v="25"/>
    <x v="0"/>
    <s v="WA"/>
    <s v="No gap agreement"/>
    <s v="Up to MBS Fee"/>
    <n v="10349477.57"/>
    <n v="7776537.5800000001"/>
    <n v="2572939.9900000002"/>
    <n v="139365"/>
  </r>
  <r>
    <x v="25"/>
    <x v="0"/>
    <s v="WA"/>
    <s v="No gap agreement"/>
    <s v="100% MBS Fee to 125% MBS Fee"/>
    <n v="11147597.140000001"/>
    <n v="7214410.5499999998"/>
    <n v="3933154.49"/>
    <n v="76636"/>
  </r>
  <r>
    <x v="25"/>
    <x v="0"/>
    <s v="WA"/>
    <s v="No gap agreement"/>
    <s v="More than 125% MBS Fee to 150% MBS Fee"/>
    <n v="50856779.560000002"/>
    <n v="28007630.800000001"/>
    <n v="22849140.550000001"/>
    <n v="343797"/>
  </r>
  <r>
    <x v="25"/>
    <x v="0"/>
    <s v="WA"/>
    <s v="No gap agreement"/>
    <s v="More than 150% MBS Fee to 200% MBS Fee"/>
    <n v="59856306.799999997"/>
    <n v="26696383.789999999"/>
    <n v="33159908.77"/>
    <n v="266510"/>
  </r>
  <r>
    <x v="25"/>
    <x v="0"/>
    <s v="WA"/>
    <s v="No gap agreement"/>
    <s v="More than 200% MBS Fee"/>
    <n v="2176945.19"/>
    <n v="583016.46"/>
    <n v="1593928.73"/>
    <n v="1879"/>
  </r>
  <r>
    <x v="25"/>
    <x v="0"/>
    <s v="TAS"/>
    <s v="No agreement"/>
    <s v="Up to MBS Fee"/>
    <n v="482339.53"/>
    <n v="361518.19"/>
    <n v="119796.34"/>
    <n v="2818"/>
  </r>
  <r>
    <x v="25"/>
    <x v="0"/>
    <s v="TAS"/>
    <s v="No agreement"/>
    <s v="100% MBS Fee to 125% MBS Fee"/>
    <n v="137284.1"/>
    <n v="92145.29"/>
    <n v="35484.67"/>
    <n v="718"/>
  </r>
  <r>
    <x v="25"/>
    <x v="0"/>
    <s v="TAS"/>
    <s v="No agreement"/>
    <s v="More than 125% MBS Fee to 150% MBS Fee"/>
    <n v="161996.82999999999"/>
    <n v="87017.44"/>
    <n v="57158.09"/>
    <n v="511"/>
  </r>
  <r>
    <x v="25"/>
    <x v="0"/>
    <s v="TAS"/>
    <s v="No agreement"/>
    <s v="More than 150% MBS Fee to 200% MBS Fee"/>
    <n v="328502.77"/>
    <n v="143484.89000000001"/>
    <n v="112684.88"/>
    <n v="1504"/>
  </r>
  <r>
    <x v="25"/>
    <x v="0"/>
    <s v="TAS"/>
    <s v="No agreement"/>
    <s v="More than 200% MBS Fee"/>
    <n v="1486863.82"/>
    <n v="347695.3"/>
    <n v="147542.60999999999"/>
    <n v="1183"/>
  </r>
  <r>
    <x v="25"/>
    <x v="0"/>
    <s v="TAS"/>
    <s v="Known gap agreement"/>
    <s v="100% MBS Fee to 125% MBS Fee"/>
    <n v="238805.84"/>
    <n v="158319.24"/>
    <n v="72331.33"/>
    <n v="1288"/>
  </r>
  <r>
    <x v="25"/>
    <x v="0"/>
    <s v="TAS"/>
    <s v="Known gap agreement"/>
    <s v="More than 125% MBS Fee to 150% MBS Fee"/>
    <n v="396886.54"/>
    <n v="214302.83"/>
    <n v="166146.01999999999"/>
    <n v="1962"/>
  </r>
  <r>
    <x v="25"/>
    <x v="0"/>
    <s v="TAS"/>
    <s v="Known gap agreement"/>
    <s v="More than 150% MBS Fee to 200% MBS Fee"/>
    <n v="2339774.92"/>
    <n v="993455.26"/>
    <n v="1050102.45"/>
    <n v="3146"/>
  </r>
  <r>
    <x v="25"/>
    <x v="0"/>
    <s v="TAS"/>
    <s v="Known gap agreement"/>
    <s v="More than 200% MBS Fee"/>
    <n v="3096154.3"/>
    <n v="802004.4"/>
    <n v="920859.21"/>
    <n v="7061"/>
  </r>
  <r>
    <x v="25"/>
    <x v="0"/>
    <s v="TAS"/>
    <s v="No gap agreement"/>
    <s v="Up to MBS Fee"/>
    <n v="1613594.78"/>
    <n v="1211746.0900000001"/>
    <n v="401848.69"/>
    <n v="24783"/>
  </r>
  <r>
    <x v="25"/>
    <x v="0"/>
    <s v="TAS"/>
    <s v="No gap agreement"/>
    <s v="100% MBS Fee to 125% MBS Fee"/>
    <n v="3064004.38"/>
    <n v="1945019"/>
    <n v="1118985.08"/>
    <n v="21253"/>
  </r>
  <r>
    <x v="25"/>
    <x v="0"/>
    <s v="TAS"/>
    <s v="No gap agreement"/>
    <s v="More than 125% MBS Fee to 150% MBS Fee"/>
    <n v="9163288.1500000004"/>
    <n v="5004999.63"/>
    <n v="4158284.2"/>
    <n v="57072"/>
  </r>
  <r>
    <x v="25"/>
    <x v="0"/>
    <s v="TAS"/>
    <s v="No gap agreement"/>
    <s v="More than 150% MBS Fee to 200% MBS Fee"/>
    <n v="11881097.609999999"/>
    <n v="5454900.0199999996"/>
    <n v="6426194.1299999999"/>
    <n v="55893"/>
  </r>
  <r>
    <x v="25"/>
    <x v="0"/>
    <s v="TAS"/>
    <s v="No gap agreement"/>
    <s v="More than 200% MBS Fee"/>
    <n v="334535.53999999998"/>
    <n v="93600.78"/>
    <n v="240934.76"/>
    <n v="265"/>
  </r>
  <r>
    <x v="25"/>
    <x v="0"/>
    <s v="ACT"/>
    <s v="No agreement"/>
    <s v="Up to MBS Fee"/>
    <n v="595258"/>
    <n v="441665.55"/>
    <n v="146723.04999999999"/>
    <n v="5468"/>
  </r>
  <r>
    <x v="25"/>
    <x v="0"/>
    <s v="ACT"/>
    <s v="No agreement"/>
    <s v="100% MBS Fee to 125% MBS Fee"/>
    <n v="107178.77"/>
    <n v="73281.850000000006"/>
    <n v="27635.32"/>
    <n v="486"/>
  </r>
  <r>
    <x v="25"/>
    <x v="0"/>
    <s v="ACT"/>
    <s v="No agreement"/>
    <s v="More than 125% MBS Fee to 150% MBS Fee"/>
    <n v="145714.88"/>
    <n v="78755.789999999994"/>
    <n v="35202.86"/>
    <n v="407"/>
  </r>
  <r>
    <x v="25"/>
    <x v="0"/>
    <s v="ACT"/>
    <s v="No agreement"/>
    <s v="More than 150% MBS Fee to 200% MBS Fee"/>
    <n v="447139.9"/>
    <n v="190581.79"/>
    <n v="93354.81"/>
    <n v="1958"/>
  </r>
  <r>
    <x v="25"/>
    <x v="0"/>
    <s v="ACT"/>
    <s v="No agreement"/>
    <s v="More than 200% MBS Fee"/>
    <n v="6518498.9900000002"/>
    <n v="1451403.83"/>
    <n v="495482.57"/>
    <n v="6013"/>
  </r>
  <r>
    <x v="25"/>
    <x v="0"/>
    <s v="ACT"/>
    <s v="Known gap agreement"/>
    <s v="100% MBS Fee to 125% MBS Fee"/>
    <n v="59983.02"/>
    <n v="38340.99"/>
    <n v="18369.36"/>
    <n v="238"/>
  </r>
  <r>
    <x v="25"/>
    <x v="0"/>
    <s v="ACT"/>
    <s v="Known gap agreement"/>
    <s v="More than 125% MBS Fee to 150% MBS Fee"/>
    <n v="231860.59"/>
    <n v="128308.78"/>
    <n v="90750.68"/>
    <n v="1195"/>
  </r>
  <r>
    <x v="25"/>
    <x v="0"/>
    <s v="ACT"/>
    <s v="Known gap agreement"/>
    <s v="More than 150% MBS Fee to 200% MBS Fee"/>
    <n v="554159.13"/>
    <n v="235661.33"/>
    <n v="222388.52"/>
    <n v="1264"/>
  </r>
  <r>
    <x v="25"/>
    <x v="0"/>
    <s v="ACT"/>
    <s v="Known gap agreement"/>
    <s v="More than 200% MBS Fee"/>
    <n v="4834304.58"/>
    <n v="1250308.45"/>
    <n v="1155159.17"/>
    <n v="14991"/>
  </r>
  <r>
    <x v="25"/>
    <x v="0"/>
    <s v="ACT"/>
    <s v="No gap agreement"/>
    <s v="Up to MBS Fee"/>
    <n v="553938.72"/>
    <n v="454242.72"/>
    <n v="99696"/>
    <n v="10640"/>
  </r>
  <r>
    <x v="25"/>
    <x v="0"/>
    <s v="ACT"/>
    <s v="No gap agreement"/>
    <s v="100% MBS Fee to 125% MBS Fee"/>
    <n v="1978128.43"/>
    <n v="1261431.1000000001"/>
    <n v="716670.93"/>
    <n v="16126"/>
  </r>
  <r>
    <x v="25"/>
    <x v="0"/>
    <s v="ACT"/>
    <s v="No gap agreement"/>
    <s v="More than 125% MBS Fee to 150% MBS Fee"/>
    <n v="4305361.79"/>
    <n v="2381521"/>
    <n v="1923833.23"/>
    <n v="36710"/>
  </r>
  <r>
    <x v="25"/>
    <x v="0"/>
    <s v="ACT"/>
    <s v="No gap agreement"/>
    <s v="More than 150% MBS Fee to 200% MBS Fee"/>
    <n v="3234728.41"/>
    <n v="1490201.7"/>
    <n v="1744482.1"/>
    <n v="17984"/>
  </r>
  <r>
    <x v="25"/>
    <x v="0"/>
    <s v="ACT"/>
    <s v="No gap agreement"/>
    <s v="More than 200% MBS Fee"/>
    <n v="398053.29"/>
    <n v="128015.53"/>
    <n v="270037.76000000001"/>
    <n v="902"/>
  </r>
  <r>
    <x v="25"/>
    <x v="0"/>
    <s v="NT"/>
    <s v="No agreement"/>
    <s v="Up to MBS Fee"/>
    <n v="163367.65"/>
    <n v="121948.26"/>
    <n v="40535.599999999999"/>
    <n v="691"/>
  </r>
  <r>
    <x v="25"/>
    <x v="0"/>
    <s v="NT"/>
    <s v="No agreement"/>
    <s v="100% MBS Fee to 125% MBS Fee"/>
    <n v="45204.19"/>
    <n v="31291.45"/>
    <n v="11671.5"/>
    <n v="126"/>
  </r>
  <r>
    <x v="25"/>
    <x v="0"/>
    <s v="NT"/>
    <s v="No agreement"/>
    <s v="More than 125% MBS Fee to 150% MBS Fee"/>
    <n v="20469.939999999999"/>
    <n v="10868.35"/>
    <n v="4371.28"/>
    <n v="82"/>
  </r>
  <r>
    <x v="25"/>
    <x v="0"/>
    <s v="NT"/>
    <s v="No agreement"/>
    <s v="More than 150% MBS Fee to 200% MBS Fee"/>
    <n v="78694.45"/>
    <n v="33912.94"/>
    <n v="17760.48"/>
    <n v="440"/>
  </r>
  <r>
    <x v="25"/>
    <x v="0"/>
    <s v="NT"/>
    <s v="No agreement"/>
    <s v="More than 200% MBS Fee"/>
    <n v="1194066.5900000001"/>
    <n v="261963.55"/>
    <n v="89771.1"/>
    <n v="783"/>
  </r>
  <r>
    <x v="25"/>
    <x v="0"/>
    <s v="NT"/>
    <s v="Known gap agreement"/>
    <s v="100% MBS Fee to 125% MBS Fee"/>
    <n v="30594.71"/>
    <n v="20442.71"/>
    <n v="8147.69"/>
    <n v="114"/>
  </r>
  <r>
    <x v="25"/>
    <x v="0"/>
    <s v="NT"/>
    <s v="Known gap agreement"/>
    <s v="More than 125% MBS Fee to 150% MBS Fee"/>
    <n v="88451.15"/>
    <n v="48123.38"/>
    <n v="36893.72"/>
    <n v="229"/>
  </r>
  <r>
    <x v="25"/>
    <x v="0"/>
    <s v="NT"/>
    <s v="Known gap agreement"/>
    <s v="More than 150% MBS Fee to 200% MBS Fee"/>
    <n v="225702.55"/>
    <n v="97343.2"/>
    <n v="101918.43"/>
    <n v="366"/>
  </r>
  <r>
    <x v="25"/>
    <x v="0"/>
    <s v="NT"/>
    <s v="Known gap agreement"/>
    <s v="More than 200% MBS Fee"/>
    <n v="516899.6"/>
    <n v="138614.67000000001"/>
    <n v="145623.82999999999"/>
    <n v="1560"/>
  </r>
  <r>
    <x v="25"/>
    <x v="0"/>
    <s v="NT"/>
    <s v="No gap agreement"/>
    <s v="Up to MBS Fee"/>
    <n v="553521.94999999995"/>
    <n v="415435.4"/>
    <n v="138086.54999999999"/>
    <n v="6496"/>
  </r>
  <r>
    <x v="25"/>
    <x v="0"/>
    <s v="NT"/>
    <s v="No gap agreement"/>
    <s v="100% MBS Fee to 125% MBS Fee"/>
    <n v="503907.1"/>
    <n v="319923.25"/>
    <n v="183983.15"/>
    <n v="3307"/>
  </r>
  <r>
    <x v="25"/>
    <x v="0"/>
    <s v="NT"/>
    <s v="No gap agreement"/>
    <s v="More than 125% MBS Fee to 150% MBS Fee"/>
    <n v="1407746.14"/>
    <n v="765944.65"/>
    <n v="641796.82999999996"/>
    <n v="6373"/>
  </r>
  <r>
    <x v="25"/>
    <x v="0"/>
    <s v="NT"/>
    <s v="No gap agreement"/>
    <s v="More than 150% MBS Fee to 200% MBS Fee"/>
    <n v="2163084.1800000002"/>
    <n v="992770.43"/>
    <n v="1170299.6499999999"/>
    <n v="10943"/>
  </r>
  <r>
    <x v="25"/>
    <x v="0"/>
    <s v="NT"/>
    <s v="No gap agreement"/>
    <s v="More than 200% MBS Fee"/>
    <n v="48301.42"/>
    <n v="16188.72"/>
    <n v="32112.7"/>
    <n v="60"/>
  </r>
  <r>
    <x v="25"/>
    <x v="2"/>
    <s v="NSW"/>
    <s v="No agreement"/>
    <s v="Up to MBS Fee"/>
    <n v="26492810.5"/>
    <n v="19869022.859999999"/>
    <n v="6619383.54"/>
    <n v="241116"/>
  </r>
  <r>
    <x v="25"/>
    <x v="2"/>
    <s v="NSW"/>
    <s v="No agreement"/>
    <s v="100% MBS Fee to 125% MBS Fee"/>
    <n v="2188772.9700000002"/>
    <n v="1481902.78"/>
    <n v="525539.11"/>
    <n v="7931"/>
  </r>
  <r>
    <x v="25"/>
    <x v="2"/>
    <s v="NSW"/>
    <s v="No agreement"/>
    <s v="More than 125% MBS Fee to 150% MBS Fee"/>
    <n v="1408124.06"/>
    <n v="765974.83"/>
    <n v="275757.21999999997"/>
    <n v="3960"/>
  </r>
  <r>
    <x v="25"/>
    <x v="2"/>
    <s v="NSW"/>
    <s v="No agreement"/>
    <s v="More than 150% MBS Fee to 200% MBS Fee"/>
    <n v="4116339.46"/>
    <n v="1769585.4"/>
    <n v="603910.13"/>
    <n v="14119"/>
  </r>
  <r>
    <x v="25"/>
    <x v="2"/>
    <s v="NSW"/>
    <s v="No agreement"/>
    <s v="More than 200% MBS Fee"/>
    <n v="51891805.719999999"/>
    <n v="11334703.550000001"/>
    <n v="3798904.98"/>
    <n v="45792"/>
  </r>
  <r>
    <x v="25"/>
    <x v="2"/>
    <s v="NSW"/>
    <s v="Known gap agreement"/>
    <s v="100% MBS Fee to 125% MBS Fee"/>
    <n v="2481875.13"/>
    <n v="1629075.33"/>
    <n v="752414.65"/>
    <n v="10573"/>
  </r>
  <r>
    <x v="25"/>
    <x v="2"/>
    <s v="NSW"/>
    <s v="Known gap agreement"/>
    <s v="More than 125% MBS Fee to 150% MBS Fee"/>
    <n v="4439382.9000000004"/>
    <n v="2392817.2200000002"/>
    <n v="1827313.19"/>
    <n v="22400"/>
  </r>
  <r>
    <x v="25"/>
    <x v="2"/>
    <s v="NSW"/>
    <s v="Known gap agreement"/>
    <s v="More than 150% MBS Fee to 200% MBS Fee"/>
    <n v="12535026.92"/>
    <n v="5397043.4299999997"/>
    <n v="5433097.3799999999"/>
    <n v="23319"/>
  </r>
  <r>
    <x v="25"/>
    <x v="2"/>
    <s v="NSW"/>
    <s v="Known gap agreement"/>
    <s v="More than 200% MBS Fee"/>
    <n v="29592711.140000001"/>
    <n v="7843826.1699999999"/>
    <n v="9018953.4000000004"/>
    <n v="96009"/>
  </r>
  <r>
    <x v="25"/>
    <x v="2"/>
    <s v="NSW"/>
    <s v="No gap agreement"/>
    <s v="Up to MBS Fee"/>
    <n v="28044043.52"/>
    <n v="21067144.489999998"/>
    <n v="6976791.2599999998"/>
    <n v="832407"/>
  </r>
  <r>
    <x v="25"/>
    <x v="2"/>
    <s v="NSW"/>
    <s v="No gap agreement"/>
    <s v="100% MBS Fee to 125% MBS Fee"/>
    <n v="45827868.909999996"/>
    <n v="29097907.420000002"/>
    <n v="16729894.279999999"/>
    <n v="396313"/>
  </r>
  <r>
    <x v="25"/>
    <x v="2"/>
    <s v="NSW"/>
    <s v="No gap agreement"/>
    <s v="More than 125% MBS Fee to 150% MBS Fee"/>
    <n v="81112889.890000001"/>
    <n v="44269682.020000003"/>
    <n v="36843136.07"/>
    <n v="498532"/>
  </r>
  <r>
    <x v="25"/>
    <x v="2"/>
    <s v="NSW"/>
    <s v="No gap agreement"/>
    <s v="More than 150% MBS Fee to 200% MBS Fee"/>
    <n v="83844135.310000002"/>
    <n v="38284982.439999998"/>
    <n v="45559052.899999999"/>
    <n v="454345"/>
  </r>
  <r>
    <x v="25"/>
    <x v="2"/>
    <s v="NSW"/>
    <s v="No gap agreement"/>
    <s v="More than 200% MBS Fee"/>
    <n v="5404266.1200000001"/>
    <n v="1450453.29"/>
    <n v="3953812.3"/>
    <n v="4569"/>
  </r>
  <r>
    <x v="25"/>
    <x v="2"/>
    <s v="VIC"/>
    <s v="No agreement"/>
    <s v="Up to MBS Fee"/>
    <n v="6534378.4100000001"/>
    <n v="4909948.34"/>
    <n v="1616847.42"/>
    <n v="116412"/>
  </r>
  <r>
    <x v="25"/>
    <x v="2"/>
    <s v="VIC"/>
    <s v="No agreement"/>
    <s v="100% MBS Fee to 125% MBS Fee"/>
    <n v="1275608.6200000001"/>
    <n v="852509.53"/>
    <n v="290163.71000000002"/>
    <n v="3793"/>
  </r>
  <r>
    <x v="25"/>
    <x v="2"/>
    <s v="VIC"/>
    <s v="No agreement"/>
    <s v="More than 125% MBS Fee to 150% MBS Fee"/>
    <n v="1263603.08"/>
    <n v="682040.22"/>
    <n v="233172.08"/>
    <n v="5320"/>
  </r>
  <r>
    <x v="25"/>
    <x v="2"/>
    <s v="VIC"/>
    <s v="No agreement"/>
    <s v="More than 150% MBS Fee to 200% MBS Fee"/>
    <n v="2489143.35"/>
    <n v="1086413.6000000001"/>
    <n v="375881.47"/>
    <n v="10583"/>
  </r>
  <r>
    <x v="25"/>
    <x v="2"/>
    <s v="VIC"/>
    <s v="No agreement"/>
    <s v="More than 200% MBS Fee"/>
    <n v="15759015.390000001"/>
    <n v="3626148.3"/>
    <n v="1240236.8999999999"/>
    <n v="14055"/>
  </r>
  <r>
    <x v="25"/>
    <x v="2"/>
    <s v="VIC"/>
    <s v="Known gap agreement"/>
    <s v="100% MBS Fee to 125% MBS Fee"/>
    <n v="2389853.7799999998"/>
    <n v="1593816.16"/>
    <n v="676743.9"/>
    <n v="11189"/>
  </r>
  <r>
    <x v="25"/>
    <x v="2"/>
    <s v="VIC"/>
    <s v="Known gap agreement"/>
    <s v="More than 125% MBS Fee to 150% MBS Fee"/>
    <n v="4921371.18"/>
    <n v="2673682.0299999998"/>
    <n v="1887762.62"/>
    <n v="20400"/>
  </r>
  <r>
    <x v="25"/>
    <x v="2"/>
    <s v="VIC"/>
    <s v="Known gap agreement"/>
    <s v="More than 150% MBS Fee to 200% MBS Fee"/>
    <n v="11843785.77"/>
    <n v="5115016.83"/>
    <n v="4860087.72"/>
    <n v="25288"/>
  </r>
  <r>
    <x v="25"/>
    <x v="2"/>
    <s v="VIC"/>
    <s v="Known gap agreement"/>
    <s v="More than 200% MBS Fee"/>
    <n v="26751503.140000001"/>
    <n v="7251885.5"/>
    <n v="8372863.6600000001"/>
    <n v="99817"/>
  </r>
  <r>
    <x v="25"/>
    <x v="2"/>
    <s v="VIC"/>
    <s v="No gap agreement"/>
    <s v="Up to MBS Fee"/>
    <n v="19672876.920000002"/>
    <n v="14786016.800000001"/>
    <n v="4886901.8499999996"/>
    <n v="313431"/>
  </r>
  <r>
    <x v="25"/>
    <x v="2"/>
    <s v="VIC"/>
    <s v="No gap agreement"/>
    <s v="100% MBS Fee to 125% MBS Fee"/>
    <n v="37097993.369999997"/>
    <n v="23771858.059999999"/>
    <n v="13326022.029999999"/>
    <n v="318211"/>
  </r>
  <r>
    <x v="25"/>
    <x v="2"/>
    <s v="VIC"/>
    <s v="No gap agreement"/>
    <s v="More than 125% MBS Fee to 150% MBS Fee"/>
    <n v="93074267.659999996"/>
    <n v="51154717.869999997"/>
    <n v="41919756.509999998"/>
    <n v="658240"/>
  </r>
  <r>
    <x v="25"/>
    <x v="2"/>
    <s v="VIC"/>
    <s v="No gap agreement"/>
    <s v="More than 150% MBS Fee to 200% MBS Fee"/>
    <n v="70189078.140000001"/>
    <n v="31514108.870000001"/>
    <n v="38674877.799999997"/>
    <n v="377011"/>
  </r>
  <r>
    <x v="25"/>
    <x v="2"/>
    <s v="VIC"/>
    <s v="No gap agreement"/>
    <s v="More than 200% MBS Fee"/>
    <n v="2821444.92"/>
    <n v="763387.55"/>
    <n v="2058057.12"/>
    <n v="2086"/>
  </r>
  <r>
    <x v="25"/>
    <x v="2"/>
    <s v="QLD"/>
    <s v="No agreement"/>
    <s v="Up to MBS Fee"/>
    <n v="4428289.5599999996"/>
    <n v="3324816.29"/>
    <n v="1097730.97"/>
    <n v="57134"/>
  </r>
  <r>
    <x v="25"/>
    <x v="2"/>
    <s v="QLD"/>
    <s v="No agreement"/>
    <s v="100% MBS Fee to 125% MBS Fee"/>
    <n v="1145008.46"/>
    <n v="768453.65"/>
    <n v="261229.96"/>
    <n v="2802"/>
  </r>
  <r>
    <x v="25"/>
    <x v="2"/>
    <s v="QLD"/>
    <s v="No agreement"/>
    <s v="More than 125% MBS Fee to 150% MBS Fee"/>
    <n v="715378.21"/>
    <n v="388266.61"/>
    <n v="132251.45000000001"/>
    <n v="1880"/>
  </r>
  <r>
    <x v="25"/>
    <x v="2"/>
    <s v="QLD"/>
    <s v="No agreement"/>
    <s v="More than 150% MBS Fee to 200% MBS Fee"/>
    <n v="3244926.28"/>
    <n v="1399700.59"/>
    <n v="466595.58"/>
    <n v="19488"/>
  </r>
  <r>
    <x v="25"/>
    <x v="2"/>
    <s v="QLD"/>
    <s v="No agreement"/>
    <s v="More than 200% MBS Fee"/>
    <n v="25672161.109999999"/>
    <n v="5831971.3899999997"/>
    <n v="1961767.87"/>
    <n v="23191"/>
  </r>
  <r>
    <x v="25"/>
    <x v="2"/>
    <s v="QLD"/>
    <s v="Known gap agreement"/>
    <s v="100% MBS Fee to 125% MBS Fee"/>
    <n v="1434113.82"/>
    <n v="954608.65"/>
    <n v="422240.25"/>
    <n v="6467"/>
  </r>
  <r>
    <x v="25"/>
    <x v="2"/>
    <s v="QLD"/>
    <s v="Known gap agreement"/>
    <s v="More than 125% MBS Fee to 150% MBS Fee"/>
    <n v="2994747.06"/>
    <n v="1613648.35"/>
    <n v="1128837.6399999999"/>
    <n v="15290"/>
  </r>
  <r>
    <x v="25"/>
    <x v="2"/>
    <s v="QLD"/>
    <s v="Known gap agreement"/>
    <s v="More than 150% MBS Fee to 200% MBS Fee"/>
    <n v="13690086.289999999"/>
    <n v="5789572.6699999999"/>
    <n v="5811664.25"/>
    <n v="18473"/>
  </r>
  <r>
    <x v="25"/>
    <x v="2"/>
    <s v="QLD"/>
    <s v="Known gap agreement"/>
    <s v="More than 200% MBS Fee"/>
    <n v="25406399.449999999"/>
    <n v="6711367.7999999998"/>
    <n v="7571854.3600000003"/>
    <n v="62369"/>
  </r>
  <r>
    <x v="25"/>
    <x v="2"/>
    <s v="QLD"/>
    <s v="No gap agreement"/>
    <s v="Up to MBS Fee"/>
    <n v="17902492.640000001"/>
    <n v="13435484.960000001"/>
    <n v="4467004.96"/>
    <n v="275035"/>
  </r>
  <r>
    <x v="25"/>
    <x v="2"/>
    <s v="QLD"/>
    <s v="No gap agreement"/>
    <s v="100% MBS Fee to 125% MBS Fee"/>
    <n v="41057086.490000002"/>
    <n v="26233886.27"/>
    <n v="14822956.960000001"/>
    <n v="393764"/>
  </r>
  <r>
    <x v="25"/>
    <x v="2"/>
    <s v="QLD"/>
    <s v="No gap agreement"/>
    <s v="More than 125% MBS Fee to 150% MBS Fee"/>
    <n v="65297472.789999999"/>
    <n v="36023538.189999998"/>
    <n v="29273796.16"/>
    <n v="549131"/>
  </r>
  <r>
    <x v="25"/>
    <x v="2"/>
    <s v="QLD"/>
    <s v="No gap agreement"/>
    <s v="More than 150% MBS Fee to 200% MBS Fee"/>
    <n v="57773034.890000001"/>
    <n v="26276391.850000001"/>
    <n v="31495983.460000001"/>
    <n v="375855"/>
  </r>
  <r>
    <x v="25"/>
    <x v="2"/>
    <s v="QLD"/>
    <s v="No gap agreement"/>
    <s v="More than 200% MBS Fee"/>
    <n v="4477892.58"/>
    <n v="1248836.9099999999"/>
    <n v="3229055.63"/>
    <n v="5294"/>
  </r>
  <r>
    <x v="25"/>
    <x v="2"/>
    <s v="SA"/>
    <s v="No agreement"/>
    <s v="Up to MBS Fee"/>
    <n v="1361884.93"/>
    <n v="1025257.4"/>
    <n v="336562.58"/>
    <n v="10122"/>
  </r>
  <r>
    <x v="25"/>
    <x v="2"/>
    <s v="SA"/>
    <s v="No agreement"/>
    <s v="100% MBS Fee to 125% MBS Fee"/>
    <n v="258504.52"/>
    <n v="172372.32"/>
    <n v="55386.19"/>
    <n v="-143"/>
  </r>
  <r>
    <x v="25"/>
    <x v="2"/>
    <s v="SA"/>
    <s v="No agreement"/>
    <s v="More than 125% MBS Fee to 150% MBS Fee"/>
    <n v="131917.82999999999"/>
    <n v="71842.86"/>
    <n v="25995.1"/>
    <n v="254"/>
  </r>
  <r>
    <x v="25"/>
    <x v="2"/>
    <s v="SA"/>
    <s v="No agreement"/>
    <s v="More than 150% MBS Fee to 200% MBS Fee"/>
    <n v="187352.14"/>
    <n v="80895.5"/>
    <n v="27596.2"/>
    <n v="512"/>
  </r>
  <r>
    <x v="25"/>
    <x v="2"/>
    <s v="SA"/>
    <s v="No agreement"/>
    <s v="More than 200% MBS Fee"/>
    <n v="1273510.06"/>
    <n v="274981.81"/>
    <n v="95327.8"/>
    <n v="1257"/>
  </r>
  <r>
    <x v="25"/>
    <x v="2"/>
    <s v="SA"/>
    <s v="Known gap agreement"/>
    <s v="100% MBS Fee to 125% MBS Fee"/>
    <n v="378800"/>
    <n v="241110.28"/>
    <n v="109416.83"/>
    <n v="2070"/>
  </r>
  <r>
    <x v="25"/>
    <x v="2"/>
    <s v="SA"/>
    <s v="Known gap agreement"/>
    <s v="More than 125% MBS Fee to 150% MBS Fee"/>
    <n v="996947.61"/>
    <n v="536460.65"/>
    <n v="406866.38"/>
    <n v="4396"/>
  </r>
  <r>
    <x v="25"/>
    <x v="2"/>
    <s v="SA"/>
    <s v="Known gap agreement"/>
    <s v="More than 150% MBS Fee to 200% MBS Fee"/>
    <n v="6132261.7400000002"/>
    <n v="2573698.42"/>
    <n v="2720393.91"/>
    <n v="9174"/>
  </r>
  <r>
    <x v="25"/>
    <x v="2"/>
    <s v="SA"/>
    <s v="Known gap agreement"/>
    <s v="More than 200% MBS Fee"/>
    <n v="7181060.3899999997"/>
    <n v="2066935"/>
    <n v="2538315.7400000002"/>
    <n v="25139"/>
  </r>
  <r>
    <x v="25"/>
    <x v="2"/>
    <s v="SA"/>
    <s v="No gap agreement"/>
    <s v="Up to MBS Fee"/>
    <n v="7242260.4500000002"/>
    <n v="5437535.3200000003"/>
    <n v="1804721.53"/>
    <n v="159297"/>
  </r>
  <r>
    <x v="25"/>
    <x v="2"/>
    <s v="SA"/>
    <s v="No gap agreement"/>
    <s v="100% MBS Fee to 125% MBS Fee"/>
    <n v="8199056.0099999998"/>
    <n v="5146455.45"/>
    <n v="3052574.86"/>
    <n v="73999"/>
  </r>
  <r>
    <x v="25"/>
    <x v="2"/>
    <s v="SA"/>
    <s v="No gap agreement"/>
    <s v="More than 125% MBS Fee to 150% MBS Fee"/>
    <n v="25891816.93"/>
    <n v="14099662.17"/>
    <n v="11792140.630000001"/>
    <n v="206954"/>
  </r>
  <r>
    <x v="25"/>
    <x v="2"/>
    <s v="SA"/>
    <s v="No gap agreement"/>
    <s v="More than 150% MBS Fee to 200% MBS Fee"/>
    <n v="31901661.57"/>
    <n v="14199198.16"/>
    <n v="17702451.460000001"/>
    <n v="122019"/>
  </r>
  <r>
    <x v="25"/>
    <x v="2"/>
    <s v="SA"/>
    <s v="No gap agreement"/>
    <s v="More than 200% MBS Fee"/>
    <n v="1012598.18"/>
    <n v="256887.1"/>
    <n v="755711.08"/>
    <n v="724"/>
  </r>
  <r>
    <x v="25"/>
    <x v="2"/>
    <s v="WA"/>
    <s v="No agreement"/>
    <s v="Up to MBS Fee"/>
    <n v="1669063.49"/>
    <n v="1260492.27"/>
    <n v="408285.24"/>
    <n v="31746"/>
  </r>
  <r>
    <x v="25"/>
    <x v="2"/>
    <s v="WA"/>
    <s v="No agreement"/>
    <s v="100% MBS Fee to 125% MBS Fee"/>
    <n v="222916.78"/>
    <n v="147808.35"/>
    <n v="47644.800000000003"/>
    <n v="637"/>
  </r>
  <r>
    <x v="25"/>
    <x v="2"/>
    <s v="WA"/>
    <s v="No agreement"/>
    <s v="More than 125% MBS Fee to 150% MBS Fee"/>
    <n v="314511.21000000002"/>
    <n v="171365.13"/>
    <n v="57026.87"/>
    <n v="743"/>
  </r>
  <r>
    <x v="25"/>
    <x v="2"/>
    <s v="WA"/>
    <s v="No agreement"/>
    <s v="More than 150% MBS Fee to 200% MBS Fee"/>
    <n v="1404950.91"/>
    <n v="610528.84"/>
    <n v="204325.32"/>
    <n v="12028"/>
  </r>
  <r>
    <x v="25"/>
    <x v="2"/>
    <s v="WA"/>
    <s v="No agreement"/>
    <s v="More than 200% MBS Fee"/>
    <n v="4495363.76"/>
    <n v="985327.64"/>
    <n v="339942.79"/>
    <n v="5584"/>
  </r>
  <r>
    <x v="25"/>
    <x v="2"/>
    <s v="WA"/>
    <s v="Known gap agreement"/>
    <s v="100% MBS Fee to 125% MBS Fee"/>
    <n v="882523.71"/>
    <n v="567345.73"/>
    <n v="267903.09999999998"/>
    <n v="4242"/>
  </r>
  <r>
    <x v="25"/>
    <x v="2"/>
    <s v="WA"/>
    <s v="Known gap agreement"/>
    <s v="More than 125% MBS Fee to 150% MBS Fee"/>
    <n v="2424819.4700000002"/>
    <n v="1286477.21"/>
    <n v="963516.45"/>
    <n v="20152"/>
  </r>
  <r>
    <x v="25"/>
    <x v="2"/>
    <s v="WA"/>
    <s v="Known gap agreement"/>
    <s v="More than 150% MBS Fee to 200% MBS Fee"/>
    <n v="6478288.6900000004"/>
    <n v="2846448.3"/>
    <n v="2593961.7799999998"/>
    <n v="13188"/>
  </r>
  <r>
    <x v="25"/>
    <x v="2"/>
    <s v="WA"/>
    <s v="Known gap agreement"/>
    <s v="More than 200% MBS Fee"/>
    <n v="11185706.91"/>
    <n v="2828501.29"/>
    <n v="2059281.8"/>
    <n v="29770"/>
  </r>
  <r>
    <x v="25"/>
    <x v="2"/>
    <s v="WA"/>
    <s v="No gap agreement"/>
    <s v="Up to MBS Fee"/>
    <n v="9255915.8100000005"/>
    <n v="6950835.1500000004"/>
    <n v="2304948.31"/>
    <n v="143544"/>
  </r>
  <r>
    <x v="25"/>
    <x v="2"/>
    <s v="WA"/>
    <s v="No gap agreement"/>
    <s v="100% MBS Fee to 125% MBS Fee"/>
    <n v="8064492.7000000002"/>
    <n v="5223123.47"/>
    <n v="2841361.58"/>
    <n v="62604"/>
  </r>
  <r>
    <x v="25"/>
    <x v="2"/>
    <s v="WA"/>
    <s v="No gap agreement"/>
    <s v="More than 125% MBS Fee to 150% MBS Fee"/>
    <n v="35768491.009999998"/>
    <n v="19808722.440000001"/>
    <n v="15959765.27"/>
    <n v="256417"/>
  </r>
  <r>
    <x v="25"/>
    <x v="2"/>
    <s v="WA"/>
    <s v="No gap agreement"/>
    <s v="More than 150% MBS Fee to 200% MBS Fee"/>
    <n v="38931979.810000002"/>
    <n v="17345839.699999999"/>
    <n v="21586138.460000001"/>
    <n v="168674"/>
  </r>
  <r>
    <x v="25"/>
    <x v="2"/>
    <s v="WA"/>
    <s v="No gap agreement"/>
    <s v="More than 200% MBS Fee"/>
    <n v="2245465.69"/>
    <n v="584908.82999999996"/>
    <n v="1660556.86"/>
    <n v="1802"/>
  </r>
  <r>
    <x v="25"/>
    <x v="2"/>
    <s v="TAS"/>
    <s v="No agreement"/>
    <s v="Up to MBS Fee"/>
    <n v="317399.38"/>
    <n v="238930.43"/>
    <n v="78080.45"/>
    <n v="2010"/>
  </r>
  <r>
    <x v="25"/>
    <x v="2"/>
    <s v="TAS"/>
    <s v="No agreement"/>
    <s v="100% MBS Fee to 125% MBS Fee"/>
    <n v="93521.29"/>
    <n v="64291.65"/>
    <n v="21134.73"/>
    <n v="278"/>
  </r>
  <r>
    <x v="25"/>
    <x v="2"/>
    <s v="TAS"/>
    <s v="No agreement"/>
    <s v="More than 125% MBS Fee to 150% MBS Fee"/>
    <n v="58379.3"/>
    <n v="31858.959999999999"/>
    <n v="10624.36"/>
    <n v="216"/>
  </r>
  <r>
    <x v="25"/>
    <x v="2"/>
    <s v="TAS"/>
    <s v="No agreement"/>
    <s v="More than 150% MBS Fee to 200% MBS Fee"/>
    <n v="125052.05"/>
    <n v="54518.85"/>
    <n v="18096.63"/>
    <n v="416"/>
  </r>
  <r>
    <x v="25"/>
    <x v="2"/>
    <s v="TAS"/>
    <s v="No agreement"/>
    <s v="More than 200% MBS Fee"/>
    <n v="1165510.43"/>
    <n v="260469.35"/>
    <n v="86802.12"/>
    <n v="879"/>
  </r>
  <r>
    <x v="25"/>
    <x v="2"/>
    <s v="TAS"/>
    <s v="Known gap agreement"/>
    <s v="100% MBS Fee to 125% MBS Fee"/>
    <n v="223844.61"/>
    <n v="145120.53"/>
    <n v="64795.1"/>
    <n v="1175"/>
  </r>
  <r>
    <x v="25"/>
    <x v="2"/>
    <s v="TAS"/>
    <s v="Known gap agreement"/>
    <s v="More than 125% MBS Fee to 150% MBS Fee"/>
    <n v="364308.95"/>
    <n v="198596.68"/>
    <n v="152900.79"/>
    <n v="1437"/>
  </r>
  <r>
    <x v="25"/>
    <x v="2"/>
    <s v="TAS"/>
    <s v="Known gap agreement"/>
    <s v="More than 150% MBS Fee to 200% MBS Fee"/>
    <n v="1474039.25"/>
    <n v="623327.61"/>
    <n v="658169.30000000005"/>
    <n v="2226"/>
  </r>
  <r>
    <x v="25"/>
    <x v="2"/>
    <s v="TAS"/>
    <s v="Known gap agreement"/>
    <s v="More than 200% MBS Fee"/>
    <n v="2061094.13"/>
    <n v="547351.56000000006"/>
    <n v="639896.42000000004"/>
    <n v="4758"/>
  </r>
  <r>
    <x v="25"/>
    <x v="2"/>
    <s v="TAS"/>
    <s v="No gap agreement"/>
    <s v="Up to MBS Fee"/>
    <n v="2025838.53"/>
    <n v="1520018.26"/>
    <n v="505820.27"/>
    <n v="36644"/>
  </r>
  <r>
    <x v="25"/>
    <x v="2"/>
    <s v="TAS"/>
    <s v="No gap agreement"/>
    <s v="100% MBS Fee to 125% MBS Fee"/>
    <n v="2689302.27"/>
    <n v="1696621.69"/>
    <n v="992942.02"/>
    <n v="19813"/>
  </r>
  <r>
    <x v="25"/>
    <x v="2"/>
    <s v="TAS"/>
    <s v="No gap agreement"/>
    <s v="More than 125% MBS Fee to 150% MBS Fee"/>
    <n v="7437725.8099999996"/>
    <n v="4057041.37"/>
    <n v="3380682.86"/>
    <n v="47931"/>
  </r>
  <r>
    <x v="25"/>
    <x v="2"/>
    <s v="TAS"/>
    <s v="No gap agreement"/>
    <s v="More than 150% MBS Fee to 200% MBS Fee"/>
    <n v="8858789.8599999994"/>
    <n v="4042606.19"/>
    <n v="4816182.62"/>
    <n v="41452"/>
  </r>
  <r>
    <x v="25"/>
    <x v="2"/>
    <s v="TAS"/>
    <s v="No gap agreement"/>
    <s v="More than 200% MBS Fee"/>
    <n v="378072.98"/>
    <n v="103929.92"/>
    <n v="274143.06"/>
    <n v="246"/>
  </r>
  <r>
    <x v="25"/>
    <x v="2"/>
    <s v="ACT"/>
    <s v="No agreement"/>
    <s v="Up to MBS Fee"/>
    <n v="673797.31"/>
    <n v="505574.1"/>
    <n v="167634.4"/>
    <n v="5329"/>
  </r>
  <r>
    <x v="25"/>
    <x v="2"/>
    <s v="ACT"/>
    <s v="No agreement"/>
    <s v="100% MBS Fee to 125% MBS Fee"/>
    <n v="99643.28"/>
    <n v="68842.37"/>
    <n v="23148.65"/>
    <n v="270"/>
  </r>
  <r>
    <x v="25"/>
    <x v="2"/>
    <s v="ACT"/>
    <s v="No agreement"/>
    <s v="More than 125% MBS Fee to 150% MBS Fee"/>
    <n v="145028.24"/>
    <n v="78271.66"/>
    <n v="26085.599999999999"/>
    <n v="203"/>
  </r>
  <r>
    <x v="25"/>
    <x v="2"/>
    <s v="ACT"/>
    <s v="No agreement"/>
    <s v="More than 150% MBS Fee to 200% MBS Fee"/>
    <n v="345938.25"/>
    <n v="146210.07999999999"/>
    <n v="48855.07"/>
    <n v="1650"/>
  </r>
  <r>
    <x v="25"/>
    <x v="2"/>
    <s v="ACT"/>
    <s v="No agreement"/>
    <s v="More than 200% MBS Fee"/>
    <n v="4873115.0599999996"/>
    <n v="1041575.58"/>
    <n v="347123.75"/>
    <n v="4283"/>
  </r>
  <r>
    <x v="25"/>
    <x v="2"/>
    <s v="ACT"/>
    <s v="Known gap agreement"/>
    <s v="100% MBS Fee to 125% MBS Fee"/>
    <n v="63482.33"/>
    <n v="40627.46"/>
    <n v="19733.509999999998"/>
    <n v="300"/>
  </r>
  <r>
    <x v="25"/>
    <x v="2"/>
    <s v="ACT"/>
    <s v="Known gap agreement"/>
    <s v="More than 125% MBS Fee to 150% MBS Fee"/>
    <n v="175021.73"/>
    <n v="95092.77"/>
    <n v="70986.11"/>
    <n v="886"/>
  </r>
  <r>
    <x v="25"/>
    <x v="2"/>
    <s v="ACT"/>
    <s v="Known gap agreement"/>
    <s v="More than 150% MBS Fee to 200% MBS Fee"/>
    <n v="419154.26"/>
    <n v="177838.09"/>
    <n v="185569.32"/>
    <n v="986"/>
  </r>
  <r>
    <x v="25"/>
    <x v="2"/>
    <s v="ACT"/>
    <s v="Known gap agreement"/>
    <s v="More than 200% MBS Fee"/>
    <n v="2912424.38"/>
    <n v="771783.42"/>
    <n v="827891.23"/>
    <n v="9711"/>
  </r>
  <r>
    <x v="25"/>
    <x v="2"/>
    <s v="ACT"/>
    <s v="No gap agreement"/>
    <s v="Up to MBS Fee"/>
    <n v="438038.83"/>
    <n v="329138.18"/>
    <n v="108900.65"/>
    <n v="11699"/>
  </r>
  <r>
    <x v="25"/>
    <x v="2"/>
    <s v="ACT"/>
    <s v="No gap agreement"/>
    <s v="100% MBS Fee to 125% MBS Fee"/>
    <n v="1595175.26"/>
    <n v="1014615.73"/>
    <n v="580555.32999999996"/>
    <n v="15455"/>
  </r>
  <r>
    <x v="25"/>
    <x v="2"/>
    <s v="ACT"/>
    <s v="No gap agreement"/>
    <s v="More than 125% MBS Fee to 150% MBS Fee"/>
    <n v="3237995.06"/>
    <n v="1787503.19"/>
    <n v="1450486.2"/>
    <n v="26334"/>
  </r>
  <r>
    <x v="25"/>
    <x v="2"/>
    <s v="ACT"/>
    <s v="No gap agreement"/>
    <s v="More than 150% MBS Fee to 200% MBS Fee"/>
    <n v="2435730.46"/>
    <n v="1114113.45"/>
    <n v="1321593.82"/>
    <n v="13413"/>
  </r>
  <r>
    <x v="25"/>
    <x v="2"/>
    <s v="ACT"/>
    <s v="No gap agreement"/>
    <s v="More than 200% MBS Fee"/>
    <n v="201486.4"/>
    <n v="55324.9"/>
    <n v="146161.5"/>
    <n v="251"/>
  </r>
  <r>
    <x v="25"/>
    <x v="2"/>
    <s v="NT"/>
    <s v="No agreement"/>
    <s v="Up to MBS Fee"/>
    <n v="218632.55"/>
    <n v="163977.26999999999"/>
    <n v="54655.15"/>
    <n v="840"/>
  </r>
  <r>
    <x v="25"/>
    <x v="2"/>
    <s v="NT"/>
    <s v="No agreement"/>
    <s v="100% MBS Fee to 125% MBS Fee"/>
    <n v="21714.799999999999"/>
    <n v="14612.07"/>
    <n v="4870.55"/>
    <n v="39"/>
  </r>
  <r>
    <x v="25"/>
    <x v="2"/>
    <s v="NT"/>
    <s v="No agreement"/>
    <s v="More than 125% MBS Fee to 150% MBS Fee"/>
    <n v="12458.6"/>
    <n v="6539.4"/>
    <n v="2179.1"/>
    <n v="33"/>
  </r>
  <r>
    <x v="25"/>
    <x v="2"/>
    <s v="NT"/>
    <s v="No agreement"/>
    <s v="More than 150% MBS Fee to 200% MBS Fee"/>
    <n v="46351.18"/>
    <n v="19572.53"/>
    <n v="6888"/>
    <n v="146"/>
  </r>
  <r>
    <x v="25"/>
    <x v="2"/>
    <s v="NT"/>
    <s v="No agreement"/>
    <s v="More than 200% MBS Fee"/>
    <n v="554696.11"/>
    <n v="127356.44"/>
    <n v="44175.61"/>
    <n v="391"/>
  </r>
  <r>
    <x v="25"/>
    <x v="2"/>
    <s v="NT"/>
    <s v="Known gap agreement"/>
    <s v="100% MBS Fee to 125% MBS Fee"/>
    <n v="31414.82"/>
    <n v="20699.89"/>
    <n v="8487.0300000000007"/>
    <n v="130"/>
  </r>
  <r>
    <x v="25"/>
    <x v="2"/>
    <s v="NT"/>
    <s v="Known gap agreement"/>
    <s v="More than 125% MBS Fee to 150% MBS Fee"/>
    <n v="38268.18"/>
    <n v="20995.56"/>
    <n v="15394.41"/>
    <n v="224"/>
  </r>
  <r>
    <x v="25"/>
    <x v="2"/>
    <s v="NT"/>
    <s v="Known gap agreement"/>
    <s v="More than 150% MBS Fee to 200% MBS Fee"/>
    <n v="136047.73000000001"/>
    <n v="59926.9"/>
    <n v="56252.49"/>
    <n v="246"/>
  </r>
  <r>
    <x v="25"/>
    <x v="2"/>
    <s v="NT"/>
    <s v="Known gap agreement"/>
    <s v="More than 200% MBS Fee"/>
    <n v="243884.11"/>
    <n v="68795.64"/>
    <n v="78121.03"/>
    <n v="894"/>
  </r>
  <r>
    <x v="25"/>
    <x v="2"/>
    <s v="NT"/>
    <s v="No gap agreement"/>
    <s v="Up to MBS Fee"/>
    <n v="578844.25"/>
    <n v="434238.59"/>
    <n v="144605.66"/>
    <n v="6952"/>
  </r>
  <r>
    <x v="25"/>
    <x v="2"/>
    <s v="NT"/>
    <s v="No gap agreement"/>
    <s v="100% MBS Fee to 125% MBS Fee"/>
    <n v="384067.63"/>
    <n v="242426.7"/>
    <n v="141640.92000000001"/>
    <n v="2728"/>
  </r>
  <r>
    <x v="25"/>
    <x v="2"/>
    <s v="NT"/>
    <s v="No gap agreement"/>
    <s v="More than 125% MBS Fee to 150% MBS Fee"/>
    <n v="933890.37"/>
    <n v="506577.05"/>
    <n v="427307.72"/>
    <n v="4548"/>
  </r>
  <r>
    <x v="25"/>
    <x v="2"/>
    <s v="NT"/>
    <s v="No gap agreement"/>
    <s v="More than 150% MBS Fee to 200% MBS Fee"/>
    <n v="1492944.84"/>
    <n v="681846.35"/>
    <n v="811085.85"/>
    <n v="7057"/>
  </r>
  <r>
    <x v="25"/>
    <x v="2"/>
    <s v="NT"/>
    <s v="No gap agreement"/>
    <s v="More than 200% MBS Fee"/>
    <n v="35489.35"/>
    <n v="11376.95"/>
    <n v="24112.400000000001"/>
    <n v="47"/>
  </r>
  <r>
    <x v="25"/>
    <x v="3"/>
    <s v="NSW"/>
    <s v="No agreement"/>
    <s v="Up to MBS Fee"/>
    <n v="31006376.420000002"/>
    <n v="23283549.649999999"/>
    <n v="7723265.8600000003"/>
    <n v="292140"/>
  </r>
  <r>
    <x v="25"/>
    <x v="3"/>
    <s v="NSW"/>
    <s v="No agreement"/>
    <s v="100% MBS Fee to 125% MBS Fee"/>
    <n v="2551545.7400000002"/>
    <n v="1724086.66"/>
    <n v="597200.69999999995"/>
    <n v="9373"/>
  </r>
  <r>
    <x v="25"/>
    <x v="3"/>
    <s v="NSW"/>
    <s v="No agreement"/>
    <s v="More than 125% MBS Fee to 150% MBS Fee"/>
    <n v="1862517.86"/>
    <n v="1013312.28"/>
    <n v="393297.83"/>
    <n v="5419"/>
  </r>
  <r>
    <x v="25"/>
    <x v="3"/>
    <s v="NSW"/>
    <s v="No agreement"/>
    <s v="More than 150% MBS Fee to 200% MBS Fee"/>
    <n v="5126885.13"/>
    <n v="2200162.0699999998"/>
    <n v="743361.25"/>
    <n v="17471"/>
  </r>
  <r>
    <x v="25"/>
    <x v="3"/>
    <s v="NSW"/>
    <s v="No agreement"/>
    <s v="More than 200% MBS Fee"/>
    <n v="69998823.989999995"/>
    <n v="15132988.74"/>
    <n v="5076031.09"/>
    <n v="63788"/>
  </r>
  <r>
    <x v="25"/>
    <x v="3"/>
    <s v="NSW"/>
    <s v="Known gap agreement"/>
    <s v="100% MBS Fee to 125% MBS Fee"/>
    <n v="2834023.65"/>
    <n v="1853109.57"/>
    <n v="858733.18"/>
    <n v="12642"/>
  </r>
  <r>
    <x v="25"/>
    <x v="3"/>
    <s v="NSW"/>
    <s v="Known gap agreement"/>
    <s v="More than 125% MBS Fee to 150% MBS Fee"/>
    <n v="5139905.9800000004"/>
    <n v="2775261.55"/>
    <n v="2110124.84"/>
    <n v="25259"/>
  </r>
  <r>
    <x v="25"/>
    <x v="3"/>
    <s v="NSW"/>
    <s v="Known gap agreement"/>
    <s v="More than 150% MBS Fee to 200% MBS Fee"/>
    <n v="16193338.92"/>
    <n v="6967947.3600000003"/>
    <n v="7037583.04"/>
    <n v="30064"/>
  </r>
  <r>
    <x v="25"/>
    <x v="3"/>
    <s v="NSW"/>
    <s v="Known gap agreement"/>
    <s v="More than 200% MBS Fee"/>
    <n v="41059844.270000003"/>
    <n v="10779611.109999999"/>
    <n v="12424716.279999999"/>
    <n v="135985"/>
  </r>
  <r>
    <x v="25"/>
    <x v="3"/>
    <s v="NSW"/>
    <s v="No gap agreement"/>
    <s v="Up to MBS Fee"/>
    <n v="33919659.57"/>
    <n v="25465851.43"/>
    <n v="8454050.1300000008"/>
    <n v="1046388"/>
  </r>
  <r>
    <x v="25"/>
    <x v="3"/>
    <s v="NSW"/>
    <s v="No gap agreement"/>
    <s v="100% MBS Fee to 125% MBS Fee"/>
    <n v="51629784.850000001"/>
    <n v="32784561.559999999"/>
    <n v="18845159.640000001"/>
    <n v="441970"/>
  </r>
  <r>
    <x v="25"/>
    <x v="3"/>
    <s v="NSW"/>
    <s v="No gap agreement"/>
    <s v="More than 125% MBS Fee to 150% MBS Fee"/>
    <n v="96099708.510000005"/>
    <n v="52444946.359999999"/>
    <n v="43654709.439999998"/>
    <n v="576178"/>
  </r>
  <r>
    <x v="25"/>
    <x v="3"/>
    <s v="NSW"/>
    <s v="No gap agreement"/>
    <s v="More than 150% MBS Fee to 200% MBS Fee"/>
    <n v="103384177.36"/>
    <n v="47177218.590000004"/>
    <n v="56206868.710000001"/>
    <n v="578258"/>
  </r>
  <r>
    <x v="25"/>
    <x v="3"/>
    <s v="NSW"/>
    <s v="No gap agreement"/>
    <s v="More than 200% MBS Fee"/>
    <n v="6030778.96"/>
    <n v="1701670.03"/>
    <n v="4329108.93"/>
    <n v="6792"/>
  </r>
  <r>
    <x v="25"/>
    <x v="3"/>
    <s v="VIC"/>
    <s v="No agreement"/>
    <s v="Up to MBS Fee"/>
    <n v="8354804.7199999997"/>
    <n v="6278335.2199999997"/>
    <n v="2075561.51"/>
    <n v="149987"/>
  </r>
  <r>
    <x v="25"/>
    <x v="3"/>
    <s v="VIC"/>
    <s v="No agreement"/>
    <s v="100% MBS Fee to 125% MBS Fee"/>
    <n v="1899899.08"/>
    <n v="1231378.47"/>
    <n v="416637.84"/>
    <n v="5943"/>
  </r>
  <r>
    <x v="25"/>
    <x v="3"/>
    <s v="VIC"/>
    <s v="No agreement"/>
    <s v="More than 125% MBS Fee to 150% MBS Fee"/>
    <n v="1279308.82"/>
    <n v="694786.88"/>
    <n v="237408.55"/>
    <n v="6337"/>
  </r>
  <r>
    <x v="25"/>
    <x v="3"/>
    <s v="VIC"/>
    <s v="No agreement"/>
    <s v="More than 150% MBS Fee to 200% MBS Fee"/>
    <n v="3748481.75"/>
    <n v="1613926.41"/>
    <n v="553459.23"/>
    <n v="15540"/>
  </r>
  <r>
    <x v="25"/>
    <x v="3"/>
    <s v="VIC"/>
    <s v="No agreement"/>
    <s v="More than 200% MBS Fee"/>
    <n v="23548677.5"/>
    <n v="5372358.4100000001"/>
    <n v="1833876.81"/>
    <n v="21300"/>
  </r>
  <r>
    <x v="25"/>
    <x v="3"/>
    <s v="VIC"/>
    <s v="Known gap agreement"/>
    <s v="100% MBS Fee to 125% MBS Fee"/>
    <n v="2809016.65"/>
    <n v="1875612.14"/>
    <n v="790707.09"/>
    <n v="12637"/>
  </r>
  <r>
    <x v="25"/>
    <x v="3"/>
    <s v="VIC"/>
    <s v="Known gap agreement"/>
    <s v="More than 125% MBS Fee to 150% MBS Fee"/>
    <n v="5964307.4900000002"/>
    <n v="3229671.09"/>
    <n v="2281496.59"/>
    <n v="23664"/>
  </r>
  <r>
    <x v="25"/>
    <x v="3"/>
    <s v="VIC"/>
    <s v="Known gap agreement"/>
    <s v="More than 150% MBS Fee to 200% MBS Fee"/>
    <n v="15917543.26"/>
    <n v="6833494.5700000003"/>
    <n v="6504302.7800000003"/>
    <n v="33378"/>
  </r>
  <r>
    <x v="25"/>
    <x v="3"/>
    <s v="VIC"/>
    <s v="Known gap agreement"/>
    <s v="More than 200% MBS Fee"/>
    <n v="38875644.07"/>
    <n v="10493931.449999999"/>
    <n v="12133610.880000001"/>
    <n v="144807"/>
  </r>
  <r>
    <x v="25"/>
    <x v="3"/>
    <s v="VIC"/>
    <s v="No gap agreement"/>
    <s v="Up to MBS Fee"/>
    <n v="21996413.039999999"/>
    <n v="16524946.869999999"/>
    <n v="5471585.1200000001"/>
    <n v="364277"/>
  </r>
  <r>
    <x v="25"/>
    <x v="3"/>
    <s v="VIC"/>
    <s v="No gap agreement"/>
    <s v="100% MBS Fee to 125% MBS Fee"/>
    <n v="43239011.719999999"/>
    <n v="27727917.530000001"/>
    <n v="15510983.359999999"/>
    <n v="361112"/>
  </r>
  <r>
    <x v="25"/>
    <x v="3"/>
    <s v="VIC"/>
    <s v="No gap agreement"/>
    <s v="More than 125% MBS Fee to 150% MBS Fee"/>
    <n v="115862843.40000001"/>
    <n v="63625595.289999999"/>
    <n v="52237165.240000002"/>
    <n v="795319"/>
  </r>
  <r>
    <x v="25"/>
    <x v="3"/>
    <s v="VIC"/>
    <s v="No gap agreement"/>
    <s v="More than 150% MBS Fee to 200% MBS Fee"/>
    <n v="91065794.480000004"/>
    <n v="40855313.100000001"/>
    <n v="50210396.520000003"/>
    <n v="494223"/>
  </r>
  <r>
    <x v="25"/>
    <x v="3"/>
    <s v="VIC"/>
    <s v="No gap agreement"/>
    <s v="More than 200% MBS Fee"/>
    <n v="3379826.8"/>
    <n v="914216.03"/>
    <n v="2465610.77"/>
    <n v="2791"/>
  </r>
  <r>
    <x v="25"/>
    <x v="3"/>
    <s v="QLD"/>
    <s v="No agreement"/>
    <s v="Up to MBS Fee"/>
    <n v="5230505.82"/>
    <n v="3917480.93"/>
    <n v="1289648.44"/>
    <n v="67376"/>
  </r>
  <r>
    <x v="25"/>
    <x v="3"/>
    <s v="QLD"/>
    <s v="No agreement"/>
    <s v="100% MBS Fee to 125% MBS Fee"/>
    <n v="1252483.54"/>
    <n v="833230.23"/>
    <n v="296956.15000000002"/>
    <n v="3075"/>
  </r>
  <r>
    <x v="25"/>
    <x v="3"/>
    <s v="QLD"/>
    <s v="No agreement"/>
    <s v="More than 125% MBS Fee to 150% MBS Fee"/>
    <n v="928586.14"/>
    <n v="502534.76"/>
    <n v="173791.16"/>
    <n v="2244"/>
  </r>
  <r>
    <x v="25"/>
    <x v="3"/>
    <s v="QLD"/>
    <s v="No agreement"/>
    <s v="More than 150% MBS Fee to 200% MBS Fee"/>
    <n v="4036112.38"/>
    <n v="1736978.15"/>
    <n v="584701.99"/>
    <n v="25333"/>
  </r>
  <r>
    <x v="25"/>
    <x v="3"/>
    <s v="QLD"/>
    <s v="No agreement"/>
    <s v="More than 200% MBS Fee"/>
    <n v="33622097.399999999"/>
    <n v="7576942.7400000002"/>
    <n v="2535248"/>
    <n v="31394"/>
  </r>
  <r>
    <x v="25"/>
    <x v="3"/>
    <s v="QLD"/>
    <s v="Known gap agreement"/>
    <s v="100% MBS Fee to 125% MBS Fee"/>
    <n v="1531854"/>
    <n v="1015754.61"/>
    <n v="445183.63"/>
    <n v="7108"/>
  </r>
  <r>
    <x v="25"/>
    <x v="3"/>
    <s v="QLD"/>
    <s v="Known gap agreement"/>
    <s v="More than 125% MBS Fee to 150% MBS Fee"/>
    <n v="3307967.68"/>
    <n v="1785095.03"/>
    <n v="1246229.3799999999"/>
    <n v="17011"/>
  </r>
  <r>
    <x v="25"/>
    <x v="3"/>
    <s v="QLD"/>
    <s v="Known gap agreement"/>
    <s v="More than 150% MBS Fee to 200% MBS Fee"/>
    <n v="16123314.01"/>
    <n v="6807856.6200000001"/>
    <n v="6782204.4199999999"/>
    <n v="22214"/>
  </r>
  <r>
    <x v="25"/>
    <x v="3"/>
    <s v="QLD"/>
    <s v="Known gap agreement"/>
    <s v="More than 200% MBS Fee"/>
    <n v="32634068.050000001"/>
    <n v="8492963.7899999991"/>
    <n v="9552658.8300000001"/>
    <n v="81057"/>
  </r>
  <r>
    <x v="25"/>
    <x v="3"/>
    <s v="QLD"/>
    <s v="No gap agreement"/>
    <s v="Up to MBS Fee"/>
    <n v="18608977.629999999"/>
    <n v="13966018.4"/>
    <n v="4642956.76"/>
    <n v="326099"/>
  </r>
  <r>
    <x v="25"/>
    <x v="3"/>
    <s v="QLD"/>
    <s v="No gap agreement"/>
    <s v="100% MBS Fee to 125% MBS Fee"/>
    <n v="45368758.899999999"/>
    <n v="28983429.539999999"/>
    <n v="16385082.75"/>
    <n v="429843"/>
  </r>
  <r>
    <x v="25"/>
    <x v="3"/>
    <s v="QLD"/>
    <s v="No gap agreement"/>
    <s v="More than 125% MBS Fee to 150% MBS Fee"/>
    <n v="75609785.989999995"/>
    <n v="41657000.890000001"/>
    <n v="33952513.090000004"/>
    <n v="597431"/>
  </r>
  <r>
    <x v="25"/>
    <x v="3"/>
    <s v="QLD"/>
    <s v="No gap agreement"/>
    <s v="More than 150% MBS Fee to 200% MBS Fee"/>
    <n v="69463450.200000003"/>
    <n v="31580586.129999999"/>
    <n v="37882187.07"/>
    <n v="457070"/>
  </r>
  <r>
    <x v="25"/>
    <x v="3"/>
    <s v="QLD"/>
    <s v="No gap agreement"/>
    <s v="More than 200% MBS Fee"/>
    <n v="4461607.8600000003"/>
    <n v="1263868.3899999999"/>
    <n v="3197732.57"/>
    <n v="5615"/>
  </r>
  <r>
    <x v="25"/>
    <x v="3"/>
    <s v="SA"/>
    <s v="No agreement"/>
    <s v="Up to MBS Fee"/>
    <n v="1725993.98"/>
    <n v="1297660.74"/>
    <n v="427869.09"/>
    <n v="11292"/>
  </r>
  <r>
    <x v="25"/>
    <x v="3"/>
    <s v="SA"/>
    <s v="No agreement"/>
    <s v="100% MBS Fee to 125% MBS Fee"/>
    <n v="386256.07"/>
    <n v="258713.18"/>
    <n v="86821.7"/>
    <n v="820"/>
  </r>
  <r>
    <x v="25"/>
    <x v="3"/>
    <s v="SA"/>
    <s v="No agreement"/>
    <s v="More than 125% MBS Fee to 150% MBS Fee"/>
    <n v="203778.64"/>
    <n v="111394.18"/>
    <n v="38484.18"/>
    <n v="384"/>
  </r>
  <r>
    <x v="25"/>
    <x v="3"/>
    <s v="SA"/>
    <s v="No agreement"/>
    <s v="More than 150% MBS Fee to 200% MBS Fee"/>
    <n v="263935.23"/>
    <n v="112765.61"/>
    <n v="37983.75"/>
    <n v="704"/>
  </r>
  <r>
    <x v="25"/>
    <x v="3"/>
    <s v="SA"/>
    <s v="No agreement"/>
    <s v="More than 200% MBS Fee"/>
    <n v="1950138.39"/>
    <n v="407044.05"/>
    <n v="135889.18"/>
    <n v="1798"/>
  </r>
  <r>
    <x v="25"/>
    <x v="3"/>
    <s v="SA"/>
    <s v="Known gap agreement"/>
    <s v="100% MBS Fee to 125% MBS Fee"/>
    <n v="389368.65"/>
    <n v="249270.58"/>
    <n v="112075.75"/>
    <n v="2233"/>
  </r>
  <r>
    <x v="25"/>
    <x v="3"/>
    <s v="SA"/>
    <s v="Known gap agreement"/>
    <s v="More than 125% MBS Fee to 150% MBS Fee"/>
    <n v="1129164.08"/>
    <n v="611010.31999999995"/>
    <n v="435987.37"/>
    <n v="4838"/>
  </r>
  <r>
    <x v="25"/>
    <x v="3"/>
    <s v="SA"/>
    <s v="Known gap agreement"/>
    <s v="More than 150% MBS Fee to 200% MBS Fee"/>
    <n v="7142869.6500000004"/>
    <n v="3010733.65"/>
    <n v="3156564.57"/>
    <n v="10874"/>
  </r>
  <r>
    <x v="25"/>
    <x v="3"/>
    <s v="SA"/>
    <s v="Known gap agreement"/>
    <s v="More than 200% MBS Fee"/>
    <n v="9625691.4299999997"/>
    <n v="2742435.35"/>
    <n v="3372651"/>
    <n v="34564"/>
  </r>
  <r>
    <x v="25"/>
    <x v="3"/>
    <s v="SA"/>
    <s v="No gap agreement"/>
    <s v="Up to MBS Fee"/>
    <n v="7760309.2599999998"/>
    <n v="5823966.6500000004"/>
    <n v="1936385.31"/>
    <n v="138485"/>
  </r>
  <r>
    <x v="25"/>
    <x v="3"/>
    <s v="SA"/>
    <s v="No gap agreement"/>
    <s v="100% MBS Fee to 125% MBS Fee"/>
    <n v="8449585.8499999996"/>
    <n v="5302884.7"/>
    <n v="3146691.68"/>
    <n v="75280"/>
  </r>
  <r>
    <x v="25"/>
    <x v="3"/>
    <s v="SA"/>
    <s v="No gap agreement"/>
    <s v="More than 125% MBS Fee to 150% MBS Fee"/>
    <n v="29118474.859999999"/>
    <n v="15847340.810000001"/>
    <n v="13271123.16"/>
    <n v="223380"/>
  </r>
  <r>
    <x v="25"/>
    <x v="3"/>
    <s v="SA"/>
    <s v="No gap agreement"/>
    <s v="More than 150% MBS Fee to 200% MBS Fee"/>
    <n v="39785309.960000001"/>
    <n v="17678537.829999998"/>
    <n v="22106762.809999999"/>
    <n v="156106"/>
  </r>
  <r>
    <x v="25"/>
    <x v="3"/>
    <s v="SA"/>
    <s v="No gap agreement"/>
    <s v="More than 200% MBS Fee"/>
    <n v="1087854.1100000001"/>
    <n v="278050.65000000002"/>
    <n v="809803.46"/>
    <n v="781"/>
  </r>
  <r>
    <x v="25"/>
    <x v="3"/>
    <s v="WA"/>
    <s v="No agreement"/>
    <s v="Up to MBS Fee"/>
    <n v="1815015.6"/>
    <n v="1356966.77"/>
    <n v="449355.03"/>
    <n v="33672"/>
  </r>
  <r>
    <x v="25"/>
    <x v="3"/>
    <s v="WA"/>
    <s v="No agreement"/>
    <s v="100% MBS Fee to 125% MBS Fee"/>
    <n v="245093.58"/>
    <n v="162093.95000000001"/>
    <n v="53675.91"/>
    <n v="695"/>
  </r>
  <r>
    <x v="25"/>
    <x v="3"/>
    <s v="WA"/>
    <s v="No agreement"/>
    <s v="More than 125% MBS Fee to 150% MBS Fee"/>
    <n v="443055.95"/>
    <n v="241513.28"/>
    <n v="84543.83"/>
    <n v="1066"/>
  </r>
  <r>
    <x v="25"/>
    <x v="3"/>
    <s v="WA"/>
    <s v="No agreement"/>
    <s v="More than 150% MBS Fee to 200% MBS Fee"/>
    <n v="1632261.91"/>
    <n v="710972.06"/>
    <n v="238360.19"/>
    <n v="15187"/>
  </r>
  <r>
    <x v="25"/>
    <x v="3"/>
    <s v="WA"/>
    <s v="No agreement"/>
    <s v="More than 200% MBS Fee"/>
    <n v="6714685.25"/>
    <n v="1429923.58"/>
    <n v="491015.85"/>
    <n v="7853"/>
  </r>
  <r>
    <x v="25"/>
    <x v="3"/>
    <s v="WA"/>
    <s v="Known gap agreement"/>
    <s v="100% MBS Fee to 125% MBS Fee"/>
    <n v="1039240.67"/>
    <n v="668307.80000000005"/>
    <n v="321411.77"/>
    <n v="4946"/>
  </r>
  <r>
    <x v="25"/>
    <x v="3"/>
    <s v="WA"/>
    <s v="Known gap agreement"/>
    <s v="More than 125% MBS Fee to 150% MBS Fee"/>
    <n v="2810406.88"/>
    <n v="1490771.85"/>
    <n v="1121135.3999999999"/>
    <n v="23617"/>
  </r>
  <r>
    <x v="25"/>
    <x v="3"/>
    <s v="WA"/>
    <s v="Known gap agreement"/>
    <s v="More than 150% MBS Fee to 200% MBS Fee"/>
    <n v="8596061.3900000006"/>
    <n v="3773813.36"/>
    <n v="3412427.22"/>
    <n v="17527"/>
  </r>
  <r>
    <x v="25"/>
    <x v="3"/>
    <s v="WA"/>
    <s v="Known gap agreement"/>
    <s v="More than 200% MBS Fee"/>
    <n v="16019007.92"/>
    <n v="4046613.32"/>
    <n v="3020356.28"/>
    <n v="40707"/>
  </r>
  <r>
    <x v="25"/>
    <x v="3"/>
    <s v="WA"/>
    <s v="No gap agreement"/>
    <s v="Up to MBS Fee"/>
    <n v="9564868.4900000002"/>
    <n v="7182277.9199999999"/>
    <n v="2382587.62"/>
    <n v="128710"/>
  </r>
  <r>
    <x v="25"/>
    <x v="3"/>
    <s v="WA"/>
    <s v="No gap agreement"/>
    <s v="100% MBS Fee to 125% MBS Fee"/>
    <n v="9256097.25"/>
    <n v="5976643.7400000002"/>
    <n v="3279448.39"/>
    <n v="68560"/>
  </r>
  <r>
    <x v="25"/>
    <x v="3"/>
    <s v="WA"/>
    <s v="No gap agreement"/>
    <s v="More than 125% MBS Fee to 150% MBS Fee"/>
    <n v="42880672.939999998"/>
    <n v="23706651.010000002"/>
    <n v="19174016.210000001"/>
    <n v="296731"/>
  </r>
  <r>
    <x v="25"/>
    <x v="3"/>
    <s v="WA"/>
    <s v="No gap agreement"/>
    <s v="More than 150% MBS Fee to 200% MBS Fee"/>
    <n v="50070165.57"/>
    <n v="22229024.859999999"/>
    <n v="27841133.859999999"/>
    <n v="224850"/>
  </r>
  <r>
    <x v="25"/>
    <x v="3"/>
    <s v="WA"/>
    <s v="No gap agreement"/>
    <s v="More than 200% MBS Fee"/>
    <n v="2556462.37"/>
    <n v="653284.1"/>
    <n v="1903178.27"/>
    <n v="2066"/>
  </r>
  <r>
    <x v="25"/>
    <x v="3"/>
    <s v="TAS"/>
    <s v="No agreement"/>
    <s v="Up to MBS Fee"/>
    <n v="478011.67"/>
    <n v="358843.71"/>
    <n v="118898.35"/>
    <n v="3133"/>
  </r>
  <r>
    <x v="25"/>
    <x v="3"/>
    <s v="TAS"/>
    <s v="No agreement"/>
    <s v="100% MBS Fee to 125% MBS Fee"/>
    <n v="127232.17"/>
    <n v="87005.15"/>
    <n v="28923.75"/>
    <n v="444"/>
  </r>
  <r>
    <x v="25"/>
    <x v="3"/>
    <s v="TAS"/>
    <s v="No agreement"/>
    <s v="More than 125% MBS Fee to 150% MBS Fee"/>
    <n v="90978.8"/>
    <n v="49727.57"/>
    <n v="16409.18"/>
    <n v="251"/>
  </r>
  <r>
    <x v="25"/>
    <x v="3"/>
    <s v="TAS"/>
    <s v="No agreement"/>
    <s v="More than 150% MBS Fee to 200% MBS Fee"/>
    <n v="166662.46"/>
    <n v="72702.95"/>
    <n v="24291.02"/>
    <n v="731"/>
  </r>
  <r>
    <x v="25"/>
    <x v="3"/>
    <s v="TAS"/>
    <s v="No agreement"/>
    <s v="More than 200% MBS Fee"/>
    <n v="1567587.63"/>
    <n v="357313.29"/>
    <n v="120649.23"/>
    <n v="1175"/>
  </r>
  <r>
    <x v="25"/>
    <x v="3"/>
    <s v="TAS"/>
    <s v="Known gap agreement"/>
    <s v="100% MBS Fee to 125% MBS Fee"/>
    <n v="301003.52000000002"/>
    <n v="193973.46"/>
    <n v="83733.210000000006"/>
    <n v="1796"/>
  </r>
  <r>
    <x v="25"/>
    <x v="3"/>
    <s v="TAS"/>
    <s v="Known gap agreement"/>
    <s v="More than 125% MBS Fee to 150% MBS Fee"/>
    <n v="421954.73"/>
    <n v="229573.47"/>
    <n v="176178.94"/>
    <n v="1767"/>
  </r>
  <r>
    <x v="25"/>
    <x v="3"/>
    <s v="TAS"/>
    <s v="Known gap agreement"/>
    <s v="More than 150% MBS Fee to 200% MBS Fee"/>
    <n v="1831640.53"/>
    <n v="775919.93"/>
    <n v="819312.35"/>
    <n v="2675"/>
  </r>
  <r>
    <x v="25"/>
    <x v="3"/>
    <s v="TAS"/>
    <s v="Known gap agreement"/>
    <s v="More than 200% MBS Fee"/>
    <n v="2632975.38"/>
    <n v="706114.36"/>
    <n v="838298.87"/>
    <n v="6557"/>
  </r>
  <r>
    <x v="25"/>
    <x v="3"/>
    <s v="TAS"/>
    <s v="No gap agreement"/>
    <s v="Up to MBS Fee"/>
    <n v="1809342.67"/>
    <n v="1356166.32"/>
    <n v="453176.35"/>
    <n v="31502"/>
  </r>
  <r>
    <x v="25"/>
    <x v="3"/>
    <s v="TAS"/>
    <s v="No gap agreement"/>
    <s v="100% MBS Fee to 125% MBS Fee"/>
    <n v="2685008.89"/>
    <n v="1697358.09"/>
    <n v="987650.8"/>
    <n v="19496"/>
  </r>
  <r>
    <x v="25"/>
    <x v="3"/>
    <s v="TAS"/>
    <s v="No gap agreement"/>
    <s v="More than 125% MBS Fee to 150% MBS Fee"/>
    <n v="8654871.3200000003"/>
    <n v="4722570.54"/>
    <n v="3932299.21"/>
    <n v="53709"/>
  </r>
  <r>
    <x v="25"/>
    <x v="3"/>
    <s v="TAS"/>
    <s v="No gap agreement"/>
    <s v="More than 150% MBS Fee to 200% MBS Fee"/>
    <n v="10040402.75"/>
    <n v="4569937.5"/>
    <n v="5470465.1900000004"/>
    <n v="46785"/>
  </r>
  <r>
    <x v="25"/>
    <x v="3"/>
    <s v="TAS"/>
    <s v="No gap agreement"/>
    <s v="More than 200% MBS Fee"/>
    <n v="355778.46"/>
    <n v="98141.9"/>
    <n v="257636.56"/>
    <n v="298"/>
  </r>
  <r>
    <x v="25"/>
    <x v="3"/>
    <s v="ACT"/>
    <s v="No agreement"/>
    <s v="Up to MBS Fee"/>
    <n v="785424.36"/>
    <n v="583815.15"/>
    <n v="193600.61"/>
    <n v="6594"/>
  </r>
  <r>
    <x v="25"/>
    <x v="3"/>
    <s v="ACT"/>
    <s v="No agreement"/>
    <s v="100% MBS Fee to 125% MBS Fee"/>
    <n v="145252.85999999999"/>
    <n v="100116.24"/>
    <n v="33238.949999999997"/>
    <n v="391"/>
  </r>
  <r>
    <x v="25"/>
    <x v="3"/>
    <s v="ACT"/>
    <s v="No agreement"/>
    <s v="More than 125% MBS Fee to 150% MBS Fee"/>
    <n v="98186.52"/>
    <n v="53190.44"/>
    <n v="17661.150000000001"/>
    <n v="222"/>
  </r>
  <r>
    <x v="25"/>
    <x v="3"/>
    <s v="ACT"/>
    <s v="No agreement"/>
    <s v="More than 150% MBS Fee to 200% MBS Fee"/>
    <n v="338501.28"/>
    <n v="145278.81"/>
    <n v="49301.86"/>
    <n v="1550"/>
  </r>
  <r>
    <x v="25"/>
    <x v="3"/>
    <s v="ACT"/>
    <s v="No agreement"/>
    <s v="More than 200% MBS Fee"/>
    <n v="5803964.79"/>
    <n v="1280493.1200000001"/>
    <n v="428896.09"/>
    <n v="4990"/>
  </r>
  <r>
    <x v="25"/>
    <x v="3"/>
    <s v="ACT"/>
    <s v="Known gap agreement"/>
    <s v="100% MBS Fee to 125% MBS Fee"/>
    <n v="55660.01"/>
    <n v="35168.449999999997"/>
    <n v="17625.61"/>
    <n v="277"/>
  </r>
  <r>
    <x v="25"/>
    <x v="3"/>
    <s v="ACT"/>
    <s v="Known gap agreement"/>
    <s v="More than 125% MBS Fee to 150% MBS Fee"/>
    <n v="160446.31"/>
    <n v="87799.45"/>
    <n v="65509.59"/>
    <n v="1141"/>
  </r>
  <r>
    <x v="25"/>
    <x v="3"/>
    <s v="ACT"/>
    <s v="Known gap agreement"/>
    <s v="More than 150% MBS Fee to 200% MBS Fee"/>
    <n v="526668.05000000005"/>
    <n v="226757.74"/>
    <n v="228698.5"/>
    <n v="1315"/>
  </r>
  <r>
    <x v="25"/>
    <x v="3"/>
    <s v="ACT"/>
    <s v="Known gap agreement"/>
    <s v="More than 200% MBS Fee"/>
    <n v="3251216.86"/>
    <n v="858394.45"/>
    <n v="922823.85"/>
    <n v="10796"/>
  </r>
  <r>
    <x v="25"/>
    <x v="3"/>
    <s v="ACT"/>
    <s v="No gap agreement"/>
    <s v="Up to MBS Fee"/>
    <n v="504037.41"/>
    <n v="378910.45"/>
    <n v="125126.71"/>
    <n v="14563"/>
  </r>
  <r>
    <x v="25"/>
    <x v="3"/>
    <s v="ACT"/>
    <s v="No gap agreement"/>
    <s v="100% MBS Fee to 125% MBS Fee"/>
    <n v="1749148.19"/>
    <n v="1112009.28"/>
    <n v="637136.99"/>
    <n v="17224"/>
  </r>
  <r>
    <x v="25"/>
    <x v="3"/>
    <s v="ACT"/>
    <s v="No gap agreement"/>
    <s v="More than 125% MBS Fee to 150% MBS Fee"/>
    <n v="3436433.98"/>
    <n v="1898381.37"/>
    <n v="1538048.44"/>
    <n v="27560"/>
  </r>
  <r>
    <x v="25"/>
    <x v="3"/>
    <s v="ACT"/>
    <s v="No gap agreement"/>
    <s v="More than 150% MBS Fee to 200% MBS Fee"/>
    <n v="2802443.14"/>
    <n v="1281436.51"/>
    <n v="1520948.89"/>
    <n v="15839"/>
  </r>
  <r>
    <x v="25"/>
    <x v="3"/>
    <s v="ACT"/>
    <s v="No gap agreement"/>
    <s v="More than 200% MBS Fee"/>
    <n v="211523.23"/>
    <n v="60702.2"/>
    <n v="150821.03"/>
    <n v="282"/>
  </r>
  <r>
    <x v="25"/>
    <x v="3"/>
    <s v="NT"/>
    <s v="No agreement"/>
    <s v="Up to MBS Fee"/>
    <n v="168820.4"/>
    <n v="126590.24"/>
    <n v="42029.8"/>
    <n v="1352"/>
  </r>
  <r>
    <x v="25"/>
    <x v="3"/>
    <s v="NT"/>
    <s v="No agreement"/>
    <s v="100% MBS Fee to 125% MBS Fee"/>
    <n v="29310.42"/>
    <n v="19801.7"/>
    <n v="6599.55"/>
    <n v="84"/>
  </r>
  <r>
    <x v="25"/>
    <x v="3"/>
    <s v="NT"/>
    <s v="No agreement"/>
    <s v="More than 125% MBS Fee to 150% MBS Fee"/>
    <n v="26838.1"/>
    <n v="14376.05"/>
    <n v="4986.3"/>
    <n v="56"/>
  </r>
  <r>
    <x v="25"/>
    <x v="3"/>
    <s v="NT"/>
    <s v="No agreement"/>
    <s v="More than 150% MBS Fee to 200% MBS Fee"/>
    <n v="59534.65"/>
    <n v="25734.61"/>
    <n v="8571.1"/>
    <n v="232"/>
  </r>
  <r>
    <x v="25"/>
    <x v="3"/>
    <s v="NT"/>
    <s v="No agreement"/>
    <s v="More than 200% MBS Fee"/>
    <n v="896488.77"/>
    <n v="209605.05"/>
    <n v="70644.850000000006"/>
    <n v="665"/>
  </r>
  <r>
    <x v="25"/>
    <x v="3"/>
    <s v="NT"/>
    <s v="Known gap agreement"/>
    <s v="100% MBS Fee to 125% MBS Fee"/>
    <n v="38706.57"/>
    <n v="25656.19"/>
    <n v="9677.4500000000007"/>
    <n v="178"/>
  </r>
  <r>
    <x v="25"/>
    <x v="3"/>
    <s v="NT"/>
    <s v="Known gap agreement"/>
    <s v="More than 125% MBS Fee to 150% MBS Fee"/>
    <n v="51227.38"/>
    <n v="27552.53"/>
    <n v="20199.05"/>
    <n v="319"/>
  </r>
  <r>
    <x v="25"/>
    <x v="3"/>
    <s v="NT"/>
    <s v="Known gap agreement"/>
    <s v="More than 150% MBS Fee to 200% MBS Fee"/>
    <n v="227664.83"/>
    <n v="97316.62"/>
    <n v="98406.1"/>
    <n v="374"/>
  </r>
  <r>
    <x v="25"/>
    <x v="3"/>
    <s v="NT"/>
    <s v="Known gap agreement"/>
    <s v="More than 200% MBS Fee"/>
    <n v="518200.49"/>
    <n v="143413.10999999999"/>
    <n v="166234.6"/>
    <n v="1879"/>
  </r>
  <r>
    <x v="25"/>
    <x v="3"/>
    <s v="NT"/>
    <s v="No gap agreement"/>
    <s v="Up to MBS Fee"/>
    <n v="623058.18000000005"/>
    <n v="467206.98"/>
    <n v="155851.20000000001"/>
    <n v="7876"/>
  </r>
  <r>
    <x v="25"/>
    <x v="3"/>
    <s v="NT"/>
    <s v="No gap agreement"/>
    <s v="100% MBS Fee to 125% MBS Fee"/>
    <n v="442668.14"/>
    <n v="281449.7"/>
    <n v="161217.82999999999"/>
    <n v="3119"/>
  </r>
  <r>
    <x v="25"/>
    <x v="3"/>
    <s v="NT"/>
    <s v="No gap agreement"/>
    <s v="More than 125% MBS Fee to 150% MBS Fee"/>
    <n v="1332148.3899999999"/>
    <n v="723647.14"/>
    <n v="608498.99"/>
    <n v="6468"/>
  </r>
  <r>
    <x v="25"/>
    <x v="3"/>
    <s v="NT"/>
    <s v="No gap agreement"/>
    <s v="More than 150% MBS Fee to 200% MBS Fee"/>
    <n v="1942897.91"/>
    <n v="888531.5"/>
    <n v="1054357.0900000001"/>
    <n v="8614"/>
  </r>
  <r>
    <x v="25"/>
    <x v="3"/>
    <s v="NT"/>
    <s v="No gap agreement"/>
    <s v="More than 200% MBS Fee"/>
    <n v="64671.76"/>
    <n v="18182.5"/>
    <n v="46489.26"/>
    <n v="91"/>
  </r>
  <r>
    <x v="25"/>
    <x v="1"/>
    <s v="NSW"/>
    <s v="No agreement"/>
    <s v="Up to MBS Fee"/>
    <n v="32154098.870000001"/>
    <n v="24076576.449999999"/>
    <n v="8060622.8700000001"/>
    <n v="286957"/>
  </r>
  <r>
    <x v="25"/>
    <x v="1"/>
    <s v="NSW"/>
    <s v="No agreement"/>
    <s v="100% MBS Fee to 125% MBS Fee"/>
    <n v="3416930.67"/>
    <n v="2288134.75"/>
    <n v="910898.02"/>
    <n v="15640"/>
  </r>
  <r>
    <x v="25"/>
    <x v="1"/>
    <s v="NSW"/>
    <s v="No agreement"/>
    <s v="More than 125% MBS Fee to 150% MBS Fee"/>
    <n v="3139077.71"/>
    <n v="1710324.94"/>
    <n v="927484.6"/>
    <n v="10216"/>
  </r>
  <r>
    <x v="25"/>
    <x v="1"/>
    <s v="NSW"/>
    <s v="No agreement"/>
    <s v="More than 150% MBS Fee to 200% MBS Fee"/>
    <n v="8867293.8900000006"/>
    <n v="3829974.08"/>
    <n v="2459079.58"/>
    <n v="36081"/>
  </r>
  <r>
    <x v="25"/>
    <x v="1"/>
    <s v="NSW"/>
    <s v="No agreement"/>
    <s v="More than 200% MBS Fee"/>
    <n v="80066315.450000003"/>
    <n v="17212132.289999999"/>
    <n v="6105941.1100000003"/>
    <n v="73344"/>
  </r>
  <r>
    <x v="25"/>
    <x v="1"/>
    <s v="NSW"/>
    <s v="Known gap agreement"/>
    <s v="100% MBS Fee to 125% MBS Fee"/>
    <n v="2940453.39"/>
    <n v="1929690.63"/>
    <n v="896770.37"/>
    <n v="12548"/>
  </r>
  <r>
    <x v="25"/>
    <x v="1"/>
    <s v="NSW"/>
    <s v="Known gap agreement"/>
    <s v="More than 125% MBS Fee to 150% MBS Fee"/>
    <n v="5796387.3300000001"/>
    <n v="3143931.72"/>
    <n v="2375445.58"/>
    <n v="31178"/>
  </r>
  <r>
    <x v="25"/>
    <x v="1"/>
    <s v="NSW"/>
    <s v="Known gap agreement"/>
    <s v="More than 150% MBS Fee to 200% MBS Fee"/>
    <n v="18958262.57"/>
    <n v="8129992.54"/>
    <n v="8179329.2800000003"/>
    <n v="33545"/>
  </r>
  <r>
    <x v="25"/>
    <x v="1"/>
    <s v="NSW"/>
    <s v="Known gap agreement"/>
    <s v="More than 200% MBS Fee"/>
    <n v="46405775.060000002"/>
    <n v="12165292.210000001"/>
    <n v="13833511.23"/>
    <n v="154035"/>
  </r>
  <r>
    <x v="25"/>
    <x v="1"/>
    <s v="NSW"/>
    <s v="No gap agreement"/>
    <s v="Up to MBS Fee"/>
    <n v="34314232.270000003"/>
    <n v="25778665.190000001"/>
    <n v="8535566.4299999997"/>
    <n v="1006418"/>
  </r>
  <r>
    <x v="25"/>
    <x v="1"/>
    <s v="NSW"/>
    <s v="No gap agreement"/>
    <s v="100% MBS Fee to 125% MBS Fee"/>
    <n v="56458389.659999996"/>
    <n v="35924228.270000003"/>
    <n v="20533922.77"/>
    <n v="480030"/>
  </r>
  <r>
    <x v="25"/>
    <x v="1"/>
    <s v="NSW"/>
    <s v="No gap agreement"/>
    <s v="More than 125% MBS Fee to 150% MBS Fee"/>
    <n v="111025014.48999999"/>
    <n v="60688759.960000001"/>
    <n v="50336141.520000003"/>
    <n v="637867"/>
  </r>
  <r>
    <x v="25"/>
    <x v="1"/>
    <s v="NSW"/>
    <s v="No gap agreement"/>
    <s v="More than 150% MBS Fee to 200% MBS Fee"/>
    <n v="117141399.98999999"/>
    <n v="53704688.840000004"/>
    <n v="63436422.600000001"/>
    <n v="656166"/>
  </r>
  <r>
    <x v="25"/>
    <x v="1"/>
    <s v="NSW"/>
    <s v="No gap agreement"/>
    <s v="More than 200% MBS Fee"/>
    <n v="6305303.9100000001"/>
    <n v="1809192.41"/>
    <n v="4496108.28"/>
    <n v="5602"/>
  </r>
  <r>
    <x v="25"/>
    <x v="1"/>
    <s v="VIC"/>
    <s v="No agreement"/>
    <s v="Up to MBS Fee"/>
    <n v="7129562.3799999999"/>
    <n v="5340848.4000000004"/>
    <n v="1778159.49"/>
    <n v="119633"/>
  </r>
  <r>
    <x v="25"/>
    <x v="1"/>
    <s v="VIC"/>
    <s v="No agreement"/>
    <s v="100% MBS Fee to 125% MBS Fee"/>
    <n v="1694409.48"/>
    <n v="1116654"/>
    <n v="442039.91"/>
    <n v="8230"/>
  </r>
  <r>
    <x v="25"/>
    <x v="1"/>
    <s v="VIC"/>
    <s v="No agreement"/>
    <s v="More than 125% MBS Fee to 150% MBS Fee"/>
    <n v="2540434.4"/>
    <n v="1354904"/>
    <n v="789037.89"/>
    <n v="10094"/>
  </r>
  <r>
    <x v="25"/>
    <x v="1"/>
    <s v="VIC"/>
    <s v="No agreement"/>
    <s v="More than 150% MBS Fee to 200% MBS Fee"/>
    <n v="3755914.41"/>
    <n v="1642403.31"/>
    <n v="970356.38"/>
    <n v="19643"/>
  </r>
  <r>
    <x v="25"/>
    <x v="1"/>
    <s v="VIC"/>
    <s v="No agreement"/>
    <s v="More than 200% MBS Fee"/>
    <n v="18194987.16"/>
    <n v="4147147.06"/>
    <n v="1537493.42"/>
    <n v="17931"/>
  </r>
  <r>
    <x v="25"/>
    <x v="1"/>
    <s v="VIC"/>
    <s v="Known gap agreement"/>
    <s v="100% MBS Fee to 125% MBS Fee"/>
    <n v="2531572.14"/>
    <n v="1685618.19"/>
    <n v="728053.91"/>
    <n v="12360"/>
  </r>
  <r>
    <x v="25"/>
    <x v="1"/>
    <s v="VIC"/>
    <s v="Known gap agreement"/>
    <s v="More than 125% MBS Fee to 150% MBS Fee"/>
    <n v="5993444.7999999998"/>
    <n v="3266471.73"/>
    <n v="2315187.7000000002"/>
    <n v="21954"/>
  </r>
  <r>
    <x v="25"/>
    <x v="1"/>
    <s v="VIC"/>
    <s v="Known gap agreement"/>
    <s v="More than 150% MBS Fee to 200% MBS Fee"/>
    <n v="13316662.85"/>
    <n v="5777960.29"/>
    <n v="5480234.4000000004"/>
    <n v="28926"/>
  </r>
  <r>
    <x v="25"/>
    <x v="1"/>
    <s v="VIC"/>
    <s v="Known gap agreement"/>
    <s v="More than 200% MBS Fee"/>
    <n v="29836599.600000001"/>
    <n v="8077007.5"/>
    <n v="9283285.0399999991"/>
    <n v="112605"/>
  </r>
  <r>
    <x v="25"/>
    <x v="1"/>
    <s v="VIC"/>
    <s v="No gap agreement"/>
    <s v="Up to MBS Fee"/>
    <n v="20389321.489999998"/>
    <n v="15325165.26"/>
    <n v="5064111.88"/>
    <n v="299963"/>
  </r>
  <r>
    <x v="25"/>
    <x v="1"/>
    <s v="VIC"/>
    <s v="No gap agreement"/>
    <s v="100% MBS Fee to 125% MBS Fee"/>
    <n v="42509422.520000003"/>
    <n v="27180834.920000002"/>
    <n v="15327482.369999999"/>
    <n v="355951"/>
  </r>
  <r>
    <x v="25"/>
    <x v="1"/>
    <s v="VIC"/>
    <s v="No gap agreement"/>
    <s v="More than 125% MBS Fee to 150% MBS Fee"/>
    <n v="102910685.92"/>
    <n v="56525145.649999999"/>
    <n v="46385316.200000003"/>
    <n v="701355"/>
  </r>
  <r>
    <x v="25"/>
    <x v="1"/>
    <s v="VIC"/>
    <s v="No gap agreement"/>
    <s v="More than 150% MBS Fee to 200% MBS Fee"/>
    <n v="75987732.260000005"/>
    <n v="34192199.579999998"/>
    <n v="41795204.439999998"/>
    <n v="409707"/>
  </r>
  <r>
    <x v="25"/>
    <x v="1"/>
    <s v="VIC"/>
    <s v="No gap agreement"/>
    <s v="More than 200% MBS Fee"/>
    <n v="2994426.71"/>
    <n v="804753.9"/>
    <n v="2189672.56"/>
    <n v="2203"/>
  </r>
  <r>
    <x v="25"/>
    <x v="1"/>
    <s v="QLD"/>
    <s v="No agreement"/>
    <s v="Up to MBS Fee"/>
    <n v="5180898.08"/>
    <n v="3881300.58"/>
    <n v="1286381.1299999999"/>
    <n v="60111"/>
  </r>
  <r>
    <x v="25"/>
    <x v="1"/>
    <s v="QLD"/>
    <s v="No agreement"/>
    <s v="100% MBS Fee to 125% MBS Fee"/>
    <n v="1762552.05"/>
    <n v="1162912.57"/>
    <n v="467629.79"/>
    <n v="7499"/>
  </r>
  <r>
    <x v="25"/>
    <x v="1"/>
    <s v="QLD"/>
    <s v="No agreement"/>
    <s v="More than 125% MBS Fee to 150% MBS Fee"/>
    <n v="1510210.91"/>
    <n v="811579.79"/>
    <n v="447607.35"/>
    <n v="5460"/>
  </r>
  <r>
    <x v="25"/>
    <x v="1"/>
    <s v="QLD"/>
    <s v="No agreement"/>
    <s v="More than 150% MBS Fee to 200% MBS Fee"/>
    <n v="5327067.6399999997"/>
    <n v="2299348"/>
    <n v="1307089.6000000001"/>
    <n v="31208"/>
  </r>
  <r>
    <x v="25"/>
    <x v="1"/>
    <s v="QLD"/>
    <s v="No agreement"/>
    <s v="More than 200% MBS Fee"/>
    <n v="36289218.270000003"/>
    <n v="8177937.2000000002"/>
    <n v="2922592.26"/>
    <n v="32797"/>
  </r>
  <r>
    <x v="25"/>
    <x v="1"/>
    <s v="QLD"/>
    <s v="Known gap agreement"/>
    <s v="100% MBS Fee to 125% MBS Fee"/>
    <n v="1725289.58"/>
    <n v="1145027.95"/>
    <n v="498890.39"/>
    <n v="7608"/>
  </r>
  <r>
    <x v="25"/>
    <x v="1"/>
    <s v="QLD"/>
    <s v="Known gap agreement"/>
    <s v="More than 125% MBS Fee to 150% MBS Fee"/>
    <n v="4095568.66"/>
    <n v="2219078.85"/>
    <n v="1556272.54"/>
    <n v="19117"/>
  </r>
  <r>
    <x v="25"/>
    <x v="1"/>
    <s v="QLD"/>
    <s v="Known gap agreement"/>
    <s v="More than 150% MBS Fee to 200% MBS Fee"/>
    <n v="19088334.870000001"/>
    <n v="8074598.7400000002"/>
    <n v="7995764.9900000002"/>
    <n v="26952"/>
  </r>
  <r>
    <x v="25"/>
    <x v="1"/>
    <s v="QLD"/>
    <s v="Known gap agreement"/>
    <s v="More than 200% MBS Fee"/>
    <n v="37918607.810000002"/>
    <n v="9761671.6500000004"/>
    <n v="10968343.289999999"/>
    <n v="96039"/>
  </r>
  <r>
    <x v="25"/>
    <x v="1"/>
    <s v="QLD"/>
    <s v="No gap agreement"/>
    <s v="Up to MBS Fee"/>
    <n v="17444239.280000001"/>
    <n v="13098072.630000001"/>
    <n v="4346156.68"/>
    <n v="274701"/>
  </r>
  <r>
    <x v="25"/>
    <x v="1"/>
    <s v="QLD"/>
    <s v="No gap agreement"/>
    <s v="100% MBS Fee to 125% MBS Fee"/>
    <n v="47065012.240000002"/>
    <n v="30141245.640000001"/>
    <n v="16922739.59"/>
    <n v="436644"/>
  </r>
  <r>
    <x v="25"/>
    <x v="1"/>
    <s v="QLD"/>
    <s v="No gap agreement"/>
    <s v="More than 125% MBS Fee to 150% MBS Fee"/>
    <n v="82487438.640000001"/>
    <n v="45501889.009999998"/>
    <n v="36985220.439999998"/>
    <n v="634878"/>
  </r>
  <r>
    <x v="25"/>
    <x v="1"/>
    <s v="QLD"/>
    <s v="No gap agreement"/>
    <s v="More than 150% MBS Fee to 200% MBS Fee"/>
    <n v="77535824.959999993"/>
    <n v="35386794.780000001"/>
    <n v="42147959.509999998"/>
    <n v="506800"/>
  </r>
  <r>
    <x v="25"/>
    <x v="1"/>
    <s v="QLD"/>
    <s v="No gap agreement"/>
    <s v="More than 200% MBS Fee"/>
    <n v="4725725.24"/>
    <n v="1348991.15"/>
    <n v="3376732.69"/>
    <n v="6463"/>
  </r>
  <r>
    <x v="25"/>
    <x v="1"/>
    <s v="SA"/>
    <s v="No agreement"/>
    <s v="Up to MBS Fee"/>
    <n v="1806375.29"/>
    <n v="1354354.91"/>
    <n v="447951.21"/>
    <n v="10989"/>
  </r>
  <r>
    <x v="25"/>
    <x v="1"/>
    <s v="SA"/>
    <s v="No agreement"/>
    <s v="100% MBS Fee to 125% MBS Fee"/>
    <n v="460012.61"/>
    <n v="303452.77"/>
    <n v="115846.09"/>
    <n v="699"/>
  </r>
  <r>
    <x v="25"/>
    <x v="1"/>
    <s v="SA"/>
    <s v="No agreement"/>
    <s v="More than 125% MBS Fee to 150% MBS Fee"/>
    <n v="492321.25"/>
    <n v="263246.01"/>
    <n v="177690.55"/>
    <n v="2204"/>
  </r>
  <r>
    <x v="25"/>
    <x v="1"/>
    <s v="SA"/>
    <s v="No agreement"/>
    <s v="More than 150% MBS Fee to 200% MBS Fee"/>
    <n v="710850.49"/>
    <n v="309279.57"/>
    <n v="260998.87"/>
    <n v="2377"/>
  </r>
  <r>
    <x v="25"/>
    <x v="1"/>
    <s v="SA"/>
    <s v="No agreement"/>
    <s v="More than 200% MBS Fee"/>
    <n v="2511774.86"/>
    <n v="533547.64"/>
    <n v="214211.9"/>
    <n v="2520"/>
  </r>
  <r>
    <x v="25"/>
    <x v="1"/>
    <s v="SA"/>
    <s v="Known gap agreement"/>
    <s v="100% MBS Fee to 125% MBS Fee"/>
    <n v="425784.51"/>
    <n v="274570.09000000003"/>
    <n v="123766.48"/>
    <n v="2142"/>
  </r>
  <r>
    <x v="25"/>
    <x v="1"/>
    <s v="SA"/>
    <s v="Known gap agreement"/>
    <s v="More than 125% MBS Fee to 150% MBS Fee"/>
    <n v="1340044.98"/>
    <n v="727799.05"/>
    <n v="540476.84"/>
    <n v="5732"/>
  </r>
  <r>
    <x v="25"/>
    <x v="1"/>
    <s v="SA"/>
    <s v="Known gap agreement"/>
    <s v="More than 150% MBS Fee to 200% MBS Fee"/>
    <n v="9013456.8399999999"/>
    <n v="3792024.31"/>
    <n v="3997171.19"/>
    <n v="13715"/>
  </r>
  <r>
    <x v="25"/>
    <x v="1"/>
    <s v="SA"/>
    <s v="Known gap agreement"/>
    <s v="More than 200% MBS Fee"/>
    <n v="11548615.66"/>
    <n v="3288367.79"/>
    <n v="3986971.06"/>
    <n v="41679"/>
  </r>
  <r>
    <x v="25"/>
    <x v="1"/>
    <s v="SA"/>
    <s v="No gap agreement"/>
    <s v="Up to MBS Fee"/>
    <n v="7805752.7400000002"/>
    <n v="5859472.2300000004"/>
    <n v="1946279.41"/>
    <n v="135162"/>
  </r>
  <r>
    <x v="25"/>
    <x v="1"/>
    <s v="SA"/>
    <s v="No gap agreement"/>
    <s v="100% MBS Fee to 125% MBS Fee"/>
    <n v="9666672.9399999995"/>
    <n v="6040709.4100000001"/>
    <n v="3625879.68"/>
    <n v="85413"/>
  </r>
  <r>
    <x v="25"/>
    <x v="1"/>
    <s v="SA"/>
    <s v="No gap agreement"/>
    <s v="More than 125% MBS Fee to 150% MBS Fee"/>
    <n v="33157283.600000001"/>
    <n v="18076533.02"/>
    <n v="15080711.199999999"/>
    <n v="245179"/>
  </r>
  <r>
    <x v="25"/>
    <x v="1"/>
    <s v="SA"/>
    <s v="No gap agreement"/>
    <s v="More than 150% MBS Fee to 200% MBS Fee"/>
    <n v="46784674.060000002"/>
    <n v="20914173.039999999"/>
    <n v="25870464.5"/>
    <n v="184875"/>
  </r>
  <r>
    <x v="25"/>
    <x v="1"/>
    <s v="SA"/>
    <s v="No gap agreement"/>
    <s v="More than 200% MBS Fee"/>
    <n v="1089642.8999999999"/>
    <n v="282681.84999999998"/>
    <n v="806960.85"/>
    <n v="794"/>
  </r>
  <r>
    <x v="25"/>
    <x v="1"/>
    <s v="WA"/>
    <s v="No agreement"/>
    <s v="Up to MBS Fee"/>
    <n v="1963601.25"/>
    <n v="1476287.22"/>
    <n v="482913.94"/>
    <n v="32539"/>
  </r>
  <r>
    <x v="25"/>
    <x v="1"/>
    <s v="WA"/>
    <s v="No agreement"/>
    <s v="100% MBS Fee to 125% MBS Fee"/>
    <n v="474720.66"/>
    <n v="312247.71000000002"/>
    <n v="130081.31"/>
    <n v="2187"/>
  </r>
  <r>
    <x v="25"/>
    <x v="1"/>
    <s v="WA"/>
    <s v="No agreement"/>
    <s v="More than 125% MBS Fee to 150% MBS Fee"/>
    <n v="655063.28"/>
    <n v="354081.63"/>
    <n v="200994.53"/>
    <n v="2489"/>
  </r>
  <r>
    <x v="25"/>
    <x v="1"/>
    <s v="WA"/>
    <s v="No agreement"/>
    <s v="More than 150% MBS Fee to 200% MBS Fee"/>
    <n v="2069266.59"/>
    <n v="901004.17"/>
    <n v="438568.71"/>
    <n v="15059"/>
  </r>
  <r>
    <x v="25"/>
    <x v="1"/>
    <s v="WA"/>
    <s v="No agreement"/>
    <s v="More than 200% MBS Fee"/>
    <n v="8253728.6299999999"/>
    <n v="1700477.65"/>
    <n v="633212.69999999995"/>
    <n v="8433"/>
  </r>
  <r>
    <x v="25"/>
    <x v="1"/>
    <s v="WA"/>
    <s v="Known gap agreement"/>
    <s v="100% MBS Fee to 125% MBS Fee"/>
    <n v="1050533.6499999999"/>
    <n v="680048.73"/>
    <n v="323273.81"/>
    <n v="4948"/>
  </r>
  <r>
    <x v="25"/>
    <x v="1"/>
    <s v="WA"/>
    <s v="Known gap agreement"/>
    <s v="More than 125% MBS Fee to 150% MBS Fee"/>
    <n v="3631245.8"/>
    <n v="1939437.28"/>
    <n v="1437269.87"/>
    <n v="28766"/>
  </r>
  <r>
    <x v="25"/>
    <x v="1"/>
    <s v="WA"/>
    <s v="Known gap agreement"/>
    <s v="More than 150% MBS Fee to 200% MBS Fee"/>
    <n v="9890487.3100000005"/>
    <n v="4360122.6900000004"/>
    <n v="3969508.07"/>
    <n v="22719"/>
  </r>
  <r>
    <x v="25"/>
    <x v="1"/>
    <s v="WA"/>
    <s v="Known gap agreement"/>
    <s v="More than 200% MBS Fee"/>
    <n v="18160421.120000001"/>
    <n v="4553106.3"/>
    <n v="3376825.56"/>
    <n v="46762"/>
  </r>
  <r>
    <x v="25"/>
    <x v="1"/>
    <s v="WA"/>
    <s v="No gap agreement"/>
    <s v="Up to MBS Fee"/>
    <n v="10509550.5"/>
    <n v="7896997.6399999997"/>
    <n v="2612642.7599999998"/>
    <n v="150479"/>
  </r>
  <r>
    <x v="25"/>
    <x v="1"/>
    <s v="WA"/>
    <s v="No gap agreement"/>
    <s v="100% MBS Fee to 125% MBS Fee"/>
    <n v="11770345.09"/>
    <n v="7598248.4500000002"/>
    <n v="4171995.06"/>
    <n v="82825"/>
  </r>
  <r>
    <x v="25"/>
    <x v="1"/>
    <s v="WA"/>
    <s v="No gap agreement"/>
    <s v="More than 125% MBS Fee to 150% MBS Fee"/>
    <n v="51395894.979999997"/>
    <n v="28431329.530000001"/>
    <n v="22964551.969999999"/>
    <n v="345335"/>
  </r>
  <r>
    <x v="25"/>
    <x v="1"/>
    <s v="WA"/>
    <s v="No gap agreement"/>
    <s v="More than 150% MBS Fee to 200% MBS Fee"/>
    <n v="58892084.039999999"/>
    <n v="26166773.199999999"/>
    <n v="32725242.07"/>
    <n v="270403"/>
  </r>
  <r>
    <x v="25"/>
    <x v="1"/>
    <s v="WA"/>
    <s v="No gap agreement"/>
    <s v="More than 200% MBS Fee"/>
    <n v="2154300.1"/>
    <n v="569136.15"/>
    <n v="1585163.95"/>
    <n v="1945"/>
  </r>
  <r>
    <x v="25"/>
    <x v="1"/>
    <s v="TAS"/>
    <s v="No agreement"/>
    <s v="Up to MBS Fee"/>
    <n v="403390.88"/>
    <n v="302270.33"/>
    <n v="100106.2"/>
    <n v="2563"/>
  </r>
  <r>
    <x v="25"/>
    <x v="1"/>
    <s v="TAS"/>
    <s v="No agreement"/>
    <s v="100% MBS Fee to 125% MBS Fee"/>
    <n v="104814.86"/>
    <n v="69491.75"/>
    <n v="27603.13"/>
    <n v="613"/>
  </r>
  <r>
    <x v="25"/>
    <x v="1"/>
    <s v="TAS"/>
    <s v="No agreement"/>
    <s v="More than 125% MBS Fee to 150% MBS Fee"/>
    <n v="157208.75"/>
    <n v="84315.78"/>
    <n v="50740.93"/>
    <n v="382"/>
  </r>
  <r>
    <x v="25"/>
    <x v="1"/>
    <s v="TAS"/>
    <s v="No agreement"/>
    <s v="More than 150% MBS Fee to 200% MBS Fee"/>
    <n v="288783.90999999997"/>
    <n v="125174.12"/>
    <n v="95954.54"/>
    <n v="1371"/>
  </r>
  <r>
    <x v="25"/>
    <x v="1"/>
    <s v="TAS"/>
    <s v="No agreement"/>
    <s v="More than 200% MBS Fee"/>
    <n v="1485717.99"/>
    <n v="318419.49"/>
    <n v="123716.76"/>
    <n v="1093"/>
  </r>
  <r>
    <x v="25"/>
    <x v="1"/>
    <s v="TAS"/>
    <s v="Known gap agreement"/>
    <s v="100% MBS Fee to 125% MBS Fee"/>
    <n v="206183.82"/>
    <n v="134352.75"/>
    <n v="64893.69"/>
    <n v="1363"/>
  </r>
  <r>
    <x v="25"/>
    <x v="1"/>
    <s v="TAS"/>
    <s v="Known gap agreement"/>
    <s v="More than 125% MBS Fee to 150% MBS Fee"/>
    <n v="429655.62"/>
    <n v="232323.35"/>
    <n v="182684.04"/>
    <n v="1970"/>
  </r>
  <r>
    <x v="25"/>
    <x v="1"/>
    <s v="TAS"/>
    <s v="Known gap agreement"/>
    <s v="More than 150% MBS Fee to 200% MBS Fee"/>
    <n v="2457389.7599999998"/>
    <n v="1047157.47"/>
    <n v="1107673.58"/>
    <n v="3474"/>
  </r>
  <r>
    <x v="25"/>
    <x v="1"/>
    <s v="TAS"/>
    <s v="Known gap agreement"/>
    <s v="More than 200% MBS Fee"/>
    <n v="2878990.64"/>
    <n v="769837.07"/>
    <n v="904053.07"/>
    <n v="6779"/>
  </r>
  <r>
    <x v="25"/>
    <x v="1"/>
    <s v="TAS"/>
    <s v="No gap agreement"/>
    <s v="Up to MBS Fee"/>
    <n v="1904217.69"/>
    <n v="1429157.19"/>
    <n v="475060.5"/>
    <n v="32190"/>
  </r>
  <r>
    <x v="25"/>
    <x v="1"/>
    <s v="TAS"/>
    <s v="No gap agreement"/>
    <s v="100% MBS Fee to 125% MBS Fee"/>
    <n v="2973182.76"/>
    <n v="1889782.55"/>
    <n v="1083393.06"/>
    <n v="21405"/>
  </r>
  <r>
    <x v="25"/>
    <x v="1"/>
    <s v="TAS"/>
    <s v="No gap agreement"/>
    <s v="More than 125% MBS Fee to 150% MBS Fee"/>
    <n v="9695794.2200000007"/>
    <n v="5294434.66"/>
    <n v="4401354.71"/>
    <n v="58952"/>
  </r>
  <r>
    <x v="25"/>
    <x v="1"/>
    <s v="TAS"/>
    <s v="No gap agreement"/>
    <s v="More than 150% MBS Fee to 200% MBS Fee"/>
    <n v="11716898.539999999"/>
    <n v="5361898.5199999996"/>
    <n v="6354990.0199999996"/>
    <n v="54433"/>
  </r>
  <r>
    <x v="25"/>
    <x v="1"/>
    <s v="TAS"/>
    <s v="No gap agreement"/>
    <s v="More than 200% MBS Fee"/>
    <n v="324173.25"/>
    <n v="89683.95"/>
    <n v="234489.3"/>
    <n v="221"/>
  </r>
  <r>
    <x v="25"/>
    <x v="1"/>
    <s v="ACT"/>
    <s v="No agreement"/>
    <s v="Up to MBS Fee"/>
    <n v="849638.08"/>
    <n v="635562.35"/>
    <n v="210187.48"/>
    <n v="6642"/>
  </r>
  <r>
    <x v="25"/>
    <x v="1"/>
    <s v="ACT"/>
    <s v="No agreement"/>
    <s v="100% MBS Fee to 125% MBS Fee"/>
    <n v="101299.32"/>
    <n v="69877.22"/>
    <n v="24128.15"/>
    <n v="403"/>
  </r>
  <r>
    <x v="25"/>
    <x v="1"/>
    <s v="ACT"/>
    <s v="No agreement"/>
    <s v="More than 125% MBS Fee to 150% MBS Fee"/>
    <n v="131301.17000000001"/>
    <n v="70664.800000000003"/>
    <n v="28864.6"/>
    <n v="409"/>
  </r>
  <r>
    <x v="25"/>
    <x v="1"/>
    <s v="ACT"/>
    <s v="No agreement"/>
    <s v="More than 150% MBS Fee to 200% MBS Fee"/>
    <n v="432208.36"/>
    <n v="184961.36"/>
    <n v="89818.46"/>
    <n v="1861"/>
  </r>
  <r>
    <x v="25"/>
    <x v="1"/>
    <s v="ACT"/>
    <s v="No agreement"/>
    <s v="More than 200% MBS Fee"/>
    <n v="7186398.3499999996"/>
    <n v="1552682.53"/>
    <n v="527383.65"/>
    <n v="6243"/>
  </r>
  <r>
    <x v="25"/>
    <x v="1"/>
    <s v="ACT"/>
    <s v="Known gap agreement"/>
    <s v="100% MBS Fee to 125% MBS Fee"/>
    <n v="63897.98"/>
    <n v="40506.050000000003"/>
    <n v="21592.61"/>
    <n v="301"/>
  </r>
  <r>
    <x v="25"/>
    <x v="1"/>
    <s v="ACT"/>
    <s v="Known gap agreement"/>
    <s v="More than 125% MBS Fee to 150% MBS Fee"/>
    <n v="232391.56"/>
    <n v="129340.37"/>
    <n v="92427.59"/>
    <n v="1186"/>
  </r>
  <r>
    <x v="25"/>
    <x v="1"/>
    <s v="ACT"/>
    <s v="Known gap agreement"/>
    <s v="More than 150% MBS Fee to 200% MBS Fee"/>
    <n v="580040.26"/>
    <n v="249926.36"/>
    <n v="253208.32000000001"/>
    <n v="1221"/>
  </r>
  <r>
    <x v="25"/>
    <x v="1"/>
    <s v="ACT"/>
    <s v="Known gap agreement"/>
    <s v="More than 200% MBS Fee"/>
    <n v="3635743.79"/>
    <n v="969209.67"/>
    <n v="1006079.16"/>
    <n v="12580"/>
  </r>
  <r>
    <x v="25"/>
    <x v="1"/>
    <s v="ACT"/>
    <s v="No gap agreement"/>
    <s v="Up to MBS Fee"/>
    <n v="462068.47"/>
    <n v="346992.44"/>
    <n v="115076.03"/>
    <n v="11566"/>
  </r>
  <r>
    <x v="25"/>
    <x v="1"/>
    <s v="ACT"/>
    <s v="No gap agreement"/>
    <s v="100% MBS Fee to 125% MBS Fee"/>
    <n v="1851942.61"/>
    <n v="1182202.6499999999"/>
    <n v="669731.21"/>
    <n v="16325"/>
  </r>
  <r>
    <x v="25"/>
    <x v="1"/>
    <s v="ACT"/>
    <s v="No gap agreement"/>
    <s v="More than 125% MBS Fee to 150% MBS Fee"/>
    <n v="3948236.32"/>
    <n v="2182783.9"/>
    <n v="1765433.78"/>
    <n v="32686"/>
  </r>
  <r>
    <x v="25"/>
    <x v="1"/>
    <s v="ACT"/>
    <s v="No gap agreement"/>
    <s v="More than 150% MBS Fee to 200% MBS Fee"/>
    <n v="3287917.4"/>
    <n v="1505685.8"/>
    <n v="1782189.81"/>
    <n v="18775"/>
  </r>
  <r>
    <x v="25"/>
    <x v="1"/>
    <s v="ACT"/>
    <s v="No gap agreement"/>
    <s v="More than 200% MBS Fee"/>
    <n v="231235.72"/>
    <n v="65139.199999999997"/>
    <n v="166096.51999999999"/>
    <n v="231"/>
  </r>
  <r>
    <x v="25"/>
    <x v="1"/>
    <s v="NT"/>
    <s v="No agreement"/>
    <s v="Up to MBS Fee"/>
    <n v="234224.36"/>
    <n v="175720.91"/>
    <n v="58503.45"/>
    <n v="831"/>
  </r>
  <r>
    <x v="25"/>
    <x v="1"/>
    <s v="NT"/>
    <s v="No agreement"/>
    <s v="100% MBS Fee to 125% MBS Fee"/>
    <n v="16503.439999999999"/>
    <n v="10800.02"/>
    <n v="4392.75"/>
    <n v="99"/>
  </r>
  <r>
    <x v="25"/>
    <x v="1"/>
    <s v="NT"/>
    <s v="No agreement"/>
    <s v="More than 125% MBS Fee to 150% MBS Fee"/>
    <n v="20144.400000000001"/>
    <n v="10958.38"/>
    <n v="3723.05"/>
    <n v="53"/>
  </r>
  <r>
    <x v="25"/>
    <x v="1"/>
    <s v="NT"/>
    <s v="No agreement"/>
    <s v="More than 150% MBS Fee to 200% MBS Fee"/>
    <n v="47617.07"/>
    <n v="20632.78"/>
    <n v="10794.89"/>
    <n v="196"/>
  </r>
  <r>
    <x v="25"/>
    <x v="1"/>
    <s v="NT"/>
    <s v="No agreement"/>
    <s v="More than 200% MBS Fee"/>
    <n v="891969.67"/>
    <n v="205825.45"/>
    <n v="68759.95"/>
    <n v="601"/>
  </r>
  <r>
    <x v="25"/>
    <x v="1"/>
    <s v="NT"/>
    <s v="Known gap agreement"/>
    <s v="100% MBS Fee to 125% MBS Fee"/>
    <n v="25344.2"/>
    <n v="16809.09"/>
    <n v="6855.85"/>
    <n v="141"/>
  </r>
  <r>
    <x v="25"/>
    <x v="1"/>
    <s v="NT"/>
    <s v="Known gap agreement"/>
    <s v="More than 125% MBS Fee to 150% MBS Fee"/>
    <n v="57289.5"/>
    <n v="30629.22"/>
    <n v="23435.88"/>
    <n v="283"/>
  </r>
  <r>
    <x v="25"/>
    <x v="1"/>
    <s v="NT"/>
    <s v="Known gap agreement"/>
    <s v="More than 150% MBS Fee to 200% MBS Fee"/>
    <n v="226000.15"/>
    <n v="97658.91"/>
    <n v="92429.01"/>
    <n v="443"/>
  </r>
  <r>
    <x v="25"/>
    <x v="1"/>
    <s v="NT"/>
    <s v="Known gap agreement"/>
    <s v="More than 200% MBS Fee"/>
    <n v="443248.65"/>
    <n v="123457.78"/>
    <n v="136520.39000000001"/>
    <n v="1492"/>
  </r>
  <r>
    <x v="25"/>
    <x v="1"/>
    <s v="NT"/>
    <s v="No gap agreement"/>
    <s v="Up to MBS Fee"/>
    <n v="492378.14"/>
    <n v="369445.38"/>
    <n v="122932.76"/>
    <n v="6444"/>
  </r>
  <r>
    <x v="25"/>
    <x v="1"/>
    <s v="NT"/>
    <s v="No gap agreement"/>
    <s v="100% MBS Fee to 125% MBS Fee"/>
    <n v="484476.66"/>
    <n v="308282.32"/>
    <n v="176192.93"/>
    <n v="3621"/>
  </r>
  <r>
    <x v="25"/>
    <x v="1"/>
    <s v="NT"/>
    <s v="No gap agreement"/>
    <s v="More than 125% MBS Fee to 150% MBS Fee"/>
    <n v="1356133.75"/>
    <n v="734268.75"/>
    <n v="621863.85"/>
    <n v="5911"/>
  </r>
  <r>
    <x v="25"/>
    <x v="1"/>
    <s v="NT"/>
    <s v="No gap agreement"/>
    <s v="More than 150% MBS Fee to 200% MBS Fee"/>
    <n v="2002770.74"/>
    <n v="916699.7"/>
    <n v="1086019.1399999999"/>
    <n v="9694"/>
  </r>
  <r>
    <x v="25"/>
    <x v="1"/>
    <s v="NT"/>
    <s v="No gap agreement"/>
    <s v="More than 200% MBS Fee"/>
    <n v="52359.65"/>
    <n v="15618.4"/>
    <n v="36741.25"/>
    <n v="61"/>
  </r>
  <r>
    <x v="26"/>
    <x v="0"/>
    <s v="NSW"/>
    <s v="No agreement"/>
    <s v="Up to MBS Fee"/>
    <n v="26955292.960000001"/>
    <n v="20168101.120000001"/>
    <n v="6765197.8399999999"/>
    <n v="222639"/>
  </r>
  <r>
    <x v="26"/>
    <x v="0"/>
    <s v="NSW"/>
    <s v="No agreement"/>
    <s v="100% MBS Fee to 125% MBS Fee"/>
    <n v="2823646.74"/>
    <n v="1908225.45"/>
    <n v="663383.01"/>
    <n v="9717"/>
  </r>
  <r>
    <x v="26"/>
    <x v="0"/>
    <s v="NSW"/>
    <s v="No agreement"/>
    <s v="More than 125% MBS Fee to 150% MBS Fee"/>
    <n v="1803131.78"/>
    <n v="981090.3"/>
    <n v="335835.08"/>
    <n v="4232"/>
  </r>
  <r>
    <x v="26"/>
    <x v="0"/>
    <s v="NSW"/>
    <s v="No agreement"/>
    <s v="More than 150% MBS Fee to 200% MBS Fee"/>
    <n v="5942221.4400000004"/>
    <n v="2546079.83"/>
    <n v="907680.41"/>
    <n v="16320"/>
  </r>
  <r>
    <x v="26"/>
    <x v="0"/>
    <s v="NSW"/>
    <s v="No agreement"/>
    <s v="More than 200% MBS Fee"/>
    <n v="83006361.510000005"/>
    <n v="17787009.109999999"/>
    <n v="6038852.0599999996"/>
    <n v="73191"/>
  </r>
  <r>
    <x v="26"/>
    <x v="0"/>
    <s v="NSW"/>
    <s v="Known gap agreement"/>
    <s v="100% MBS Fee to 125% MBS Fee"/>
    <n v="2613940.14"/>
    <n v="1715376.41"/>
    <n v="773446.28"/>
    <n v="11270"/>
  </r>
  <r>
    <x v="26"/>
    <x v="0"/>
    <s v="NSW"/>
    <s v="Known gap agreement"/>
    <s v="More than 125% MBS Fee to 150% MBS Fee"/>
    <n v="5885786.9400000004"/>
    <n v="3148833.24"/>
    <n v="2468996.44"/>
    <n v="19071"/>
  </r>
  <r>
    <x v="26"/>
    <x v="0"/>
    <s v="NSW"/>
    <s v="Known gap agreement"/>
    <s v="More than 150% MBS Fee to 200% MBS Fee"/>
    <n v="16826700.59"/>
    <n v="7227466.0300000003"/>
    <n v="7336632.9900000002"/>
    <n v="30404"/>
  </r>
  <r>
    <x v="26"/>
    <x v="0"/>
    <s v="NSW"/>
    <s v="Known gap agreement"/>
    <s v="More than 200% MBS Fee"/>
    <n v="45424570.539999999"/>
    <n v="11684230.699999999"/>
    <n v="13458400.029999999"/>
    <n v="150237"/>
  </r>
  <r>
    <x v="26"/>
    <x v="0"/>
    <s v="NSW"/>
    <s v="No gap agreement"/>
    <s v="Up to MBS Fee"/>
    <n v="25811963.91"/>
    <n v="19425390.850000001"/>
    <n v="6386793.3399999999"/>
    <n v="822045"/>
  </r>
  <r>
    <x v="26"/>
    <x v="0"/>
    <s v="NSW"/>
    <s v="No gap agreement"/>
    <s v="100% MBS Fee to 125% MBS Fee"/>
    <n v="51306939.25"/>
    <n v="32753203.84"/>
    <n v="18553638.27"/>
    <n v="421531"/>
  </r>
  <r>
    <x v="26"/>
    <x v="0"/>
    <s v="NSW"/>
    <s v="No gap agreement"/>
    <s v="More than 125% MBS Fee to 150% MBS Fee"/>
    <n v="106821627.95999999"/>
    <n v="58516035.310000002"/>
    <n v="48305556.560000002"/>
    <n v="594642"/>
  </r>
  <r>
    <x v="26"/>
    <x v="0"/>
    <s v="NSW"/>
    <s v="No gap agreement"/>
    <s v="More than 150% MBS Fee to 200% MBS Fee"/>
    <n v="110734481.63"/>
    <n v="50767842.079999998"/>
    <n v="59966531.460000001"/>
    <n v="623340"/>
  </r>
  <r>
    <x v="26"/>
    <x v="0"/>
    <s v="NSW"/>
    <s v="No gap agreement"/>
    <s v="More than 200% MBS Fee"/>
    <n v="6640351.7699999996"/>
    <n v="1946321.93"/>
    <n v="4694020.2300000004"/>
    <n v="6413"/>
  </r>
  <r>
    <x v="26"/>
    <x v="0"/>
    <s v="VIC"/>
    <s v="No agreement"/>
    <s v="Up to MBS Fee"/>
    <n v="6061486.9800000004"/>
    <n v="4576467.12"/>
    <n v="1482247.91"/>
    <n v="115437"/>
  </r>
  <r>
    <x v="26"/>
    <x v="0"/>
    <s v="VIC"/>
    <s v="No agreement"/>
    <s v="100% MBS Fee to 125% MBS Fee"/>
    <n v="1397967.02"/>
    <n v="922408.39"/>
    <n v="323220.71999999997"/>
    <n v="3011"/>
  </r>
  <r>
    <x v="26"/>
    <x v="0"/>
    <s v="VIC"/>
    <s v="No agreement"/>
    <s v="More than 125% MBS Fee to 150% MBS Fee"/>
    <n v="1464419.22"/>
    <n v="785804.04"/>
    <n v="279349.09999999998"/>
    <n v="6090"/>
  </r>
  <r>
    <x v="26"/>
    <x v="0"/>
    <s v="VIC"/>
    <s v="No agreement"/>
    <s v="More than 150% MBS Fee to 200% MBS Fee"/>
    <n v="3011084.35"/>
    <n v="1321967.53"/>
    <n v="453318.33"/>
    <n v="10016"/>
  </r>
  <r>
    <x v="26"/>
    <x v="0"/>
    <s v="VIC"/>
    <s v="No agreement"/>
    <s v="More than 200% MBS Fee"/>
    <n v="25400173.449999999"/>
    <n v="5633573.8600000003"/>
    <n v="1894182.83"/>
    <n v="21584"/>
  </r>
  <r>
    <x v="26"/>
    <x v="0"/>
    <s v="VIC"/>
    <s v="Known gap agreement"/>
    <s v="100% MBS Fee to 125% MBS Fee"/>
    <n v="2131969.12"/>
    <n v="1417968.92"/>
    <n v="597753.87"/>
    <n v="9944"/>
  </r>
  <r>
    <x v="26"/>
    <x v="0"/>
    <s v="VIC"/>
    <s v="Known gap agreement"/>
    <s v="More than 125% MBS Fee to 150% MBS Fee"/>
    <n v="6408488.8399999999"/>
    <n v="3434724.56"/>
    <n v="2512678.23"/>
    <n v="20828"/>
  </r>
  <r>
    <x v="26"/>
    <x v="0"/>
    <s v="VIC"/>
    <s v="Known gap agreement"/>
    <s v="More than 150% MBS Fee to 200% MBS Fee"/>
    <n v="16522539.58"/>
    <n v="7127754.8399999999"/>
    <n v="6884126.8799999999"/>
    <n v="34891"/>
  </r>
  <r>
    <x v="26"/>
    <x v="0"/>
    <s v="VIC"/>
    <s v="Known gap agreement"/>
    <s v="More than 200% MBS Fee"/>
    <n v="39302319.549999997"/>
    <n v="10457256.74"/>
    <n v="11967498.210000001"/>
    <n v="141826"/>
  </r>
  <r>
    <x v="26"/>
    <x v="0"/>
    <s v="VIC"/>
    <s v="No gap agreement"/>
    <s v="Up to MBS Fee"/>
    <n v="19652711.73"/>
    <n v="14783561.48"/>
    <n v="4869197.04"/>
    <n v="283784"/>
  </r>
  <r>
    <x v="26"/>
    <x v="0"/>
    <s v="VIC"/>
    <s v="No gap agreement"/>
    <s v="100% MBS Fee to 125% MBS Fee"/>
    <n v="43925073.350000001"/>
    <n v="28115296.329999998"/>
    <n v="15809628.869999999"/>
    <n v="364001"/>
  </r>
  <r>
    <x v="26"/>
    <x v="0"/>
    <s v="VIC"/>
    <s v="No gap agreement"/>
    <s v="More than 125% MBS Fee to 150% MBS Fee"/>
    <n v="107848392.47"/>
    <n v="59328735.299999997"/>
    <n v="48519522.939999998"/>
    <n v="675082"/>
  </r>
  <r>
    <x v="26"/>
    <x v="0"/>
    <s v="VIC"/>
    <s v="No gap agreement"/>
    <s v="More than 150% MBS Fee to 200% MBS Fee"/>
    <n v="82824117.290000007"/>
    <n v="37638681.030000001"/>
    <n v="45185368.299999997"/>
    <n v="464997"/>
  </r>
  <r>
    <x v="26"/>
    <x v="0"/>
    <s v="VIC"/>
    <s v="No gap agreement"/>
    <s v="More than 200% MBS Fee"/>
    <n v="3083668.73"/>
    <n v="854481.02"/>
    <n v="2229187.71"/>
    <n v="2458"/>
  </r>
  <r>
    <x v="26"/>
    <x v="0"/>
    <s v="QLD"/>
    <s v="No agreement"/>
    <s v="Up to MBS Fee"/>
    <n v="4844738.82"/>
    <n v="3617210.26"/>
    <n v="1195963.1100000001"/>
    <n v="67829"/>
  </r>
  <r>
    <x v="26"/>
    <x v="0"/>
    <s v="QLD"/>
    <s v="No agreement"/>
    <s v="100% MBS Fee to 125% MBS Fee"/>
    <n v="1294100.1000000001"/>
    <n v="884624.29"/>
    <n v="301638.06"/>
    <n v="2769"/>
  </r>
  <r>
    <x v="26"/>
    <x v="0"/>
    <s v="QLD"/>
    <s v="No agreement"/>
    <s v="More than 125% MBS Fee to 150% MBS Fee"/>
    <n v="1055798.07"/>
    <n v="574689.24"/>
    <n v="195556.9"/>
    <n v="2072"/>
  </r>
  <r>
    <x v="26"/>
    <x v="0"/>
    <s v="QLD"/>
    <s v="No agreement"/>
    <s v="More than 150% MBS Fee to 200% MBS Fee"/>
    <n v="3659024.44"/>
    <n v="1579550.35"/>
    <n v="531695.88"/>
    <n v="18146"/>
  </r>
  <r>
    <x v="26"/>
    <x v="0"/>
    <s v="QLD"/>
    <s v="No agreement"/>
    <s v="More than 200% MBS Fee"/>
    <n v="42753057.490000002"/>
    <n v="9351364.1899999995"/>
    <n v="3133871.03"/>
    <n v="36398"/>
  </r>
  <r>
    <x v="26"/>
    <x v="0"/>
    <s v="QLD"/>
    <s v="Known gap agreement"/>
    <s v="100% MBS Fee to 125% MBS Fee"/>
    <n v="1523393.07"/>
    <n v="999941.4"/>
    <n v="439702.53"/>
    <n v="6908"/>
  </r>
  <r>
    <x v="26"/>
    <x v="0"/>
    <s v="QLD"/>
    <s v="Known gap agreement"/>
    <s v="More than 125% MBS Fee to 150% MBS Fee"/>
    <n v="4416320.05"/>
    <n v="2367087.23"/>
    <n v="1744728.89"/>
    <n v="17675"/>
  </r>
  <r>
    <x v="26"/>
    <x v="0"/>
    <s v="QLD"/>
    <s v="Known gap agreement"/>
    <s v="More than 150% MBS Fee to 200% MBS Fee"/>
    <n v="19937200.780000001"/>
    <n v="8463341.9000000004"/>
    <n v="8470661.3499999996"/>
    <n v="33343"/>
  </r>
  <r>
    <x v="26"/>
    <x v="0"/>
    <s v="QLD"/>
    <s v="Known gap agreement"/>
    <s v="More than 200% MBS Fee"/>
    <n v="47420328.039999999"/>
    <n v="11723884.789999999"/>
    <n v="13359262.359999999"/>
    <n v="124161"/>
  </r>
  <r>
    <x v="26"/>
    <x v="0"/>
    <s v="QLD"/>
    <s v="No gap agreement"/>
    <s v="Up to MBS Fee"/>
    <n v="16090133.560000001"/>
    <n v="12085032.65"/>
    <n v="4005101.26"/>
    <n v="274696"/>
  </r>
  <r>
    <x v="26"/>
    <x v="0"/>
    <s v="QLD"/>
    <s v="No gap agreement"/>
    <s v="100% MBS Fee to 125% MBS Fee"/>
    <n v="48371472.68"/>
    <n v="30932184.050000001"/>
    <n v="17439000.640000001"/>
    <n v="415327"/>
  </r>
  <r>
    <x v="26"/>
    <x v="0"/>
    <s v="QLD"/>
    <s v="No gap agreement"/>
    <s v="More than 125% MBS Fee to 150% MBS Fee"/>
    <n v="84414701"/>
    <n v="46604658.479999997"/>
    <n v="37809947.630000003"/>
    <n v="649756"/>
  </r>
  <r>
    <x v="26"/>
    <x v="0"/>
    <s v="QLD"/>
    <s v="No gap agreement"/>
    <s v="More than 150% MBS Fee to 200% MBS Fee"/>
    <n v="76352255.799999997"/>
    <n v="34928503.390000001"/>
    <n v="41423069.689999998"/>
    <n v="499379"/>
  </r>
  <r>
    <x v="26"/>
    <x v="0"/>
    <s v="QLD"/>
    <s v="No gap agreement"/>
    <s v="More than 200% MBS Fee"/>
    <n v="4652237.6500000004"/>
    <n v="1364639.51"/>
    <n v="3287597"/>
    <n v="6425"/>
  </r>
  <r>
    <x v="26"/>
    <x v="0"/>
    <s v="SA"/>
    <s v="No agreement"/>
    <s v="Up to MBS Fee"/>
    <n v="1606568.39"/>
    <n v="1203438.03"/>
    <n v="396003.21"/>
    <n v="8887"/>
  </r>
  <r>
    <x v="26"/>
    <x v="0"/>
    <s v="SA"/>
    <s v="No agreement"/>
    <s v="100% MBS Fee to 125% MBS Fee"/>
    <n v="500253.36"/>
    <n v="337250.52"/>
    <n v="113273.55"/>
    <n v="743"/>
  </r>
  <r>
    <x v="26"/>
    <x v="0"/>
    <s v="SA"/>
    <s v="No agreement"/>
    <s v="More than 125% MBS Fee to 150% MBS Fee"/>
    <n v="214227.79"/>
    <n v="115812.6"/>
    <n v="40680"/>
    <n v="349"/>
  </r>
  <r>
    <x v="26"/>
    <x v="0"/>
    <s v="SA"/>
    <s v="No agreement"/>
    <s v="More than 150% MBS Fee to 200% MBS Fee"/>
    <n v="301767.52"/>
    <n v="128888.73"/>
    <n v="43844.42"/>
    <n v="856"/>
  </r>
  <r>
    <x v="26"/>
    <x v="0"/>
    <s v="SA"/>
    <s v="No agreement"/>
    <s v="More than 200% MBS Fee"/>
    <n v="3771636.58"/>
    <n v="741822.68"/>
    <n v="248690.66"/>
    <n v="2465"/>
  </r>
  <r>
    <x v="26"/>
    <x v="0"/>
    <s v="SA"/>
    <s v="Known gap agreement"/>
    <s v="100% MBS Fee to 125% MBS Fee"/>
    <n v="251065.25"/>
    <n v="155578.51999999999"/>
    <n v="71085.72"/>
    <n v="1676"/>
  </r>
  <r>
    <x v="26"/>
    <x v="0"/>
    <s v="SA"/>
    <s v="Known gap agreement"/>
    <s v="More than 125% MBS Fee to 150% MBS Fee"/>
    <n v="1656808.93"/>
    <n v="889417.26"/>
    <n v="672165.51"/>
    <n v="6834"/>
  </r>
  <r>
    <x v="26"/>
    <x v="0"/>
    <s v="SA"/>
    <s v="Known gap agreement"/>
    <s v="More than 150% MBS Fee to 200% MBS Fee"/>
    <n v="10422939.26"/>
    <n v="4395564.12"/>
    <n v="4647186.1500000004"/>
    <n v="15798"/>
  </r>
  <r>
    <x v="26"/>
    <x v="0"/>
    <s v="SA"/>
    <s v="Known gap agreement"/>
    <s v="More than 200% MBS Fee"/>
    <n v="12130848.779999999"/>
    <n v="3378511.35"/>
    <n v="3986576.43"/>
    <n v="43727"/>
  </r>
  <r>
    <x v="26"/>
    <x v="0"/>
    <s v="SA"/>
    <s v="No gap agreement"/>
    <s v="Up to MBS Fee"/>
    <n v="7589761.21"/>
    <n v="5696633.2000000002"/>
    <n v="1893128.01"/>
    <n v="149491"/>
  </r>
  <r>
    <x v="26"/>
    <x v="0"/>
    <s v="SA"/>
    <s v="No gap agreement"/>
    <s v="100% MBS Fee to 125% MBS Fee"/>
    <n v="10345738.710000001"/>
    <n v="6508992.9199999999"/>
    <n v="3836632.46"/>
    <n v="84310"/>
  </r>
  <r>
    <x v="26"/>
    <x v="0"/>
    <s v="SA"/>
    <s v="No gap agreement"/>
    <s v="More than 125% MBS Fee to 150% MBS Fee"/>
    <n v="33395842.73"/>
    <n v="18162478.91"/>
    <n v="15233338.84"/>
    <n v="223131"/>
  </r>
  <r>
    <x v="26"/>
    <x v="0"/>
    <s v="SA"/>
    <s v="No gap agreement"/>
    <s v="More than 150% MBS Fee to 200% MBS Fee"/>
    <n v="37856992.840000004"/>
    <n v="17098328.260000002"/>
    <n v="20758659.469999999"/>
    <n v="165879"/>
  </r>
  <r>
    <x v="26"/>
    <x v="0"/>
    <s v="SA"/>
    <s v="No gap agreement"/>
    <s v="More than 200% MBS Fee"/>
    <n v="1085227.94"/>
    <n v="295387.64"/>
    <n v="789840.3"/>
    <n v="850"/>
  </r>
  <r>
    <x v="26"/>
    <x v="0"/>
    <s v="WA"/>
    <s v="No agreement"/>
    <s v="Up to MBS Fee"/>
    <n v="1655402.33"/>
    <n v="1248957.56"/>
    <n v="405280.21"/>
    <n v="20177"/>
  </r>
  <r>
    <x v="26"/>
    <x v="0"/>
    <s v="WA"/>
    <s v="No agreement"/>
    <s v="100% MBS Fee to 125% MBS Fee"/>
    <n v="352289.57"/>
    <n v="237927.83"/>
    <n v="79160.27"/>
    <n v="851"/>
  </r>
  <r>
    <x v="26"/>
    <x v="0"/>
    <s v="WA"/>
    <s v="No agreement"/>
    <s v="More than 125% MBS Fee to 150% MBS Fee"/>
    <n v="416167.69"/>
    <n v="228168.05"/>
    <n v="80243.5"/>
    <n v="1087"/>
  </r>
  <r>
    <x v="26"/>
    <x v="0"/>
    <s v="WA"/>
    <s v="No agreement"/>
    <s v="More than 150% MBS Fee to 200% MBS Fee"/>
    <n v="1292479.8"/>
    <n v="560450.62"/>
    <n v="190051.47"/>
    <n v="4015"/>
  </r>
  <r>
    <x v="26"/>
    <x v="0"/>
    <s v="WA"/>
    <s v="No agreement"/>
    <s v="More than 200% MBS Fee"/>
    <n v="9169990.4000000004"/>
    <n v="1832553.8"/>
    <n v="615157.43999999994"/>
    <n v="8485"/>
  </r>
  <r>
    <x v="26"/>
    <x v="0"/>
    <s v="WA"/>
    <s v="Known gap agreement"/>
    <s v="100% MBS Fee to 125% MBS Fee"/>
    <n v="737049.78"/>
    <n v="480429.05"/>
    <n v="228526.32"/>
    <n v="3538"/>
  </r>
  <r>
    <x v="26"/>
    <x v="0"/>
    <s v="WA"/>
    <s v="Known gap agreement"/>
    <s v="More than 125% MBS Fee to 150% MBS Fee"/>
    <n v="2888387.67"/>
    <n v="1532579.16"/>
    <n v="1164562.3400000001"/>
    <n v="22939"/>
  </r>
  <r>
    <x v="26"/>
    <x v="0"/>
    <s v="WA"/>
    <s v="Known gap agreement"/>
    <s v="More than 150% MBS Fee to 200% MBS Fee"/>
    <n v="9664453.3599999994"/>
    <n v="4240410.0599999996"/>
    <n v="3925311.15"/>
    <n v="15463"/>
  </r>
  <r>
    <x v="26"/>
    <x v="0"/>
    <s v="WA"/>
    <s v="Known gap agreement"/>
    <s v="More than 200% MBS Fee"/>
    <n v="20522046.609999999"/>
    <n v="4994826.84"/>
    <n v="3604531.53"/>
    <n v="48387"/>
  </r>
  <r>
    <x v="26"/>
    <x v="0"/>
    <s v="WA"/>
    <s v="No gap agreement"/>
    <s v="Up to MBS Fee"/>
    <n v="11275164.76"/>
    <n v="8468175.0500000007"/>
    <n v="2806989.7"/>
    <n v="181874"/>
  </r>
  <r>
    <x v="26"/>
    <x v="0"/>
    <s v="WA"/>
    <s v="No gap agreement"/>
    <s v="100% MBS Fee to 125% MBS Fee"/>
    <n v="13265031.550000001"/>
    <n v="8605428.1600000001"/>
    <n v="4659549.04"/>
    <n v="85848"/>
  </r>
  <r>
    <x v="26"/>
    <x v="0"/>
    <s v="WA"/>
    <s v="No gap agreement"/>
    <s v="More than 125% MBS Fee to 150% MBS Fee"/>
    <n v="52963644.770000003"/>
    <n v="29048821.57"/>
    <n v="23914816.690000001"/>
    <n v="349145"/>
  </r>
  <r>
    <x v="26"/>
    <x v="0"/>
    <s v="WA"/>
    <s v="No gap agreement"/>
    <s v="More than 150% MBS Fee to 200% MBS Fee"/>
    <n v="60115989.07"/>
    <n v="26716862.390000001"/>
    <n v="33399097.780000001"/>
    <n v="277625"/>
  </r>
  <r>
    <x v="26"/>
    <x v="0"/>
    <s v="WA"/>
    <s v="No gap agreement"/>
    <s v="More than 200% MBS Fee"/>
    <n v="2401819.66"/>
    <n v="636478.34"/>
    <n v="1765341.32"/>
    <n v="1786"/>
  </r>
  <r>
    <x v="26"/>
    <x v="0"/>
    <s v="TAS"/>
    <s v="No agreement"/>
    <s v="Up to MBS Fee"/>
    <n v="308124.64"/>
    <n v="231637.25"/>
    <n v="76464.44"/>
    <n v="3105"/>
  </r>
  <r>
    <x v="26"/>
    <x v="0"/>
    <s v="TAS"/>
    <s v="No agreement"/>
    <s v="100% MBS Fee to 125% MBS Fee"/>
    <n v="55982.51"/>
    <n v="38321.46"/>
    <n v="12742.94"/>
    <n v="180"/>
  </r>
  <r>
    <x v="26"/>
    <x v="0"/>
    <s v="TAS"/>
    <s v="No agreement"/>
    <s v="More than 125% MBS Fee to 150% MBS Fee"/>
    <n v="38801.26"/>
    <n v="21224.36"/>
    <n v="6885.62"/>
    <n v="152"/>
  </r>
  <r>
    <x v="26"/>
    <x v="0"/>
    <s v="TAS"/>
    <s v="No agreement"/>
    <s v="More than 150% MBS Fee to 200% MBS Fee"/>
    <n v="154922.14000000001"/>
    <n v="67435.34"/>
    <n v="22880.76"/>
    <n v="431"/>
  </r>
  <r>
    <x v="26"/>
    <x v="0"/>
    <s v="TAS"/>
    <s v="No agreement"/>
    <s v="More than 200% MBS Fee"/>
    <n v="1943862.98"/>
    <n v="426894.11"/>
    <n v="143198.39000000001"/>
    <n v="1294"/>
  </r>
  <r>
    <x v="26"/>
    <x v="0"/>
    <s v="TAS"/>
    <s v="Known gap agreement"/>
    <s v="100% MBS Fee to 125% MBS Fee"/>
    <n v="104125.78"/>
    <n v="68911.28"/>
    <n v="25540.31"/>
    <n v="525"/>
  </r>
  <r>
    <x v="26"/>
    <x v="0"/>
    <s v="TAS"/>
    <s v="Known gap agreement"/>
    <s v="More than 125% MBS Fee to 150% MBS Fee"/>
    <n v="398814.82"/>
    <n v="214471.87"/>
    <n v="162396.57999999999"/>
    <n v="1717"/>
  </r>
  <r>
    <x v="26"/>
    <x v="0"/>
    <s v="TAS"/>
    <s v="Known gap agreement"/>
    <s v="More than 150% MBS Fee to 200% MBS Fee"/>
    <n v="2253927.27"/>
    <n v="960948.78"/>
    <n v="1000091.3"/>
    <n v="2786"/>
  </r>
  <r>
    <x v="26"/>
    <x v="0"/>
    <s v="TAS"/>
    <s v="Known gap agreement"/>
    <s v="More than 200% MBS Fee"/>
    <n v="3176239.73"/>
    <n v="837266.69"/>
    <n v="991674.02"/>
    <n v="6713"/>
  </r>
  <r>
    <x v="26"/>
    <x v="0"/>
    <s v="TAS"/>
    <s v="No gap agreement"/>
    <s v="Up to MBS Fee"/>
    <n v="1690072.36"/>
    <n v="1269361.6399999999"/>
    <n v="420710.72"/>
    <n v="27656"/>
  </r>
  <r>
    <x v="26"/>
    <x v="0"/>
    <s v="TAS"/>
    <s v="No gap agreement"/>
    <s v="100% MBS Fee to 125% MBS Fee"/>
    <n v="2707121.69"/>
    <n v="1710419.04"/>
    <n v="996702.25"/>
    <n v="18678"/>
  </r>
  <r>
    <x v="26"/>
    <x v="0"/>
    <s v="TAS"/>
    <s v="No gap agreement"/>
    <s v="More than 125% MBS Fee to 150% MBS Fee"/>
    <n v="9554571.1899999995"/>
    <n v="5203667.8600000003"/>
    <n v="4350896.9800000004"/>
    <n v="56908"/>
  </r>
  <r>
    <x v="26"/>
    <x v="0"/>
    <s v="TAS"/>
    <s v="No gap agreement"/>
    <s v="More than 150% MBS Fee to 200% MBS Fee"/>
    <n v="11177109.33"/>
    <n v="5113562.28"/>
    <n v="6063545.4900000002"/>
    <n v="55948"/>
  </r>
  <r>
    <x v="26"/>
    <x v="0"/>
    <s v="TAS"/>
    <s v="No gap agreement"/>
    <s v="More than 200% MBS Fee"/>
    <n v="354325.99"/>
    <n v="98845.93"/>
    <n v="255479.99"/>
    <n v="258"/>
  </r>
  <r>
    <x v="26"/>
    <x v="0"/>
    <s v="ACT"/>
    <s v="No agreement"/>
    <s v="Up to MBS Fee"/>
    <n v="317584.21999999997"/>
    <n v="224249.49"/>
    <n v="74323.38"/>
    <n v="2595"/>
  </r>
  <r>
    <x v="26"/>
    <x v="0"/>
    <s v="ACT"/>
    <s v="No agreement"/>
    <s v="100% MBS Fee to 125% MBS Fee"/>
    <n v="72789.87"/>
    <n v="49451.39"/>
    <n v="16779.919999999998"/>
    <n v="210"/>
  </r>
  <r>
    <x v="26"/>
    <x v="0"/>
    <s v="ACT"/>
    <s v="No agreement"/>
    <s v="More than 125% MBS Fee to 150% MBS Fee"/>
    <n v="94692.45"/>
    <n v="51441.53"/>
    <n v="17612.16"/>
    <n v="215"/>
  </r>
  <r>
    <x v="26"/>
    <x v="0"/>
    <s v="ACT"/>
    <s v="No agreement"/>
    <s v="More than 150% MBS Fee to 200% MBS Fee"/>
    <n v="492070.74"/>
    <n v="207602.92"/>
    <n v="69095.399999999994"/>
    <n v="1570"/>
  </r>
  <r>
    <x v="26"/>
    <x v="0"/>
    <s v="ACT"/>
    <s v="No agreement"/>
    <s v="More than 200% MBS Fee"/>
    <n v="8410393.9299999997"/>
    <n v="1818955.76"/>
    <n v="609321.22"/>
    <n v="7050"/>
  </r>
  <r>
    <x v="26"/>
    <x v="0"/>
    <s v="ACT"/>
    <s v="Known gap agreement"/>
    <s v="100% MBS Fee to 125% MBS Fee"/>
    <n v="83449.09"/>
    <n v="56179.94"/>
    <n v="23721.75"/>
    <n v="324"/>
  </r>
  <r>
    <x v="26"/>
    <x v="0"/>
    <s v="ACT"/>
    <s v="Known gap agreement"/>
    <s v="More than 125% MBS Fee to 150% MBS Fee"/>
    <n v="182137.59"/>
    <n v="96149.2"/>
    <n v="74749.03"/>
    <n v="438"/>
  </r>
  <r>
    <x v="26"/>
    <x v="0"/>
    <s v="ACT"/>
    <s v="Known gap agreement"/>
    <s v="More than 150% MBS Fee to 200% MBS Fee"/>
    <n v="493323.79"/>
    <n v="209592.55"/>
    <n v="214482.99"/>
    <n v="1216"/>
  </r>
  <r>
    <x v="26"/>
    <x v="0"/>
    <s v="ACT"/>
    <s v="Known gap agreement"/>
    <s v="More than 200% MBS Fee"/>
    <n v="4064158.56"/>
    <n v="1064559.52"/>
    <n v="1086073.49"/>
    <n v="14289"/>
  </r>
  <r>
    <x v="26"/>
    <x v="0"/>
    <s v="ACT"/>
    <s v="No gap agreement"/>
    <s v="Up to MBS Fee"/>
    <n v="447807.58"/>
    <n v="336492.2"/>
    <n v="111315.38"/>
    <n v="9900"/>
  </r>
  <r>
    <x v="26"/>
    <x v="0"/>
    <s v="ACT"/>
    <s v="No gap agreement"/>
    <s v="100% MBS Fee to 125% MBS Fee"/>
    <n v="1853785.04"/>
    <n v="1182542"/>
    <n v="671240.84"/>
    <n v="15520"/>
  </r>
  <r>
    <x v="26"/>
    <x v="0"/>
    <s v="ACT"/>
    <s v="No gap agreement"/>
    <s v="More than 125% MBS Fee to 150% MBS Fee"/>
    <n v="4197909.57"/>
    <n v="2313165.92"/>
    <n v="1884732.91"/>
    <n v="34388"/>
  </r>
  <r>
    <x v="26"/>
    <x v="0"/>
    <s v="ACT"/>
    <s v="No gap agreement"/>
    <s v="More than 150% MBS Fee to 200% MBS Fee"/>
    <n v="3268619.12"/>
    <n v="1502295.65"/>
    <n v="1766283.22"/>
    <n v="17555"/>
  </r>
  <r>
    <x v="26"/>
    <x v="0"/>
    <s v="ACT"/>
    <s v="No gap agreement"/>
    <s v="More than 200% MBS Fee"/>
    <n v="230158.52"/>
    <n v="67358.929999999993"/>
    <n v="162799.59"/>
    <n v="267"/>
  </r>
  <r>
    <x v="26"/>
    <x v="0"/>
    <s v="NT"/>
    <s v="No agreement"/>
    <s v="Up to MBS Fee"/>
    <n v="190773.72"/>
    <n v="141637.37"/>
    <n v="47140.45"/>
    <n v="1305"/>
  </r>
  <r>
    <x v="26"/>
    <x v="0"/>
    <s v="NT"/>
    <s v="No agreement"/>
    <s v="100% MBS Fee to 125% MBS Fee"/>
    <n v="41598.78"/>
    <n v="28890.67"/>
    <n v="9629.6"/>
    <n v="41"/>
  </r>
  <r>
    <x v="26"/>
    <x v="0"/>
    <s v="NT"/>
    <s v="No agreement"/>
    <s v="More than 125% MBS Fee to 150% MBS Fee"/>
    <n v="25255.54"/>
    <n v="13537.61"/>
    <n v="4616.25"/>
    <n v="46"/>
  </r>
  <r>
    <x v="26"/>
    <x v="0"/>
    <s v="NT"/>
    <s v="No agreement"/>
    <s v="More than 150% MBS Fee to 200% MBS Fee"/>
    <n v="50589.08"/>
    <n v="21284.47"/>
    <n v="7092.5"/>
    <n v="104"/>
  </r>
  <r>
    <x v="26"/>
    <x v="0"/>
    <s v="NT"/>
    <s v="No agreement"/>
    <s v="More than 200% MBS Fee"/>
    <n v="1229364.6499999999"/>
    <n v="274768.49"/>
    <n v="91943"/>
    <n v="710"/>
  </r>
  <r>
    <x v="26"/>
    <x v="0"/>
    <s v="NT"/>
    <s v="Known gap agreement"/>
    <s v="100% MBS Fee to 125% MBS Fee"/>
    <n v="24881.81"/>
    <n v="16521.689999999999"/>
    <n v="7495.85"/>
    <n v="127"/>
  </r>
  <r>
    <x v="26"/>
    <x v="0"/>
    <s v="NT"/>
    <s v="Known gap agreement"/>
    <s v="More than 125% MBS Fee to 150% MBS Fee"/>
    <n v="91699.79"/>
    <n v="49613.7"/>
    <n v="39968.71"/>
    <n v="175"/>
  </r>
  <r>
    <x v="26"/>
    <x v="0"/>
    <s v="NT"/>
    <s v="Known gap agreement"/>
    <s v="More than 150% MBS Fee to 200% MBS Fee"/>
    <n v="237557.41"/>
    <n v="102814.68"/>
    <n v="100383.62"/>
    <n v="398"/>
  </r>
  <r>
    <x v="26"/>
    <x v="0"/>
    <s v="NT"/>
    <s v="Known gap agreement"/>
    <s v="More than 200% MBS Fee"/>
    <n v="483372.27"/>
    <n v="131385.21"/>
    <n v="148517.51999999999"/>
    <n v="1663"/>
  </r>
  <r>
    <x v="26"/>
    <x v="0"/>
    <s v="NT"/>
    <s v="No gap agreement"/>
    <s v="Up to MBS Fee"/>
    <n v="344309.97"/>
    <n v="258286.54"/>
    <n v="86023.43"/>
    <n v="3980"/>
  </r>
  <r>
    <x v="26"/>
    <x v="0"/>
    <s v="NT"/>
    <s v="No gap agreement"/>
    <s v="100% MBS Fee to 125% MBS Fee"/>
    <n v="465220"/>
    <n v="296509.2"/>
    <n v="168710.8"/>
    <n v="3197"/>
  </r>
  <r>
    <x v="26"/>
    <x v="0"/>
    <s v="NT"/>
    <s v="No gap agreement"/>
    <s v="More than 125% MBS Fee to 150% MBS Fee"/>
    <n v="1304391.46"/>
    <n v="708364.25"/>
    <n v="596022.1"/>
    <n v="5853"/>
  </r>
  <r>
    <x v="26"/>
    <x v="0"/>
    <s v="NT"/>
    <s v="No gap agreement"/>
    <s v="More than 150% MBS Fee to 200% MBS Fee"/>
    <n v="1881195.1"/>
    <n v="863898.59"/>
    <n v="1017295.64"/>
    <n v="9757"/>
  </r>
  <r>
    <x v="26"/>
    <x v="0"/>
    <s v="NT"/>
    <s v="No gap agreement"/>
    <s v="More than 200% MBS Fee"/>
    <n v="63221.46"/>
    <n v="20053.66"/>
    <n v="43167.8"/>
    <n v="82"/>
  </r>
  <r>
    <x v="26"/>
    <x v="2"/>
    <s v="NSW"/>
    <s v="No agreement"/>
    <s v="Up to MBS Fee"/>
    <n v="28160166.719999999"/>
    <n v="21042227.329999998"/>
    <n v="7085685.9100000001"/>
    <n v="280084"/>
  </r>
  <r>
    <x v="26"/>
    <x v="2"/>
    <s v="NSW"/>
    <s v="No agreement"/>
    <s v="100% MBS Fee to 125% MBS Fee"/>
    <n v="2696972.66"/>
    <n v="1836322.35"/>
    <n v="635479.42000000004"/>
    <n v="10446"/>
  </r>
  <r>
    <x v="26"/>
    <x v="2"/>
    <s v="NSW"/>
    <s v="No agreement"/>
    <s v="More than 125% MBS Fee to 150% MBS Fee"/>
    <n v="1650192.97"/>
    <n v="898597.21"/>
    <n v="298470.44"/>
    <n v="4609"/>
  </r>
  <r>
    <x v="26"/>
    <x v="2"/>
    <s v="NSW"/>
    <s v="No agreement"/>
    <s v="More than 150% MBS Fee to 200% MBS Fee"/>
    <n v="5273051.3"/>
    <n v="2273649.0299999998"/>
    <n v="816250.43"/>
    <n v="16445"/>
  </r>
  <r>
    <x v="26"/>
    <x v="2"/>
    <s v="NSW"/>
    <s v="No agreement"/>
    <s v="More than 200% MBS Fee"/>
    <n v="70092576.829999998"/>
    <n v="15215827.539999999"/>
    <n v="5366248.58"/>
    <n v="65637"/>
  </r>
  <r>
    <x v="26"/>
    <x v="2"/>
    <s v="NSW"/>
    <s v="Known gap agreement"/>
    <s v="100% MBS Fee to 125% MBS Fee"/>
    <n v="3047128.77"/>
    <n v="1998245.03"/>
    <n v="911967.26"/>
    <n v="12142"/>
  </r>
  <r>
    <x v="26"/>
    <x v="2"/>
    <s v="NSW"/>
    <s v="Known gap agreement"/>
    <s v="More than 125% MBS Fee to 150% MBS Fee"/>
    <n v="5252852.9800000004"/>
    <n v="2821428.76"/>
    <n v="2143904.2200000002"/>
    <n v="17303"/>
  </r>
  <r>
    <x v="26"/>
    <x v="2"/>
    <s v="NSW"/>
    <s v="Known gap agreement"/>
    <s v="More than 150% MBS Fee to 200% MBS Fee"/>
    <n v="17904507.850000001"/>
    <n v="7699074.1799999997"/>
    <n v="7591125.8799999999"/>
    <n v="31654"/>
  </r>
  <r>
    <x v="26"/>
    <x v="2"/>
    <s v="NSW"/>
    <s v="Known gap agreement"/>
    <s v="More than 200% MBS Fee"/>
    <n v="60216283.57"/>
    <n v="14973895.33"/>
    <n v="14524174.08"/>
    <n v="163898"/>
  </r>
  <r>
    <x v="26"/>
    <x v="2"/>
    <s v="NSW"/>
    <s v="No gap agreement"/>
    <s v="Up to MBS Fee"/>
    <n v="32314273.32"/>
    <n v="24295158.25"/>
    <n v="8019114.4699999997"/>
    <n v="1033407"/>
  </r>
  <r>
    <x v="26"/>
    <x v="2"/>
    <s v="NSW"/>
    <s v="No gap agreement"/>
    <s v="100% MBS Fee to 125% MBS Fee"/>
    <n v="56665606.460000001"/>
    <n v="36100909.25"/>
    <n v="20564627.66"/>
    <n v="467482"/>
  </r>
  <r>
    <x v="26"/>
    <x v="2"/>
    <s v="NSW"/>
    <s v="No gap agreement"/>
    <s v="More than 125% MBS Fee to 150% MBS Fee"/>
    <n v="113203141.17"/>
    <n v="62508846.920000002"/>
    <n v="50694256.57"/>
    <n v="653800"/>
  </r>
  <r>
    <x v="26"/>
    <x v="2"/>
    <s v="NSW"/>
    <s v="No gap agreement"/>
    <s v="More than 150% MBS Fee to 200% MBS Fee"/>
    <n v="119703026.37"/>
    <n v="55073150.210000001"/>
    <n v="64629800.799999997"/>
    <n v="664827"/>
  </r>
  <r>
    <x v="26"/>
    <x v="2"/>
    <s v="NSW"/>
    <s v="No gap agreement"/>
    <s v="More than 200% MBS Fee"/>
    <n v="7592946.4199999999"/>
    <n v="2389585.75"/>
    <n v="5203360.66"/>
    <n v="14960"/>
  </r>
  <r>
    <x v="26"/>
    <x v="2"/>
    <s v="VIC"/>
    <s v="No agreement"/>
    <s v="Up to MBS Fee"/>
    <n v="8094420.75"/>
    <n v="6079414.6100000003"/>
    <n v="1999407.35"/>
    <n v="156395"/>
  </r>
  <r>
    <x v="26"/>
    <x v="2"/>
    <s v="VIC"/>
    <s v="No agreement"/>
    <s v="100% MBS Fee to 125% MBS Fee"/>
    <n v="1199946.6499999999"/>
    <n v="796098.84"/>
    <n v="271691.21999999997"/>
    <n v="3740"/>
  </r>
  <r>
    <x v="26"/>
    <x v="2"/>
    <s v="VIC"/>
    <s v="No agreement"/>
    <s v="More than 125% MBS Fee to 150% MBS Fee"/>
    <n v="1674452.78"/>
    <n v="901182.28"/>
    <n v="312590.12"/>
    <n v="6916"/>
  </r>
  <r>
    <x v="26"/>
    <x v="2"/>
    <s v="VIC"/>
    <s v="No agreement"/>
    <s v="More than 150% MBS Fee to 200% MBS Fee"/>
    <n v="3690532.04"/>
    <n v="1624838.18"/>
    <n v="605964.78"/>
    <n v="13057"/>
  </r>
  <r>
    <x v="26"/>
    <x v="2"/>
    <s v="VIC"/>
    <s v="No agreement"/>
    <s v="More than 200% MBS Fee"/>
    <n v="26091499.68"/>
    <n v="5905155.7699999996"/>
    <n v="2178471.0299999998"/>
    <n v="26075"/>
  </r>
  <r>
    <x v="26"/>
    <x v="2"/>
    <s v="VIC"/>
    <s v="Known gap agreement"/>
    <s v="100% MBS Fee to 125% MBS Fee"/>
    <n v="2320493.04"/>
    <n v="1531751.59"/>
    <n v="672924.45"/>
    <n v="11037"/>
  </r>
  <r>
    <x v="26"/>
    <x v="2"/>
    <s v="VIC"/>
    <s v="Known gap agreement"/>
    <s v="More than 125% MBS Fee to 150% MBS Fee"/>
    <n v="6170178.7999999998"/>
    <n v="3335991.37"/>
    <n v="2390134.9900000002"/>
    <n v="21784"/>
  </r>
  <r>
    <x v="26"/>
    <x v="2"/>
    <s v="VIC"/>
    <s v="Known gap agreement"/>
    <s v="More than 150% MBS Fee to 200% MBS Fee"/>
    <n v="17643968.07"/>
    <n v="7609059.1500000004"/>
    <n v="7251025.3499999996"/>
    <n v="35437"/>
  </r>
  <r>
    <x v="26"/>
    <x v="2"/>
    <s v="VIC"/>
    <s v="Known gap agreement"/>
    <s v="More than 200% MBS Fee"/>
    <n v="47439473.640000001"/>
    <n v="12582088.27"/>
    <n v="13931364.970000001"/>
    <n v="162017"/>
  </r>
  <r>
    <x v="26"/>
    <x v="2"/>
    <s v="VIC"/>
    <s v="No gap agreement"/>
    <s v="Up to MBS Fee"/>
    <n v="22978185.07"/>
    <n v="17278604.949999999"/>
    <n v="5699576.71"/>
    <n v="338697"/>
  </r>
  <r>
    <x v="26"/>
    <x v="2"/>
    <s v="VIC"/>
    <s v="No gap agreement"/>
    <s v="100% MBS Fee to 125% MBS Fee"/>
    <n v="51242081"/>
    <n v="32764559.59"/>
    <n v="18477410.620000001"/>
    <n v="411013"/>
  </r>
  <r>
    <x v="26"/>
    <x v="2"/>
    <s v="VIC"/>
    <s v="No gap agreement"/>
    <s v="More than 125% MBS Fee to 150% MBS Fee"/>
    <n v="124695789.37"/>
    <n v="68503509.950000003"/>
    <n v="56192163.490000002"/>
    <n v="801909"/>
  </r>
  <r>
    <x v="26"/>
    <x v="2"/>
    <s v="VIC"/>
    <s v="No gap agreement"/>
    <s v="More than 150% MBS Fee to 200% MBS Fee"/>
    <n v="102072626.28"/>
    <n v="46075361.68"/>
    <n v="55997188.640000001"/>
    <n v="549658"/>
  </r>
  <r>
    <x v="26"/>
    <x v="2"/>
    <s v="VIC"/>
    <s v="No gap agreement"/>
    <s v="More than 200% MBS Fee"/>
    <n v="3576016.11"/>
    <n v="1006185.44"/>
    <n v="2569830.67"/>
    <n v="3368"/>
  </r>
  <r>
    <x v="26"/>
    <x v="2"/>
    <s v="QLD"/>
    <s v="No agreement"/>
    <s v="Up to MBS Fee"/>
    <n v="4862730.0599999996"/>
    <n v="3615742.02"/>
    <n v="1197954.77"/>
    <n v="69796"/>
  </r>
  <r>
    <x v="26"/>
    <x v="2"/>
    <s v="QLD"/>
    <s v="No agreement"/>
    <s v="100% MBS Fee to 125% MBS Fee"/>
    <n v="771099.96"/>
    <n v="524037.7"/>
    <n v="176410.4"/>
    <n v="2565"/>
  </r>
  <r>
    <x v="26"/>
    <x v="2"/>
    <s v="QLD"/>
    <s v="No agreement"/>
    <s v="More than 125% MBS Fee to 150% MBS Fee"/>
    <n v="1079732.9099999999"/>
    <n v="585911.94999999995"/>
    <n v="196044.77"/>
    <n v="2099"/>
  </r>
  <r>
    <x v="26"/>
    <x v="2"/>
    <s v="QLD"/>
    <s v="No agreement"/>
    <s v="More than 150% MBS Fee to 200% MBS Fee"/>
    <n v="3820906.27"/>
    <n v="1639219.07"/>
    <n v="593586.43000000005"/>
    <n v="19715"/>
  </r>
  <r>
    <x v="26"/>
    <x v="2"/>
    <s v="QLD"/>
    <s v="No agreement"/>
    <s v="More than 200% MBS Fee"/>
    <n v="35483299.149999999"/>
    <n v="7888069.4699999997"/>
    <n v="2773924.8"/>
    <n v="32416"/>
  </r>
  <r>
    <x v="26"/>
    <x v="2"/>
    <s v="QLD"/>
    <s v="Known gap agreement"/>
    <s v="100% MBS Fee to 125% MBS Fee"/>
    <n v="1816236.37"/>
    <n v="1205645.32"/>
    <n v="517582.19"/>
    <n v="7191"/>
  </r>
  <r>
    <x v="26"/>
    <x v="2"/>
    <s v="QLD"/>
    <s v="Known gap agreement"/>
    <s v="More than 125% MBS Fee to 150% MBS Fee"/>
    <n v="3688417.21"/>
    <n v="1990784.86"/>
    <n v="1421528.91"/>
    <n v="15839"/>
  </r>
  <r>
    <x v="26"/>
    <x v="2"/>
    <s v="QLD"/>
    <s v="Known gap agreement"/>
    <s v="More than 150% MBS Fee to 200% MBS Fee"/>
    <n v="19154816.629999999"/>
    <n v="8089074"/>
    <n v="8059027.0800000001"/>
    <n v="28674"/>
  </r>
  <r>
    <x v="26"/>
    <x v="2"/>
    <s v="QLD"/>
    <s v="Known gap agreement"/>
    <s v="More than 200% MBS Fee"/>
    <n v="44741347.299999997"/>
    <n v="11199294.060000001"/>
    <n v="12081389.34"/>
    <n v="110717"/>
  </r>
  <r>
    <x v="26"/>
    <x v="2"/>
    <s v="QLD"/>
    <s v="No gap agreement"/>
    <s v="Up to MBS Fee"/>
    <n v="18423932.260000002"/>
    <n v="13833707.1"/>
    <n v="4590225.12"/>
    <n v="297581"/>
  </r>
  <r>
    <x v="26"/>
    <x v="2"/>
    <s v="QLD"/>
    <s v="No gap agreement"/>
    <s v="100% MBS Fee to 125% MBS Fee"/>
    <n v="51013102.960000001"/>
    <n v="32566544.510000002"/>
    <n v="18446277.460000001"/>
    <n v="438690"/>
  </r>
  <r>
    <x v="26"/>
    <x v="2"/>
    <s v="QLD"/>
    <s v="No gap agreement"/>
    <s v="More than 125% MBS Fee to 150% MBS Fee"/>
    <n v="82748149.219999999"/>
    <n v="45701948.710000001"/>
    <n v="37046083.590000004"/>
    <n v="663667"/>
  </r>
  <r>
    <x v="26"/>
    <x v="2"/>
    <s v="QLD"/>
    <s v="No gap agreement"/>
    <s v="More than 150% MBS Fee to 200% MBS Fee"/>
    <n v="74872519"/>
    <n v="34274974.600000001"/>
    <n v="40596920.810000002"/>
    <n v="489969"/>
  </r>
  <r>
    <x v="26"/>
    <x v="2"/>
    <s v="QLD"/>
    <s v="No gap agreement"/>
    <s v="More than 200% MBS Fee"/>
    <n v="5338009.2300000004"/>
    <n v="1570841.31"/>
    <n v="3767167.88"/>
    <n v="7470"/>
  </r>
  <r>
    <x v="26"/>
    <x v="2"/>
    <s v="SA"/>
    <s v="No agreement"/>
    <s v="Up to MBS Fee"/>
    <n v="1601665.97"/>
    <n v="1198259.3700000001"/>
    <n v="397462.36"/>
    <n v="9841"/>
  </r>
  <r>
    <x v="26"/>
    <x v="2"/>
    <s v="SA"/>
    <s v="No agreement"/>
    <s v="100% MBS Fee to 125% MBS Fee"/>
    <n v="278067.63"/>
    <n v="185638.62"/>
    <n v="62750.1"/>
    <n v="575"/>
  </r>
  <r>
    <x v="26"/>
    <x v="2"/>
    <s v="SA"/>
    <s v="No agreement"/>
    <s v="More than 125% MBS Fee to 150% MBS Fee"/>
    <n v="190379.51"/>
    <n v="103990.24"/>
    <n v="35072.46"/>
    <n v="440"/>
  </r>
  <r>
    <x v="26"/>
    <x v="2"/>
    <s v="SA"/>
    <s v="No agreement"/>
    <s v="More than 150% MBS Fee to 200% MBS Fee"/>
    <n v="340524.95"/>
    <n v="142853.56"/>
    <n v="76767.509999999995"/>
    <n v="833"/>
  </r>
  <r>
    <x v="26"/>
    <x v="2"/>
    <s v="SA"/>
    <s v="No agreement"/>
    <s v="More than 200% MBS Fee"/>
    <n v="2496544.37"/>
    <n v="530944.39"/>
    <n v="202863.98"/>
    <n v="2327"/>
  </r>
  <r>
    <x v="26"/>
    <x v="2"/>
    <s v="SA"/>
    <s v="Known gap agreement"/>
    <s v="100% MBS Fee to 125% MBS Fee"/>
    <n v="321249.61"/>
    <n v="204601.21"/>
    <n v="90829.66"/>
    <n v="1634"/>
  </r>
  <r>
    <x v="26"/>
    <x v="2"/>
    <s v="SA"/>
    <s v="Known gap agreement"/>
    <s v="More than 125% MBS Fee to 150% MBS Fee"/>
    <n v="1115647.77"/>
    <n v="603956.81000000006"/>
    <n v="439067.1"/>
    <n v="5217"/>
  </r>
  <r>
    <x v="26"/>
    <x v="2"/>
    <s v="SA"/>
    <s v="Known gap agreement"/>
    <s v="More than 150% MBS Fee to 200% MBS Fee"/>
    <n v="9077276.8499999996"/>
    <n v="3808173.6"/>
    <n v="3995292.9"/>
    <n v="12913"/>
  </r>
  <r>
    <x v="26"/>
    <x v="2"/>
    <s v="SA"/>
    <s v="Known gap agreement"/>
    <s v="More than 200% MBS Fee"/>
    <n v="12162700.85"/>
    <n v="3430325.86"/>
    <n v="4078748.53"/>
    <n v="41323"/>
  </r>
  <r>
    <x v="26"/>
    <x v="2"/>
    <s v="SA"/>
    <s v="No gap agreement"/>
    <s v="Up to MBS Fee"/>
    <n v="8308525.9900000002"/>
    <n v="6243945.3499999996"/>
    <n v="2064580.64"/>
    <n v="166722"/>
  </r>
  <r>
    <x v="26"/>
    <x v="2"/>
    <s v="SA"/>
    <s v="No gap agreement"/>
    <s v="100% MBS Fee to 125% MBS Fee"/>
    <n v="10477761.49"/>
    <n v="6594003.2000000002"/>
    <n v="3883749.16"/>
    <n v="83568"/>
  </r>
  <r>
    <x v="26"/>
    <x v="2"/>
    <s v="SA"/>
    <s v="No gap agreement"/>
    <s v="More than 125% MBS Fee to 150% MBS Fee"/>
    <n v="31795240.73"/>
    <n v="17345991.280000001"/>
    <n v="14449228.59"/>
    <n v="234266"/>
  </r>
  <r>
    <x v="26"/>
    <x v="2"/>
    <s v="SA"/>
    <s v="No gap agreement"/>
    <s v="More than 150% MBS Fee to 200% MBS Fee"/>
    <n v="43654582.439999998"/>
    <n v="19556438.43"/>
    <n v="24098126.489999998"/>
    <n v="175199"/>
  </r>
  <r>
    <x v="26"/>
    <x v="2"/>
    <s v="SA"/>
    <s v="No gap agreement"/>
    <s v="More than 200% MBS Fee"/>
    <n v="1175483.72"/>
    <n v="319116.14"/>
    <n v="856367.58"/>
    <n v="974"/>
  </r>
  <r>
    <x v="26"/>
    <x v="2"/>
    <s v="WA"/>
    <s v="No agreement"/>
    <s v="Up to MBS Fee"/>
    <n v="1531437.93"/>
    <n v="1148642.51"/>
    <n v="379185.62"/>
    <n v="19908"/>
  </r>
  <r>
    <x v="26"/>
    <x v="2"/>
    <s v="WA"/>
    <s v="No agreement"/>
    <s v="100% MBS Fee to 125% MBS Fee"/>
    <n v="257919.05"/>
    <n v="170910.28"/>
    <n v="57546.74"/>
    <n v="744"/>
  </r>
  <r>
    <x v="26"/>
    <x v="2"/>
    <s v="WA"/>
    <s v="No agreement"/>
    <s v="More than 125% MBS Fee to 150% MBS Fee"/>
    <n v="430270.23"/>
    <n v="233741.03"/>
    <n v="80948.240000000005"/>
    <n v="1012"/>
  </r>
  <r>
    <x v="26"/>
    <x v="2"/>
    <s v="WA"/>
    <s v="No agreement"/>
    <s v="More than 150% MBS Fee to 200% MBS Fee"/>
    <n v="1923944.31"/>
    <n v="843035.25"/>
    <n v="305553.91999999998"/>
    <n v="15827"/>
  </r>
  <r>
    <x v="26"/>
    <x v="2"/>
    <s v="WA"/>
    <s v="No agreement"/>
    <s v="More than 200% MBS Fee"/>
    <n v="7319794.0300000003"/>
    <n v="1517183.68"/>
    <n v="538325.91"/>
    <n v="8012"/>
  </r>
  <r>
    <x v="26"/>
    <x v="2"/>
    <s v="WA"/>
    <s v="Known gap agreement"/>
    <s v="100% MBS Fee to 125% MBS Fee"/>
    <n v="956624.26"/>
    <n v="623168.38"/>
    <n v="297738"/>
    <n v="4219"/>
  </r>
  <r>
    <x v="26"/>
    <x v="2"/>
    <s v="WA"/>
    <s v="Known gap agreement"/>
    <s v="More than 125% MBS Fee to 150% MBS Fee"/>
    <n v="2826153.43"/>
    <n v="1511240.21"/>
    <n v="1113071.1399999999"/>
    <n v="23825"/>
  </r>
  <r>
    <x v="26"/>
    <x v="2"/>
    <s v="WA"/>
    <s v="Known gap agreement"/>
    <s v="More than 150% MBS Fee to 200% MBS Fee"/>
    <n v="8939587.4299999997"/>
    <n v="3950340.46"/>
    <n v="3623222.64"/>
    <n v="15930"/>
  </r>
  <r>
    <x v="26"/>
    <x v="2"/>
    <s v="WA"/>
    <s v="Known gap agreement"/>
    <s v="More than 200% MBS Fee"/>
    <n v="17807025.140000001"/>
    <n v="4385683.79"/>
    <n v="3168909.02"/>
    <n v="43503"/>
  </r>
  <r>
    <x v="26"/>
    <x v="2"/>
    <s v="WA"/>
    <s v="No gap agreement"/>
    <s v="Up to MBS Fee"/>
    <n v="10430306.5"/>
    <n v="7834612.1699999999"/>
    <n v="2595694.33"/>
    <n v="159457"/>
  </r>
  <r>
    <x v="26"/>
    <x v="2"/>
    <s v="WA"/>
    <s v="No gap agreement"/>
    <s v="100% MBS Fee to 125% MBS Fee"/>
    <n v="11885732.93"/>
    <n v="7698202.1100000003"/>
    <n v="4187512.75"/>
    <n v="81551"/>
  </r>
  <r>
    <x v="26"/>
    <x v="2"/>
    <s v="WA"/>
    <s v="No gap agreement"/>
    <s v="More than 125% MBS Fee to 150% MBS Fee"/>
    <n v="49376167.509999998"/>
    <n v="27143442.629999999"/>
    <n v="22232720.649999999"/>
    <n v="337448"/>
  </r>
  <r>
    <x v="26"/>
    <x v="2"/>
    <s v="WA"/>
    <s v="No gap agreement"/>
    <s v="More than 150% MBS Fee to 200% MBS Fee"/>
    <n v="58039151.93"/>
    <n v="25951440.510000002"/>
    <n v="32087702.870000001"/>
    <n v="256752"/>
  </r>
  <r>
    <x v="26"/>
    <x v="2"/>
    <s v="WA"/>
    <s v="No gap agreement"/>
    <s v="More than 200% MBS Fee"/>
    <n v="2382797.12"/>
    <n v="643587.37"/>
    <n v="1739209.75"/>
    <n v="1922"/>
  </r>
  <r>
    <x v="26"/>
    <x v="2"/>
    <s v="TAS"/>
    <s v="No agreement"/>
    <s v="Up to MBS Fee"/>
    <n v="431535.75"/>
    <n v="323953.98"/>
    <n v="107120.47"/>
    <n v="3650"/>
  </r>
  <r>
    <x v="26"/>
    <x v="2"/>
    <s v="TAS"/>
    <s v="No agreement"/>
    <s v="100% MBS Fee to 125% MBS Fee"/>
    <n v="91894.86"/>
    <n v="61998.879999999997"/>
    <n v="20617.669999999998"/>
    <n v="326"/>
  </r>
  <r>
    <x v="26"/>
    <x v="2"/>
    <s v="TAS"/>
    <s v="No agreement"/>
    <s v="More than 125% MBS Fee to 150% MBS Fee"/>
    <n v="59800.98"/>
    <n v="32152.87"/>
    <n v="11725.05"/>
    <n v="186"/>
  </r>
  <r>
    <x v="26"/>
    <x v="2"/>
    <s v="TAS"/>
    <s v="No agreement"/>
    <s v="More than 150% MBS Fee to 200% MBS Fee"/>
    <n v="185517.54"/>
    <n v="79577.77"/>
    <n v="34446.080000000002"/>
    <n v="451"/>
  </r>
  <r>
    <x v="26"/>
    <x v="2"/>
    <s v="TAS"/>
    <s v="No agreement"/>
    <s v="More than 200% MBS Fee"/>
    <n v="1765287.93"/>
    <n v="396447.43"/>
    <n v="146037.82999999999"/>
    <n v="1402"/>
  </r>
  <r>
    <x v="26"/>
    <x v="2"/>
    <s v="TAS"/>
    <s v="Known gap agreement"/>
    <s v="100% MBS Fee to 125% MBS Fee"/>
    <n v="135851.04999999999"/>
    <n v="90425.27"/>
    <n v="37222.79"/>
    <n v="653"/>
  </r>
  <r>
    <x v="26"/>
    <x v="2"/>
    <s v="TAS"/>
    <s v="Known gap agreement"/>
    <s v="More than 125% MBS Fee to 150% MBS Fee"/>
    <n v="347100.97"/>
    <n v="186680.13"/>
    <n v="148957.15"/>
    <n v="1543"/>
  </r>
  <r>
    <x v="26"/>
    <x v="2"/>
    <s v="TAS"/>
    <s v="Known gap agreement"/>
    <s v="More than 150% MBS Fee to 200% MBS Fee"/>
    <n v="2175471.62"/>
    <n v="921885.74"/>
    <n v="985104.15"/>
    <n v="2994"/>
  </r>
  <r>
    <x v="26"/>
    <x v="2"/>
    <s v="TAS"/>
    <s v="Known gap agreement"/>
    <s v="More than 200% MBS Fee"/>
    <n v="3114334.42"/>
    <n v="834018.88"/>
    <n v="966786.12"/>
    <n v="6987"/>
  </r>
  <r>
    <x v="26"/>
    <x v="2"/>
    <s v="TAS"/>
    <s v="No gap agreement"/>
    <s v="Up to MBS Fee"/>
    <n v="2187877.2999999998"/>
    <n v="1642207.81"/>
    <n v="545669.49"/>
    <n v="44430"/>
  </r>
  <r>
    <x v="26"/>
    <x v="2"/>
    <s v="TAS"/>
    <s v="No gap agreement"/>
    <s v="100% MBS Fee to 125% MBS Fee"/>
    <n v="3387972.93"/>
    <n v="2148565.34"/>
    <n v="1239407.5900000001"/>
    <n v="23335"/>
  </r>
  <r>
    <x v="26"/>
    <x v="2"/>
    <s v="TAS"/>
    <s v="No gap agreement"/>
    <s v="More than 125% MBS Fee to 150% MBS Fee"/>
    <n v="9538334.0700000003"/>
    <n v="5216174.58"/>
    <n v="4322158.53"/>
    <n v="59162"/>
  </r>
  <r>
    <x v="26"/>
    <x v="2"/>
    <s v="TAS"/>
    <s v="No gap agreement"/>
    <s v="More than 150% MBS Fee to 200% MBS Fee"/>
    <n v="11894316.970000001"/>
    <n v="5456252.8700000001"/>
    <n v="6438062.0899999999"/>
    <n v="54874"/>
  </r>
  <r>
    <x v="26"/>
    <x v="2"/>
    <s v="TAS"/>
    <s v="No gap agreement"/>
    <s v="More than 200% MBS Fee"/>
    <n v="379669.66"/>
    <n v="106150.18"/>
    <n v="273519.48"/>
    <n v="315"/>
  </r>
  <r>
    <x v="26"/>
    <x v="2"/>
    <s v="ACT"/>
    <s v="No agreement"/>
    <s v="Up to MBS Fee"/>
    <n v="415059.64"/>
    <n v="297148.89"/>
    <n v="98518.89"/>
    <n v="3703"/>
  </r>
  <r>
    <x v="26"/>
    <x v="2"/>
    <s v="ACT"/>
    <s v="No agreement"/>
    <s v="100% MBS Fee to 125% MBS Fee"/>
    <n v="64865.11"/>
    <n v="43964.37"/>
    <n v="15017.21"/>
    <n v="260"/>
  </r>
  <r>
    <x v="26"/>
    <x v="2"/>
    <s v="ACT"/>
    <s v="No agreement"/>
    <s v="More than 125% MBS Fee to 150% MBS Fee"/>
    <n v="109267.92"/>
    <n v="58705.2"/>
    <n v="19507.669999999998"/>
    <n v="142"/>
  </r>
  <r>
    <x v="26"/>
    <x v="2"/>
    <s v="ACT"/>
    <s v="No agreement"/>
    <s v="More than 150% MBS Fee to 200% MBS Fee"/>
    <n v="327481.3"/>
    <n v="139147.24"/>
    <n v="46507.45"/>
    <n v="1424"/>
  </r>
  <r>
    <x v="26"/>
    <x v="2"/>
    <s v="ACT"/>
    <s v="No agreement"/>
    <s v="More than 200% MBS Fee"/>
    <n v="6471590.4199999999"/>
    <n v="1388667.16"/>
    <n v="474108.49"/>
    <n v="5531"/>
  </r>
  <r>
    <x v="26"/>
    <x v="2"/>
    <s v="ACT"/>
    <s v="Known gap agreement"/>
    <s v="100% MBS Fee to 125% MBS Fee"/>
    <n v="112156.47"/>
    <n v="73974.8"/>
    <n v="33462.01"/>
    <n v="415"/>
  </r>
  <r>
    <x v="26"/>
    <x v="2"/>
    <s v="ACT"/>
    <s v="Known gap agreement"/>
    <s v="More than 125% MBS Fee to 150% MBS Fee"/>
    <n v="201808.34"/>
    <n v="109407.12"/>
    <n v="78914.91"/>
    <n v="452"/>
  </r>
  <r>
    <x v="26"/>
    <x v="2"/>
    <s v="ACT"/>
    <s v="Known gap agreement"/>
    <s v="More than 150% MBS Fee to 200% MBS Fee"/>
    <n v="518019.05"/>
    <n v="221754.43"/>
    <n v="211706.65"/>
    <n v="1131"/>
  </r>
  <r>
    <x v="26"/>
    <x v="2"/>
    <s v="ACT"/>
    <s v="Known gap agreement"/>
    <s v="More than 200% MBS Fee"/>
    <n v="4755873.97"/>
    <n v="1215326.3500000001"/>
    <n v="1121438.46"/>
    <n v="14613"/>
  </r>
  <r>
    <x v="26"/>
    <x v="2"/>
    <s v="ACT"/>
    <s v="No gap agreement"/>
    <s v="Up to MBS Fee"/>
    <n v="516943.53"/>
    <n v="388387.32"/>
    <n v="128556.21"/>
    <n v="13433"/>
  </r>
  <r>
    <x v="26"/>
    <x v="2"/>
    <s v="ACT"/>
    <s v="No gap agreement"/>
    <s v="100% MBS Fee to 125% MBS Fee"/>
    <n v="2149625.25"/>
    <n v="1370345.26"/>
    <n v="779278.02"/>
    <n v="17063"/>
  </r>
  <r>
    <x v="26"/>
    <x v="2"/>
    <s v="ACT"/>
    <s v="No gap agreement"/>
    <s v="More than 125% MBS Fee to 150% MBS Fee"/>
    <n v="4463615.18"/>
    <n v="2519638.77"/>
    <n v="1943972.07"/>
    <n v="34841"/>
  </r>
  <r>
    <x v="26"/>
    <x v="2"/>
    <s v="ACT"/>
    <s v="No gap agreement"/>
    <s v="More than 150% MBS Fee to 200% MBS Fee"/>
    <n v="3214663.63"/>
    <n v="1482863.95"/>
    <n v="1731370.22"/>
    <n v="17677"/>
  </r>
  <r>
    <x v="26"/>
    <x v="2"/>
    <s v="ACT"/>
    <s v="No gap agreement"/>
    <s v="More than 200% MBS Fee"/>
    <n v="298657.03000000003"/>
    <n v="96429.98"/>
    <n v="202227.05"/>
    <n v="723"/>
  </r>
  <r>
    <x v="26"/>
    <x v="2"/>
    <s v="NT"/>
    <s v="No agreement"/>
    <s v="Up to MBS Fee"/>
    <n v="222738.17"/>
    <n v="166584.79"/>
    <n v="55203.38"/>
    <n v="1286"/>
  </r>
  <r>
    <x v="26"/>
    <x v="2"/>
    <s v="NT"/>
    <s v="No agreement"/>
    <s v="100% MBS Fee to 125% MBS Fee"/>
    <n v="13392.95"/>
    <n v="9035.33"/>
    <n v="2993.8"/>
    <n v="26"/>
  </r>
  <r>
    <x v="26"/>
    <x v="2"/>
    <s v="NT"/>
    <s v="No agreement"/>
    <s v="More than 125% MBS Fee to 150% MBS Fee"/>
    <n v="27280.7"/>
    <n v="14525.76"/>
    <n v="4840.1000000000004"/>
    <n v="66"/>
  </r>
  <r>
    <x v="26"/>
    <x v="2"/>
    <s v="NT"/>
    <s v="No agreement"/>
    <s v="More than 150% MBS Fee to 200% MBS Fee"/>
    <n v="49326.01"/>
    <n v="21145.01"/>
    <n v="7044.45"/>
    <n v="145"/>
  </r>
  <r>
    <x v="26"/>
    <x v="2"/>
    <s v="NT"/>
    <s v="No agreement"/>
    <s v="More than 200% MBS Fee"/>
    <n v="1136718.8400000001"/>
    <n v="260309.15"/>
    <n v="86918.53"/>
    <n v="754"/>
  </r>
  <r>
    <x v="26"/>
    <x v="2"/>
    <s v="NT"/>
    <s v="Known gap agreement"/>
    <s v="100% MBS Fee to 125% MBS Fee"/>
    <n v="20678.39"/>
    <n v="13246.48"/>
    <n v="5926.43"/>
    <n v="85"/>
  </r>
  <r>
    <x v="26"/>
    <x v="2"/>
    <s v="NT"/>
    <s v="Known gap agreement"/>
    <s v="More than 125% MBS Fee to 150% MBS Fee"/>
    <n v="110965.84"/>
    <n v="60937.21"/>
    <n v="46478.01"/>
    <n v="215"/>
  </r>
  <r>
    <x v="26"/>
    <x v="2"/>
    <s v="NT"/>
    <s v="Known gap agreement"/>
    <s v="More than 150% MBS Fee to 200% MBS Fee"/>
    <n v="281206.51"/>
    <n v="119165.21"/>
    <n v="119555.28"/>
    <n v="386"/>
  </r>
  <r>
    <x v="26"/>
    <x v="2"/>
    <s v="NT"/>
    <s v="Known gap agreement"/>
    <s v="More than 200% MBS Fee"/>
    <n v="462216.86"/>
    <n v="120872.59"/>
    <n v="129138.01"/>
    <n v="1318"/>
  </r>
  <r>
    <x v="26"/>
    <x v="2"/>
    <s v="NT"/>
    <s v="No gap agreement"/>
    <s v="Up to MBS Fee"/>
    <n v="314484.67"/>
    <n v="235426.89"/>
    <n v="79057.78"/>
    <n v="4968"/>
  </r>
  <r>
    <x v="26"/>
    <x v="2"/>
    <s v="NT"/>
    <s v="No gap agreement"/>
    <s v="100% MBS Fee to 125% MBS Fee"/>
    <n v="534932.02"/>
    <n v="339579.05"/>
    <n v="195352.51"/>
    <n v="3663"/>
  </r>
  <r>
    <x v="26"/>
    <x v="2"/>
    <s v="NT"/>
    <s v="No gap agreement"/>
    <s v="More than 125% MBS Fee to 150% MBS Fee"/>
    <n v="1249645.29"/>
    <n v="680085.07"/>
    <n v="569558.91"/>
    <n v="6174"/>
  </r>
  <r>
    <x v="26"/>
    <x v="2"/>
    <s v="NT"/>
    <s v="No gap agreement"/>
    <s v="More than 150% MBS Fee to 200% MBS Fee"/>
    <n v="1919977.08"/>
    <n v="881197.65"/>
    <n v="1038776.94"/>
    <n v="9362"/>
  </r>
  <r>
    <x v="26"/>
    <x v="2"/>
    <s v="NT"/>
    <s v="No gap agreement"/>
    <s v="More than 200% MBS Fee"/>
    <n v="68330.09"/>
    <n v="21528.93"/>
    <n v="46801.16"/>
    <n v="98"/>
  </r>
  <r>
    <x v="26"/>
    <x v="3"/>
    <s v="NSW"/>
    <s v="No agreement"/>
    <s v="Up to MBS Fee"/>
    <n v="26929328.989999998"/>
    <n v="20171360.52"/>
    <n v="6740809.2699999996"/>
    <n v="244944"/>
  </r>
  <r>
    <x v="26"/>
    <x v="3"/>
    <s v="NSW"/>
    <s v="No agreement"/>
    <s v="100% MBS Fee to 125% MBS Fee"/>
    <n v="2635899.31"/>
    <n v="1797958.78"/>
    <n v="627308.54"/>
    <n v="10055"/>
  </r>
  <r>
    <x v="26"/>
    <x v="3"/>
    <s v="NSW"/>
    <s v="No agreement"/>
    <s v="More than 125% MBS Fee to 150% MBS Fee"/>
    <n v="1618084.45"/>
    <n v="879210.82"/>
    <n v="294542.34999999998"/>
    <n v="4479"/>
  </r>
  <r>
    <x v="26"/>
    <x v="3"/>
    <s v="NSW"/>
    <s v="No agreement"/>
    <s v="More than 150% MBS Fee to 200% MBS Fee"/>
    <n v="4956412.18"/>
    <n v="2138275.7599999998"/>
    <n v="760687.5"/>
    <n v="15639"/>
  </r>
  <r>
    <x v="26"/>
    <x v="3"/>
    <s v="NSW"/>
    <s v="No agreement"/>
    <s v="More than 200% MBS Fee"/>
    <n v="63598365.640000001"/>
    <n v="13793624.32"/>
    <n v="4844438.05"/>
    <n v="59954"/>
  </r>
  <r>
    <x v="26"/>
    <x v="3"/>
    <s v="NSW"/>
    <s v="Known gap agreement"/>
    <s v="100% MBS Fee to 125% MBS Fee"/>
    <n v="2913220.14"/>
    <n v="1911905.72"/>
    <n v="874419.27"/>
    <n v="11698"/>
  </r>
  <r>
    <x v="26"/>
    <x v="3"/>
    <s v="NSW"/>
    <s v="Known gap agreement"/>
    <s v="More than 125% MBS Fee to 150% MBS Fee"/>
    <n v="5287006.38"/>
    <n v="2840869.57"/>
    <n v="2167610.13"/>
    <n v="17016"/>
  </r>
  <r>
    <x v="26"/>
    <x v="3"/>
    <s v="NSW"/>
    <s v="Known gap agreement"/>
    <s v="More than 150% MBS Fee to 200% MBS Fee"/>
    <n v="17357705.199999999"/>
    <n v="7468693.9500000002"/>
    <n v="7341812.9100000001"/>
    <n v="30758"/>
  </r>
  <r>
    <x v="26"/>
    <x v="3"/>
    <s v="NSW"/>
    <s v="Known gap agreement"/>
    <s v="More than 200% MBS Fee"/>
    <n v="53924618.539999999"/>
    <n v="13544429.83"/>
    <n v="12976962.210000001"/>
    <n v="144274"/>
  </r>
  <r>
    <x v="26"/>
    <x v="3"/>
    <s v="NSW"/>
    <s v="No gap agreement"/>
    <s v="Up to MBS Fee"/>
    <n v="35436996.130000003"/>
    <n v="26658151.16"/>
    <n v="8778920.3200000003"/>
    <n v="1044814"/>
  </r>
  <r>
    <x v="26"/>
    <x v="3"/>
    <s v="NSW"/>
    <s v="No gap agreement"/>
    <s v="100% MBS Fee to 125% MBS Fee"/>
    <n v="53575569.390000001"/>
    <n v="34171831.880000003"/>
    <n v="19403684.690000001"/>
    <n v="441301"/>
  </r>
  <r>
    <x v="26"/>
    <x v="3"/>
    <s v="NSW"/>
    <s v="No gap agreement"/>
    <s v="More than 125% MBS Fee to 150% MBS Fee"/>
    <n v="102416002.63"/>
    <n v="56093506.25"/>
    <n v="46322438.009999998"/>
    <n v="584286"/>
  </r>
  <r>
    <x v="26"/>
    <x v="3"/>
    <s v="NSW"/>
    <s v="No gap agreement"/>
    <s v="More than 150% MBS Fee to 200% MBS Fee"/>
    <n v="107993784.16"/>
    <n v="49099509.789999999"/>
    <n v="58891804.310000002"/>
    <n v="600574"/>
  </r>
  <r>
    <x v="26"/>
    <x v="3"/>
    <s v="NSW"/>
    <s v="No gap agreement"/>
    <s v="More than 200% MBS Fee"/>
    <n v="7436431.4699999997"/>
    <n v="2321329.46"/>
    <n v="5115101.09"/>
    <n v="14903"/>
  </r>
  <r>
    <x v="26"/>
    <x v="3"/>
    <s v="VIC"/>
    <s v="No agreement"/>
    <s v="Up to MBS Fee"/>
    <n v="7878091.9400000004"/>
    <n v="5907339.6600000001"/>
    <n v="1954098.5"/>
    <n v="140650"/>
  </r>
  <r>
    <x v="26"/>
    <x v="3"/>
    <s v="VIC"/>
    <s v="No agreement"/>
    <s v="100% MBS Fee to 125% MBS Fee"/>
    <n v="1076063.3500000001"/>
    <n v="720895"/>
    <n v="250845.37"/>
    <n v="3577"/>
  </r>
  <r>
    <x v="26"/>
    <x v="3"/>
    <s v="VIC"/>
    <s v="No agreement"/>
    <s v="More than 125% MBS Fee to 150% MBS Fee"/>
    <n v="1704594.09"/>
    <n v="922542.59"/>
    <n v="316715.56"/>
    <n v="6717"/>
  </r>
  <r>
    <x v="26"/>
    <x v="3"/>
    <s v="VIC"/>
    <s v="No agreement"/>
    <s v="More than 150% MBS Fee to 200% MBS Fee"/>
    <n v="3574609.73"/>
    <n v="1563823.25"/>
    <n v="571444.85"/>
    <n v="13053"/>
  </r>
  <r>
    <x v="26"/>
    <x v="3"/>
    <s v="VIC"/>
    <s v="No agreement"/>
    <s v="More than 200% MBS Fee"/>
    <n v="23693087.52"/>
    <n v="5343929.03"/>
    <n v="1944622.72"/>
    <n v="23947"/>
  </r>
  <r>
    <x v="26"/>
    <x v="3"/>
    <s v="VIC"/>
    <s v="Known gap agreement"/>
    <s v="100% MBS Fee to 125% MBS Fee"/>
    <n v="2302118.06"/>
    <n v="1522208.03"/>
    <n v="652229.68999999994"/>
    <n v="9796"/>
  </r>
  <r>
    <x v="26"/>
    <x v="3"/>
    <s v="VIC"/>
    <s v="Known gap agreement"/>
    <s v="More than 125% MBS Fee to 150% MBS Fee"/>
    <n v="6080264.1799999997"/>
    <n v="3285012.57"/>
    <n v="2365865.86"/>
    <n v="21019"/>
  </r>
  <r>
    <x v="26"/>
    <x v="3"/>
    <s v="VIC"/>
    <s v="Known gap agreement"/>
    <s v="More than 150% MBS Fee to 200% MBS Fee"/>
    <n v="16288127.4"/>
    <n v="7041006.1100000003"/>
    <n v="6659701.75"/>
    <n v="33614"/>
  </r>
  <r>
    <x v="26"/>
    <x v="3"/>
    <s v="VIC"/>
    <s v="Known gap agreement"/>
    <s v="More than 200% MBS Fee"/>
    <n v="43007121.109999999"/>
    <n v="11314320.949999999"/>
    <n v="12481401.35"/>
    <n v="148965"/>
  </r>
  <r>
    <x v="26"/>
    <x v="3"/>
    <s v="VIC"/>
    <s v="No gap agreement"/>
    <s v="Up to MBS Fee"/>
    <n v="19750737.539999999"/>
    <n v="14850783.1"/>
    <n v="4899954.41"/>
    <n v="287966"/>
  </r>
  <r>
    <x v="26"/>
    <x v="3"/>
    <s v="VIC"/>
    <s v="No gap agreement"/>
    <s v="100% MBS Fee to 125% MBS Fee"/>
    <n v="47523876.310000002"/>
    <n v="30373390.620000001"/>
    <n v="17150625.07"/>
    <n v="385728"/>
  </r>
  <r>
    <x v="26"/>
    <x v="3"/>
    <s v="VIC"/>
    <s v="No gap agreement"/>
    <s v="More than 125% MBS Fee to 150% MBS Fee"/>
    <n v="116302839.15000001"/>
    <n v="63886505.119999997"/>
    <n v="52416263.369999997"/>
    <n v="757759"/>
  </r>
  <r>
    <x v="26"/>
    <x v="3"/>
    <s v="VIC"/>
    <s v="No gap agreement"/>
    <s v="More than 150% MBS Fee to 200% MBS Fee"/>
    <n v="95285618.430000007"/>
    <n v="43081715.159999996"/>
    <n v="52203858.729999997"/>
    <n v="521051"/>
  </r>
  <r>
    <x v="26"/>
    <x v="3"/>
    <s v="VIC"/>
    <s v="No gap agreement"/>
    <s v="More than 200% MBS Fee"/>
    <n v="3472069.97"/>
    <n v="972888.49"/>
    <n v="2499181.48"/>
    <n v="3243"/>
  </r>
  <r>
    <x v="26"/>
    <x v="3"/>
    <s v="QLD"/>
    <s v="No agreement"/>
    <s v="Up to MBS Fee"/>
    <n v="5067420.55"/>
    <n v="3786513.23"/>
    <n v="1257764.9099999999"/>
    <n v="69932"/>
  </r>
  <r>
    <x v="26"/>
    <x v="3"/>
    <s v="QLD"/>
    <s v="No agreement"/>
    <s v="100% MBS Fee to 125% MBS Fee"/>
    <n v="979249.91"/>
    <n v="665742.26"/>
    <n v="228657.93"/>
    <n v="3089"/>
  </r>
  <r>
    <x v="26"/>
    <x v="3"/>
    <s v="QLD"/>
    <s v="No agreement"/>
    <s v="More than 125% MBS Fee to 150% MBS Fee"/>
    <n v="1081553.3400000001"/>
    <n v="583694.42000000004"/>
    <n v="202108.04"/>
    <n v="2172"/>
  </r>
  <r>
    <x v="26"/>
    <x v="3"/>
    <s v="QLD"/>
    <s v="No agreement"/>
    <s v="More than 150% MBS Fee to 200% MBS Fee"/>
    <n v="3572857.38"/>
    <n v="1538310.53"/>
    <n v="552705.97"/>
    <n v="17358"/>
  </r>
  <r>
    <x v="26"/>
    <x v="3"/>
    <s v="QLD"/>
    <s v="No agreement"/>
    <s v="More than 200% MBS Fee"/>
    <n v="33380956.850000001"/>
    <n v="7441784.1399999997"/>
    <n v="2614447.9300000002"/>
    <n v="32252"/>
  </r>
  <r>
    <x v="26"/>
    <x v="3"/>
    <s v="QLD"/>
    <s v="Known gap agreement"/>
    <s v="100% MBS Fee to 125% MBS Fee"/>
    <n v="1723046.81"/>
    <n v="1125439.19"/>
    <n v="493862.77"/>
    <n v="7096"/>
  </r>
  <r>
    <x v="26"/>
    <x v="3"/>
    <s v="QLD"/>
    <s v="Known gap agreement"/>
    <s v="More than 125% MBS Fee to 150% MBS Fee"/>
    <n v="3903691.78"/>
    <n v="2102130.38"/>
    <n v="1525093.46"/>
    <n v="15801"/>
  </r>
  <r>
    <x v="26"/>
    <x v="3"/>
    <s v="QLD"/>
    <s v="Known gap agreement"/>
    <s v="More than 150% MBS Fee to 200% MBS Fee"/>
    <n v="18698704.629999999"/>
    <n v="7910214.21"/>
    <n v="7859340.7400000002"/>
    <n v="27371"/>
  </r>
  <r>
    <x v="26"/>
    <x v="3"/>
    <s v="QLD"/>
    <s v="Known gap agreement"/>
    <s v="More than 200% MBS Fee"/>
    <n v="41203476.640000001"/>
    <n v="10442256.49"/>
    <n v="11200358.199999999"/>
    <n v="99113"/>
  </r>
  <r>
    <x v="26"/>
    <x v="3"/>
    <s v="QLD"/>
    <s v="No gap agreement"/>
    <s v="Up to MBS Fee"/>
    <n v="16949763.77"/>
    <n v="12728478.630000001"/>
    <n v="4221160.96"/>
    <n v="277597"/>
  </r>
  <r>
    <x v="26"/>
    <x v="3"/>
    <s v="QLD"/>
    <s v="No gap agreement"/>
    <s v="100% MBS Fee to 125% MBS Fee"/>
    <n v="49148202.090000004"/>
    <n v="31380108.530000001"/>
    <n v="17767808.25"/>
    <n v="425063"/>
  </r>
  <r>
    <x v="26"/>
    <x v="3"/>
    <s v="QLD"/>
    <s v="No gap agreement"/>
    <s v="More than 125% MBS Fee to 150% MBS Fee"/>
    <n v="80077313.129999995"/>
    <n v="44209197.079999998"/>
    <n v="35867973.030000001"/>
    <n v="634784"/>
  </r>
  <r>
    <x v="26"/>
    <x v="3"/>
    <s v="QLD"/>
    <s v="No gap agreement"/>
    <s v="More than 150% MBS Fee to 200% MBS Fee"/>
    <n v="72674435.609999999"/>
    <n v="33322736.550000001"/>
    <n v="39350942.659999996"/>
    <n v="474821"/>
  </r>
  <r>
    <x v="26"/>
    <x v="3"/>
    <s v="QLD"/>
    <s v="No gap agreement"/>
    <s v="More than 200% MBS Fee"/>
    <n v="5075688.33"/>
    <n v="1488562.85"/>
    <n v="3587125.42"/>
    <n v="7176"/>
  </r>
  <r>
    <x v="26"/>
    <x v="3"/>
    <s v="SA"/>
    <s v="No agreement"/>
    <s v="Up to MBS Fee"/>
    <n v="1680710.67"/>
    <n v="1254390.57"/>
    <n v="417699.5"/>
    <n v="10415"/>
  </r>
  <r>
    <x v="26"/>
    <x v="3"/>
    <s v="SA"/>
    <s v="No agreement"/>
    <s v="100% MBS Fee to 125% MBS Fee"/>
    <n v="213001.28"/>
    <n v="141668.5"/>
    <n v="48126.25"/>
    <n v="516"/>
  </r>
  <r>
    <x v="26"/>
    <x v="3"/>
    <s v="SA"/>
    <s v="No agreement"/>
    <s v="More than 125% MBS Fee to 150% MBS Fee"/>
    <n v="179705.94"/>
    <n v="97859.08"/>
    <n v="33787.379999999997"/>
    <n v="337"/>
  </r>
  <r>
    <x v="26"/>
    <x v="3"/>
    <s v="SA"/>
    <s v="No agreement"/>
    <s v="More than 150% MBS Fee to 200% MBS Fee"/>
    <n v="318884.09999999998"/>
    <n v="135481.88"/>
    <n v="62443.02"/>
    <n v="792"/>
  </r>
  <r>
    <x v="26"/>
    <x v="3"/>
    <s v="SA"/>
    <s v="No agreement"/>
    <s v="More than 200% MBS Fee"/>
    <n v="2046297.38"/>
    <n v="432121.01"/>
    <n v="158390.10999999999"/>
    <n v="2065"/>
  </r>
  <r>
    <x v="26"/>
    <x v="3"/>
    <s v="SA"/>
    <s v="Known gap agreement"/>
    <s v="100% MBS Fee to 125% MBS Fee"/>
    <n v="324664.74"/>
    <n v="206243.20000000001"/>
    <n v="98326.82"/>
    <n v="1676"/>
  </r>
  <r>
    <x v="26"/>
    <x v="3"/>
    <s v="SA"/>
    <s v="Known gap agreement"/>
    <s v="More than 125% MBS Fee to 150% MBS Fee"/>
    <n v="1231903.8999999999"/>
    <n v="670385.15"/>
    <n v="498487.51"/>
    <n v="5560"/>
  </r>
  <r>
    <x v="26"/>
    <x v="3"/>
    <s v="SA"/>
    <s v="Known gap agreement"/>
    <s v="More than 150% MBS Fee to 200% MBS Fee"/>
    <n v="8066475.1299999999"/>
    <n v="3385681.72"/>
    <n v="3549011.45"/>
    <n v="11833"/>
  </r>
  <r>
    <x v="26"/>
    <x v="3"/>
    <s v="SA"/>
    <s v="Known gap agreement"/>
    <s v="More than 200% MBS Fee"/>
    <n v="10602563.550000001"/>
    <n v="2997915.35"/>
    <n v="3562255.61"/>
    <n v="36664"/>
  </r>
  <r>
    <x v="26"/>
    <x v="3"/>
    <s v="SA"/>
    <s v="No gap agreement"/>
    <s v="Up to MBS Fee"/>
    <n v="6751005.9199999999"/>
    <n v="5072237.5199999996"/>
    <n v="1678768.5"/>
    <n v="120489"/>
  </r>
  <r>
    <x v="26"/>
    <x v="3"/>
    <s v="SA"/>
    <s v="No gap agreement"/>
    <s v="100% MBS Fee to 125% MBS Fee"/>
    <n v="9618470.9800000004"/>
    <n v="6052513.54"/>
    <n v="3565778.14"/>
    <n v="76516"/>
  </r>
  <r>
    <x v="26"/>
    <x v="3"/>
    <s v="SA"/>
    <s v="No gap agreement"/>
    <s v="More than 125% MBS Fee to 150% MBS Fee"/>
    <n v="29496565.850000001"/>
    <n v="16093224.65"/>
    <n v="13403305.210000001"/>
    <n v="217328"/>
  </r>
  <r>
    <x v="26"/>
    <x v="3"/>
    <s v="SA"/>
    <s v="No gap agreement"/>
    <s v="More than 150% MBS Fee to 200% MBS Fee"/>
    <n v="40581399.789999999"/>
    <n v="18198080.600000001"/>
    <n v="22383308.039999999"/>
    <n v="161528"/>
  </r>
  <r>
    <x v="26"/>
    <x v="3"/>
    <s v="SA"/>
    <s v="No gap agreement"/>
    <s v="More than 200% MBS Fee"/>
    <n v="1263294.46"/>
    <n v="345483.28"/>
    <n v="917811.18"/>
    <n v="964"/>
  </r>
  <r>
    <x v="26"/>
    <x v="3"/>
    <s v="WA"/>
    <s v="No agreement"/>
    <s v="Up to MBS Fee"/>
    <n v="1226037.3700000001"/>
    <n v="918397.85"/>
    <n v="303076.06"/>
    <n v="16516"/>
  </r>
  <r>
    <x v="26"/>
    <x v="3"/>
    <s v="WA"/>
    <s v="No agreement"/>
    <s v="100% MBS Fee to 125% MBS Fee"/>
    <n v="269228"/>
    <n v="180562.63"/>
    <n v="60811.13"/>
    <n v="834"/>
  </r>
  <r>
    <x v="26"/>
    <x v="3"/>
    <s v="WA"/>
    <s v="No agreement"/>
    <s v="More than 125% MBS Fee to 150% MBS Fee"/>
    <n v="445298.08"/>
    <n v="239862.25"/>
    <n v="82070.679999999993"/>
    <n v="991"/>
  </r>
  <r>
    <x v="26"/>
    <x v="3"/>
    <s v="WA"/>
    <s v="No agreement"/>
    <s v="More than 150% MBS Fee to 200% MBS Fee"/>
    <n v="1757266.38"/>
    <n v="769682.74"/>
    <n v="275680.63"/>
    <n v="15305"/>
  </r>
  <r>
    <x v="26"/>
    <x v="3"/>
    <s v="WA"/>
    <s v="No agreement"/>
    <s v="More than 200% MBS Fee"/>
    <n v="6816753.2199999997"/>
    <n v="1461810.93"/>
    <n v="509616.68"/>
    <n v="8175"/>
  </r>
  <r>
    <x v="26"/>
    <x v="3"/>
    <s v="WA"/>
    <s v="Known gap agreement"/>
    <s v="100% MBS Fee to 125% MBS Fee"/>
    <n v="816152.98"/>
    <n v="525811.9"/>
    <n v="246329.75"/>
    <n v="3702"/>
  </r>
  <r>
    <x v="26"/>
    <x v="3"/>
    <s v="WA"/>
    <s v="Known gap agreement"/>
    <s v="More than 125% MBS Fee to 150% MBS Fee"/>
    <n v="2648919.7599999998"/>
    <n v="1418295.44"/>
    <n v="1035896.95"/>
    <n v="22812"/>
  </r>
  <r>
    <x v="26"/>
    <x v="3"/>
    <s v="WA"/>
    <s v="Known gap agreement"/>
    <s v="More than 150% MBS Fee to 200% MBS Fee"/>
    <n v="8272498.4299999997"/>
    <n v="3654007.68"/>
    <n v="3333945.5"/>
    <n v="15190"/>
  </r>
  <r>
    <x v="26"/>
    <x v="3"/>
    <s v="WA"/>
    <s v="Known gap agreement"/>
    <s v="More than 200% MBS Fee"/>
    <n v="16798896.489999998"/>
    <n v="4173171.96"/>
    <n v="2995474.95"/>
    <n v="40367"/>
  </r>
  <r>
    <x v="26"/>
    <x v="3"/>
    <s v="WA"/>
    <s v="No gap agreement"/>
    <s v="Up to MBS Fee"/>
    <n v="9333318.7300000004"/>
    <n v="7011481.3700000001"/>
    <n v="2321835.81"/>
    <n v="131960"/>
  </r>
  <r>
    <x v="26"/>
    <x v="3"/>
    <s v="WA"/>
    <s v="No gap agreement"/>
    <s v="100% MBS Fee to 125% MBS Fee"/>
    <n v="10688171.449999999"/>
    <n v="6924998.96"/>
    <n v="3763164.3"/>
    <n v="73663"/>
  </r>
  <r>
    <x v="26"/>
    <x v="3"/>
    <s v="WA"/>
    <s v="No gap agreement"/>
    <s v="More than 125% MBS Fee to 150% MBS Fee"/>
    <n v="46984584.390000001"/>
    <n v="25839347.079999998"/>
    <n v="21145234.050000001"/>
    <n v="315883"/>
  </r>
  <r>
    <x v="26"/>
    <x v="3"/>
    <s v="WA"/>
    <s v="No gap agreement"/>
    <s v="More than 150% MBS Fee to 200% MBS Fee"/>
    <n v="53265752.170000002"/>
    <n v="23752834.539999999"/>
    <n v="29512914.93"/>
    <n v="235798"/>
  </r>
  <r>
    <x v="26"/>
    <x v="3"/>
    <s v="WA"/>
    <s v="No gap agreement"/>
    <s v="More than 200% MBS Fee"/>
    <n v="2365356.86"/>
    <n v="631540.31999999995"/>
    <n v="1733816.54"/>
    <n v="1798"/>
  </r>
  <r>
    <x v="26"/>
    <x v="3"/>
    <s v="TAS"/>
    <s v="No agreement"/>
    <s v="Up to MBS Fee"/>
    <n v="517884.26"/>
    <n v="388654.83"/>
    <n v="129107.49"/>
    <n v="6385"/>
  </r>
  <r>
    <x v="26"/>
    <x v="3"/>
    <s v="TAS"/>
    <s v="No agreement"/>
    <s v="100% MBS Fee to 125% MBS Fee"/>
    <n v="74153.05"/>
    <n v="50657.97"/>
    <n v="17107.810000000001"/>
    <n v="277"/>
  </r>
  <r>
    <x v="26"/>
    <x v="3"/>
    <s v="TAS"/>
    <s v="No agreement"/>
    <s v="More than 125% MBS Fee to 150% MBS Fee"/>
    <n v="54148.4"/>
    <n v="29338.42"/>
    <n v="10079.16"/>
    <n v="120"/>
  </r>
  <r>
    <x v="26"/>
    <x v="3"/>
    <s v="TAS"/>
    <s v="No agreement"/>
    <s v="More than 150% MBS Fee to 200% MBS Fee"/>
    <n v="197684.13"/>
    <n v="85447.77"/>
    <n v="31978.880000000001"/>
    <n v="550"/>
  </r>
  <r>
    <x v="26"/>
    <x v="3"/>
    <s v="TAS"/>
    <s v="No agreement"/>
    <s v="More than 200% MBS Fee"/>
    <n v="1592345"/>
    <n v="366082.24"/>
    <n v="138594.04999999999"/>
    <n v="2627"/>
  </r>
  <r>
    <x v="26"/>
    <x v="3"/>
    <s v="TAS"/>
    <s v="Known gap agreement"/>
    <s v="100% MBS Fee to 125% MBS Fee"/>
    <n v="128162.35"/>
    <n v="87148.46"/>
    <n v="33899.94"/>
    <n v="566"/>
  </r>
  <r>
    <x v="26"/>
    <x v="3"/>
    <s v="TAS"/>
    <s v="Known gap agreement"/>
    <s v="More than 125% MBS Fee to 150% MBS Fee"/>
    <n v="267943.25"/>
    <n v="143790.63"/>
    <n v="113428.62"/>
    <n v="1328"/>
  </r>
  <r>
    <x v="26"/>
    <x v="3"/>
    <s v="TAS"/>
    <s v="Known gap agreement"/>
    <s v="More than 150% MBS Fee to 200% MBS Fee"/>
    <n v="1955757.4"/>
    <n v="831295.09"/>
    <n v="882150.92"/>
    <n v="2638"/>
  </r>
  <r>
    <x v="26"/>
    <x v="3"/>
    <s v="TAS"/>
    <s v="Known gap agreement"/>
    <s v="More than 200% MBS Fee"/>
    <n v="2587101.19"/>
    <n v="681228.09"/>
    <n v="785657.43"/>
    <n v="5986"/>
  </r>
  <r>
    <x v="26"/>
    <x v="3"/>
    <s v="TAS"/>
    <s v="No gap agreement"/>
    <s v="Up to MBS Fee"/>
    <n v="2064349.95"/>
    <n v="1550303.61"/>
    <n v="514046.34"/>
    <n v="32922"/>
  </r>
  <r>
    <x v="26"/>
    <x v="3"/>
    <s v="TAS"/>
    <s v="No gap agreement"/>
    <s v="100% MBS Fee to 125% MBS Fee"/>
    <n v="2832253.86"/>
    <n v="1796471.23"/>
    <n v="1035779.08"/>
    <n v="19785"/>
  </r>
  <r>
    <x v="26"/>
    <x v="3"/>
    <s v="TAS"/>
    <s v="No gap agreement"/>
    <s v="More than 125% MBS Fee to 150% MBS Fee"/>
    <n v="9166436.3300000001"/>
    <n v="5009728.97"/>
    <n v="4156705.48"/>
    <n v="56177"/>
  </r>
  <r>
    <x v="26"/>
    <x v="3"/>
    <s v="TAS"/>
    <s v="No gap agreement"/>
    <s v="More than 150% MBS Fee to 200% MBS Fee"/>
    <n v="11307851.789999999"/>
    <n v="5185305.93"/>
    <n v="6122544.4400000004"/>
    <n v="53184"/>
  </r>
  <r>
    <x v="26"/>
    <x v="3"/>
    <s v="TAS"/>
    <s v="No gap agreement"/>
    <s v="More than 200% MBS Fee"/>
    <n v="435050.48"/>
    <n v="119698.2"/>
    <n v="315351.28000000003"/>
    <n v="317"/>
  </r>
  <r>
    <x v="26"/>
    <x v="3"/>
    <s v="ACT"/>
    <s v="No agreement"/>
    <s v="Up to MBS Fee"/>
    <n v="518503.79"/>
    <n v="379573.42"/>
    <n v="128454.38"/>
    <n v="5478"/>
  </r>
  <r>
    <x v="26"/>
    <x v="3"/>
    <s v="ACT"/>
    <s v="No agreement"/>
    <s v="100% MBS Fee to 125% MBS Fee"/>
    <n v="79117.25"/>
    <n v="54163.64"/>
    <n v="17849.400000000001"/>
    <n v="396"/>
  </r>
  <r>
    <x v="26"/>
    <x v="3"/>
    <s v="ACT"/>
    <s v="No agreement"/>
    <s v="More than 125% MBS Fee to 150% MBS Fee"/>
    <n v="100706.51"/>
    <n v="54167.67"/>
    <n v="17242.61"/>
    <n v="344"/>
  </r>
  <r>
    <x v="26"/>
    <x v="3"/>
    <s v="ACT"/>
    <s v="No agreement"/>
    <s v="More than 150% MBS Fee to 200% MBS Fee"/>
    <n v="360823.08"/>
    <n v="154391.96"/>
    <n v="51893.05"/>
    <n v="1379"/>
  </r>
  <r>
    <x v="26"/>
    <x v="3"/>
    <s v="ACT"/>
    <s v="No agreement"/>
    <s v="More than 200% MBS Fee"/>
    <n v="5601550.3799999999"/>
    <n v="1222569.83"/>
    <n v="410977.73"/>
    <n v="4935"/>
  </r>
  <r>
    <x v="26"/>
    <x v="3"/>
    <s v="ACT"/>
    <s v="Known gap agreement"/>
    <s v="100% MBS Fee to 125% MBS Fee"/>
    <n v="79063.600000000006"/>
    <n v="51931.23"/>
    <n v="23659.42"/>
    <n v="336"/>
  </r>
  <r>
    <x v="26"/>
    <x v="3"/>
    <s v="ACT"/>
    <s v="Known gap agreement"/>
    <s v="More than 125% MBS Fee to 150% MBS Fee"/>
    <n v="159494.72"/>
    <n v="86679.45"/>
    <n v="62958.57"/>
    <n v="431"/>
  </r>
  <r>
    <x v="26"/>
    <x v="3"/>
    <s v="ACT"/>
    <s v="Known gap agreement"/>
    <s v="More than 150% MBS Fee to 200% MBS Fee"/>
    <n v="492476.81"/>
    <n v="211675.72"/>
    <n v="202541.01"/>
    <n v="1090"/>
  </r>
  <r>
    <x v="26"/>
    <x v="3"/>
    <s v="ACT"/>
    <s v="Known gap agreement"/>
    <s v="More than 200% MBS Fee"/>
    <n v="4421750.6500000004"/>
    <n v="1129827.24"/>
    <n v="1017528.06"/>
    <n v="13082"/>
  </r>
  <r>
    <x v="26"/>
    <x v="3"/>
    <s v="ACT"/>
    <s v="No gap agreement"/>
    <s v="Up to MBS Fee"/>
    <n v="425971.72"/>
    <n v="320267.59999999998"/>
    <n v="105704.12"/>
    <n v="11225"/>
  </r>
  <r>
    <x v="26"/>
    <x v="3"/>
    <s v="ACT"/>
    <s v="No gap agreement"/>
    <s v="100% MBS Fee to 125% MBS Fee"/>
    <n v="2196825.3199999998"/>
    <n v="1449644.49"/>
    <n v="747152.93"/>
    <n v="19125"/>
  </r>
  <r>
    <x v="26"/>
    <x v="3"/>
    <s v="ACT"/>
    <s v="No gap agreement"/>
    <s v="More than 125% MBS Fee to 150% MBS Fee"/>
    <n v="3843367.33"/>
    <n v="2123796.4"/>
    <n v="1719566.81"/>
    <n v="30158"/>
  </r>
  <r>
    <x v="26"/>
    <x v="3"/>
    <s v="ACT"/>
    <s v="No gap agreement"/>
    <s v="More than 150% MBS Fee to 200% MBS Fee"/>
    <n v="2985206.44"/>
    <n v="1374926.5"/>
    <n v="1610231.98"/>
    <n v="15810"/>
  </r>
  <r>
    <x v="26"/>
    <x v="3"/>
    <s v="ACT"/>
    <s v="No gap agreement"/>
    <s v="More than 200% MBS Fee"/>
    <n v="352968.48"/>
    <n v="113583.83"/>
    <n v="239384.65"/>
    <n v="879"/>
  </r>
  <r>
    <x v="26"/>
    <x v="3"/>
    <s v="NT"/>
    <s v="No agreement"/>
    <s v="Up to MBS Fee"/>
    <n v="215609.79"/>
    <n v="161313.57"/>
    <n v="53724.91"/>
    <n v="1438"/>
  </r>
  <r>
    <x v="26"/>
    <x v="3"/>
    <s v="NT"/>
    <s v="No agreement"/>
    <s v="100% MBS Fee to 125% MBS Fee"/>
    <n v="24331.75"/>
    <n v="16226.3"/>
    <n v="4809.6000000000004"/>
    <n v="116"/>
  </r>
  <r>
    <x v="26"/>
    <x v="3"/>
    <s v="NT"/>
    <s v="No agreement"/>
    <s v="More than 125% MBS Fee to 150% MBS Fee"/>
    <n v="17176.29"/>
    <n v="9074.16"/>
    <n v="3055.13"/>
    <n v="48"/>
  </r>
  <r>
    <x v="26"/>
    <x v="3"/>
    <s v="NT"/>
    <s v="No agreement"/>
    <s v="More than 150% MBS Fee to 200% MBS Fee"/>
    <n v="64491.85"/>
    <n v="27919.31"/>
    <n v="9742.5300000000007"/>
    <n v="270"/>
  </r>
  <r>
    <x v="26"/>
    <x v="3"/>
    <s v="NT"/>
    <s v="No agreement"/>
    <s v="More than 200% MBS Fee"/>
    <n v="1266427.81"/>
    <n v="289148.21999999997"/>
    <n v="95782.7"/>
    <n v="784"/>
  </r>
  <r>
    <x v="26"/>
    <x v="3"/>
    <s v="NT"/>
    <s v="Known gap agreement"/>
    <s v="100% MBS Fee to 125% MBS Fee"/>
    <n v="27587.18"/>
    <n v="17549.16"/>
    <n v="7747.1"/>
    <n v="102"/>
  </r>
  <r>
    <x v="26"/>
    <x v="3"/>
    <s v="NT"/>
    <s v="Known gap agreement"/>
    <s v="More than 125% MBS Fee to 150% MBS Fee"/>
    <n v="96121.89"/>
    <n v="52405.29"/>
    <n v="40717.519999999997"/>
    <n v="218"/>
  </r>
  <r>
    <x v="26"/>
    <x v="3"/>
    <s v="NT"/>
    <s v="Known gap agreement"/>
    <s v="More than 150% MBS Fee to 200% MBS Fee"/>
    <n v="275012.37"/>
    <n v="117794.83"/>
    <n v="118815.2"/>
    <n v="399"/>
  </r>
  <r>
    <x v="26"/>
    <x v="3"/>
    <s v="NT"/>
    <s v="Known gap agreement"/>
    <s v="More than 200% MBS Fee"/>
    <n v="520439.24"/>
    <n v="140485.01999999999"/>
    <n v="154523.26"/>
    <n v="1830"/>
  </r>
  <r>
    <x v="26"/>
    <x v="3"/>
    <s v="NT"/>
    <s v="No gap agreement"/>
    <s v="Up to MBS Fee"/>
    <n v="366723.24"/>
    <n v="275321.2"/>
    <n v="91402.04"/>
    <n v="5599"/>
  </r>
  <r>
    <x v="26"/>
    <x v="3"/>
    <s v="NT"/>
    <s v="No gap agreement"/>
    <s v="100% MBS Fee to 125% MBS Fee"/>
    <n v="521991.72"/>
    <n v="332845.55"/>
    <n v="189145.17"/>
    <n v="3526"/>
  </r>
  <r>
    <x v="26"/>
    <x v="3"/>
    <s v="NT"/>
    <s v="No gap agreement"/>
    <s v="More than 125% MBS Fee to 150% MBS Fee"/>
    <n v="1246116.05"/>
    <n v="676061.3"/>
    <n v="570056.02"/>
    <n v="5717"/>
  </r>
  <r>
    <x v="26"/>
    <x v="3"/>
    <s v="NT"/>
    <s v="No gap agreement"/>
    <s v="More than 150% MBS Fee to 200% MBS Fee"/>
    <n v="2050201.09"/>
    <n v="940670.81"/>
    <n v="1109518.8999999999"/>
    <n v="10091"/>
  </r>
  <r>
    <x v="26"/>
    <x v="3"/>
    <s v="NT"/>
    <s v="No gap agreement"/>
    <s v="More than 200% MBS Fee"/>
    <n v="58408.85"/>
    <n v="18138.79"/>
    <n v="40270.06"/>
    <n v="76"/>
  </r>
  <r>
    <x v="26"/>
    <x v="1"/>
    <s v="NSW"/>
    <s v="No agreement"/>
    <s v="Up to MBS Fee"/>
    <n v="27140902.079999998"/>
    <n v="20293961.75"/>
    <n v="6817103.3899999997"/>
    <n v="230138"/>
  </r>
  <r>
    <x v="26"/>
    <x v="1"/>
    <s v="NSW"/>
    <s v="No agreement"/>
    <s v="100% MBS Fee to 125% MBS Fee"/>
    <n v="2779431.56"/>
    <n v="1885144.02"/>
    <n v="656194.05000000005"/>
    <n v="10455"/>
  </r>
  <r>
    <x v="26"/>
    <x v="1"/>
    <s v="NSW"/>
    <s v="No agreement"/>
    <s v="More than 125% MBS Fee to 150% MBS Fee"/>
    <n v="1773126.91"/>
    <n v="963386.39"/>
    <n v="325816.93"/>
    <n v="4521"/>
  </r>
  <r>
    <x v="26"/>
    <x v="1"/>
    <s v="NSW"/>
    <s v="No agreement"/>
    <s v="More than 150% MBS Fee to 200% MBS Fee"/>
    <n v="5631552.9500000002"/>
    <n v="2433056.2400000002"/>
    <n v="824712.06"/>
    <n v="16955"/>
  </r>
  <r>
    <x v="26"/>
    <x v="1"/>
    <s v="NSW"/>
    <s v="No agreement"/>
    <s v="More than 200% MBS Fee"/>
    <n v="69665853.090000004"/>
    <n v="14940551.970000001"/>
    <n v="5028071.51"/>
    <n v="62448"/>
  </r>
  <r>
    <x v="26"/>
    <x v="1"/>
    <s v="NSW"/>
    <s v="Known gap agreement"/>
    <s v="100% MBS Fee to 125% MBS Fee"/>
    <n v="2844366.94"/>
    <n v="1868835.43"/>
    <n v="839091.75"/>
    <n v="11925"/>
  </r>
  <r>
    <x v="26"/>
    <x v="1"/>
    <s v="NSW"/>
    <s v="Known gap agreement"/>
    <s v="More than 125% MBS Fee to 150% MBS Fee"/>
    <n v="6394987.1799999997"/>
    <n v="3440187.78"/>
    <n v="2655491.2799999998"/>
    <n v="20536"/>
  </r>
  <r>
    <x v="26"/>
    <x v="1"/>
    <s v="NSW"/>
    <s v="Known gap agreement"/>
    <s v="More than 150% MBS Fee to 200% MBS Fee"/>
    <n v="18353667.309999999"/>
    <n v="7858502.5700000003"/>
    <n v="7834280.7400000002"/>
    <n v="33543"/>
  </r>
  <r>
    <x v="26"/>
    <x v="1"/>
    <s v="NSW"/>
    <s v="Known gap agreement"/>
    <s v="More than 200% MBS Fee"/>
    <n v="55745719.729999997"/>
    <n v="14084091.99"/>
    <n v="14150951.73"/>
    <n v="156883"/>
  </r>
  <r>
    <x v="26"/>
    <x v="1"/>
    <s v="NSW"/>
    <s v="No gap agreement"/>
    <s v="Up to MBS Fee"/>
    <n v="30023830.34"/>
    <n v="22581868.109999999"/>
    <n v="7441956.6100000003"/>
    <n v="905666"/>
  </r>
  <r>
    <x v="26"/>
    <x v="1"/>
    <s v="NSW"/>
    <s v="No gap agreement"/>
    <s v="100% MBS Fee to 125% MBS Fee"/>
    <n v="56275644.909999996"/>
    <n v="35933310.890000001"/>
    <n v="20341964.530000001"/>
    <n v="465583"/>
  </r>
  <r>
    <x v="26"/>
    <x v="1"/>
    <s v="NSW"/>
    <s v="No gap agreement"/>
    <s v="More than 125% MBS Fee to 150% MBS Fee"/>
    <n v="109071386.53"/>
    <n v="59778720.439999998"/>
    <n v="49292582.729999997"/>
    <n v="616149"/>
  </r>
  <r>
    <x v="26"/>
    <x v="1"/>
    <s v="NSW"/>
    <s v="No gap agreement"/>
    <s v="More than 150% MBS Fee to 200% MBS Fee"/>
    <n v="114717380.79000001"/>
    <n v="53318799.409999996"/>
    <n v="61398352.140000001"/>
    <n v="630102"/>
  </r>
  <r>
    <x v="26"/>
    <x v="1"/>
    <s v="NSW"/>
    <s v="No gap agreement"/>
    <s v="More than 200% MBS Fee"/>
    <n v="7204553.4299999997"/>
    <n v="2270210.92"/>
    <n v="4934342.5"/>
    <n v="13970"/>
  </r>
  <r>
    <x v="26"/>
    <x v="1"/>
    <s v="VIC"/>
    <s v="No agreement"/>
    <s v="Up to MBS Fee"/>
    <n v="7554842.4400000004"/>
    <n v="5657035.5700000003"/>
    <n v="1856363.2"/>
    <n v="141035"/>
  </r>
  <r>
    <x v="26"/>
    <x v="1"/>
    <s v="VIC"/>
    <s v="No agreement"/>
    <s v="100% MBS Fee to 125% MBS Fee"/>
    <n v="1279919.1000000001"/>
    <n v="853782.4"/>
    <n v="292195.11"/>
    <n v="3374"/>
  </r>
  <r>
    <x v="26"/>
    <x v="1"/>
    <s v="VIC"/>
    <s v="No agreement"/>
    <s v="More than 125% MBS Fee to 150% MBS Fee"/>
    <n v="2047004.18"/>
    <n v="1103198.68"/>
    <n v="383773.85"/>
    <n v="21007"/>
  </r>
  <r>
    <x v="26"/>
    <x v="1"/>
    <s v="VIC"/>
    <s v="No agreement"/>
    <s v="More than 150% MBS Fee to 200% MBS Fee"/>
    <n v="3654300.31"/>
    <n v="1595323.74"/>
    <n v="549971.65"/>
    <n v="12740"/>
  </r>
  <r>
    <x v="26"/>
    <x v="1"/>
    <s v="VIC"/>
    <s v="No agreement"/>
    <s v="More than 200% MBS Fee"/>
    <n v="27939537.82"/>
    <n v="6367358"/>
    <n v="2186718.52"/>
    <n v="25024"/>
  </r>
  <r>
    <x v="26"/>
    <x v="1"/>
    <s v="VIC"/>
    <s v="Known gap agreement"/>
    <s v="100% MBS Fee to 125% MBS Fee"/>
    <n v="2627025.2799999998"/>
    <n v="1730497.18"/>
    <n v="754116.71"/>
    <n v="12469"/>
  </r>
  <r>
    <x v="26"/>
    <x v="1"/>
    <s v="VIC"/>
    <s v="Known gap agreement"/>
    <s v="More than 125% MBS Fee to 150% MBS Fee"/>
    <n v="7802740.75"/>
    <n v="4226115.01"/>
    <n v="3096767.59"/>
    <n v="28849"/>
  </r>
  <r>
    <x v="26"/>
    <x v="1"/>
    <s v="VIC"/>
    <s v="Known gap agreement"/>
    <s v="More than 150% MBS Fee to 200% MBS Fee"/>
    <n v="19173945.329999998"/>
    <n v="8225553.9800000004"/>
    <n v="7900876.1299999999"/>
    <n v="39272"/>
  </r>
  <r>
    <x v="26"/>
    <x v="1"/>
    <s v="VIC"/>
    <s v="Known gap agreement"/>
    <s v="More than 200% MBS Fee"/>
    <n v="53473168.039999999"/>
    <n v="14155827.01"/>
    <n v="15716256.880000001"/>
    <n v="181724"/>
  </r>
  <r>
    <x v="26"/>
    <x v="1"/>
    <s v="VIC"/>
    <s v="No gap agreement"/>
    <s v="Up to MBS Fee"/>
    <n v="23386285.82"/>
    <n v="17606830.73"/>
    <n v="5779462.0800000001"/>
    <n v="328163"/>
  </r>
  <r>
    <x v="26"/>
    <x v="1"/>
    <s v="VIC"/>
    <s v="No gap agreement"/>
    <s v="100% MBS Fee to 125% MBS Fee"/>
    <n v="51554701.090000004"/>
    <n v="33003952.960000001"/>
    <n v="18550101.73"/>
    <n v="414465"/>
  </r>
  <r>
    <x v="26"/>
    <x v="1"/>
    <s v="VIC"/>
    <s v="No gap agreement"/>
    <s v="More than 125% MBS Fee to 150% MBS Fee"/>
    <n v="130171434.33"/>
    <n v="71547941.430000007"/>
    <n v="58623267.18"/>
    <n v="797004"/>
  </r>
  <r>
    <x v="26"/>
    <x v="1"/>
    <s v="VIC"/>
    <s v="No gap agreement"/>
    <s v="More than 150% MBS Fee to 200% MBS Fee"/>
    <n v="106936626.25"/>
    <n v="48454026.509999998"/>
    <n v="58482406.100000001"/>
    <n v="578690"/>
  </r>
  <r>
    <x v="26"/>
    <x v="1"/>
    <s v="VIC"/>
    <s v="No gap agreement"/>
    <s v="More than 200% MBS Fee"/>
    <n v="3319482.05"/>
    <n v="938046.76"/>
    <n v="2381435.29"/>
    <n v="3381"/>
  </r>
  <r>
    <x v="26"/>
    <x v="1"/>
    <s v="QLD"/>
    <s v="No agreement"/>
    <s v="Up to MBS Fee"/>
    <n v="5280834.6500000004"/>
    <n v="3911032.08"/>
    <n v="1293876.83"/>
    <n v="74574"/>
  </r>
  <r>
    <x v="26"/>
    <x v="1"/>
    <s v="QLD"/>
    <s v="No agreement"/>
    <s v="100% MBS Fee to 125% MBS Fee"/>
    <n v="1007087.67"/>
    <n v="687608.63"/>
    <n v="230613.27"/>
    <n v="2716"/>
  </r>
  <r>
    <x v="26"/>
    <x v="1"/>
    <s v="QLD"/>
    <s v="No agreement"/>
    <s v="More than 125% MBS Fee to 150% MBS Fee"/>
    <n v="1064737.03"/>
    <n v="578664.80000000005"/>
    <n v="192183.15"/>
    <n v="2192"/>
  </r>
  <r>
    <x v="26"/>
    <x v="1"/>
    <s v="QLD"/>
    <s v="No agreement"/>
    <s v="More than 150% MBS Fee to 200% MBS Fee"/>
    <n v="3981691.95"/>
    <n v="1715082.93"/>
    <n v="580765.54"/>
    <n v="21084"/>
  </r>
  <r>
    <x v="26"/>
    <x v="1"/>
    <s v="QLD"/>
    <s v="No agreement"/>
    <s v="More than 200% MBS Fee"/>
    <n v="38132816.789999999"/>
    <n v="8451791.8499999996"/>
    <n v="2843163.83"/>
    <n v="33509"/>
  </r>
  <r>
    <x v="26"/>
    <x v="1"/>
    <s v="QLD"/>
    <s v="Known gap agreement"/>
    <s v="100% MBS Fee to 125% MBS Fee"/>
    <n v="1822749.9"/>
    <n v="1212880.6499999999"/>
    <n v="513308.42"/>
    <n v="7797"/>
  </r>
  <r>
    <x v="26"/>
    <x v="1"/>
    <s v="QLD"/>
    <s v="Known gap agreement"/>
    <s v="More than 125% MBS Fee to 150% MBS Fee"/>
    <n v="4316798.8899999997"/>
    <n v="2335832.06"/>
    <n v="1691263.91"/>
    <n v="18299"/>
  </r>
  <r>
    <x v="26"/>
    <x v="1"/>
    <s v="QLD"/>
    <s v="Known gap agreement"/>
    <s v="More than 150% MBS Fee to 200% MBS Fee"/>
    <n v="19877862.510000002"/>
    <n v="8393382.8200000003"/>
    <n v="8443809.4000000004"/>
    <n v="32074"/>
  </r>
  <r>
    <x v="26"/>
    <x v="1"/>
    <s v="QLD"/>
    <s v="Known gap agreement"/>
    <s v="More than 200% MBS Fee"/>
    <n v="49136994.380000003"/>
    <n v="12157560.42"/>
    <n v="13281109.390000001"/>
    <n v="122140"/>
  </r>
  <r>
    <x v="26"/>
    <x v="1"/>
    <s v="QLD"/>
    <s v="No gap agreement"/>
    <s v="Up to MBS Fee"/>
    <n v="18443435.260000002"/>
    <n v="13851071.210000001"/>
    <n v="4592411.0199999996"/>
    <n v="274081"/>
  </r>
  <r>
    <x v="26"/>
    <x v="1"/>
    <s v="QLD"/>
    <s v="No gap agreement"/>
    <s v="100% MBS Fee to 125% MBS Fee"/>
    <n v="50718919.18"/>
    <n v="32438817.539999999"/>
    <n v="18279170.989999998"/>
    <n v="438653"/>
  </r>
  <r>
    <x v="26"/>
    <x v="1"/>
    <s v="QLD"/>
    <s v="No gap agreement"/>
    <s v="More than 125% MBS Fee to 150% MBS Fee"/>
    <n v="84912944.829999998"/>
    <n v="46872692.289999999"/>
    <n v="38039969.979999997"/>
    <n v="663429"/>
  </r>
  <r>
    <x v="26"/>
    <x v="1"/>
    <s v="QLD"/>
    <s v="No gap agreement"/>
    <s v="More than 150% MBS Fee to 200% MBS Fee"/>
    <n v="77592258.049999997"/>
    <n v="35546482.990000002"/>
    <n v="42044724.340000004"/>
    <n v="503125"/>
  </r>
  <r>
    <x v="26"/>
    <x v="1"/>
    <s v="QLD"/>
    <s v="No gap agreement"/>
    <s v="More than 200% MBS Fee"/>
    <n v="5200295.26"/>
    <n v="1531029.83"/>
    <n v="3669257.57"/>
    <n v="7337"/>
  </r>
  <r>
    <x v="26"/>
    <x v="1"/>
    <s v="SA"/>
    <s v="No agreement"/>
    <s v="Up to MBS Fee"/>
    <n v="1795270.19"/>
    <n v="1344955.28"/>
    <n v="447749.2"/>
    <n v="10116"/>
  </r>
  <r>
    <x v="26"/>
    <x v="1"/>
    <s v="SA"/>
    <s v="No agreement"/>
    <s v="100% MBS Fee to 125% MBS Fee"/>
    <n v="350977.65"/>
    <n v="237119.22"/>
    <n v="78565.69"/>
    <n v="607"/>
  </r>
  <r>
    <x v="26"/>
    <x v="1"/>
    <s v="SA"/>
    <s v="No agreement"/>
    <s v="More than 125% MBS Fee to 150% MBS Fee"/>
    <n v="160076.97"/>
    <n v="87124.63"/>
    <n v="29326.18"/>
    <n v="324"/>
  </r>
  <r>
    <x v="26"/>
    <x v="1"/>
    <s v="SA"/>
    <s v="No agreement"/>
    <s v="More than 150% MBS Fee to 200% MBS Fee"/>
    <n v="303353.23"/>
    <n v="130001.79"/>
    <n v="47173.65"/>
    <n v="810"/>
  </r>
  <r>
    <x v="26"/>
    <x v="1"/>
    <s v="SA"/>
    <s v="No agreement"/>
    <s v="More than 200% MBS Fee"/>
    <n v="3412589.4"/>
    <n v="676578.14"/>
    <n v="227610.94"/>
    <n v="2366"/>
  </r>
  <r>
    <x v="26"/>
    <x v="1"/>
    <s v="SA"/>
    <s v="Known gap agreement"/>
    <s v="100% MBS Fee to 125% MBS Fee"/>
    <n v="315394.96999999997"/>
    <n v="203539.02"/>
    <n v="94099.06"/>
    <n v="1617"/>
  </r>
  <r>
    <x v="26"/>
    <x v="1"/>
    <s v="SA"/>
    <s v="Known gap agreement"/>
    <s v="More than 125% MBS Fee to 150% MBS Fee"/>
    <n v="1482171.89"/>
    <n v="801927.06"/>
    <n v="611536.06999999995"/>
    <n v="5976"/>
  </r>
  <r>
    <x v="26"/>
    <x v="1"/>
    <s v="SA"/>
    <s v="Known gap agreement"/>
    <s v="More than 150% MBS Fee to 200% MBS Fee"/>
    <n v="9660711.2599999998"/>
    <n v="4056892.17"/>
    <n v="4273386.95"/>
    <n v="13560"/>
  </r>
  <r>
    <x v="26"/>
    <x v="1"/>
    <s v="SA"/>
    <s v="Known gap agreement"/>
    <s v="More than 200% MBS Fee"/>
    <n v="12489136.960000001"/>
    <n v="3481989"/>
    <n v="4114350.48"/>
    <n v="44286"/>
  </r>
  <r>
    <x v="26"/>
    <x v="1"/>
    <s v="SA"/>
    <s v="No gap agreement"/>
    <s v="Up to MBS Fee"/>
    <n v="8527195.2200000007"/>
    <n v="6401024.0300000003"/>
    <n v="2126171.19"/>
    <n v="167036"/>
  </r>
  <r>
    <x v="26"/>
    <x v="1"/>
    <s v="SA"/>
    <s v="No gap agreement"/>
    <s v="100% MBS Fee to 125% MBS Fee"/>
    <n v="10576178.310000001"/>
    <n v="6652948.4400000004"/>
    <n v="3922936.25"/>
    <n v="85754"/>
  </r>
  <r>
    <x v="26"/>
    <x v="1"/>
    <s v="SA"/>
    <s v="No gap agreement"/>
    <s v="More than 125% MBS Fee to 150% MBS Fee"/>
    <n v="34378690.07"/>
    <n v="18727079.91"/>
    <n v="15651542.01"/>
    <n v="240977"/>
  </r>
  <r>
    <x v="26"/>
    <x v="1"/>
    <s v="SA"/>
    <s v="No gap agreement"/>
    <s v="More than 150% MBS Fee to 200% MBS Fee"/>
    <n v="41408327.43"/>
    <n v="18596914.09"/>
    <n v="22811215.899999999"/>
    <n v="175947"/>
  </r>
  <r>
    <x v="26"/>
    <x v="1"/>
    <s v="SA"/>
    <s v="No gap agreement"/>
    <s v="More than 200% MBS Fee"/>
    <n v="1058713.5"/>
    <n v="287891.99"/>
    <n v="770821.51"/>
    <n v="852"/>
  </r>
  <r>
    <x v="26"/>
    <x v="1"/>
    <s v="WA"/>
    <s v="No agreement"/>
    <s v="Up to MBS Fee"/>
    <n v="1621659.65"/>
    <n v="1216114.4099999999"/>
    <n v="399780.08"/>
    <n v="20206"/>
  </r>
  <r>
    <x v="26"/>
    <x v="1"/>
    <s v="WA"/>
    <s v="No agreement"/>
    <s v="100% MBS Fee to 125% MBS Fee"/>
    <n v="271635.11"/>
    <n v="182432.13"/>
    <n v="60633.66"/>
    <n v="778"/>
  </r>
  <r>
    <x v="26"/>
    <x v="1"/>
    <s v="WA"/>
    <s v="No agreement"/>
    <s v="More than 125% MBS Fee to 150% MBS Fee"/>
    <n v="456894.07"/>
    <n v="247930.75"/>
    <n v="82375.03"/>
    <n v="1333"/>
  </r>
  <r>
    <x v="26"/>
    <x v="1"/>
    <s v="WA"/>
    <s v="No agreement"/>
    <s v="More than 150% MBS Fee to 200% MBS Fee"/>
    <n v="1906234.19"/>
    <n v="836070.40000000002"/>
    <n v="278915.38"/>
    <n v="16950"/>
  </r>
  <r>
    <x v="26"/>
    <x v="1"/>
    <s v="WA"/>
    <s v="No agreement"/>
    <s v="More than 200% MBS Fee"/>
    <n v="8454229.5399999991"/>
    <n v="1730726.59"/>
    <n v="585050.9"/>
    <n v="8356"/>
  </r>
  <r>
    <x v="26"/>
    <x v="1"/>
    <s v="WA"/>
    <s v="Known gap agreement"/>
    <s v="100% MBS Fee to 125% MBS Fee"/>
    <n v="850994.59"/>
    <n v="556893.62"/>
    <n v="262280.05"/>
    <n v="3879"/>
  </r>
  <r>
    <x v="26"/>
    <x v="1"/>
    <s v="WA"/>
    <s v="Known gap agreement"/>
    <s v="More than 125% MBS Fee to 150% MBS Fee"/>
    <n v="3112206.02"/>
    <n v="1660964.84"/>
    <n v="1240961.6100000001"/>
    <n v="21341"/>
  </r>
  <r>
    <x v="26"/>
    <x v="1"/>
    <s v="WA"/>
    <s v="Known gap agreement"/>
    <s v="More than 150% MBS Fee to 200% MBS Fee"/>
    <n v="9702072.8599999994"/>
    <n v="4255548.1500000004"/>
    <n v="3914747.26"/>
    <n v="15947"/>
  </r>
  <r>
    <x v="26"/>
    <x v="1"/>
    <s v="WA"/>
    <s v="Known gap agreement"/>
    <s v="More than 200% MBS Fee"/>
    <n v="20292025.43"/>
    <n v="4931891.34"/>
    <n v="3542643.09"/>
    <n v="46231"/>
  </r>
  <r>
    <x v="26"/>
    <x v="1"/>
    <s v="WA"/>
    <s v="No gap agreement"/>
    <s v="Up to MBS Fee"/>
    <n v="10527881.029999999"/>
    <n v="7908395.4100000001"/>
    <n v="2619583.59"/>
    <n v="169372"/>
  </r>
  <r>
    <x v="26"/>
    <x v="1"/>
    <s v="WA"/>
    <s v="No gap agreement"/>
    <s v="100% MBS Fee to 125% MBS Fee"/>
    <n v="13178342.199999999"/>
    <n v="8529798.1300000008"/>
    <n v="4648477.17"/>
    <n v="86790"/>
  </r>
  <r>
    <x v="26"/>
    <x v="1"/>
    <s v="WA"/>
    <s v="No gap agreement"/>
    <s v="More than 125% MBS Fee to 150% MBS Fee"/>
    <n v="53651891.310000002"/>
    <n v="29460771.620000001"/>
    <n v="24191099.420000002"/>
    <n v="339282"/>
  </r>
  <r>
    <x v="26"/>
    <x v="1"/>
    <s v="WA"/>
    <s v="No gap agreement"/>
    <s v="More than 150% MBS Fee to 200% MBS Fee"/>
    <n v="58527491.469999999"/>
    <n v="26048764.780000001"/>
    <n v="32478646.440000001"/>
    <n v="269422"/>
  </r>
  <r>
    <x v="26"/>
    <x v="1"/>
    <s v="WA"/>
    <s v="No gap agreement"/>
    <s v="More than 200% MBS Fee"/>
    <n v="2387014.71"/>
    <n v="638997.76000000001"/>
    <n v="1748016.95"/>
    <n v="2215"/>
  </r>
  <r>
    <x v="26"/>
    <x v="1"/>
    <s v="TAS"/>
    <s v="No agreement"/>
    <s v="Up to MBS Fee"/>
    <n v="438130.63"/>
    <n v="328686.62"/>
    <n v="108649.86"/>
    <n v="4072"/>
  </r>
  <r>
    <x v="26"/>
    <x v="1"/>
    <s v="TAS"/>
    <s v="No agreement"/>
    <s v="100% MBS Fee to 125% MBS Fee"/>
    <n v="109079.93"/>
    <n v="72200.070000000007"/>
    <n v="24342.83"/>
    <n v="350"/>
  </r>
  <r>
    <x v="26"/>
    <x v="1"/>
    <s v="TAS"/>
    <s v="No agreement"/>
    <s v="More than 125% MBS Fee to 150% MBS Fee"/>
    <n v="111599.88"/>
    <n v="59973.68"/>
    <n v="19509.990000000002"/>
    <n v="273"/>
  </r>
  <r>
    <x v="26"/>
    <x v="1"/>
    <s v="TAS"/>
    <s v="No agreement"/>
    <s v="More than 150% MBS Fee to 200% MBS Fee"/>
    <n v="160209.23000000001"/>
    <n v="68198.960000000006"/>
    <n v="24951.03"/>
    <n v="549"/>
  </r>
  <r>
    <x v="26"/>
    <x v="1"/>
    <s v="TAS"/>
    <s v="No agreement"/>
    <s v="More than 200% MBS Fee"/>
    <n v="2129003.98"/>
    <n v="459796.96"/>
    <n v="154145.25"/>
    <n v="1364"/>
  </r>
  <r>
    <x v="26"/>
    <x v="1"/>
    <s v="TAS"/>
    <s v="Known gap agreement"/>
    <s v="100% MBS Fee to 125% MBS Fee"/>
    <n v="94582.94"/>
    <n v="62798.68"/>
    <n v="26907.33"/>
    <n v="399"/>
  </r>
  <r>
    <x v="26"/>
    <x v="1"/>
    <s v="TAS"/>
    <s v="Known gap agreement"/>
    <s v="More than 125% MBS Fee to 150% MBS Fee"/>
    <n v="409389.53"/>
    <n v="220988.61"/>
    <n v="170276.28"/>
    <n v="1602"/>
  </r>
  <r>
    <x v="26"/>
    <x v="1"/>
    <s v="TAS"/>
    <s v="Known gap agreement"/>
    <s v="More than 150% MBS Fee to 200% MBS Fee"/>
    <n v="2198134.0699999998"/>
    <n v="930263.97"/>
    <n v="987037.29"/>
    <n v="2819"/>
  </r>
  <r>
    <x v="26"/>
    <x v="1"/>
    <s v="TAS"/>
    <s v="Known gap agreement"/>
    <s v="More than 200% MBS Fee"/>
    <n v="3430458.04"/>
    <n v="905568.34"/>
    <n v="1064952.8"/>
    <n v="7409"/>
  </r>
  <r>
    <x v="26"/>
    <x v="1"/>
    <s v="TAS"/>
    <s v="No gap agreement"/>
    <s v="Up to MBS Fee"/>
    <n v="1837781.4"/>
    <n v="1380885.98"/>
    <n v="456895.42"/>
    <n v="32634"/>
  </r>
  <r>
    <x v="26"/>
    <x v="1"/>
    <s v="TAS"/>
    <s v="No gap agreement"/>
    <s v="100% MBS Fee to 125% MBS Fee"/>
    <n v="3258050.32"/>
    <n v="2058088.15"/>
    <n v="1199920.8700000001"/>
    <n v="22813"/>
  </r>
  <r>
    <x v="26"/>
    <x v="1"/>
    <s v="TAS"/>
    <s v="No gap agreement"/>
    <s v="More than 125% MBS Fee to 150% MBS Fee"/>
    <n v="10371919.039999999"/>
    <n v="5653867.54"/>
    <n v="4718039.47"/>
    <n v="63497"/>
  </r>
  <r>
    <x v="26"/>
    <x v="1"/>
    <s v="TAS"/>
    <s v="No gap agreement"/>
    <s v="More than 150% MBS Fee to 200% MBS Fee"/>
    <n v="12334590.93"/>
    <n v="5633364.21"/>
    <n v="6701204.7000000002"/>
    <n v="61175"/>
  </r>
  <r>
    <x v="26"/>
    <x v="1"/>
    <s v="TAS"/>
    <s v="No gap agreement"/>
    <s v="More than 200% MBS Fee"/>
    <n v="375120.2"/>
    <n v="106491.82"/>
    <n v="268627.58"/>
    <n v="336"/>
  </r>
  <r>
    <x v="26"/>
    <x v="1"/>
    <s v="ACT"/>
    <s v="No agreement"/>
    <s v="Up to MBS Fee"/>
    <n v="451419.43"/>
    <n v="321815.34000000003"/>
    <n v="102369.92"/>
    <n v="4241"/>
  </r>
  <r>
    <x v="26"/>
    <x v="1"/>
    <s v="ACT"/>
    <s v="No agreement"/>
    <s v="100% MBS Fee to 125% MBS Fee"/>
    <n v="76060.02"/>
    <n v="51788.91"/>
    <n v="17654.099999999999"/>
    <n v="223"/>
  </r>
  <r>
    <x v="26"/>
    <x v="1"/>
    <s v="ACT"/>
    <s v="No agreement"/>
    <s v="More than 125% MBS Fee to 150% MBS Fee"/>
    <n v="103319.12"/>
    <n v="56076.79"/>
    <n v="18325.080000000002"/>
    <n v="158"/>
  </r>
  <r>
    <x v="26"/>
    <x v="1"/>
    <s v="ACT"/>
    <s v="No agreement"/>
    <s v="More than 150% MBS Fee to 200% MBS Fee"/>
    <n v="380558.38"/>
    <n v="162614.65"/>
    <n v="54696.27"/>
    <n v="1478"/>
  </r>
  <r>
    <x v="26"/>
    <x v="1"/>
    <s v="ACT"/>
    <s v="No agreement"/>
    <s v="More than 200% MBS Fee"/>
    <n v="6263603.71"/>
    <n v="1373396.02"/>
    <n v="458443.29"/>
    <n v="5278"/>
  </r>
  <r>
    <x v="26"/>
    <x v="1"/>
    <s v="ACT"/>
    <s v="Known gap agreement"/>
    <s v="100% MBS Fee to 125% MBS Fee"/>
    <n v="97617.01"/>
    <n v="65908.61"/>
    <n v="28061.61"/>
    <n v="337"/>
  </r>
  <r>
    <x v="26"/>
    <x v="1"/>
    <s v="ACT"/>
    <s v="Known gap agreement"/>
    <s v="More than 125% MBS Fee to 150% MBS Fee"/>
    <n v="235514.52"/>
    <n v="125929.95"/>
    <n v="95052.63"/>
    <n v="576"/>
  </r>
  <r>
    <x v="26"/>
    <x v="1"/>
    <s v="ACT"/>
    <s v="Known gap agreement"/>
    <s v="More than 150% MBS Fee to 200% MBS Fee"/>
    <n v="576339.28"/>
    <n v="246455.82"/>
    <n v="242054.57"/>
    <n v="1186"/>
  </r>
  <r>
    <x v="26"/>
    <x v="1"/>
    <s v="ACT"/>
    <s v="Known gap agreement"/>
    <s v="More than 200% MBS Fee"/>
    <n v="4962409.18"/>
    <n v="1268699.1599999999"/>
    <n v="1198393.3400000001"/>
    <n v="15121"/>
  </r>
  <r>
    <x v="26"/>
    <x v="1"/>
    <s v="ACT"/>
    <s v="No gap agreement"/>
    <s v="Up to MBS Fee"/>
    <n v="463635.61"/>
    <n v="348270.47"/>
    <n v="115365.14"/>
    <n v="11498"/>
  </r>
  <r>
    <x v="26"/>
    <x v="1"/>
    <s v="ACT"/>
    <s v="No gap agreement"/>
    <s v="100% MBS Fee to 125% MBS Fee"/>
    <n v="2130069.66"/>
    <n v="1397804.82"/>
    <n v="732243.63"/>
    <n v="16494"/>
  </r>
  <r>
    <x v="26"/>
    <x v="1"/>
    <s v="ACT"/>
    <s v="No gap agreement"/>
    <s v="More than 125% MBS Fee to 150% MBS Fee"/>
    <n v="4345915.82"/>
    <n v="2398642.65"/>
    <n v="1947244.38"/>
    <n v="36076"/>
  </r>
  <r>
    <x v="26"/>
    <x v="1"/>
    <s v="ACT"/>
    <s v="No gap agreement"/>
    <s v="More than 150% MBS Fee to 200% MBS Fee"/>
    <n v="3271402.02"/>
    <n v="1506653.63"/>
    <n v="1764696.32"/>
    <n v="18127"/>
  </r>
  <r>
    <x v="26"/>
    <x v="1"/>
    <s v="ACT"/>
    <s v="No gap agreement"/>
    <s v="More than 200% MBS Fee"/>
    <n v="296351.86"/>
    <n v="96676.160000000003"/>
    <n v="199675.7"/>
    <n v="691"/>
  </r>
  <r>
    <x v="26"/>
    <x v="1"/>
    <s v="NT"/>
    <s v="No agreement"/>
    <s v="Up to MBS Fee"/>
    <n v="260194.22"/>
    <n v="193660.16"/>
    <n v="64536.4"/>
    <n v="1348"/>
  </r>
  <r>
    <x v="26"/>
    <x v="1"/>
    <s v="NT"/>
    <s v="No agreement"/>
    <s v="100% MBS Fee to 125% MBS Fee"/>
    <n v="26762.35"/>
    <n v="18633.25"/>
    <n v="6211"/>
    <n v="52"/>
  </r>
  <r>
    <x v="26"/>
    <x v="1"/>
    <s v="NT"/>
    <s v="No agreement"/>
    <s v="More than 125% MBS Fee to 150% MBS Fee"/>
    <n v="33948.550000000003"/>
    <n v="18274"/>
    <n v="6090.45"/>
    <n v="69"/>
  </r>
  <r>
    <x v="26"/>
    <x v="1"/>
    <s v="NT"/>
    <s v="No agreement"/>
    <s v="More than 150% MBS Fee to 200% MBS Fee"/>
    <n v="53736.97"/>
    <n v="23105.64"/>
    <n v="7698"/>
    <n v="152"/>
  </r>
  <r>
    <x v="26"/>
    <x v="1"/>
    <s v="NT"/>
    <s v="No agreement"/>
    <s v="More than 200% MBS Fee"/>
    <n v="1308634.19"/>
    <n v="300090.38"/>
    <n v="100022.9"/>
    <n v="723"/>
  </r>
  <r>
    <x v="26"/>
    <x v="1"/>
    <s v="NT"/>
    <s v="Known gap agreement"/>
    <s v="100% MBS Fee to 125% MBS Fee"/>
    <n v="12506.12"/>
    <n v="8061.2"/>
    <n v="3463.2"/>
    <n v="71"/>
  </r>
  <r>
    <x v="26"/>
    <x v="1"/>
    <s v="NT"/>
    <s v="Known gap agreement"/>
    <s v="More than 125% MBS Fee to 150% MBS Fee"/>
    <n v="93600.67"/>
    <n v="51141.61"/>
    <n v="40429.9"/>
    <n v="223"/>
  </r>
  <r>
    <x v="26"/>
    <x v="1"/>
    <s v="NT"/>
    <s v="Known gap agreement"/>
    <s v="More than 150% MBS Fee to 200% MBS Fee"/>
    <n v="260393.24"/>
    <n v="112477.51"/>
    <n v="111642.48"/>
    <n v="419"/>
  </r>
  <r>
    <x v="26"/>
    <x v="1"/>
    <s v="NT"/>
    <s v="Known gap agreement"/>
    <s v="More than 200% MBS Fee"/>
    <n v="530189.25"/>
    <n v="141809.01999999999"/>
    <n v="148663.21"/>
    <n v="1625"/>
  </r>
  <r>
    <x v="26"/>
    <x v="1"/>
    <s v="NT"/>
    <s v="No gap agreement"/>
    <s v="Up to MBS Fee"/>
    <n v="333530.49"/>
    <n v="250402.1"/>
    <n v="83128.39"/>
    <n v="3925"/>
  </r>
  <r>
    <x v="26"/>
    <x v="1"/>
    <s v="NT"/>
    <s v="No gap agreement"/>
    <s v="100% MBS Fee to 125% MBS Fee"/>
    <n v="642402.81000000006"/>
    <n v="406653.8"/>
    <n v="235728.31"/>
    <n v="4351"/>
  </r>
  <r>
    <x v="26"/>
    <x v="1"/>
    <s v="NT"/>
    <s v="No gap agreement"/>
    <s v="More than 125% MBS Fee to 150% MBS Fee"/>
    <n v="1294665.31"/>
    <n v="703208.75"/>
    <n v="591448.99"/>
    <n v="5723"/>
  </r>
  <r>
    <x v="26"/>
    <x v="1"/>
    <s v="NT"/>
    <s v="No gap agreement"/>
    <s v="More than 150% MBS Fee to 200% MBS Fee"/>
    <n v="1870543.9"/>
    <n v="861560.16"/>
    <n v="1008964.74"/>
    <n v="9719"/>
  </r>
  <r>
    <x v="26"/>
    <x v="1"/>
    <s v="NT"/>
    <s v="No gap agreement"/>
    <s v="More than 200% MBS Fee"/>
    <n v="49449.79"/>
    <n v="15798.79"/>
    <n v="33651"/>
    <n v="71"/>
  </r>
  <r>
    <x v="27"/>
    <x v="0"/>
    <s v="NSW"/>
    <s v="No agreement"/>
    <s v="Up to MBS Fee"/>
    <n v="28062951.100000001"/>
    <n v="20984641.129999999"/>
    <n v="7043814.7199999997"/>
    <n v="228382"/>
  </r>
  <r>
    <x v="27"/>
    <x v="0"/>
    <s v="NSW"/>
    <s v="No agreement"/>
    <s v="100% MBS Fee to 125% MBS Fee"/>
    <n v="2431554.08"/>
    <n v="1631769.74"/>
    <n v="570289.52"/>
    <n v="8943"/>
  </r>
  <r>
    <x v="27"/>
    <x v="0"/>
    <s v="NSW"/>
    <s v="No agreement"/>
    <s v="More than 125% MBS Fee to 150% MBS Fee"/>
    <n v="1866594.18"/>
    <n v="1009267.79"/>
    <n v="346471.69"/>
    <n v="3836"/>
  </r>
  <r>
    <x v="27"/>
    <x v="0"/>
    <s v="NSW"/>
    <s v="No agreement"/>
    <s v="More than 150% MBS Fee to 200% MBS Fee"/>
    <n v="6945758.0599999996"/>
    <n v="2949921.57"/>
    <n v="1032041.77"/>
    <n v="17413"/>
  </r>
  <r>
    <x v="27"/>
    <x v="0"/>
    <s v="NSW"/>
    <s v="No agreement"/>
    <s v="More than 200% MBS Fee"/>
    <n v="102066779.86"/>
    <n v="21542559.07"/>
    <n v="7249784.2400000002"/>
    <n v="86356"/>
  </r>
  <r>
    <x v="27"/>
    <x v="0"/>
    <s v="NSW"/>
    <s v="Known gap agreement"/>
    <s v="100% MBS Fee to 125% MBS Fee"/>
    <n v="2973242.96"/>
    <n v="1951193.89"/>
    <n v="885842.64"/>
    <n v="13305"/>
  </r>
  <r>
    <x v="27"/>
    <x v="0"/>
    <s v="NSW"/>
    <s v="Known gap agreement"/>
    <s v="More than 125% MBS Fee to 150% MBS Fee"/>
    <n v="6697477.9199999999"/>
    <n v="3590582.24"/>
    <n v="2703610.82"/>
    <n v="24865"/>
  </r>
  <r>
    <x v="27"/>
    <x v="0"/>
    <s v="NSW"/>
    <s v="Known gap agreement"/>
    <s v="More than 150% MBS Fee to 200% MBS Fee"/>
    <n v="18967981.57"/>
    <n v="8202322.2199999997"/>
    <n v="8203843.3200000003"/>
    <n v="32146"/>
  </r>
  <r>
    <x v="27"/>
    <x v="0"/>
    <s v="NSW"/>
    <s v="Known gap agreement"/>
    <s v="More than 200% MBS Fee"/>
    <n v="54003927.329999998"/>
    <n v="14053765.189999999"/>
    <n v="15975981.82"/>
    <n v="174898"/>
  </r>
  <r>
    <x v="27"/>
    <x v="0"/>
    <s v="NSW"/>
    <s v="No gap agreement"/>
    <s v="Up to MBS Fee"/>
    <n v="27966416.93"/>
    <n v="21039779.280000001"/>
    <n v="6926631.6500000004"/>
    <n v="987808"/>
  </r>
  <r>
    <x v="27"/>
    <x v="0"/>
    <s v="NSW"/>
    <s v="No gap agreement"/>
    <s v="100% MBS Fee to 125% MBS Fee"/>
    <n v="55088362.549999997"/>
    <n v="35153962.420000002"/>
    <n v="19934272.289999999"/>
    <n v="435332"/>
  </r>
  <r>
    <x v="27"/>
    <x v="0"/>
    <s v="NSW"/>
    <s v="No gap agreement"/>
    <s v="More than 125% MBS Fee to 150% MBS Fee"/>
    <n v="114349826.66"/>
    <n v="62697867.340000004"/>
    <n v="51651935.18"/>
    <n v="627706"/>
  </r>
  <r>
    <x v="27"/>
    <x v="0"/>
    <s v="NSW"/>
    <s v="No gap agreement"/>
    <s v="More than 150% MBS Fee to 200% MBS Fee"/>
    <n v="114524628.84"/>
    <n v="52421717.43"/>
    <n v="62102871.68"/>
    <n v="654315"/>
  </r>
  <r>
    <x v="27"/>
    <x v="0"/>
    <s v="NSW"/>
    <s v="No gap agreement"/>
    <s v="More than 200% MBS Fee"/>
    <n v="6390270.4100000001"/>
    <n v="1900189.64"/>
    <n v="4490080.7699999996"/>
    <n v="6359"/>
  </r>
  <r>
    <x v="27"/>
    <x v="0"/>
    <s v="VIC"/>
    <s v="No agreement"/>
    <s v="Up to MBS Fee"/>
    <n v="5328927.47"/>
    <n v="3969083.93"/>
    <n v="1303269.06"/>
    <n v="110221"/>
  </r>
  <r>
    <x v="27"/>
    <x v="0"/>
    <s v="VIC"/>
    <s v="No agreement"/>
    <s v="100% MBS Fee to 125% MBS Fee"/>
    <n v="1037364.3"/>
    <n v="686090.86"/>
    <n v="229789.46"/>
    <n v="2625"/>
  </r>
  <r>
    <x v="27"/>
    <x v="0"/>
    <s v="VIC"/>
    <s v="No agreement"/>
    <s v="More than 125% MBS Fee to 150% MBS Fee"/>
    <n v="1556049.88"/>
    <n v="832887.65"/>
    <n v="284654.55"/>
    <n v="6244"/>
  </r>
  <r>
    <x v="27"/>
    <x v="0"/>
    <s v="VIC"/>
    <s v="No agreement"/>
    <s v="More than 150% MBS Fee to 200% MBS Fee"/>
    <n v="3979010.04"/>
    <n v="1737094.75"/>
    <n v="581040.57999999996"/>
    <n v="12921"/>
  </r>
  <r>
    <x v="27"/>
    <x v="0"/>
    <s v="VIC"/>
    <s v="No agreement"/>
    <s v="More than 200% MBS Fee"/>
    <n v="38120486.880000003"/>
    <n v="8338813.1200000001"/>
    <n v="2800639.05"/>
    <n v="31556"/>
  </r>
  <r>
    <x v="27"/>
    <x v="0"/>
    <s v="VIC"/>
    <s v="Known gap agreement"/>
    <s v="100% MBS Fee to 125% MBS Fee"/>
    <n v="2611346.86"/>
    <n v="1710446.94"/>
    <n v="761369.13"/>
    <n v="12664"/>
  </r>
  <r>
    <x v="27"/>
    <x v="0"/>
    <s v="VIC"/>
    <s v="Known gap agreement"/>
    <s v="More than 125% MBS Fee to 150% MBS Fee"/>
    <n v="7793505.8399999999"/>
    <n v="4171198.37"/>
    <n v="3081142.51"/>
    <n v="22329"/>
  </r>
  <r>
    <x v="27"/>
    <x v="0"/>
    <s v="VIC"/>
    <s v="Known gap agreement"/>
    <s v="More than 150% MBS Fee to 200% MBS Fee"/>
    <n v="21102478.41"/>
    <n v="9059353.0800000001"/>
    <n v="8537851.0899999999"/>
    <n v="37608"/>
  </r>
  <r>
    <x v="27"/>
    <x v="0"/>
    <s v="VIC"/>
    <s v="Known gap agreement"/>
    <s v="More than 200% MBS Fee"/>
    <n v="52543581.969999999"/>
    <n v="13886545.08"/>
    <n v="15082080.98"/>
    <n v="180554"/>
  </r>
  <r>
    <x v="27"/>
    <x v="0"/>
    <s v="VIC"/>
    <s v="No gap agreement"/>
    <s v="Up to MBS Fee"/>
    <n v="19762606.5"/>
    <n v="14865373.23"/>
    <n v="4897272.04"/>
    <n v="271741"/>
  </r>
  <r>
    <x v="27"/>
    <x v="0"/>
    <s v="VIC"/>
    <s v="No gap agreement"/>
    <s v="100% MBS Fee to 125% MBS Fee"/>
    <n v="58441400.539999999"/>
    <n v="37286829.210000001"/>
    <n v="21154365.129999999"/>
    <n v="468349"/>
  </r>
  <r>
    <x v="27"/>
    <x v="0"/>
    <s v="VIC"/>
    <s v="No gap agreement"/>
    <s v="More than 125% MBS Fee to 150% MBS Fee"/>
    <n v="118929983.53"/>
    <n v="65294424.789999999"/>
    <n v="53635491.530000001"/>
    <n v="685072"/>
  </r>
  <r>
    <x v="27"/>
    <x v="0"/>
    <s v="VIC"/>
    <s v="No gap agreement"/>
    <s v="More than 150% MBS Fee to 200% MBS Fee"/>
    <n v="80756934.719999999"/>
    <n v="37211023.170000002"/>
    <n v="43545884.530000001"/>
    <n v="508025"/>
  </r>
  <r>
    <x v="27"/>
    <x v="0"/>
    <s v="VIC"/>
    <s v="No gap agreement"/>
    <s v="More than 200% MBS Fee"/>
    <n v="2885833.15"/>
    <n v="826070.27"/>
    <n v="2059762.88"/>
    <n v="3089"/>
  </r>
  <r>
    <x v="27"/>
    <x v="0"/>
    <s v="QLD"/>
    <s v="No agreement"/>
    <s v="Up to MBS Fee"/>
    <n v="3707984.46"/>
    <n v="2738178.29"/>
    <n v="897664.09"/>
    <n v="55056"/>
  </r>
  <r>
    <x v="27"/>
    <x v="0"/>
    <s v="QLD"/>
    <s v="No agreement"/>
    <s v="100% MBS Fee to 125% MBS Fee"/>
    <n v="1231602"/>
    <n v="821073.85"/>
    <n v="276136.93"/>
    <n v="2375"/>
  </r>
  <r>
    <x v="27"/>
    <x v="0"/>
    <s v="QLD"/>
    <s v="No agreement"/>
    <s v="More than 125% MBS Fee to 150% MBS Fee"/>
    <n v="1384036.96"/>
    <n v="755121.48"/>
    <n v="250035.91"/>
    <n v="3361"/>
  </r>
  <r>
    <x v="27"/>
    <x v="0"/>
    <s v="QLD"/>
    <s v="No agreement"/>
    <s v="More than 150% MBS Fee to 200% MBS Fee"/>
    <n v="4737827.84"/>
    <n v="2044661.76"/>
    <n v="683253.08"/>
    <n v="19598"/>
  </r>
  <r>
    <x v="27"/>
    <x v="0"/>
    <s v="QLD"/>
    <s v="No agreement"/>
    <s v="More than 200% MBS Fee"/>
    <n v="49227573.079999998"/>
    <n v="10655381.82"/>
    <n v="3579167.31"/>
    <n v="42664"/>
  </r>
  <r>
    <x v="27"/>
    <x v="0"/>
    <s v="QLD"/>
    <s v="Known gap agreement"/>
    <s v="100% MBS Fee to 125% MBS Fee"/>
    <n v="1567349.45"/>
    <n v="1017514.73"/>
    <n v="449142.35"/>
    <n v="7494"/>
  </r>
  <r>
    <x v="27"/>
    <x v="0"/>
    <s v="QLD"/>
    <s v="Known gap agreement"/>
    <s v="More than 125% MBS Fee to 150% MBS Fee"/>
    <n v="5127401.2300000004"/>
    <n v="2725654.07"/>
    <n v="2055383.23"/>
    <n v="18557"/>
  </r>
  <r>
    <x v="27"/>
    <x v="0"/>
    <s v="QLD"/>
    <s v="Known gap agreement"/>
    <s v="More than 150% MBS Fee to 200% MBS Fee"/>
    <n v="20686644.739999998"/>
    <n v="8796206.4900000002"/>
    <n v="8669022.0800000001"/>
    <n v="31827"/>
  </r>
  <r>
    <x v="27"/>
    <x v="0"/>
    <s v="QLD"/>
    <s v="Known gap agreement"/>
    <s v="More than 200% MBS Fee"/>
    <n v="49323890.719999999"/>
    <n v="12286881.5"/>
    <n v="13735321.949999999"/>
    <n v="127943"/>
  </r>
  <r>
    <x v="27"/>
    <x v="0"/>
    <s v="QLD"/>
    <s v="No gap agreement"/>
    <s v="Up to MBS Fee"/>
    <n v="17363007.850000001"/>
    <n v="13041419.710000001"/>
    <n v="4321625.46"/>
    <n v="272196"/>
  </r>
  <r>
    <x v="27"/>
    <x v="0"/>
    <s v="QLD"/>
    <s v="No gap agreement"/>
    <s v="100% MBS Fee to 125% MBS Fee"/>
    <n v="47813181.479999997"/>
    <n v="30494656.379999999"/>
    <n v="17318358.16"/>
    <n v="395231"/>
  </r>
  <r>
    <x v="27"/>
    <x v="0"/>
    <s v="QLD"/>
    <s v="No gap agreement"/>
    <s v="More than 125% MBS Fee to 150% MBS Fee"/>
    <n v="81293180.840000004"/>
    <n v="44971700.450000003"/>
    <n v="36321456.539999999"/>
    <n v="615388"/>
  </r>
  <r>
    <x v="27"/>
    <x v="0"/>
    <s v="QLD"/>
    <s v="No gap agreement"/>
    <s v="More than 150% MBS Fee to 200% MBS Fee"/>
    <n v="72070855.129999995"/>
    <n v="33089689.77"/>
    <n v="38980757.310000002"/>
    <n v="482880"/>
  </r>
  <r>
    <x v="27"/>
    <x v="0"/>
    <s v="QLD"/>
    <s v="No gap agreement"/>
    <s v="More than 200% MBS Fee"/>
    <n v="3924678.99"/>
    <n v="1168073.3500000001"/>
    <n v="2756605.42"/>
    <n v="5729"/>
  </r>
  <r>
    <x v="27"/>
    <x v="0"/>
    <s v="SA"/>
    <s v="No agreement"/>
    <s v="Up to MBS Fee"/>
    <n v="1450572.76"/>
    <n v="1082714.26"/>
    <n v="357747.37"/>
    <n v="8406"/>
  </r>
  <r>
    <x v="27"/>
    <x v="0"/>
    <s v="SA"/>
    <s v="No agreement"/>
    <s v="100% MBS Fee to 125% MBS Fee"/>
    <n v="290931.75"/>
    <n v="195399.73"/>
    <n v="65331.57"/>
    <n v="357"/>
  </r>
  <r>
    <x v="27"/>
    <x v="0"/>
    <s v="SA"/>
    <s v="No agreement"/>
    <s v="More than 125% MBS Fee to 150% MBS Fee"/>
    <n v="213125"/>
    <n v="114950.05"/>
    <n v="38244.050000000003"/>
    <n v="332"/>
  </r>
  <r>
    <x v="27"/>
    <x v="0"/>
    <s v="SA"/>
    <s v="No agreement"/>
    <s v="More than 150% MBS Fee to 200% MBS Fee"/>
    <n v="486251.09"/>
    <n v="205363.09"/>
    <n v="68731.539999999994"/>
    <n v="1016"/>
  </r>
  <r>
    <x v="27"/>
    <x v="0"/>
    <s v="SA"/>
    <s v="No agreement"/>
    <s v="More than 200% MBS Fee"/>
    <n v="5531643.5499999998"/>
    <n v="1153586.68"/>
    <n v="396299.74"/>
    <n v="3342"/>
  </r>
  <r>
    <x v="27"/>
    <x v="0"/>
    <s v="SA"/>
    <s v="Known gap agreement"/>
    <s v="100% MBS Fee to 125% MBS Fee"/>
    <n v="488447.17"/>
    <n v="314198.86"/>
    <n v="148931.44"/>
    <n v="2113"/>
  </r>
  <r>
    <x v="27"/>
    <x v="0"/>
    <s v="SA"/>
    <s v="Known gap agreement"/>
    <s v="More than 125% MBS Fee to 150% MBS Fee"/>
    <n v="2083773.45"/>
    <n v="1110207.98"/>
    <n v="865513.44"/>
    <n v="7115"/>
  </r>
  <r>
    <x v="27"/>
    <x v="0"/>
    <s v="SA"/>
    <s v="Known gap agreement"/>
    <s v="More than 150% MBS Fee to 200% MBS Fee"/>
    <n v="10820701.140000001"/>
    <n v="4608969.58"/>
    <n v="4669111.1900000004"/>
    <n v="16673"/>
  </r>
  <r>
    <x v="27"/>
    <x v="0"/>
    <s v="SA"/>
    <s v="Known gap agreement"/>
    <s v="More than 200% MBS Fee"/>
    <n v="13565772.68"/>
    <n v="3813852.49"/>
    <n v="4320728.16"/>
    <n v="48444"/>
  </r>
  <r>
    <x v="27"/>
    <x v="0"/>
    <s v="SA"/>
    <s v="No gap agreement"/>
    <s v="Up to MBS Fee"/>
    <n v="7186484.54"/>
    <n v="5395388.0999999996"/>
    <n v="1791096.44"/>
    <n v="154373"/>
  </r>
  <r>
    <x v="27"/>
    <x v="0"/>
    <s v="SA"/>
    <s v="No gap agreement"/>
    <s v="100% MBS Fee to 125% MBS Fee"/>
    <n v="15303764.869999999"/>
    <n v="9634220.0500000007"/>
    <n v="5669432.5800000001"/>
    <n v="118407"/>
  </r>
  <r>
    <x v="27"/>
    <x v="0"/>
    <s v="SA"/>
    <s v="No gap agreement"/>
    <s v="More than 125% MBS Fee to 150% MBS Fee"/>
    <n v="32816476.890000001"/>
    <n v="17778335.91"/>
    <n v="15038122.83"/>
    <n v="202362"/>
  </r>
  <r>
    <x v="27"/>
    <x v="0"/>
    <s v="SA"/>
    <s v="No gap agreement"/>
    <s v="More than 150% MBS Fee to 200% MBS Fee"/>
    <n v="30023345.100000001"/>
    <n v="13894831.41"/>
    <n v="16128511.140000001"/>
    <n v="146353"/>
  </r>
  <r>
    <x v="27"/>
    <x v="0"/>
    <s v="SA"/>
    <s v="No gap agreement"/>
    <s v="More than 200% MBS Fee"/>
    <n v="915167.11"/>
    <n v="258936.5"/>
    <n v="656230.61"/>
    <n v="788"/>
  </r>
  <r>
    <x v="27"/>
    <x v="0"/>
    <s v="WA"/>
    <s v="No agreement"/>
    <s v="Up to MBS Fee"/>
    <n v="1717278.26"/>
    <n v="1290170.3400000001"/>
    <n v="424083.17"/>
    <n v="24409"/>
  </r>
  <r>
    <x v="27"/>
    <x v="0"/>
    <s v="WA"/>
    <s v="No agreement"/>
    <s v="100% MBS Fee to 125% MBS Fee"/>
    <n v="320393.21999999997"/>
    <n v="214143.81"/>
    <n v="71895"/>
    <n v="911"/>
  </r>
  <r>
    <x v="27"/>
    <x v="0"/>
    <s v="WA"/>
    <s v="No agreement"/>
    <s v="More than 125% MBS Fee to 150% MBS Fee"/>
    <n v="450847.52"/>
    <n v="247647.64"/>
    <n v="81768.23"/>
    <n v="1081"/>
  </r>
  <r>
    <x v="27"/>
    <x v="0"/>
    <s v="WA"/>
    <s v="No agreement"/>
    <s v="More than 150% MBS Fee to 200% MBS Fee"/>
    <n v="1706095.23"/>
    <n v="742325.93"/>
    <n v="248880.72"/>
    <n v="8299"/>
  </r>
  <r>
    <x v="27"/>
    <x v="0"/>
    <s v="WA"/>
    <s v="No agreement"/>
    <s v="More than 200% MBS Fee"/>
    <n v="9313678.8599999994"/>
    <n v="1867292.49"/>
    <n v="632672.09"/>
    <n v="9702"/>
  </r>
  <r>
    <x v="27"/>
    <x v="0"/>
    <s v="WA"/>
    <s v="Known gap agreement"/>
    <s v="100% MBS Fee to 125% MBS Fee"/>
    <n v="590507.61"/>
    <n v="388370.61"/>
    <n v="181919.21"/>
    <n v="2631"/>
  </r>
  <r>
    <x v="27"/>
    <x v="0"/>
    <s v="WA"/>
    <s v="Known gap agreement"/>
    <s v="More than 125% MBS Fee to 150% MBS Fee"/>
    <n v="2941014.28"/>
    <n v="1573677.73"/>
    <n v="1163914.75"/>
    <n v="23075"/>
  </r>
  <r>
    <x v="27"/>
    <x v="0"/>
    <s v="WA"/>
    <s v="Known gap agreement"/>
    <s v="More than 150% MBS Fee to 200% MBS Fee"/>
    <n v="9512547.9399999995"/>
    <n v="4175661.72"/>
    <n v="3863740.19"/>
    <n v="15788"/>
  </r>
  <r>
    <x v="27"/>
    <x v="0"/>
    <s v="WA"/>
    <s v="Known gap agreement"/>
    <s v="More than 200% MBS Fee"/>
    <n v="20571613.899999999"/>
    <n v="5010016.5999999996"/>
    <n v="3610677.72"/>
    <n v="49279"/>
  </r>
  <r>
    <x v="27"/>
    <x v="0"/>
    <s v="WA"/>
    <s v="No gap agreement"/>
    <s v="Up to MBS Fee"/>
    <n v="10658226.73"/>
    <n v="8007924.0599999996"/>
    <n v="2650307.5699999998"/>
    <n v="192756"/>
  </r>
  <r>
    <x v="27"/>
    <x v="0"/>
    <s v="WA"/>
    <s v="No gap agreement"/>
    <s v="100% MBS Fee to 125% MBS Fee"/>
    <n v="11981598.550000001"/>
    <n v="7744510.1600000001"/>
    <n v="4237054.4800000004"/>
    <n v="80603"/>
  </r>
  <r>
    <x v="27"/>
    <x v="0"/>
    <s v="WA"/>
    <s v="No gap agreement"/>
    <s v="More than 125% MBS Fee to 150% MBS Fee"/>
    <n v="52225859.729999997"/>
    <n v="28604283.18"/>
    <n v="23621112.989999998"/>
    <n v="333253"/>
  </r>
  <r>
    <x v="27"/>
    <x v="0"/>
    <s v="WA"/>
    <s v="No gap agreement"/>
    <s v="More than 150% MBS Fee to 200% MBS Fee"/>
    <n v="55159259.479999997"/>
    <n v="24609458.859999999"/>
    <n v="30549327.649999999"/>
    <n v="251836"/>
  </r>
  <r>
    <x v="27"/>
    <x v="0"/>
    <s v="WA"/>
    <s v="No gap agreement"/>
    <s v="More than 200% MBS Fee"/>
    <n v="2160457.37"/>
    <n v="578610.43000000005"/>
    <n v="1581396.94"/>
    <n v="1637"/>
  </r>
  <r>
    <x v="27"/>
    <x v="0"/>
    <s v="TAS"/>
    <s v="No agreement"/>
    <s v="Up to MBS Fee"/>
    <n v="322342.96999999997"/>
    <n v="241932.2"/>
    <n v="80169.52"/>
    <n v="3808"/>
  </r>
  <r>
    <x v="27"/>
    <x v="0"/>
    <s v="TAS"/>
    <s v="No agreement"/>
    <s v="100% MBS Fee to 125% MBS Fee"/>
    <n v="94696.28"/>
    <n v="62959.839999999997"/>
    <n v="20936.75"/>
    <n v="190"/>
  </r>
  <r>
    <x v="27"/>
    <x v="0"/>
    <s v="TAS"/>
    <s v="No agreement"/>
    <s v="More than 125% MBS Fee to 150% MBS Fee"/>
    <n v="48362.47"/>
    <n v="25945.35"/>
    <n v="8754.31"/>
    <n v="175"/>
  </r>
  <r>
    <x v="27"/>
    <x v="0"/>
    <s v="TAS"/>
    <s v="No agreement"/>
    <s v="More than 150% MBS Fee to 200% MBS Fee"/>
    <n v="149719.35999999999"/>
    <n v="64905.47"/>
    <n v="21817.87"/>
    <n v="341"/>
  </r>
  <r>
    <x v="27"/>
    <x v="0"/>
    <s v="TAS"/>
    <s v="No agreement"/>
    <s v="More than 200% MBS Fee"/>
    <n v="2339515.1800000002"/>
    <n v="510844.43"/>
    <n v="171051.51"/>
    <n v="1633"/>
  </r>
  <r>
    <x v="27"/>
    <x v="0"/>
    <s v="TAS"/>
    <s v="Known gap agreement"/>
    <s v="100% MBS Fee to 125% MBS Fee"/>
    <n v="248720.56"/>
    <n v="162292.43"/>
    <n v="78399.91"/>
    <n v="1392"/>
  </r>
  <r>
    <x v="27"/>
    <x v="0"/>
    <s v="TAS"/>
    <s v="Known gap agreement"/>
    <s v="More than 125% MBS Fee to 150% MBS Fee"/>
    <n v="578410.72"/>
    <n v="311043.96000000002"/>
    <n v="237796.46"/>
    <n v="2389"/>
  </r>
  <r>
    <x v="27"/>
    <x v="0"/>
    <s v="TAS"/>
    <s v="Known gap agreement"/>
    <s v="More than 150% MBS Fee to 200% MBS Fee"/>
    <n v="2641503.17"/>
    <n v="1132303.0900000001"/>
    <n v="1154692.76"/>
    <n v="3077"/>
  </r>
  <r>
    <x v="27"/>
    <x v="0"/>
    <s v="TAS"/>
    <s v="Known gap agreement"/>
    <s v="More than 200% MBS Fee"/>
    <n v="3362425.31"/>
    <n v="877877.94"/>
    <n v="1004601.44"/>
    <n v="6950"/>
  </r>
  <r>
    <x v="27"/>
    <x v="0"/>
    <s v="TAS"/>
    <s v="No gap agreement"/>
    <s v="Up to MBS Fee"/>
    <n v="1732810.96"/>
    <n v="1301050.25"/>
    <n v="431760.71"/>
    <n v="23977"/>
  </r>
  <r>
    <x v="27"/>
    <x v="0"/>
    <s v="TAS"/>
    <s v="No gap agreement"/>
    <s v="100% MBS Fee to 125% MBS Fee"/>
    <n v="2918196.22"/>
    <n v="1835205.21"/>
    <n v="1082990.01"/>
    <n v="19615"/>
  </r>
  <r>
    <x v="27"/>
    <x v="0"/>
    <s v="TAS"/>
    <s v="No gap agreement"/>
    <s v="More than 125% MBS Fee to 150% MBS Fee"/>
    <n v="9302808.3900000006"/>
    <n v="5062792.32"/>
    <n v="4240014.93"/>
    <n v="55631"/>
  </r>
  <r>
    <x v="27"/>
    <x v="0"/>
    <s v="TAS"/>
    <s v="No gap agreement"/>
    <s v="More than 150% MBS Fee to 200% MBS Fee"/>
    <n v="11040135.83"/>
    <n v="5085220.38"/>
    <n v="5954907.5599999996"/>
    <n v="55935"/>
  </r>
  <r>
    <x v="27"/>
    <x v="0"/>
    <s v="TAS"/>
    <s v="No gap agreement"/>
    <s v="More than 200% MBS Fee"/>
    <n v="279624.73"/>
    <n v="78187.78"/>
    <n v="201436.95"/>
    <n v="217"/>
  </r>
  <r>
    <x v="27"/>
    <x v="0"/>
    <s v="ACT"/>
    <s v="No agreement"/>
    <s v="Up to MBS Fee"/>
    <n v="387305.47"/>
    <n v="277117.84999999998"/>
    <n v="89718.48"/>
    <n v="2764"/>
  </r>
  <r>
    <x v="27"/>
    <x v="0"/>
    <s v="ACT"/>
    <s v="No agreement"/>
    <s v="100% MBS Fee to 125% MBS Fee"/>
    <n v="63064.66"/>
    <n v="41568.42"/>
    <n v="13872.34"/>
    <n v="232"/>
  </r>
  <r>
    <x v="27"/>
    <x v="0"/>
    <s v="ACT"/>
    <s v="No agreement"/>
    <s v="More than 125% MBS Fee to 150% MBS Fee"/>
    <n v="93318.67"/>
    <n v="50155.62"/>
    <n v="16757.16"/>
    <n v="222"/>
  </r>
  <r>
    <x v="27"/>
    <x v="0"/>
    <s v="ACT"/>
    <s v="No agreement"/>
    <s v="More than 150% MBS Fee to 200% MBS Fee"/>
    <n v="456454.23"/>
    <n v="192826.96"/>
    <n v="64713.32"/>
    <n v="1998"/>
  </r>
  <r>
    <x v="27"/>
    <x v="0"/>
    <s v="ACT"/>
    <s v="No agreement"/>
    <s v="More than 200% MBS Fee"/>
    <n v="9377603.7100000009"/>
    <n v="1955418.19"/>
    <n v="651866"/>
    <n v="7440"/>
  </r>
  <r>
    <x v="27"/>
    <x v="0"/>
    <s v="ACT"/>
    <s v="Known gap agreement"/>
    <s v="100% MBS Fee to 125% MBS Fee"/>
    <n v="98591.11"/>
    <n v="64333.51"/>
    <n v="30842.41"/>
    <n v="399"/>
  </r>
  <r>
    <x v="27"/>
    <x v="0"/>
    <s v="ACT"/>
    <s v="Known gap agreement"/>
    <s v="More than 125% MBS Fee to 150% MBS Fee"/>
    <n v="151522.79"/>
    <n v="81300.27"/>
    <n v="61943.58"/>
    <n v="425"/>
  </r>
  <r>
    <x v="27"/>
    <x v="0"/>
    <s v="ACT"/>
    <s v="Known gap agreement"/>
    <s v="More than 150% MBS Fee to 200% MBS Fee"/>
    <n v="786115.13"/>
    <n v="335723.45"/>
    <n v="326124.49"/>
    <n v="1681"/>
  </r>
  <r>
    <x v="27"/>
    <x v="0"/>
    <s v="ACT"/>
    <s v="Known gap agreement"/>
    <s v="More than 200% MBS Fee"/>
    <n v="4373418.99"/>
    <n v="1134715.8899999999"/>
    <n v="1162234.74"/>
    <n v="14905"/>
  </r>
  <r>
    <x v="27"/>
    <x v="0"/>
    <s v="ACT"/>
    <s v="No gap agreement"/>
    <s v="Up to MBS Fee"/>
    <n v="461218.14"/>
    <n v="346293.2"/>
    <n v="114924.94"/>
    <n v="10742"/>
  </r>
  <r>
    <x v="27"/>
    <x v="0"/>
    <s v="ACT"/>
    <s v="No gap agreement"/>
    <s v="100% MBS Fee to 125% MBS Fee"/>
    <n v="1760447.81"/>
    <n v="1126502.28"/>
    <n v="633943.18999999994"/>
    <n v="14453"/>
  </r>
  <r>
    <x v="27"/>
    <x v="0"/>
    <s v="ACT"/>
    <s v="No gap agreement"/>
    <s v="More than 125% MBS Fee to 150% MBS Fee"/>
    <n v="4573569.0199999996"/>
    <n v="2534048.77"/>
    <n v="2039514.81"/>
    <n v="39261"/>
  </r>
  <r>
    <x v="27"/>
    <x v="0"/>
    <s v="ACT"/>
    <s v="No gap agreement"/>
    <s v="More than 150% MBS Fee to 200% MBS Fee"/>
    <n v="3406932.57"/>
    <n v="1568268.22"/>
    <n v="1838645.61"/>
    <n v="18599"/>
  </r>
  <r>
    <x v="27"/>
    <x v="0"/>
    <s v="ACT"/>
    <s v="No gap agreement"/>
    <s v="More than 200% MBS Fee"/>
    <n v="234817.56"/>
    <n v="68942.52"/>
    <n v="165875.04"/>
    <n v="307"/>
  </r>
  <r>
    <x v="27"/>
    <x v="0"/>
    <s v="NT"/>
    <s v="No agreement"/>
    <s v="Up to MBS Fee"/>
    <n v="234383.2"/>
    <n v="171508.75"/>
    <n v="56824.45"/>
    <n v="1540"/>
  </r>
  <r>
    <x v="27"/>
    <x v="0"/>
    <s v="NT"/>
    <s v="No agreement"/>
    <s v="100% MBS Fee to 125% MBS Fee"/>
    <n v="42917.63"/>
    <n v="29322.46"/>
    <n v="9773.23"/>
    <n v="61"/>
  </r>
  <r>
    <x v="27"/>
    <x v="0"/>
    <s v="NT"/>
    <s v="No agreement"/>
    <s v="More than 125% MBS Fee to 150% MBS Fee"/>
    <n v="32648.9"/>
    <n v="17576.7"/>
    <n v="5856.9"/>
    <n v="68"/>
  </r>
  <r>
    <x v="27"/>
    <x v="0"/>
    <s v="NT"/>
    <s v="No agreement"/>
    <s v="More than 150% MBS Fee to 200% MBS Fee"/>
    <n v="97753.81"/>
    <n v="42516.85"/>
    <n v="14163.55"/>
    <n v="251"/>
  </r>
  <r>
    <x v="27"/>
    <x v="0"/>
    <s v="NT"/>
    <s v="No agreement"/>
    <s v="More than 200% MBS Fee"/>
    <n v="1549820.74"/>
    <n v="349557.9"/>
    <n v="116489.22"/>
    <n v="940"/>
  </r>
  <r>
    <x v="27"/>
    <x v="0"/>
    <s v="NT"/>
    <s v="Known gap agreement"/>
    <s v="100% MBS Fee to 125% MBS Fee"/>
    <n v="25099.26"/>
    <n v="16042.29"/>
    <n v="7145.15"/>
    <n v="89"/>
  </r>
  <r>
    <x v="27"/>
    <x v="0"/>
    <s v="NT"/>
    <s v="Known gap agreement"/>
    <s v="More than 125% MBS Fee to 150% MBS Fee"/>
    <n v="71676.710000000006"/>
    <n v="38254.58"/>
    <n v="29603.07"/>
    <n v="215"/>
  </r>
  <r>
    <x v="27"/>
    <x v="0"/>
    <s v="NT"/>
    <s v="Known gap agreement"/>
    <s v="More than 150% MBS Fee to 200% MBS Fee"/>
    <n v="265928.48"/>
    <n v="113422.02"/>
    <n v="113140.57"/>
    <n v="428"/>
  </r>
  <r>
    <x v="27"/>
    <x v="0"/>
    <s v="NT"/>
    <s v="Known gap agreement"/>
    <s v="More than 200% MBS Fee"/>
    <n v="613383.23"/>
    <n v="166022.39000000001"/>
    <n v="181487.75"/>
    <n v="1999"/>
  </r>
  <r>
    <x v="27"/>
    <x v="0"/>
    <s v="NT"/>
    <s v="No gap agreement"/>
    <s v="Up to MBS Fee"/>
    <n v="319004.09999999998"/>
    <n v="239337.64"/>
    <n v="79666.460000000006"/>
    <n v="4101"/>
  </r>
  <r>
    <x v="27"/>
    <x v="0"/>
    <s v="NT"/>
    <s v="No gap agreement"/>
    <s v="100% MBS Fee to 125% MBS Fee"/>
    <n v="660084.62"/>
    <n v="419779.7"/>
    <n v="240297.92"/>
    <n v="4313"/>
  </r>
  <r>
    <x v="27"/>
    <x v="0"/>
    <s v="NT"/>
    <s v="No gap agreement"/>
    <s v="More than 125% MBS Fee to 150% MBS Fee"/>
    <n v="1689055.51"/>
    <n v="913894.3"/>
    <n v="775158.83"/>
    <n v="7222"/>
  </r>
  <r>
    <x v="27"/>
    <x v="0"/>
    <s v="NT"/>
    <s v="No gap agreement"/>
    <s v="More than 150% MBS Fee to 200% MBS Fee"/>
    <n v="1839904.39"/>
    <n v="849103.69"/>
    <n v="990794.78"/>
    <n v="9801"/>
  </r>
  <r>
    <x v="27"/>
    <x v="0"/>
    <s v="NT"/>
    <s v="No gap agreement"/>
    <s v="More than 200% MBS Fee"/>
    <n v="61958.19"/>
    <n v="18612.560000000001"/>
    <n v="43345.63"/>
    <n v="83"/>
  </r>
  <r>
    <x v="27"/>
    <x v="2"/>
    <s v="NSW"/>
    <s v="No agreement"/>
    <s v="Up to MBS Fee"/>
    <n v="28847750.359999999"/>
    <n v="21560341.469999999"/>
    <n v="7235997.9100000001"/>
    <n v="246764"/>
  </r>
  <r>
    <x v="27"/>
    <x v="2"/>
    <s v="NSW"/>
    <s v="No agreement"/>
    <s v="100% MBS Fee to 125% MBS Fee"/>
    <n v="2725158.73"/>
    <n v="1829456.49"/>
    <n v="628290.69999999995"/>
    <n v="10066"/>
  </r>
  <r>
    <x v="27"/>
    <x v="2"/>
    <s v="NSW"/>
    <s v="No agreement"/>
    <s v="More than 125% MBS Fee to 150% MBS Fee"/>
    <n v="1786076.03"/>
    <n v="968610.4"/>
    <n v="330491.09000000003"/>
    <n v="4320"/>
  </r>
  <r>
    <x v="27"/>
    <x v="2"/>
    <s v="NSW"/>
    <s v="No agreement"/>
    <s v="More than 150% MBS Fee to 200% MBS Fee"/>
    <n v="6338324.0999999996"/>
    <n v="2726717.49"/>
    <n v="1003419.75"/>
    <n v="18164"/>
  </r>
  <r>
    <x v="27"/>
    <x v="2"/>
    <s v="NSW"/>
    <s v="No agreement"/>
    <s v="More than 200% MBS Fee"/>
    <n v="95959686.590000004"/>
    <n v="19547479.09"/>
    <n v="6649734.5800000001"/>
    <n v="79786"/>
  </r>
  <r>
    <x v="27"/>
    <x v="2"/>
    <s v="NSW"/>
    <s v="Known gap agreement"/>
    <s v="100% MBS Fee to 125% MBS Fee"/>
    <n v="2826442.23"/>
    <n v="1852292.17"/>
    <n v="823480.3"/>
    <n v="13570"/>
  </r>
  <r>
    <x v="27"/>
    <x v="2"/>
    <s v="NSW"/>
    <s v="Known gap agreement"/>
    <s v="More than 125% MBS Fee to 150% MBS Fee"/>
    <n v="6604402.1600000001"/>
    <n v="3516711.35"/>
    <n v="2755978.77"/>
    <n v="18812"/>
  </r>
  <r>
    <x v="27"/>
    <x v="2"/>
    <s v="NSW"/>
    <s v="Known gap agreement"/>
    <s v="More than 150% MBS Fee to 200% MBS Fee"/>
    <n v="18530403.829999998"/>
    <n v="7999811.8700000001"/>
    <n v="8057574.0999999996"/>
    <n v="32345"/>
  </r>
  <r>
    <x v="27"/>
    <x v="2"/>
    <s v="NSW"/>
    <s v="Known gap agreement"/>
    <s v="More than 200% MBS Fee"/>
    <n v="48109930.799999997"/>
    <n v="12519094.119999999"/>
    <n v="14383517.199999999"/>
    <n v="154930"/>
  </r>
  <r>
    <x v="27"/>
    <x v="2"/>
    <s v="NSW"/>
    <s v="No gap agreement"/>
    <s v="Up to MBS Fee"/>
    <n v="28356211.07"/>
    <n v="21329843.25"/>
    <n v="7026452.0700000003"/>
    <n v="991195"/>
  </r>
  <r>
    <x v="27"/>
    <x v="2"/>
    <s v="NSW"/>
    <s v="No gap agreement"/>
    <s v="100% MBS Fee to 125% MBS Fee"/>
    <n v="53608719.649999999"/>
    <n v="34167086.409999996"/>
    <n v="19441571.98"/>
    <n v="435767"/>
  </r>
  <r>
    <x v="27"/>
    <x v="2"/>
    <s v="NSW"/>
    <s v="No gap agreement"/>
    <s v="More than 125% MBS Fee to 150% MBS Fee"/>
    <n v="104713196.03"/>
    <n v="57387537.210000001"/>
    <n v="47325628.219999999"/>
    <n v="601472"/>
  </r>
  <r>
    <x v="27"/>
    <x v="2"/>
    <s v="NSW"/>
    <s v="No gap agreement"/>
    <s v="More than 150% MBS Fee to 200% MBS Fee"/>
    <n v="107173077.09999999"/>
    <n v="49063597.609999999"/>
    <n v="58109424.829999998"/>
    <n v="592428"/>
  </r>
  <r>
    <x v="27"/>
    <x v="2"/>
    <s v="NSW"/>
    <s v="No gap agreement"/>
    <s v="More than 200% MBS Fee"/>
    <n v="6219367.7199999997"/>
    <n v="1816397.18"/>
    <n v="4402970.54"/>
    <n v="5725"/>
  </r>
  <r>
    <x v="27"/>
    <x v="2"/>
    <s v="VIC"/>
    <s v="No agreement"/>
    <s v="Up to MBS Fee"/>
    <n v="5205456.74"/>
    <n v="3919989.66"/>
    <n v="1259637.1399999999"/>
    <n v="107487"/>
  </r>
  <r>
    <x v="27"/>
    <x v="2"/>
    <s v="VIC"/>
    <s v="No agreement"/>
    <s v="100% MBS Fee to 125% MBS Fee"/>
    <n v="783101.15"/>
    <n v="522104.97"/>
    <n v="189460.93"/>
    <n v="2458"/>
  </r>
  <r>
    <x v="27"/>
    <x v="2"/>
    <s v="VIC"/>
    <s v="No agreement"/>
    <s v="More than 125% MBS Fee to 150% MBS Fee"/>
    <n v="1510868.89"/>
    <n v="815025.86"/>
    <n v="284208.42"/>
    <n v="6072"/>
  </r>
  <r>
    <x v="27"/>
    <x v="2"/>
    <s v="VIC"/>
    <s v="No agreement"/>
    <s v="More than 150% MBS Fee to 200% MBS Fee"/>
    <n v="3423806.36"/>
    <n v="1500454.46"/>
    <n v="503941.85"/>
    <n v="11491"/>
  </r>
  <r>
    <x v="27"/>
    <x v="2"/>
    <s v="VIC"/>
    <s v="No agreement"/>
    <s v="More than 200% MBS Fee"/>
    <n v="32745524.91"/>
    <n v="7167614.9900000002"/>
    <n v="2418904.23"/>
    <n v="27369"/>
  </r>
  <r>
    <x v="27"/>
    <x v="2"/>
    <s v="VIC"/>
    <s v="Known gap agreement"/>
    <s v="100% MBS Fee to 125% MBS Fee"/>
    <n v="2396327.31"/>
    <n v="1569170.1"/>
    <n v="693878.27"/>
    <n v="11958"/>
  </r>
  <r>
    <x v="27"/>
    <x v="2"/>
    <s v="VIC"/>
    <s v="Known gap agreement"/>
    <s v="More than 125% MBS Fee to 150% MBS Fee"/>
    <n v="7428688.8300000001"/>
    <n v="3968454.24"/>
    <n v="2952726.19"/>
    <n v="21238"/>
  </r>
  <r>
    <x v="27"/>
    <x v="2"/>
    <s v="VIC"/>
    <s v="Known gap agreement"/>
    <s v="More than 150% MBS Fee to 200% MBS Fee"/>
    <n v="20944647.190000001"/>
    <n v="9027429.9299999997"/>
    <n v="8605095.5399999991"/>
    <n v="39483"/>
  </r>
  <r>
    <x v="27"/>
    <x v="2"/>
    <s v="VIC"/>
    <s v="Known gap agreement"/>
    <s v="More than 200% MBS Fee"/>
    <n v="48296090.189999998"/>
    <n v="12771155.1"/>
    <n v="14110772.130000001"/>
    <n v="165264"/>
  </r>
  <r>
    <x v="27"/>
    <x v="2"/>
    <s v="VIC"/>
    <s v="No gap agreement"/>
    <s v="Up to MBS Fee"/>
    <n v="19596057.170000002"/>
    <n v="14742473.210000001"/>
    <n v="4853668.51"/>
    <n v="310618"/>
  </r>
  <r>
    <x v="27"/>
    <x v="2"/>
    <s v="VIC"/>
    <s v="No gap agreement"/>
    <s v="100% MBS Fee to 125% MBS Fee"/>
    <n v="56103932.659999996"/>
    <n v="35766399.770000003"/>
    <n v="20337408.73"/>
    <n v="457351"/>
  </r>
  <r>
    <x v="27"/>
    <x v="2"/>
    <s v="VIC"/>
    <s v="No gap agreement"/>
    <s v="More than 125% MBS Fee to 150% MBS Fee"/>
    <n v="113901704.63"/>
    <n v="62322974.659999996"/>
    <n v="51578658.18"/>
    <n v="660357"/>
  </r>
  <r>
    <x v="27"/>
    <x v="2"/>
    <s v="VIC"/>
    <s v="No gap agreement"/>
    <s v="More than 150% MBS Fee to 200% MBS Fee"/>
    <n v="80684418.989999995"/>
    <n v="37075684.759999998"/>
    <n v="43608707.619999997"/>
    <n v="494922"/>
  </r>
  <r>
    <x v="27"/>
    <x v="2"/>
    <s v="VIC"/>
    <s v="No gap agreement"/>
    <s v="More than 200% MBS Fee"/>
    <n v="2891229.92"/>
    <n v="818158.5"/>
    <n v="2073071.42"/>
    <n v="2733"/>
  </r>
  <r>
    <x v="27"/>
    <x v="2"/>
    <s v="QLD"/>
    <s v="No agreement"/>
    <s v="Up to MBS Fee"/>
    <n v="4315097.45"/>
    <n v="3210720.76"/>
    <n v="1056651.05"/>
    <n v="59842"/>
  </r>
  <r>
    <x v="27"/>
    <x v="2"/>
    <s v="QLD"/>
    <s v="No agreement"/>
    <s v="100% MBS Fee to 125% MBS Fee"/>
    <n v="830619.61"/>
    <n v="568328.32999999996"/>
    <n v="192634.49"/>
    <n v="2615"/>
  </r>
  <r>
    <x v="27"/>
    <x v="2"/>
    <s v="QLD"/>
    <s v="No agreement"/>
    <s v="More than 125% MBS Fee to 150% MBS Fee"/>
    <n v="1070171.68"/>
    <n v="579813.34"/>
    <n v="193483.88"/>
    <n v="1921"/>
  </r>
  <r>
    <x v="27"/>
    <x v="2"/>
    <s v="QLD"/>
    <s v="No agreement"/>
    <s v="More than 150% MBS Fee to 200% MBS Fee"/>
    <n v="3749138.77"/>
    <n v="1621174.85"/>
    <n v="542883.74"/>
    <n v="17379"/>
  </r>
  <r>
    <x v="27"/>
    <x v="2"/>
    <s v="QLD"/>
    <s v="No agreement"/>
    <s v="More than 200% MBS Fee"/>
    <n v="41498862.420000002"/>
    <n v="8981014.0899999999"/>
    <n v="3013579.45"/>
    <n v="36076"/>
  </r>
  <r>
    <x v="27"/>
    <x v="2"/>
    <s v="QLD"/>
    <s v="Known gap agreement"/>
    <s v="100% MBS Fee to 125% MBS Fee"/>
    <n v="1848731"/>
    <n v="1194480.33"/>
    <n v="545152.56999999995"/>
    <n v="8954"/>
  </r>
  <r>
    <x v="27"/>
    <x v="2"/>
    <s v="QLD"/>
    <s v="Known gap agreement"/>
    <s v="More than 125% MBS Fee to 150% MBS Fee"/>
    <n v="5308955.8499999996"/>
    <n v="2818591.16"/>
    <n v="2157539.81"/>
    <n v="19402"/>
  </r>
  <r>
    <x v="27"/>
    <x v="2"/>
    <s v="QLD"/>
    <s v="Known gap agreement"/>
    <s v="More than 150% MBS Fee to 200% MBS Fee"/>
    <n v="19024749.449999999"/>
    <n v="8112815"/>
    <n v="8035601"/>
    <n v="29460"/>
  </r>
  <r>
    <x v="27"/>
    <x v="2"/>
    <s v="QLD"/>
    <s v="Known gap agreement"/>
    <s v="More than 200% MBS Fee"/>
    <n v="43736464.740000002"/>
    <n v="10847503.9"/>
    <n v="12243244.359999999"/>
    <n v="111373"/>
  </r>
  <r>
    <x v="27"/>
    <x v="2"/>
    <s v="QLD"/>
    <s v="No gap agreement"/>
    <s v="Up to MBS Fee"/>
    <n v="16919190.34"/>
    <n v="12706585.27"/>
    <n v="4212605.07"/>
    <n v="252684"/>
  </r>
  <r>
    <x v="27"/>
    <x v="2"/>
    <s v="QLD"/>
    <s v="No gap agreement"/>
    <s v="100% MBS Fee to 125% MBS Fee"/>
    <n v="47327020.390000001"/>
    <n v="30190733.210000001"/>
    <n v="17136200.550000001"/>
    <n v="409617"/>
  </r>
  <r>
    <x v="27"/>
    <x v="2"/>
    <s v="QLD"/>
    <s v="No gap agreement"/>
    <s v="More than 125% MBS Fee to 150% MBS Fee"/>
    <n v="77720119.879999995"/>
    <n v="42958890.009999998"/>
    <n v="34761165.030000001"/>
    <n v="622377"/>
  </r>
  <r>
    <x v="27"/>
    <x v="2"/>
    <s v="QLD"/>
    <s v="No gap agreement"/>
    <s v="More than 150% MBS Fee to 200% MBS Fee"/>
    <n v="65468798.840000004"/>
    <n v="29956607.149999999"/>
    <n v="35511784.579999998"/>
    <n v="439559"/>
  </r>
  <r>
    <x v="27"/>
    <x v="2"/>
    <s v="QLD"/>
    <s v="No gap agreement"/>
    <s v="More than 200% MBS Fee"/>
    <n v="4242461.8"/>
    <n v="1238474.99"/>
    <n v="3003986.69"/>
    <n v="4969"/>
  </r>
  <r>
    <x v="27"/>
    <x v="2"/>
    <s v="SA"/>
    <s v="No agreement"/>
    <s v="Up to MBS Fee"/>
    <n v="1497819.42"/>
    <n v="1112201.51"/>
    <n v="368689.26"/>
    <n v="8619"/>
  </r>
  <r>
    <x v="27"/>
    <x v="2"/>
    <s v="SA"/>
    <s v="No agreement"/>
    <s v="100% MBS Fee to 125% MBS Fee"/>
    <n v="358958.86"/>
    <n v="239861.97"/>
    <n v="79892.97"/>
    <n v="536"/>
  </r>
  <r>
    <x v="27"/>
    <x v="2"/>
    <s v="SA"/>
    <s v="No agreement"/>
    <s v="More than 125% MBS Fee to 150% MBS Fee"/>
    <n v="163012.46"/>
    <n v="87252.08"/>
    <n v="29860.99"/>
    <n v="326"/>
  </r>
  <r>
    <x v="27"/>
    <x v="2"/>
    <s v="SA"/>
    <s v="No agreement"/>
    <s v="More than 150% MBS Fee to 200% MBS Fee"/>
    <n v="399084.65"/>
    <n v="168778.03"/>
    <n v="56251.93"/>
    <n v="974"/>
  </r>
  <r>
    <x v="27"/>
    <x v="2"/>
    <s v="SA"/>
    <s v="No agreement"/>
    <s v="More than 200% MBS Fee"/>
    <n v="4397879.78"/>
    <n v="894879.81"/>
    <n v="302621.64"/>
    <n v="2914"/>
  </r>
  <r>
    <x v="27"/>
    <x v="2"/>
    <s v="SA"/>
    <s v="Known gap agreement"/>
    <s v="100% MBS Fee to 125% MBS Fee"/>
    <n v="396168.74"/>
    <n v="254073.7"/>
    <n v="120111.12"/>
    <n v="1876"/>
  </r>
  <r>
    <x v="27"/>
    <x v="2"/>
    <s v="SA"/>
    <s v="Known gap agreement"/>
    <s v="More than 125% MBS Fee to 150% MBS Fee"/>
    <n v="2209345.66"/>
    <n v="1172856.1200000001"/>
    <n v="942068.82"/>
    <n v="6826"/>
  </r>
  <r>
    <x v="27"/>
    <x v="2"/>
    <s v="SA"/>
    <s v="Known gap agreement"/>
    <s v="More than 150% MBS Fee to 200% MBS Fee"/>
    <n v="10713514.74"/>
    <n v="4559403.88"/>
    <n v="4667107.4400000004"/>
    <n v="16265"/>
  </r>
  <r>
    <x v="27"/>
    <x v="2"/>
    <s v="SA"/>
    <s v="Known gap agreement"/>
    <s v="More than 200% MBS Fee"/>
    <n v="12397129.74"/>
    <n v="3471035.15"/>
    <n v="3936327.63"/>
    <n v="43861"/>
  </r>
  <r>
    <x v="27"/>
    <x v="2"/>
    <s v="SA"/>
    <s v="No gap agreement"/>
    <s v="Up to MBS Fee"/>
    <n v="6304075.8600000003"/>
    <n v="4731192.96"/>
    <n v="1572882.9"/>
    <n v="111774"/>
  </r>
  <r>
    <x v="27"/>
    <x v="2"/>
    <s v="SA"/>
    <s v="No gap agreement"/>
    <s v="100% MBS Fee to 125% MBS Fee"/>
    <n v="15045202.300000001"/>
    <n v="9452423.2400000002"/>
    <n v="5592677.3700000001"/>
    <n v="118192"/>
  </r>
  <r>
    <x v="27"/>
    <x v="2"/>
    <s v="SA"/>
    <s v="No gap agreement"/>
    <s v="More than 125% MBS Fee to 150% MBS Fee"/>
    <n v="30765211.690000001"/>
    <n v="16629216.689999999"/>
    <n v="14135981.810000001"/>
    <n v="188251"/>
  </r>
  <r>
    <x v="27"/>
    <x v="2"/>
    <s v="SA"/>
    <s v="No gap agreement"/>
    <s v="More than 150% MBS Fee to 200% MBS Fee"/>
    <n v="30599778.09"/>
    <n v="14117649.65"/>
    <n v="16482124.83"/>
    <n v="145577"/>
  </r>
  <r>
    <x v="27"/>
    <x v="2"/>
    <s v="SA"/>
    <s v="No gap agreement"/>
    <s v="More than 200% MBS Fee"/>
    <n v="937040.09"/>
    <n v="265470.58"/>
    <n v="671569.51"/>
    <n v="797"/>
  </r>
  <r>
    <x v="27"/>
    <x v="2"/>
    <s v="WA"/>
    <s v="No agreement"/>
    <s v="Up to MBS Fee"/>
    <n v="1407506.55"/>
    <n v="1056312.8500000001"/>
    <n v="348762.66"/>
    <n v="19274"/>
  </r>
  <r>
    <x v="27"/>
    <x v="2"/>
    <s v="WA"/>
    <s v="No agreement"/>
    <s v="100% MBS Fee to 125% MBS Fee"/>
    <n v="249694.41"/>
    <n v="166664.32000000001"/>
    <n v="55455.06"/>
    <n v="712"/>
  </r>
  <r>
    <x v="27"/>
    <x v="2"/>
    <s v="WA"/>
    <s v="No agreement"/>
    <s v="More than 125% MBS Fee to 150% MBS Fee"/>
    <n v="383698.35"/>
    <n v="211162.09"/>
    <n v="70412.850000000006"/>
    <n v="911"/>
  </r>
  <r>
    <x v="27"/>
    <x v="2"/>
    <s v="WA"/>
    <s v="No agreement"/>
    <s v="More than 150% MBS Fee to 200% MBS Fee"/>
    <n v="1652589.74"/>
    <n v="724405.34"/>
    <n v="241432.52"/>
    <n v="14091"/>
  </r>
  <r>
    <x v="27"/>
    <x v="2"/>
    <s v="WA"/>
    <s v="No agreement"/>
    <s v="More than 200% MBS Fee"/>
    <n v="7220589.8799999999"/>
    <n v="1477138.45"/>
    <n v="498121.56"/>
    <n v="7057"/>
  </r>
  <r>
    <x v="27"/>
    <x v="2"/>
    <s v="WA"/>
    <s v="Known gap agreement"/>
    <s v="100% MBS Fee to 125% MBS Fee"/>
    <n v="574727.04"/>
    <n v="371338.19"/>
    <n v="177658.68"/>
    <n v="2714"/>
  </r>
  <r>
    <x v="27"/>
    <x v="2"/>
    <s v="WA"/>
    <s v="Known gap agreement"/>
    <s v="More than 125% MBS Fee to 150% MBS Fee"/>
    <n v="2659508.98"/>
    <n v="1405762.44"/>
    <n v="1081920.96"/>
    <n v="26195"/>
  </r>
  <r>
    <x v="27"/>
    <x v="2"/>
    <s v="WA"/>
    <s v="Known gap agreement"/>
    <s v="More than 150% MBS Fee to 200% MBS Fee"/>
    <n v="7788545.3799999999"/>
    <n v="3420101.65"/>
    <n v="3161915.99"/>
    <n v="12529"/>
  </r>
  <r>
    <x v="27"/>
    <x v="2"/>
    <s v="WA"/>
    <s v="Known gap agreement"/>
    <s v="More than 200% MBS Fee"/>
    <n v="16453087.73"/>
    <n v="4041066.09"/>
    <n v="2991084.06"/>
    <n v="39417"/>
  </r>
  <r>
    <x v="27"/>
    <x v="2"/>
    <s v="WA"/>
    <s v="No gap agreement"/>
    <s v="Up to MBS Fee"/>
    <n v="9395029.6600000001"/>
    <n v="7057474.8200000003"/>
    <n v="2337656.67"/>
    <n v="139621"/>
  </r>
  <r>
    <x v="27"/>
    <x v="2"/>
    <s v="WA"/>
    <s v="No gap agreement"/>
    <s v="100% MBS Fee to 125% MBS Fee"/>
    <n v="10523632.75"/>
    <n v="6841082.8099999996"/>
    <n v="3682456.67"/>
    <n v="70106"/>
  </r>
  <r>
    <x v="27"/>
    <x v="2"/>
    <s v="WA"/>
    <s v="No gap agreement"/>
    <s v="More than 125% MBS Fee to 150% MBS Fee"/>
    <n v="44856923.93"/>
    <n v="24639290.77"/>
    <n v="20217630.489999998"/>
    <n v="305816"/>
  </r>
  <r>
    <x v="27"/>
    <x v="2"/>
    <s v="WA"/>
    <s v="No gap agreement"/>
    <s v="More than 150% MBS Fee to 200% MBS Fee"/>
    <n v="47216490.009999998"/>
    <n v="21015160.609999999"/>
    <n v="26201316.32"/>
    <n v="216024"/>
  </r>
  <r>
    <x v="27"/>
    <x v="2"/>
    <s v="WA"/>
    <s v="No gap agreement"/>
    <s v="More than 200% MBS Fee"/>
    <n v="2204159.23"/>
    <n v="583376.66"/>
    <n v="1620782.57"/>
    <n v="1584"/>
  </r>
  <r>
    <x v="27"/>
    <x v="2"/>
    <s v="TAS"/>
    <s v="No agreement"/>
    <s v="Up to MBS Fee"/>
    <n v="340797.14"/>
    <n v="255950.89"/>
    <n v="84007.7"/>
    <n v="3660"/>
  </r>
  <r>
    <x v="27"/>
    <x v="2"/>
    <s v="TAS"/>
    <s v="No agreement"/>
    <s v="100% MBS Fee to 125% MBS Fee"/>
    <n v="126283.72"/>
    <n v="82185.679999999993"/>
    <n v="27784.59"/>
    <n v="234"/>
  </r>
  <r>
    <x v="27"/>
    <x v="2"/>
    <s v="TAS"/>
    <s v="No agreement"/>
    <s v="More than 125% MBS Fee to 150% MBS Fee"/>
    <n v="57809.95"/>
    <n v="31297.58"/>
    <n v="10790.72"/>
    <n v="206"/>
  </r>
  <r>
    <x v="27"/>
    <x v="2"/>
    <s v="TAS"/>
    <s v="No agreement"/>
    <s v="More than 150% MBS Fee to 200% MBS Fee"/>
    <n v="175542.21"/>
    <n v="79130.649999999994"/>
    <n v="26816.58"/>
    <n v="541"/>
  </r>
  <r>
    <x v="27"/>
    <x v="2"/>
    <s v="TAS"/>
    <s v="No agreement"/>
    <s v="More than 200% MBS Fee"/>
    <n v="1828353.8"/>
    <n v="394854.69"/>
    <n v="131491.70000000001"/>
    <n v="1309"/>
  </r>
  <r>
    <x v="27"/>
    <x v="2"/>
    <s v="TAS"/>
    <s v="Known gap agreement"/>
    <s v="100% MBS Fee to 125% MBS Fee"/>
    <n v="176350.16"/>
    <n v="112852.01"/>
    <n v="57191.8"/>
    <n v="1048"/>
  </r>
  <r>
    <x v="27"/>
    <x v="2"/>
    <s v="TAS"/>
    <s v="Known gap agreement"/>
    <s v="More than 125% MBS Fee to 150% MBS Fee"/>
    <n v="567322.41"/>
    <n v="305899.38"/>
    <n v="230686.16"/>
    <n v="2587"/>
  </r>
  <r>
    <x v="27"/>
    <x v="2"/>
    <s v="TAS"/>
    <s v="Known gap agreement"/>
    <s v="More than 150% MBS Fee to 200% MBS Fee"/>
    <n v="2670072.7999999998"/>
    <n v="1141762.01"/>
    <n v="1190857.75"/>
    <n v="3454"/>
  </r>
  <r>
    <x v="27"/>
    <x v="2"/>
    <s v="TAS"/>
    <s v="Known gap agreement"/>
    <s v="More than 200% MBS Fee"/>
    <n v="3358342.48"/>
    <n v="877878"/>
    <n v="1005661.48"/>
    <n v="7106"/>
  </r>
  <r>
    <x v="27"/>
    <x v="2"/>
    <s v="TAS"/>
    <s v="No gap agreement"/>
    <s v="Up to MBS Fee"/>
    <n v="1928605.9"/>
    <n v="1447552.64"/>
    <n v="481063.06"/>
    <n v="33296"/>
  </r>
  <r>
    <x v="27"/>
    <x v="2"/>
    <s v="TAS"/>
    <s v="No gap agreement"/>
    <s v="100% MBS Fee to 125% MBS Fee"/>
    <n v="2849375.14"/>
    <n v="1796888.12"/>
    <n v="1052479.6200000001"/>
    <n v="19434"/>
  </r>
  <r>
    <x v="27"/>
    <x v="2"/>
    <s v="TAS"/>
    <s v="No gap agreement"/>
    <s v="More than 125% MBS Fee to 150% MBS Fee"/>
    <n v="8988977.5199999996"/>
    <n v="4877234.8099999996"/>
    <n v="4111740.13"/>
    <n v="52941"/>
  </r>
  <r>
    <x v="27"/>
    <x v="2"/>
    <s v="TAS"/>
    <s v="No gap agreement"/>
    <s v="More than 150% MBS Fee to 200% MBS Fee"/>
    <n v="10357413.869999999"/>
    <n v="4760959.07"/>
    <n v="5596454.2400000002"/>
    <n v="52148"/>
  </r>
  <r>
    <x v="27"/>
    <x v="2"/>
    <s v="TAS"/>
    <s v="No gap agreement"/>
    <s v="More than 200% MBS Fee"/>
    <n v="311425.87"/>
    <n v="87095.34"/>
    <n v="224330.53"/>
    <n v="215"/>
  </r>
  <r>
    <x v="27"/>
    <x v="2"/>
    <s v="ACT"/>
    <s v="No agreement"/>
    <s v="Up to MBS Fee"/>
    <n v="435531.96"/>
    <n v="306673.98"/>
    <n v="100211.88"/>
    <n v="3241"/>
  </r>
  <r>
    <x v="27"/>
    <x v="2"/>
    <s v="ACT"/>
    <s v="No agreement"/>
    <s v="100% MBS Fee to 125% MBS Fee"/>
    <n v="70689.42"/>
    <n v="47860.63"/>
    <n v="16273.03"/>
    <n v="239"/>
  </r>
  <r>
    <x v="27"/>
    <x v="2"/>
    <s v="ACT"/>
    <s v="No agreement"/>
    <s v="More than 125% MBS Fee to 150% MBS Fee"/>
    <n v="66996.14"/>
    <n v="36047.300000000003"/>
    <n v="11641.7"/>
    <n v="124"/>
  </r>
  <r>
    <x v="27"/>
    <x v="2"/>
    <s v="ACT"/>
    <s v="No agreement"/>
    <s v="More than 150% MBS Fee to 200% MBS Fee"/>
    <n v="378007.5"/>
    <n v="160338.29999999999"/>
    <n v="53178.69"/>
    <n v="1349"/>
  </r>
  <r>
    <x v="27"/>
    <x v="2"/>
    <s v="ACT"/>
    <s v="No agreement"/>
    <s v="More than 200% MBS Fee"/>
    <n v="8147628.71"/>
    <n v="1741495.9"/>
    <n v="582217.13"/>
    <n v="6667"/>
  </r>
  <r>
    <x v="27"/>
    <x v="2"/>
    <s v="ACT"/>
    <s v="Known gap agreement"/>
    <s v="100% MBS Fee to 125% MBS Fee"/>
    <n v="104736.18"/>
    <n v="69441.649999999994"/>
    <n v="31290.15"/>
    <n v="466"/>
  </r>
  <r>
    <x v="27"/>
    <x v="2"/>
    <s v="ACT"/>
    <s v="Known gap agreement"/>
    <s v="More than 125% MBS Fee to 150% MBS Fee"/>
    <n v="136723.4"/>
    <n v="73089.8"/>
    <n v="57649.89"/>
    <n v="352"/>
  </r>
  <r>
    <x v="27"/>
    <x v="2"/>
    <s v="ACT"/>
    <s v="Known gap agreement"/>
    <s v="More than 150% MBS Fee to 200% MBS Fee"/>
    <n v="622211.91"/>
    <n v="267063.33"/>
    <n v="271160.59000000003"/>
    <n v="1311"/>
  </r>
  <r>
    <x v="27"/>
    <x v="2"/>
    <s v="ACT"/>
    <s v="Known gap agreement"/>
    <s v="More than 200% MBS Fee"/>
    <n v="4250418.3099999996"/>
    <n v="1125514.01"/>
    <n v="1149213.53"/>
    <n v="14485"/>
  </r>
  <r>
    <x v="27"/>
    <x v="2"/>
    <s v="ACT"/>
    <s v="No gap agreement"/>
    <s v="Up to MBS Fee"/>
    <n v="444518.02"/>
    <n v="335168.55"/>
    <n v="109349.47"/>
    <n v="10772"/>
  </r>
  <r>
    <x v="27"/>
    <x v="2"/>
    <s v="ACT"/>
    <s v="No gap agreement"/>
    <s v="100% MBS Fee to 125% MBS Fee"/>
    <n v="1760930.78"/>
    <n v="1123466.05"/>
    <n v="637455.28"/>
    <n v="14879"/>
  </r>
  <r>
    <x v="27"/>
    <x v="2"/>
    <s v="ACT"/>
    <s v="No gap agreement"/>
    <s v="More than 125% MBS Fee to 150% MBS Fee"/>
    <n v="4294222.0599999996"/>
    <n v="2375214.9500000002"/>
    <n v="1919002.39"/>
    <n v="34534"/>
  </r>
  <r>
    <x v="27"/>
    <x v="2"/>
    <s v="ACT"/>
    <s v="No gap agreement"/>
    <s v="More than 150% MBS Fee to 200% MBS Fee"/>
    <n v="3105406.39"/>
    <n v="1425203.42"/>
    <n v="1680169.63"/>
    <n v="16278"/>
  </r>
  <r>
    <x v="27"/>
    <x v="2"/>
    <s v="ACT"/>
    <s v="No gap agreement"/>
    <s v="More than 200% MBS Fee"/>
    <n v="223028.22"/>
    <n v="65693.33"/>
    <n v="157334.89000000001"/>
    <n v="245"/>
  </r>
  <r>
    <x v="27"/>
    <x v="2"/>
    <s v="NT"/>
    <s v="No agreement"/>
    <s v="Up to MBS Fee"/>
    <n v="272571.95"/>
    <n v="202867.3"/>
    <n v="67575.649999999994"/>
    <n v="1664"/>
  </r>
  <r>
    <x v="27"/>
    <x v="2"/>
    <s v="NT"/>
    <s v="No agreement"/>
    <s v="100% MBS Fee to 125% MBS Fee"/>
    <n v="13645.65"/>
    <n v="9251.65"/>
    <n v="3082.6"/>
    <n v="44"/>
  </r>
  <r>
    <x v="27"/>
    <x v="2"/>
    <s v="NT"/>
    <s v="No agreement"/>
    <s v="More than 125% MBS Fee to 150% MBS Fee"/>
    <n v="24731.8"/>
    <n v="13342.95"/>
    <n v="4452.7"/>
    <n v="40"/>
  </r>
  <r>
    <x v="27"/>
    <x v="2"/>
    <s v="NT"/>
    <s v="No agreement"/>
    <s v="More than 150% MBS Fee to 200% MBS Fee"/>
    <n v="61952.66"/>
    <n v="26766.86"/>
    <n v="8917.5499999999993"/>
    <n v="187"/>
  </r>
  <r>
    <x v="27"/>
    <x v="2"/>
    <s v="NT"/>
    <s v="No agreement"/>
    <s v="More than 200% MBS Fee"/>
    <n v="1126812.6499999999"/>
    <n v="261405.39"/>
    <n v="87872.99"/>
    <n v="734"/>
  </r>
  <r>
    <x v="27"/>
    <x v="2"/>
    <s v="NT"/>
    <s v="Known gap agreement"/>
    <s v="100% MBS Fee to 125% MBS Fee"/>
    <n v="66419.429999999993"/>
    <n v="42175.16"/>
    <n v="21482.35"/>
    <n v="156"/>
  </r>
  <r>
    <x v="27"/>
    <x v="2"/>
    <s v="NT"/>
    <s v="Known gap agreement"/>
    <s v="More than 125% MBS Fee to 150% MBS Fee"/>
    <n v="124336.56"/>
    <n v="66035.149999999994"/>
    <n v="52246.48"/>
    <n v="266"/>
  </r>
  <r>
    <x v="27"/>
    <x v="2"/>
    <s v="NT"/>
    <s v="Known gap agreement"/>
    <s v="More than 150% MBS Fee to 200% MBS Fee"/>
    <n v="287929.09999999998"/>
    <n v="122850.65"/>
    <n v="119361.21"/>
    <n v="421"/>
  </r>
  <r>
    <x v="27"/>
    <x v="2"/>
    <s v="NT"/>
    <s v="Known gap agreement"/>
    <s v="More than 200% MBS Fee"/>
    <n v="630762.07999999996"/>
    <n v="171901.82"/>
    <n v="192428.11"/>
    <n v="2141"/>
  </r>
  <r>
    <x v="27"/>
    <x v="2"/>
    <s v="NT"/>
    <s v="No gap agreement"/>
    <s v="Up to MBS Fee"/>
    <n v="369145.16"/>
    <n v="276915.46999999997"/>
    <n v="92238.49"/>
    <n v="3963"/>
  </r>
  <r>
    <x v="27"/>
    <x v="2"/>
    <s v="NT"/>
    <s v="No gap agreement"/>
    <s v="100% MBS Fee to 125% MBS Fee"/>
    <n v="508114.5"/>
    <n v="323171.84999999998"/>
    <n v="184941.25"/>
    <n v="3675"/>
  </r>
  <r>
    <x v="27"/>
    <x v="2"/>
    <s v="NT"/>
    <s v="No gap agreement"/>
    <s v="More than 125% MBS Fee to 150% MBS Fee"/>
    <n v="1351075.99"/>
    <n v="731903.51"/>
    <n v="619171.69999999995"/>
    <n v="5924"/>
  </r>
  <r>
    <x v="27"/>
    <x v="2"/>
    <s v="NT"/>
    <s v="No gap agreement"/>
    <s v="More than 150% MBS Fee to 200% MBS Fee"/>
    <n v="1646516.45"/>
    <n v="759283.6"/>
    <n v="887225.33"/>
    <n v="8453"/>
  </r>
  <r>
    <x v="27"/>
    <x v="2"/>
    <s v="NT"/>
    <s v="No gap agreement"/>
    <s v="More than 200% MBS Fee"/>
    <n v="58488.72"/>
    <n v="18599.849999999999"/>
    <n v="39888.870000000003"/>
    <n v="75"/>
  </r>
  <r>
    <x v="27"/>
    <x v="3"/>
    <s v="NSW"/>
    <s v="No agreement"/>
    <s v="Up to MBS Fee"/>
    <n v="26137892.969999999"/>
    <n v="19573004.32"/>
    <n v="6538050.1200000001"/>
    <n v="214136"/>
  </r>
  <r>
    <x v="27"/>
    <x v="3"/>
    <s v="NSW"/>
    <s v="No agreement"/>
    <s v="100% MBS Fee to 125% MBS Fee"/>
    <n v="2511991.94"/>
    <n v="1689604.59"/>
    <n v="581956.86"/>
    <n v="9093"/>
  </r>
  <r>
    <x v="27"/>
    <x v="3"/>
    <s v="NSW"/>
    <s v="No agreement"/>
    <s v="More than 125% MBS Fee to 150% MBS Fee"/>
    <n v="1498859.47"/>
    <n v="814238.53"/>
    <n v="291306.09000000003"/>
    <n v="3456"/>
  </r>
  <r>
    <x v="27"/>
    <x v="3"/>
    <s v="NSW"/>
    <s v="No agreement"/>
    <s v="More than 150% MBS Fee to 200% MBS Fee"/>
    <n v="5034953.24"/>
    <n v="2168962.4900000002"/>
    <n v="812834.32"/>
    <n v="14756"/>
  </r>
  <r>
    <x v="27"/>
    <x v="3"/>
    <s v="NSW"/>
    <s v="No agreement"/>
    <s v="More than 200% MBS Fee"/>
    <n v="69573672.129999995"/>
    <n v="14842572.16"/>
    <n v="5018564.58"/>
    <n v="63006"/>
  </r>
  <r>
    <x v="27"/>
    <x v="3"/>
    <s v="NSW"/>
    <s v="Known gap agreement"/>
    <s v="100% MBS Fee to 125% MBS Fee"/>
    <n v="2596574.4900000002"/>
    <n v="1702088.95"/>
    <n v="760276.33"/>
    <n v="11867"/>
  </r>
  <r>
    <x v="27"/>
    <x v="3"/>
    <s v="NSW"/>
    <s v="Known gap agreement"/>
    <s v="More than 125% MBS Fee to 150% MBS Fee"/>
    <n v="6471400.6500000004"/>
    <n v="3445925.03"/>
    <n v="2693756.47"/>
    <n v="18071"/>
  </r>
  <r>
    <x v="27"/>
    <x v="3"/>
    <s v="NSW"/>
    <s v="Known gap agreement"/>
    <s v="More than 150% MBS Fee to 200% MBS Fee"/>
    <n v="15613908.51"/>
    <n v="6770232.7199999997"/>
    <n v="6834956.4100000001"/>
    <n v="29162"/>
  </r>
  <r>
    <x v="27"/>
    <x v="3"/>
    <s v="NSW"/>
    <s v="Known gap agreement"/>
    <s v="More than 200% MBS Fee"/>
    <n v="38157705.560000002"/>
    <n v="9952433.3399999999"/>
    <n v="11601362.970000001"/>
    <n v="127401"/>
  </r>
  <r>
    <x v="27"/>
    <x v="3"/>
    <s v="NSW"/>
    <s v="No gap agreement"/>
    <s v="Up to MBS Fee"/>
    <n v="23567824.41"/>
    <n v="17729420.969999999"/>
    <n v="5838403.4400000004"/>
    <n v="790474"/>
  </r>
  <r>
    <x v="27"/>
    <x v="3"/>
    <s v="NSW"/>
    <s v="No gap agreement"/>
    <s v="100% MBS Fee to 125% MBS Fee"/>
    <n v="46746762.020000003"/>
    <n v="29808350.640000001"/>
    <n v="16938294.48"/>
    <n v="379814"/>
  </r>
  <r>
    <x v="27"/>
    <x v="3"/>
    <s v="NSW"/>
    <s v="No gap agreement"/>
    <s v="More than 125% MBS Fee to 150% MBS Fee"/>
    <n v="91295255.290000007"/>
    <n v="50067661"/>
    <n v="41227556.219999999"/>
    <n v="518800"/>
  </r>
  <r>
    <x v="27"/>
    <x v="3"/>
    <s v="NSW"/>
    <s v="No gap agreement"/>
    <s v="More than 150% MBS Fee to 200% MBS Fee"/>
    <n v="93215884.450000003"/>
    <n v="42698591.18"/>
    <n v="50517226.340000004"/>
    <n v="525940"/>
  </r>
  <r>
    <x v="27"/>
    <x v="3"/>
    <s v="NSW"/>
    <s v="No gap agreement"/>
    <s v="More than 200% MBS Fee"/>
    <n v="5908469.9100000001"/>
    <n v="1729311.24"/>
    <n v="4179158.04"/>
    <n v="5395"/>
  </r>
  <r>
    <x v="27"/>
    <x v="3"/>
    <s v="VIC"/>
    <s v="No agreement"/>
    <s v="Up to MBS Fee"/>
    <n v="4870295.93"/>
    <n v="3671712.18"/>
    <n v="1193269.72"/>
    <n v="94785"/>
  </r>
  <r>
    <x v="27"/>
    <x v="3"/>
    <s v="VIC"/>
    <s v="No agreement"/>
    <s v="100% MBS Fee to 125% MBS Fee"/>
    <n v="1071842.1299999999"/>
    <n v="715692.3"/>
    <n v="243096.41"/>
    <n v="2255"/>
  </r>
  <r>
    <x v="27"/>
    <x v="3"/>
    <s v="VIC"/>
    <s v="No agreement"/>
    <s v="More than 125% MBS Fee to 150% MBS Fee"/>
    <n v="1347777.48"/>
    <n v="725697.48"/>
    <n v="250272.05"/>
    <n v="5650"/>
  </r>
  <r>
    <x v="27"/>
    <x v="3"/>
    <s v="VIC"/>
    <s v="No agreement"/>
    <s v="More than 150% MBS Fee to 200% MBS Fee"/>
    <n v="2584089.84"/>
    <n v="1139428.28"/>
    <n v="390481.25"/>
    <n v="9678"/>
  </r>
  <r>
    <x v="27"/>
    <x v="3"/>
    <s v="VIC"/>
    <s v="No agreement"/>
    <s v="More than 200% MBS Fee"/>
    <n v="18967828.68"/>
    <n v="4252152.91"/>
    <n v="1432278.12"/>
    <n v="16647"/>
  </r>
  <r>
    <x v="27"/>
    <x v="3"/>
    <s v="VIC"/>
    <s v="Known gap agreement"/>
    <s v="100% MBS Fee to 125% MBS Fee"/>
    <n v="2120768.15"/>
    <n v="1389814.05"/>
    <n v="602491.61"/>
    <n v="11181"/>
  </r>
  <r>
    <x v="27"/>
    <x v="3"/>
    <s v="VIC"/>
    <s v="Known gap agreement"/>
    <s v="More than 125% MBS Fee to 150% MBS Fee"/>
    <n v="6616765.75"/>
    <n v="3556899.72"/>
    <n v="2627276.42"/>
    <n v="21034"/>
  </r>
  <r>
    <x v="27"/>
    <x v="3"/>
    <s v="VIC"/>
    <s v="Known gap agreement"/>
    <s v="More than 150% MBS Fee to 200% MBS Fee"/>
    <n v="16533163.01"/>
    <n v="7186222.2999999998"/>
    <n v="6872348.6600000001"/>
    <n v="33409"/>
  </r>
  <r>
    <x v="27"/>
    <x v="3"/>
    <s v="VIC"/>
    <s v="Known gap agreement"/>
    <s v="More than 200% MBS Fee"/>
    <n v="31231686.030000001"/>
    <n v="8290695.0499999998"/>
    <n v="9179845.4499999993"/>
    <n v="113623"/>
  </r>
  <r>
    <x v="27"/>
    <x v="3"/>
    <s v="VIC"/>
    <s v="No gap agreement"/>
    <s v="Up to MBS Fee"/>
    <n v="15779853.310000001"/>
    <n v="11892024.609999999"/>
    <n v="3887835.6"/>
    <n v="229099"/>
  </r>
  <r>
    <x v="27"/>
    <x v="3"/>
    <s v="VIC"/>
    <s v="No gap agreement"/>
    <s v="100% MBS Fee to 125% MBS Fee"/>
    <n v="46782585.579999998"/>
    <n v="29827207.309999999"/>
    <n v="16954995.98"/>
    <n v="389503"/>
  </r>
  <r>
    <x v="27"/>
    <x v="3"/>
    <s v="VIC"/>
    <s v="No gap agreement"/>
    <s v="More than 125% MBS Fee to 150% MBS Fee"/>
    <n v="90748770.230000004"/>
    <n v="49958332.770000003"/>
    <n v="40790318.219999999"/>
    <n v="544490"/>
  </r>
  <r>
    <x v="27"/>
    <x v="3"/>
    <s v="VIC"/>
    <s v="No gap agreement"/>
    <s v="More than 150% MBS Fee to 200% MBS Fee"/>
    <n v="58885244.170000002"/>
    <n v="27061696.449999999"/>
    <n v="31823489.640000001"/>
    <n v="369603"/>
  </r>
  <r>
    <x v="27"/>
    <x v="3"/>
    <s v="VIC"/>
    <s v="No gap agreement"/>
    <s v="More than 200% MBS Fee"/>
    <n v="2840335.87"/>
    <n v="796359.07"/>
    <n v="2043976.8"/>
    <n v="2274"/>
  </r>
  <r>
    <x v="27"/>
    <x v="3"/>
    <s v="QLD"/>
    <s v="No agreement"/>
    <s v="Up to MBS Fee"/>
    <n v="4095165.52"/>
    <n v="3049284.59"/>
    <n v="1008443.5"/>
    <n v="53859"/>
  </r>
  <r>
    <x v="27"/>
    <x v="3"/>
    <s v="QLD"/>
    <s v="No agreement"/>
    <s v="100% MBS Fee to 125% MBS Fee"/>
    <n v="965759.04"/>
    <n v="656898.43000000005"/>
    <n v="219913.08"/>
    <n v="2316"/>
  </r>
  <r>
    <x v="27"/>
    <x v="3"/>
    <s v="QLD"/>
    <s v="No agreement"/>
    <s v="More than 125% MBS Fee to 150% MBS Fee"/>
    <n v="884209.64"/>
    <n v="480649.54"/>
    <n v="161694.04"/>
    <n v="1800"/>
  </r>
  <r>
    <x v="27"/>
    <x v="3"/>
    <s v="QLD"/>
    <s v="No agreement"/>
    <s v="More than 150% MBS Fee to 200% MBS Fee"/>
    <n v="3114488.81"/>
    <n v="1342663.37"/>
    <n v="450877.82"/>
    <n v="14485"/>
  </r>
  <r>
    <x v="27"/>
    <x v="3"/>
    <s v="QLD"/>
    <s v="No agreement"/>
    <s v="More than 200% MBS Fee"/>
    <n v="34134866.93"/>
    <n v="7483439.6799999997"/>
    <n v="2506568.7799999998"/>
    <n v="31937"/>
  </r>
  <r>
    <x v="27"/>
    <x v="3"/>
    <s v="QLD"/>
    <s v="Known gap agreement"/>
    <s v="100% MBS Fee to 125% MBS Fee"/>
    <n v="1585588.41"/>
    <n v="1028773.58"/>
    <n v="467743.49"/>
    <n v="7667"/>
  </r>
  <r>
    <x v="27"/>
    <x v="3"/>
    <s v="QLD"/>
    <s v="Known gap agreement"/>
    <s v="More than 125% MBS Fee to 150% MBS Fee"/>
    <n v="5163772.54"/>
    <n v="2739133"/>
    <n v="2109852.73"/>
    <n v="17696"/>
  </r>
  <r>
    <x v="27"/>
    <x v="3"/>
    <s v="QLD"/>
    <s v="Known gap agreement"/>
    <s v="More than 150% MBS Fee to 200% MBS Fee"/>
    <n v="18101099.629999999"/>
    <n v="7726732.5999999996"/>
    <n v="7742484.6100000003"/>
    <n v="29408"/>
  </r>
  <r>
    <x v="27"/>
    <x v="3"/>
    <s v="QLD"/>
    <s v="Known gap agreement"/>
    <s v="More than 200% MBS Fee"/>
    <n v="39772434.759999998"/>
    <n v="9955403.9600000009"/>
    <n v="11294947.119999999"/>
    <n v="103661"/>
  </r>
  <r>
    <x v="27"/>
    <x v="3"/>
    <s v="QLD"/>
    <s v="No gap agreement"/>
    <s v="Up to MBS Fee"/>
    <n v="14549859.85"/>
    <n v="10933459.890000001"/>
    <n v="3616400.01"/>
    <n v="226882"/>
  </r>
  <r>
    <x v="27"/>
    <x v="3"/>
    <s v="QLD"/>
    <s v="No gap agreement"/>
    <s v="100% MBS Fee to 125% MBS Fee"/>
    <n v="41915527.100000001"/>
    <n v="26729384.43"/>
    <n v="15185900.619999999"/>
    <n v="353119"/>
  </r>
  <r>
    <x v="27"/>
    <x v="3"/>
    <s v="QLD"/>
    <s v="No gap agreement"/>
    <s v="More than 125% MBS Fee to 150% MBS Fee"/>
    <n v="69489520.319999993"/>
    <n v="38387275.890000001"/>
    <n v="31102124.850000001"/>
    <n v="546375"/>
  </r>
  <r>
    <x v="27"/>
    <x v="3"/>
    <s v="QLD"/>
    <s v="No gap agreement"/>
    <s v="More than 150% MBS Fee to 200% MBS Fee"/>
    <n v="60620139.130000003"/>
    <n v="27732219.690000001"/>
    <n v="32887279.84"/>
    <n v="399530"/>
  </r>
  <r>
    <x v="27"/>
    <x v="3"/>
    <s v="QLD"/>
    <s v="No gap agreement"/>
    <s v="More than 200% MBS Fee"/>
    <n v="4003850.9"/>
    <n v="1153153.68"/>
    <n v="2850696.68"/>
    <n v="4599"/>
  </r>
  <r>
    <x v="27"/>
    <x v="3"/>
    <s v="SA"/>
    <s v="No agreement"/>
    <s v="Up to MBS Fee"/>
    <n v="1452115.88"/>
    <n v="1087469.03"/>
    <n v="361854.9"/>
    <n v="7672"/>
  </r>
  <r>
    <x v="27"/>
    <x v="3"/>
    <s v="SA"/>
    <s v="No agreement"/>
    <s v="100% MBS Fee to 125% MBS Fee"/>
    <n v="318687.15000000002"/>
    <n v="213933.14"/>
    <n v="71027.899999999994"/>
    <n v="441"/>
  </r>
  <r>
    <x v="27"/>
    <x v="3"/>
    <s v="SA"/>
    <s v="No agreement"/>
    <s v="More than 125% MBS Fee to 150% MBS Fee"/>
    <n v="124008.83"/>
    <n v="67124.47"/>
    <n v="22154.07"/>
    <n v="208"/>
  </r>
  <r>
    <x v="27"/>
    <x v="3"/>
    <s v="SA"/>
    <s v="No agreement"/>
    <s v="More than 150% MBS Fee to 200% MBS Fee"/>
    <n v="293414.2"/>
    <n v="124632.24"/>
    <n v="41473.870000000003"/>
    <n v="714"/>
  </r>
  <r>
    <x v="27"/>
    <x v="3"/>
    <s v="SA"/>
    <s v="No agreement"/>
    <s v="More than 200% MBS Fee"/>
    <n v="2731416.26"/>
    <n v="595313.6"/>
    <n v="198397.1"/>
    <n v="2661"/>
  </r>
  <r>
    <x v="27"/>
    <x v="3"/>
    <s v="SA"/>
    <s v="Known gap agreement"/>
    <s v="100% MBS Fee to 125% MBS Fee"/>
    <n v="320062.24"/>
    <n v="203665.92000000001"/>
    <n v="99124.47"/>
    <n v="1671"/>
  </r>
  <r>
    <x v="27"/>
    <x v="3"/>
    <s v="SA"/>
    <s v="Known gap agreement"/>
    <s v="More than 125% MBS Fee to 150% MBS Fee"/>
    <n v="1667238"/>
    <n v="892070.34"/>
    <n v="696842"/>
    <n v="6349"/>
  </r>
  <r>
    <x v="27"/>
    <x v="3"/>
    <s v="SA"/>
    <s v="Known gap agreement"/>
    <s v="More than 150% MBS Fee to 200% MBS Fee"/>
    <n v="8905854.7300000004"/>
    <n v="3799461.89"/>
    <n v="3920137.88"/>
    <n v="14016"/>
  </r>
  <r>
    <x v="27"/>
    <x v="3"/>
    <s v="SA"/>
    <s v="Known gap agreement"/>
    <s v="More than 200% MBS Fee"/>
    <n v="8538152.9700000007"/>
    <n v="2407177.67"/>
    <n v="2738483.08"/>
    <n v="32974"/>
  </r>
  <r>
    <x v="27"/>
    <x v="3"/>
    <s v="SA"/>
    <s v="No gap agreement"/>
    <s v="Up to MBS Fee"/>
    <n v="6167496.4800000004"/>
    <n v="4628608.1500000004"/>
    <n v="1538904.86"/>
    <n v="109986"/>
  </r>
  <r>
    <x v="27"/>
    <x v="3"/>
    <s v="SA"/>
    <s v="No gap agreement"/>
    <s v="100% MBS Fee to 125% MBS Fee"/>
    <n v="13220627.140000001"/>
    <n v="8296983.9500000002"/>
    <n v="4923473.0599999996"/>
    <n v="102828"/>
  </r>
  <r>
    <x v="27"/>
    <x v="3"/>
    <s v="SA"/>
    <s v="No gap agreement"/>
    <s v="More than 125% MBS Fee to 150% MBS Fee"/>
    <n v="26602418.120000001"/>
    <n v="14400494.85"/>
    <n v="12201903.35"/>
    <n v="166765"/>
  </r>
  <r>
    <x v="27"/>
    <x v="3"/>
    <s v="SA"/>
    <s v="No gap agreement"/>
    <s v="More than 150% MBS Fee to 200% MBS Fee"/>
    <n v="22629465.219999999"/>
    <n v="10435346.9"/>
    <n v="12194118.17"/>
    <n v="108787"/>
  </r>
  <r>
    <x v="27"/>
    <x v="3"/>
    <s v="SA"/>
    <s v="No gap agreement"/>
    <s v="More than 200% MBS Fee"/>
    <n v="905855.72"/>
    <n v="254490.4"/>
    <n v="651365.12"/>
    <n v="722"/>
  </r>
  <r>
    <x v="27"/>
    <x v="3"/>
    <s v="WA"/>
    <s v="No agreement"/>
    <s v="Up to MBS Fee"/>
    <n v="1362640.92"/>
    <n v="1023246.29"/>
    <n v="337476.28"/>
    <n v="16122"/>
  </r>
  <r>
    <x v="27"/>
    <x v="3"/>
    <s v="WA"/>
    <s v="No agreement"/>
    <s v="100% MBS Fee to 125% MBS Fee"/>
    <n v="345984.87"/>
    <n v="231467.62"/>
    <n v="77106.06"/>
    <n v="769"/>
  </r>
  <r>
    <x v="27"/>
    <x v="3"/>
    <s v="WA"/>
    <s v="No agreement"/>
    <s v="More than 125% MBS Fee to 150% MBS Fee"/>
    <n v="336717.83"/>
    <n v="184496.73"/>
    <n v="62054.17"/>
    <n v="793"/>
  </r>
  <r>
    <x v="27"/>
    <x v="3"/>
    <s v="WA"/>
    <s v="No agreement"/>
    <s v="More than 150% MBS Fee to 200% MBS Fee"/>
    <n v="1724379.39"/>
    <n v="760282.63"/>
    <n v="253464.73"/>
    <n v="21196"/>
  </r>
  <r>
    <x v="27"/>
    <x v="3"/>
    <s v="WA"/>
    <s v="No agreement"/>
    <s v="More than 200% MBS Fee"/>
    <n v="7370874.6399999997"/>
    <n v="1521721.62"/>
    <n v="512795.38"/>
    <n v="7287"/>
  </r>
  <r>
    <x v="27"/>
    <x v="3"/>
    <s v="WA"/>
    <s v="Known gap agreement"/>
    <s v="100% MBS Fee to 125% MBS Fee"/>
    <n v="614061.34"/>
    <n v="402428.94"/>
    <n v="185143.82"/>
    <n v="2669"/>
  </r>
  <r>
    <x v="27"/>
    <x v="3"/>
    <s v="WA"/>
    <s v="Known gap agreement"/>
    <s v="More than 125% MBS Fee to 150% MBS Fee"/>
    <n v="2729807.16"/>
    <n v="1444420.19"/>
    <n v="1098668.6499999999"/>
    <n v="18632"/>
  </r>
  <r>
    <x v="27"/>
    <x v="3"/>
    <s v="WA"/>
    <s v="Known gap agreement"/>
    <s v="More than 150% MBS Fee to 200% MBS Fee"/>
    <n v="8798769.9600000009"/>
    <n v="3855663.61"/>
    <n v="3584727.44"/>
    <n v="14150"/>
  </r>
  <r>
    <x v="27"/>
    <x v="3"/>
    <s v="WA"/>
    <s v="Known gap agreement"/>
    <s v="More than 200% MBS Fee"/>
    <n v="17459929.280000001"/>
    <n v="4335690.67"/>
    <n v="3227910.15"/>
    <n v="43188"/>
  </r>
  <r>
    <x v="27"/>
    <x v="3"/>
    <s v="WA"/>
    <s v="No gap agreement"/>
    <s v="Up to MBS Fee"/>
    <n v="9403765.3399999999"/>
    <n v="7064750.2599999998"/>
    <n v="2339015.08"/>
    <n v="134103"/>
  </r>
  <r>
    <x v="27"/>
    <x v="3"/>
    <s v="WA"/>
    <s v="No gap agreement"/>
    <s v="100% MBS Fee to 125% MBS Fee"/>
    <n v="12196123.15"/>
    <n v="7899147.9000000004"/>
    <n v="4296932.53"/>
    <n v="81385"/>
  </r>
  <r>
    <x v="27"/>
    <x v="3"/>
    <s v="WA"/>
    <s v="No gap agreement"/>
    <s v="More than 125% MBS Fee to 150% MBS Fee"/>
    <n v="45568216.490000002"/>
    <n v="24947564.079999998"/>
    <n v="20620647.859999999"/>
    <n v="287050"/>
  </r>
  <r>
    <x v="27"/>
    <x v="3"/>
    <s v="WA"/>
    <s v="No gap agreement"/>
    <s v="More than 150% MBS Fee to 200% MBS Fee"/>
    <n v="53702762.439999998"/>
    <n v="23861051.890000001"/>
    <n v="29841694.82"/>
    <n v="241945"/>
  </r>
  <r>
    <x v="27"/>
    <x v="3"/>
    <s v="WA"/>
    <s v="No gap agreement"/>
    <s v="More than 200% MBS Fee"/>
    <n v="2326323.7999999998"/>
    <n v="611770.73"/>
    <n v="1714553.07"/>
    <n v="1593"/>
  </r>
  <r>
    <x v="27"/>
    <x v="3"/>
    <s v="TAS"/>
    <s v="No agreement"/>
    <s v="Up to MBS Fee"/>
    <n v="289760.02"/>
    <n v="217800.16"/>
    <n v="71526.210000000006"/>
    <n v="2907"/>
  </r>
  <r>
    <x v="27"/>
    <x v="3"/>
    <s v="TAS"/>
    <s v="No agreement"/>
    <s v="100% MBS Fee to 125% MBS Fee"/>
    <n v="92487.679999999993"/>
    <n v="60220.15"/>
    <n v="19991.23"/>
    <n v="179"/>
  </r>
  <r>
    <x v="27"/>
    <x v="3"/>
    <s v="TAS"/>
    <s v="No agreement"/>
    <s v="More than 125% MBS Fee to 150% MBS Fee"/>
    <n v="27471.45"/>
    <n v="15122.69"/>
    <n v="5034"/>
    <n v="123"/>
  </r>
  <r>
    <x v="27"/>
    <x v="3"/>
    <s v="TAS"/>
    <s v="No agreement"/>
    <s v="More than 150% MBS Fee to 200% MBS Fee"/>
    <n v="160040.9"/>
    <n v="69701.61"/>
    <n v="23546.240000000002"/>
    <n v="396"/>
  </r>
  <r>
    <x v="27"/>
    <x v="3"/>
    <s v="TAS"/>
    <s v="No agreement"/>
    <s v="More than 200% MBS Fee"/>
    <n v="1635864.83"/>
    <n v="359200.84"/>
    <n v="121169.12"/>
    <n v="1094"/>
  </r>
  <r>
    <x v="27"/>
    <x v="3"/>
    <s v="TAS"/>
    <s v="Known gap agreement"/>
    <s v="100% MBS Fee to 125% MBS Fee"/>
    <n v="160939.34"/>
    <n v="103372.89"/>
    <n v="52105.97"/>
    <n v="1018"/>
  </r>
  <r>
    <x v="27"/>
    <x v="3"/>
    <s v="TAS"/>
    <s v="Known gap agreement"/>
    <s v="More than 125% MBS Fee to 150% MBS Fee"/>
    <n v="629871.61"/>
    <n v="337425.55"/>
    <n v="262200.84000000003"/>
    <n v="2583"/>
  </r>
  <r>
    <x v="27"/>
    <x v="3"/>
    <s v="TAS"/>
    <s v="Known gap agreement"/>
    <s v="More than 150% MBS Fee to 200% MBS Fee"/>
    <n v="2514034.0099999998"/>
    <n v="1079344.73"/>
    <n v="1153323.31"/>
    <n v="3696"/>
  </r>
  <r>
    <x v="27"/>
    <x v="3"/>
    <s v="TAS"/>
    <s v="Known gap agreement"/>
    <s v="More than 200% MBS Fee"/>
    <n v="2598101.59"/>
    <n v="679810.88"/>
    <n v="815476.63"/>
    <n v="5567"/>
  </r>
  <r>
    <x v="27"/>
    <x v="3"/>
    <s v="TAS"/>
    <s v="No gap agreement"/>
    <s v="Up to MBS Fee"/>
    <n v="1421162.85"/>
    <n v="1068346.33"/>
    <n v="352816.52"/>
    <n v="20471"/>
  </r>
  <r>
    <x v="27"/>
    <x v="3"/>
    <s v="TAS"/>
    <s v="No gap agreement"/>
    <s v="100% MBS Fee to 125% MBS Fee"/>
    <n v="2185551"/>
    <n v="1377027.76"/>
    <n v="808520.34"/>
    <n v="14494"/>
  </r>
  <r>
    <x v="27"/>
    <x v="3"/>
    <s v="TAS"/>
    <s v="No gap agreement"/>
    <s v="More than 125% MBS Fee to 150% MBS Fee"/>
    <n v="8004621.2199999997"/>
    <n v="4333195.97"/>
    <n v="3671424.34"/>
    <n v="45409"/>
  </r>
  <r>
    <x v="27"/>
    <x v="3"/>
    <s v="TAS"/>
    <s v="No gap agreement"/>
    <s v="More than 150% MBS Fee to 200% MBS Fee"/>
    <n v="8599183.5800000001"/>
    <n v="3959571.42"/>
    <n v="4639612.3099999996"/>
    <n v="43560"/>
  </r>
  <r>
    <x v="27"/>
    <x v="3"/>
    <s v="TAS"/>
    <s v="No gap agreement"/>
    <s v="More than 200% MBS Fee"/>
    <n v="350581.42"/>
    <n v="98587.78"/>
    <n v="251993.64"/>
    <n v="270"/>
  </r>
  <r>
    <x v="27"/>
    <x v="3"/>
    <s v="ACT"/>
    <s v="No agreement"/>
    <s v="Up to MBS Fee"/>
    <n v="304926.15999999997"/>
    <n v="217808.87"/>
    <n v="71791.37"/>
    <n v="2277"/>
  </r>
  <r>
    <x v="27"/>
    <x v="3"/>
    <s v="ACT"/>
    <s v="No agreement"/>
    <s v="100% MBS Fee to 125% MBS Fee"/>
    <n v="46874.23"/>
    <n v="30620.42"/>
    <n v="11744.33"/>
    <n v="154"/>
  </r>
  <r>
    <x v="27"/>
    <x v="3"/>
    <s v="ACT"/>
    <s v="No agreement"/>
    <s v="More than 125% MBS Fee to 150% MBS Fee"/>
    <n v="50812.27"/>
    <n v="27376.29"/>
    <n v="9127.82"/>
    <n v="142"/>
  </r>
  <r>
    <x v="27"/>
    <x v="3"/>
    <s v="ACT"/>
    <s v="No agreement"/>
    <s v="More than 150% MBS Fee to 200% MBS Fee"/>
    <n v="346873.07"/>
    <n v="147060.18"/>
    <n v="49632.91"/>
    <n v="1308"/>
  </r>
  <r>
    <x v="27"/>
    <x v="3"/>
    <s v="ACT"/>
    <s v="No agreement"/>
    <s v="More than 200% MBS Fee"/>
    <n v="6041841.4900000002"/>
    <n v="1313594.24"/>
    <n v="445664.12"/>
    <n v="5113"/>
  </r>
  <r>
    <x v="27"/>
    <x v="3"/>
    <s v="ACT"/>
    <s v="Known gap agreement"/>
    <s v="100% MBS Fee to 125% MBS Fee"/>
    <n v="65445.62"/>
    <n v="44186.86"/>
    <n v="18543.21"/>
    <n v="249"/>
  </r>
  <r>
    <x v="27"/>
    <x v="3"/>
    <s v="ACT"/>
    <s v="Known gap agreement"/>
    <s v="More than 125% MBS Fee to 150% MBS Fee"/>
    <n v="151246.17000000001"/>
    <n v="80094.12"/>
    <n v="63199.18"/>
    <n v="356"/>
  </r>
  <r>
    <x v="27"/>
    <x v="3"/>
    <s v="ACT"/>
    <s v="Known gap agreement"/>
    <s v="More than 150% MBS Fee to 200% MBS Fee"/>
    <n v="380060.98"/>
    <n v="163529.1"/>
    <n v="168283.95"/>
    <n v="891"/>
  </r>
  <r>
    <x v="27"/>
    <x v="3"/>
    <s v="ACT"/>
    <s v="Known gap agreement"/>
    <s v="More than 200% MBS Fee"/>
    <n v="3012030.75"/>
    <n v="808429.51"/>
    <n v="847383.82"/>
    <n v="10640"/>
  </r>
  <r>
    <x v="27"/>
    <x v="3"/>
    <s v="ACT"/>
    <s v="No gap agreement"/>
    <s v="Up to MBS Fee"/>
    <n v="388226.91"/>
    <n v="293085.83"/>
    <n v="95141.08"/>
    <n v="8700"/>
  </r>
  <r>
    <x v="27"/>
    <x v="3"/>
    <s v="ACT"/>
    <s v="No gap agreement"/>
    <s v="100% MBS Fee to 125% MBS Fee"/>
    <n v="1510894.76"/>
    <n v="963484.42"/>
    <n v="547408.11"/>
    <n v="12754"/>
  </r>
  <r>
    <x v="27"/>
    <x v="3"/>
    <s v="ACT"/>
    <s v="No gap agreement"/>
    <s v="More than 125% MBS Fee to 150% MBS Fee"/>
    <n v="3548909.84"/>
    <n v="1957920.82"/>
    <n v="1590984.77"/>
    <n v="26425"/>
  </r>
  <r>
    <x v="27"/>
    <x v="3"/>
    <s v="ACT"/>
    <s v="No gap agreement"/>
    <s v="More than 150% MBS Fee to 200% MBS Fee"/>
    <n v="2540130.75"/>
    <n v="1162860.8500000001"/>
    <n v="1377254.21"/>
    <n v="13920"/>
  </r>
  <r>
    <x v="27"/>
    <x v="3"/>
    <s v="ACT"/>
    <s v="No gap agreement"/>
    <s v="More than 200% MBS Fee"/>
    <n v="233264.17"/>
    <n v="70983.13"/>
    <n v="162281.04"/>
    <n v="283"/>
  </r>
  <r>
    <x v="27"/>
    <x v="3"/>
    <s v="NT"/>
    <s v="No agreement"/>
    <s v="Up to MBS Fee"/>
    <n v="348561.03"/>
    <n v="260478.77"/>
    <n v="86612.61"/>
    <n v="1925"/>
  </r>
  <r>
    <x v="27"/>
    <x v="3"/>
    <s v="NT"/>
    <s v="No agreement"/>
    <s v="100% MBS Fee to 125% MBS Fee"/>
    <n v="26047.599999999999"/>
    <n v="17476"/>
    <n v="5825.2"/>
    <n v="47"/>
  </r>
  <r>
    <x v="27"/>
    <x v="3"/>
    <s v="NT"/>
    <s v="No agreement"/>
    <s v="More than 125% MBS Fee to 150% MBS Fee"/>
    <n v="17422.98"/>
    <n v="9292.31"/>
    <n v="3096.5"/>
    <n v="39"/>
  </r>
  <r>
    <x v="27"/>
    <x v="3"/>
    <s v="NT"/>
    <s v="No agreement"/>
    <s v="More than 150% MBS Fee to 200% MBS Fee"/>
    <n v="72513.55"/>
    <n v="31720.42"/>
    <n v="10569.5"/>
    <n v="195"/>
  </r>
  <r>
    <x v="27"/>
    <x v="3"/>
    <s v="NT"/>
    <s v="No agreement"/>
    <s v="More than 200% MBS Fee"/>
    <n v="1090342.1200000001"/>
    <n v="255892.19"/>
    <n v="85977.99"/>
    <n v="685"/>
  </r>
  <r>
    <x v="27"/>
    <x v="3"/>
    <s v="NT"/>
    <s v="Known gap agreement"/>
    <s v="100% MBS Fee to 125% MBS Fee"/>
    <n v="56847.519999999997"/>
    <n v="36383.86"/>
    <n v="18251.900000000001"/>
    <n v="152"/>
  </r>
  <r>
    <x v="27"/>
    <x v="3"/>
    <s v="NT"/>
    <s v="Known gap agreement"/>
    <s v="More than 125% MBS Fee to 150% MBS Fee"/>
    <n v="123578.54"/>
    <n v="65977.08"/>
    <n v="53287.65"/>
    <n v="215"/>
  </r>
  <r>
    <x v="27"/>
    <x v="3"/>
    <s v="NT"/>
    <s v="Known gap agreement"/>
    <s v="More than 150% MBS Fee to 200% MBS Fee"/>
    <n v="213997.16"/>
    <n v="91744.94"/>
    <n v="90729.52"/>
    <n v="354"/>
  </r>
  <r>
    <x v="27"/>
    <x v="3"/>
    <s v="NT"/>
    <s v="Known gap agreement"/>
    <s v="More than 200% MBS Fee"/>
    <n v="420532.9"/>
    <n v="111146.7"/>
    <n v="122794.59"/>
    <n v="1496"/>
  </r>
  <r>
    <x v="27"/>
    <x v="3"/>
    <s v="NT"/>
    <s v="No gap agreement"/>
    <s v="Up to MBS Fee"/>
    <n v="481123.31"/>
    <n v="360921.8"/>
    <n v="120201.51"/>
    <n v="5080"/>
  </r>
  <r>
    <x v="27"/>
    <x v="3"/>
    <s v="NT"/>
    <s v="No gap agreement"/>
    <s v="100% MBS Fee to 125% MBS Fee"/>
    <n v="448035.31"/>
    <n v="285219.09999999998"/>
    <n v="162815.65"/>
    <n v="2932"/>
  </r>
  <r>
    <x v="27"/>
    <x v="3"/>
    <s v="NT"/>
    <s v="No gap agreement"/>
    <s v="More than 125% MBS Fee to 150% MBS Fee"/>
    <n v="1215592.6200000001"/>
    <n v="659457.01"/>
    <n v="556135.17000000004"/>
    <n v="5484"/>
  </r>
  <r>
    <x v="27"/>
    <x v="3"/>
    <s v="NT"/>
    <s v="No gap agreement"/>
    <s v="More than 150% MBS Fee to 200% MBS Fee"/>
    <n v="1501720.65"/>
    <n v="693569.5"/>
    <n v="808150.88"/>
    <n v="7810"/>
  </r>
  <r>
    <x v="27"/>
    <x v="3"/>
    <s v="NT"/>
    <s v="No gap agreement"/>
    <s v="More than 200% MBS Fee"/>
    <n v="41057.56"/>
    <n v="13426.66"/>
    <n v="27630.9"/>
    <n v="55"/>
  </r>
  <r>
    <x v="27"/>
    <x v="1"/>
    <s v="NSW"/>
    <s v="No agreement"/>
    <s v="Up to MBS Fee"/>
    <n v="30047610.02"/>
    <n v="22449322.129999999"/>
    <n v="7547534.1100000003"/>
    <n v="252685"/>
  </r>
  <r>
    <x v="27"/>
    <x v="1"/>
    <s v="NSW"/>
    <s v="No agreement"/>
    <s v="100% MBS Fee to 125% MBS Fee"/>
    <n v="2983400.66"/>
    <n v="2007788.44"/>
    <n v="693570.76"/>
    <n v="10291"/>
  </r>
  <r>
    <x v="27"/>
    <x v="1"/>
    <s v="NSW"/>
    <s v="No agreement"/>
    <s v="More than 125% MBS Fee to 150% MBS Fee"/>
    <n v="1876183.72"/>
    <n v="1021485.61"/>
    <n v="347508.73"/>
    <n v="4364"/>
  </r>
  <r>
    <x v="27"/>
    <x v="1"/>
    <s v="NSW"/>
    <s v="No agreement"/>
    <s v="More than 150% MBS Fee to 200% MBS Fee"/>
    <n v="6671155.7599999998"/>
    <n v="2859394.86"/>
    <n v="992942.71"/>
    <n v="18449"/>
  </r>
  <r>
    <x v="27"/>
    <x v="1"/>
    <s v="NSW"/>
    <s v="No agreement"/>
    <s v="More than 200% MBS Fee"/>
    <n v="101386806.53"/>
    <n v="21487340.359999999"/>
    <n v="7300882.79"/>
    <n v="88260"/>
  </r>
  <r>
    <x v="27"/>
    <x v="1"/>
    <s v="NSW"/>
    <s v="Known gap agreement"/>
    <s v="100% MBS Fee to 125% MBS Fee"/>
    <n v="3340589.84"/>
    <n v="2186696.85"/>
    <n v="997184.23"/>
    <n v="15651"/>
  </r>
  <r>
    <x v="27"/>
    <x v="1"/>
    <s v="NSW"/>
    <s v="Known gap agreement"/>
    <s v="More than 125% MBS Fee to 150% MBS Fee"/>
    <n v="8097893.04"/>
    <n v="4347677.01"/>
    <n v="3319877.68"/>
    <n v="27266"/>
  </r>
  <r>
    <x v="27"/>
    <x v="1"/>
    <s v="NSW"/>
    <s v="Known gap agreement"/>
    <s v="More than 150% MBS Fee to 200% MBS Fee"/>
    <n v="19642475.920000002"/>
    <n v="8499952.7699999996"/>
    <n v="8543184.9299999997"/>
    <n v="35263"/>
  </r>
  <r>
    <x v="27"/>
    <x v="1"/>
    <s v="NSW"/>
    <s v="Known gap agreement"/>
    <s v="More than 200% MBS Fee"/>
    <n v="52705192.420000002"/>
    <n v="13721771.08"/>
    <n v="15634867.43"/>
    <n v="166845"/>
  </r>
  <r>
    <x v="27"/>
    <x v="1"/>
    <s v="NSW"/>
    <s v="No gap agreement"/>
    <s v="Up to MBS Fee"/>
    <n v="26572134.260000002"/>
    <n v="19988958.870000001"/>
    <n v="6583175.3300000001"/>
    <n v="900788"/>
  </r>
  <r>
    <x v="27"/>
    <x v="1"/>
    <s v="NSW"/>
    <s v="No gap agreement"/>
    <s v="100% MBS Fee to 125% MBS Fee"/>
    <n v="56935369"/>
    <n v="36372279.159999996"/>
    <n v="20562894.649999999"/>
    <n v="456234"/>
  </r>
  <r>
    <x v="27"/>
    <x v="1"/>
    <s v="NSW"/>
    <s v="No gap agreement"/>
    <s v="More than 125% MBS Fee to 150% MBS Fee"/>
    <n v="112635951.14"/>
    <n v="61759232.289999999"/>
    <n v="50876661.149999999"/>
    <n v="610081"/>
  </r>
  <r>
    <x v="27"/>
    <x v="1"/>
    <s v="NSW"/>
    <s v="No gap agreement"/>
    <s v="More than 150% MBS Fee to 200% MBS Fee"/>
    <n v="110477524.04000001"/>
    <n v="50620815.009999998"/>
    <n v="59856634.659999996"/>
    <n v="628267"/>
  </r>
  <r>
    <x v="27"/>
    <x v="1"/>
    <s v="NSW"/>
    <s v="No gap agreement"/>
    <s v="More than 200% MBS Fee"/>
    <n v="6210040.2800000003"/>
    <n v="1849814.84"/>
    <n v="4360225.42"/>
    <n v="6371"/>
  </r>
  <r>
    <x v="27"/>
    <x v="1"/>
    <s v="VIC"/>
    <s v="No agreement"/>
    <s v="Up to MBS Fee"/>
    <n v="5887761.2300000004"/>
    <n v="4416831.29"/>
    <n v="1439777.64"/>
    <n v="117439"/>
  </r>
  <r>
    <x v="27"/>
    <x v="1"/>
    <s v="VIC"/>
    <s v="No agreement"/>
    <s v="100% MBS Fee to 125% MBS Fee"/>
    <n v="1251345.3"/>
    <n v="833947.7"/>
    <n v="281605.24"/>
    <n v="3023"/>
  </r>
  <r>
    <x v="27"/>
    <x v="1"/>
    <s v="VIC"/>
    <s v="No agreement"/>
    <s v="More than 125% MBS Fee to 150% MBS Fee"/>
    <n v="1679259.4"/>
    <n v="903148.05"/>
    <n v="304534.86"/>
    <n v="6696"/>
  </r>
  <r>
    <x v="27"/>
    <x v="1"/>
    <s v="VIC"/>
    <s v="No agreement"/>
    <s v="More than 150% MBS Fee to 200% MBS Fee"/>
    <n v="4028152.47"/>
    <n v="1758411.66"/>
    <n v="600731.84"/>
    <n v="13390"/>
  </r>
  <r>
    <x v="27"/>
    <x v="1"/>
    <s v="VIC"/>
    <s v="No agreement"/>
    <s v="More than 200% MBS Fee"/>
    <n v="35808597.07"/>
    <n v="7860961.8700000001"/>
    <n v="2650781.58"/>
    <n v="29257"/>
  </r>
  <r>
    <x v="27"/>
    <x v="1"/>
    <s v="VIC"/>
    <s v="Known gap agreement"/>
    <s v="100% MBS Fee to 125% MBS Fee"/>
    <n v="2915770.09"/>
    <n v="1897609.19"/>
    <n v="853383.95"/>
    <n v="14685"/>
  </r>
  <r>
    <x v="27"/>
    <x v="1"/>
    <s v="VIC"/>
    <s v="Known gap agreement"/>
    <s v="More than 125% MBS Fee to 150% MBS Fee"/>
    <n v="9125642.1799999997"/>
    <n v="4893299.54"/>
    <n v="3690268.26"/>
    <n v="27474"/>
  </r>
  <r>
    <x v="27"/>
    <x v="1"/>
    <s v="VIC"/>
    <s v="Known gap agreement"/>
    <s v="More than 150% MBS Fee to 200% MBS Fee"/>
    <n v="22426776"/>
    <n v="9665875.9800000004"/>
    <n v="9178217.0399999991"/>
    <n v="41888"/>
  </r>
  <r>
    <x v="27"/>
    <x v="1"/>
    <s v="VIC"/>
    <s v="Known gap agreement"/>
    <s v="More than 200% MBS Fee"/>
    <n v="50606867.920000002"/>
    <n v="13347030.99"/>
    <n v="14564800.82"/>
    <n v="174301"/>
  </r>
  <r>
    <x v="27"/>
    <x v="1"/>
    <s v="VIC"/>
    <s v="No gap agreement"/>
    <s v="Up to MBS Fee"/>
    <n v="19628599.57"/>
    <n v="14771686.699999999"/>
    <n v="4856947.24"/>
    <n v="253877"/>
  </r>
  <r>
    <x v="27"/>
    <x v="1"/>
    <s v="VIC"/>
    <s v="No gap agreement"/>
    <s v="100% MBS Fee to 125% MBS Fee"/>
    <n v="59428421.170000002"/>
    <n v="37975229.090000004"/>
    <n v="21452435.579999998"/>
    <n v="483014"/>
  </r>
  <r>
    <x v="27"/>
    <x v="1"/>
    <s v="VIC"/>
    <s v="No gap agreement"/>
    <s v="More than 125% MBS Fee to 150% MBS Fee"/>
    <n v="118271437.51000001"/>
    <n v="64972943.57"/>
    <n v="53298400.009999998"/>
    <n v="678570"/>
  </r>
  <r>
    <x v="27"/>
    <x v="1"/>
    <s v="VIC"/>
    <s v="No gap agreement"/>
    <s v="More than 150% MBS Fee to 200% MBS Fee"/>
    <n v="81177417.859999999"/>
    <n v="37372924.109999999"/>
    <n v="43804451.200000003"/>
    <n v="510807"/>
  </r>
  <r>
    <x v="27"/>
    <x v="1"/>
    <s v="VIC"/>
    <s v="No gap agreement"/>
    <s v="More than 200% MBS Fee"/>
    <n v="2931407.12"/>
    <n v="832814.67"/>
    <n v="2098592.4500000002"/>
    <n v="2591"/>
  </r>
  <r>
    <x v="27"/>
    <x v="1"/>
    <s v="QLD"/>
    <s v="No agreement"/>
    <s v="Up to MBS Fee"/>
    <n v="4129022.44"/>
    <n v="3062783.39"/>
    <n v="1010193.5"/>
    <n v="63301"/>
  </r>
  <r>
    <x v="27"/>
    <x v="1"/>
    <s v="QLD"/>
    <s v="No agreement"/>
    <s v="100% MBS Fee to 125% MBS Fee"/>
    <n v="1302447.81"/>
    <n v="860244.5"/>
    <n v="289122.40999999997"/>
    <n v="2819"/>
  </r>
  <r>
    <x v="27"/>
    <x v="1"/>
    <s v="QLD"/>
    <s v="No agreement"/>
    <s v="More than 125% MBS Fee to 150% MBS Fee"/>
    <n v="1339183.3899999999"/>
    <n v="729526.79"/>
    <n v="243882.48"/>
    <n v="3330"/>
  </r>
  <r>
    <x v="27"/>
    <x v="1"/>
    <s v="QLD"/>
    <s v="No agreement"/>
    <s v="More than 150% MBS Fee to 200% MBS Fee"/>
    <n v="4383588.0599999996"/>
    <n v="1891211.42"/>
    <n v="630848.32999999996"/>
    <n v="20395"/>
  </r>
  <r>
    <x v="27"/>
    <x v="1"/>
    <s v="QLD"/>
    <s v="No agreement"/>
    <s v="More than 200% MBS Fee"/>
    <n v="45451501.509999998"/>
    <n v="9852025.6600000001"/>
    <n v="3305327.77"/>
    <n v="40785"/>
  </r>
  <r>
    <x v="27"/>
    <x v="1"/>
    <s v="QLD"/>
    <s v="Known gap agreement"/>
    <s v="100% MBS Fee to 125% MBS Fee"/>
    <n v="1879262.3"/>
    <n v="1212142.22"/>
    <n v="554438.02"/>
    <n v="8920"/>
  </r>
  <r>
    <x v="27"/>
    <x v="1"/>
    <s v="QLD"/>
    <s v="Known gap agreement"/>
    <s v="More than 125% MBS Fee to 150% MBS Fee"/>
    <n v="5741522.1500000004"/>
    <n v="3064603.66"/>
    <n v="2300818.2799999998"/>
    <n v="21233"/>
  </r>
  <r>
    <x v="27"/>
    <x v="1"/>
    <s v="QLD"/>
    <s v="Known gap agreement"/>
    <s v="More than 150% MBS Fee to 200% MBS Fee"/>
    <n v="20994498.02"/>
    <n v="8941177.7599999998"/>
    <n v="8822102.0199999996"/>
    <n v="32759"/>
  </r>
  <r>
    <x v="27"/>
    <x v="1"/>
    <s v="QLD"/>
    <s v="Known gap agreement"/>
    <s v="More than 200% MBS Fee"/>
    <n v="48935989.840000004"/>
    <n v="12316225.710000001"/>
    <n v="13762230.85"/>
    <n v="121734"/>
  </r>
  <r>
    <x v="27"/>
    <x v="1"/>
    <s v="QLD"/>
    <s v="No gap agreement"/>
    <s v="Up to MBS Fee"/>
    <n v="17651440.399999999"/>
    <n v="13261630.77"/>
    <n v="4389804.83"/>
    <n v="292176"/>
  </r>
  <r>
    <x v="27"/>
    <x v="1"/>
    <s v="QLD"/>
    <s v="No gap agreement"/>
    <s v="100% MBS Fee to 125% MBS Fee"/>
    <n v="48902801.409999996"/>
    <n v="31232181.449999999"/>
    <n v="17670060.969999999"/>
    <n v="419399"/>
  </r>
  <r>
    <x v="27"/>
    <x v="1"/>
    <s v="QLD"/>
    <s v="No gap agreement"/>
    <s v="More than 125% MBS Fee to 150% MBS Fee"/>
    <n v="80190618.420000002"/>
    <n v="44434646.170000002"/>
    <n v="35755909.759999998"/>
    <n v="625006"/>
  </r>
  <r>
    <x v="27"/>
    <x v="1"/>
    <s v="QLD"/>
    <s v="No gap agreement"/>
    <s v="More than 150% MBS Fee to 200% MBS Fee"/>
    <n v="68414362.950000003"/>
    <n v="31403687.109999999"/>
    <n v="37009469.18"/>
    <n v="469134"/>
  </r>
  <r>
    <x v="27"/>
    <x v="1"/>
    <s v="QLD"/>
    <s v="No gap agreement"/>
    <s v="More than 200% MBS Fee"/>
    <n v="4015761.72"/>
    <n v="1178257.98"/>
    <n v="2837499.71"/>
    <n v="5254"/>
  </r>
  <r>
    <x v="27"/>
    <x v="1"/>
    <s v="SA"/>
    <s v="No agreement"/>
    <s v="Up to MBS Fee"/>
    <n v="1735044.05"/>
    <n v="1295878.29"/>
    <n v="429662.24"/>
    <n v="9216"/>
  </r>
  <r>
    <x v="27"/>
    <x v="1"/>
    <s v="SA"/>
    <s v="No agreement"/>
    <s v="100% MBS Fee to 125% MBS Fee"/>
    <n v="424755.94"/>
    <n v="283899.05"/>
    <n v="94963.46"/>
    <n v="655"/>
  </r>
  <r>
    <x v="27"/>
    <x v="1"/>
    <s v="SA"/>
    <s v="No agreement"/>
    <s v="More than 125% MBS Fee to 150% MBS Fee"/>
    <n v="207107.39"/>
    <n v="111829.3"/>
    <n v="37829.72"/>
    <n v="364"/>
  </r>
  <r>
    <x v="27"/>
    <x v="1"/>
    <s v="SA"/>
    <s v="No agreement"/>
    <s v="More than 150% MBS Fee to 200% MBS Fee"/>
    <n v="499005.72"/>
    <n v="214385.6"/>
    <n v="72497.570000000007"/>
    <n v="1164"/>
  </r>
  <r>
    <x v="27"/>
    <x v="1"/>
    <s v="SA"/>
    <s v="No agreement"/>
    <s v="More than 200% MBS Fee"/>
    <n v="5378919.6500000004"/>
    <n v="1106619.49"/>
    <n v="374279.96"/>
    <n v="3584"/>
  </r>
  <r>
    <x v="27"/>
    <x v="1"/>
    <s v="SA"/>
    <s v="Known gap agreement"/>
    <s v="100% MBS Fee to 125% MBS Fee"/>
    <n v="568406.31000000006"/>
    <n v="355842.8"/>
    <n v="166872.89000000001"/>
    <n v="3353"/>
  </r>
  <r>
    <x v="27"/>
    <x v="1"/>
    <s v="SA"/>
    <s v="Known gap agreement"/>
    <s v="More than 125% MBS Fee to 150% MBS Fee"/>
    <n v="2548673.9500000002"/>
    <n v="1357357.25"/>
    <n v="1073185.75"/>
    <n v="8215"/>
  </r>
  <r>
    <x v="27"/>
    <x v="1"/>
    <s v="SA"/>
    <s v="Known gap agreement"/>
    <s v="More than 150% MBS Fee to 200% MBS Fee"/>
    <n v="11673437.970000001"/>
    <n v="4979529.17"/>
    <n v="5058211.18"/>
    <n v="16909"/>
  </r>
  <r>
    <x v="27"/>
    <x v="1"/>
    <s v="SA"/>
    <s v="Known gap agreement"/>
    <s v="More than 200% MBS Fee"/>
    <n v="13843101.880000001"/>
    <n v="3867032.39"/>
    <n v="4380454.5199999996"/>
    <n v="47954"/>
  </r>
  <r>
    <x v="27"/>
    <x v="1"/>
    <s v="SA"/>
    <s v="No gap agreement"/>
    <s v="Up to MBS Fee"/>
    <n v="8470013.5899999999"/>
    <n v="6358661.9900000002"/>
    <n v="2111351.6"/>
    <n v="191487"/>
  </r>
  <r>
    <x v="27"/>
    <x v="1"/>
    <s v="SA"/>
    <s v="No gap agreement"/>
    <s v="100% MBS Fee to 125% MBS Fee"/>
    <n v="15334644.43"/>
    <n v="9655941.6699999999"/>
    <n v="5678578.9199999999"/>
    <n v="119675"/>
  </r>
  <r>
    <x v="27"/>
    <x v="1"/>
    <s v="SA"/>
    <s v="No gap agreement"/>
    <s v="More than 125% MBS Fee to 150% MBS Fee"/>
    <n v="31462682.059999999"/>
    <n v="17060843.25"/>
    <n v="14401819.09"/>
    <n v="194224"/>
  </r>
  <r>
    <x v="27"/>
    <x v="1"/>
    <s v="SA"/>
    <s v="No gap agreement"/>
    <s v="More than 150% MBS Fee to 200% MBS Fee"/>
    <n v="30204050.190000001"/>
    <n v="13988114"/>
    <n v="16215901.49"/>
    <n v="146801"/>
  </r>
  <r>
    <x v="27"/>
    <x v="1"/>
    <s v="SA"/>
    <s v="No gap agreement"/>
    <s v="More than 200% MBS Fee"/>
    <n v="969838.66"/>
    <n v="275905.14"/>
    <n v="693933.52"/>
    <n v="860"/>
  </r>
  <r>
    <x v="27"/>
    <x v="1"/>
    <s v="WA"/>
    <s v="No agreement"/>
    <s v="Up to MBS Fee"/>
    <n v="1755659.47"/>
    <n v="1310537.42"/>
    <n v="431455.29"/>
    <n v="26191"/>
  </r>
  <r>
    <x v="27"/>
    <x v="1"/>
    <s v="WA"/>
    <s v="No agreement"/>
    <s v="100% MBS Fee to 125% MBS Fee"/>
    <n v="341698.15"/>
    <n v="228702.56"/>
    <n v="76810.64"/>
    <n v="883"/>
  </r>
  <r>
    <x v="27"/>
    <x v="1"/>
    <s v="WA"/>
    <s v="No agreement"/>
    <s v="More than 125% MBS Fee to 150% MBS Fee"/>
    <n v="565487.35"/>
    <n v="310267.52000000002"/>
    <n v="103877.75"/>
    <n v="1288"/>
  </r>
  <r>
    <x v="27"/>
    <x v="1"/>
    <s v="WA"/>
    <s v="No agreement"/>
    <s v="More than 150% MBS Fee to 200% MBS Fee"/>
    <n v="1556924.75"/>
    <n v="677091.85"/>
    <n v="227509.12"/>
    <n v="8319"/>
  </r>
  <r>
    <x v="27"/>
    <x v="1"/>
    <s v="WA"/>
    <s v="No agreement"/>
    <s v="More than 200% MBS Fee"/>
    <n v="9043741.1799999997"/>
    <n v="1790332.45"/>
    <n v="613161.06000000006"/>
    <n v="9056"/>
  </r>
  <r>
    <x v="27"/>
    <x v="1"/>
    <s v="WA"/>
    <s v="Known gap agreement"/>
    <s v="100% MBS Fee to 125% MBS Fee"/>
    <n v="697641.97"/>
    <n v="453541.2"/>
    <n v="216498.47"/>
    <n v="3326"/>
  </r>
  <r>
    <x v="27"/>
    <x v="1"/>
    <s v="WA"/>
    <s v="Known gap agreement"/>
    <s v="More than 125% MBS Fee to 150% MBS Fee"/>
    <n v="2989289.8"/>
    <n v="1599997.63"/>
    <n v="1189772.6000000001"/>
    <n v="22381"/>
  </r>
  <r>
    <x v="27"/>
    <x v="1"/>
    <s v="WA"/>
    <s v="Known gap agreement"/>
    <s v="More than 150% MBS Fee to 200% MBS Fee"/>
    <n v="9381111.6899999995"/>
    <n v="4115484.28"/>
    <n v="3766573.78"/>
    <n v="15256"/>
  </r>
  <r>
    <x v="27"/>
    <x v="1"/>
    <s v="WA"/>
    <s v="Known gap agreement"/>
    <s v="More than 200% MBS Fee"/>
    <n v="19513237.920000002"/>
    <n v="4811825.99"/>
    <n v="3564408.48"/>
    <n v="47834"/>
  </r>
  <r>
    <x v="27"/>
    <x v="1"/>
    <s v="WA"/>
    <s v="No gap agreement"/>
    <s v="Up to MBS Fee"/>
    <n v="10605775.6"/>
    <n v="7970247.6399999997"/>
    <n v="2635643.91"/>
    <n v="187353"/>
  </r>
  <r>
    <x v="27"/>
    <x v="1"/>
    <s v="WA"/>
    <s v="No gap agreement"/>
    <s v="100% MBS Fee to 125% MBS Fee"/>
    <n v="11142030.720000001"/>
    <n v="7245609.0700000003"/>
    <n v="3896224.39"/>
    <n v="74550"/>
  </r>
  <r>
    <x v="27"/>
    <x v="1"/>
    <s v="WA"/>
    <s v="No gap agreement"/>
    <s v="More than 125% MBS Fee to 150% MBS Fee"/>
    <n v="50825082.68"/>
    <n v="27910874.510000002"/>
    <n v="22914142.280000001"/>
    <n v="329880"/>
  </r>
  <r>
    <x v="27"/>
    <x v="1"/>
    <s v="WA"/>
    <s v="No gap agreement"/>
    <s v="More than 150% MBS Fee to 200% MBS Fee"/>
    <n v="53564648.880000003"/>
    <n v="23925699.440000001"/>
    <n v="29638911.66"/>
    <n v="240993"/>
  </r>
  <r>
    <x v="27"/>
    <x v="1"/>
    <s v="WA"/>
    <s v="No gap agreement"/>
    <s v="More than 200% MBS Fee"/>
    <n v="2115163.98"/>
    <n v="561582.74"/>
    <n v="1553581.24"/>
    <n v="1503"/>
  </r>
  <r>
    <x v="27"/>
    <x v="1"/>
    <s v="TAS"/>
    <s v="No agreement"/>
    <s v="Up to MBS Fee"/>
    <n v="337084.92"/>
    <n v="252979.66"/>
    <n v="84083"/>
    <n v="3854"/>
  </r>
  <r>
    <x v="27"/>
    <x v="1"/>
    <s v="TAS"/>
    <s v="No agreement"/>
    <s v="100% MBS Fee to 125% MBS Fee"/>
    <n v="86542.89"/>
    <n v="56302.02"/>
    <n v="18784.169999999998"/>
    <n v="209"/>
  </r>
  <r>
    <x v="27"/>
    <x v="1"/>
    <s v="TAS"/>
    <s v="No agreement"/>
    <s v="More than 125% MBS Fee to 150% MBS Fee"/>
    <n v="60703.77"/>
    <n v="32967.26"/>
    <n v="11212.28"/>
    <n v="240"/>
  </r>
  <r>
    <x v="27"/>
    <x v="1"/>
    <s v="TAS"/>
    <s v="No agreement"/>
    <s v="More than 150% MBS Fee to 200% MBS Fee"/>
    <n v="209995.46"/>
    <n v="90257.45"/>
    <n v="30115.71"/>
    <n v="368"/>
  </r>
  <r>
    <x v="27"/>
    <x v="1"/>
    <s v="TAS"/>
    <s v="No agreement"/>
    <s v="More than 200% MBS Fee"/>
    <n v="2229009.77"/>
    <n v="483636.39"/>
    <n v="162073.44"/>
    <n v="1546"/>
  </r>
  <r>
    <x v="27"/>
    <x v="1"/>
    <s v="TAS"/>
    <s v="Known gap agreement"/>
    <s v="100% MBS Fee to 125% MBS Fee"/>
    <n v="223884.22"/>
    <n v="144760.51999999999"/>
    <n v="72389.320000000007"/>
    <n v="1416"/>
  </r>
  <r>
    <x v="27"/>
    <x v="1"/>
    <s v="TAS"/>
    <s v="Known gap agreement"/>
    <s v="More than 125% MBS Fee to 150% MBS Fee"/>
    <n v="582978.11"/>
    <n v="314791.92"/>
    <n v="245319.32"/>
    <n v="2610"/>
  </r>
  <r>
    <x v="27"/>
    <x v="1"/>
    <s v="TAS"/>
    <s v="Known gap agreement"/>
    <s v="More than 150% MBS Fee to 200% MBS Fee"/>
    <n v="2715223.4"/>
    <n v="1164369.04"/>
    <n v="1198053.48"/>
    <n v="3273"/>
  </r>
  <r>
    <x v="27"/>
    <x v="1"/>
    <s v="TAS"/>
    <s v="Known gap agreement"/>
    <s v="More than 200% MBS Fee"/>
    <n v="3436479.13"/>
    <n v="889943"/>
    <n v="1012814.4"/>
    <n v="7351"/>
  </r>
  <r>
    <x v="27"/>
    <x v="1"/>
    <s v="TAS"/>
    <s v="No gap agreement"/>
    <s v="Up to MBS Fee"/>
    <n v="1840302.05"/>
    <n v="1383258.32"/>
    <n v="457033.93"/>
    <n v="24340"/>
  </r>
  <r>
    <x v="27"/>
    <x v="1"/>
    <s v="TAS"/>
    <s v="No gap agreement"/>
    <s v="100% MBS Fee to 125% MBS Fee"/>
    <n v="2990236.87"/>
    <n v="1888516.92"/>
    <n v="1101695.3"/>
    <n v="20464"/>
  </r>
  <r>
    <x v="27"/>
    <x v="1"/>
    <s v="TAS"/>
    <s v="No gap agreement"/>
    <s v="More than 125% MBS Fee to 150% MBS Fee"/>
    <n v="9539470.0500000007"/>
    <n v="5196102.32"/>
    <n v="4343365.83"/>
    <n v="56089"/>
  </r>
  <r>
    <x v="27"/>
    <x v="1"/>
    <s v="TAS"/>
    <s v="No gap agreement"/>
    <s v="More than 150% MBS Fee to 200% MBS Fee"/>
    <n v="10872838.880000001"/>
    <n v="5012356.91"/>
    <n v="5860474.8700000001"/>
    <n v="54173"/>
  </r>
  <r>
    <x v="27"/>
    <x v="1"/>
    <s v="TAS"/>
    <s v="No gap agreement"/>
    <s v="More than 200% MBS Fee"/>
    <n v="349908.01"/>
    <n v="99008.58"/>
    <n v="250899.43"/>
    <n v="248"/>
  </r>
  <r>
    <x v="27"/>
    <x v="1"/>
    <s v="ACT"/>
    <s v="No agreement"/>
    <s v="Up to MBS Fee"/>
    <n v="361276.75"/>
    <n v="260271.25"/>
    <n v="85333.49"/>
    <n v="2447"/>
  </r>
  <r>
    <x v="27"/>
    <x v="1"/>
    <s v="ACT"/>
    <s v="No agreement"/>
    <s v="100% MBS Fee to 125% MBS Fee"/>
    <n v="74965.45"/>
    <n v="49855.16"/>
    <n v="16790.349999999999"/>
    <n v="213"/>
  </r>
  <r>
    <x v="27"/>
    <x v="1"/>
    <s v="ACT"/>
    <s v="No agreement"/>
    <s v="More than 125% MBS Fee to 150% MBS Fee"/>
    <n v="96763.03"/>
    <n v="51854.43"/>
    <n v="17627.07"/>
    <n v="190"/>
  </r>
  <r>
    <x v="27"/>
    <x v="1"/>
    <s v="ACT"/>
    <s v="No agreement"/>
    <s v="More than 150% MBS Fee to 200% MBS Fee"/>
    <n v="509654.86"/>
    <n v="214181.93"/>
    <n v="71264.77"/>
    <n v="1778"/>
  </r>
  <r>
    <x v="27"/>
    <x v="1"/>
    <s v="ACT"/>
    <s v="No agreement"/>
    <s v="More than 200% MBS Fee"/>
    <n v="8782763.1500000004"/>
    <n v="1888370.35"/>
    <n v="630748.82999999996"/>
    <n v="7431"/>
  </r>
  <r>
    <x v="27"/>
    <x v="1"/>
    <s v="ACT"/>
    <s v="Known gap agreement"/>
    <s v="100% MBS Fee to 125% MBS Fee"/>
    <n v="96644.53"/>
    <n v="63679.1"/>
    <n v="28466.5"/>
    <n v="395"/>
  </r>
  <r>
    <x v="27"/>
    <x v="1"/>
    <s v="ACT"/>
    <s v="Known gap agreement"/>
    <s v="More than 125% MBS Fee to 150% MBS Fee"/>
    <n v="187462.94"/>
    <n v="99791.4"/>
    <n v="79185.17"/>
    <n v="479"/>
  </r>
  <r>
    <x v="27"/>
    <x v="1"/>
    <s v="ACT"/>
    <s v="Known gap agreement"/>
    <s v="More than 150% MBS Fee to 200% MBS Fee"/>
    <n v="718374.76"/>
    <n v="308047.06"/>
    <n v="308813.71000000002"/>
    <n v="1358"/>
  </r>
  <r>
    <x v="27"/>
    <x v="1"/>
    <s v="ACT"/>
    <s v="Known gap agreement"/>
    <s v="More than 200% MBS Fee"/>
    <n v="4336965.5199999996"/>
    <n v="1157519.1599999999"/>
    <n v="1180432.24"/>
    <n v="14866"/>
  </r>
  <r>
    <x v="27"/>
    <x v="1"/>
    <s v="ACT"/>
    <s v="No gap agreement"/>
    <s v="Up to MBS Fee"/>
    <n v="458207.36"/>
    <n v="345066.21"/>
    <n v="113141.15"/>
    <n v="9866"/>
  </r>
  <r>
    <x v="27"/>
    <x v="1"/>
    <s v="ACT"/>
    <s v="No gap agreement"/>
    <s v="100% MBS Fee to 125% MBS Fee"/>
    <n v="1898611.14"/>
    <n v="1215923.8500000001"/>
    <n v="682683.99"/>
    <n v="16990"/>
  </r>
  <r>
    <x v="27"/>
    <x v="1"/>
    <s v="ACT"/>
    <s v="No gap agreement"/>
    <s v="More than 125% MBS Fee to 150% MBS Fee"/>
    <n v="4608114.72"/>
    <n v="2550506.4"/>
    <n v="2057600.84"/>
    <n v="38486"/>
  </r>
  <r>
    <x v="27"/>
    <x v="1"/>
    <s v="ACT"/>
    <s v="No gap agreement"/>
    <s v="More than 150% MBS Fee to 200% MBS Fee"/>
    <n v="3283521.45"/>
    <n v="1511654.15"/>
    <n v="1771852.24"/>
    <n v="17387"/>
  </r>
  <r>
    <x v="27"/>
    <x v="1"/>
    <s v="ACT"/>
    <s v="No gap agreement"/>
    <s v="More than 200% MBS Fee"/>
    <n v="200534.65"/>
    <n v="60863.6"/>
    <n v="139671.04999999999"/>
    <n v="241"/>
  </r>
  <r>
    <x v="27"/>
    <x v="1"/>
    <s v="NT"/>
    <s v="No agreement"/>
    <s v="Up to MBS Fee"/>
    <n v="236171.43"/>
    <n v="176027.33"/>
    <n v="58475.35"/>
    <n v="1487"/>
  </r>
  <r>
    <x v="27"/>
    <x v="1"/>
    <s v="NT"/>
    <s v="No agreement"/>
    <s v="100% MBS Fee to 125% MBS Fee"/>
    <n v="28404.15"/>
    <n v="19401.8"/>
    <n v="6658.2"/>
    <n v="59"/>
  </r>
  <r>
    <x v="27"/>
    <x v="1"/>
    <s v="NT"/>
    <s v="No agreement"/>
    <s v="More than 125% MBS Fee to 150% MBS Fee"/>
    <n v="22965.05"/>
    <n v="12691.02"/>
    <n v="4049.55"/>
    <n v="48"/>
  </r>
  <r>
    <x v="27"/>
    <x v="1"/>
    <s v="NT"/>
    <s v="No agreement"/>
    <s v="More than 150% MBS Fee to 200% MBS Fee"/>
    <n v="59578.37"/>
    <n v="25698.26"/>
    <n v="8536.2999999999993"/>
    <n v="153"/>
  </r>
  <r>
    <x v="27"/>
    <x v="1"/>
    <s v="NT"/>
    <s v="No agreement"/>
    <s v="More than 200% MBS Fee"/>
    <n v="1454951.19"/>
    <n v="321704.40000000002"/>
    <n v="107229.55"/>
    <n v="907"/>
  </r>
  <r>
    <x v="27"/>
    <x v="1"/>
    <s v="NT"/>
    <s v="Known gap agreement"/>
    <s v="100% MBS Fee to 125% MBS Fee"/>
    <n v="31771.24"/>
    <n v="20256.39"/>
    <n v="9414.5499999999993"/>
    <n v="121"/>
  </r>
  <r>
    <x v="27"/>
    <x v="1"/>
    <s v="NT"/>
    <s v="Known gap agreement"/>
    <s v="More than 125% MBS Fee to 150% MBS Fee"/>
    <n v="105961.75"/>
    <n v="56322.16"/>
    <n v="44841.86"/>
    <n v="408"/>
  </r>
  <r>
    <x v="27"/>
    <x v="1"/>
    <s v="NT"/>
    <s v="Known gap agreement"/>
    <s v="More than 150% MBS Fee to 200% MBS Fee"/>
    <n v="291121.65000000002"/>
    <n v="126200.31"/>
    <n v="128337.11"/>
    <n v="462"/>
  </r>
  <r>
    <x v="27"/>
    <x v="1"/>
    <s v="NT"/>
    <s v="Known gap agreement"/>
    <s v="More than 200% MBS Fee"/>
    <n v="521493.2"/>
    <n v="141317.91"/>
    <n v="156729.81"/>
    <n v="1707"/>
  </r>
  <r>
    <x v="27"/>
    <x v="1"/>
    <s v="NT"/>
    <s v="No gap agreement"/>
    <s v="Up to MBS Fee"/>
    <n v="326704.68"/>
    <n v="245188.55"/>
    <n v="81516.13"/>
    <n v="4314"/>
  </r>
  <r>
    <x v="27"/>
    <x v="1"/>
    <s v="NT"/>
    <s v="No gap agreement"/>
    <s v="100% MBS Fee to 125% MBS Fee"/>
    <n v="554349.28"/>
    <n v="352298"/>
    <n v="202014.07999999999"/>
    <n v="3715"/>
  </r>
  <r>
    <x v="27"/>
    <x v="1"/>
    <s v="NT"/>
    <s v="No gap agreement"/>
    <s v="More than 125% MBS Fee to 150% MBS Fee"/>
    <n v="1535170.83"/>
    <n v="833651.8"/>
    <n v="701516.04"/>
    <n v="6631"/>
  </r>
  <r>
    <x v="27"/>
    <x v="1"/>
    <s v="NT"/>
    <s v="No gap agreement"/>
    <s v="More than 150% MBS Fee to 200% MBS Fee"/>
    <n v="1682819.13"/>
    <n v="775495.34"/>
    <n v="907310.16"/>
    <n v="9711"/>
  </r>
  <r>
    <x v="27"/>
    <x v="1"/>
    <s v="NT"/>
    <s v="No gap agreement"/>
    <s v="More than 200% MBS Fee"/>
    <n v="65153.59"/>
    <n v="21198.66"/>
    <n v="43954.93"/>
    <n v="83"/>
  </r>
  <r>
    <x v="28"/>
    <x v="0"/>
    <s v="NSW"/>
    <s v="No agreement"/>
    <s v="Up to MBS Fee"/>
    <n v="35956277.990000002"/>
    <n v="27086827.170000002"/>
    <n v="8850613.0600000005"/>
    <n v="273716"/>
  </r>
  <r>
    <x v="28"/>
    <x v="0"/>
    <s v="NSW"/>
    <s v="No agreement"/>
    <s v="100% MBS Fee to 125% MBS Fee"/>
    <n v="3275451.56"/>
    <n v="2205899.71"/>
    <n v="749053.47"/>
    <n v="10975"/>
  </r>
  <r>
    <x v="28"/>
    <x v="0"/>
    <s v="NSW"/>
    <s v="No agreement"/>
    <s v="More than 125% MBS Fee to 150% MBS Fee"/>
    <n v="2401364.63"/>
    <n v="1292593.21"/>
    <n v="438717.48"/>
    <n v="5523"/>
  </r>
  <r>
    <x v="28"/>
    <x v="0"/>
    <s v="NSW"/>
    <s v="No agreement"/>
    <s v="More than 150% MBS Fee to 200% MBS Fee"/>
    <n v="8094524.2199999997"/>
    <n v="3453064.42"/>
    <n v="1206267.54"/>
    <n v="18341"/>
  </r>
  <r>
    <x v="28"/>
    <x v="0"/>
    <s v="NSW"/>
    <s v="No agreement"/>
    <s v="More than 200% MBS Fee"/>
    <n v="122231056.66"/>
    <n v="26951293.670000002"/>
    <n v="9084675.1799999997"/>
    <n v="96988"/>
  </r>
  <r>
    <x v="28"/>
    <x v="0"/>
    <s v="NSW"/>
    <s v="Known gap agreement"/>
    <s v="100% MBS Fee to 125% MBS Fee"/>
    <n v="2917919.43"/>
    <n v="1888244.92"/>
    <n v="859659.88"/>
    <n v="12388"/>
  </r>
  <r>
    <x v="28"/>
    <x v="0"/>
    <s v="NSW"/>
    <s v="Known gap agreement"/>
    <s v="More than 125% MBS Fee to 150% MBS Fee"/>
    <n v="7121602.0899999999"/>
    <n v="3795986.83"/>
    <n v="2967186.33"/>
    <n v="19822"/>
  </r>
  <r>
    <x v="28"/>
    <x v="0"/>
    <s v="NSW"/>
    <s v="Known gap agreement"/>
    <s v="More than 150% MBS Fee to 200% MBS Fee"/>
    <n v="22086362.41"/>
    <n v="9521030.1999999993"/>
    <n v="9492118.6600000001"/>
    <n v="35587"/>
  </r>
  <r>
    <x v="28"/>
    <x v="0"/>
    <s v="NSW"/>
    <s v="Known gap agreement"/>
    <s v="More than 200% MBS Fee"/>
    <n v="57183759.479999997"/>
    <n v="14821424.24"/>
    <n v="16558338.16"/>
    <n v="181636"/>
  </r>
  <r>
    <x v="28"/>
    <x v="0"/>
    <s v="NSW"/>
    <s v="No gap agreement"/>
    <s v="Up to MBS Fee"/>
    <n v="30250936.920000002"/>
    <n v="22835875.219999999"/>
    <n v="7415090.5499999998"/>
    <n v="1023944"/>
  </r>
  <r>
    <x v="28"/>
    <x v="0"/>
    <s v="NSW"/>
    <s v="No gap agreement"/>
    <s v="100% MBS Fee to 125% MBS Fee"/>
    <n v="61518881.549999997"/>
    <n v="39300794.189999998"/>
    <n v="22217568.140000001"/>
    <n v="472159"/>
  </r>
  <r>
    <x v="28"/>
    <x v="0"/>
    <s v="NSW"/>
    <s v="No gap agreement"/>
    <s v="More than 125% MBS Fee to 150% MBS Fee"/>
    <n v="121362436.84999999"/>
    <n v="66540487.240000002"/>
    <n v="54821804.490000002"/>
    <n v="638636"/>
  </r>
  <r>
    <x v="28"/>
    <x v="0"/>
    <s v="NSW"/>
    <s v="No gap agreement"/>
    <s v="More than 150% MBS Fee to 200% MBS Fee"/>
    <n v="118975381.43000001"/>
    <n v="54676384.700000003"/>
    <n v="64298744.479999997"/>
    <n v="662552"/>
  </r>
  <r>
    <x v="28"/>
    <x v="0"/>
    <s v="NSW"/>
    <s v="No gap agreement"/>
    <s v="More than 200% MBS Fee"/>
    <n v="6407389.2999999998"/>
    <n v="1909089.47"/>
    <n v="4498298.2300000004"/>
    <n v="5560"/>
  </r>
  <r>
    <x v="28"/>
    <x v="0"/>
    <s v="VIC"/>
    <s v="No agreement"/>
    <s v="Up to MBS Fee"/>
    <n v="6568904.1900000004"/>
    <n v="5081961.1900000004"/>
    <n v="1478332.71"/>
    <n v="113358"/>
  </r>
  <r>
    <x v="28"/>
    <x v="0"/>
    <s v="VIC"/>
    <s v="No agreement"/>
    <s v="100% MBS Fee to 125% MBS Fee"/>
    <n v="1055764.79"/>
    <n v="707141.17"/>
    <n v="233766"/>
    <n v="3081"/>
  </r>
  <r>
    <x v="28"/>
    <x v="0"/>
    <s v="VIC"/>
    <s v="No agreement"/>
    <s v="More than 125% MBS Fee to 150% MBS Fee"/>
    <n v="1715089.94"/>
    <n v="920809.32"/>
    <n v="308577.67"/>
    <n v="6513"/>
  </r>
  <r>
    <x v="28"/>
    <x v="0"/>
    <s v="VIC"/>
    <s v="No agreement"/>
    <s v="More than 150% MBS Fee to 200% MBS Fee"/>
    <n v="4814286.29"/>
    <n v="2105768.9500000002"/>
    <n v="699868.69"/>
    <n v="13106"/>
  </r>
  <r>
    <x v="28"/>
    <x v="0"/>
    <s v="VIC"/>
    <s v="No agreement"/>
    <s v="More than 200% MBS Fee"/>
    <n v="49177560.32"/>
    <n v="10698705.970000001"/>
    <n v="3575581.03"/>
    <n v="37241"/>
  </r>
  <r>
    <x v="28"/>
    <x v="0"/>
    <s v="VIC"/>
    <s v="Known gap agreement"/>
    <s v="100% MBS Fee to 125% MBS Fee"/>
    <n v="2656325.2200000002"/>
    <n v="1703760.83"/>
    <n v="760719.95"/>
    <n v="14066"/>
  </r>
  <r>
    <x v="28"/>
    <x v="0"/>
    <s v="VIC"/>
    <s v="Known gap agreement"/>
    <s v="More than 125% MBS Fee to 150% MBS Fee"/>
    <n v="8430922.5600000005"/>
    <n v="4519528.84"/>
    <n v="3314486.96"/>
    <n v="24889"/>
  </r>
  <r>
    <x v="28"/>
    <x v="0"/>
    <s v="VIC"/>
    <s v="Known gap agreement"/>
    <s v="More than 150% MBS Fee to 200% MBS Fee"/>
    <n v="24006938.219999999"/>
    <n v="10305084.289999999"/>
    <n v="9672627.3900000006"/>
    <n v="38034"/>
  </r>
  <r>
    <x v="28"/>
    <x v="0"/>
    <s v="VIC"/>
    <s v="Known gap agreement"/>
    <s v="More than 200% MBS Fee"/>
    <n v="61031190.329999998"/>
    <n v="15907719.98"/>
    <n v="17021314.43"/>
    <n v="200034"/>
  </r>
  <r>
    <x v="28"/>
    <x v="0"/>
    <s v="VIC"/>
    <s v="No gap agreement"/>
    <s v="Up to MBS Fee"/>
    <n v="21832406.030000001"/>
    <n v="16467114.220000001"/>
    <n v="5365350.9000000004"/>
    <n v="342251"/>
  </r>
  <r>
    <x v="28"/>
    <x v="0"/>
    <s v="VIC"/>
    <s v="No gap agreement"/>
    <s v="100% MBS Fee to 125% MBS Fee"/>
    <n v="66011844.909999996"/>
    <n v="42117397.149999999"/>
    <n v="23893994.989999998"/>
    <n v="507099"/>
  </r>
  <r>
    <x v="28"/>
    <x v="0"/>
    <s v="VIC"/>
    <s v="No gap agreement"/>
    <s v="More than 125% MBS Fee to 150% MBS Fee"/>
    <n v="124596134.95999999"/>
    <n v="68445458.219999999"/>
    <n v="56150297.770000003"/>
    <n v="701279"/>
  </r>
  <r>
    <x v="28"/>
    <x v="0"/>
    <s v="VIC"/>
    <s v="No gap agreement"/>
    <s v="More than 150% MBS Fee to 200% MBS Fee"/>
    <n v="81968501.109999999"/>
    <n v="37855916.780000001"/>
    <n v="44112339.170000002"/>
    <n v="514816"/>
  </r>
  <r>
    <x v="28"/>
    <x v="0"/>
    <s v="VIC"/>
    <s v="No gap agreement"/>
    <s v="More than 200% MBS Fee"/>
    <n v="2997971.08"/>
    <n v="844599.83"/>
    <n v="2153370.75"/>
    <n v="2818"/>
  </r>
  <r>
    <x v="28"/>
    <x v="0"/>
    <s v="QLD"/>
    <s v="No agreement"/>
    <s v="Up to MBS Fee"/>
    <n v="3976590.18"/>
    <n v="3031729.1"/>
    <n v="905463.4"/>
    <n v="57864"/>
  </r>
  <r>
    <x v="28"/>
    <x v="0"/>
    <s v="QLD"/>
    <s v="No agreement"/>
    <s v="100% MBS Fee to 125% MBS Fee"/>
    <n v="1290077.3400000001"/>
    <n v="854432.61"/>
    <n v="281812.39"/>
    <n v="2662"/>
  </r>
  <r>
    <x v="28"/>
    <x v="0"/>
    <s v="QLD"/>
    <s v="No agreement"/>
    <s v="More than 125% MBS Fee to 150% MBS Fee"/>
    <n v="1506302.48"/>
    <n v="820173.51"/>
    <n v="265469.61"/>
    <n v="2742"/>
  </r>
  <r>
    <x v="28"/>
    <x v="0"/>
    <s v="QLD"/>
    <s v="No agreement"/>
    <s v="More than 150% MBS Fee to 200% MBS Fee"/>
    <n v="5173657.28"/>
    <n v="2240113.61"/>
    <n v="744748.02"/>
    <n v="19700"/>
  </r>
  <r>
    <x v="28"/>
    <x v="0"/>
    <s v="QLD"/>
    <s v="No agreement"/>
    <s v="More than 200% MBS Fee"/>
    <n v="60933965.649999999"/>
    <n v="13093589.16"/>
    <n v="4364043.1399999997"/>
    <n v="48276"/>
  </r>
  <r>
    <x v="28"/>
    <x v="0"/>
    <s v="QLD"/>
    <s v="Known gap agreement"/>
    <s v="100% MBS Fee to 125% MBS Fee"/>
    <n v="1731276.06"/>
    <n v="1104985.68"/>
    <n v="493634.36"/>
    <n v="8059"/>
  </r>
  <r>
    <x v="28"/>
    <x v="0"/>
    <s v="QLD"/>
    <s v="Known gap agreement"/>
    <s v="More than 125% MBS Fee to 150% MBS Fee"/>
    <n v="5579800.0499999998"/>
    <n v="2978252.64"/>
    <n v="2201278.36"/>
    <n v="20131"/>
  </r>
  <r>
    <x v="28"/>
    <x v="0"/>
    <s v="QLD"/>
    <s v="Known gap agreement"/>
    <s v="More than 150% MBS Fee to 200% MBS Fee"/>
    <n v="23852436.449999999"/>
    <n v="10098520.880000001"/>
    <n v="9846586.3599999994"/>
    <n v="35183"/>
  </r>
  <r>
    <x v="28"/>
    <x v="0"/>
    <s v="QLD"/>
    <s v="Known gap agreement"/>
    <s v="More than 200% MBS Fee"/>
    <n v="56405022.479999997"/>
    <n v="14028599.880000001"/>
    <n v="15400078.51"/>
    <n v="144571"/>
  </r>
  <r>
    <x v="28"/>
    <x v="0"/>
    <s v="QLD"/>
    <s v="No gap agreement"/>
    <s v="Up to MBS Fee"/>
    <n v="16326440.960000001"/>
    <n v="12283238.140000001"/>
    <n v="4043551.18"/>
    <n v="201287"/>
  </r>
  <r>
    <x v="28"/>
    <x v="0"/>
    <s v="QLD"/>
    <s v="No gap agreement"/>
    <s v="100% MBS Fee to 125% MBS Fee"/>
    <n v="50268119.469999999"/>
    <n v="32083425.129999999"/>
    <n v="18184035.82"/>
    <n v="400824"/>
  </r>
  <r>
    <x v="28"/>
    <x v="0"/>
    <s v="QLD"/>
    <s v="No gap agreement"/>
    <s v="More than 125% MBS Fee to 150% MBS Fee"/>
    <n v="85777982.109999999"/>
    <n v="47434897.020000003"/>
    <n v="38342665.789999999"/>
    <n v="636698"/>
  </r>
  <r>
    <x v="28"/>
    <x v="0"/>
    <s v="QLD"/>
    <s v="No gap agreement"/>
    <s v="More than 150% MBS Fee to 200% MBS Fee"/>
    <n v="72611656.879999995"/>
    <n v="33522337"/>
    <n v="39087951.409999996"/>
    <n v="482096"/>
  </r>
  <r>
    <x v="28"/>
    <x v="0"/>
    <s v="QLD"/>
    <s v="No gap agreement"/>
    <s v="More than 200% MBS Fee"/>
    <n v="3668817.59"/>
    <n v="1014405.05"/>
    <n v="2654412.5"/>
    <n v="3285"/>
  </r>
  <r>
    <x v="28"/>
    <x v="0"/>
    <s v="SA"/>
    <s v="No agreement"/>
    <s v="Up to MBS Fee"/>
    <n v="1560519.79"/>
    <n v="1164426.8500000001"/>
    <n v="386811.54"/>
    <n v="8499"/>
  </r>
  <r>
    <x v="28"/>
    <x v="0"/>
    <s v="SA"/>
    <s v="No agreement"/>
    <s v="100% MBS Fee to 125% MBS Fee"/>
    <n v="195669.35"/>
    <n v="129999.97"/>
    <n v="42416.44"/>
    <n v="508"/>
  </r>
  <r>
    <x v="28"/>
    <x v="0"/>
    <s v="SA"/>
    <s v="No agreement"/>
    <s v="More than 125% MBS Fee to 150% MBS Fee"/>
    <n v="300342.78999999998"/>
    <n v="162120.43"/>
    <n v="51818.15"/>
    <n v="519"/>
  </r>
  <r>
    <x v="28"/>
    <x v="0"/>
    <s v="SA"/>
    <s v="No agreement"/>
    <s v="More than 150% MBS Fee to 200% MBS Fee"/>
    <n v="714939.7"/>
    <n v="307271.69"/>
    <n v="101071.58"/>
    <n v="1261"/>
  </r>
  <r>
    <x v="28"/>
    <x v="0"/>
    <s v="SA"/>
    <s v="No agreement"/>
    <s v="More than 200% MBS Fee"/>
    <n v="7285275.1100000003"/>
    <n v="1541651.09"/>
    <n v="519188.5"/>
    <n v="4546"/>
  </r>
  <r>
    <x v="28"/>
    <x v="0"/>
    <s v="SA"/>
    <s v="Known gap agreement"/>
    <s v="100% MBS Fee to 125% MBS Fee"/>
    <n v="441052.4"/>
    <n v="278431.65000000002"/>
    <n v="127531.01"/>
    <n v="2035"/>
  </r>
  <r>
    <x v="28"/>
    <x v="0"/>
    <s v="SA"/>
    <s v="Known gap agreement"/>
    <s v="More than 125% MBS Fee to 150% MBS Fee"/>
    <n v="2293009.7999999998"/>
    <n v="1228377.0900000001"/>
    <n v="929349.28"/>
    <n v="7575"/>
  </r>
  <r>
    <x v="28"/>
    <x v="0"/>
    <s v="SA"/>
    <s v="Known gap agreement"/>
    <s v="More than 150% MBS Fee to 200% MBS Fee"/>
    <n v="14138083.949999999"/>
    <n v="6011583.3600000003"/>
    <n v="5986070.46"/>
    <n v="19547"/>
  </r>
  <r>
    <x v="28"/>
    <x v="0"/>
    <s v="SA"/>
    <s v="Known gap agreement"/>
    <s v="More than 200% MBS Fee"/>
    <n v="16333915.689999999"/>
    <n v="4569091.2699999996"/>
    <n v="5136823.05"/>
    <n v="56358"/>
  </r>
  <r>
    <x v="28"/>
    <x v="0"/>
    <s v="SA"/>
    <s v="No gap agreement"/>
    <s v="Up to MBS Fee"/>
    <n v="8591675.2100000009"/>
    <n v="6458243.1600000001"/>
    <n v="2133879.73"/>
    <n v="169618"/>
  </r>
  <r>
    <x v="28"/>
    <x v="0"/>
    <s v="SA"/>
    <s v="No gap agreement"/>
    <s v="100% MBS Fee to 125% MBS Fee"/>
    <n v="17252363.539999999"/>
    <n v="10858796.4"/>
    <n v="6393491.4400000004"/>
    <n v="127887"/>
  </r>
  <r>
    <x v="28"/>
    <x v="0"/>
    <s v="SA"/>
    <s v="No gap agreement"/>
    <s v="More than 125% MBS Fee to 150% MBS Fee"/>
    <n v="34387218.859999999"/>
    <n v="18650543.149999999"/>
    <n v="15736559.24"/>
    <n v="210491"/>
  </r>
  <r>
    <x v="28"/>
    <x v="0"/>
    <s v="SA"/>
    <s v="No gap agreement"/>
    <s v="More than 150% MBS Fee to 200% MBS Fee"/>
    <n v="30171687.93"/>
    <n v="14020938.85"/>
    <n v="16150666.859999999"/>
    <n v="143120"/>
  </r>
  <r>
    <x v="28"/>
    <x v="0"/>
    <s v="SA"/>
    <s v="No gap agreement"/>
    <s v="More than 200% MBS Fee"/>
    <n v="941977.16"/>
    <n v="272917.90000000002"/>
    <n v="669059.26"/>
    <n v="788"/>
  </r>
  <r>
    <x v="28"/>
    <x v="0"/>
    <s v="WA"/>
    <s v="No agreement"/>
    <s v="Up to MBS Fee"/>
    <n v="2384210.09"/>
    <n v="1811217.53"/>
    <n v="567399.22"/>
    <n v="30055"/>
  </r>
  <r>
    <x v="28"/>
    <x v="0"/>
    <s v="WA"/>
    <s v="No agreement"/>
    <s v="100% MBS Fee to 125% MBS Fee"/>
    <n v="413973.32"/>
    <n v="278678.69"/>
    <n v="92784.62"/>
    <n v="1127"/>
  </r>
  <r>
    <x v="28"/>
    <x v="0"/>
    <s v="WA"/>
    <s v="No agreement"/>
    <s v="More than 125% MBS Fee to 150% MBS Fee"/>
    <n v="530212.86"/>
    <n v="288387.90999999997"/>
    <n v="94822.21"/>
    <n v="1560"/>
  </r>
  <r>
    <x v="28"/>
    <x v="0"/>
    <s v="WA"/>
    <s v="No agreement"/>
    <s v="More than 150% MBS Fee to 200% MBS Fee"/>
    <n v="1940572.37"/>
    <n v="843622.99"/>
    <n v="281061.40999999997"/>
    <n v="9185"/>
  </r>
  <r>
    <x v="28"/>
    <x v="0"/>
    <s v="WA"/>
    <s v="No agreement"/>
    <s v="More than 200% MBS Fee"/>
    <n v="11445465.73"/>
    <n v="2331957.44"/>
    <n v="785576.98"/>
    <n v="11207"/>
  </r>
  <r>
    <x v="28"/>
    <x v="0"/>
    <s v="WA"/>
    <s v="Known gap agreement"/>
    <s v="100% MBS Fee to 125% MBS Fee"/>
    <n v="974657.67"/>
    <n v="615531.74"/>
    <n v="317441.88"/>
    <n v="4112"/>
  </r>
  <r>
    <x v="28"/>
    <x v="0"/>
    <s v="WA"/>
    <s v="Known gap agreement"/>
    <s v="More than 125% MBS Fee to 150% MBS Fee"/>
    <n v="3247166.81"/>
    <n v="1732882.37"/>
    <n v="1216478.45"/>
    <n v="27977"/>
  </r>
  <r>
    <x v="28"/>
    <x v="0"/>
    <s v="WA"/>
    <s v="Known gap agreement"/>
    <s v="More than 150% MBS Fee to 200% MBS Fee"/>
    <n v="10104756.810000001"/>
    <n v="4406148.5599999996"/>
    <n v="3846956.37"/>
    <n v="15499"/>
  </r>
  <r>
    <x v="28"/>
    <x v="0"/>
    <s v="WA"/>
    <s v="Known gap agreement"/>
    <s v="More than 200% MBS Fee"/>
    <n v="24943174.609999999"/>
    <n v="6022006.4800000004"/>
    <n v="4296450.78"/>
    <n v="58061"/>
  </r>
  <r>
    <x v="28"/>
    <x v="0"/>
    <s v="WA"/>
    <s v="No gap agreement"/>
    <s v="Up to MBS Fee"/>
    <n v="12286876.59"/>
    <n v="9233967.6600000001"/>
    <n v="3052908.93"/>
    <n v="200260"/>
  </r>
  <r>
    <x v="28"/>
    <x v="0"/>
    <s v="WA"/>
    <s v="No gap agreement"/>
    <s v="100% MBS Fee to 125% MBS Fee"/>
    <n v="14443559.859999999"/>
    <n v="9325899.6799999997"/>
    <n v="5117602.3499999996"/>
    <n v="88992"/>
  </r>
  <r>
    <x v="28"/>
    <x v="0"/>
    <s v="WA"/>
    <s v="No gap agreement"/>
    <s v="More than 125% MBS Fee to 150% MBS Fee"/>
    <n v="57571080.130000003"/>
    <n v="31515879"/>
    <n v="26055158.149999999"/>
    <n v="350759"/>
  </r>
  <r>
    <x v="28"/>
    <x v="0"/>
    <s v="WA"/>
    <s v="No gap agreement"/>
    <s v="More than 150% MBS Fee to 200% MBS Fee"/>
    <n v="57598461.149999999"/>
    <n v="26060156.800000001"/>
    <n v="31538204.52"/>
    <n v="252688"/>
  </r>
  <r>
    <x v="28"/>
    <x v="0"/>
    <s v="WA"/>
    <s v="No gap agreement"/>
    <s v="More than 200% MBS Fee"/>
    <n v="1895446.81"/>
    <n v="524506.35"/>
    <n v="1370940.46"/>
    <n v="1504"/>
  </r>
  <r>
    <x v="28"/>
    <x v="0"/>
    <s v="TAS"/>
    <s v="No agreement"/>
    <s v="Up to MBS Fee"/>
    <n v="293915.42"/>
    <n v="221048.77"/>
    <n v="72280.100000000006"/>
    <n v="3077"/>
  </r>
  <r>
    <x v="28"/>
    <x v="0"/>
    <s v="TAS"/>
    <s v="No agreement"/>
    <s v="100% MBS Fee to 125% MBS Fee"/>
    <n v="46500.2"/>
    <n v="31424.09"/>
    <n v="10749.29"/>
    <n v="167"/>
  </r>
  <r>
    <x v="28"/>
    <x v="0"/>
    <s v="TAS"/>
    <s v="No agreement"/>
    <s v="More than 125% MBS Fee to 150% MBS Fee"/>
    <n v="66069.16"/>
    <n v="36550.89"/>
    <n v="11918.56"/>
    <n v="185"/>
  </r>
  <r>
    <x v="28"/>
    <x v="0"/>
    <s v="TAS"/>
    <s v="No agreement"/>
    <s v="More than 150% MBS Fee to 200% MBS Fee"/>
    <n v="150657.46"/>
    <n v="63678.39"/>
    <n v="20190.88"/>
    <n v="317"/>
  </r>
  <r>
    <x v="28"/>
    <x v="0"/>
    <s v="TAS"/>
    <s v="No agreement"/>
    <s v="More than 200% MBS Fee"/>
    <n v="3010803.23"/>
    <n v="651340.73"/>
    <n v="217647.61"/>
    <n v="1715"/>
  </r>
  <r>
    <x v="28"/>
    <x v="0"/>
    <s v="TAS"/>
    <s v="Known gap agreement"/>
    <s v="100% MBS Fee to 125% MBS Fee"/>
    <n v="175173.46"/>
    <n v="111787.55"/>
    <n v="54795.43"/>
    <n v="1002"/>
  </r>
  <r>
    <x v="28"/>
    <x v="0"/>
    <s v="TAS"/>
    <s v="Known gap agreement"/>
    <s v="More than 125% MBS Fee to 150% MBS Fee"/>
    <n v="408831.76"/>
    <n v="220126.51"/>
    <n v="171254.74"/>
    <n v="1940"/>
  </r>
  <r>
    <x v="28"/>
    <x v="0"/>
    <s v="TAS"/>
    <s v="Known gap agreement"/>
    <s v="More than 150% MBS Fee to 200% MBS Fee"/>
    <n v="3702422.53"/>
    <n v="1594159.81"/>
    <n v="1582457.78"/>
    <n v="4431"/>
  </r>
  <r>
    <x v="28"/>
    <x v="0"/>
    <s v="TAS"/>
    <s v="Known gap agreement"/>
    <s v="More than 200% MBS Fee"/>
    <n v="3960213.61"/>
    <n v="1011225.87"/>
    <n v="1125637"/>
    <n v="7333"/>
  </r>
  <r>
    <x v="28"/>
    <x v="0"/>
    <s v="TAS"/>
    <s v="No gap agreement"/>
    <s v="Up to MBS Fee"/>
    <n v="1469914.89"/>
    <n v="1105540.3500000001"/>
    <n v="364406.16"/>
    <n v="26978"/>
  </r>
  <r>
    <x v="28"/>
    <x v="0"/>
    <s v="TAS"/>
    <s v="No gap agreement"/>
    <s v="100% MBS Fee to 125% MBS Fee"/>
    <n v="2818192.59"/>
    <n v="1772702.1"/>
    <n v="1045475.6"/>
    <n v="18524"/>
  </r>
  <r>
    <x v="28"/>
    <x v="0"/>
    <s v="TAS"/>
    <s v="No gap agreement"/>
    <s v="More than 125% MBS Fee to 150% MBS Fee"/>
    <n v="10104942.960000001"/>
    <n v="5506191.8200000003"/>
    <n v="4598741.1900000004"/>
    <n v="55817"/>
  </r>
  <r>
    <x v="28"/>
    <x v="0"/>
    <s v="TAS"/>
    <s v="No gap agreement"/>
    <s v="More than 150% MBS Fee to 200% MBS Fee"/>
    <n v="10853068.92"/>
    <n v="5005598.3899999997"/>
    <n v="5847456.96"/>
    <n v="55363"/>
  </r>
  <r>
    <x v="28"/>
    <x v="0"/>
    <s v="TAS"/>
    <s v="No gap agreement"/>
    <s v="More than 200% MBS Fee"/>
    <n v="284804.33"/>
    <n v="78099.25"/>
    <n v="206705.08"/>
    <n v="194"/>
  </r>
  <r>
    <x v="28"/>
    <x v="0"/>
    <s v="ACT"/>
    <s v="No agreement"/>
    <s v="Up to MBS Fee"/>
    <n v="318313.24"/>
    <n v="235619.33"/>
    <n v="77640.06"/>
    <n v="2937"/>
  </r>
  <r>
    <x v="28"/>
    <x v="0"/>
    <s v="ACT"/>
    <s v="No agreement"/>
    <s v="100% MBS Fee to 125% MBS Fee"/>
    <n v="68873.95"/>
    <n v="47489.13"/>
    <n v="15698.89"/>
    <n v="127"/>
  </r>
  <r>
    <x v="28"/>
    <x v="0"/>
    <s v="ACT"/>
    <s v="No agreement"/>
    <s v="More than 125% MBS Fee to 150% MBS Fee"/>
    <n v="73287.06"/>
    <n v="39508.86"/>
    <n v="12160.86"/>
    <n v="192"/>
  </r>
  <r>
    <x v="28"/>
    <x v="0"/>
    <s v="ACT"/>
    <s v="No agreement"/>
    <s v="More than 150% MBS Fee to 200% MBS Fee"/>
    <n v="426671.54"/>
    <n v="181503.24"/>
    <n v="59522.879999999997"/>
    <n v="1037"/>
  </r>
  <r>
    <x v="28"/>
    <x v="0"/>
    <s v="ACT"/>
    <s v="No agreement"/>
    <s v="More than 200% MBS Fee"/>
    <n v="10677991.279999999"/>
    <n v="2230618.19"/>
    <n v="747087.19"/>
    <n v="8619"/>
  </r>
  <r>
    <x v="28"/>
    <x v="0"/>
    <s v="ACT"/>
    <s v="Known gap agreement"/>
    <s v="100% MBS Fee to 125% MBS Fee"/>
    <n v="115572.45"/>
    <n v="73210.11"/>
    <n v="30046.68"/>
    <n v="445"/>
  </r>
  <r>
    <x v="28"/>
    <x v="0"/>
    <s v="ACT"/>
    <s v="Known gap agreement"/>
    <s v="More than 125% MBS Fee to 150% MBS Fee"/>
    <n v="172921.08"/>
    <n v="91251.87"/>
    <n v="72504.94"/>
    <n v="554"/>
  </r>
  <r>
    <x v="28"/>
    <x v="0"/>
    <s v="ACT"/>
    <s v="Known gap agreement"/>
    <s v="More than 150% MBS Fee to 200% MBS Fee"/>
    <n v="775817.28"/>
    <n v="329477.76000000001"/>
    <n v="320725.26"/>
    <n v="1659"/>
  </r>
  <r>
    <x v="28"/>
    <x v="0"/>
    <s v="ACT"/>
    <s v="Known gap agreement"/>
    <s v="More than 200% MBS Fee"/>
    <n v="5021045.95"/>
    <n v="1326083.53"/>
    <n v="1330998.01"/>
    <n v="15922"/>
  </r>
  <r>
    <x v="28"/>
    <x v="0"/>
    <s v="ACT"/>
    <s v="No gap agreement"/>
    <s v="Up to MBS Fee"/>
    <n v="419011.26"/>
    <n v="315558.90000000002"/>
    <n v="103452.36"/>
    <n v="7151"/>
  </r>
  <r>
    <x v="28"/>
    <x v="0"/>
    <s v="ACT"/>
    <s v="No gap agreement"/>
    <s v="100% MBS Fee to 125% MBS Fee"/>
    <n v="1825942.83"/>
    <n v="1166808.3500000001"/>
    <n v="659120.94999999995"/>
    <n v="11561"/>
  </r>
  <r>
    <x v="28"/>
    <x v="0"/>
    <s v="ACT"/>
    <s v="No gap agreement"/>
    <s v="More than 125% MBS Fee to 150% MBS Fee"/>
    <n v="4985514.7699999996"/>
    <n v="2749370.4"/>
    <n v="2236081.59"/>
    <n v="42217"/>
  </r>
  <r>
    <x v="28"/>
    <x v="0"/>
    <s v="ACT"/>
    <s v="No gap agreement"/>
    <s v="More than 150% MBS Fee to 200% MBS Fee"/>
    <n v="3133545.73"/>
    <n v="1450954.95"/>
    <n v="1682563.12"/>
    <n v="17935"/>
  </r>
  <r>
    <x v="28"/>
    <x v="0"/>
    <s v="ACT"/>
    <s v="No gap agreement"/>
    <s v="More than 200% MBS Fee"/>
    <n v="205085.12"/>
    <n v="58183.9"/>
    <n v="146901.20000000001"/>
    <n v="226"/>
  </r>
  <r>
    <x v="28"/>
    <x v="0"/>
    <s v="NT"/>
    <s v="No agreement"/>
    <s v="Up to MBS Fee"/>
    <n v="141432.19"/>
    <n v="105027.76"/>
    <n v="34769.43"/>
    <n v="803"/>
  </r>
  <r>
    <x v="28"/>
    <x v="0"/>
    <s v="NT"/>
    <s v="No agreement"/>
    <s v="100% MBS Fee to 125% MBS Fee"/>
    <n v="54457.61"/>
    <n v="35538.31"/>
    <n v="11844.75"/>
    <n v="63"/>
  </r>
  <r>
    <x v="28"/>
    <x v="0"/>
    <s v="NT"/>
    <s v="No agreement"/>
    <s v="More than 125% MBS Fee to 150% MBS Fee"/>
    <n v="30874.799999999999"/>
    <n v="16356.58"/>
    <n v="5518.3"/>
    <n v="39"/>
  </r>
  <r>
    <x v="28"/>
    <x v="0"/>
    <s v="NT"/>
    <s v="No agreement"/>
    <s v="More than 150% MBS Fee to 200% MBS Fee"/>
    <n v="91806.84"/>
    <n v="40385.730000000003"/>
    <n v="13592.19"/>
    <n v="260"/>
  </r>
  <r>
    <x v="28"/>
    <x v="0"/>
    <s v="NT"/>
    <s v="No agreement"/>
    <s v="More than 200% MBS Fee"/>
    <n v="1911170.99"/>
    <n v="431648.78"/>
    <n v="143876.92000000001"/>
    <n v="1086"/>
  </r>
  <r>
    <x v="28"/>
    <x v="0"/>
    <s v="NT"/>
    <s v="Known gap agreement"/>
    <s v="100% MBS Fee to 125% MBS Fee"/>
    <n v="28758.91"/>
    <n v="17780.72"/>
    <n v="8275.2999999999993"/>
    <n v="175"/>
  </r>
  <r>
    <x v="28"/>
    <x v="0"/>
    <s v="NT"/>
    <s v="Known gap agreement"/>
    <s v="More than 125% MBS Fee to 150% MBS Fee"/>
    <n v="85868.25"/>
    <n v="45539.92"/>
    <n v="35962.28"/>
    <n v="278"/>
  </r>
  <r>
    <x v="28"/>
    <x v="0"/>
    <s v="NT"/>
    <s v="Known gap agreement"/>
    <s v="More than 150% MBS Fee to 200% MBS Fee"/>
    <n v="266567.69"/>
    <n v="113335.19"/>
    <n v="113754.66"/>
    <n v="401"/>
  </r>
  <r>
    <x v="28"/>
    <x v="0"/>
    <s v="NT"/>
    <s v="Known gap agreement"/>
    <s v="More than 200% MBS Fee"/>
    <n v="727989.05"/>
    <n v="192783.6"/>
    <n v="214579.1"/>
    <n v="2340"/>
  </r>
  <r>
    <x v="28"/>
    <x v="0"/>
    <s v="NT"/>
    <s v="No gap agreement"/>
    <s v="Up to MBS Fee"/>
    <n v="435533.4"/>
    <n v="326762.2"/>
    <n v="108771.2"/>
    <n v="9094"/>
  </r>
  <r>
    <x v="28"/>
    <x v="0"/>
    <s v="NT"/>
    <s v="No gap agreement"/>
    <s v="100% MBS Fee to 125% MBS Fee"/>
    <n v="609074.24"/>
    <n v="385990.15"/>
    <n v="223078.02"/>
    <n v="4043"/>
  </r>
  <r>
    <x v="28"/>
    <x v="0"/>
    <s v="NT"/>
    <s v="No gap agreement"/>
    <s v="More than 125% MBS Fee to 150% MBS Fee"/>
    <n v="1722397.94"/>
    <n v="936379.05"/>
    <n v="786005.91"/>
    <n v="7510"/>
  </r>
  <r>
    <x v="28"/>
    <x v="0"/>
    <s v="NT"/>
    <s v="No gap agreement"/>
    <s v="More than 150% MBS Fee to 200% MBS Fee"/>
    <n v="1600746.69"/>
    <n v="743743.2"/>
    <n v="856970.49"/>
    <n v="8531"/>
  </r>
  <r>
    <x v="28"/>
    <x v="0"/>
    <s v="NT"/>
    <s v="No gap agreement"/>
    <s v="More than 200% MBS Fee"/>
    <n v="78935.820000000007"/>
    <n v="26446.75"/>
    <n v="52481.47"/>
    <n v="91"/>
  </r>
  <r>
    <x v="28"/>
    <x v="2"/>
    <s v="NSW"/>
    <s v="No agreement"/>
    <s v="Up to MBS Fee"/>
    <n v="33436448.300000001"/>
    <n v="25130919.68"/>
    <n v="8252734.3399999999"/>
    <n v="247048"/>
  </r>
  <r>
    <x v="28"/>
    <x v="2"/>
    <s v="NSW"/>
    <s v="No agreement"/>
    <s v="100% MBS Fee to 125% MBS Fee"/>
    <n v="2663002.9300000002"/>
    <n v="1788869.35"/>
    <n v="621472.94999999995"/>
    <n v="9721"/>
  </r>
  <r>
    <x v="28"/>
    <x v="2"/>
    <s v="NSW"/>
    <s v="No agreement"/>
    <s v="More than 125% MBS Fee to 150% MBS Fee"/>
    <n v="1909547.91"/>
    <n v="1039339.63"/>
    <n v="347473.32"/>
    <n v="4407"/>
  </r>
  <r>
    <x v="28"/>
    <x v="2"/>
    <s v="NSW"/>
    <s v="No agreement"/>
    <s v="More than 150% MBS Fee to 200% MBS Fee"/>
    <n v="6799301.29"/>
    <n v="2896423.41"/>
    <n v="1014413.76"/>
    <n v="17415"/>
  </r>
  <r>
    <x v="28"/>
    <x v="2"/>
    <s v="NSW"/>
    <s v="No agreement"/>
    <s v="More than 200% MBS Fee"/>
    <n v="116533882.14"/>
    <n v="22938472.27"/>
    <n v="7729732.3600000003"/>
    <n v="88182"/>
  </r>
  <r>
    <x v="28"/>
    <x v="2"/>
    <s v="NSW"/>
    <s v="Known gap agreement"/>
    <s v="100% MBS Fee to 125% MBS Fee"/>
    <n v="2963082.76"/>
    <n v="1935382.08"/>
    <n v="860894.08"/>
    <n v="13580"/>
  </r>
  <r>
    <x v="28"/>
    <x v="2"/>
    <s v="NSW"/>
    <s v="Known gap agreement"/>
    <s v="More than 125% MBS Fee to 150% MBS Fee"/>
    <n v="6371946.5800000001"/>
    <n v="3393449.1"/>
    <n v="2671794.84"/>
    <n v="16241"/>
  </r>
  <r>
    <x v="28"/>
    <x v="2"/>
    <s v="NSW"/>
    <s v="Known gap agreement"/>
    <s v="More than 150% MBS Fee to 200% MBS Fee"/>
    <n v="18720415.620000001"/>
    <n v="8075073.5499999998"/>
    <n v="7984016.2199999997"/>
    <n v="30595"/>
  </r>
  <r>
    <x v="28"/>
    <x v="2"/>
    <s v="NSW"/>
    <s v="Known gap agreement"/>
    <s v="More than 200% MBS Fee"/>
    <n v="54312472.909999996"/>
    <n v="14004367.449999999"/>
    <n v="15770001.039999999"/>
    <n v="173339"/>
  </r>
  <r>
    <x v="28"/>
    <x v="2"/>
    <s v="NSW"/>
    <s v="No gap agreement"/>
    <s v="Up to MBS Fee"/>
    <n v="29948341.84"/>
    <n v="22518002.969999999"/>
    <n v="7430341.7599999998"/>
    <n v="1047906"/>
  </r>
  <r>
    <x v="28"/>
    <x v="2"/>
    <s v="NSW"/>
    <s v="No gap agreement"/>
    <s v="100% MBS Fee to 125% MBS Fee"/>
    <n v="57818628.149999999"/>
    <n v="36858580.109999999"/>
    <n v="20959968.960000001"/>
    <n v="456276"/>
  </r>
  <r>
    <x v="28"/>
    <x v="2"/>
    <s v="NSW"/>
    <s v="No gap agreement"/>
    <s v="More than 125% MBS Fee to 150% MBS Fee"/>
    <n v="115354663.66"/>
    <n v="63265975.009999998"/>
    <n v="52088670.979999997"/>
    <n v="626412"/>
  </r>
  <r>
    <x v="28"/>
    <x v="2"/>
    <s v="NSW"/>
    <s v="No gap agreement"/>
    <s v="More than 150% MBS Fee to 200% MBS Fee"/>
    <n v="115170672.84"/>
    <n v="52673880.359999999"/>
    <n v="62496755.990000002"/>
    <n v="648012"/>
  </r>
  <r>
    <x v="28"/>
    <x v="2"/>
    <s v="NSW"/>
    <s v="No gap agreement"/>
    <s v="More than 200% MBS Fee"/>
    <n v="6145004.5999999996"/>
    <n v="1811663.96"/>
    <n v="4333340.6399999997"/>
    <n v="6692"/>
  </r>
  <r>
    <x v="28"/>
    <x v="2"/>
    <s v="VIC"/>
    <s v="No agreement"/>
    <s v="Up to MBS Fee"/>
    <n v="6381337.5599999996"/>
    <n v="4821799.4400000004"/>
    <n v="1536824.97"/>
    <n v="120745"/>
  </r>
  <r>
    <x v="28"/>
    <x v="2"/>
    <s v="VIC"/>
    <s v="No agreement"/>
    <s v="100% MBS Fee to 125% MBS Fee"/>
    <n v="902763.75"/>
    <n v="594749.85"/>
    <n v="196321.6"/>
    <n v="2862"/>
  </r>
  <r>
    <x v="28"/>
    <x v="2"/>
    <s v="VIC"/>
    <s v="No agreement"/>
    <s v="More than 125% MBS Fee to 150% MBS Fee"/>
    <n v="1605063.07"/>
    <n v="862592.73"/>
    <n v="292758.03000000003"/>
    <n v="8179"/>
  </r>
  <r>
    <x v="28"/>
    <x v="2"/>
    <s v="VIC"/>
    <s v="No agreement"/>
    <s v="More than 150% MBS Fee to 200% MBS Fee"/>
    <n v="4088287.59"/>
    <n v="1784268.9"/>
    <n v="596496.22"/>
    <n v="13134"/>
  </r>
  <r>
    <x v="28"/>
    <x v="2"/>
    <s v="VIC"/>
    <s v="No agreement"/>
    <s v="More than 200% MBS Fee"/>
    <n v="42015739.299999997"/>
    <n v="8988606.5399999991"/>
    <n v="3007031.36"/>
    <n v="32853"/>
  </r>
  <r>
    <x v="28"/>
    <x v="2"/>
    <s v="VIC"/>
    <s v="Known gap agreement"/>
    <s v="100% MBS Fee to 125% MBS Fee"/>
    <n v="2385644.35"/>
    <n v="1565957.87"/>
    <n v="700466.83"/>
    <n v="12268"/>
  </r>
  <r>
    <x v="28"/>
    <x v="2"/>
    <s v="VIC"/>
    <s v="Known gap agreement"/>
    <s v="More than 125% MBS Fee to 150% MBS Fee"/>
    <n v="7468824.3300000001"/>
    <n v="4002402.5"/>
    <n v="2907995.08"/>
    <n v="23728"/>
  </r>
  <r>
    <x v="28"/>
    <x v="2"/>
    <s v="VIC"/>
    <s v="Known gap agreement"/>
    <s v="More than 150% MBS Fee to 200% MBS Fee"/>
    <n v="21559767.109999999"/>
    <n v="9243621.5999999996"/>
    <n v="8749218.8100000005"/>
    <n v="35552"/>
  </r>
  <r>
    <x v="28"/>
    <x v="2"/>
    <s v="VIC"/>
    <s v="Known gap agreement"/>
    <s v="More than 200% MBS Fee"/>
    <n v="56061299.609999999"/>
    <n v="14610651.68"/>
    <n v="15706269.59"/>
    <n v="189351"/>
  </r>
  <r>
    <x v="28"/>
    <x v="2"/>
    <s v="VIC"/>
    <s v="No gap agreement"/>
    <s v="Up to MBS Fee"/>
    <n v="23226775.32"/>
    <n v="17502385.609999999"/>
    <n v="5724391.9100000001"/>
    <n v="425399"/>
  </r>
  <r>
    <x v="28"/>
    <x v="2"/>
    <s v="VIC"/>
    <s v="No gap agreement"/>
    <s v="100% MBS Fee to 125% MBS Fee"/>
    <n v="61493964.710000001"/>
    <n v="39180095.850000001"/>
    <n v="22313639.960000001"/>
    <n v="491725"/>
  </r>
  <r>
    <x v="28"/>
    <x v="2"/>
    <s v="VIC"/>
    <s v="No gap agreement"/>
    <s v="More than 125% MBS Fee to 150% MBS Fee"/>
    <n v="121766976.70999999"/>
    <n v="66889450.600000001"/>
    <n v="54877451.539999999"/>
    <n v="712058"/>
  </r>
  <r>
    <x v="28"/>
    <x v="2"/>
    <s v="VIC"/>
    <s v="No gap agreement"/>
    <s v="More than 150% MBS Fee to 200% MBS Fee"/>
    <n v="82139996.939999998"/>
    <n v="37820168.130000003"/>
    <n v="44319790.450000003"/>
    <n v="515976"/>
  </r>
  <r>
    <x v="28"/>
    <x v="2"/>
    <s v="VIC"/>
    <s v="No gap agreement"/>
    <s v="More than 200% MBS Fee"/>
    <n v="2875092.91"/>
    <n v="809076.99"/>
    <n v="2066015.92"/>
    <n v="2796"/>
  </r>
  <r>
    <x v="28"/>
    <x v="2"/>
    <s v="QLD"/>
    <s v="No agreement"/>
    <s v="Up to MBS Fee"/>
    <n v="4065081.2"/>
    <n v="3040618.5"/>
    <n v="960992.4"/>
    <n v="66452"/>
  </r>
  <r>
    <x v="28"/>
    <x v="2"/>
    <s v="QLD"/>
    <s v="No agreement"/>
    <s v="100% MBS Fee to 125% MBS Fee"/>
    <n v="952053.35"/>
    <n v="629721.82999999996"/>
    <n v="210782.74"/>
    <n v="2270"/>
  </r>
  <r>
    <x v="28"/>
    <x v="2"/>
    <s v="QLD"/>
    <s v="No agreement"/>
    <s v="More than 125% MBS Fee to 150% MBS Fee"/>
    <n v="1314850.8799999999"/>
    <n v="713885.25"/>
    <n v="234814.16"/>
    <n v="2683"/>
  </r>
  <r>
    <x v="28"/>
    <x v="2"/>
    <s v="QLD"/>
    <s v="No agreement"/>
    <s v="More than 150% MBS Fee to 200% MBS Fee"/>
    <n v="4710448.51"/>
    <n v="2035613.05"/>
    <n v="678125.57"/>
    <n v="20944"/>
  </r>
  <r>
    <x v="28"/>
    <x v="2"/>
    <s v="QLD"/>
    <s v="No agreement"/>
    <s v="More than 200% MBS Fee"/>
    <n v="53916065.799999997"/>
    <n v="11486863.76"/>
    <n v="3846486.45"/>
    <n v="44593"/>
  </r>
  <r>
    <x v="28"/>
    <x v="2"/>
    <s v="QLD"/>
    <s v="Known gap agreement"/>
    <s v="100% MBS Fee to 125% MBS Fee"/>
    <n v="1650294.18"/>
    <n v="1064475.02"/>
    <n v="473020.51"/>
    <n v="7357"/>
  </r>
  <r>
    <x v="28"/>
    <x v="2"/>
    <s v="QLD"/>
    <s v="Known gap agreement"/>
    <s v="More than 125% MBS Fee to 150% MBS Fee"/>
    <n v="4887806.0999999996"/>
    <n v="2606088.75"/>
    <n v="1928674.73"/>
    <n v="18496"/>
  </r>
  <r>
    <x v="28"/>
    <x v="2"/>
    <s v="QLD"/>
    <s v="Known gap agreement"/>
    <s v="More than 150% MBS Fee to 200% MBS Fee"/>
    <n v="20909996.989999998"/>
    <n v="8846792.0600000005"/>
    <n v="8674442.1400000006"/>
    <n v="32039"/>
  </r>
  <r>
    <x v="28"/>
    <x v="2"/>
    <s v="QLD"/>
    <s v="Known gap agreement"/>
    <s v="More than 200% MBS Fee"/>
    <n v="52914954.259999998"/>
    <n v="13179064.83"/>
    <n v="14582000.02"/>
    <n v="132202"/>
  </r>
  <r>
    <x v="28"/>
    <x v="2"/>
    <s v="QLD"/>
    <s v="No gap agreement"/>
    <s v="Up to MBS Fee"/>
    <n v="16595155.52"/>
    <n v="12465991.539999999"/>
    <n v="4129163.98"/>
    <n v="220431"/>
  </r>
  <r>
    <x v="28"/>
    <x v="2"/>
    <s v="QLD"/>
    <s v="No gap agreement"/>
    <s v="100% MBS Fee to 125% MBS Fee"/>
    <n v="50142856.359999999"/>
    <n v="31949197.829999998"/>
    <n v="18193508.800000001"/>
    <n v="427861"/>
  </r>
  <r>
    <x v="28"/>
    <x v="2"/>
    <s v="QLD"/>
    <s v="No gap agreement"/>
    <s v="More than 125% MBS Fee to 150% MBS Fee"/>
    <n v="82441278.280000001"/>
    <n v="45624735.950000003"/>
    <n v="36816499.289999999"/>
    <n v="629968"/>
  </r>
  <r>
    <x v="28"/>
    <x v="2"/>
    <s v="QLD"/>
    <s v="No gap agreement"/>
    <s v="More than 150% MBS Fee to 200% MBS Fee"/>
    <n v="69818957.129999995"/>
    <n v="32094622.699999999"/>
    <n v="37723814.729999997"/>
    <n v="459755"/>
  </r>
  <r>
    <x v="28"/>
    <x v="2"/>
    <s v="QLD"/>
    <s v="No gap agreement"/>
    <s v="More than 200% MBS Fee"/>
    <n v="3835294.95"/>
    <n v="1134317.17"/>
    <n v="2700976.79"/>
    <n v="5362"/>
  </r>
  <r>
    <x v="28"/>
    <x v="2"/>
    <s v="SA"/>
    <s v="No agreement"/>
    <s v="Up to MBS Fee"/>
    <n v="1660285.46"/>
    <n v="1226512.54"/>
    <n v="406385.63"/>
    <n v="8545"/>
  </r>
  <r>
    <x v="28"/>
    <x v="2"/>
    <s v="SA"/>
    <s v="No agreement"/>
    <s v="100% MBS Fee to 125% MBS Fee"/>
    <n v="175024.66"/>
    <n v="115202.83"/>
    <n v="38678.47"/>
    <n v="315"/>
  </r>
  <r>
    <x v="28"/>
    <x v="2"/>
    <s v="SA"/>
    <s v="No agreement"/>
    <s v="More than 125% MBS Fee to 150% MBS Fee"/>
    <n v="264691.13"/>
    <n v="142896.19"/>
    <n v="47613.7"/>
    <n v="469"/>
  </r>
  <r>
    <x v="28"/>
    <x v="2"/>
    <s v="SA"/>
    <s v="No agreement"/>
    <s v="More than 150% MBS Fee to 200% MBS Fee"/>
    <n v="551509.68999999994"/>
    <n v="236350.22"/>
    <n v="80695.44"/>
    <n v="1114"/>
  </r>
  <r>
    <x v="28"/>
    <x v="2"/>
    <s v="SA"/>
    <s v="No agreement"/>
    <s v="More than 200% MBS Fee"/>
    <n v="6005923.5499999998"/>
    <n v="1254916.8500000001"/>
    <n v="425495.79"/>
    <n v="3593"/>
  </r>
  <r>
    <x v="28"/>
    <x v="2"/>
    <s v="SA"/>
    <s v="Known gap agreement"/>
    <s v="100% MBS Fee to 125% MBS Fee"/>
    <n v="509971.8"/>
    <n v="317110.71999999997"/>
    <n v="141290.29"/>
    <n v="2450"/>
  </r>
  <r>
    <x v="28"/>
    <x v="2"/>
    <s v="SA"/>
    <s v="Known gap agreement"/>
    <s v="More than 125% MBS Fee to 150% MBS Fee"/>
    <n v="1930919.15"/>
    <n v="1032309.58"/>
    <n v="781615.87"/>
    <n v="6320"/>
  </r>
  <r>
    <x v="28"/>
    <x v="2"/>
    <s v="SA"/>
    <s v="Known gap agreement"/>
    <s v="More than 150% MBS Fee to 200% MBS Fee"/>
    <n v="11673413.25"/>
    <n v="4936788.54"/>
    <n v="4977193"/>
    <n v="16063"/>
  </r>
  <r>
    <x v="28"/>
    <x v="2"/>
    <s v="SA"/>
    <s v="Known gap agreement"/>
    <s v="More than 200% MBS Fee"/>
    <n v="15073328.9"/>
    <n v="4222976.21"/>
    <n v="4763916.1900000004"/>
    <n v="51204"/>
  </r>
  <r>
    <x v="28"/>
    <x v="2"/>
    <s v="SA"/>
    <s v="No gap agreement"/>
    <s v="Up to MBS Fee"/>
    <n v="8694940.6999999993"/>
    <n v="6533409.21"/>
    <n v="2161531.4900000002"/>
    <n v="203837"/>
  </r>
  <r>
    <x v="28"/>
    <x v="2"/>
    <s v="SA"/>
    <s v="No gap agreement"/>
    <s v="100% MBS Fee to 125% MBS Fee"/>
    <n v="16204312.449999999"/>
    <n v="10188359.23"/>
    <n v="6015859.9699999997"/>
    <n v="123100"/>
  </r>
  <r>
    <x v="28"/>
    <x v="2"/>
    <s v="SA"/>
    <s v="No gap agreement"/>
    <s v="More than 125% MBS Fee to 150% MBS Fee"/>
    <n v="33021656.98"/>
    <n v="17862726.23"/>
    <n v="15158909.779999999"/>
    <n v="202234"/>
  </r>
  <r>
    <x v="28"/>
    <x v="2"/>
    <s v="SA"/>
    <s v="No gap agreement"/>
    <s v="More than 150% MBS Fee to 200% MBS Fee"/>
    <n v="30404145.140000001"/>
    <n v="14078630.43"/>
    <n v="16325512.359999999"/>
    <n v="142307"/>
  </r>
  <r>
    <x v="28"/>
    <x v="2"/>
    <s v="SA"/>
    <s v="No gap agreement"/>
    <s v="More than 200% MBS Fee"/>
    <n v="889651.38"/>
    <n v="253215.01"/>
    <n v="636436.37"/>
    <n v="823"/>
  </r>
  <r>
    <x v="28"/>
    <x v="2"/>
    <s v="WA"/>
    <s v="No agreement"/>
    <s v="Up to MBS Fee"/>
    <n v="2016545.87"/>
    <n v="1528140.96"/>
    <n v="485029.95"/>
    <n v="27597"/>
  </r>
  <r>
    <x v="28"/>
    <x v="2"/>
    <s v="WA"/>
    <s v="No agreement"/>
    <s v="100% MBS Fee to 125% MBS Fee"/>
    <n v="370241.89"/>
    <n v="245502.69"/>
    <n v="81484.23"/>
    <n v="993"/>
  </r>
  <r>
    <x v="28"/>
    <x v="2"/>
    <s v="WA"/>
    <s v="No agreement"/>
    <s v="More than 125% MBS Fee to 150% MBS Fee"/>
    <n v="487335.6"/>
    <n v="266475.53999999998"/>
    <n v="88510.42"/>
    <n v="1085"/>
  </r>
  <r>
    <x v="28"/>
    <x v="2"/>
    <s v="WA"/>
    <s v="No agreement"/>
    <s v="More than 150% MBS Fee to 200% MBS Fee"/>
    <n v="1756684.04"/>
    <n v="765659.88"/>
    <n v="256196.37"/>
    <n v="8849"/>
  </r>
  <r>
    <x v="28"/>
    <x v="2"/>
    <s v="WA"/>
    <s v="No agreement"/>
    <s v="More than 200% MBS Fee"/>
    <n v="9988767.6899999995"/>
    <n v="1943615.24"/>
    <n v="654471.55000000005"/>
    <n v="9564"/>
  </r>
  <r>
    <x v="28"/>
    <x v="2"/>
    <s v="WA"/>
    <s v="Known gap agreement"/>
    <s v="100% MBS Fee to 125% MBS Fee"/>
    <n v="631213.73"/>
    <n v="408040.05"/>
    <n v="192938.73"/>
    <n v="3073"/>
  </r>
  <r>
    <x v="28"/>
    <x v="2"/>
    <s v="WA"/>
    <s v="Known gap agreement"/>
    <s v="More than 125% MBS Fee to 150% MBS Fee"/>
    <n v="3136855.25"/>
    <n v="1688207.2"/>
    <n v="1228682.3799999999"/>
    <n v="24205"/>
  </r>
  <r>
    <x v="28"/>
    <x v="2"/>
    <s v="WA"/>
    <s v="Known gap agreement"/>
    <s v="More than 150% MBS Fee to 200% MBS Fee"/>
    <n v="9800724.0800000001"/>
    <n v="4284137.5599999996"/>
    <n v="3897806.84"/>
    <n v="15461"/>
  </r>
  <r>
    <x v="28"/>
    <x v="2"/>
    <s v="WA"/>
    <s v="Known gap agreement"/>
    <s v="More than 200% MBS Fee"/>
    <n v="22088825.02"/>
    <n v="5268047.42"/>
    <n v="3783800.47"/>
    <n v="50496"/>
  </r>
  <r>
    <x v="28"/>
    <x v="2"/>
    <s v="WA"/>
    <s v="No gap agreement"/>
    <s v="Up to MBS Fee"/>
    <n v="11991661.210000001"/>
    <n v="9012421.8399999999"/>
    <n v="2979239.37"/>
    <n v="196827"/>
  </r>
  <r>
    <x v="28"/>
    <x v="2"/>
    <s v="WA"/>
    <s v="No gap agreement"/>
    <s v="100% MBS Fee to 125% MBS Fee"/>
    <n v="12883559.109999999"/>
    <n v="8324203.5"/>
    <n v="4559313.75"/>
    <n v="87756"/>
  </r>
  <r>
    <x v="28"/>
    <x v="2"/>
    <s v="WA"/>
    <s v="No gap agreement"/>
    <s v="More than 125% MBS Fee to 150% MBS Fee"/>
    <n v="54032850.170000002"/>
    <n v="29557153.219999999"/>
    <n v="24475694.960000001"/>
    <n v="341389"/>
  </r>
  <r>
    <x v="28"/>
    <x v="2"/>
    <s v="WA"/>
    <s v="No gap agreement"/>
    <s v="More than 150% MBS Fee to 200% MBS Fee"/>
    <n v="56660966.149999999"/>
    <n v="25342803.52"/>
    <n v="31318141.77"/>
    <n v="251143"/>
  </r>
  <r>
    <x v="28"/>
    <x v="2"/>
    <s v="WA"/>
    <s v="No gap agreement"/>
    <s v="More than 200% MBS Fee"/>
    <n v="1945626.89"/>
    <n v="520425.39"/>
    <n v="1425201.5"/>
    <n v="1497"/>
  </r>
  <r>
    <x v="28"/>
    <x v="2"/>
    <s v="TAS"/>
    <s v="No agreement"/>
    <s v="Up to MBS Fee"/>
    <n v="304004.51"/>
    <n v="227674.05"/>
    <n v="75803.259999999995"/>
    <n v="4066"/>
  </r>
  <r>
    <x v="28"/>
    <x v="2"/>
    <s v="TAS"/>
    <s v="No agreement"/>
    <s v="100% MBS Fee to 125% MBS Fee"/>
    <n v="111471.8"/>
    <n v="74821.05"/>
    <n v="25015.05"/>
    <n v="192"/>
  </r>
  <r>
    <x v="28"/>
    <x v="2"/>
    <s v="TAS"/>
    <s v="No agreement"/>
    <s v="More than 125% MBS Fee to 150% MBS Fee"/>
    <n v="43874.879999999997"/>
    <n v="23750.42"/>
    <n v="8366.4699999999993"/>
    <n v="164"/>
  </r>
  <r>
    <x v="28"/>
    <x v="2"/>
    <s v="TAS"/>
    <s v="No agreement"/>
    <s v="More than 150% MBS Fee to 200% MBS Fee"/>
    <n v="185106.65"/>
    <n v="78646.81"/>
    <n v="25997.4"/>
    <n v="309"/>
  </r>
  <r>
    <x v="28"/>
    <x v="2"/>
    <s v="TAS"/>
    <s v="No agreement"/>
    <s v="More than 200% MBS Fee"/>
    <n v="2591518.7000000002"/>
    <n v="554432.04"/>
    <n v="186425.37"/>
    <n v="1579"/>
  </r>
  <r>
    <x v="28"/>
    <x v="2"/>
    <s v="TAS"/>
    <s v="Known gap agreement"/>
    <s v="100% MBS Fee to 125% MBS Fee"/>
    <n v="199607.62"/>
    <n v="128557.18"/>
    <n v="63138.9"/>
    <n v="1189"/>
  </r>
  <r>
    <x v="28"/>
    <x v="2"/>
    <s v="TAS"/>
    <s v="Known gap agreement"/>
    <s v="More than 125% MBS Fee to 150% MBS Fee"/>
    <n v="499066.24"/>
    <n v="265660.77"/>
    <n v="212643.68"/>
    <n v="2041"/>
  </r>
  <r>
    <x v="28"/>
    <x v="2"/>
    <s v="TAS"/>
    <s v="Known gap agreement"/>
    <s v="More than 150% MBS Fee to 200% MBS Fee"/>
    <n v="2896837.56"/>
    <n v="1238753.8799999999"/>
    <n v="1261268.8"/>
    <n v="3527"/>
  </r>
  <r>
    <x v="28"/>
    <x v="2"/>
    <s v="TAS"/>
    <s v="Known gap agreement"/>
    <s v="More than 200% MBS Fee"/>
    <n v="3471950.95"/>
    <n v="909788.26"/>
    <n v="1021587.89"/>
    <n v="6726"/>
  </r>
  <r>
    <x v="28"/>
    <x v="2"/>
    <s v="TAS"/>
    <s v="No gap agreement"/>
    <s v="Up to MBS Fee"/>
    <n v="1910322.89"/>
    <n v="1435561.37"/>
    <n v="474761.52"/>
    <n v="33889"/>
  </r>
  <r>
    <x v="28"/>
    <x v="2"/>
    <s v="TAS"/>
    <s v="No gap agreement"/>
    <s v="100% MBS Fee to 125% MBS Fee"/>
    <n v="3128639.99"/>
    <n v="1968886.18"/>
    <n v="1159752.26"/>
    <n v="21305"/>
  </r>
  <r>
    <x v="28"/>
    <x v="2"/>
    <s v="TAS"/>
    <s v="No gap agreement"/>
    <s v="More than 125% MBS Fee to 150% MBS Fee"/>
    <n v="9984610.3300000001"/>
    <n v="5445899.0899999999"/>
    <n v="4538710.42"/>
    <n v="61513"/>
  </r>
  <r>
    <x v="28"/>
    <x v="2"/>
    <s v="TAS"/>
    <s v="No gap agreement"/>
    <s v="More than 150% MBS Fee to 200% MBS Fee"/>
    <n v="11518990.119999999"/>
    <n v="5300814.0999999996"/>
    <n v="6218175.7300000004"/>
    <n v="57000"/>
  </r>
  <r>
    <x v="28"/>
    <x v="2"/>
    <s v="TAS"/>
    <s v="No gap agreement"/>
    <s v="More than 200% MBS Fee"/>
    <n v="278499.77"/>
    <n v="77626.12"/>
    <n v="200873.65"/>
    <n v="203"/>
  </r>
  <r>
    <x v="28"/>
    <x v="2"/>
    <s v="ACT"/>
    <s v="No agreement"/>
    <s v="Up to MBS Fee"/>
    <n v="439607.45"/>
    <n v="325559.5"/>
    <n v="103913.58"/>
    <n v="3516"/>
  </r>
  <r>
    <x v="28"/>
    <x v="2"/>
    <s v="ACT"/>
    <s v="No agreement"/>
    <s v="100% MBS Fee to 125% MBS Fee"/>
    <n v="50023.94"/>
    <n v="33456.199999999997"/>
    <n v="11411.37"/>
    <n v="163"/>
  </r>
  <r>
    <x v="28"/>
    <x v="2"/>
    <s v="ACT"/>
    <s v="No agreement"/>
    <s v="More than 125% MBS Fee to 150% MBS Fee"/>
    <n v="103664.06"/>
    <n v="55251.41"/>
    <n v="19586.650000000001"/>
    <n v="190"/>
  </r>
  <r>
    <x v="28"/>
    <x v="2"/>
    <s v="ACT"/>
    <s v="No agreement"/>
    <s v="More than 150% MBS Fee to 200% MBS Fee"/>
    <n v="422232.38"/>
    <n v="183198.72"/>
    <n v="62917.86"/>
    <n v="1408"/>
  </r>
  <r>
    <x v="28"/>
    <x v="2"/>
    <s v="ACT"/>
    <s v="No agreement"/>
    <s v="More than 200% MBS Fee"/>
    <n v="9750282.3000000007"/>
    <n v="2073435.02"/>
    <n v="693094.84"/>
    <n v="7939"/>
  </r>
  <r>
    <x v="28"/>
    <x v="2"/>
    <s v="ACT"/>
    <s v="Known gap agreement"/>
    <s v="100% MBS Fee to 125% MBS Fee"/>
    <n v="108581.99"/>
    <n v="71262.350000000006"/>
    <n v="33192.86"/>
    <n v="367"/>
  </r>
  <r>
    <x v="28"/>
    <x v="2"/>
    <s v="ACT"/>
    <s v="Known gap agreement"/>
    <s v="More than 125% MBS Fee to 150% MBS Fee"/>
    <n v="195051.68"/>
    <n v="104203.59"/>
    <n v="81088.17"/>
    <n v="430"/>
  </r>
  <r>
    <x v="28"/>
    <x v="2"/>
    <s v="ACT"/>
    <s v="Known gap agreement"/>
    <s v="More than 150% MBS Fee to 200% MBS Fee"/>
    <n v="790941.86"/>
    <n v="343180.04"/>
    <n v="332419.5"/>
    <n v="1587"/>
  </r>
  <r>
    <x v="28"/>
    <x v="2"/>
    <s v="ACT"/>
    <s v="Known gap agreement"/>
    <s v="More than 200% MBS Fee"/>
    <n v="5299224.5599999996"/>
    <n v="1174554.1499999999"/>
    <n v="1198405.98"/>
    <n v="14739"/>
  </r>
  <r>
    <x v="28"/>
    <x v="2"/>
    <s v="ACT"/>
    <s v="No gap agreement"/>
    <s v="Up to MBS Fee"/>
    <n v="436596.26"/>
    <n v="328985.57"/>
    <n v="107610.69"/>
    <n v="8358"/>
  </r>
  <r>
    <x v="28"/>
    <x v="2"/>
    <s v="ACT"/>
    <s v="No gap agreement"/>
    <s v="100% MBS Fee to 125% MBS Fee"/>
    <n v="1665330.82"/>
    <n v="1065044.46"/>
    <n v="600285.52"/>
    <n v="11054"/>
  </r>
  <r>
    <x v="28"/>
    <x v="2"/>
    <s v="ACT"/>
    <s v="No gap agreement"/>
    <s v="More than 125% MBS Fee to 150% MBS Fee"/>
    <n v="4622443.3600000003"/>
    <n v="2558555.79"/>
    <n v="2063883.05"/>
    <n v="38561"/>
  </r>
  <r>
    <x v="28"/>
    <x v="2"/>
    <s v="ACT"/>
    <s v="No gap agreement"/>
    <s v="More than 150% MBS Fee to 200% MBS Fee"/>
    <n v="3494840.75"/>
    <n v="1606919.41"/>
    <n v="1887908.94"/>
    <n v="19429"/>
  </r>
  <r>
    <x v="28"/>
    <x v="2"/>
    <s v="ACT"/>
    <s v="No gap agreement"/>
    <s v="More than 200% MBS Fee"/>
    <n v="211468.5"/>
    <n v="61623.74"/>
    <n v="149844.76"/>
    <n v="258"/>
  </r>
  <r>
    <x v="28"/>
    <x v="2"/>
    <s v="NT"/>
    <s v="No agreement"/>
    <s v="Up to MBS Fee"/>
    <n v="180191.49"/>
    <n v="128247.6"/>
    <n v="42550.6"/>
    <n v="1368"/>
  </r>
  <r>
    <x v="28"/>
    <x v="2"/>
    <s v="NT"/>
    <s v="No agreement"/>
    <s v="100% MBS Fee to 125% MBS Fee"/>
    <n v="27799.74"/>
    <n v="18832.05"/>
    <n v="6506.35"/>
    <n v="62"/>
  </r>
  <r>
    <x v="28"/>
    <x v="2"/>
    <s v="NT"/>
    <s v="No agreement"/>
    <s v="More than 125% MBS Fee to 150% MBS Fee"/>
    <n v="19994"/>
    <n v="10653.3"/>
    <n v="3657.25"/>
    <n v="46"/>
  </r>
  <r>
    <x v="28"/>
    <x v="2"/>
    <s v="NT"/>
    <s v="No agreement"/>
    <s v="More than 150% MBS Fee to 200% MBS Fee"/>
    <n v="93425.63"/>
    <n v="39829.480000000003"/>
    <n v="13114.85"/>
    <n v="241"/>
  </r>
  <r>
    <x v="28"/>
    <x v="2"/>
    <s v="NT"/>
    <s v="No agreement"/>
    <s v="More than 200% MBS Fee"/>
    <n v="1648350.45"/>
    <n v="360850.95"/>
    <n v="122553.44"/>
    <n v="929"/>
  </r>
  <r>
    <x v="28"/>
    <x v="2"/>
    <s v="NT"/>
    <s v="Known gap agreement"/>
    <s v="100% MBS Fee to 125% MBS Fee"/>
    <n v="17068.77"/>
    <n v="10941.63"/>
    <n v="4905"/>
    <n v="77"/>
  </r>
  <r>
    <x v="28"/>
    <x v="2"/>
    <s v="NT"/>
    <s v="Known gap agreement"/>
    <s v="More than 125% MBS Fee to 150% MBS Fee"/>
    <n v="73796.08"/>
    <n v="39138.86"/>
    <n v="29636.26"/>
    <n v="208"/>
  </r>
  <r>
    <x v="28"/>
    <x v="2"/>
    <s v="NT"/>
    <s v="Known gap agreement"/>
    <s v="More than 150% MBS Fee to 200% MBS Fee"/>
    <n v="262250.40000000002"/>
    <n v="110565.31"/>
    <n v="110645.63"/>
    <n v="396"/>
  </r>
  <r>
    <x v="28"/>
    <x v="2"/>
    <s v="NT"/>
    <s v="Known gap agreement"/>
    <s v="More than 200% MBS Fee"/>
    <n v="738799.76"/>
    <n v="191967.96"/>
    <n v="212250.83"/>
    <n v="2358"/>
  </r>
  <r>
    <x v="28"/>
    <x v="2"/>
    <s v="NT"/>
    <s v="No gap agreement"/>
    <s v="Up to MBS Fee"/>
    <n v="353020.67"/>
    <n v="264844.56"/>
    <n v="88179.76"/>
    <n v="5649"/>
  </r>
  <r>
    <x v="28"/>
    <x v="2"/>
    <s v="NT"/>
    <s v="No gap agreement"/>
    <s v="100% MBS Fee to 125% MBS Fee"/>
    <n v="605015.56000000006"/>
    <n v="384125.45"/>
    <n v="220890.07"/>
    <n v="4170"/>
  </r>
  <r>
    <x v="28"/>
    <x v="2"/>
    <s v="NT"/>
    <s v="No gap agreement"/>
    <s v="More than 125% MBS Fee to 150% MBS Fee"/>
    <n v="1573394.22"/>
    <n v="853191.05"/>
    <n v="720201.7"/>
    <n v="7196"/>
  </r>
  <r>
    <x v="28"/>
    <x v="2"/>
    <s v="NT"/>
    <s v="No gap agreement"/>
    <s v="More than 150% MBS Fee to 200% MBS Fee"/>
    <n v="1656892.06"/>
    <n v="764046.15"/>
    <n v="892841.64"/>
    <n v="8997"/>
  </r>
  <r>
    <x v="28"/>
    <x v="2"/>
    <s v="NT"/>
    <s v="No gap agreement"/>
    <s v="More than 200% MBS Fee"/>
    <n v="58457.58"/>
    <n v="19074.75"/>
    <n v="39382.83"/>
    <n v="80"/>
  </r>
  <r>
    <x v="28"/>
    <x v="3"/>
    <s v="NSW"/>
    <s v="No agreement"/>
    <s v="Up to MBS Fee"/>
    <n v="36043905.399999999"/>
    <n v="26942530.82"/>
    <n v="9079817.5299999993"/>
    <n v="273483"/>
  </r>
  <r>
    <x v="28"/>
    <x v="3"/>
    <s v="NSW"/>
    <s v="No agreement"/>
    <s v="100% MBS Fee to 125% MBS Fee"/>
    <n v="2913075.72"/>
    <n v="1962662.51"/>
    <n v="675130.8"/>
    <n v="10510"/>
  </r>
  <r>
    <x v="28"/>
    <x v="3"/>
    <s v="NSW"/>
    <s v="No agreement"/>
    <s v="More than 125% MBS Fee to 150% MBS Fee"/>
    <n v="1947595.8"/>
    <n v="1055010.19"/>
    <n v="362274.38"/>
    <n v="4285"/>
  </r>
  <r>
    <x v="28"/>
    <x v="3"/>
    <s v="NSW"/>
    <s v="No agreement"/>
    <s v="More than 150% MBS Fee to 200% MBS Fee"/>
    <n v="6456412.9699999997"/>
    <n v="2754408.41"/>
    <n v="997799.25"/>
    <n v="16372"/>
  </r>
  <r>
    <x v="28"/>
    <x v="3"/>
    <s v="NSW"/>
    <s v="No agreement"/>
    <s v="More than 200% MBS Fee"/>
    <n v="96199277.790000007"/>
    <n v="20101792.18"/>
    <n v="6784081.0599999996"/>
    <n v="79054"/>
  </r>
  <r>
    <x v="28"/>
    <x v="3"/>
    <s v="NSW"/>
    <s v="Known gap agreement"/>
    <s v="100% MBS Fee to 125% MBS Fee"/>
    <n v="3005993.43"/>
    <n v="1970347.14"/>
    <n v="875210.91"/>
    <n v="13106"/>
  </r>
  <r>
    <x v="28"/>
    <x v="3"/>
    <s v="NSW"/>
    <s v="Known gap agreement"/>
    <s v="More than 125% MBS Fee to 150% MBS Fee"/>
    <n v="6124329.1200000001"/>
    <n v="3264668.55"/>
    <n v="2557770.2000000002"/>
    <n v="16206"/>
  </r>
  <r>
    <x v="28"/>
    <x v="3"/>
    <s v="NSW"/>
    <s v="Known gap agreement"/>
    <s v="More than 150% MBS Fee to 200% MBS Fee"/>
    <n v="17091183.760000002"/>
    <n v="7377501.75"/>
    <n v="7284784.6600000001"/>
    <n v="29481"/>
  </r>
  <r>
    <x v="28"/>
    <x v="3"/>
    <s v="NSW"/>
    <s v="Known gap agreement"/>
    <s v="More than 200% MBS Fee"/>
    <n v="46208039.229999997"/>
    <n v="12033987.77"/>
    <n v="13853407.619999999"/>
    <n v="155032"/>
  </r>
  <r>
    <x v="28"/>
    <x v="3"/>
    <s v="NSW"/>
    <s v="No gap agreement"/>
    <s v="Up to MBS Fee"/>
    <n v="28195263.879999999"/>
    <n v="21205198.920000002"/>
    <n v="6990072.6600000001"/>
    <n v="1013598"/>
  </r>
  <r>
    <x v="28"/>
    <x v="3"/>
    <s v="NSW"/>
    <s v="No gap agreement"/>
    <s v="100% MBS Fee to 125% MBS Fee"/>
    <n v="53956385.380000003"/>
    <n v="34420426.329999998"/>
    <n v="19535835.93"/>
    <n v="427446"/>
  </r>
  <r>
    <x v="28"/>
    <x v="3"/>
    <s v="NSW"/>
    <s v="No gap agreement"/>
    <s v="More than 125% MBS Fee to 150% MBS Fee"/>
    <n v="106653408.09999999"/>
    <n v="58467774.479999997"/>
    <n v="48185603.869999997"/>
    <n v="571026"/>
  </r>
  <r>
    <x v="28"/>
    <x v="3"/>
    <s v="NSW"/>
    <s v="No gap agreement"/>
    <s v="More than 150% MBS Fee to 200% MBS Fee"/>
    <n v="104631267.58"/>
    <n v="47875391.140000001"/>
    <n v="56755839.899999999"/>
    <n v="583245"/>
  </r>
  <r>
    <x v="28"/>
    <x v="3"/>
    <s v="NSW"/>
    <s v="No gap agreement"/>
    <s v="More than 200% MBS Fee"/>
    <n v="5874849.8200000003"/>
    <n v="1674934.78"/>
    <n v="4199915.04"/>
    <n v="6503"/>
  </r>
  <r>
    <x v="28"/>
    <x v="3"/>
    <s v="VIC"/>
    <s v="No agreement"/>
    <s v="Up to MBS Fee"/>
    <n v="5170606.13"/>
    <n v="3844822.94"/>
    <n v="1271340.95"/>
    <n v="103565"/>
  </r>
  <r>
    <x v="28"/>
    <x v="3"/>
    <s v="VIC"/>
    <s v="No agreement"/>
    <s v="100% MBS Fee to 125% MBS Fee"/>
    <n v="1025706.37"/>
    <n v="680233.61"/>
    <n v="228159.44"/>
    <n v="2749"/>
  </r>
  <r>
    <x v="28"/>
    <x v="3"/>
    <s v="VIC"/>
    <s v="No agreement"/>
    <s v="More than 125% MBS Fee to 150% MBS Fee"/>
    <n v="1440252.64"/>
    <n v="773706.12"/>
    <n v="261019.84"/>
    <n v="5853"/>
  </r>
  <r>
    <x v="28"/>
    <x v="3"/>
    <s v="VIC"/>
    <s v="No agreement"/>
    <s v="More than 150% MBS Fee to 200% MBS Fee"/>
    <n v="3672456.3"/>
    <n v="1603188.64"/>
    <n v="534822.56999999995"/>
    <n v="12636"/>
  </r>
  <r>
    <x v="28"/>
    <x v="3"/>
    <s v="VIC"/>
    <s v="No agreement"/>
    <s v="More than 200% MBS Fee"/>
    <n v="36069764.359999999"/>
    <n v="7762861.8099999996"/>
    <n v="2601704.62"/>
    <n v="29386"/>
  </r>
  <r>
    <x v="28"/>
    <x v="3"/>
    <s v="VIC"/>
    <s v="Known gap agreement"/>
    <s v="100% MBS Fee to 125% MBS Fee"/>
    <n v="2409819.04"/>
    <n v="1575407.41"/>
    <n v="694803.01"/>
    <n v="11672"/>
  </r>
  <r>
    <x v="28"/>
    <x v="3"/>
    <s v="VIC"/>
    <s v="Known gap agreement"/>
    <s v="More than 125% MBS Fee to 150% MBS Fee"/>
    <n v="7124240.9299999997"/>
    <n v="3809436.51"/>
    <n v="2785081.83"/>
    <n v="21666"/>
  </r>
  <r>
    <x v="28"/>
    <x v="3"/>
    <s v="VIC"/>
    <s v="Known gap agreement"/>
    <s v="More than 150% MBS Fee to 200% MBS Fee"/>
    <n v="19900497.48"/>
    <n v="8549489.7200000007"/>
    <n v="8046257.5899999999"/>
    <n v="34515"/>
  </r>
  <r>
    <x v="28"/>
    <x v="3"/>
    <s v="VIC"/>
    <s v="Known gap agreement"/>
    <s v="More than 200% MBS Fee"/>
    <n v="49266030.890000001"/>
    <n v="13070264.859999999"/>
    <n v="14135229.6"/>
    <n v="171503"/>
  </r>
  <r>
    <x v="28"/>
    <x v="3"/>
    <s v="VIC"/>
    <s v="No gap agreement"/>
    <s v="Up to MBS Fee"/>
    <n v="21666086.559999999"/>
    <n v="16286972.92"/>
    <n v="5379117.1399999997"/>
    <n v="344599"/>
  </r>
  <r>
    <x v="28"/>
    <x v="3"/>
    <s v="VIC"/>
    <s v="No gap agreement"/>
    <s v="100% MBS Fee to 125% MBS Fee"/>
    <n v="57917068.890000001"/>
    <n v="36890501.789999999"/>
    <n v="21026357.600000001"/>
    <n v="460454"/>
  </r>
  <r>
    <x v="28"/>
    <x v="3"/>
    <s v="VIC"/>
    <s v="No gap agreement"/>
    <s v="More than 125% MBS Fee to 150% MBS Fee"/>
    <n v="112004636.34"/>
    <n v="61575480.909999996"/>
    <n v="50429080.850000001"/>
    <n v="650616"/>
  </r>
  <r>
    <x v="28"/>
    <x v="3"/>
    <s v="VIC"/>
    <s v="No gap agreement"/>
    <s v="More than 150% MBS Fee to 200% MBS Fee"/>
    <n v="74067552.859999999"/>
    <n v="34125535.219999999"/>
    <n v="39941993.200000003"/>
    <n v="464391"/>
  </r>
  <r>
    <x v="28"/>
    <x v="3"/>
    <s v="VIC"/>
    <s v="No gap agreement"/>
    <s v="More than 200% MBS Fee"/>
    <n v="2818980.82"/>
    <n v="799025.93"/>
    <n v="2019954.89"/>
    <n v="2753"/>
  </r>
  <r>
    <x v="28"/>
    <x v="3"/>
    <s v="QLD"/>
    <s v="No agreement"/>
    <s v="Up to MBS Fee"/>
    <n v="3885354.34"/>
    <n v="2864794.33"/>
    <n v="947923.69"/>
    <n v="58593"/>
  </r>
  <r>
    <x v="28"/>
    <x v="3"/>
    <s v="QLD"/>
    <s v="No agreement"/>
    <s v="100% MBS Fee to 125% MBS Fee"/>
    <n v="1092733.67"/>
    <n v="726850.2"/>
    <n v="243164.86"/>
    <n v="2381"/>
  </r>
  <r>
    <x v="28"/>
    <x v="3"/>
    <s v="QLD"/>
    <s v="No agreement"/>
    <s v="More than 125% MBS Fee to 150% MBS Fee"/>
    <n v="1165243.08"/>
    <n v="633237.21"/>
    <n v="208636.48"/>
    <n v="2474"/>
  </r>
  <r>
    <x v="28"/>
    <x v="3"/>
    <s v="QLD"/>
    <s v="No agreement"/>
    <s v="More than 150% MBS Fee to 200% MBS Fee"/>
    <n v="4213812.9800000004"/>
    <n v="1820271.95"/>
    <n v="608726.59"/>
    <n v="18347"/>
  </r>
  <r>
    <x v="28"/>
    <x v="3"/>
    <s v="QLD"/>
    <s v="No agreement"/>
    <s v="More than 200% MBS Fee"/>
    <n v="47118673.689999998"/>
    <n v="10165480.77"/>
    <n v="3405837.92"/>
    <n v="39985"/>
  </r>
  <r>
    <x v="28"/>
    <x v="3"/>
    <s v="QLD"/>
    <s v="Known gap agreement"/>
    <s v="100% MBS Fee to 125% MBS Fee"/>
    <n v="1565321.88"/>
    <n v="1007846.98"/>
    <n v="441429.01"/>
    <n v="6858"/>
  </r>
  <r>
    <x v="28"/>
    <x v="3"/>
    <s v="QLD"/>
    <s v="Known gap agreement"/>
    <s v="More than 125% MBS Fee to 150% MBS Fee"/>
    <n v="5101998"/>
    <n v="2715862.99"/>
    <n v="2032381.56"/>
    <n v="18363"/>
  </r>
  <r>
    <x v="28"/>
    <x v="3"/>
    <s v="QLD"/>
    <s v="Known gap agreement"/>
    <s v="More than 150% MBS Fee to 200% MBS Fee"/>
    <n v="20183509.469999999"/>
    <n v="8570938.1600000001"/>
    <n v="8380823.5"/>
    <n v="32266"/>
  </r>
  <r>
    <x v="28"/>
    <x v="3"/>
    <s v="QLD"/>
    <s v="Known gap agreement"/>
    <s v="More than 200% MBS Fee"/>
    <n v="47820146.299999997"/>
    <n v="11953674.57"/>
    <n v="13354442.699999999"/>
    <n v="125297"/>
  </r>
  <r>
    <x v="28"/>
    <x v="3"/>
    <s v="QLD"/>
    <s v="No gap agreement"/>
    <s v="Up to MBS Fee"/>
    <n v="17219957.260000002"/>
    <n v="12933966.98"/>
    <n v="4285988.4800000004"/>
    <n v="259569"/>
  </r>
  <r>
    <x v="28"/>
    <x v="3"/>
    <s v="QLD"/>
    <s v="No gap agreement"/>
    <s v="100% MBS Fee to 125% MBS Fee"/>
    <n v="48067804.490000002"/>
    <n v="30641602.140000001"/>
    <n v="17425936.68"/>
    <n v="407713"/>
  </r>
  <r>
    <x v="28"/>
    <x v="3"/>
    <s v="QLD"/>
    <s v="No gap agreement"/>
    <s v="More than 125% MBS Fee to 150% MBS Fee"/>
    <n v="78432149.810000002"/>
    <n v="43376131.509999998"/>
    <n v="35055948.390000001"/>
    <n v="598802"/>
  </r>
  <r>
    <x v="28"/>
    <x v="3"/>
    <s v="QLD"/>
    <s v="No gap agreement"/>
    <s v="More than 150% MBS Fee to 200% MBS Fee"/>
    <n v="66454714.539999999"/>
    <n v="30539165.52"/>
    <n v="35915036.049999997"/>
    <n v="441929"/>
  </r>
  <r>
    <x v="28"/>
    <x v="3"/>
    <s v="QLD"/>
    <s v="No gap agreement"/>
    <s v="More than 200% MBS Fee"/>
    <n v="3681104.4"/>
    <n v="1086301.94"/>
    <n v="2594801.92"/>
    <n v="4831"/>
  </r>
  <r>
    <x v="28"/>
    <x v="3"/>
    <s v="SA"/>
    <s v="No agreement"/>
    <s v="Up to MBS Fee"/>
    <n v="1460041.63"/>
    <n v="1084808.92"/>
    <n v="359398.87"/>
    <n v="8190"/>
  </r>
  <r>
    <x v="28"/>
    <x v="3"/>
    <s v="SA"/>
    <s v="No agreement"/>
    <s v="100% MBS Fee to 125% MBS Fee"/>
    <n v="366065.11"/>
    <n v="243589.98"/>
    <n v="81166.350000000006"/>
    <n v="441"/>
  </r>
  <r>
    <x v="28"/>
    <x v="3"/>
    <s v="SA"/>
    <s v="No agreement"/>
    <s v="More than 125% MBS Fee to 150% MBS Fee"/>
    <n v="209447.45"/>
    <n v="113196.86"/>
    <n v="37066.06"/>
    <n v="340"/>
  </r>
  <r>
    <x v="28"/>
    <x v="3"/>
    <s v="SA"/>
    <s v="No agreement"/>
    <s v="More than 150% MBS Fee to 200% MBS Fee"/>
    <n v="462096.01"/>
    <n v="197624.37"/>
    <n v="66370.12"/>
    <n v="991"/>
  </r>
  <r>
    <x v="28"/>
    <x v="3"/>
    <s v="SA"/>
    <s v="No agreement"/>
    <s v="More than 200% MBS Fee"/>
    <n v="5609044.0599999996"/>
    <n v="1148664.5"/>
    <n v="388029.74"/>
    <n v="3361"/>
  </r>
  <r>
    <x v="28"/>
    <x v="3"/>
    <s v="SA"/>
    <s v="Known gap agreement"/>
    <s v="100% MBS Fee to 125% MBS Fee"/>
    <n v="488512.77"/>
    <n v="306521.31"/>
    <n v="149661.57999999999"/>
    <n v="2268"/>
  </r>
  <r>
    <x v="28"/>
    <x v="3"/>
    <s v="SA"/>
    <s v="Known gap agreement"/>
    <s v="More than 125% MBS Fee to 150% MBS Fee"/>
    <n v="1857555.3"/>
    <n v="993562.96"/>
    <n v="765555.04"/>
    <n v="6362"/>
  </r>
  <r>
    <x v="28"/>
    <x v="3"/>
    <s v="SA"/>
    <s v="Known gap agreement"/>
    <s v="More than 150% MBS Fee to 200% MBS Fee"/>
    <n v="10976960.34"/>
    <n v="4660429.0599999996"/>
    <n v="4722141.9400000004"/>
    <n v="16425"/>
  </r>
  <r>
    <x v="28"/>
    <x v="3"/>
    <s v="SA"/>
    <s v="Known gap agreement"/>
    <s v="More than 200% MBS Fee"/>
    <n v="13443774.699999999"/>
    <n v="3823625.99"/>
    <n v="4329796.16"/>
    <n v="47257"/>
  </r>
  <r>
    <x v="28"/>
    <x v="3"/>
    <s v="SA"/>
    <s v="No gap agreement"/>
    <s v="Up to MBS Fee"/>
    <n v="7870353.29"/>
    <n v="5910261.4000000004"/>
    <n v="1960091.89"/>
    <n v="176881"/>
  </r>
  <r>
    <x v="28"/>
    <x v="3"/>
    <s v="SA"/>
    <s v="No gap agreement"/>
    <s v="100% MBS Fee to 125% MBS Fee"/>
    <n v="14805906.93"/>
    <n v="9311397.6699999999"/>
    <n v="5494433.8899999997"/>
    <n v="114760"/>
  </r>
  <r>
    <x v="28"/>
    <x v="3"/>
    <s v="SA"/>
    <s v="No gap agreement"/>
    <s v="More than 125% MBS Fee to 150% MBS Fee"/>
    <n v="31247033.620000001"/>
    <n v="16907752.300000001"/>
    <n v="14339256.08"/>
    <n v="187216"/>
  </r>
  <r>
    <x v="28"/>
    <x v="3"/>
    <s v="SA"/>
    <s v="No gap agreement"/>
    <s v="More than 150% MBS Fee to 200% MBS Fee"/>
    <n v="28571011.940000001"/>
    <n v="13240741.939999999"/>
    <n v="15330266.68"/>
    <n v="135113"/>
  </r>
  <r>
    <x v="28"/>
    <x v="3"/>
    <s v="SA"/>
    <s v="No gap agreement"/>
    <s v="More than 200% MBS Fee"/>
    <n v="944183.5"/>
    <n v="269062.84000000003"/>
    <n v="675119.66"/>
    <n v="763"/>
  </r>
  <r>
    <x v="28"/>
    <x v="3"/>
    <s v="WA"/>
    <s v="No agreement"/>
    <s v="Up to MBS Fee"/>
    <n v="1762828.5"/>
    <n v="1324760.21"/>
    <n v="433746.55"/>
    <n v="26711"/>
  </r>
  <r>
    <x v="28"/>
    <x v="3"/>
    <s v="WA"/>
    <s v="No agreement"/>
    <s v="100% MBS Fee to 125% MBS Fee"/>
    <n v="328959.62"/>
    <n v="220128.78"/>
    <n v="73439.210000000006"/>
    <n v="828"/>
  </r>
  <r>
    <x v="28"/>
    <x v="3"/>
    <s v="WA"/>
    <s v="No agreement"/>
    <s v="More than 125% MBS Fee to 150% MBS Fee"/>
    <n v="401650.27"/>
    <n v="218753.09"/>
    <n v="72253.31"/>
    <n v="969"/>
  </r>
  <r>
    <x v="28"/>
    <x v="3"/>
    <s v="WA"/>
    <s v="No agreement"/>
    <s v="More than 150% MBS Fee to 200% MBS Fee"/>
    <n v="1577431.44"/>
    <n v="688047.8"/>
    <n v="233350.28"/>
    <n v="7298"/>
  </r>
  <r>
    <x v="28"/>
    <x v="3"/>
    <s v="WA"/>
    <s v="No agreement"/>
    <s v="More than 200% MBS Fee"/>
    <n v="8419252.4000000004"/>
    <n v="1698697.52"/>
    <n v="576075.76"/>
    <n v="8584"/>
  </r>
  <r>
    <x v="28"/>
    <x v="3"/>
    <s v="WA"/>
    <s v="Known gap agreement"/>
    <s v="100% MBS Fee to 125% MBS Fee"/>
    <n v="545312.30000000005"/>
    <n v="355148.26"/>
    <n v="169915.42"/>
    <n v="2551"/>
  </r>
  <r>
    <x v="28"/>
    <x v="3"/>
    <s v="WA"/>
    <s v="Known gap agreement"/>
    <s v="More than 125% MBS Fee to 150% MBS Fee"/>
    <n v="2763170.05"/>
    <n v="1480507.8"/>
    <n v="1092223.8799999999"/>
    <n v="20933"/>
  </r>
  <r>
    <x v="28"/>
    <x v="3"/>
    <s v="WA"/>
    <s v="Known gap agreement"/>
    <s v="More than 150% MBS Fee to 200% MBS Fee"/>
    <n v="8305558.5199999996"/>
    <n v="3637243.27"/>
    <n v="3355983.13"/>
    <n v="13474"/>
  </r>
  <r>
    <x v="28"/>
    <x v="3"/>
    <s v="WA"/>
    <s v="Known gap agreement"/>
    <s v="More than 200% MBS Fee"/>
    <n v="18958976.850000001"/>
    <n v="4581416.57"/>
    <n v="3292301.15"/>
    <n v="44645"/>
  </r>
  <r>
    <x v="28"/>
    <x v="3"/>
    <s v="WA"/>
    <s v="No gap agreement"/>
    <s v="Up to MBS Fee"/>
    <n v="10889526.119999999"/>
    <n v="8180448.9699999997"/>
    <n v="2709100.05"/>
    <n v="170949"/>
  </r>
  <r>
    <x v="28"/>
    <x v="3"/>
    <s v="WA"/>
    <s v="No gap agreement"/>
    <s v="100% MBS Fee to 125% MBS Fee"/>
    <n v="11865483.66"/>
    <n v="7662841.6699999999"/>
    <n v="4202609.04"/>
    <n v="81037"/>
  </r>
  <r>
    <x v="28"/>
    <x v="3"/>
    <s v="WA"/>
    <s v="No gap agreement"/>
    <s v="More than 125% MBS Fee to 150% MBS Fee"/>
    <n v="48662519.359999999"/>
    <n v="26633215.539999999"/>
    <n v="22029299.289999999"/>
    <n v="305027"/>
  </r>
  <r>
    <x v="28"/>
    <x v="3"/>
    <s v="WA"/>
    <s v="No gap agreement"/>
    <s v="More than 150% MBS Fee to 200% MBS Fee"/>
    <n v="52334696.409999996"/>
    <n v="23370524.899999999"/>
    <n v="28964156.890000001"/>
    <n v="236395"/>
  </r>
  <r>
    <x v="28"/>
    <x v="3"/>
    <s v="WA"/>
    <s v="No gap agreement"/>
    <s v="More than 200% MBS Fee"/>
    <n v="2203389.2400000002"/>
    <n v="586095.80000000005"/>
    <n v="1617293.44"/>
    <n v="1609"/>
  </r>
  <r>
    <x v="28"/>
    <x v="3"/>
    <s v="TAS"/>
    <s v="No agreement"/>
    <s v="Up to MBS Fee"/>
    <n v="288822.15999999997"/>
    <n v="215021.43"/>
    <n v="71084.479999999996"/>
    <n v="3574"/>
  </r>
  <r>
    <x v="28"/>
    <x v="3"/>
    <s v="TAS"/>
    <s v="No agreement"/>
    <s v="100% MBS Fee to 125% MBS Fee"/>
    <n v="80071.649999999994"/>
    <n v="53119.38"/>
    <n v="17734.099999999999"/>
    <n v="226"/>
  </r>
  <r>
    <x v="28"/>
    <x v="3"/>
    <s v="TAS"/>
    <s v="No agreement"/>
    <s v="More than 125% MBS Fee to 150% MBS Fee"/>
    <n v="35487.14"/>
    <n v="19478.82"/>
    <n v="6321.55"/>
    <n v="166"/>
  </r>
  <r>
    <x v="28"/>
    <x v="3"/>
    <s v="TAS"/>
    <s v="No agreement"/>
    <s v="More than 150% MBS Fee to 200% MBS Fee"/>
    <n v="141458.68"/>
    <n v="60895.26"/>
    <n v="20135.98"/>
    <n v="287"/>
  </r>
  <r>
    <x v="28"/>
    <x v="3"/>
    <s v="TAS"/>
    <s v="No agreement"/>
    <s v="More than 200% MBS Fee"/>
    <n v="1891894"/>
    <n v="400614.75"/>
    <n v="134953.46"/>
    <n v="1181"/>
  </r>
  <r>
    <x v="28"/>
    <x v="3"/>
    <s v="TAS"/>
    <s v="Known gap agreement"/>
    <s v="100% MBS Fee to 125% MBS Fee"/>
    <n v="228174.06"/>
    <n v="147125.43"/>
    <n v="72446.75"/>
    <n v="1246"/>
  </r>
  <r>
    <x v="28"/>
    <x v="3"/>
    <s v="TAS"/>
    <s v="Known gap agreement"/>
    <s v="More than 125% MBS Fee to 150% MBS Fee"/>
    <n v="607051.81999999995"/>
    <n v="322588.05"/>
    <n v="241989.55"/>
    <n v="2229"/>
  </r>
  <r>
    <x v="28"/>
    <x v="3"/>
    <s v="TAS"/>
    <s v="Known gap agreement"/>
    <s v="More than 150% MBS Fee to 200% MBS Fee"/>
    <n v="2523409.02"/>
    <n v="1084718.18"/>
    <n v="1084873.94"/>
    <n v="3179"/>
  </r>
  <r>
    <x v="28"/>
    <x v="3"/>
    <s v="TAS"/>
    <s v="Known gap agreement"/>
    <s v="More than 200% MBS Fee"/>
    <n v="3018377.39"/>
    <n v="803420.87"/>
    <n v="904724.84"/>
    <n v="5771"/>
  </r>
  <r>
    <x v="28"/>
    <x v="3"/>
    <s v="TAS"/>
    <s v="No gap agreement"/>
    <s v="Up to MBS Fee"/>
    <n v="1609088.87"/>
    <n v="1208365.71"/>
    <n v="400722.69"/>
    <n v="27921"/>
  </r>
  <r>
    <x v="28"/>
    <x v="3"/>
    <s v="TAS"/>
    <s v="No gap agreement"/>
    <s v="100% MBS Fee to 125% MBS Fee"/>
    <n v="2961463.86"/>
    <n v="1863518.15"/>
    <n v="1097943.52"/>
    <n v="20101"/>
  </r>
  <r>
    <x v="28"/>
    <x v="3"/>
    <s v="TAS"/>
    <s v="No gap agreement"/>
    <s v="More than 125% MBS Fee to 150% MBS Fee"/>
    <n v="8876198.7699999996"/>
    <n v="4839867.68"/>
    <n v="4036330.57"/>
    <n v="54897"/>
  </r>
  <r>
    <x v="28"/>
    <x v="3"/>
    <s v="TAS"/>
    <s v="No gap agreement"/>
    <s v="More than 150% MBS Fee to 200% MBS Fee"/>
    <n v="10738862.289999999"/>
    <n v="4948543.47"/>
    <n v="5790312.3399999999"/>
    <n v="51875"/>
  </r>
  <r>
    <x v="28"/>
    <x v="3"/>
    <s v="TAS"/>
    <s v="No gap agreement"/>
    <s v="More than 200% MBS Fee"/>
    <n v="269729.90000000002"/>
    <n v="75375.3"/>
    <n v="194354.6"/>
    <n v="195"/>
  </r>
  <r>
    <x v="28"/>
    <x v="3"/>
    <s v="ACT"/>
    <s v="No agreement"/>
    <s v="Up to MBS Fee"/>
    <n v="513235.65"/>
    <n v="375225.45"/>
    <n v="124269.18"/>
    <n v="3847"/>
  </r>
  <r>
    <x v="28"/>
    <x v="3"/>
    <s v="ACT"/>
    <s v="No agreement"/>
    <s v="100% MBS Fee to 125% MBS Fee"/>
    <n v="61271.44"/>
    <n v="41811.699999999997"/>
    <n v="14304.6"/>
    <n v="174"/>
  </r>
  <r>
    <x v="28"/>
    <x v="3"/>
    <s v="ACT"/>
    <s v="No agreement"/>
    <s v="More than 125% MBS Fee to 150% MBS Fee"/>
    <n v="72600.22"/>
    <n v="39524.75"/>
    <n v="13140.44"/>
    <n v="186"/>
  </r>
  <r>
    <x v="28"/>
    <x v="3"/>
    <s v="ACT"/>
    <s v="No agreement"/>
    <s v="More than 150% MBS Fee to 200% MBS Fee"/>
    <n v="365320.39"/>
    <n v="154649.28"/>
    <n v="51244.1"/>
    <n v="1390"/>
  </r>
  <r>
    <x v="28"/>
    <x v="3"/>
    <s v="ACT"/>
    <s v="No agreement"/>
    <s v="More than 200% MBS Fee"/>
    <n v="8451365.25"/>
    <n v="1754256.41"/>
    <n v="585112.72"/>
    <n v="6620"/>
  </r>
  <r>
    <x v="28"/>
    <x v="3"/>
    <s v="ACT"/>
    <s v="Known gap agreement"/>
    <s v="100% MBS Fee to 125% MBS Fee"/>
    <n v="96901.48"/>
    <n v="63784.09"/>
    <n v="30180.25"/>
    <n v="366"/>
  </r>
  <r>
    <x v="28"/>
    <x v="3"/>
    <s v="ACT"/>
    <s v="Known gap agreement"/>
    <s v="More than 125% MBS Fee to 150% MBS Fee"/>
    <n v="144398.46"/>
    <n v="77126.490000000005"/>
    <n v="58712.04"/>
    <n v="405"/>
  </r>
  <r>
    <x v="28"/>
    <x v="3"/>
    <s v="ACT"/>
    <s v="Known gap agreement"/>
    <s v="More than 150% MBS Fee to 200% MBS Fee"/>
    <n v="717655.45"/>
    <n v="308060.59999999998"/>
    <n v="292975.56"/>
    <n v="1446"/>
  </r>
  <r>
    <x v="28"/>
    <x v="3"/>
    <s v="ACT"/>
    <s v="Known gap agreement"/>
    <s v="More than 200% MBS Fee"/>
    <n v="3747692.71"/>
    <n v="976100.47"/>
    <n v="1012941.11"/>
    <n v="12763"/>
  </r>
  <r>
    <x v="28"/>
    <x v="3"/>
    <s v="ACT"/>
    <s v="No gap agreement"/>
    <s v="Up to MBS Fee"/>
    <n v="296175.26"/>
    <n v="222410.72"/>
    <n v="73764.539999999994"/>
    <n v="6188"/>
  </r>
  <r>
    <x v="28"/>
    <x v="3"/>
    <s v="ACT"/>
    <s v="No gap agreement"/>
    <s v="100% MBS Fee to 125% MBS Fee"/>
    <n v="1546516.59"/>
    <n v="985246.27"/>
    <n v="561266.31999999995"/>
    <n v="11555"/>
  </r>
  <r>
    <x v="28"/>
    <x v="3"/>
    <s v="ACT"/>
    <s v="No gap agreement"/>
    <s v="More than 125% MBS Fee to 150% MBS Fee"/>
    <n v="3860723.88"/>
    <n v="2135441.29"/>
    <n v="1725277.23"/>
    <n v="31347"/>
  </r>
  <r>
    <x v="28"/>
    <x v="3"/>
    <s v="ACT"/>
    <s v="No gap agreement"/>
    <s v="More than 150% MBS Fee to 200% MBS Fee"/>
    <n v="3060461.7"/>
    <n v="1407540.2"/>
    <n v="1652907.78"/>
    <n v="17415"/>
  </r>
  <r>
    <x v="28"/>
    <x v="3"/>
    <s v="ACT"/>
    <s v="No gap agreement"/>
    <s v="More than 200% MBS Fee"/>
    <n v="162979.23000000001"/>
    <n v="40068.49"/>
    <n v="122910.74"/>
    <n v="205"/>
  </r>
  <r>
    <x v="28"/>
    <x v="3"/>
    <s v="NT"/>
    <s v="No agreement"/>
    <s v="Up to MBS Fee"/>
    <n v="254496.17"/>
    <n v="194197.92"/>
    <n v="56698.25"/>
    <n v="1227"/>
  </r>
  <r>
    <x v="28"/>
    <x v="3"/>
    <s v="NT"/>
    <s v="No agreement"/>
    <s v="100% MBS Fee to 125% MBS Fee"/>
    <n v="14686.65"/>
    <n v="9966.75"/>
    <n v="3321.9"/>
    <n v="34"/>
  </r>
  <r>
    <x v="28"/>
    <x v="3"/>
    <s v="NT"/>
    <s v="No agreement"/>
    <s v="More than 125% MBS Fee to 150% MBS Fee"/>
    <n v="25612.31"/>
    <n v="13649.76"/>
    <n v="4633.55"/>
    <n v="50"/>
  </r>
  <r>
    <x v="28"/>
    <x v="3"/>
    <s v="NT"/>
    <s v="No agreement"/>
    <s v="More than 150% MBS Fee to 200% MBS Fee"/>
    <n v="64895.93"/>
    <n v="28435.03"/>
    <n v="9621.9"/>
    <n v="211"/>
  </r>
  <r>
    <x v="28"/>
    <x v="3"/>
    <s v="NT"/>
    <s v="No agreement"/>
    <s v="More than 200% MBS Fee"/>
    <n v="1474493.98"/>
    <n v="330441.12"/>
    <n v="111323.04"/>
    <n v="890"/>
  </r>
  <r>
    <x v="28"/>
    <x v="3"/>
    <s v="NT"/>
    <s v="Known gap agreement"/>
    <s v="100% MBS Fee to 125% MBS Fee"/>
    <n v="18278.55"/>
    <n v="11890.58"/>
    <n v="5153.79"/>
    <n v="96"/>
  </r>
  <r>
    <x v="28"/>
    <x v="3"/>
    <s v="NT"/>
    <s v="Known gap agreement"/>
    <s v="More than 125% MBS Fee to 150% MBS Fee"/>
    <n v="68002.740000000005"/>
    <n v="35857.800000000003"/>
    <n v="26652.17"/>
    <n v="192"/>
  </r>
  <r>
    <x v="28"/>
    <x v="3"/>
    <s v="NT"/>
    <s v="Known gap agreement"/>
    <s v="More than 150% MBS Fee to 200% MBS Fee"/>
    <n v="254563.1"/>
    <n v="109772.59"/>
    <n v="107051.02"/>
    <n v="351"/>
  </r>
  <r>
    <x v="28"/>
    <x v="3"/>
    <s v="NT"/>
    <s v="Known gap agreement"/>
    <s v="More than 200% MBS Fee"/>
    <n v="641252.74"/>
    <n v="174616.72"/>
    <n v="194076.88"/>
    <n v="2155"/>
  </r>
  <r>
    <x v="28"/>
    <x v="3"/>
    <s v="NT"/>
    <s v="No gap agreement"/>
    <s v="Up to MBS Fee"/>
    <n v="399580.66"/>
    <n v="299846.96000000002"/>
    <n v="99733.7"/>
    <n v="5582"/>
  </r>
  <r>
    <x v="28"/>
    <x v="3"/>
    <s v="NT"/>
    <s v="No gap agreement"/>
    <s v="100% MBS Fee to 125% MBS Fee"/>
    <n v="572235.26"/>
    <n v="363226.1"/>
    <n v="209005.92"/>
    <n v="4020"/>
  </r>
  <r>
    <x v="28"/>
    <x v="3"/>
    <s v="NT"/>
    <s v="No gap agreement"/>
    <s v="More than 125% MBS Fee to 150% MBS Fee"/>
    <n v="1443948.01"/>
    <n v="785127.2"/>
    <n v="658818.66"/>
    <n v="6198"/>
  </r>
  <r>
    <x v="28"/>
    <x v="3"/>
    <s v="NT"/>
    <s v="No gap agreement"/>
    <s v="More than 150% MBS Fee to 200% MBS Fee"/>
    <n v="1452990.91"/>
    <n v="671421.15"/>
    <n v="781565.35"/>
    <n v="7836"/>
  </r>
  <r>
    <x v="28"/>
    <x v="3"/>
    <s v="NT"/>
    <s v="No gap agreement"/>
    <s v="More than 200% MBS Fee"/>
    <n v="49433.2"/>
    <n v="16494.150000000001"/>
    <n v="32939.050000000003"/>
    <n v="66"/>
  </r>
  <r>
    <x v="28"/>
    <x v="1"/>
    <s v="NSW"/>
    <s v="No agreement"/>
    <s v="Up to MBS Fee"/>
    <n v="34338991.670000002"/>
    <n v="25638261.899999999"/>
    <n v="8654211.9700000007"/>
    <n v="255908"/>
  </r>
  <r>
    <x v="28"/>
    <x v="1"/>
    <s v="NSW"/>
    <s v="No agreement"/>
    <s v="100% MBS Fee to 125% MBS Fee"/>
    <n v="2974773.84"/>
    <n v="1996453.09"/>
    <n v="688129.68"/>
    <n v="10658"/>
  </r>
  <r>
    <x v="28"/>
    <x v="1"/>
    <s v="NSW"/>
    <s v="No agreement"/>
    <s v="More than 125% MBS Fee to 150% MBS Fee"/>
    <n v="2326748.56"/>
    <n v="1256459.25"/>
    <n v="433349.86"/>
    <n v="5256"/>
  </r>
  <r>
    <x v="28"/>
    <x v="1"/>
    <s v="NSW"/>
    <s v="No agreement"/>
    <s v="More than 150% MBS Fee to 200% MBS Fee"/>
    <n v="7287163.3899999997"/>
    <n v="3117572.01"/>
    <n v="1075901.78"/>
    <n v="17699"/>
  </r>
  <r>
    <x v="28"/>
    <x v="1"/>
    <s v="NSW"/>
    <s v="No agreement"/>
    <s v="More than 200% MBS Fee"/>
    <n v="114446810.11"/>
    <n v="24116267.77"/>
    <n v="8174068.3600000003"/>
    <n v="89272"/>
  </r>
  <r>
    <x v="28"/>
    <x v="1"/>
    <s v="NSW"/>
    <s v="Known gap agreement"/>
    <s v="100% MBS Fee to 125% MBS Fee"/>
    <n v="3231247.24"/>
    <n v="2102757.4900000002"/>
    <n v="973132.39"/>
    <n v="14584"/>
  </r>
  <r>
    <x v="28"/>
    <x v="1"/>
    <s v="NSW"/>
    <s v="Known gap agreement"/>
    <s v="More than 125% MBS Fee to 150% MBS Fee"/>
    <n v="6696481.4299999997"/>
    <n v="3574248.25"/>
    <n v="2742463.58"/>
    <n v="20565"/>
  </r>
  <r>
    <x v="28"/>
    <x v="1"/>
    <s v="NSW"/>
    <s v="Known gap agreement"/>
    <s v="More than 150% MBS Fee to 200% MBS Fee"/>
    <n v="21319622.23"/>
    <n v="9195875.0600000005"/>
    <n v="9110684.9399999995"/>
    <n v="35981"/>
  </r>
  <r>
    <x v="28"/>
    <x v="1"/>
    <s v="NSW"/>
    <s v="Known gap agreement"/>
    <s v="More than 200% MBS Fee"/>
    <n v="56251525.880000003"/>
    <n v="14637114.02"/>
    <n v="16439372.98"/>
    <n v="181719"/>
  </r>
  <r>
    <x v="28"/>
    <x v="1"/>
    <s v="NSW"/>
    <s v="No gap agreement"/>
    <s v="Up to MBS Fee"/>
    <n v="29294783.449999999"/>
    <n v="22073643.559999999"/>
    <n v="7221204.9400000004"/>
    <n v="950445"/>
  </r>
  <r>
    <x v="28"/>
    <x v="1"/>
    <s v="NSW"/>
    <s v="No gap agreement"/>
    <s v="100% MBS Fee to 125% MBS Fee"/>
    <n v="64344344.740000002"/>
    <n v="41121995.880000003"/>
    <n v="23221647.690000001"/>
    <n v="503483"/>
  </r>
  <r>
    <x v="28"/>
    <x v="1"/>
    <s v="NSW"/>
    <s v="No gap agreement"/>
    <s v="More than 125% MBS Fee to 150% MBS Fee"/>
    <n v="123528196.47"/>
    <n v="67851786.420000002"/>
    <n v="55676332.399999999"/>
    <n v="657034"/>
  </r>
  <r>
    <x v="28"/>
    <x v="1"/>
    <s v="NSW"/>
    <s v="No gap agreement"/>
    <s v="More than 150% MBS Fee to 200% MBS Fee"/>
    <n v="118956595.94"/>
    <n v="54680696.560000002"/>
    <n v="64275762.259999998"/>
    <n v="667868"/>
  </r>
  <r>
    <x v="28"/>
    <x v="1"/>
    <s v="NSW"/>
    <s v="No gap agreement"/>
    <s v="More than 200% MBS Fee"/>
    <n v="6260209.0999999996"/>
    <n v="1855296.82"/>
    <n v="4404912.26"/>
    <n v="5930"/>
  </r>
  <r>
    <x v="28"/>
    <x v="1"/>
    <s v="VIC"/>
    <s v="No agreement"/>
    <s v="Up to MBS Fee"/>
    <n v="6211826.04"/>
    <n v="4658716.7300000004"/>
    <n v="1529327.9"/>
    <n v="121556"/>
  </r>
  <r>
    <x v="28"/>
    <x v="1"/>
    <s v="VIC"/>
    <s v="No agreement"/>
    <s v="100% MBS Fee to 125% MBS Fee"/>
    <n v="1148686.3700000001"/>
    <n v="761180.63"/>
    <n v="251717.92"/>
    <n v="3089"/>
  </r>
  <r>
    <x v="28"/>
    <x v="1"/>
    <s v="VIC"/>
    <s v="No agreement"/>
    <s v="More than 125% MBS Fee to 150% MBS Fee"/>
    <n v="1579952.14"/>
    <n v="849648.95"/>
    <n v="282980.98"/>
    <n v="6507"/>
  </r>
  <r>
    <x v="28"/>
    <x v="1"/>
    <s v="VIC"/>
    <s v="No agreement"/>
    <s v="More than 150% MBS Fee to 200% MBS Fee"/>
    <n v="4403824.8"/>
    <n v="1925247.83"/>
    <n v="648130.11"/>
    <n v="13036"/>
  </r>
  <r>
    <x v="28"/>
    <x v="1"/>
    <s v="VIC"/>
    <s v="No agreement"/>
    <s v="More than 200% MBS Fee"/>
    <n v="42526283.979999997"/>
    <n v="9309897.7100000009"/>
    <n v="3123907.46"/>
    <n v="34396"/>
  </r>
  <r>
    <x v="28"/>
    <x v="1"/>
    <s v="VIC"/>
    <s v="Known gap agreement"/>
    <s v="100% MBS Fee to 125% MBS Fee"/>
    <n v="2880211.1"/>
    <n v="1858026.53"/>
    <n v="851110.06"/>
    <n v="16218"/>
  </r>
  <r>
    <x v="28"/>
    <x v="1"/>
    <s v="VIC"/>
    <s v="Known gap agreement"/>
    <s v="More than 125% MBS Fee to 150% MBS Fee"/>
    <n v="9382743.8499999996"/>
    <n v="5052691.83"/>
    <n v="3620294.01"/>
    <n v="31180"/>
  </r>
  <r>
    <x v="28"/>
    <x v="1"/>
    <s v="VIC"/>
    <s v="Known gap agreement"/>
    <s v="More than 150% MBS Fee to 200% MBS Fee"/>
    <n v="23685893.940000001"/>
    <n v="10194502.130000001"/>
    <n v="9550507.5800000001"/>
    <n v="39193"/>
  </r>
  <r>
    <x v="28"/>
    <x v="1"/>
    <s v="VIC"/>
    <s v="Known gap agreement"/>
    <s v="More than 200% MBS Fee"/>
    <n v="56696198.490000002"/>
    <n v="14858338.130000001"/>
    <n v="15878200.74"/>
    <n v="190025"/>
  </r>
  <r>
    <x v="28"/>
    <x v="1"/>
    <s v="VIC"/>
    <s v="No gap agreement"/>
    <s v="Up to MBS Fee"/>
    <n v="24099713.420000002"/>
    <n v="18149155.690000001"/>
    <n v="5950660.3899999997"/>
    <n v="431961"/>
  </r>
  <r>
    <x v="28"/>
    <x v="1"/>
    <s v="VIC"/>
    <s v="No gap agreement"/>
    <s v="100% MBS Fee to 125% MBS Fee"/>
    <n v="66870004.090000004"/>
    <n v="42673183.799999997"/>
    <n v="24196622.850000001"/>
    <n v="528634"/>
  </r>
  <r>
    <x v="28"/>
    <x v="1"/>
    <s v="VIC"/>
    <s v="No gap agreement"/>
    <s v="More than 125% MBS Fee to 150% MBS Fee"/>
    <n v="125231228.83"/>
    <n v="68875835.890000001"/>
    <n v="56355574.57"/>
    <n v="733057"/>
  </r>
  <r>
    <x v="28"/>
    <x v="1"/>
    <s v="VIC"/>
    <s v="No gap agreement"/>
    <s v="More than 150% MBS Fee to 200% MBS Fee"/>
    <n v="81872798.670000002"/>
    <n v="37788099.350000001"/>
    <n v="44084652.780000001"/>
    <n v="519587"/>
  </r>
  <r>
    <x v="28"/>
    <x v="1"/>
    <s v="VIC"/>
    <s v="No gap agreement"/>
    <s v="More than 200% MBS Fee"/>
    <n v="2809555.34"/>
    <n v="802519.48"/>
    <n v="2007035.86"/>
    <n v="2558"/>
  </r>
  <r>
    <x v="28"/>
    <x v="1"/>
    <s v="QLD"/>
    <s v="No agreement"/>
    <s v="Up to MBS Fee"/>
    <n v="4064893.97"/>
    <n v="3028227.9"/>
    <n v="999469.08"/>
    <n v="69385"/>
  </r>
  <r>
    <x v="28"/>
    <x v="1"/>
    <s v="QLD"/>
    <s v="No agreement"/>
    <s v="100% MBS Fee to 125% MBS Fee"/>
    <n v="1091187.08"/>
    <n v="716535.29"/>
    <n v="237004.3"/>
    <n v="2479"/>
  </r>
  <r>
    <x v="28"/>
    <x v="1"/>
    <s v="QLD"/>
    <s v="No agreement"/>
    <s v="More than 125% MBS Fee to 150% MBS Fee"/>
    <n v="1643210.46"/>
    <n v="892875.19"/>
    <n v="293148.96999999997"/>
    <n v="2926"/>
  </r>
  <r>
    <x v="28"/>
    <x v="1"/>
    <s v="QLD"/>
    <s v="No agreement"/>
    <s v="More than 150% MBS Fee to 200% MBS Fee"/>
    <n v="4933203.5199999996"/>
    <n v="2130904.5499999998"/>
    <n v="710835.43"/>
    <n v="20888"/>
  </r>
  <r>
    <x v="28"/>
    <x v="1"/>
    <s v="QLD"/>
    <s v="No agreement"/>
    <s v="More than 200% MBS Fee"/>
    <n v="54912108.539999999"/>
    <n v="11918892.5"/>
    <n v="3983243.74"/>
    <n v="45261"/>
  </r>
  <r>
    <x v="28"/>
    <x v="1"/>
    <s v="QLD"/>
    <s v="Known gap agreement"/>
    <s v="100% MBS Fee to 125% MBS Fee"/>
    <n v="1969112.12"/>
    <n v="1257659.73"/>
    <n v="571630.48"/>
    <n v="9305"/>
  </r>
  <r>
    <x v="28"/>
    <x v="1"/>
    <s v="QLD"/>
    <s v="Known gap agreement"/>
    <s v="More than 125% MBS Fee to 150% MBS Fee"/>
    <n v="5704494.1799999997"/>
    <n v="3058222.57"/>
    <n v="2216093.19"/>
    <n v="22663"/>
  </r>
  <r>
    <x v="28"/>
    <x v="1"/>
    <s v="QLD"/>
    <s v="Known gap agreement"/>
    <s v="More than 150% MBS Fee to 200% MBS Fee"/>
    <n v="24797179.640000001"/>
    <n v="10527302.74"/>
    <n v="10217356.08"/>
    <n v="37877"/>
  </r>
  <r>
    <x v="28"/>
    <x v="1"/>
    <s v="QLD"/>
    <s v="Known gap agreement"/>
    <s v="More than 200% MBS Fee"/>
    <n v="55521613.960000001"/>
    <n v="13853640.93"/>
    <n v="15127237.25"/>
    <n v="143816"/>
  </r>
  <r>
    <x v="28"/>
    <x v="1"/>
    <s v="QLD"/>
    <s v="No gap agreement"/>
    <s v="Up to MBS Fee"/>
    <n v="16339391.359999999"/>
    <n v="12295877.32"/>
    <n v="4043646.79"/>
    <n v="158673"/>
  </r>
  <r>
    <x v="28"/>
    <x v="1"/>
    <s v="QLD"/>
    <s v="No gap agreement"/>
    <s v="100% MBS Fee to 125% MBS Fee"/>
    <n v="54356916.039999999"/>
    <n v="34677777.399999999"/>
    <n v="19678926.399999999"/>
    <n v="439903"/>
  </r>
  <r>
    <x v="28"/>
    <x v="1"/>
    <s v="QLD"/>
    <s v="No gap agreement"/>
    <s v="More than 125% MBS Fee to 150% MBS Fee"/>
    <n v="86185067.709999993"/>
    <n v="47707243.670000002"/>
    <n v="38477721.460000001"/>
    <n v="649214"/>
  </r>
  <r>
    <x v="28"/>
    <x v="1"/>
    <s v="QLD"/>
    <s v="No gap agreement"/>
    <s v="More than 150% MBS Fee to 200% MBS Fee"/>
    <n v="71955480.099999994"/>
    <n v="33188819.710000001"/>
    <n v="38765947.43"/>
    <n v="477766"/>
  </r>
  <r>
    <x v="28"/>
    <x v="1"/>
    <s v="QLD"/>
    <s v="No gap agreement"/>
    <s v="More than 200% MBS Fee"/>
    <n v="3821203.49"/>
    <n v="1070338.75"/>
    <n v="2750864.02"/>
    <n v="3852"/>
  </r>
  <r>
    <x v="28"/>
    <x v="1"/>
    <s v="SA"/>
    <s v="No agreement"/>
    <s v="Up to MBS Fee"/>
    <n v="1719619.58"/>
    <n v="1277235.73"/>
    <n v="421362.07"/>
    <n v="8702"/>
  </r>
  <r>
    <x v="28"/>
    <x v="1"/>
    <s v="SA"/>
    <s v="No agreement"/>
    <s v="100% MBS Fee to 125% MBS Fee"/>
    <n v="296852.23"/>
    <n v="196629.62"/>
    <n v="64986.63"/>
    <n v="407"/>
  </r>
  <r>
    <x v="28"/>
    <x v="1"/>
    <s v="SA"/>
    <s v="No agreement"/>
    <s v="More than 125% MBS Fee to 150% MBS Fee"/>
    <n v="289452.53000000003"/>
    <n v="154757.79999999999"/>
    <n v="49848.67"/>
    <n v="397"/>
  </r>
  <r>
    <x v="28"/>
    <x v="1"/>
    <s v="SA"/>
    <s v="No agreement"/>
    <s v="More than 150% MBS Fee to 200% MBS Fee"/>
    <n v="636119.26"/>
    <n v="271777.76"/>
    <n v="89799.64"/>
    <n v="1207"/>
  </r>
  <r>
    <x v="28"/>
    <x v="1"/>
    <s v="SA"/>
    <s v="No agreement"/>
    <s v="More than 200% MBS Fee"/>
    <n v="6899653.1299999999"/>
    <n v="1437518.23"/>
    <n v="482663.5"/>
    <n v="4314"/>
  </r>
  <r>
    <x v="28"/>
    <x v="1"/>
    <s v="SA"/>
    <s v="Known gap agreement"/>
    <s v="100% MBS Fee to 125% MBS Fee"/>
    <n v="528204.92000000004"/>
    <n v="340850.29"/>
    <n v="156918.16"/>
    <n v="2295"/>
  </r>
  <r>
    <x v="28"/>
    <x v="1"/>
    <s v="SA"/>
    <s v="Known gap agreement"/>
    <s v="More than 125% MBS Fee to 150% MBS Fee"/>
    <n v="2330845.77"/>
    <n v="1254034.19"/>
    <n v="938521.2"/>
    <n v="8754"/>
  </r>
  <r>
    <x v="28"/>
    <x v="1"/>
    <s v="SA"/>
    <s v="Known gap agreement"/>
    <s v="More than 150% MBS Fee to 200% MBS Fee"/>
    <n v="13556828.439999999"/>
    <n v="5778971.8899999997"/>
    <n v="5766592.5300000003"/>
    <n v="19561"/>
  </r>
  <r>
    <x v="28"/>
    <x v="1"/>
    <s v="SA"/>
    <s v="Known gap agreement"/>
    <s v="More than 200% MBS Fee"/>
    <n v="15956317.710000001"/>
    <n v="4477924.01"/>
    <n v="5048293.5599999996"/>
    <n v="55614"/>
  </r>
  <r>
    <x v="28"/>
    <x v="1"/>
    <s v="SA"/>
    <s v="No gap agreement"/>
    <s v="Up to MBS Fee"/>
    <n v="9126737.6400000006"/>
    <n v="6852605.3200000003"/>
    <n v="2274132.2999999998"/>
    <n v="184236"/>
  </r>
  <r>
    <x v="28"/>
    <x v="1"/>
    <s v="SA"/>
    <s v="No gap agreement"/>
    <s v="100% MBS Fee to 125% MBS Fee"/>
    <n v="17845660.57"/>
    <n v="11231607.66"/>
    <n v="6614040.0700000003"/>
    <n v="133756"/>
  </r>
  <r>
    <x v="28"/>
    <x v="1"/>
    <s v="SA"/>
    <s v="No gap agreement"/>
    <s v="More than 125% MBS Fee to 150% MBS Fee"/>
    <n v="34642178.109999999"/>
    <n v="18806493.440000001"/>
    <n v="15835637.15"/>
    <n v="209027"/>
  </r>
  <r>
    <x v="28"/>
    <x v="1"/>
    <s v="SA"/>
    <s v="No gap agreement"/>
    <s v="More than 150% MBS Fee to 200% MBS Fee"/>
    <n v="31242400.77"/>
    <n v="14505639.15"/>
    <n v="16736757.51"/>
    <n v="151926"/>
  </r>
  <r>
    <x v="28"/>
    <x v="1"/>
    <s v="SA"/>
    <s v="No gap agreement"/>
    <s v="More than 200% MBS Fee"/>
    <n v="863293.47"/>
    <n v="244858.2"/>
    <n v="618436.27"/>
    <n v="699"/>
  </r>
  <r>
    <x v="28"/>
    <x v="1"/>
    <s v="WA"/>
    <s v="No agreement"/>
    <s v="Up to MBS Fee"/>
    <n v="2260858.21"/>
    <n v="1701884.34"/>
    <n v="552478.17000000004"/>
    <n v="28505"/>
  </r>
  <r>
    <x v="28"/>
    <x v="1"/>
    <s v="WA"/>
    <s v="No agreement"/>
    <s v="100% MBS Fee to 125% MBS Fee"/>
    <n v="401767.04"/>
    <n v="269707.53000000003"/>
    <n v="89607.47"/>
    <n v="1125"/>
  </r>
  <r>
    <x v="28"/>
    <x v="1"/>
    <s v="WA"/>
    <s v="No agreement"/>
    <s v="More than 125% MBS Fee to 150% MBS Fee"/>
    <n v="507105.3"/>
    <n v="276140.67"/>
    <n v="91541.94"/>
    <n v="1203"/>
  </r>
  <r>
    <x v="28"/>
    <x v="1"/>
    <s v="WA"/>
    <s v="No agreement"/>
    <s v="More than 150% MBS Fee to 200% MBS Fee"/>
    <n v="1815463.94"/>
    <n v="791659.64"/>
    <n v="264632.25"/>
    <n v="8461"/>
  </r>
  <r>
    <x v="28"/>
    <x v="1"/>
    <s v="WA"/>
    <s v="No agreement"/>
    <s v="More than 200% MBS Fee"/>
    <n v="10311367.890000001"/>
    <n v="2123803.09"/>
    <n v="715800.06"/>
    <n v="10657"/>
  </r>
  <r>
    <x v="28"/>
    <x v="1"/>
    <s v="WA"/>
    <s v="Known gap agreement"/>
    <s v="100% MBS Fee to 125% MBS Fee"/>
    <n v="796249.28"/>
    <n v="509538.93"/>
    <n v="252233.65"/>
    <n v="3941"/>
  </r>
  <r>
    <x v="28"/>
    <x v="1"/>
    <s v="WA"/>
    <s v="Known gap agreement"/>
    <s v="More than 125% MBS Fee to 150% MBS Fee"/>
    <n v="3087796.16"/>
    <n v="1652117.5"/>
    <n v="1215575.72"/>
    <n v="27566"/>
  </r>
  <r>
    <x v="28"/>
    <x v="1"/>
    <s v="WA"/>
    <s v="Known gap agreement"/>
    <s v="More than 150% MBS Fee to 200% MBS Fee"/>
    <n v="11032366.029999999"/>
    <n v="4848307.45"/>
    <n v="4414647.87"/>
    <n v="15222"/>
  </r>
  <r>
    <x v="28"/>
    <x v="1"/>
    <s v="WA"/>
    <s v="Known gap agreement"/>
    <s v="More than 200% MBS Fee"/>
    <n v="23386757.030000001"/>
    <n v="5692283.75"/>
    <n v="4190598.49"/>
    <n v="55510"/>
  </r>
  <r>
    <x v="28"/>
    <x v="1"/>
    <s v="WA"/>
    <s v="No gap agreement"/>
    <s v="Up to MBS Fee"/>
    <n v="12780467.050000001"/>
    <n v="9611333.9900000002"/>
    <n v="3169136.26"/>
    <n v="203179"/>
  </r>
  <r>
    <x v="28"/>
    <x v="1"/>
    <s v="WA"/>
    <s v="No gap agreement"/>
    <s v="100% MBS Fee to 125% MBS Fee"/>
    <n v="16310379.4"/>
    <n v="10515498"/>
    <n v="5794833.1699999999"/>
    <n v="104422"/>
  </r>
  <r>
    <x v="28"/>
    <x v="1"/>
    <s v="WA"/>
    <s v="No gap agreement"/>
    <s v="More than 125% MBS Fee to 150% MBS Fee"/>
    <n v="54802060.789999999"/>
    <n v="30077270.350000001"/>
    <n v="24724771.699999999"/>
    <n v="340187"/>
  </r>
  <r>
    <x v="28"/>
    <x v="1"/>
    <s v="WA"/>
    <s v="No gap agreement"/>
    <s v="More than 150% MBS Fee to 200% MBS Fee"/>
    <n v="57709911.5"/>
    <n v="25990429.850000001"/>
    <n v="31719453.539999999"/>
    <n v="263782"/>
  </r>
  <r>
    <x v="28"/>
    <x v="1"/>
    <s v="WA"/>
    <s v="No gap agreement"/>
    <s v="More than 200% MBS Fee"/>
    <n v="1848765.85"/>
    <n v="508397.05"/>
    <n v="1340368.8"/>
    <n v="1484"/>
  </r>
  <r>
    <x v="28"/>
    <x v="1"/>
    <s v="TAS"/>
    <s v="No agreement"/>
    <s v="Up to MBS Fee"/>
    <n v="339430.79"/>
    <n v="254549.78"/>
    <n v="83333.009999999995"/>
    <n v="3570"/>
  </r>
  <r>
    <x v="28"/>
    <x v="1"/>
    <s v="TAS"/>
    <s v="No agreement"/>
    <s v="100% MBS Fee to 125% MBS Fee"/>
    <n v="107508.5"/>
    <n v="70714.899999999994"/>
    <n v="22660.5"/>
    <n v="329"/>
  </r>
  <r>
    <x v="28"/>
    <x v="1"/>
    <s v="TAS"/>
    <s v="No agreement"/>
    <s v="More than 125% MBS Fee to 150% MBS Fee"/>
    <n v="53307.25"/>
    <n v="29116.38"/>
    <n v="9986.91"/>
    <n v="160"/>
  </r>
  <r>
    <x v="28"/>
    <x v="1"/>
    <s v="TAS"/>
    <s v="No agreement"/>
    <s v="More than 150% MBS Fee to 200% MBS Fee"/>
    <n v="175574.94"/>
    <n v="76706.7"/>
    <n v="25472.14"/>
    <n v="295"/>
  </r>
  <r>
    <x v="28"/>
    <x v="1"/>
    <s v="TAS"/>
    <s v="No agreement"/>
    <s v="More than 200% MBS Fee"/>
    <n v="2675537.13"/>
    <n v="568285.37"/>
    <n v="192688.56"/>
    <n v="1678"/>
  </r>
  <r>
    <x v="28"/>
    <x v="1"/>
    <s v="TAS"/>
    <s v="Known gap agreement"/>
    <s v="100% MBS Fee to 125% MBS Fee"/>
    <n v="234198.48"/>
    <n v="150015.9"/>
    <n v="73555.070000000007"/>
    <n v="1308"/>
  </r>
  <r>
    <x v="28"/>
    <x v="1"/>
    <s v="TAS"/>
    <s v="Known gap agreement"/>
    <s v="More than 125% MBS Fee to 150% MBS Fee"/>
    <n v="738128.44"/>
    <n v="395402.06"/>
    <n v="311614.68"/>
    <n v="2760"/>
  </r>
  <r>
    <x v="28"/>
    <x v="1"/>
    <s v="TAS"/>
    <s v="Known gap agreement"/>
    <s v="More than 150% MBS Fee to 200% MBS Fee"/>
    <n v="3742235.56"/>
    <n v="1613175.76"/>
    <n v="1607269.58"/>
    <n v="4346"/>
  </r>
  <r>
    <x v="28"/>
    <x v="1"/>
    <s v="TAS"/>
    <s v="Known gap agreement"/>
    <s v="More than 200% MBS Fee"/>
    <n v="3930550.01"/>
    <n v="991442.2"/>
    <n v="1098375.8700000001"/>
    <n v="7387"/>
  </r>
  <r>
    <x v="28"/>
    <x v="1"/>
    <s v="TAS"/>
    <s v="No gap agreement"/>
    <s v="Up to MBS Fee"/>
    <n v="1901144.29"/>
    <n v="1428762.21"/>
    <n v="472382.08"/>
    <n v="29853"/>
  </r>
  <r>
    <x v="28"/>
    <x v="1"/>
    <s v="TAS"/>
    <s v="No gap agreement"/>
    <s v="100% MBS Fee to 125% MBS Fee"/>
    <n v="3452216.57"/>
    <n v="2173294.65"/>
    <n v="1278918.99"/>
    <n v="23009"/>
  </r>
  <r>
    <x v="28"/>
    <x v="1"/>
    <s v="TAS"/>
    <s v="No gap agreement"/>
    <s v="More than 125% MBS Fee to 150% MBS Fee"/>
    <n v="10964902.92"/>
    <n v="5973218.5199999996"/>
    <n v="4991680.55"/>
    <n v="62487"/>
  </r>
  <r>
    <x v="28"/>
    <x v="1"/>
    <s v="TAS"/>
    <s v="No gap agreement"/>
    <s v="More than 150% MBS Fee to 200% MBS Fee"/>
    <n v="10855829.02"/>
    <n v="4993658.08"/>
    <n v="5862166.6399999997"/>
    <n v="57144"/>
  </r>
  <r>
    <x v="28"/>
    <x v="1"/>
    <s v="TAS"/>
    <s v="No gap agreement"/>
    <s v="More than 200% MBS Fee"/>
    <n v="260801.78"/>
    <n v="73242.7"/>
    <n v="187559.08"/>
    <n v="181"/>
  </r>
  <r>
    <x v="28"/>
    <x v="1"/>
    <s v="ACT"/>
    <s v="No agreement"/>
    <s v="Up to MBS Fee"/>
    <n v="376343.2"/>
    <n v="273899.56"/>
    <n v="90053.39"/>
    <n v="2939"/>
  </r>
  <r>
    <x v="28"/>
    <x v="1"/>
    <s v="ACT"/>
    <s v="No agreement"/>
    <s v="100% MBS Fee to 125% MBS Fee"/>
    <n v="62970.62"/>
    <n v="42743.08"/>
    <n v="14663.55"/>
    <n v="140"/>
  </r>
  <r>
    <x v="28"/>
    <x v="1"/>
    <s v="ACT"/>
    <s v="No agreement"/>
    <s v="More than 125% MBS Fee to 150% MBS Fee"/>
    <n v="75418.63"/>
    <n v="40722.06"/>
    <n v="12101.74"/>
    <n v="175"/>
  </r>
  <r>
    <x v="28"/>
    <x v="1"/>
    <s v="ACT"/>
    <s v="No agreement"/>
    <s v="More than 150% MBS Fee to 200% MBS Fee"/>
    <n v="412166.2"/>
    <n v="176278.74"/>
    <n v="59455.28"/>
    <n v="1156"/>
  </r>
  <r>
    <x v="28"/>
    <x v="1"/>
    <s v="ACT"/>
    <s v="No agreement"/>
    <s v="More than 200% MBS Fee"/>
    <n v="9995925.1999999993"/>
    <n v="2139077.5299999998"/>
    <n v="713554.54"/>
    <n v="8208"/>
  </r>
  <r>
    <x v="28"/>
    <x v="1"/>
    <s v="ACT"/>
    <s v="Known gap agreement"/>
    <s v="100% MBS Fee to 125% MBS Fee"/>
    <n v="128144.76"/>
    <n v="80652.86"/>
    <n v="37462.870000000003"/>
    <n v="473"/>
  </r>
  <r>
    <x v="28"/>
    <x v="1"/>
    <s v="ACT"/>
    <s v="Known gap agreement"/>
    <s v="More than 125% MBS Fee to 150% MBS Fee"/>
    <n v="243251.71"/>
    <n v="130345.8"/>
    <n v="97631.47"/>
    <n v="736"/>
  </r>
  <r>
    <x v="28"/>
    <x v="1"/>
    <s v="ACT"/>
    <s v="Known gap agreement"/>
    <s v="More than 150% MBS Fee to 200% MBS Fee"/>
    <n v="781643"/>
    <n v="335788.53"/>
    <n v="331404.21999999997"/>
    <n v="1603"/>
  </r>
  <r>
    <x v="28"/>
    <x v="1"/>
    <s v="ACT"/>
    <s v="Known gap agreement"/>
    <s v="More than 200% MBS Fee"/>
    <n v="4125447.72"/>
    <n v="1139519.26"/>
    <n v="1170984.33"/>
    <n v="14968"/>
  </r>
  <r>
    <x v="28"/>
    <x v="1"/>
    <s v="ACT"/>
    <s v="No gap agreement"/>
    <s v="Up to MBS Fee"/>
    <n v="430558.91"/>
    <n v="323857.96000000002"/>
    <n v="106700.95"/>
    <n v="8275"/>
  </r>
  <r>
    <x v="28"/>
    <x v="1"/>
    <s v="ACT"/>
    <s v="No gap agreement"/>
    <s v="100% MBS Fee to 125% MBS Fee"/>
    <n v="2120150.04"/>
    <n v="1352338.4"/>
    <n v="767797.02"/>
    <n v="14445"/>
  </r>
  <r>
    <x v="28"/>
    <x v="1"/>
    <s v="ACT"/>
    <s v="No gap agreement"/>
    <s v="More than 125% MBS Fee to 150% MBS Fee"/>
    <n v="5736554.5499999998"/>
    <n v="3171443.85"/>
    <n v="2565061.36"/>
    <n v="45436"/>
  </r>
  <r>
    <x v="28"/>
    <x v="1"/>
    <s v="ACT"/>
    <s v="No gap agreement"/>
    <s v="More than 150% MBS Fee to 200% MBS Fee"/>
    <n v="3269833.27"/>
    <n v="1509963.3"/>
    <n v="1759829.53"/>
    <n v="19660"/>
  </r>
  <r>
    <x v="28"/>
    <x v="1"/>
    <s v="ACT"/>
    <s v="No gap agreement"/>
    <s v="More than 200% MBS Fee"/>
    <n v="180843.63"/>
    <n v="54060.25"/>
    <n v="126783.38"/>
    <n v="190"/>
  </r>
  <r>
    <x v="28"/>
    <x v="1"/>
    <s v="NT"/>
    <s v="No agreement"/>
    <s v="Up to MBS Fee"/>
    <n v="178727.17"/>
    <n v="129975.19"/>
    <n v="43093.73"/>
    <n v="1229"/>
  </r>
  <r>
    <x v="28"/>
    <x v="1"/>
    <s v="NT"/>
    <s v="No agreement"/>
    <s v="100% MBS Fee to 125% MBS Fee"/>
    <n v="39117.65"/>
    <n v="27230.400000000001"/>
    <n v="9073.7000000000007"/>
    <n v="125"/>
  </r>
  <r>
    <x v="28"/>
    <x v="1"/>
    <s v="NT"/>
    <s v="No agreement"/>
    <s v="More than 125% MBS Fee to 150% MBS Fee"/>
    <n v="24602.66"/>
    <n v="13379.6"/>
    <n v="4363.51"/>
    <n v="41"/>
  </r>
  <r>
    <x v="28"/>
    <x v="1"/>
    <s v="NT"/>
    <s v="No agreement"/>
    <s v="More than 150% MBS Fee to 200% MBS Fee"/>
    <n v="76040.02"/>
    <n v="33252.720000000001"/>
    <n v="10870"/>
    <n v="260"/>
  </r>
  <r>
    <x v="28"/>
    <x v="1"/>
    <s v="NT"/>
    <s v="No agreement"/>
    <s v="More than 200% MBS Fee"/>
    <n v="1611813.79"/>
    <n v="361854.44"/>
    <n v="120572.55"/>
    <n v="940"/>
  </r>
  <r>
    <x v="28"/>
    <x v="1"/>
    <s v="NT"/>
    <s v="Known gap agreement"/>
    <s v="100% MBS Fee to 125% MBS Fee"/>
    <n v="30466.93"/>
    <n v="18974.91"/>
    <n v="9331.66"/>
    <n v="129"/>
  </r>
  <r>
    <x v="28"/>
    <x v="1"/>
    <s v="NT"/>
    <s v="Known gap agreement"/>
    <s v="More than 125% MBS Fee to 150% MBS Fee"/>
    <n v="62291.82"/>
    <n v="33164.57"/>
    <n v="25991.31"/>
    <n v="222"/>
  </r>
  <r>
    <x v="28"/>
    <x v="1"/>
    <s v="NT"/>
    <s v="Known gap agreement"/>
    <s v="More than 150% MBS Fee to 200% MBS Fee"/>
    <n v="271305.53000000003"/>
    <n v="117794.93"/>
    <n v="113772.65"/>
    <n v="409"/>
  </r>
  <r>
    <x v="28"/>
    <x v="1"/>
    <s v="NT"/>
    <s v="Known gap agreement"/>
    <s v="More than 200% MBS Fee"/>
    <n v="682036.44"/>
    <n v="181983.33"/>
    <n v="200635.72"/>
    <n v="2145"/>
  </r>
  <r>
    <x v="28"/>
    <x v="1"/>
    <s v="NT"/>
    <s v="No gap agreement"/>
    <s v="Up to MBS Fee"/>
    <n v="359760.67"/>
    <n v="269891.59999999998"/>
    <n v="89869.07"/>
    <n v="5381"/>
  </r>
  <r>
    <x v="28"/>
    <x v="1"/>
    <s v="NT"/>
    <s v="No gap agreement"/>
    <s v="100% MBS Fee to 125% MBS Fee"/>
    <n v="702428.25"/>
    <n v="447113.2"/>
    <n v="255315.04"/>
    <n v="4632"/>
  </r>
  <r>
    <x v="28"/>
    <x v="1"/>
    <s v="NT"/>
    <s v="No gap agreement"/>
    <s v="More than 125% MBS Fee to 150% MBS Fee"/>
    <n v="1573461.12"/>
    <n v="858441.52"/>
    <n v="715018.41"/>
    <n v="7071"/>
  </r>
  <r>
    <x v="28"/>
    <x v="1"/>
    <s v="NT"/>
    <s v="No gap agreement"/>
    <s v="More than 150% MBS Fee to 200% MBS Fee"/>
    <n v="1697095.14"/>
    <n v="787048.15"/>
    <n v="910039.27"/>
    <n v="9195"/>
  </r>
  <r>
    <x v="28"/>
    <x v="1"/>
    <s v="NT"/>
    <s v="No gap agreement"/>
    <s v="More than 200% MBS Fee"/>
    <n v="59048.65"/>
    <n v="19171.5"/>
    <n v="39877.15"/>
    <n v="69"/>
  </r>
  <r>
    <x v="29"/>
    <x v="0"/>
    <s v="NSW"/>
    <s v="No agreement"/>
    <s v="Up to MBS Fee"/>
    <n v="35325531.060000002"/>
    <n v="26334997.969999999"/>
    <n v="8954562.5099999998"/>
    <n v="244519"/>
  </r>
  <r>
    <x v="29"/>
    <x v="0"/>
    <s v="NSW"/>
    <s v="No agreement"/>
    <s v="100% MBS Fee to 125% MBS Fee"/>
    <n v="3064946.39"/>
    <n v="2069938.11"/>
    <n v="717446.25"/>
    <n v="9349"/>
  </r>
  <r>
    <x v="29"/>
    <x v="0"/>
    <s v="NSW"/>
    <s v="No agreement"/>
    <s v="More than 125% MBS Fee to 150% MBS Fee"/>
    <n v="2793728.08"/>
    <n v="1528562.91"/>
    <n v="516176.98"/>
    <n v="5435"/>
  </r>
  <r>
    <x v="29"/>
    <x v="0"/>
    <s v="NSW"/>
    <s v="No agreement"/>
    <s v="More than 150% MBS Fee to 200% MBS Fee"/>
    <n v="8177454.5899999999"/>
    <n v="3468883.14"/>
    <n v="1257257.58"/>
    <n v="16634"/>
  </r>
  <r>
    <x v="29"/>
    <x v="0"/>
    <s v="NSW"/>
    <s v="No agreement"/>
    <s v="More than 200% MBS Fee"/>
    <n v="135853104.47999999"/>
    <n v="28253493.719999999"/>
    <n v="9538825.6500000004"/>
    <n v="93893"/>
  </r>
  <r>
    <x v="29"/>
    <x v="0"/>
    <s v="NSW"/>
    <s v="Known gap agreement"/>
    <s v="100% MBS Fee to 125% MBS Fee"/>
    <n v="3063649.79"/>
    <n v="1971441.98"/>
    <n v="902168.94"/>
    <n v="10778"/>
  </r>
  <r>
    <x v="29"/>
    <x v="0"/>
    <s v="NSW"/>
    <s v="Known gap agreement"/>
    <s v="More than 125% MBS Fee to 150% MBS Fee"/>
    <n v="7211068.8099999996"/>
    <n v="3863604.26"/>
    <n v="2878032.59"/>
    <n v="30475"/>
  </r>
  <r>
    <x v="29"/>
    <x v="0"/>
    <s v="NSW"/>
    <s v="Known gap agreement"/>
    <s v="More than 150% MBS Fee to 200% MBS Fee"/>
    <n v="25245930.41"/>
    <n v="10831383.949999999"/>
    <n v="10715933.859999999"/>
    <n v="34404"/>
  </r>
  <r>
    <x v="29"/>
    <x v="0"/>
    <s v="NSW"/>
    <s v="Known gap agreement"/>
    <s v="More than 200% MBS Fee"/>
    <n v="61595150.789999999"/>
    <n v="15617848.02"/>
    <n v="17273191.84"/>
    <n v="188221"/>
  </r>
  <r>
    <x v="29"/>
    <x v="0"/>
    <s v="NSW"/>
    <s v="No gap agreement"/>
    <s v="Up to MBS Fee"/>
    <n v="30644916.02"/>
    <n v="23111618.399999999"/>
    <n v="7533304.3700000001"/>
    <n v="999518"/>
  </r>
  <r>
    <x v="29"/>
    <x v="0"/>
    <s v="NSW"/>
    <s v="No gap agreement"/>
    <s v="100% MBS Fee to 125% MBS Fee"/>
    <n v="68955942.260000005"/>
    <n v="44025058.060000002"/>
    <n v="24930191.219999999"/>
    <n v="500916"/>
  </r>
  <r>
    <x v="29"/>
    <x v="0"/>
    <s v="NSW"/>
    <s v="No gap agreement"/>
    <s v="More than 125% MBS Fee to 150% MBS Fee"/>
    <n v="137091470.94999999"/>
    <n v="75098749.5"/>
    <n v="61992636.43"/>
    <n v="685833"/>
  </r>
  <r>
    <x v="29"/>
    <x v="0"/>
    <s v="NSW"/>
    <s v="No gap agreement"/>
    <s v="More than 150% MBS Fee to 200% MBS Fee"/>
    <n v="128922323.76000001"/>
    <n v="59507457.899999999"/>
    <n v="69414693.909999996"/>
    <n v="708522"/>
  </r>
  <r>
    <x v="29"/>
    <x v="0"/>
    <s v="NSW"/>
    <s v="No gap agreement"/>
    <s v="More than 200% MBS Fee"/>
    <n v="6610077.04"/>
    <n v="1922905.79"/>
    <n v="4687171.17"/>
    <n v="5988"/>
  </r>
  <r>
    <x v="29"/>
    <x v="0"/>
    <s v="VIC"/>
    <s v="No agreement"/>
    <s v="Up to MBS Fee"/>
    <n v="5641162.3499999996"/>
    <n v="4244716.8499999996"/>
    <n v="1378776.07"/>
    <n v="99073"/>
  </r>
  <r>
    <x v="29"/>
    <x v="0"/>
    <s v="VIC"/>
    <s v="No agreement"/>
    <s v="100% MBS Fee to 125% MBS Fee"/>
    <n v="1611253.31"/>
    <n v="1072733.58"/>
    <n v="358712.27"/>
    <n v="2580"/>
  </r>
  <r>
    <x v="29"/>
    <x v="0"/>
    <s v="VIC"/>
    <s v="No agreement"/>
    <s v="More than 125% MBS Fee to 150% MBS Fee"/>
    <n v="1952211.66"/>
    <n v="1041238.82"/>
    <n v="345172.13"/>
    <n v="7315"/>
  </r>
  <r>
    <x v="29"/>
    <x v="0"/>
    <s v="VIC"/>
    <s v="No agreement"/>
    <s v="More than 150% MBS Fee to 200% MBS Fee"/>
    <n v="4573058"/>
    <n v="2015505.37"/>
    <n v="676708.81"/>
    <n v="12016"/>
  </r>
  <r>
    <x v="29"/>
    <x v="0"/>
    <s v="VIC"/>
    <s v="No agreement"/>
    <s v="More than 200% MBS Fee"/>
    <n v="53783200.460000001"/>
    <n v="11845779.08"/>
    <n v="3965465.96"/>
    <n v="35506"/>
  </r>
  <r>
    <x v="29"/>
    <x v="0"/>
    <s v="VIC"/>
    <s v="Known gap agreement"/>
    <s v="100% MBS Fee to 125% MBS Fee"/>
    <n v="2781797.04"/>
    <n v="1747046.12"/>
    <n v="789936.39"/>
    <n v="12395"/>
  </r>
  <r>
    <x v="29"/>
    <x v="0"/>
    <s v="VIC"/>
    <s v="Known gap agreement"/>
    <s v="More than 125% MBS Fee to 150% MBS Fee"/>
    <n v="8408547.6699999999"/>
    <n v="4507038.87"/>
    <n v="3257174.39"/>
    <n v="19756"/>
  </r>
  <r>
    <x v="29"/>
    <x v="0"/>
    <s v="VIC"/>
    <s v="Known gap agreement"/>
    <s v="More than 150% MBS Fee to 200% MBS Fee"/>
    <n v="28502731.98"/>
    <n v="12174655.82"/>
    <n v="11535017.800000001"/>
    <n v="42648"/>
  </r>
  <r>
    <x v="29"/>
    <x v="0"/>
    <s v="VIC"/>
    <s v="Known gap agreement"/>
    <s v="More than 200% MBS Fee"/>
    <n v="68255834.659999996"/>
    <n v="17520707.760000002"/>
    <n v="18806023.030000001"/>
    <n v="212552"/>
  </r>
  <r>
    <x v="29"/>
    <x v="0"/>
    <s v="VIC"/>
    <s v="No gap agreement"/>
    <s v="Up to MBS Fee"/>
    <n v="22245177.899999999"/>
    <n v="16760551.16"/>
    <n v="5484628.0899999999"/>
    <n v="333605"/>
  </r>
  <r>
    <x v="29"/>
    <x v="0"/>
    <s v="VIC"/>
    <s v="No gap agreement"/>
    <s v="100% MBS Fee to 125% MBS Fee"/>
    <n v="70864632.510000005"/>
    <n v="45229500.5"/>
    <n v="25634660.789999999"/>
    <n v="527379"/>
  </r>
  <r>
    <x v="29"/>
    <x v="0"/>
    <s v="VIC"/>
    <s v="No gap agreement"/>
    <s v="More than 125% MBS Fee to 150% MBS Fee"/>
    <n v="140208483.75999999"/>
    <n v="77074425.040000007"/>
    <n v="63133912.43"/>
    <n v="754598"/>
  </r>
  <r>
    <x v="29"/>
    <x v="0"/>
    <s v="VIC"/>
    <s v="No gap agreement"/>
    <s v="More than 150% MBS Fee to 200% MBS Fee"/>
    <n v="86343510.849999994"/>
    <n v="40054839.600000001"/>
    <n v="46288586.310000002"/>
    <n v="541713"/>
  </r>
  <r>
    <x v="29"/>
    <x v="0"/>
    <s v="VIC"/>
    <s v="No gap agreement"/>
    <s v="More than 200% MBS Fee"/>
    <n v="3630804.36"/>
    <n v="1040669.73"/>
    <n v="2590134.63"/>
    <n v="4833"/>
  </r>
  <r>
    <x v="29"/>
    <x v="0"/>
    <s v="QLD"/>
    <s v="No agreement"/>
    <s v="Up to MBS Fee"/>
    <n v="4064946.41"/>
    <n v="3012903.33"/>
    <n v="1012037.38"/>
    <n v="54780"/>
  </r>
  <r>
    <x v="29"/>
    <x v="0"/>
    <s v="QLD"/>
    <s v="No agreement"/>
    <s v="100% MBS Fee to 125% MBS Fee"/>
    <n v="988243.71"/>
    <n v="660231.13"/>
    <n v="221485.64"/>
    <n v="1710"/>
  </r>
  <r>
    <x v="29"/>
    <x v="0"/>
    <s v="QLD"/>
    <s v="No agreement"/>
    <s v="More than 125% MBS Fee to 150% MBS Fee"/>
    <n v="2140866.7000000002"/>
    <n v="1172697.55"/>
    <n v="387917.63"/>
    <n v="3446"/>
  </r>
  <r>
    <x v="29"/>
    <x v="0"/>
    <s v="QLD"/>
    <s v="No agreement"/>
    <s v="More than 150% MBS Fee to 200% MBS Fee"/>
    <n v="5429257.4800000004"/>
    <n v="2353623.12"/>
    <n v="786246.9"/>
    <n v="19738"/>
  </r>
  <r>
    <x v="29"/>
    <x v="0"/>
    <s v="QLD"/>
    <s v="No agreement"/>
    <s v="More than 200% MBS Fee"/>
    <n v="64599091.119999997"/>
    <n v="13743007.82"/>
    <n v="4589492.82"/>
    <n v="45632"/>
  </r>
  <r>
    <x v="29"/>
    <x v="0"/>
    <s v="QLD"/>
    <s v="Known gap agreement"/>
    <s v="100% MBS Fee to 125% MBS Fee"/>
    <n v="1722440.56"/>
    <n v="1037185.24"/>
    <n v="485422.68"/>
    <n v="7417"/>
  </r>
  <r>
    <x v="29"/>
    <x v="0"/>
    <s v="QLD"/>
    <s v="Known gap agreement"/>
    <s v="More than 125% MBS Fee to 150% MBS Fee"/>
    <n v="6540100.0700000003"/>
    <n v="3493588.76"/>
    <n v="2470950.6"/>
    <n v="29956"/>
  </r>
  <r>
    <x v="29"/>
    <x v="0"/>
    <s v="QLD"/>
    <s v="Known gap agreement"/>
    <s v="More than 150% MBS Fee to 200% MBS Fee"/>
    <n v="30167550.370000001"/>
    <n v="12765362.720000001"/>
    <n v="12397924.9"/>
    <n v="42126"/>
  </r>
  <r>
    <x v="29"/>
    <x v="0"/>
    <s v="QLD"/>
    <s v="Known gap agreement"/>
    <s v="More than 200% MBS Fee"/>
    <n v="63271501.5"/>
    <n v="15526498.789999999"/>
    <n v="16862722.550000001"/>
    <n v="165572"/>
  </r>
  <r>
    <x v="29"/>
    <x v="0"/>
    <s v="QLD"/>
    <s v="No gap agreement"/>
    <s v="Up to MBS Fee"/>
    <n v="20215428.390000001"/>
    <n v="15206797.810000001"/>
    <n v="5008638.53"/>
    <n v="331449"/>
  </r>
  <r>
    <x v="29"/>
    <x v="0"/>
    <s v="QLD"/>
    <s v="No gap agreement"/>
    <s v="100% MBS Fee to 125% MBS Fee"/>
    <n v="54642748.609999999"/>
    <n v="34863198.049999997"/>
    <n v="19778518.75"/>
    <n v="405046"/>
  </r>
  <r>
    <x v="29"/>
    <x v="0"/>
    <s v="QLD"/>
    <s v="No gap agreement"/>
    <s v="More than 125% MBS Fee to 150% MBS Fee"/>
    <n v="91646043.280000001"/>
    <n v="50646039.369999997"/>
    <n v="40999851.469999999"/>
    <n v="637966"/>
  </r>
  <r>
    <x v="29"/>
    <x v="0"/>
    <s v="QLD"/>
    <s v="No gap agreement"/>
    <s v="More than 150% MBS Fee to 200% MBS Fee"/>
    <n v="76137365.680000007"/>
    <n v="35292354.359999999"/>
    <n v="40844398.920000002"/>
    <n v="494310"/>
  </r>
  <r>
    <x v="29"/>
    <x v="0"/>
    <s v="QLD"/>
    <s v="No gap agreement"/>
    <s v="More than 200% MBS Fee"/>
    <n v="3833710.83"/>
    <n v="1065313.1200000001"/>
    <n v="2768397.57"/>
    <n v="3202"/>
  </r>
  <r>
    <x v="29"/>
    <x v="0"/>
    <s v="SA"/>
    <s v="No agreement"/>
    <s v="Up to MBS Fee"/>
    <n v="1789832.01"/>
    <n v="1319443.1299999999"/>
    <n v="435455.84"/>
    <n v="7940"/>
  </r>
  <r>
    <x v="29"/>
    <x v="0"/>
    <s v="SA"/>
    <s v="No agreement"/>
    <s v="100% MBS Fee to 125% MBS Fee"/>
    <n v="546927.35"/>
    <n v="364037.43"/>
    <n v="121993.63"/>
    <n v="509"/>
  </r>
  <r>
    <x v="29"/>
    <x v="0"/>
    <s v="SA"/>
    <s v="No agreement"/>
    <s v="More than 125% MBS Fee to 150% MBS Fee"/>
    <n v="308072.78000000003"/>
    <n v="165481.38"/>
    <n v="54704.91"/>
    <n v="421"/>
  </r>
  <r>
    <x v="29"/>
    <x v="0"/>
    <s v="SA"/>
    <s v="No agreement"/>
    <s v="More than 150% MBS Fee to 200% MBS Fee"/>
    <n v="796797.97"/>
    <n v="337321.5"/>
    <n v="111223.06"/>
    <n v="1399"/>
  </r>
  <r>
    <x v="29"/>
    <x v="0"/>
    <s v="SA"/>
    <s v="No agreement"/>
    <s v="More than 200% MBS Fee"/>
    <n v="8882589.2400000002"/>
    <n v="1868967.99"/>
    <n v="623178.37"/>
    <n v="3924"/>
  </r>
  <r>
    <x v="29"/>
    <x v="0"/>
    <s v="SA"/>
    <s v="Known gap agreement"/>
    <s v="100% MBS Fee to 125% MBS Fee"/>
    <n v="568823.5"/>
    <n v="339880.39"/>
    <n v="163457.73000000001"/>
    <n v="2717"/>
  </r>
  <r>
    <x v="29"/>
    <x v="0"/>
    <s v="SA"/>
    <s v="Known gap agreement"/>
    <s v="More than 125% MBS Fee to 150% MBS Fee"/>
    <n v="2218429.5299999998"/>
    <n v="1187259.02"/>
    <n v="890349.05"/>
    <n v="7003"/>
  </r>
  <r>
    <x v="29"/>
    <x v="0"/>
    <s v="SA"/>
    <s v="Known gap agreement"/>
    <s v="More than 150% MBS Fee to 200% MBS Fee"/>
    <n v="16267086.640000001"/>
    <n v="6883013.3499999996"/>
    <n v="6776675.1399999997"/>
    <n v="22083"/>
  </r>
  <r>
    <x v="29"/>
    <x v="0"/>
    <s v="SA"/>
    <s v="Known gap agreement"/>
    <s v="More than 200% MBS Fee"/>
    <n v="19777468.800000001"/>
    <n v="5383134.0199999996"/>
    <n v="5991459.1600000001"/>
    <n v="66033"/>
  </r>
  <r>
    <x v="29"/>
    <x v="0"/>
    <s v="SA"/>
    <s v="No gap agreement"/>
    <s v="Up to MBS Fee"/>
    <n v="9998448.0500000007"/>
    <n v="7505652.5199999996"/>
    <n v="2492795.4300000002"/>
    <n v="189546"/>
  </r>
  <r>
    <x v="29"/>
    <x v="0"/>
    <s v="SA"/>
    <s v="No gap agreement"/>
    <s v="100% MBS Fee to 125% MBS Fee"/>
    <n v="18102230.469999999"/>
    <n v="11410227.9"/>
    <n v="6691887.3799999999"/>
    <n v="129878"/>
  </r>
  <r>
    <x v="29"/>
    <x v="0"/>
    <s v="SA"/>
    <s v="No gap agreement"/>
    <s v="More than 125% MBS Fee to 150% MBS Fee"/>
    <n v="36384454.689999998"/>
    <n v="19769329.949999999"/>
    <n v="16615096.539999999"/>
    <n v="213168"/>
  </r>
  <r>
    <x v="29"/>
    <x v="0"/>
    <s v="SA"/>
    <s v="No gap agreement"/>
    <s v="More than 150% MBS Fee to 200% MBS Fee"/>
    <n v="30974761.27"/>
    <n v="14428075.25"/>
    <n v="16546678.58"/>
    <n v="141271"/>
  </r>
  <r>
    <x v="29"/>
    <x v="0"/>
    <s v="SA"/>
    <s v="No gap agreement"/>
    <s v="More than 200% MBS Fee"/>
    <n v="912039.2"/>
    <n v="262231.5"/>
    <n v="649807.69999999995"/>
    <n v="730"/>
  </r>
  <r>
    <x v="29"/>
    <x v="0"/>
    <s v="WA"/>
    <s v="No agreement"/>
    <s v="Up to MBS Fee"/>
    <n v="2174612.12"/>
    <n v="1629747.02"/>
    <n v="536106.68999999994"/>
    <n v="27518"/>
  </r>
  <r>
    <x v="29"/>
    <x v="0"/>
    <s v="WA"/>
    <s v="No agreement"/>
    <s v="100% MBS Fee to 125% MBS Fee"/>
    <n v="556757.98"/>
    <n v="370477.01"/>
    <n v="123010.98"/>
    <n v="966"/>
  </r>
  <r>
    <x v="29"/>
    <x v="0"/>
    <s v="WA"/>
    <s v="No agreement"/>
    <s v="More than 125% MBS Fee to 150% MBS Fee"/>
    <n v="666059.11"/>
    <n v="359201.56"/>
    <n v="116328.49"/>
    <n v="1325"/>
  </r>
  <r>
    <x v="29"/>
    <x v="0"/>
    <s v="WA"/>
    <s v="No agreement"/>
    <s v="More than 150% MBS Fee to 200% MBS Fee"/>
    <n v="2363689.81"/>
    <n v="1020683.91"/>
    <n v="342493.54"/>
    <n v="9061"/>
  </r>
  <r>
    <x v="29"/>
    <x v="0"/>
    <s v="WA"/>
    <s v="No agreement"/>
    <s v="More than 200% MBS Fee"/>
    <n v="16066450.01"/>
    <n v="3431154.14"/>
    <n v="1204896.96"/>
    <n v="13485"/>
  </r>
  <r>
    <x v="29"/>
    <x v="0"/>
    <s v="WA"/>
    <s v="Known gap agreement"/>
    <s v="100% MBS Fee to 125% MBS Fee"/>
    <n v="754462.13"/>
    <n v="481518.56"/>
    <n v="195519.07"/>
    <n v="3610"/>
  </r>
  <r>
    <x v="29"/>
    <x v="0"/>
    <s v="WA"/>
    <s v="Known gap agreement"/>
    <s v="More than 125% MBS Fee to 150% MBS Fee"/>
    <n v="2449524.2999999998"/>
    <n v="1324217.46"/>
    <n v="762540.26"/>
    <n v="6936"/>
  </r>
  <r>
    <x v="29"/>
    <x v="0"/>
    <s v="WA"/>
    <s v="Known gap agreement"/>
    <s v="More than 150% MBS Fee to 200% MBS Fee"/>
    <n v="11692833.949999999"/>
    <n v="5049025.4800000004"/>
    <n v="4185711.44"/>
    <n v="18965"/>
  </r>
  <r>
    <x v="29"/>
    <x v="0"/>
    <s v="WA"/>
    <s v="Known gap agreement"/>
    <s v="More than 200% MBS Fee"/>
    <n v="27696554.5"/>
    <n v="6620856.9699999997"/>
    <n v="4872480.12"/>
    <n v="70070"/>
  </r>
  <r>
    <x v="29"/>
    <x v="0"/>
    <s v="WA"/>
    <s v="No gap agreement"/>
    <s v="Up to MBS Fee"/>
    <n v="14455348.49"/>
    <n v="10865658.460000001"/>
    <n v="3589690.03"/>
    <n v="211703"/>
  </r>
  <r>
    <x v="29"/>
    <x v="0"/>
    <s v="WA"/>
    <s v="No gap agreement"/>
    <s v="100% MBS Fee to 125% MBS Fee"/>
    <n v="17490745.039999999"/>
    <n v="11110853.9"/>
    <n v="6379860.4900000002"/>
    <n v="99581"/>
  </r>
  <r>
    <x v="29"/>
    <x v="0"/>
    <s v="WA"/>
    <s v="No gap agreement"/>
    <s v="More than 125% MBS Fee to 150% MBS Fee"/>
    <n v="60769868.829999998"/>
    <n v="33214727.949999999"/>
    <n v="27555125.960000001"/>
    <n v="360009"/>
  </r>
  <r>
    <x v="29"/>
    <x v="0"/>
    <s v="WA"/>
    <s v="No gap agreement"/>
    <s v="More than 150% MBS Fee to 200% MBS Fee"/>
    <n v="55446689.600000001"/>
    <n v="25320340.800000001"/>
    <n v="30126340.789999999"/>
    <n v="243281"/>
  </r>
  <r>
    <x v="29"/>
    <x v="0"/>
    <s v="WA"/>
    <s v="No gap agreement"/>
    <s v="More than 200% MBS Fee"/>
    <n v="2095595.46"/>
    <n v="588485.59"/>
    <n v="1507109.87"/>
    <n v="1961"/>
  </r>
  <r>
    <x v="29"/>
    <x v="0"/>
    <s v="TAS"/>
    <s v="No agreement"/>
    <s v="Up to MBS Fee"/>
    <n v="240131.81"/>
    <n v="179720.3"/>
    <n v="59341.06"/>
    <n v="2019"/>
  </r>
  <r>
    <x v="29"/>
    <x v="0"/>
    <s v="TAS"/>
    <s v="No agreement"/>
    <s v="100% MBS Fee to 125% MBS Fee"/>
    <n v="74144.81"/>
    <n v="47813.85"/>
    <n v="15809.24"/>
    <n v="176"/>
  </r>
  <r>
    <x v="29"/>
    <x v="0"/>
    <s v="TAS"/>
    <s v="No agreement"/>
    <s v="More than 125% MBS Fee to 150% MBS Fee"/>
    <n v="47957.33"/>
    <n v="26236.19"/>
    <n v="8449.44"/>
    <n v="88"/>
  </r>
  <r>
    <x v="29"/>
    <x v="0"/>
    <s v="TAS"/>
    <s v="No agreement"/>
    <s v="More than 150% MBS Fee to 200% MBS Fee"/>
    <n v="158783.69"/>
    <n v="68207.25"/>
    <n v="22813.47"/>
    <n v="279"/>
  </r>
  <r>
    <x v="29"/>
    <x v="0"/>
    <s v="TAS"/>
    <s v="No agreement"/>
    <s v="More than 200% MBS Fee"/>
    <n v="3273319.54"/>
    <n v="635902.78"/>
    <n v="217514.74"/>
    <n v="1730"/>
  </r>
  <r>
    <x v="29"/>
    <x v="0"/>
    <s v="TAS"/>
    <s v="Known gap agreement"/>
    <s v="100% MBS Fee to 125% MBS Fee"/>
    <n v="237324.15"/>
    <n v="150409.57999999999"/>
    <n v="75922.5"/>
    <n v="1115"/>
  </r>
  <r>
    <x v="29"/>
    <x v="0"/>
    <s v="TAS"/>
    <s v="Known gap agreement"/>
    <s v="More than 125% MBS Fee to 150% MBS Fee"/>
    <n v="422841.29"/>
    <n v="224836.95"/>
    <n v="174883.01"/>
    <n v="1607"/>
  </r>
  <r>
    <x v="29"/>
    <x v="0"/>
    <s v="TAS"/>
    <s v="Known gap agreement"/>
    <s v="More than 150% MBS Fee to 200% MBS Fee"/>
    <n v="4719584.95"/>
    <n v="2035515.94"/>
    <n v="2008034.94"/>
    <n v="5510"/>
  </r>
  <r>
    <x v="29"/>
    <x v="0"/>
    <s v="TAS"/>
    <s v="Known gap agreement"/>
    <s v="More than 200% MBS Fee"/>
    <n v="5358753.96"/>
    <n v="1355612.42"/>
    <n v="1530579.39"/>
    <n v="11030"/>
  </r>
  <r>
    <x v="29"/>
    <x v="0"/>
    <s v="TAS"/>
    <s v="No gap agreement"/>
    <s v="Up to MBS Fee"/>
    <n v="1668076.3"/>
    <n v="1254387.72"/>
    <n v="413688.58"/>
    <n v="28650"/>
  </r>
  <r>
    <x v="29"/>
    <x v="0"/>
    <s v="TAS"/>
    <s v="No gap agreement"/>
    <s v="100% MBS Fee to 125% MBS Fee"/>
    <n v="2729782.63"/>
    <n v="1729471.65"/>
    <n v="1000295.95"/>
    <n v="17348"/>
  </r>
  <r>
    <x v="29"/>
    <x v="0"/>
    <s v="TAS"/>
    <s v="No gap agreement"/>
    <s v="More than 125% MBS Fee to 150% MBS Fee"/>
    <n v="9919567.5"/>
    <n v="5412867"/>
    <n v="4506696.32"/>
    <n v="54855"/>
  </r>
  <r>
    <x v="29"/>
    <x v="0"/>
    <s v="TAS"/>
    <s v="No gap agreement"/>
    <s v="More than 150% MBS Fee to 200% MBS Fee"/>
    <n v="12133402.34"/>
    <n v="5624500.1699999999"/>
    <n v="6508893.3300000001"/>
    <n v="57290"/>
  </r>
  <r>
    <x v="29"/>
    <x v="0"/>
    <s v="TAS"/>
    <s v="No gap agreement"/>
    <s v="More than 200% MBS Fee"/>
    <n v="237403.07"/>
    <n v="64121.1"/>
    <n v="173281.97"/>
    <n v="162"/>
  </r>
  <r>
    <x v="29"/>
    <x v="0"/>
    <s v="ACT"/>
    <s v="No agreement"/>
    <s v="Up to MBS Fee"/>
    <n v="401282.46"/>
    <n v="300748.81"/>
    <n v="99272.3"/>
    <n v="4237"/>
  </r>
  <r>
    <x v="29"/>
    <x v="0"/>
    <s v="ACT"/>
    <s v="No agreement"/>
    <s v="100% MBS Fee to 125% MBS Fee"/>
    <n v="33359.620000000003"/>
    <n v="22700.31"/>
    <n v="7303.12"/>
    <n v="113"/>
  </r>
  <r>
    <x v="29"/>
    <x v="0"/>
    <s v="ACT"/>
    <s v="No agreement"/>
    <s v="More than 125% MBS Fee to 150% MBS Fee"/>
    <n v="65397.36"/>
    <n v="34553.57"/>
    <n v="11551.21"/>
    <n v="95"/>
  </r>
  <r>
    <x v="29"/>
    <x v="0"/>
    <s v="ACT"/>
    <s v="No agreement"/>
    <s v="More than 150% MBS Fee to 200% MBS Fee"/>
    <n v="462928.52"/>
    <n v="197718.71"/>
    <n v="65735.53"/>
    <n v="1169"/>
  </r>
  <r>
    <x v="29"/>
    <x v="0"/>
    <s v="ACT"/>
    <s v="No agreement"/>
    <s v="More than 200% MBS Fee"/>
    <n v="11688586.32"/>
    <n v="2372169.19"/>
    <n v="788284.99"/>
    <n v="8285"/>
  </r>
  <r>
    <x v="29"/>
    <x v="0"/>
    <s v="ACT"/>
    <s v="Known gap agreement"/>
    <s v="100% MBS Fee to 125% MBS Fee"/>
    <n v="72633.259999999995"/>
    <n v="43525.47"/>
    <n v="19480.830000000002"/>
    <n v="272"/>
  </r>
  <r>
    <x v="29"/>
    <x v="0"/>
    <s v="ACT"/>
    <s v="Known gap agreement"/>
    <s v="More than 125% MBS Fee to 150% MBS Fee"/>
    <n v="231311.78"/>
    <n v="125692.43"/>
    <n v="84563.34"/>
    <n v="1055"/>
  </r>
  <r>
    <x v="29"/>
    <x v="0"/>
    <s v="ACT"/>
    <s v="Known gap agreement"/>
    <s v="More than 150% MBS Fee to 200% MBS Fee"/>
    <n v="1162107.6499999999"/>
    <n v="485299.72"/>
    <n v="447073.29"/>
    <n v="1695"/>
  </r>
  <r>
    <x v="29"/>
    <x v="0"/>
    <s v="ACT"/>
    <s v="Known gap agreement"/>
    <s v="More than 200% MBS Fee"/>
    <n v="4771919.8"/>
    <n v="1198934.9099999999"/>
    <n v="1196369.47"/>
    <n v="14745"/>
  </r>
  <r>
    <x v="29"/>
    <x v="0"/>
    <s v="ACT"/>
    <s v="No gap agreement"/>
    <s v="Up to MBS Fee"/>
    <n v="500118.45"/>
    <n v="378100.6"/>
    <n v="122017.85"/>
    <n v="10509"/>
  </r>
  <r>
    <x v="29"/>
    <x v="0"/>
    <s v="ACT"/>
    <s v="No gap agreement"/>
    <s v="100% MBS Fee to 125% MBS Fee"/>
    <n v="1837833.44"/>
    <n v="1176845.2"/>
    <n v="660978.1"/>
    <n v="12196"/>
  </r>
  <r>
    <x v="29"/>
    <x v="0"/>
    <s v="ACT"/>
    <s v="No gap agreement"/>
    <s v="More than 125% MBS Fee to 150% MBS Fee"/>
    <n v="5333397.96"/>
    <n v="2938083.95"/>
    <n v="2395311.7200000002"/>
    <n v="39535"/>
  </r>
  <r>
    <x v="29"/>
    <x v="0"/>
    <s v="ACT"/>
    <s v="No gap agreement"/>
    <s v="More than 150% MBS Fee to 200% MBS Fee"/>
    <n v="3395939.2"/>
    <n v="1574472"/>
    <n v="1821456.62"/>
    <n v="19943"/>
  </r>
  <r>
    <x v="29"/>
    <x v="0"/>
    <s v="ACT"/>
    <s v="No gap agreement"/>
    <s v="More than 200% MBS Fee"/>
    <n v="208705.26"/>
    <n v="57875.3"/>
    <n v="150829.96"/>
    <n v="198"/>
  </r>
  <r>
    <x v="29"/>
    <x v="0"/>
    <s v="NT"/>
    <s v="No agreement"/>
    <s v="Up to MBS Fee"/>
    <n v="143499.04"/>
    <n v="91208.29"/>
    <n v="29995.45"/>
    <n v="628"/>
  </r>
  <r>
    <x v="29"/>
    <x v="0"/>
    <s v="NT"/>
    <s v="No agreement"/>
    <s v="100% MBS Fee to 125% MBS Fee"/>
    <n v="26809.8"/>
    <n v="17853.650000000001"/>
    <n v="6131.7"/>
    <n v="42"/>
  </r>
  <r>
    <x v="29"/>
    <x v="0"/>
    <s v="NT"/>
    <s v="No agreement"/>
    <s v="More than 125% MBS Fee to 150% MBS Fee"/>
    <n v="45693.2"/>
    <n v="24959.62"/>
    <n v="8486.4500000000007"/>
    <n v="72"/>
  </r>
  <r>
    <x v="29"/>
    <x v="0"/>
    <s v="NT"/>
    <s v="No agreement"/>
    <s v="More than 150% MBS Fee to 200% MBS Fee"/>
    <n v="106834.17"/>
    <n v="45869.04"/>
    <n v="15468.95"/>
    <n v="176"/>
  </r>
  <r>
    <x v="29"/>
    <x v="0"/>
    <s v="NT"/>
    <s v="No agreement"/>
    <s v="More than 200% MBS Fee"/>
    <n v="1984695.01"/>
    <n v="442549.85"/>
    <n v="147518.97"/>
    <n v="1225"/>
  </r>
  <r>
    <x v="29"/>
    <x v="0"/>
    <s v="NT"/>
    <s v="Known gap agreement"/>
    <s v="100% MBS Fee to 125% MBS Fee"/>
    <n v="24781.95"/>
    <n v="15688.01"/>
    <n v="7132.11"/>
    <n v="69"/>
  </r>
  <r>
    <x v="29"/>
    <x v="0"/>
    <s v="NT"/>
    <s v="Known gap agreement"/>
    <s v="More than 125% MBS Fee to 150% MBS Fee"/>
    <n v="88303.16"/>
    <n v="47641.07"/>
    <n v="31503.61"/>
    <n v="296"/>
  </r>
  <r>
    <x v="29"/>
    <x v="0"/>
    <s v="NT"/>
    <s v="Known gap agreement"/>
    <s v="More than 150% MBS Fee to 200% MBS Fee"/>
    <n v="350482.53"/>
    <n v="149900.97"/>
    <n v="149707.26999999999"/>
    <n v="482"/>
  </r>
  <r>
    <x v="29"/>
    <x v="0"/>
    <s v="NT"/>
    <s v="Known gap agreement"/>
    <s v="More than 200% MBS Fee"/>
    <n v="1293033.03"/>
    <n v="338112.88"/>
    <n v="386127.08"/>
    <n v="4624"/>
  </r>
  <r>
    <x v="29"/>
    <x v="0"/>
    <s v="NT"/>
    <s v="No gap agreement"/>
    <s v="Up to MBS Fee"/>
    <n v="242162.22"/>
    <n v="181928.05"/>
    <n v="60234.17"/>
    <n v="3810"/>
  </r>
  <r>
    <x v="29"/>
    <x v="0"/>
    <s v="NT"/>
    <s v="No gap agreement"/>
    <s v="100% MBS Fee to 125% MBS Fee"/>
    <n v="607088.18000000005"/>
    <n v="385337.35"/>
    <n v="221748.21"/>
    <n v="3840"/>
  </r>
  <r>
    <x v="29"/>
    <x v="0"/>
    <s v="NT"/>
    <s v="No gap agreement"/>
    <s v="More than 125% MBS Fee to 150% MBS Fee"/>
    <n v="2244336.2000000002"/>
    <n v="1226957"/>
    <n v="1017377.7"/>
    <n v="9592"/>
  </r>
  <r>
    <x v="29"/>
    <x v="0"/>
    <s v="NT"/>
    <s v="No gap agreement"/>
    <s v="More than 150% MBS Fee to 200% MBS Fee"/>
    <n v="1591153.16"/>
    <n v="740796.9"/>
    <n v="850348.03"/>
    <n v="8250"/>
  </r>
  <r>
    <x v="29"/>
    <x v="0"/>
    <s v="NT"/>
    <s v="No gap agreement"/>
    <s v="More than 200% MBS Fee"/>
    <n v="7953.8"/>
    <n v="2109.6"/>
    <n v="5844.2"/>
    <n v="24"/>
  </r>
  <r>
    <x v="29"/>
    <x v="2"/>
    <s v="NSW"/>
    <s v="No agreement"/>
    <s v="Up to MBS Fee"/>
    <n v="38432345.439999998"/>
    <n v="28747894.41"/>
    <n v="9644199.3399999999"/>
    <n v="279653"/>
  </r>
  <r>
    <x v="29"/>
    <x v="2"/>
    <s v="NSW"/>
    <s v="No agreement"/>
    <s v="100% MBS Fee to 125% MBS Fee"/>
    <n v="2754517"/>
    <n v="1878825.32"/>
    <n v="647586.14"/>
    <n v="10472"/>
  </r>
  <r>
    <x v="29"/>
    <x v="2"/>
    <s v="NSW"/>
    <s v="No agreement"/>
    <s v="More than 125% MBS Fee to 150% MBS Fee"/>
    <n v="2900148.28"/>
    <n v="1580583"/>
    <n v="537573.82999999996"/>
    <n v="5710"/>
  </r>
  <r>
    <x v="29"/>
    <x v="2"/>
    <s v="NSW"/>
    <s v="No agreement"/>
    <s v="More than 150% MBS Fee to 200% MBS Fee"/>
    <n v="7853940.5499999998"/>
    <n v="3335659.7"/>
    <n v="1191816.43"/>
    <n v="16967"/>
  </r>
  <r>
    <x v="29"/>
    <x v="2"/>
    <s v="NSW"/>
    <s v="No agreement"/>
    <s v="More than 200% MBS Fee"/>
    <n v="130800145.59999999"/>
    <n v="27170068.809999999"/>
    <n v="9187842.2699999996"/>
    <n v="99605"/>
  </r>
  <r>
    <x v="29"/>
    <x v="2"/>
    <s v="NSW"/>
    <s v="Known gap agreement"/>
    <s v="100% MBS Fee to 125% MBS Fee"/>
    <n v="2861270.27"/>
    <n v="1885370.95"/>
    <n v="844109.44"/>
    <n v="11140"/>
  </r>
  <r>
    <x v="29"/>
    <x v="2"/>
    <s v="NSW"/>
    <s v="Known gap agreement"/>
    <s v="More than 125% MBS Fee to 150% MBS Fee"/>
    <n v="6499934.9699999997"/>
    <n v="3471923.56"/>
    <n v="2690142.3"/>
    <n v="17799"/>
  </r>
  <r>
    <x v="29"/>
    <x v="2"/>
    <s v="NSW"/>
    <s v="Known gap agreement"/>
    <s v="More than 150% MBS Fee to 200% MBS Fee"/>
    <n v="22572848.620000001"/>
    <n v="9704165.6699999999"/>
    <n v="9601492.0299999993"/>
    <n v="34638"/>
  </r>
  <r>
    <x v="29"/>
    <x v="2"/>
    <s v="NSW"/>
    <s v="Known gap agreement"/>
    <s v="More than 200% MBS Fee"/>
    <n v="58591203.950000003"/>
    <n v="15110711.26"/>
    <n v="16749477.130000001"/>
    <n v="181957"/>
  </r>
  <r>
    <x v="29"/>
    <x v="2"/>
    <s v="NSW"/>
    <s v="No gap agreement"/>
    <s v="Up to MBS Fee"/>
    <n v="30174620.25"/>
    <n v="22722333.989999998"/>
    <n v="7452908.0899999999"/>
    <n v="987236"/>
  </r>
  <r>
    <x v="29"/>
    <x v="2"/>
    <s v="NSW"/>
    <s v="No gap agreement"/>
    <s v="100% MBS Fee to 125% MBS Fee"/>
    <n v="65508416.210000001"/>
    <n v="41793854.549999997"/>
    <n v="23714181.09"/>
    <n v="499180"/>
  </r>
  <r>
    <x v="29"/>
    <x v="2"/>
    <s v="NSW"/>
    <s v="No gap agreement"/>
    <s v="More than 125% MBS Fee to 150% MBS Fee"/>
    <n v="125229354.53"/>
    <n v="68587553.099999994"/>
    <n v="56641754.740000002"/>
    <n v="650008"/>
  </r>
  <r>
    <x v="29"/>
    <x v="2"/>
    <s v="NSW"/>
    <s v="No gap agreement"/>
    <s v="More than 150% MBS Fee to 200% MBS Fee"/>
    <n v="123623322.95"/>
    <n v="56773813"/>
    <n v="66849344.869999997"/>
    <n v="674567"/>
  </r>
  <r>
    <x v="29"/>
    <x v="2"/>
    <s v="NSW"/>
    <s v="No gap agreement"/>
    <s v="More than 200% MBS Fee"/>
    <n v="6645719.9800000004"/>
    <n v="1957784.96"/>
    <n v="4687935.0199999996"/>
    <n v="6179"/>
  </r>
  <r>
    <x v="29"/>
    <x v="2"/>
    <s v="VIC"/>
    <s v="No agreement"/>
    <s v="Up to MBS Fee"/>
    <n v="5436535.5"/>
    <n v="4092150.1"/>
    <n v="1333641.18"/>
    <n v="101328"/>
  </r>
  <r>
    <x v="29"/>
    <x v="2"/>
    <s v="VIC"/>
    <s v="No agreement"/>
    <s v="100% MBS Fee to 125% MBS Fee"/>
    <n v="886904.49"/>
    <n v="594376.19999999995"/>
    <n v="199274.15"/>
    <n v="2605"/>
  </r>
  <r>
    <x v="29"/>
    <x v="2"/>
    <s v="VIC"/>
    <s v="No agreement"/>
    <s v="More than 125% MBS Fee to 150% MBS Fee"/>
    <n v="1603596.38"/>
    <n v="861438.08"/>
    <n v="286572.78000000003"/>
    <n v="6279"/>
  </r>
  <r>
    <x v="29"/>
    <x v="2"/>
    <s v="VIC"/>
    <s v="No agreement"/>
    <s v="More than 150% MBS Fee to 200% MBS Fee"/>
    <n v="4663206.62"/>
    <n v="2035979.48"/>
    <n v="680355.37"/>
    <n v="12502"/>
  </r>
  <r>
    <x v="29"/>
    <x v="2"/>
    <s v="VIC"/>
    <s v="No agreement"/>
    <s v="More than 200% MBS Fee"/>
    <n v="53215203.490000002"/>
    <n v="11553929.890000001"/>
    <n v="3873096.93"/>
    <n v="40638"/>
  </r>
  <r>
    <x v="29"/>
    <x v="2"/>
    <s v="VIC"/>
    <s v="Known gap agreement"/>
    <s v="100% MBS Fee to 125% MBS Fee"/>
    <n v="2672328.29"/>
    <n v="1722139.86"/>
    <n v="752073.7"/>
    <n v="13576"/>
  </r>
  <r>
    <x v="29"/>
    <x v="2"/>
    <s v="VIC"/>
    <s v="Known gap agreement"/>
    <s v="More than 125% MBS Fee to 150% MBS Fee"/>
    <n v="8186737.6900000004"/>
    <n v="4380852.92"/>
    <n v="3206799.28"/>
    <n v="23931"/>
  </r>
  <r>
    <x v="29"/>
    <x v="2"/>
    <s v="VIC"/>
    <s v="Known gap agreement"/>
    <s v="More than 150% MBS Fee to 200% MBS Fee"/>
    <n v="25512140.960000001"/>
    <n v="10922006.310000001"/>
    <n v="10235065.369999999"/>
    <n v="39251"/>
  </r>
  <r>
    <x v="29"/>
    <x v="2"/>
    <s v="VIC"/>
    <s v="Known gap agreement"/>
    <s v="More than 200% MBS Fee"/>
    <n v="61981091.689999998"/>
    <n v="16313445.029999999"/>
    <n v="17257365.84"/>
    <n v="200760"/>
  </r>
  <r>
    <x v="29"/>
    <x v="2"/>
    <s v="VIC"/>
    <s v="No gap agreement"/>
    <s v="Up to MBS Fee"/>
    <n v="24125715.890000001"/>
    <n v="18163352.739999998"/>
    <n v="5962364.25"/>
    <n v="408191"/>
  </r>
  <r>
    <x v="29"/>
    <x v="2"/>
    <s v="VIC"/>
    <s v="No gap agreement"/>
    <s v="100% MBS Fee to 125% MBS Fee"/>
    <n v="69168943.5"/>
    <n v="44101122.149999999"/>
    <n v="25067603.09"/>
    <n v="538341"/>
  </r>
  <r>
    <x v="29"/>
    <x v="2"/>
    <s v="VIC"/>
    <s v="No gap agreement"/>
    <s v="More than 125% MBS Fee to 150% MBS Fee"/>
    <n v="128048934.17"/>
    <n v="70355414.090000004"/>
    <n v="57693418.090000004"/>
    <n v="720659"/>
  </r>
  <r>
    <x v="29"/>
    <x v="2"/>
    <s v="VIC"/>
    <s v="No gap agreement"/>
    <s v="More than 150% MBS Fee to 200% MBS Fee"/>
    <n v="80603722.780000001"/>
    <n v="37209179.32"/>
    <n v="43394484.640000001"/>
    <n v="509501"/>
  </r>
  <r>
    <x v="29"/>
    <x v="2"/>
    <s v="VIC"/>
    <s v="No gap agreement"/>
    <s v="More than 200% MBS Fee"/>
    <n v="3121253.7"/>
    <n v="859177.75"/>
    <n v="2262075.9500000002"/>
    <n v="2881"/>
  </r>
  <r>
    <x v="29"/>
    <x v="2"/>
    <s v="QLD"/>
    <s v="No agreement"/>
    <s v="Up to MBS Fee"/>
    <n v="4057061"/>
    <n v="3033970.97"/>
    <n v="985764.28"/>
    <n v="62761"/>
  </r>
  <r>
    <x v="29"/>
    <x v="2"/>
    <s v="QLD"/>
    <s v="No agreement"/>
    <s v="100% MBS Fee to 125% MBS Fee"/>
    <n v="1025275.16"/>
    <n v="672320.89"/>
    <n v="231048.35"/>
    <n v="2343"/>
  </r>
  <r>
    <x v="29"/>
    <x v="2"/>
    <s v="QLD"/>
    <s v="No agreement"/>
    <s v="More than 125% MBS Fee to 150% MBS Fee"/>
    <n v="1359913.93"/>
    <n v="739786.99"/>
    <n v="245099.49"/>
    <n v="2438"/>
  </r>
  <r>
    <x v="29"/>
    <x v="2"/>
    <s v="QLD"/>
    <s v="No agreement"/>
    <s v="More than 150% MBS Fee to 200% MBS Fee"/>
    <n v="4808558.59"/>
    <n v="2085918.41"/>
    <n v="695183.99"/>
    <n v="19734"/>
  </r>
  <r>
    <x v="29"/>
    <x v="2"/>
    <s v="QLD"/>
    <s v="No agreement"/>
    <s v="More than 200% MBS Fee"/>
    <n v="63619452.439999998"/>
    <n v="13406110.550000001"/>
    <n v="4489884.1900000004"/>
    <n v="49802"/>
  </r>
  <r>
    <x v="29"/>
    <x v="2"/>
    <s v="QLD"/>
    <s v="Known gap agreement"/>
    <s v="100% MBS Fee to 125% MBS Fee"/>
    <n v="1806492.45"/>
    <n v="1158719.56"/>
    <n v="526420.51"/>
    <n v="8089"/>
  </r>
  <r>
    <x v="29"/>
    <x v="2"/>
    <s v="QLD"/>
    <s v="Known gap agreement"/>
    <s v="More than 125% MBS Fee to 150% MBS Fee"/>
    <n v="5435675.4900000002"/>
    <n v="2902373.32"/>
    <n v="2113871.52"/>
    <n v="17848"/>
  </r>
  <r>
    <x v="29"/>
    <x v="2"/>
    <s v="QLD"/>
    <s v="Known gap agreement"/>
    <s v="More than 150% MBS Fee to 200% MBS Fee"/>
    <n v="24145839.449999999"/>
    <n v="10250401.9"/>
    <n v="9948070.1999999993"/>
    <n v="36090"/>
  </r>
  <r>
    <x v="29"/>
    <x v="2"/>
    <s v="QLD"/>
    <s v="Known gap agreement"/>
    <s v="More than 200% MBS Fee"/>
    <n v="59525505.869999997"/>
    <n v="14757751.109999999"/>
    <n v="16162935.59"/>
    <n v="152273"/>
  </r>
  <r>
    <x v="29"/>
    <x v="2"/>
    <s v="QLD"/>
    <s v="No gap agreement"/>
    <s v="Up to MBS Fee"/>
    <n v="15890362.32"/>
    <n v="11950309.76"/>
    <n v="3940130.92"/>
    <n v="140327"/>
  </r>
  <r>
    <x v="29"/>
    <x v="2"/>
    <s v="QLD"/>
    <s v="No gap agreement"/>
    <s v="100% MBS Fee to 125% MBS Fee"/>
    <n v="53005363.359999999"/>
    <n v="33792384.200000003"/>
    <n v="19212886.379999999"/>
    <n v="424259"/>
  </r>
  <r>
    <x v="29"/>
    <x v="2"/>
    <s v="QLD"/>
    <s v="No gap agreement"/>
    <s v="More than 125% MBS Fee to 150% MBS Fee"/>
    <n v="85992033.650000006"/>
    <n v="47565197.619999997"/>
    <n v="38426716.689999998"/>
    <n v="635289"/>
  </r>
  <r>
    <x v="29"/>
    <x v="2"/>
    <s v="QLD"/>
    <s v="No gap agreement"/>
    <s v="More than 150% MBS Fee to 200% MBS Fee"/>
    <n v="70719310.989999995"/>
    <n v="32638415.350000001"/>
    <n v="38080409.200000003"/>
    <n v="467177"/>
  </r>
  <r>
    <x v="29"/>
    <x v="2"/>
    <s v="QLD"/>
    <s v="No gap agreement"/>
    <s v="More than 200% MBS Fee"/>
    <n v="3827956.48"/>
    <n v="1073405.8"/>
    <n v="2754550.6"/>
    <n v="3447"/>
  </r>
  <r>
    <x v="29"/>
    <x v="2"/>
    <s v="SA"/>
    <s v="No agreement"/>
    <s v="Up to MBS Fee"/>
    <n v="1825063.49"/>
    <n v="1360918.74"/>
    <n v="450826.05"/>
    <n v="8947"/>
  </r>
  <r>
    <x v="29"/>
    <x v="2"/>
    <s v="SA"/>
    <s v="No agreement"/>
    <s v="100% MBS Fee to 125% MBS Fee"/>
    <n v="285056.5"/>
    <n v="188503.93"/>
    <n v="62939.94"/>
    <n v="384"/>
  </r>
  <r>
    <x v="29"/>
    <x v="2"/>
    <s v="SA"/>
    <s v="No agreement"/>
    <s v="More than 125% MBS Fee to 150% MBS Fee"/>
    <n v="318128.57"/>
    <n v="170240.09"/>
    <n v="57950.67"/>
    <n v="544"/>
  </r>
  <r>
    <x v="29"/>
    <x v="2"/>
    <s v="SA"/>
    <s v="No agreement"/>
    <s v="More than 150% MBS Fee to 200% MBS Fee"/>
    <n v="768660.96"/>
    <n v="329527.98"/>
    <n v="111226.64"/>
    <n v="1408"/>
  </r>
  <r>
    <x v="29"/>
    <x v="2"/>
    <s v="SA"/>
    <s v="No agreement"/>
    <s v="More than 200% MBS Fee"/>
    <n v="7696350.25"/>
    <n v="1634571.12"/>
    <n v="544679.03"/>
    <n v="4170"/>
  </r>
  <r>
    <x v="29"/>
    <x v="2"/>
    <s v="SA"/>
    <s v="Known gap agreement"/>
    <s v="100% MBS Fee to 125% MBS Fee"/>
    <n v="505919.29"/>
    <n v="315562.61"/>
    <n v="150493.99"/>
    <n v="2481"/>
  </r>
  <r>
    <x v="29"/>
    <x v="2"/>
    <s v="SA"/>
    <s v="Known gap agreement"/>
    <s v="More than 125% MBS Fee to 150% MBS Fee"/>
    <n v="2096604.5"/>
    <n v="1122190.45"/>
    <n v="845826.94"/>
    <n v="7129"/>
  </r>
  <r>
    <x v="29"/>
    <x v="2"/>
    <s v="SA"/>
    <s v="Known gap agreement"/>
    <s v="More than 150% MBS Fee to 200% MBS Fee"/>
    <n v="14940479.800000001"/>
    <n v="6331276.7599999998"/>
    <n v="6275291.6299999999"/>
    <n v="20418"/>
  </r>
  <r>
    <x v="29"/>
    <x v="2"/>
    <s v="SA"/>
    <s v="Known gap agreement"/>
    <s v="More than 200% MBS Fee"/>
    <n v="18661597.030000001"/>
    <n v="5179939.88"/>
    <n v="5780298.04"/>
    <n v="63074"/>
  </r>
  <r>
    <x v="29"/>
    <x v="2"/>
    <s v="SA"/>
    <s v="No gap agreement"/>
    <s v="Up to MBS Fee"/>
    <n v="9333098.3699999992"/>
    <n v="7006297.96"/>
    <n v="2326800.41"/>
    <n v="190475"/>
  </r>
  <r>
    <x v="29"/>
    <x v="2"/>
    <s v="SA"/>
    <s v="No gap agreement"/>
    <s v="100% MBS Fee to 125% MBS Fee"/>
    <n v="18036648.879999999"/>
    <n v="11355389.15"/>
    <n v="6681255.6600000001"/>
    <n v="132172"/>
  </r>
  <r>
    <x v="29"/>
    <x v="2"/>
    <s v="SA"/>
    <s v="No gap agreement"/>
    <s v="More than 125% MBS Fee to 150% MBS Fee"/>
    <n v="34723655.18"/>
    <n v="18822302.25"/>
    <n v="15901325.619999999"/>
    <n v="207604"/>
  </r>
  <r>
    <x v="29"/>
    <x v="2"/>
    <s v="SA"/>
    <s v="No gap agreement"/>
    <s v="More than 150% MBS Fee to 200% MBS Fee"/>
    <n v="30885641.640000001"/>
    <n v="14366207.5"/>
    <n v="16519423.5"/>
    <n v="142380"/>
  </r>
  <r>
    <x v="29"/>
    <x v="2"/>
    <s v="SA"/>
    <s v="No gap agreement"/>
    <s v="More than 200% MBS Fee"/>
    <n v="819011.56"/>
    <n v="231046.76"/>
    <n v="587964.80000000005"/>
    <n v="776"/>
  </r>
  <r>
    <x v="29"/>
    <x v="2"/>
    <s v="WA"/>
    <s v="No agreement"/>
    <s v="Up to MBS Fee"/>
    <n v="2426548.69"/>
    <n v="1819083.38"/>
    <n v="597403.11"/>
    <n v="29798"/>
  </r>
  <r>
    <x v="29"/>
    <x v="2"/>
    <s v="WA"/>
    <s v="No agreement"/>
    <s v="100% MBS Fee to 125% MBS Fee"/>
    <n v="467512.55"/>
    <n v="309085.49"/>
    <n v="103162.88"/>
    <n v="1156"/>
  </r>
  <r>
    <x v="29"/>
    <x v="2"/>
    <s v="WA"/>
    <s v="No agreement"/>
    <s v="More than 125% MBS Fee to 150% MBS Fee"/>
    <n v="570199.56000000006"/>
    <n v="305994.15000000002"/>
    <n v="101687.74"/>
    <n v="1437"/>
  </r>
  <r>
    <x v="29"/>
    <x v="2"/>
    <s v="WA"/>
    <s v="No agreement"/>
    <s v="More than 150% MBS Fee to 200% MBS Fee"/>
    <n v="2336928.91"/>
    <n v="996578.34"/>
    <n v="335337.28999999998"/>
    <n v="9159"/>
  </r>
  <r>
    <x v="29"/>
    <x v="2"/>
    <s v="WA"/>
    <s v="No agreement"/>
    <s v="More than 200% MBS Fee"/>
    <n v="12910403.460000001"/>
    <n v="2649233.69"/>
    <n v="891867.58"/>
    <n v="11681"/>
  </r>
  <r>
    <x v="29"/>
    <x v="2"/>
    <s v="WA"/>
    <s v="Known gap agreement"/>
    <s v="100% MBS Fee to 125% MBS Fee"/>
    <n v="941610.96"/>
    <n v="593812.06999999995"/>
    <n v="307249.75"/>
    <n v="3921"/>
  </r>
  <r>
    <x v="29"/>
    <x v="2"/>
    <s v="WA"/>
    <s v="Known gap agreement"/>
    <s v="More than 125% MBS Fee to 150% MBS Fee"/>
    <n v="3143618.22"/>
    <n v="1672405.75"/>
    <n v="1162258.8899999999"/>
    <n v="27066"/>
  </r>
  <r>
    <x v="29"/>
    <x v="2"/>
    <s v="WA"/>
    <s v="Known gap agreement"/>
    <s v="More than 150% MBS Fee to 200% MBS Fee"/>
    <n v="9945767.5700000003"/>
    <n v="4303239.46"/>
    <n v="3632695.7"/>
    <n v="16373"/>
  </r>
  <r>
    <x v="29"/>
    <x v="2"/>
    <s v="WA"/>
    <s v="Known gap agreement"/>
    <s v="More than 200% MBS Fee"/>
    <n v="27737104.789999999"/>
    <n v="6735396.4500000002"/>
    <n v="4762563.74"/>
    <n v="67034"/>
  </r>
  <r>
    <x v="29"/>
    <x v="2"/>
    <s v="WA"/>
    <s v="No gap agreement"/>
    <s v="Up to MBS Fee"/>
    <n v="12461069.560000001"/>
    <n v="9365057.5299999993"/>
    <n v="3096011.03"/>
    <n v="197487"/>
  </r>
  <r>
    <x v="29"/>
    <x v="2"/>
    <s v="WA"/>
    <s v="No gap agreement"/>
    <s v="100% MBS Fee to 125% MBS Fee"/>
    <n v="14920189.560000001"/>
    <n v="9601041.25"/>
    <n v="5319125.24"/>
    <n v="90319"/>
  </r>
  <r>
    <x v="29"/>
    <x v="2"/>
    <s v="WA"/>
    <s v="No gap agreement"/>
    <s v="More than 125% MBS Fee to 150% MBS Fee"/>
    <n v="58425000.530000001"/>
    <n v="31961117.25"/>
    <n v="26463875.899999999"/>
    <n v="360792"/>
  </r>
  <r>
    <x v="29"/>
    <x v="2"/>
    <s v="WA"/>
    <s v="No gap agreement"/>
    <s v="More than 150% MBS Fee to 200% MBS Fee"/>
    <n v="56627498.390000001"/>
    <n v="25610124.699999999"/>
    <n v="31017339.420000002"/>
    <n v="247549"/>
  </r>
  <r>
    <x v="29"/>
    <x v="2"/>
    <s v="WA"/>
    <s v="No gap agreement"/>
    <s v="More than 200% MBS Fee"/>
    <n v="2167271.48"/>
    <n v="598035.06999999995"/>
    <n v="1569236.41"/>
    <n v="2022"/>
  </r>
  <r>
    <x v="29"/>
    <x v="2"/>
    <s v="TAS"/>
    <s v="No agreement"/>
    <s v="Up to MBS Fee"/>
    <n v="307779.65000000002"/>
    <n v="232058.9"/>
    <n v="75237.649999999994"/>
    <n v="2475"/>
  </r>
  <r>
    <x v="29"/>
    <x v="2"/>
    <s v="TAS"/>
    <s v="No agreement"/>
    <s v="100% MBS Fee to 125% MBS Fee"/>
    <n v="43538.47"/>
    <n v="29757.49"/>
    <n v="9958.35"/>
    <n v="167"/>
  </r>
  <r>
    <x v="29"/>
    <x v="2"/>
    <s v="TAS"/>
    <s v="No agreement"/>
    <s v="More than 125% MBS Fee to 150% MBS Fee"/>
    <n v="28582.98"/>
    <n v="15259"/>
    <n v="5128.6000000000004"/>
    <n v="75"/>
  </r>
  <r>
    <x v="29"/>
    <x v="2"/>
    <s v="TAS"/>
    <s v="No agreement"/>
    <s v="More than 150% MBS Fee to 200% MBS Fee"/>
    <n v="189579.6"/>
    <n v="81148.36"/>
    <n v="27276.09"/>
    <n v="491"/>
  </r>
  <r>
    <x v="29"/>
    <x v="2"/>
    <s v="TAS"/>
    <s v="No agreement"/>
    <s v="More than 200% MBS Fee"/>
    <n v="3224695.41"/>
    <n v="654775.64"/>
    <n v="218236.57"/>
    <n v="1877"/>
  </r>
  <r>
    <x v="29"/>
    <x v="2"/>
    <s v="TAS"/>
    <s v="Known gap agreement"/>
    <s v="100% MBS Fee to 125% MBS Fee"/>
    <n v="202730.46"/>
    <n v="132042.4"/>
    <n v="62781.64"/>
    <n v="1084"/>
  </r>
  <r>
    <x v="29"/>
    <x v="2"/>
    <s v="TAS"/>
    <s v="Known gap agreement"/>
    <s v="More than 125% MBS Fee to 150% MBS Fee"/>
    <n v="336736.09"/>
    <n v="179731.32"/>
    <n v="141291.03"/>
    <n v="1683"/>
  </r>
  <r>
    <x v="29"/>
    <x v="2"/>
    <s v="TAS"/>
    <s v="Known gap agreement"/>
    <s v="More than 150% MBS Fee to 200% MBS Fee"/>
    <n v="4334474.04"/>
    <n v="1862079.45"/>
    <n v="1854788.93"/>
    <n v="4767"/>
  </r>
  <r>
    <x v="29"/>
    <x v="2"/>
    <s v="TAS"/>
    <s v="Known gap agreement"/>
    <s v="More than 200% MBS Fee"/>
    <n v="4906841.83"/>
    <n v="1223319.19"/>
    <n v="1383132.06"/>
    <n v="9788"/>
  </r>
  <r>
    <x v="29"/>
    <x v="2"/>
    <s v="TAS"/>
    <s v="No gap agreement"/>
    <s v="Up to MBS Fee"/>
    <n v="1566032.39"/>
    <n v="1176373.21"/>
    <n v="389659.18"/>
    <n v="30145"/>
  </r>
  <r>
    <x v="29"/>
    <x v="2"/>
    <s v="TAS"/>
    <s v="No gap agreement"/>
    <s v="100% MBS Fee to 125% MBS Fee"/>
    <n v="2687050.71"/>
    <n v="1692476.75"/>
    <n v="994572.65"/>
    <n v="17460"/>
  </r>
  <r>
    <x v="29"/>
    <x v="2"/>
    <s v="TAS"/>
    <s v="No gap agreement"/>
    <s v="More than 125% MBS Fee to 150% MBS Fee"/>
    <n v="9904085.1899999995"/>
    <n v="5388284.7699999996"/>
    <n v="4515792.54"/>
    <n v="53483"/>
  </r>
  <r>
    <x v="29"/>
    <x v="2"/>
    <s v="TAS"/>
    <s v="No gap agreement"/>
    <s v="More than 150% MBS Fee to 200% MBS Fee"/>
    <n v="11911968.98"/>
    <n v="5503156.9000000004"/>
    <n v="6408799.8099999996"/>
    <n v="57791"/>
  </r>
  <r>
    <x v="29"/>
    <x v="2"/>
    <s v="TAS"/>
    <s v="No gap agreement"/>
    <s v="More than 200% MBS Fee"/>
    <n v="278535.21999999997"/>
    <n v="77194.8"/>
    <n v="201340.42"/>
    <n v="172"/>
  </r>
  <r>
    <x v="29"/>
    <x v="2"/>
    <s v="ACT"/>
    <s v="No agreement"/>
    <s v="Up to MBS Fee"/>
    <n v="464322.89"/>
    <n v="337368.56"/>
    <n v="111282.88"/>
    <n v="3573"/>
  </r>
  <r>
    <x v="29"/>
    <x v="2"/>
    <s v="ACT"/>
    <s v="No agreement"/>
    <s v="100% MBS Fee to 125% MBS Fee"/>
    <n v="66391.039999999994"/>
    <n v="44075.360000000001"/>
    <n v="15120.09"/>
    <n v="142"/>
  </r>
  <r>
    <x v="29"/>
    <x v="2"/>
    <s v="ACT"/>
    <s v="No agreement"/>
    <s v="More than 125% MBS Fee to 150% MBS Fee"/>
    <n v="55582.93"/>
    <n v="30283.51"/>
    <n v="10312.5"/>
    <n v="109"/>
  </r>
  <r>
    <x v="29"/>
    <x v="2"/>
    <s v="ACT"/>
    <s v="No agreement"/>
    <s v="More than 150% MBS Fee to 200% MBS Fee"/>
    <n v="412344.2"/>
    <n v="176894.83"/>
    <n v="59067.42"/>
    <n v="1122"/>
  </r>
  <r>
    <x v="29"/>
    <x v="2"/>
    <s v="ACT"/>
    <s v="No agreement"/>
    <s v="More than 200% MBS Fee"/>
    <n v="11032252.4"/>
    <n v="2302827.06"/>
    <n v="770252.56"/>
    <n v="9263"/>
  </r>
  <r>
    <x v="29"/>
    <x v="2"/>
    <s v="ACT"/>
    <s v="Known gap agreement"/>
    <s v="100% MBS Fee to 125% MBS Fee"/>
    <n v="86187.32"/>
    <n v="54864.7"/>
    <n v="26306.959999999999"/>
    <n v="317"/>
  </r>
  <r>
    <x v="29"/>
    <x v="2"/>
    <s v="ACT"/>
    <s v="Known gap agreement"/>
    <s v="More than 125% MBS Fee to 150% MBS Fee"/>
    <n v="218376.71"/>
    <n v="116736.03"/>
    <n v="91856.31"/>
    <n v="534"/>
  </r>
  <r>
    <x v="29"/>
    <x v="2"/>
    <s v="ACT"/>
    <s v="Known gap agreement"/>
    <s v="More than 150% MBS Fee to 200% MBS Fee"/>
    <n v="924487.16"/>
    <n v="393372.32"/>
    <n v="377338.68"/>
    <n v="1506"/>
  </r>
  <r>
    <x v="29"/>
    <x v="2"/>
    <s v="ACT"/>
    <s v="Known gap agreement"/>
    <s v="More than 200% MBS Fee"/>
    <n v="4759625.71"/>
    <n v="1217712.23"/>
    <n v="1203977.78"/>
    <n v="14094"/>
  </r>
  <r>
    <x v="29"/>
    <x v="2"/>
    <s v="ACT"/>
    <s v="No gap agreement"/>
    <s v="Up to MBS Fee"/>
    <n v="453740.21"/>
    <n v="341429.25"/>
    <n v="112310.96"/>
    <n v="7884"/>
  </r>
  <r>
    <x v="29"/>
    <x v="2"/>
    <s v="ACT"/>
    <s v="No gap agreement"/>
    <s v="100% MBS Fee to 125% MBS Fee"/>
    <n v="2008104.1"/>
    <n v="1278654.2"/>
    <n v="729443.92"/>
    <n v="13923"/>
  </r>
  <r>
    <x v="29"/>
    <x v="2"/>
    <s v="ACT"/>
    <s v="No gap agreement"/>
    <s v="More than 125% MBS Fee to 150% MBS Fee"/>
    <n v="5166453.9400000004"/>
    <n v="2845613.15"/>
    <n v="2320834.29"/>
    <n v="40351"/>
  </r>
  <r>
    <x v="29"/>
    <x v="2"/>
    <s v="ACT"/>
    <s v="No gap agreement"/>
    <s v="More than 150% MBS Fee to 200% MBS Fee"/>
    <n v="3712529.91"/>
    <n v="1717409.95"/>
    <n v="1995105.51"/>
    <n v="21491"/>
  </r>
  <r>
    <x v="29"/>
    <x v="2"/>
    <s v="ACT"/>
    <s v="No gap agreement"/>
    <s v="More than 200% MBS Fee"/>
    <n v="238861.24"/>
    <n v="67222.05"/>
    <n v="171639.19"/>
    <n v="227"/>
  </r>
  <r>
    <x v="29"/>
    <x v="2"/>
    <s v="NT"/>
    <s v="No agreement"/>
    <s v="Up to MBS Fee"/>
    <n v="196617.4"/>
    <n v="139565.15"/>
    <n v="45963.1"/>
    <n v="962"/>
  </r>
  <r>
    <x v="29"/>
    <x v="2"/>
    <s v="NT"/>
    <s v="No agreement"/>
    <s v="100% MBS Fee to 125% MBS Fee"/>
    <n v="20176.599999999999"/>
    <n v="14033.02"/>
    <n v="4677.1499999999996"/>
    <n v="46"/>
  </r>
  <r>
    <x v="29"/>
    <x v="2"/>
    <s v="NT"/>
    <s v="No agreement"/>
    <s v="More than 125% MBS Fee to 150% MBS Fee"/>
    <n v="26121.7"/>
    <n v="14207.29"/>
    <n v="4734.6499999999996"/>
    <n v="53"/>
  </r>
  <r>
    <x v="29"/>
    <x v="2"/>
    <s v="NT"/>
    <s v="No agreement"/>
    <s v="More than 150% MBS Fee to 200% MBS Fee"/>
    <n v="53427.15"/>
    <n v="23360.83"/>
    <n v="8104.1"/>
    <n v="183"/>
  </r>
  <r>
    <x v="29"/>
    <x v="2"/>
    <s v="NT"/>
    <s v="No agreement"/>
    <s v="More than 200% MBS Fee"/>
    <n v="1745680.27"/>
    <n v="373013.58"/>
    <n v="125063.84"/>
    <n v="977"/>
  </r>
  <r>
    <x v="29"/>
    <x v="2"/>
    <s v="NT"/>
    <s v="Known gap agreement"/>
    <s v="100% MBS Fee to 125% MBS Fee"/>
    <n v="29661.56"/>
    <n v="18718.439999999999"/>
    <n v="9393.5499999999993"/>
    <n v="111"/>
  </r>
  <r>
    <x v="29"/>
    <x v="2"/>
    <s v="NT"/>
    <s v="Known gap agreement"/>
    <s v="More than 125% MBS Fee to 150% MBS Fee"/>
    <n v="78745.070000000007"/>
    <n v="42088.39"/>
    <n v="31055.13"/>
    <n v="244"/>
  </r>
  <r>
    <x v="29"/>
    <x v="2"/>
    <s v="NT"/>
    <s v="Known gap agreement"/>
    <s v="More than 150% MBS Fee to 200% MBS Fee"/>
    <n v="260190.04"/>
    <n v="110008.77"/>
    <n v="107736.5"/>
    <n v="454"/>
  </r>
  <r>
    <x v="29"/>
    <x v="2"/>
    <s v="NT"/>
    <s v="Known gap agreement"/>
    <s v="More than 200% MBS Fee"/>
    <n v="1272081.54"/>
    <n v="323902.63"/>
    <n v="365976.99"/>
    <n v="4436"/>
  </r>
  <r>
    <x v="29"/>
    <x v="2"/>
    <s v="NT"/>
    <s v="No gap agreement"/>
    <s v="Up to MBS Fee"/>
    <n v="303321.24"/>
    <n v="227874.15"/>
    <n v="75447.09"/>
    <n v="4221"/>
  </r>
  <r>
    <x v="29"/>
    <x v="2"/>
    <s v="NT"/>
    <s v="No gap agreement"/>
    <s v="100% MBS Fee to 125% MBS Fee"/>
    <n v="745727.01"/>
    <n v="472897.7"/>
    <n v="272826.94"/>
    <n v="5043"/>
  </r>
  <r>
    <x v="29"/>
    <x v="2"/>
    <s v="NT"/>
    <s v="No gap agreement"/>
    <s v="More than 125% MBS Fee to 150% MBS Fee"/>
    <n v="1722538.04"/>
    <n v="941547.78"/>
    <n v="780983.55"/>
    <n v="7804"/>
  </r>
  <r>
    <x v="29"/>
    <x v="2"/>
    <s v="NT"/>
    <s v="No gap agreement"/>
    <s v="More than 150% MBS Fee to 200% MBS Fee"/>
    <n v="1554420.25"/>
    <n v="725269.6"/>
    <n v="829128.69"/>
    <n v="7662"/>
  </r>
  <r>
    <x v="29"/>
    <x v="2"/>
    <s v="NT"/>
    <s v="No gap agreement"/>
    <s v="More than 200% MBS Fee"/>
    <n v="61271.08"/>
    <n v="20805.2"/>
    <n v="40465.879999999997"/>
    <n v="84"/>
  </r>
  <r>
    <x v="29"/>
    <x v="3"/>
    <s v="NSW"/>
    <s v="No agreement"/>
    <s v="Up to MBS Fee"/>
    <n v="36592836.890000001"/>
    <n v="27327590.420000002"/>
    <n v="9239558.0800000001"/>
    <n v="259895"/>
  </r>
  <r>
    <x v="29"/>
    <x v="3"/>
    <s v="NSW"/>
    <s v="No agreement"/>
    <s v="100% MBS Fee to 125% MBS Fee"/>
    <n v="3125642.48"/>
    <n v="2115531.34"/>
    <n v="728165.02"/>
    <n v="9760"/>
  </r>
  <r>
    <x v="29"/>
    <x v="3"/>
    <s v="NSW"/>
    <s v="No agreement"/>
    <s v="More than 125% MBS Fee to 150% MBS Fee"/>
    <n v="2405883.4900000002"/>
    <n v="1296800.8899999999"/>
    <n v="442667.34"/>
    <n v="5464"/>
  </r>
  <r>
    <x v="29"/>
    <x v="3"/>
    <s v="NSW"/>
    <s v="No agreement"/>
    <s v="More than 150% MBS Fee to 200% MBS Fee"/>
    <n v="6781382.8499999996"/>
    <n v="2885562.39"/>
    <n v="1017704.01"/>
    <n v="15443"/>
  </r>
  <r>
    <x v="29"/>
    <x v="3"/>
    <s v="NSW"/>
    <s v="No agreement"/>
    <s v="More than 200% MBS Fee"/>
    <n v="107623143.86"/>
    <n v="22568459.52"/>
    <n v="7555897.5499999998"/>
    <n v="84768"/>
  </r>
  <r>
    <x v="29"/>
    <x v="3"/>
    <s v="NSW"/>
    <s v="Known gap agreement"/>
    <s v="100% MBS Fee to 125% MBS Fee"/>
    <n v="2518222.91"/>
    <n v="1651924.36"/>
    <n v="759093.91"/>
    <n v="11213"/>
  </r>
  <r>
    <x v="29"/>
    <x v="3"/>
    <s v="NSW"/>
    <s v="Known gap agreement"/>
    <s v="More than 125% MBS Fee to 150% MBS Fee"/>
    <n v="6413827.8499999996"/>
    <n v="3423182.89"/>
    <n v="2658134.83"/>
    <n v="18352"/>
  </r>
  <r>
    <x v="29"/>
    <x v="3"/>
    <s v="NSW"/>
    <s v="Known gap agreement"/>
    <s v="More than 150% MBS Fee to 200% MBS Fee"/>
    <n v="20191445.870000001"/>
    <n v="8694246"/>
    <n v="8661445.0399999991"/>
    <n v="30847"/>
  </r>
  <r>
    <x v="29"/>
    <x v="3"/>
    <s v="NSW"/>
    <s v="Known gap agreement"/>
    <s v="More than 200% MBS Fee"/>
    <n v="51069151.969999999"/>
    <n v="13185430.6"/>
    <n v="14674932.140000001"/>
    <n v="160220"/>
  </r>
  <r>
    <x v="29"/>
    <x v="3"/>
    <s v="NSW"/>
    <s v="No gap agreement"/>
    <s v="Up to MBS Fee"/>
    <n v="28843034.68"/>
    <n v="21713604.25"/>
    <n v="7129598.2300000004"/>
    <n v="987188"/>
  </r>
  <r>
    <x v="29"/>
    <x v="3"/>
    <s v="NSW"/>
    <s v="No gap agreement"/>
    <s v="100% MBS Fee to 125% MBS Fee"/>
    <n v="59989063.399999999"/>
    <n v="38302259.420000002"/>
    <n v="21686136.859999999"/>
    <n v="461917"/>
  </r>
  <r>
    <x v="29"/>
    <x v="3"/>
    <s v="NSW"/>
    <s v="No gap agreement"/>
    <s v="More than 125% MBS Fee to 150% MBS Fee"/>
    <n v="113621441.56"/>
    <n v="62272855.619999997"/>
    <n v="51348506.270000003"/>
    <n v="598283"/>
  </r>
  <r>
    <x v="29"/>
    <x v="3"/>
    <s v="NSW"/>
    <s v="No gap agreement"/>
    <s v="More than 150% MBS Fee to 200% MBS Fee"/>
    <n v="109342436.70999999"/>
    <n v="50267032.539999999"/>
    <n v="59075213.340000004"/>
    <n v="598516"/>
  </r>
  <r>
    <x v="29"/>
    <x v="3"/>
    <s v="NSW"/>
    <s v="No gap agreement"/>
    <s v="More than 200% MBS Fee"/>
    <n v="6158262.0099999998"/>
    <n v="1783784.95"/>
    <n v="4374475.05"/>
    <n v="5192"/>
  </r>
  <r>
    <x v="29"/>
    <x v="3"/>
    <s v="VIC"/>
    <s v="No agreement"/>
    <s v="Up to MBS Fee"/>
    <n v="5090408.3099999996"/>
    <n v="3828350.92"/>
    <n v="1255437.75"/>
    <n v="102932"/>
  </r>
  <r>
    <x v="29"/>
    <x v="3"/>
    <s v="VIC"/>
    <s v="No agreement"/>
    <s v="100% MBS Fee to 125% MBS Fee"/>
    <n v="856565.41"/>
    <n v="574048.64"/>
    <n v="195308.36"/>
    <n v="2515"/>
  </r>
  <r>
    <x v="29"/>
    <x v="3"/>
    <s v="VIC"/>
    <s v="No agreement"/>
    <s v="More than 125% MBS Fee to 150% MBS Fee"/>
    <n v="1587730.13"/>
    <n v="851638.41"/>
    <n v="295408.71999999997"/>
    <n v="5561"/>
  </r>
  <r>
    <x v="29"/>
    <x v="3"/>
    <s v="VIC"/>
    <s v="No agreement"/>
    <s v="More than 150% MBS Fee to 200% MBS Fee"/>
    <n v="4211705.75"/>
    <n v="1842571.73"/>
    <n v="629716.04"/>
    <n v="11013"/>
  </r>
  <r>
    <x v="29"/>
    <x v="3"/>
    <s v="VIC"/>
    <s v="No agreement"/>
    <s v="More than 200% MBS Fee"/>
    <n v="44802852.039999999"/>
    <n v="9823121.25"/>
    <n v="3325843.81"/>
    <n v="34322"/>
  </r>
  <r>
    <x v="29"/>
    <x v="3"/>
    <s v="VIC"/>
    <s v="Known gap agreement"/>
    <s v="100% MBS Fee to 125% MBS Fee"/>
    <n v="2361593.14"/>
    <n v="1531097.63"/>
    <n v="688867.64"/>
    <n v="12567"/>
  </r>
  <r>
    <x v="29"/>
    <x v="3"/>
    <s v="VIC"/>
    <s v="Known gap agreement"/>
    <s v="More than 125% MBS Fee to 150% MBS Fee"/>
    <n v="8367574.9299999997"/>
    <n v="4495218.09"/>
    <n v="3286705.67"/>
    <n v="24874"/>
  </r>
  <r>
    <x v="29"/>
    <x v="3"/>
    <s v="VIC"/>
    <s v="Known gap agreement"/>
    <s v="More than 150% MBS Fee to 200% MBS Fee"/>
    <n v="22622338.219999999"/>
    <n v="9706682.2899999991"/>
    <n v="9080126.2100000009"/>
    <n v="35841"/>
  </r>
  <r>
    <x v="29"/>
    <x v="3"/>
    <s v="VIC"/>
    <s v="Known gap agreement"/>
    <s v="More than 200% MBS Fee"/>
    <n v="55508415.079999998"/>
    <n v="14578481.710000001"/>
    <n v="15512319.85"/>
    <n v="183402"/>
  </r>
  <r>
    <x v="29"/>
    <x v="3"/>
    <s v="VIC"/>
    <s v="No gap agreement"/>
    <s v="Up to MBS Fee"/>
    <n v="21305495.289999999"/>
    <n v="16055636.74"/>
    <n v="5249962.57"/>
    <n v="310354"/>
  </r>
  <r>
    <x v="29"/>
    <x v="3"/>
    <s v="VIC"/>
    <s v="No gap agreement"/>
    <s v="100% MBS Fee to 125% MBS Fee"/>
    <n v="64822593.82"/>
    <n v="41341793.5"/>
    <n v="23480641.809999999"/>
    <n v="498289"/>
  </r>
  <r>
    <x v="29"/>
    <x v="3"/>
    <s v="VIC"/>
    <s v="No gap agreement"/>
    <s v="More than 125% MBS Fee to 150% MBS Fee"/>
    <n v="118010516.63"/>
    <n v="64845586.420000002"/>
    <n v="53164771.82"/>
    <n v="664046"/>
  </r>
  <r>
    <x v="29"/>
    <x v="3"/>
    <s v="VIC"/>
    <s v="No gap agreement"/>
    <s v="More than 150% MBS Fee to 200% MBS Fee"/>
    <n v="73635964.239999995"/>
    <n v="34023636.079999998"/>
    <n v="39612247.049999997"/>
    <n v="462469"/>
  </r>
  <r>
    <x v="29"/>
    <x v="3"/>
    <s v="VIC"/>
    <s v="No gap agreement"/>
    <s v="More than 200% MBS Fee"/>
    <n v="2684273.83"/>
    <n v="753944.75"/>
    <n v="1930328.48"/>
    <n v="2361"/>
  </r>
  <r>
    <x v="29"/>
    <x v="3"/>
    <s v="QLD"/>
    <s v="No agreement"/>
    <s v="Up to MBS Fee"/>
    <n v="4115415.01"/>
    <n v="3076155.16"/>
    <n v="1005096.48"/>
    <n v="59078"/>
  </r>
  <r>
    <x v="29"/>
    <x v="3"/>
    <s v="QLD"/>
    <s v="No agreement"/>
    <s v="100% MBS Fee to 125% MBS Fee"/>
    <n v="1075328.44"/>
    <n v="712892.32"/>
    <n v="240046"/>
    <n v="2350"/>
  </r>
  <r>
    <x v="29"/>
    <x v="3"/>
    <s v="QLD"/>
    <s v="No agreement"/>
    <s v="More than 125% MBS Fee to 150% MBS Fee"/>
    <n v="1416512.94"/>
    <n v="770466.87"/>
    <n v="264258.65000000002"/>
    <n v="2398"/>
  </r>
  <r>
    <x v="29"/>
    <x v="3"/>
    <s v="QLD"/>
    <s v="No agreement"/>
    <s v="More than 150% MBS Fee to 200% MBS Fee"/>
    <n v="4553428.3600000003"/>
    <n v="1973859.08"/>
    <n v="683585.29"/>
    <n v="18670"/>
  </r>
  <r>
    <x v="29"/>
    <x v="3"/>
    <s v="QLD"/>
    <s v="No agreement"/>
    <s v="More than 200% MBS Fee"/>
    <n v="54521325.82"/>
    <n v="11737076.640000001"/>
    <n v="3929432.84"/>
    <n v="44065"/>
  </r>
  <r>
    <x v="29"/>
    <x v="3"/>
    <s v="QLD"/>
    <s v="Known gap agreement"/>
    <s v="100% MBS Fee to 125% MBS Fee"/>
    <n v="1752259.67"/>
    <n v="1120885.8400000001"/>
    <n v="511083.87"/>
    <n v="8586"/>
  </r>
  <r>
    <x v="29"/>
    <x v="3"/>
    <s v="QLD"/>
    <s v="Known gap agreement"/>
    <s v="More than 125% MBS Fee to 150% MBS Fee"/>
    <n v="5376042.4000000004"/>
    <n v="2873043.39"/>
    <n v="2107637.5"/>
    <n v="19067"/>
  </r>
  <r>
    <x v="29"/>
    <x v="3"/>
    <s v="QLD"/>
    <s v="Known gap agreement"/>
    <s v="More than 150% MBS Fee to 200% MBS Fee"/>
    <n v="22276473.699999999"/>
    <n v="9446845.4800000004"/>
    <n v="9159438.3699999992"/>
    <n v="32394"/>
  </r>
  <r>
    <x v="29"/>
    <x v="3"/>
    <s v="QLD"/>
    <s v="Known gap agreement"/>
    <s v="More than 200% MBS Fee"/>
    <n v="52873411.039999999"/>
    <n v="13115908.369999999"/>
    <n v="14381047.51"/>
    <n v="135774"/>
  </r>
  <r>
    <x v="29"/>
    <x v="3"/>
    <s v="QLD"/>
    <s v="No gap agreement"/>
    <s v="Up to MBS Fee"/>
    <n v="22844407.690000001"/>
    <n v="17189453.649999999"/>
    <n v="5654954"/>
    <n v="504589"/>
  </r>
  <r>
    <x v="29"/>
    <x v="3"/>
    <s v="QLD"/>
    <s v="No gap agreement"/>
    <s v="100% MBS Fee to 125% MBS Fee"/>
    <n v="50636548.460000001"/>
    <n v="32285915.850000001"/>
    <n v="18350490.460000001"/>
    <n v="409415"/>
  </r>
  <r>
    <x v="29"/>
    <x v="3"/>
    <s v="QLD"/>
    <s v="No gap agreement"/>
    <s v="More than 125% MBS Fee to 150% MBS Fee"/>
    <n v="81811006.209999993"/>
    <n v="45257453.229999997"/>
    <n v="36553412.299999997"/>
    <n v="619747"/>
  </r>
  <r>
    <x v="29"/>
    <x v="3"/>
    <s v="QLD"/>
    <s v="No gap agreement"/>
    <s v="More than 150% MBS Fee to 200% MBS Fee"/>
    <n v="66383501.229999997"/>
    <n v="30659670.949999999"/>
    <n v="35723100.509999998"/>
    <n v="435608"/>
  </r>
  <r>
    <x v="29"/>
    <x v="3"/>
    <s v="QLD"/>
    <s v="No gap agreement"/>
    <s v="More than 200% MBS Fee"/>
    <n v="3653730.09"/>
    <n v="1009858.8"/>
    <n v="2643871.09"/>
    <n v="3266"/>
  </r>
  <r>
    <x v="29"/>
    <x v="3"/>
    <s v="SA"/>
    <s v="No agreement"/>
    <s v="Up to MBS Fee"/>
    <n v="1605675.18"/>
    <n v="1193603.58"/>
    <n v="392838.37"/>
    <n v="7887"/>
  </r>
  <r>
    <x v="29"/>
    <x v="3"/>
    <s v="SA"/>
    <s v="No agreement"/>
    <s v="100% MBS Fee to 125% MBS Fee"/>
    <n v="340479.48"/>
    <n v="228402.13"/>
    <n v="75894.429999999993"/>
    <n v="560"/>
  </r>
  <r>
    <x v="29"/>
    <x v="3"/>
    <s v="SA"/>
    <s v="No agreement"/>
    <s v="More than 125% MBS Fee to 150% MBS Fee"/>
    <n v="213949.29"/>
    <n v="114413.92"/>
    <n v="40141.949999999997"/>
    <n v="367"/>
  </r>
  <r>
    <x v="29"/>
    <x v="3"/>
    <s v="SA"/>
    <s v="No agreement"/>
    <s v="More than 150% MBS Fee to 200% MBS Fee"/>
    <n v="681230.72"/>
    <n v="291074.42"/>
    <n v="99839.75"/>
    <n v="1151"/>
  </r>
  <r>
    <x v="29"/>
    <x v="3"/>
    <s v="SA"/>
    <s v="No agreement"/>
    <s v="More than 200% MBS Fee"/>
    <n v="6686867.4500000002"/>
    <n v="1428140.01"/>
    <n v="477581.23"/>
    <n v="3620"/>
  </r>
  <r>
    <x v="29"/>
    <x v="3"/>
    <s v="SA"/>
    <s v="Known gap agreement"/>
    <s v="100% MBS Fee to 125% MBS Fee"/>
    <n v="518575.46"/>
    <n v="330510.5"/>
    <n v="152557.54999999999"/>
    <n v="2391"/>
  </r>
  <r>
    <x v="29"/>
    <x v="3"/>
    <s v="SA"/>
    <s v="Known gap agreement"/>
    <s v="More than 125% MBS Fee to 150% MBS Fee"/>
    <n v="2158700.6800000002"/>
    <n v="1157231.56"/>
    <n v="855026.24"/>
    <n v="8589"/>
  </r>
  <r>
    <x v="29"/>
    <x v="3"/>
    <s v="SA"/>
    <s v="Known gap agreement"/>
    <s v="More than 150% MBS Fee to 200% MBS Fee"/>
    <n v="13074044.59"/>
    <n v="5561903.29"/>
    <n v="5541241.6500000004"/>
    <n v="18062"/>
  </r>
  <r>
    <x v="29"/>
    <x v="3"/>
    <s v="SA"/>
    <s v="Known gap agreement"/>
    <s v="More than 200% MBS Fee"/>
    <n v="16072826.779999999"/>
    <n v="4475962.08"/>
    <n v="5005940.51"/>
    <n v="54860"/>
  </r>
  <r>
    <x v="29"/>
    <x v="3"/>
    <s v="SA"/>
    <s v="No gap agreement"/>
    <s v="Up to MBS Fee"/>
    <n v="9293610.3300000001"/>
    <n v="6982033.9000000004"/>
    <n v="2311576.4300000002"/>
    <n v="176922"/>
  </r>
  <r>
    <x v="29"/>
    <x v="3"/>
    <s v="SA"/>
    <s v="No gap agreement"/>
    <s v="100% MBS Fee to 125% MBS Fee"/>
    <n v="16845999.739999998"/>
    <n v="10599719.65"/>
    <n v="6246267.5099999998"/>
    <n v="123911"/>
  </r>
  <r>
    <x v="29"/>
    <x v="3"/>
    <s v="SA"/>
    <s v="No gap agreement"/>
    <s v="More than 125% MBS Fee to 150% MBS Fee"/>
    <n v="32639595.309999999"/>
    <n v="17704562.649999999"/>
    <n v="14934967.6"/>
    <n v="196293"/>
  </r>
  <r>
    <x v="29"/>
    <x v="3"/>
    <s v="SA"/>
    <s v="No gap agreement"/>
    <s v="More than 150% MBS Fee to 200% MBS Fee"/>
    <n v="28155155.68"/>
    <n v="13089391.6"/>
    <n v="15065754.779999999"/>
    <n v="131206"/>
  </r>
  <r>
    <x v="29"/>
    <x v="3"/>
    <s v="SA"/>
    <s v="No gap agreement"/>
    <s v="More than 200% MBS Fee"/>
    <n v="817962.44"/>
    <n v="235307.2"/>
    <n v="582655.24"/>
    <n v="674"/>
  </r>
  <r>
    <x v="29"/>
    <x v="3"/>
    <s v="WA"/>
    <s v="No agreement"/>
    <s v="Up to MBS Fee"/>
    <n v="1925116.24"/>
    <n v="1446483.86"/>
    <n v="473349.53"/>
    <n v="26963"/>
  </r>
  <r>
    <x v="29"/>
    <x v="3"/>
    <s v="WA"/>
    <s v="No agreement"/>
    <s v="100% MBS Fee to 125% MBS Fee"/>
    <n v="398031.06"/>
    <n v="264607.83"/>
    <n v="88332.29"/>
    <n v="1004"/>
  </r>
  <r>
    <x v="29"/>
    <x v="3"/>
    <s v="WA"/>
    <s v="No agreement"/>
    <s v="More than 125% MBS Fee to 150% MBS Fee"/>
    <n v="559800.15"/>
    <n v="301996.99"/>
    <n v="103373.97"/>
    <n v="1318"/>
  </r>
  <r>
    <x v="29"/>
    <x v="3"/>
    <s v="WA"/>
    <s v="No agreement"/>
    <s v="More than 150% MBS Fee to 200% MBS Fee"/>
    <n v="1962467.55"/>
    <n v="845160.08"/>
    <n v="290233.18"/>
    <n v="8883"/>
  </r>
  <r>
    <x v="29"/>
    <x v="3"/>
    <s v="WA"/>
    <s v="No agreement"/>
    <s v="More than 200% MBS Fee"/>
    <n v="9927762.2799999993"/>
    <n v="2026982.34"/>
    <n v="688574.61"/>
    <n v="9630"/>
  </r>
  <r>
    <x v="29"/>
    <x v="3"/>
    <s v="WA"/>
    <s v="Known gap agreement"/>
    <s v="100% MBS Fee to 125% MBS Fee"/>
    <n v="974402.63"/>
    <n v="618261.07999999996"/>
    <n v="313667.98"/>
    <n v="3735"/>
  </r>
  <r>
    <x v="29"/>
    <x v="3"/>
    <s v="WA"/>
    <s v="Known gap agreement"/>
    <s v="More than 125% MBS Fee to 150% MBS Fee"/>
    <n v="2948258.25"/>
    <n v="1571661.78"/>
    <n v="1072488.69"/>
    <n v="26682"/>
  </r>
  <r>
    <x v="29"/>
    <x v="3"/>
    <s v="WA"/>
    <s v="Known gap agreement"/>
    <s v="More than 150% MBS Fee to 200% MBS Fee"/>
    <n v="8991364.2400000002"/>
    <n v="3914184.96"/>
    <n v="3344400.11"/>
    <n v="14370"/>
  </r>
  <r>
    <x v="29"/>
    <x v="3"/>
    <s v="WA"/>
    <s v="Known gap agreement"/>
    <s v="More than 200% MBS Fee"/>
    <n v="23094445.25"/>
    <n v="5672497.2000000002"/>
    <n v="3955682.32"/>
    <n v="54069"/>
  </r>
  <r>
    <x v="29"/>
    <x v="3"/>
    <s v="WA"/>
    <s v="No gap agreement"/>
    <s v="Up to MBS Fee"/>
    <n v="12505507.68"/>
    <n v="9405396.9499999993"/>
    <n v="3100110.07"/>
    <n v="191456"/>
  </r>
  <r>
    <x v="29"/>
    <x v="3"/>
    <s v="WA"/>
    <s v="No gap agreement"/>
    <s v="100% MBS Fee to 125% MBS Fee"/>
    <n v="13817005.779999999"/>
    <n v="8910316.1500000004"/>
    <n v="4906655.05"/>
    <n v="83876"/>
  </r>
  <r>
    <x v="29"/>
    <x v="3"/>
    <s v="WA"/>
    <s v="No gap agreement"/>
    <s v="More than 125% MBS Fee to 150% MBS Fee"/>
    <n v="54056165.270000003"/>
    <n v="29607426.949999999"/>
    <n v="24448714.109999999"/>
    <n v="330885"/>
  </r>
  <r>
    <x v="29"/>
    <x v="3"/>
    <s v="WA"/>
    <s v="No gap agreement"/>
    <s v="More than 150% MBS Fee to 200% MBS Fee"/>
    <n v="52605291.340000004"/>
    <n v="23785739.100000001"/>
    <n v="28819524.48"/>
    <n v="230241"/>
  </r>
  <r>
    <x v="29"/>
    <x v="3"/>
    <s v="WA"/>
    <s v="No gap agreement"/>
    <s v="More than 200% MBS Fee"/>
    <n v="1964864.28"/>
    <n v="534260.85"/>
    <n v="1430603.43"/>
    <n v="1508"/>
  </r>
  <r>
    <x v="29"/>
    <x v="3"/>
    <s v="TAS"/>
    <s v="No agreement"/>
    <s v="Up to MBS Fee"/>
    <n v="229196.68"/>
    <n v="172463.44"/>
    <n v="56859.59"/>
    <n v="2932"/>
  </r>
  <r>
    <x v="29"/>
    <x v="3"/>
    <s v="TAS"/>
    <s v="No agreement"/>
    <s v="100% MBS Fee to 125% MBS Fee"/>
    <n v="54337.82"/>
    <n v="35336.39"/>
    <n v="11543.43"/>
    <n v="151"/>
  </r>
  <r>
    <x v="29"/>
    <x v="3"/>
    <s v="TAS"/>
    <s v="No agreement"/>
    <s v="More than 125% MBS Fee to 150% MBS Fee"/>
    <n v="56135.56"/>
    <n v="30524.05"/>
    <n v="12629.4"/>
    <n v="117"/>
  </r>
  <r>
    <x v="29"/>
    <x v="3"/>
    <s v="TAS"/>
    <s v="No agreement"/>
    <s v="More than 150% MBS Fee to 200% MBS Fee"/>
    <n v="161552.32000000001"/>
    <n v="69731.75"/>
    <n v="23000.26"/>
    <n v="256"/>
  </r>
  <r>
    <x v="29"/>
    <x v="3"/>
    <s v="TAS"/>
    <s v="No agreement"/>
    <s v="More than 200% MBS Fee"/>
    <n v="2470328.67"/>
    <n v="525823.57999999996"/>
    <n v="175116.65"/>
    <n v="1377"/>
  </r>
  <r>
    <x v="29"/>
    <x v="3"/>
    <s v="TAS"/>
    <s v="Known gap agreement"/>
    <s v="100% MBS Fee to 125% MBS Fee"/>
    <n v="186570.13"/>
    <n v="120678.25"/>
    <n v="60160.63"/>
    <n v="997"/>
  </r>
  <r>
    <x v="29"/>
    <x v="3"/>
    <s v="TAS"/>
    <s v="Known gap agreement"/>
    <s v="More than 125% MBS Fee to 150% MBS Fee"/>
    <n v="348339.08"/>
    <n v="186348.13"/>
    <n v="145802.56"/>
    <n v="1548"/>
  </r>
  <r>
    <x v="29"/>
    <x v="3"/>
    <s v="TAS"/>
    <s v="Known gap agreement"/>
    <s v="More than 150% MBS Fee to 200% MBS Fee"/>
    <n v="3576127.25"/>
    <n v="1535609.19"/>
    <n v="1516240.17"/>
    <n v="4036"/>
  </r>
  <r>
    <x v="29"/>
    <x v="3"/>
    <s v="TAS"/>
    <s v="Known gap agreement"/>
    <s v="More than 200% MBS Fee"/>
    <n v="3900998.29"/>
    <n v="985504.12"/>
    <n v="1103499.4099999999"/>
    <n v="7339"/>
  </r>
  <r>
    <x v="29"/>
    <x v="3"/>
    <s v="TAS"/>
    <s v="No gap agreement"/>
    <s v="Up to MBS Fee"/>
    <n v="2057459.08"/>
    <n v="1544505.71"/>
    <n v="512953.37"/>
    <n v="48935"/>
  </r>
  <r>
    <x v="29"/>
    <x v="3"/>
    <s v="TAS"/>
    <s v="No gap agreement"/>
    <s v="100% MBS Fee to 125% MBS Fee"/>
    <n v="2564886.2200000002"/>
    <n v="1614030.65"/>
    <n v="950850.22"/>
    <n v="16666"/>
  </r>
  <r>
    <x v="29"/>
    <x v="3"/>
    <s v="TAS"/>
    <s v="No gap agreement"/>
    <s v="More than 125% MBS Fee to 150% MBS Fee"/>
    <n v="9343317.0399999991"/>
    <n v="5087737.04"/>
    <n v="4255577.41"/>
    <n v="51580"/>
  </r>
  <r>
    <x v="29"/>
    <x v="3"/>
    <s v="TAS"/>
    <s v="No gap agreement"/>
    <s v="More than 150% MBS Fee to 200% MBS Fee"/>
    <n v="10359849.73"/>
    <n v="4776931.82"/>
    <n v="5582909.6900000004"/>
    <n v="52026"/>
  </r>
  <r>
    <x v="29"/>
    <x v="3"/>
    <s v="TAS"/>
    <s v="No gap agreement"/>
    <s v="More than 200% MBS Fee"/>
    <n v="285748.45"/>
    <n v="80361.55"/>
    <n v="205386.9"/>
    <n v="193"/>
  </r>
  <r>
    <x v="29"/>
    <x v="3"/>
    <s v="ACT"/>
    <s v="No agreement"/>
    <s v="Up to MBS Fee"/>
    <n v="367467.84"/>
    <n v="276639.44"/>
    <n v="89051.35"/>
    <n v="4102"/>
  </r>
  <r>
    <x v="29"/>
    <x v="3"/>
    <s v="ACT"/>
    <s v="No agreement"/>
    <s v="100% MBS Fee to 125% MBS Fee"/>
    <n v="57728.01"/>
    <n v="39177.5"/>
    <n v="13965.66"/>
    <n v="111"/>
  </r>
  <r>
    <x v="29"/>
    <x v="3"/>
    <s v="ACT"/>
    <s v="No agreement"/>
    <s v="More than 125% MBS Fee to 150% MBS Fee"/>
    <n v="65550.86"/>
    <n v="35141.5"/>
    <n v="13170.53"/>
    <n v="67"/>
  </r>
  <r>
    <x v="29"/>
    <x v="3"/>
    <s v="ACT"/>
    <s v="No agreement"/>
    <s v="More than 150% MBS Fee to 200% MBS Fee"/>
    <n v="414720.33"/>
    <n v="174907.02"/>
    <n v="58664.04"/>
    <n v="1119"/>
  </r>
  <r>
    <x v="29"/>
    <x v="3"/>
    <s v="ACT"/>
    <s v="No agreement"/>
    <s v="More than 200% MBS Fee"/>
    <n v="9828889.1600000001"/>
    <n v="1974553.73"/>
    <n v="660216.98"/>
    <n v="7760"/>
  </r>
  <r>
    <x v="29"/>
    <x v="3"/>
    <s v="ACT"/>
    <s v="Known gap agreement"/>
    <s v="100% MBS Fee to 125% MBS Fee"/>
    <n v="101094.85"/>
    <n v="66122.009999999995"/>
    <n v="28145.15"/>
    <n v="359"/>
  </r>
  <r>
    <x v="29"/>
    <x v="3"/>
    <s v="ACT"/>
    <s v="Known gap agreement"/>
    <s v="More than 125% MBS Fee to 150% MBS Fee"/>
    <n v="171977.4"/>
    <n v="93052.92"/>
    <n v="68040.539999999994"/>
    <n v="487"/>
  </r>
  <r>
    <x v="29"/>
    <x v="3"/>
    <s v="ACT"/>
    <s v="Known gap agreement"/>
    <s v="More than 150% MBS Fee to 200% MBS Fee"/>
    <n v="589101.19999999995"/>
    <n v="251472.25"/>
    <n v="247900.59"/>
    <n v="1001"/>
  </r>
  <r>
    <x v="29"/>
    <x v="3"/>
    <s v="ACT"/>
    <s v="Known gap agreement"/>
    <s v="More than 200% MBS Fee"/>
    <n v="4167686.55"/>
    <n v="1091464.8600000001"/>
    <n v="1091075.02"/>
    <n v="12620"/>
  </r>
  <r>
    <x v="29"/>
    <x v="3"/>
    <s v="ACT"/>
    <s v="No gap agreement"/>
    <s v="Up to MBS Fee"/>
    <n v="421858.83"/>
    <n v="317030.99"/>
    <n v="104827.84"/>
    <n v="8664"/>
  </r>
  <r>
    <x v="29"/>
    <x v="3"/>
    <s v="ACT"/>
    <s v="No gap agreement"/>
    <s v="100% MBS Fee to 125% MBS Fee"/>
    <n v="1943293.85"/>
    <n v="1240890.5"/>
    <n v="702386.2"/>
    <n v="13334"/>
  </r>
  <r>
    <x v="29"/>
    <x v="3"/>
    <s v="ACT"/>
    <s v="No gap agreement"/>
    <s v="More than 125% MBS Fee to 150% MBS Fee"/>
    <n v="4627664.6500000004"/>
    <n v="2545799.65"/>
    <n v="2081850.06"/>
    <n v="35210"/>
  </r>
  <r>
    <x v="29"/>
    <x v="3"/>
    <s v="ACT"/>
    <s v="No gap agreement"/>
    <s v="More than 150% MBS Fee to 200% MBS Fee"/>
    <n v="3025203.07"/>
    <n v="1399727.85"/>
    <n v="1625460.99"/>
    <n v="17212"/>
  </r>
  <r>
    <x v="29"/>
    <x v="3"/>
    <s v="ACT"/>
    <s v="No gap agreement"/>
    <s v="More than 200% MBS Fee"/>
    <n v="188032.84"/>
    <n v="53351.7"/>
    <n v="134681.12"/>
    <n v="180"/>
  </r>
  <r>
    <x v="29"/>
    <x v="3"/>
    <s v="NT"/>
    <s v="No agreement"/>
    <s v="Up to MBS Fee"/>
    <n v="132223.1"/>
    <n v="98676.98"/>
    <n v="32364.45"/>
    <n v="719"/>
  </r>
  <r>
    <x v="29"/>
    <x v="3"/>
    <s v="NT"/>
    <s v="No agreement"/>
    <s v="100% MBS Fee to 125% MBS Fee"/>
    <n v="31420.25"/>
    <n v="21698.68"/>
    <n v="7232.45"/>
    <n v="63"/>
  </r>
  <r>
    <x v="29"/>
    <x v="3"/>
    <s v="NT"/>
    <s v="No agreement"/>
    <s v="More than 125% MBS Fee to 150% MBS Fee"/>
    <n v="22093.98"/>
    <n v="11841.6"/>
    <n v="3961.65"/>
    <n v="62"/>
  </r>
  <r>
    <x v="29"/>
    <x v="3"/>
    <s v="NT"/>
    <s v="No agreement"/>
    <s v="More than 150% MBS Fee to 200% MBS Fee"/>
    <n v="78059.199999999997"/>
    <n v="33220.74"/>
    <n v="11516.15"/>
    <n v="225"/>
  </r>
  <r>
    <x v="29"/>
    <x v="3"/>
    <s v="NT"/>
    <s v="No agreement"/>
    <s v="More than 200% MBS Fee"/>
    <n v="1600887.86"/>
    <n v="350169.01"/>
    <n v="116894.65"/>
    <n v="860"/>
  </r>
  <r>
    <x v="29"/>
    <x v="3"/>
    <s v="NT"/>
    <s v="Known gap agreement"/>
    <s v="100% MBS Fee to 125% MBS Fee"/>
    <n v="47312.56"/>
    <n v="30186.9"/>
    <n v="15709.6"/>
    <n v="135"/>
  </r>
  <r>
    <x v="29"/>
    <x v="3"/>
    <s v="NT"/>
    <s v="Known gap agreement"/>
    <s v="More than 125% MBS Fee to 150% MBS Fee"/>
    <n v="88587.67"/>
    <n v="46819.46"/>
    <n v="36166.9"/>
    <n v="267"/>
  </r>
  <r>
    <x v="29"/>
    <x v="3"/>
    <s v="NT"/>
    <s v="Known gap agreement"/>
    <s v="More than 150% MBS Fee to 200% MBS Fee"/>
    <n v="295758.24"/>
    <n v="125424.84"/>
    <n v="121514.65"/>
    <n v="414"/>
  </r>
  <r>
    <x v="29"/>
    <x v="3"/>
    <s v="NT"/>
    <s v="Known gap agreement"/>
    <s v="More than 200% MBS Fee"/>
    <n v="1087488"/>
    <n v="284320.46999999997"/>
    <n v="318631.95"/>
    <n v="3793"/>
  </r>
  <r>
    <x v="29"/>
    <x v="3"/>
    <s v="NT"/>
    <s v="No gap agreement"/>
    <s v="Up to MBS Fee"/>
    <n v="265487.12"/>
    <n v="199445.65"/>
    <n v="66041.47"/>
    <n v="4500"/>
  </r>
  <r>
    <x v="29"/>
    <x v="3"/>
    <s v="NT"/>
    <s v="No gap agreement"/>
    <s v="100% MBS Fee to 125% MBS Fee"/>
    <n v="648457.52"/>
    <n v="411337.5"/>
    <n v="237119.99"/>
    <n v="4597"/>
  </r>
  <r>
    <x v="29"/>
    <x v="3"/>
    <s v="NT"/>
    <s v="No gap agreement"/>
    <s v="More than 125% MBS Fee to 150% MBS Fee"/>
    <n v="1683669.25"/>
    <n v="918873.4"/>
    <n v="764788.45"/>
    <n v="7622"/>
  </r>
  <r>
    <x v="29"/>
    <x v="3"/>
    <s v="NT"/>
    <s v="No gap agreement"/>
    <s v="More than 150% MBS Fee to 200% MBS Fee"/>
    <n v="1573705.35"/>
    <n v="733397.25"/>
    <n v="840296.45"/>
    <n v="7889"/>
  </r>
  <r>
    <x v="29"/>
    <x v="3"/>
    <s v="NT"/>
    <s v="No gap agreement"/>
    <s v="More than 200% MBS Fee"/>
    <n v="70322.44"/>
    <n v="23365.95"/>
    <n v="46956.49"/>
    <n v="100"/>
  </r>
  <r>
    <x v="29"/>
    <x v="1"/>
    <s v="NSW"/>
    <s v="No agreement"/>
    <s v="Up to MBS Fee"/>
    <n v="40747697.719999999"/>
    <n v="30337787.280000001"/>
    <n v="10394400.779999999"/>
    <n v="288603"/>
  </r>
  <r>
    <x v="29"/>
    <x v="1"/>
    <s v="NSW"/>
    <s v="No agreement"/>
    <s v="100% MBS Fee to 125% MBS Fee"/>
    <n v="2938338.29"/>
    <n v="1990870.56"/>
    <n v="689426.46"/>
    <n v="10516"/>
  </r>
  <r>
    <x v="29"/>
    <x v="1"/>
    <s v="NSW"/>
    <s v="No agreement"/>
    <s v="More than 125% MBS Fee to 150% MBS Fee"/>
    <n v="2947522.35"/>
    <n v="1607767.01"/>
    <n v="542892.36"/>
    <n v="5672"/>
  </r>
  <r>
    <x v="29"/>
    <x v="1"/>
    <s v="NSW"/>
    <s v="No agreement"/>
    <s v="More than 150% MBS Fee to 200% MBS Fee"/>
    <n v="8378483.1399999997"/>
    <n v="3564108.7"/>
    <n v="1251132.8400000001"/>
    <n v="18012"/>
  </r>
  <r>
    <x v="29"/>
    <x v="1"/>
    <s v="NSW"/>
    <s v="No agreement"/>
    <s v="More than 200% MBS Fee"/>
    <n v="132385228.73"/>
    <n v="27918504.32"/>
    <n v="9418374.1099999994"/>
    <n v="100704"/>
  </r>
  <r>
    <x v="29"/>
    <x v="1"/>
    <s v="NSW"/>
    <s v="Known gap agreement"/>
    <s v="100% MBS Fee to 125% MBS Fee"/>
    <n v="3154938.36"/>
    <n v="2054657.28"/>
    <n v="956530.45"/>
    <n v="12366"/>
  </r>
  <r>
    <x v="29"/>
    <x v="1"/>
    <s v="NSW"/>
    <s v="Known gap agreement"/>
    <s v="More than 125% MBS Fee to 150% MBS Fee"/>
    <n v="7511778.2400000002"/>
    <n v="3999218.4"/>
    <n v="3131542.17"/>
    <n v="22959"/>
  </r>
  <r>
    <x v="29"/>
    <x v="1"/>
    <s v="NSW"/>
    <s v="Known gap agreement"/>
    <s v="More than 150% MBS Fee to 200% MBS Fee"/>
    <n v="25769218.030000001"/>
    <n v="11080071.9"/>
    <n v="10999112.300000001"/>
    <n v="36819"/>
  </r>
  <r>
    <x v="29"/>
    <x v="1"/>
    <s v="NSW"/>
    <s v="Known gap agreement"/>
    <s v="More than 200% MBS Fee"/>
    <n v="60122500.109999999"/>
    <n v="15391360.699999999"/>
    <n v="17059476.640000001"/>
    <n v="186470"/>
  </r>
  <r>
    <x v="29"/>
    <x v="1"/>
    <s v="NSW"/>
    <s v="No gap agreement"/>
    <s v="Up to MBS Fee"/>
    <n v="31096958.609999999"/>
    <n v="23441926.359999999"/>
    <n v="7655066.8399999999"/>
    <n v="1030937"/>
  </r>
  <r>
    <x v="29"/>
    <x v="1"/>
    <s v="NSW"/>
    <s v="No gap agreement"/>
    <s v="100% MBS Fee to 125% MBS Fee"/>
    <n v="72149450.700000003"/>
    <n v="46099253.310000002"/>
    <n v="26049908.129999999"/>
    <n v="535257"/>
  </r>
  <r>
    <x v="29"/>
    <x v="1"/>
    <s v="NSW"/>
    <s v="No gap agreement"/>
    <s v="More than 125% MBS Fee to 150% MBS Fee"/>
    <n v="134398605.58000001"/>
    <n v="73666278.310000002"/>
    <n v="60732242.759999998"/>
    <n v="677970"/>
  </r>
  <r>
    <x v="29"/>
    <x v="1"/>
    <s v="NSW"/>
    <s v="No gap agreement"/>
    <s v="More than 150% MBS Fee to 200% MBS Fee"/>
    <n v="126091041.78"/>
    <n v="58060531.880000003"/>
    <n v="68030359.969999999"/>
    <n v="700944"/>
  </r>
  <r>
    <x v="29"/>
    <x v="1"/>
    <s v="NSW"/>
    <s v="No gap agreement"/>
    <s v="More than 200% MBS Fee"/>
    <n v="6847653.8700000001"/>
    <n v="1964075.46"/>
    <n v="4883578.3499999996"/>
    <n v="6023"/>
  </r>
  <r>
    <x v="29"/>
    <x v="1"/>
    <s v="VIC"/>
    <s v="No agreement"/>
    <s v="Up to MBS Fee"/>
    <n v="6025076.2599999998"/>
    <n v="4523314.68"/>
    <n v="1495912.25"/>
    <n v="105884"/>
  </r>
  <r>
    <x v="29"/>
    <x v="1"/>
    <s v="VIC"/>
    <s v="No agreement"/>
    <s v="100% MBS Fee to 125% MBS Fee"/>
    <n v="1161946.78"/>
    <n v="772064.28"/>
    <n v="261182.17"/>
    <n v="2843"/>
  </r>
  <r>
    <x v="29"/>
    <x v="1"/>
    <s v="VIC"/>
    <s v="No agreement"/>
    <s v="More than 125% MBS Fee to 150% MBS Fee"/>
    <n v="1903057.9199999999"/>
    <n v="1019294.97"/>
    <n v="339689.64"/>
    <n v="7037"/>
  </r>
  <r>
    <x v="29"/>
    <x v="1"/>
    <s v="VIC"/>
    <s v="No agreement"/>
    <s v="More than 150% MBS Fee to 200% MBS Fee"/>
    <n v="4865720.8"/>
    <n v="2123182.6800000002"/>
    <n v="715183.86"/>
    <n v="12319"/>
  </r>
  <r>
    <x v="29"/>
    <x v="1"/>
    <s v="VIC"/>
    <s v="No agreement"/>
    <s v="More than 200% MBS Fee"/>
    <n v="54901611.920000002"/>
    <n v="12251608.93"/>
    <n v="4105341.24"/>
    <n v="40626"/>
  </r>
  <r>
    <x v="29"/>
    <x v="1"/>
    <s v="VIC"/>
    <s v="Known gap agreement"/>
    <s v="100% MBS Fee to 125% MBS Fee"/>
    <n v="3229092.43"/>
    <n v="2070125.2"/>
    <n v="961145.51"/>
    <n v="15742"/>
  </r>
  <r>
    <x v="29"/>
    <x v="1"/>
    <s v="VIC"/>
    <s v="Known gap agreement"/>
    <s v="More than 125% MBS Fee to 150% MBS Fee"/>
    <n v="9432499.2200000007"/>
    <n v="5054688.66"/>
    <n v="3749094.66"/>
    <n v="23928"/>
  </r>
  <r>
    <x v="29"/>
    <x v="1"/>
    <s v="VIC"/>
    <s v="Known gap agreement"/>
    <s v="More than 150% MBS Fee to 200% MBS Fee"/>
    <n v="28176481.489999998"/>
    <n v="12064247.41"/>
    <n v="11415994.57"/>
    <n v="42383"/>
  </r>
  <r>
    <x v="29"/>
    <x v="1"/>
    <s v="VIC"/>
    <s v="Known gap agreement"/>
    <s v="More than 200% MBS Fee"/>
    <n v="64195593.100000001"/>
    <n v="16990526.809999999"/>
    <n v="18144829.870000001"/>
    <n v="205367"/>
  </r>
  <r>
    <x v="29"/>
    <x v="1"/>
    <s v="VIC"/>
    <s v="No gap agreement"/>
    <s v="Up to MBS Fee"/>
    <n v="22880527.789999999"/>
    <n v="17264916.260000002"/>
    <n v="5615665.0300000003"/>
    <n v="353344"/>
  </r>
  <r>
    <x v="29"/>
    <x v="1"/>
    <s v="VIC"/>
    <s v="No gap agreement"/>
    <s v="100% MBS Fee to 125% MBS Fee"/>
    <n v="75033889.400000006"/>
    <n v="47929399.799999997"/>
    <n v="27104327.710000001"/>
    <n v="563738"/>
  </r>
  <r>
    <x v="29"/>
    <x v="1"/>
    <s v="VIC"/>
    <s v="No gap agreement"/>
    <s v="More than 125% MBS Fee to 150% MBS Fee"/>
    <n v="139896442.38"/>
    <n v="76978532.040000007"/>
    <n v="62917885.600000001"/>
    <n v="755695"/>
  </r>
  <r>
    <x v="29"/>
    <x v="1"/>
    <s v="VIC"/>
    <s v="No gap agreement"/>
    <s v="More than 150% MBS Fee to 200% MBS Fee"/>
    <n v="83025639.379999995"/>
    <n v="38450191.950000003"/>
    <n v="44575364.109999999"/>
    <n v="527139"/>
  </r>
  <r>
    <x v="29"/>
    <x v="1"/>
    <s v="VIC"/>
    <s v="No gap agreement"/>
    <s v="More than 200% MBS Fee"/>
    <n v="3406151.9"/>
    <n v="980418.04"/>
    <n v="2425733.86"/>
    <n v="4585"/>
  </r>
  <r>
    <x v="29"/>
    <x v="1"/>
    <s v="QLD"/>
    <s v="No agreement"/>
    <s v="Up to MBS Fee"/>
    <n v="4161063.48"/>
    <n v="3109615.33"/>
    <n v="1016628.37"/>
    <n v="62250"/>
  </r>
  <r>
    <x v="29"/>
    <x v="1"/>
    <s v="QLD"/>
    <s v="No agreement"/>
    <s v="100% MBS Fee to 125% MBS Fee"/>
    <n v="724073.45"/>
    <n v="482131.68"/>
    <n v="162235.67000000001"/>
    <n v="1705"/>
  </r>
  <r>
    <x v="29"/>
    <x v="1"/>
    <s v="QLD"/>
    <s v="No agreement"/>
    <s v="More than 125% MBS Fee to 150% MBS Fee"/>
    <n v="2133211.5099999998"/>
    <n v="1168352.95"/>
    <n v="387172.08"/>
    <n v="3648"/>
  </r>
  <r>
    <x v="29"/>
    <x v="1"/>
    <s v="QLD"/>
    <s v="No agreement"/>
    <s v="More than 150% MBS Fee to 200% MBS Fee"/>
    <n v="5594370.1900000004"/>
    <n v="2405683.23"/>
    <n v="802635.71"/>
    <n v="21444"/>
  </r>
  <r>
    <x v="29"/>
    <x v="1"/>
    <s v="QLD"/>
    <s v="No agreement"/>
    <s v="More than 200% MBS Fee"/>
    <n v="63194589.159999996"/>
    <n v="13741311.98"/>
    <n v="4591453.93"/>
    <n v="49205"/>
  </r>
  <r>
    <x v="29"/>
    <x v="1"/>
    <s v="QLD"/>
    <s v="Known gap agreement"/>
    <s v="100% MBS Fee to 125% MBS Fee"/>
    <n v="1843667.96"/>
    <n v="1173612.3999999999"/>
    <n v="550122.61"/>
    <n v="8567"/>
  </r>
  <r>
    <x v="29"/>
    <x v="1"/>
    <s v="QLD"/>
    <s v="Known gap agreement"/>
    <s v="More than 125% MBS Fee to 150% MBS Fee"/>
    <n v="6648500.4100000001"/>
    <n v="3549191.96"/>
    <n v="2658684.84"/>
    <n v="24131"/>
  </r>
  <r>
    <x v="29"/>
    <x v="1"/>
    <s v="QLD"/>
    <s v="Known gap agreement"/>
    <s v="More than 150% MBS Fee to 200% MBS Fee"/>
    <n v="29287693.809999999"/>
    <n v="12401104.880000001"/>
    <n v="12072861.619999999"/>
    <n v="41431"/>
  </r>
  <r>
    <x v="29"/>
    <x v="1"/>
    <s v="QLD"/>
    <s v="Known gap agreement"/>
    <s v="More than 200% MBS Fee"/>
    <n v="60289600.859999999"/>
    <n v="14908608.33"/>
    <n v="16223375.199999999"/>
    <n v="157453"/>
  </r>
  <r>
    <x v="29"/>
    <x v="1"/>
    <s v="QLD"/>
    <s v="No gap agreement"/>
    <s v="Up to MBS Fee"/>
    <n v="18347522.43"/>
    <n v="13813917.07"/>
    <n v="4533673.24"/>
    <n v="216441"/>
  </r>
  <r>
    <x v="29"/>
    <x v="1"/>
    <s v="QLD"/>
    <s v="No gap agreement"/>
    <s v="100% MBS Fee to 125% MBS Fee"/>
    <n v="58023270.43"/>
    <n v="37009976.969999999"/>
    <n v="21012780.149999999"/>
    <n v="442868"/>
  </r>
  <r>
    <x v="29"/>
    <x v="1"/>
    <s v="QLD"/>
    <s v="No gap agreement"/>
    <s v="More than 125% MBS Fee to 150% MBS Fee"/>
    <n v="90404981.939999998"/>
    <n v="50011603.710000001"/>
    <n v="40393233.939999998"/>
    <n v="649119"/>
  </r>
  <r>
    <x v="29"/>
    <x v="1"/>
    <s v="QLD"/>
    <s v="No gap agreement"/>
    <s v="More than 150% MBS Fee to 200% MBS Fee"/>
    <n v="71973546.219999999"/>
    <n v="33342560.25"/>
    <n v="38630599.049999997"/>
    <n v="479749"/>
  </r>
  <r>
    <x v="29"/>
    <x v="1"/>
    <s v="QLD"/>
    <s v="No gap agreement"/>
    <s v="More than 200% MBS Fee"/>
    <n v="3747154.01"/>
    <n v="1047930.79"/>
    <n v="2699223.12"/>
    <n v="3135"/>
  </r>
  <r>
    <x v="29"/>
    <x v="1"/>
    <s v="SA"/>
    <s v="No agreement"/>
    <s v="Up to MBS Fee"/>
    <n v="1975103.52"/>
    <n v="1470843.66"/>
    <n v="491822.25"/>
    <n v="9011"/>
  </r>
  <r>
    <x v="29"/>
    <x v="1"/>
    <s v="SA"/>
    <s v="No agreement"/>
    <s v="100% MBS Fee to 125% MBS Fee"/>
    <n v="660665.72"/>
    <n v="433990.86"/>
    <n v="144967.87"/>
    <n v="938"/>
  </r>
  <r>
    <x v="29"/>
    <x v="1"/>
    <s v="SA"/>
    <s v="No agreement"/>
    <s v="More than 125% MBS Fee to 150% MBS Fee"/>
    <n v="437376.63"/>
    <n v="235212.04"/>
    <n v="77704.28"/>
    <n v="709"/>
  </r>
  <r>
    <x v="29"/>
    <x v="1"/>
    <s v="SA"/>
    <s v="No agreement"/>
    <s v="More than 150% MBS Fee to 200% MBS Fee"/>
    <n v="870045.49"/>
    <n v="371615.83"/>
    <n v="126074.11"/>
    <n v="1697"/>
  </r>
  <r>
    <x v="29"/>
    <x v="1"/>
    <s v="SA"/>
    <s v="No agreement"/>
    <s v="More than 200% MBS Fee"/>
    <n v="8654615.0899999999"/>
    <n v="1823229.61"/>
    <n v="607766.1"/>
    <n v="4279"/>
  </r>
  <r>
    <x v="29"/>
    <x v="1"/>
    <s v="SA"/>
    <s v="Known gap agreement"/>
    <s v="100% MBS Fee to 125% MBS Fee"/>
    <n v="566353.02"/>
    <n v="354221.91"/>
    <n v="168493.09"/>
    <n v="2798"/>
  </r>
  <r>
    <x v="29"/>
    <x v="1"/>
    <s v="SA"/>
    <s v="Known gap agreement"/>
    <s v="More than 125% MBS Fee to 150% MBS Fee"/>
    <n v="2611271.21"/>
    <n v="1395831.14"/>
    <n v="1050403.42"/>
    <n v="7981"/>
  </r>
  <r>
    <x v="29"/>
    <x v="1"/>
    <s v="SA"/>
    <s v="Known gap agreement"/>
    <s v="More than 150% MBS Fee to 200% MBS Fee"/>
    <n v="16232685.189999999"/>
    <n v="6874675.29"/>
    <n v="6835179.8499999996"/>
    <n v="22360"/>
  </r>
  <r>
    <x v="29"/>
    <x v="1"/>
    <s v="SA"/>
    <s v="Known gap agreement"/>
    <s v="More than 200% MBS Fee"/>
    <n v="19523065.48"/>
    <n v="5357680.01"/>
    <n v="5994049.8899999997"/>
    <n v="66206"/>
  </r>
  <r>
    <x v="29"/>
    <x v="1"/>
    <s v="SA"/>
    <s v="No gap agreement"/>
    <s v="Up to MBS Fee"/>
    <n v="10354002.460000001"/>
    <n v="7775324.8099999996"/>
    <n v="2578701"/>
    <n v="183963"/>
  </r>
  <r>
    <x v="29"/>
    <x v="1"/>
    <s v="SA"/>
    <s v="No gap agreement"/>
    <s v="100% MBS Fee to 125% MBS Fee"/>
    <n v="19097554.260000002"/>
    <n v="12042995.5"/>
    <n v="7054498.1699999999"/>
    <n v="135687"/>
  </r>
  <r>
    <x v="29"/>
    <x v="1"/>
    <s v="SA"/>
    <s v="No gap agreement"/>
    <s v="More than 125% MBS Fee to 150% MBS Fee"/>
    <n v="37357794.229999997"/>
    <n v="20274068.530000001"/>
    <n v="17083700.010000002"/>
    <n v="216137"/>
  </r>
  <r>
    <x v="29"/>
    <x v="1"/>
    <s v="SA"/>
    <s v="No gap agreement"/>
    <s v="More than 150% MBS Fee to 200% MBS Fee"/>
    <n v="30152559.829999998"/>
    <n v="14023277.550000001"/>
    <n v="16129268.75"/>
    <n v="142700"/>
  </r>
  <r>
    <x v="29"/>
    <x v="1"/>
    <s v="SA"/>
    <s v="No gap agreement"/>
    <s v="More than 200% MBS Fee"/>
    <n v="915183.83"/>
    <n v="261411.9"/>
    <n v="653771.93000000005"/>
    <n v="775"/>
  </r>
  <r>
    <x v="29"/>
    <x v="1"/>
    <s v="WA"/>
    <s v="No agreement"/>
    <s v="Up to MBS Fee"/>
    <n v="2258932.37"/>
    <n v="1686814.53"/>
    <n v="556735.26"/>
    <n v="29563"/>
  </r>
  <r>
    <x v="29"/>
    <x v="1"/>
    <s v="WA"/>
    <s v="No agreement"/>
    <s v="100% MBS Fee to 125% MBS Fee"/>
    <n v="470824.78"/>
    <n v="313496.81"/>
    <n v="105471.43"/>
    <n v="1032"/>
  </r>
  <r>
    <x v="29"/>
    <x v="1"/>
    <s v="WA"/>
    <s v="No agreement"/>
    <s v="More than 125% MBS Fee to 150% MBS Fee"/>
    <n v="581534.93999999994"/>
    <n v="314704.77"/>
    <n v="99916.84"/>
    <n v="1160"/>
  </r>
  <r>
    <x v="29"/>
    <x v="1"/>
    <s v="WA"/>
    <s v="No agreement"/>
    <s v="More than 150% MBS Fee to 200% MBS Fee"/>
    <n v="2311740.0099999998"/>
    <n v="997306.31"/>
    <n v="330359.18"/>
    <n v="8840"/>
  </r>
  <r>
    <x v="29"/>
    <x v="1"/>
    <s v="WA"/>
    <s v="No agreement"/>
    <s v="More than 200% MBS Fee"/>
    <n v="14114339.76"/>
    <n v="2992154.41"/>
    <n v="1003830.76"/>
    <n v="12506"/>
  </r>
  <r>
    <x v="29"/>
    <x v="1"/>
    <s v="WA"/>
    <s v="Known gap agreement"/>
    <s v="100% MBS Fee to 125% MBS Fee"/>
    <n v="857539.24"/>
    <n v="556898.62"/>
    <n v="224463.82"/>
    <n v="4281"/>
  </r>
  <r>
    <x v="29"/>
    <x v="1"/>
    <s v="WA"/>
    <s v="Known gap agreement"/>
    <s v="More than 125% MBS Fee to 150% MBS Fee"/>
    <n v="2715426.07"/>
    <n v="1467453.93"/>
    <n v="903962.12"/>
    <n v="7465"/>
  </r>
  <r>
    <x v="29"/>
    <x v="1"/>
    <s v="WA"/>
    <s v="Known gap agreement"/>
    <s v="More than 150% MBS Fee to 200% MBS Fee"/>
    <n v="12286487.140000001"/>
    <n v="5312228.3899999997"/>
    <n v="4326651.59"/>
    <n v="19966"/>
  </r>
  <r>
    <x v="29"/>
    <x v="1"/>
    <s v="WA"/>
    <s v="Known gap agreement"/>
    <s v="More than 200% MBS Fee"/>
    <n v="28531197.82"/>
    <n v="6935187.8200000003"/>
    <n v="4779578.51"/>
    <n v="70413"/>
  </r>
  <r>
    <x v="29"/>
    <x v="1"/>
    <s v="WA"/>
    <s v="No gap agreement"/>
    <s v="Up to MBS Fee"/>
    <n v="14658284.51"/>
    <n v="11021375.48"/>
    <n v="3636970.77"/>
    <n v="212136"/>
  </r>
  <r>
    <x v="29"/>
    <x v="1"/>
    <s v="WA"/>
    <s v="No gap agreement"/>
    <s v="100% MBS Fee to 125% MBS Fee"/>
    <n v="18782000.300000001"/>
    <n v="11940383.4"/>
    <n v="6841572.5800000001"/>
    <n v="108564"/>
  </r>
  <r>
    <x v="29"/>
    <x v="1"/>
    <s v="WA"/>
    <s v="No gap agreement"/>
    <s v="More than 125% MBS Fee to 150% MBS Fee"/>
    <n v="58331759.869999997"/>
    <n v="31924456.199999999"/>
    <n v="26407291.449999999"/>
    <n v="364417"/>
  </r>
  <r>
    <x v="29"/>
    <x v="1"/>
    <s v="WA"/>
    <s v="No gap agreement"/>
    <s v="More than 150% MBS Fee to 200% MBS Fee"/>
    <n v="54815172.869999997"/>
    <n v="25010420.41"/>
    <n v="29804744.120000001"/>
    <n v="242075"/>
  </r>
  <r>
    <x v="29"/>
    <x v="1"/>
    <s v="WA"/>
    <s v="No gap agreement"/>
    <s v="More than 200% MBS Fee"/>
    <n v="1928762.7"/>
    <n v="583761.91"/>
    <n v="1345000.79"/>
    <n v="2393"/>
  </r>
  <r>
    <x v="29"/>
    <x v="1"/>
    <s v="TAS"/>
    <s v="No agreement"/>
    <s v="Up to MBS Fee"/>
    <n v="281860.38"/>
    <n v="210534.56"/>
    <n v="69729.81"/>
    <n v="2491"/>
  </r>
  <r>
    <x v="29"/>
    <x v="1"/>
    <s v="TAS"/>
    <s v="No agreement"/>
    <s v="100% MBS Fee to 125% MBS Fee"/>
    <n v="93453.86"/>
    <n v="63015.96"/>
    <n v="21142.71"/>
    <n v="203"/>
  </r>
  <r>
    <x v="29"/>
    <x v="1"/>
    <s v="TAS"/>
    <s v="No agreement"/>
    <s v="More than 125% MBS Fee to 150% MBS Fee"/>
    <n v="105540.94"/>
    <n v="57525.05"/>
    <n v="19095.93"/>
    <n v="171"/>
  </r>
  <r>
    <x v="29"/>
    <x v="1"/>
    <s v="TAS"/>
    <s v="No agreement"/>
    <s v="More than 150% MBS Fee to 200% MBS Fee"/>
    <n v="212721.44"/>
    <n v="90266.94"/>
    <n v="31209.119999999999"/>
    <n v="419"/>
  </r>
  <r>
    <x v="29"/>
    <x v="1"/>
    <s v="TAS"/>
    <s v="No agreement"/>
    <s v="More than 200% MBS Fee"/>
    <n v="2861741.67"/>
    <n v="602778.07999999996"/>
    <n v="201186.24"/>
    <n v="1831"/>
  </r>
  <r>
    <x v="29"/>
    <x v="1"/>
    <s v="TAS"/>
    <s v="Known gap agreement"/>
    <s v="100% MBS Fee to 125% MBS Fee"/>
    <n v="219511.62"/>
    <n v="142268.43"/>
    <n v="69838.720000000001"/>
    <n v="1068"/>
  </r>
  <r>
    <x v="29"/>
    <x v="1"/>
    <s v="TAS"/>
    <s v="Known gap agreement"/>
    <s v="More than 125% MBS Fee to 150% MBS Fee"/>
    <n v="550381.31000000006"/>
    <n v="292105.68"/>
    <n v="229545"/>
    <n v="1816"/>
  </r>
  <r>
    <x v="29"/>
    <x v="1"/>
    <s v="TAS"/>
    <s v="Known gap agreement"/>
    <s v="More than 150% MBS Fee to 200% MBS Fee"/>
    <n v="4871928.41"/>
    <n v="2097050.59"/>
    <n v="2074683.72"/>
    <n v="5383"/>
  </r>
  <r>
    <x v="29"/>
    <x v="1"/>
    <s v="TAS"/>
    <s v="Known gap agreement"/>
    <s v="More than 200% MBS Fee"/>
    <n v="5382863.3799999999"/>
    <n v="1356348.79"/>
    <n v="1518574.36"/>
    <n v="11029"/>
  </r>
  <r>
    <x v="29"/>
    <x v="1"/>
    <s v="TAS"/>
    <s v="No gap agreement"/>
    <s v="Up to MBS Fee"/>
    <n v="1579611.72"/>
    <n v="1188646.3999999999"/>
    <n v="390981.91"/>
    <n v="28906"/>
  </r>
  <r>
    <x v="29"/>
    <x v="1"/>
    <s v="TAS"/>
    <s v="No gap agreement"/>
    <s v="100% MBS Fee to 125% MBS Fee"/>
    <n v="3086747.28"/>
    <n v="1953647.75"/>
    <n v="1133093.6299999999"/>
    <n v="20409"/>
  </r>
  <r>
    <x v="29"/>
    <x v="1"/>
    <s v="TAS"/>
    <s v="No gap agreement"/>
    <s v="More than 125% MBS Fee to 150% MBS Fee"/>
    <n v="10137915.859999999"/>
    <n v="5531976.25"/>
    <n v="4605928.1100000003"/>
    <n v="56177"/>
  </r>
  <r>
    <x v="29"/>
    <x v="1"/>
    <s v="TAS"/>
    <s v="No gap agreement"/>
    <s v="More than 150% MBS Fee to 200% MBS Fee"/>
    <n v="11945184.66"/>
    <n v="5529903.25"/>
    <n v="6415265.8200000003"/>
    <n v="57330"/>
  </r>
  <r>
    <x v="29"/>
    <x v="1"/>
    <s v="TAS"/>
    <s v="No gap agreement"/>
    <s v="More than 200% MBS Fee"/>
    <n v="253601.72"/>
    <n v="70324.55"/>
    <n v="183277.17"/>
    <n v="160"/>
  </r>
  <r>
    <x v="29"/>
    <x v="1"/>
    <s v="ACT"/>
    <s v="No agreement"/>
    <s v="Up to MBS Fee"/>
    <n v="328939.40999999997"/>
    <n v="249101.13"/>
    <n v="79837.83"/>
    <n v="2530"/>
  </r>
  <r>
    <x v="29"/>
    <x v="1"/>
    <s v="ACT"/>
    <s v="No agreement"/>
    <s v="100% MBS Fee to 125% MBS Fee"/>
    <n v="32564.77"/>
    <n v="21487.86"/>
    <n v="7571.06"/>
    <n v="100"/>
  </r>
  <r>
    <x v="29"/>
    <x v="1"/>
    <s v="ACT"/>
    <s v="No agreement"/>
    <s v="More than 125% MBS Fee to 150% MBS Fee"/>
    <n v="62251.69"/>
    <n v="33381.75"/>
    <n v="10993.65"/>
    <n v="105"/>
  </r>
  <r>
    <x v="29"/>
    <x v="1"/>
    <s v="ACT"/>
    <s v="No agreement"/>
    <s v="More than 150% MBS Fee to 200% MBS Fee"/>
    <n v="518212.96"/>
    <n v="219382"/>
    <n v="73211.37"/>
    <n v="1301"/>
  </r>
  <r>
    <x v="29"/>
    <x v="1"/>
    <s v="ACT"/>
    <s v="No agreement"/>
    <s v="More than 200% MBS Fee"/>
    <n v="11868498.18"/>
    <n v="2463970.96"/>
    <n v="822499.74"/>
    <n v="9389"/>
  </r>
  <r>
    <x v="29"/>
    <x v="1"/>
    <s v="ACT"/>
    <s v="Known gap agreement"/>
    <s v="100% MBS Fee to 125% MBS Fee"/>
    <n v="110830.29"/>
    <n v="70159.399999999994"/>
    <n v="32816.28"/>
    <n v="415"/>
  </r>
  <r>
    <x v="29"/>
    <x v="1"/>
    <s v="ACT"/>
    <s v="Known gap agreement"/>
    <s v="More than 125% MBS Fee to 150% MBS Fee"/>
    <n v="279401.96999999997"/>
    <n v="150056.14000000001"/>
    <n v="109808.26"/>
    <n v="773"/>
  </r>
  <r>
    <x v="29"/>
    <x v="1"/>
    <s v="ACT"/>
    <s v="Known gap agreement"/>
    <s v="More than 150% MBS Fee to 200% MBS Fee"/>
    <n v="1232104.08"/>
    <n v="513733.09"/>
    <n v="467997.65"/>
    <n v="2057"/>
  </r>
  <r>
    <x v="29"/>
    <x v="1"/>
    <s v="ACT"/>
    <s v="Known gap agreement"/>
    <s v="More than 200% MBS Fee"/>
    <n v="5011657.8600000003"/>
    <n v="1269810.1200000001"/>
    <n v="1241363.96"/>
    <n v="15471"/>
  </r>
  <r>
    <x v="29"/>
    <x v="1"/>
    <s v="ACT"/>
    <s v="No gap agreement"/>
    <s v="Up to MBS Fee"/>
    <n v="493598.77"/>
    <n v="372762.61"/>
    <n v="120836.16"/>
    <n v="8617"/>
  </r>
  <r>
    <x v="29"/>
    <x v="1"/>
    <s v="ACT"/>
    <s v="No gap agreement"/>
    <s v="100% MBS Fee to 125% MBS Fee"/>
    <n v="2309404.3199999998"/>
    <n v="1475905.3"/>
    <n v="833495.53"/>
    <n v="14592"/>
  </r>
  <r>
    <x v="29"/>
    <x v="1"/>
    <s v="ACT"/>
    <s v="No gap agreement"/>
    <s v="More than 125% MBS Fee to 150% MBS Fee"/>
    <n v="5927349.3300000001"/>
    <n v="3259158.95"/>
    <n v="2668184.44"/>
    <n v="43210"/>
  </r>
  <r>
    <x v="29"/>
    <x v="1"/>
    <s v="ACT"/>
    <s v="No gap agreement"/>
    <s v="More than 150% MBS Fee to 200% MBS Fee"/>
    <n v="3494619.83"/>
    <n v="1622254.85"/>
    <n v="1872360.02"/>
    <n v="19987"/>
  </r>
  <r>
    <x v="29"/>
    <x v="1"/>
    <s v="ACT"/>
    <s v="No gap agreement"/>
    <s v="More than 200% MBS Fee"/>
    <n v="222648.23"/>
    <n v="62671.05"/>
    <n v="159977.18"/>
    <n v="252"/>
  </r>
  <r>
    <x v="29"/>
    <x v="1"/>
    <s v="NT"/>
    <s v="No agreement"/>
    <s v="Up to MBS Fee"/>
    <n v="149944.9"/>
    <n v="107442.5"/>
    <n v="36289.9"/>
    <n v="858"/>
  </r>
  <r>
    <x v="29"/>
    <x v="1"/>
    <s v="NT"/>
    <s v="No agreement"/>
    <s v="100% MBS Fee to 125% MBS Fee"/>
    <n v="28948.6"/>
    <n v="19295.95"/>
    <n v="6431.45"/>
    <n v="24"/>
  </r>
  <r>
    <x v="29"/>
    <x v="1"/>
    <s v="NT"/>
    <s v="No agreement"/>
    <s v="More than 125% MBS Fee to 150% MBS Fee"/>
    <n v="19126.240000000002"/>
    <n v="10404.719999999999"/>
    <n v="3658.5"/>
    <n v="35"/>
  </r>
  <r>
    <x v="29"/>
    <x v="1"/>
    <s v="NT"/>
    <s v="No agreement"/>
    <s v="More than 150% MBS Fee to 200% MBS Fee"/>
    <n v="68218"/>
    <n v="29075.83"/>
    <n v="9687.0499999999993"/>
    <n v="176"/>
  </r>
  <r>
    <x v="29"/>
    <x v="1"/>
    <s v="NT"/>
    <s v="No agreement"/>
    <s v="More than 200% MBS Fee"/>
    <n v="1872768.06"/>
    <n v="421817.89"/>
    <n v="140536.35"/>
    <n v="1238"/>
  </r>
  <r>
    <x v="29"/>
    <x v="1"/>
    <s v="NT"/>
    <s v="Known gap agreement"/>
    <s v="100% MBS Fee to 125% MBS Fee"/>
    <n v="31957.8"/>
    <n v="19355.599999999999"/>
    <n v="8635.5400000000009"/>
    <n v="120"/>
  </r>
  <r>
    <x v="29"/>
    <x v="1"/>
    <s v="NT"/>
    <s v="Known gap agreement"/>
    <s v="More than 125% MBS Fee to 150% MBS Fee"/>
    <n v="91288.63"/>
    <n v="48584.22"/>
    <n v="35785.25"/>
    <n v="240"/>
  </r>
  <r>
    <x v="29"/>
    <x v="1"/>
    <s v="NT"/>
    <s v="Known gap agreement"/>
    <s v="More than 150% MBS Fee to 200% MBS Fee"/>
    <n v="297252.32"/>
    <n v="128016.52"/>
    <n v="125221.64"/>
    <n v="459"/>
  </r>
  <r>
    <x v="29"/>
    <x v="1"/>
    <s v="NT"/>
    <s v="Known gap agreement"/>
    <s v="More than 200% MBS Fee"/>
    <n v="1275537.02"/>
    <n v="328411.15000000002"/>
    <n v="375194.84"/>
    <n v="4552"/>
  </r>
  <r>
    <x v="29"/>
    <x v="1"/>
    <s v="NT"/>
    <s v="No gap agreement"/>
    <s v="Up to MBS Fee"/>
    <n v="328212.28000000003"/>
    <n v="246438.15"/>
    <n v="81774.13"/>
    <n v="3893"/>
  </r>
  <r>
    <x v="29"/>
    <x v="1"/>
    <s v="NT"/>
    <s v="No gap agreement"/>
    <s v="100% MBS Fee to 125% MBS Fee"/>
    <n v="650853.75"/>
    <n v="413593.3"/>
    <n v="237258.85"/>
    <n v="4303"/>
  </r>
  <r>
    <x v="29"/>
    <x v="1"/>
    <s v="NT"/>
    <s v="No gap agreement"/>
    <s v="More than 125% MBS Fee to 150% MBS Fee"/>
    <n v="2037889.47"/>
    <n v="1114615.8"/>
    <n v="923268.75"/>
    <n v="8510"/>
  </r>
  <r>
    <x v="29"/>
    <x v="1"/>
    <s v="NT"/>
    <s v="No gap agreement"/>
    <s v="More than 150% MBS Fee to 200% MBS Fee"/>
    <n v="1451898.81"/>
    <n v="676121.8"/>
    <n v="775771.71"/>
    <n v="7272"/>
  </r>
  <r>
    <x v="29"/>
    <x v="1"/>
    <s v="NT"/>
    <s v="No gap agreement"/>
    <s v="More than 200% MBS Fee"/>
    <n v="20472.45"/>
    <n v="6614.65"/>
    <n v="13857.8"/>
    <n v="2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FA3957C-9201-45FC-BCE4-ECE9D06C6C2A}" name="PivotTable2"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D17" firstHeaderRow="0" firstDataRow="0" firstDataCol="0" rowPageCount="2" colPageCount="1"/>
  <pivotFields count="10">
    <pivotField axis="axisPage" multipleItemSelectionAllowed="1" showAll="0" sortType="ascending">
      <items count="3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t="default"/>
      </items>
    </pivotField>
    <pivotField axis="axisPage" multipleItemSelectionAllowed="1" showAll="0">
      <items count="5">
        <item x="0"/>
        <item h="1" x="1"/>
        <item h="1" x="2"/>
        <item h="1" x="3"/>
        <item t="default"/>
      </items>
    </pivotField>
    <pivotField showAll="0"/>
    <pivotField showAll="0"/>
    <pivotField showAll="0"/>
    <pivotField showAll="0"/>
    <pivotField showAll="0"/>
    <pivotField showAll="0"/>
    <pivotField showAll="0"/>
    <pivotField dragToRow="0" dragToCol="0" dragToPage="0" showAll="0" defaultSubtotal="0"/>
  </pivotFields>
  <pageFields count="2">
    <pageField fld="0" hier="-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hiac-sql ReturnsDB vw_MedicalGapAgreements" connectionId="1" xr16:uid="{96830BEE-955B-490C-A65B-AEC10A11E8E3}" autoFormatId="16" applyNumberFormats="0" applyBorderFormats="0" applyFontFormats="0" applyPatternFormats="0" applyAlignmentFormats="0" applyWidthHeightFormats="0">
  <queryTableRefresh nextId="11">
    <queryTableFields count="9">
      <queryTableField id="1" name="Year" tableColumnId="1"/>
      <queryTableField id="2" name="MonthEnd" tableColumnId="2"/>
      <queryTableField id="3" name="State" tableColumnId="3"/>
      <queryTableField id="4" name="GapType" tableColumnId="4"/>
      <queryTableField id="5" name="MBSFeePercentage" tableColumnId="5"/>
      <queryTableField id="6" name="AmountCharged" tableColumnId="6"/>
      <queryTableField id="7" name="MedicareBenefit" tableColumnId="7"/>
      <queryTableField id="8" name="FundBenefit" tableColumnId="8"/>
      <queryTableField id="9" name="NumberofServices"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A72704-6886-4760-9619-3ADE55289D86}" name="Table_MedicalGapAgreements" displayName="Table_MedicalGapAgreements" ref="A1:I17206" tableType="queryTable" totalsRowShown="0" headerRowDxfId="10" dataDxfId="9" dataCellStyle="Normal 10">
  <autoFilter ref="A1:I17206" xr:uid="{7BA72704-6886-4760-9619-3ADE55289D86}"/>
  <tableColumns count="9">
    <tableColumn id="1" xr3:uid="{D09CD29B-453B-45A3-9662-14A4117429DD}" uniqueName="1" name="Year" queryTableFieldId="1" dataDxfId="8" dataCellStyle="Normal 10"/>
    <tableColumn id="2" xr3:uid="{3C190FBF-7A51-4020-9CF2-2D15F64CAE9D}" uniqueName="2" name="MonthEnd" queryTableFieldId="2" dataDxfId="7" dataCellStyle="Normal 10"/>
    <tableColumn id="3" xr3:uid="{89BD3981-7ED5-46A1-BD6A-17C7291BDC29}" uniqueName="3" name="State" queryTableFieldId="3" dataDxfId="6" dataCellStyle="Normal 10"/>
    <tableColumn id="4" xr3:uid="{B12E816A-73FA-4F1A-8D5C-5D9B77834C55}" uniqueName="4" name="GapType" queryTableFieldId="4" dataDxfId="5" dataCellStyle="Normal 10"/>
    <tableColumn id="5" xr3:uid="{1947D8D7-E53C-4FBF-B49A-96F1716FE704}" uniqueName="5" name="MBSFeePercentage" queryTableFieldId="5" dataDxfId="4" dataCellStyle="Normal 10"/>
    <tableColumn id="6" xr3:uid="{189F9F20-E132-43D6-BB62-AEECB0689D41}" uniqueName="6" name="AmountCharged" queryTableFieldId="6" dataDxfId="3" dataCellStyle="Normal 10"/>
    <tableColumn id="7" xr3:uid="{C304AF12-0953-4AD6-BA2F-782ADE73A401}" uniqueName="7" name="MedicareBenefit" queryTableFieldId="7" dataDxfId="2" dataCellStyle="Normal 10"/>
    <tableColumn id="8" xr3:uid="{49B365AF-3409-4500-B33B-4CE2E756F12B}" uniqueName="8" name="FundBenefit" queryTableFieldId="8" dataDxfId="1" dataCellStyle="Normal 10"/>
    <tableColumn id="9" xr3:uid="{010E0E04-898C-4408-B256-BF65AF65C70F}" uniqueName="9" name="NumberofServices" queryTableFieldId="9" dataDxfId="0" dataCellStyle="Normal 1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_APRA">
      <a:dk1>
        <a:sysClr val="windowText" lastClr="000000"/>
      </a:dk1>
      <a:lt1>
        <a:sysClr val="window" lastClr="FFFFFF"/>
      </a:lt1>
      <a:dk2>
        <a:srgbClr val="012169"/>
      </a:dk2>
      <a:lt2>
        <a:srgbClr val="E7E6E6"/>
      </a:lt2>
      <a:accent1>
        <a:srgbClr val="0072CE"/>
      </a:accent1>
      <a:accent2>
        <a:srgbClr val="00B398"/>
      </a:accent2>
      <a:accent3>
        <a:srgbClr val="012169"/>
      </a:accent3>
      <a:accent4>
        <a:srgbClr val="E87722"/>
      </a:accent4>
      <a:accent5>
        <a:srgbClr val="890C58"/>
      </a:accent5>
      <a:accent6>
        <a:srgbClr val="454E93"/>
      </a:accent6>
      <a:hlink>
        <a:srgbClr val="0072CE"/>
      </a:hlink>
      <a:folHlink>
        <a:srgbClr val="890C58"/>
      </a:folHlink>
    </a:clrScheme>
    <a:fontScheme name="_APRA">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apra.gov.au/publications" TargetMode="External"/><Relationship Id="rId3" Type="http://schemas.openxmlformats.org/officeDocument/2006/relationships/hyperlink" Target="https://www.apra.gov.au/publications/private-health-insurance-prostheses" TargetMode="External"/><Relationship Id="rId7" Type="http://schemas.openxmlformats.org/officeDocument/2006/relationships/hyperlink" Target="https://www.apra.gov.au/publications/operations-private-health-insurers-annual-report" TargetMode="External"/><Relationship Id="rId2" Type="http://schemas.openxmlformats.org/officeDocument/2006/relationships/hyperlink" Target="https://www.apra.gov.au/publications/private-health-insurance-membership-and-benefits" TargetMode="External"/><Relationship Id="rId1" Type="http://schemas.openxmlformats.org/officeDocument/2006/relationships/hyperlink" Target="https://www.apra.gov.au/publications/private-health-insurance-medical-gap" TargetMode="External"/><Relationship Id="rId6" Type="http://schemas.openxmlformats.org/officeDocument/2006/relationships/hyperlink" Target="https://www.apra.gov.au/publications/private-health-insurance-membership-and-coverage" TargetMode="External"/><Relationship Id="rId5" Type="http://schemas.openxmlformats.org/officeDocument/2006/relationships/hyperlink" Target="https://www.apra.gov.au/publications/private-health-insurance-statistical-trends" TargetMode="External"/><Relationship Id="rId10" Type="http://schemas.openxmlformats.org/officeDocument/2006/relationships/printerSettings" Target="../printerSettings/printerSettings23.bin"/><Relationship Id="rId4" Type="http://schemas.openxmlformats.org/officeDocument/2006/relationships/hyperlink" Target="https://www.apra.gov.au/publications/private-health-insurance-medical-services" TargetMode="External"/><Relationship Id="rId9" Type="http://schemas.openxmlformats.org/officeDocument/2006/relationships/hyperlink" Target="https://www.apra.gov.au/publications/private-health-insurance-quarterly-statistics" TargetMode="External"/></Relationships>
</file>

<file path=xl/worksheets/_rels/sheet2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DataAnalytics@apra.gov.au?subject=Life%20Insurance%20Institution-level%20Statistic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83575-F5AE-4FEC-833B-EEE40381CA62}">
  <sheetPr codeName="Sheet2"/>
  <dimension ref="B9:B34"/>
  <sheetViews>
    <sheetView tabSelected="1" workbookViewId="0"/>
  </sheetViews>
  <sheetFormatPr defaultColWidth="8.6875" defaultRowHeight="13.5"/>
  <cols>
    <col min="1" max="1" width="8.6875" style="3"/>
    <col min="2" max="2" width="50.625" style="3" customWidth="1"/>
    <col min="3" max="16384" width="8.6875" style="3"/>
  </cols>
  <sheetData>
    <row r="9" ht="14" customHeight="1"/>
    <row r="10" ht="14" customHeight="1"/>
    <row r="11" ht="14" customHeight="1"/>
    <row r="12" ht="14" customHeight="1"/>
    <row r="13" ht="14" customHeight="1"/>
    <row r="14" ht="14" customHeight="1"/>
    <row r="19" spans="2:2" ht="42.75">
      <c r="B19" s="5" t="s">
        <v>1</v>
      </c>
    </row>
    <row r="20" spans="2:2" ht="28.5" customHeight="1">
      <c r="B20" s="4" t="s">
        <v>178</v>
      </c>
    </row>
    <row r="22" spans="2:2" ht="17.649999999999999">
      <c r="B22" s="6">
        <v>45627</v>
      </c>
    </row>
    <row r="23" spans="2:2">
      <c r="B23" s="3" t="s">
        <v>179</v>
      </c>
    </row>
    <row r="34" spans="2:2">
      <c r="B34" s="7" t="s">
        <v>2</v>
      </c>
    </row>
  </sheetData>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44AFE-1137-48E8-95DD-793B04C86F72}">
  <sheetPr>
    <pageSetUpPr fitToPage="1"/>
  </sheetPr>
  <dimension ref="A1:L64"/>
  <sheetViews>
    <sheetView showGridLines="0" zoomScaleNormal="100" zoomScaleSheetLayoutView="100" workbookViewId="0">
      <selection activeCell="C25" sqref="C25"/>
    </sheetView>
  </sheetViews>
  <sheetFormatPr defaultColWidth="9.625" defaultRowHeight="12" customHeight="1"/>
  <cols>
    <col min="1" max="1" width="13.8125" style="37" customWidth="1"/>
    <col min="2" max="2" width="1.0625" style="37" hidden="1" customWidth="1"/>
    <col min="3" max="6" width="12.0625" style="59" customWidth="1"/>
    <col min="7" max="7" width="12.0625" style="57" customWidth="1"/>
    <col min="8" max="8" width="9.5" style="58" customWidth="1"/>
    <col min="9" max="10" width="10.1875" style="37" customWidth="1"/>
    <col min="11" max="11" width="9.9375" style="60" customWidth="1"/>
    <col min="12" max="16384" width="9.625" style="37"/>
  </cols>
  <sheetData>
    <row r="1" spans="1:12" ht="27" customHeight="1">
      <c r="A1" s="232" t="s">
        <v>38</v>
      </c>
      <c r="B1" s="232"/>
      <c r="C1" s="232"/>
      <c r="D1" s="232"/>
      <c r="E1" s="232"/>
      <c r="F1" s="232"/>
      <c r="G1" s="232"/>
      <c r="H1" s="232"/>
      <c r="I1" s="232"/>
      <c r="J1" s="232"/>
      <c r="K1" s="232"/>
    </row>
    <row r="2" spans="1:12" ht="15" customHeight="1">
      <c r="A2" s="234" t="str">
        <f>TEXT(Selection!G13&amp;" "&amp;Selection!G12,"mmmm yyyy")</f>
        <v xml:space="preserve"> </v>
      </c>
      <c r="B2" s="234"/>
      <c r="C2" s="234"/>
      <c r="D2" s="234"/>
      <c r="E2" s="234"/>
      <c r="F2" s="234"/>
      <c r="G2" s="234"/>
      <c r="H2" s="234"/>
      <c r="I2" s="234"/>
      <c r="J2" s="234"/>
      <c r="K2" s="234"/>
    </row>
    <row r="3" spans="1:12" ht="15" customHeight="1">
      <c r="A3" s="174" t="s">
        <v>64</v>
      </c>
      <c r="B3" s="38"/>
      <c r="C3" s="39"/>
      <c r="D3" s="39"/>
      <c r="E3" s="39"/>
      <c r="F3" s="39"/>
      <c r="G3" s="40"/>
      <c r="H3" s="41"/>
      <c r="I3" s="41"/>
      <c r="J3" s="174" t="str">
        <f>Selection!E15&amp;" "&amp;Selection!E14</f>
        <v>Dec 2024</v>
      </c>
      <c r="K3" s="43"/>
    </row>
    <row r="4" spans="1:12" ht="17.100000000000001" customHeight="1">
      <c r="A4" s="179" t="s">
        <v>40</v>
      </c>
      <c r="B4" s="38"/>
      <c r="C4" s="39"/>
      <c r="D4" s="39"/>
      <c r="E4" s="39"/>
      <c r="F4" s="39"/>
      <c r="G4" s="40"/>
      <c r="H4" s="41"/>
      <c r="I4" s="41"/>
      <c r="J4" s="38"/>
      <c r="K4" s="43"/>
    </row>
    <row r="5" spans="1:12" s="45" customFormat="1" ht="39.4">
      <c r="A5" s="199"/>
      <c r="B5" s="197"/>
      <c r="C5" s="200" t="s">
        <v>41</v>
      </c>
      <c r="D5" s="200" t="s">
        <v>42</v>
      </c>
      <c r="E5" s="200" t="s">
        <v>43</v>
      </c>
      <c r="F5" s="200" t="s">
        <v>44</v>
      </c>
      <c r="G5" s="200" t="s">
        <v>45</v>
      </c>
      <c r="H5" s="200" t="s">
        <v>46</v>
      </c>
      <c r="I5" s="200" t="s">
        <v>47</v>
      </c>
      <c r="J5" s="200" t="s">
        <v>48</v>
      </c>
      <c r="K5" s="200" t="s">
        <v>49</v>
      </c>
    </row>
    <row r="6" spans="1:12" ht="14.1" customHeight="1">
      <c r="A6" s="180" t="s">
        <v>50</v>
      </c>
      <c r="B6" s="180">
        <v>0</v>
      </c>
      <c r="C6" s="205">
        <f>'T12 &amp; T13'!D37+'T12 &amp; T13'!D51</f>
        <v>24280374.800000001</v>
      </c>
      <c r="D6" s="205">
        <f>'T12 &amp; T13'!E37+'T12 &amp; T13'!E51</f>
        <v>18219701.140000001</v>
      </c>
      <c r="E6" s="205">
        <f>'T12 &amp; T13'!F37+'T12 &amp; T13'!F51</f>
        <v>6020675.9100000001</v>
      </c>
      <c r="F6" s="205">
        <f>C6-D6-E6</f>
        <v>39997.75</v>
      </c>
      <c r="G6" s="182">
        <f>'T12 &amp; T13'!H37+'T12 &amp; T13'!H51</f>
        <v>386229</v>
      </c>
      <c r="H6" s="183">
        <f t="shared" ref="H6:H11" si="0">G6/$G$27</f>
        <v>0.17224295939527728</v>
      </c>
      <c r="I6" s="183">
        <f t="shared" ref="I6:I11" si="1">C6/(D6/0.75)</f>
        <v>0.99948297505389261</v>
      </c>
      <c r="J6" s="207">
        <f t="shared" ref="J6:J11" si="2">C6/G6</f>
        <v>62.86522969533619</v>
      </c>
      <c r="K6" s="207">
        <f t="shared" ref="K6:K11" si="3">F6/G6</f>
        <v>0.10355967573641545</v>
      </c>
      <c r="L6" s="44"/>
    </row>
    <row r="7" spans="1:12" ht="14.1" customHeight="1">
      <c r="A7" s="180" t="s">
        <v>51</v>
      </c>
      <c r="B7" s="180">
        <v>1</v>
      </c>
      <c r="C7" s="205">
        <f>'T12 &amp; T13'!D38</f>
        <v>54642748.609999999</v>
      </c>
      <c r="D7" s="205">
        <f>'T12 &amp; T13'!E38</f>
        <v>34863198.049999997</v>
      </c>
      <c r="E7" s="205">
        <f>'T12 &amp; T13'!F38</f>
        <v>19778518.75</v>
      </c>
      <c r="F7" s="205">
        <f>C7-D7-E7</f>
        <v>1031.8100000023842</v>
      </c>
      <c r="G7" s="182">
        <f>'T12 &amp; T13'!H38</f>
        <v>405046</v>
      </c>
      <c r="H7" s="183">
        <f t="shared" si="0"/>
        <v>0.18063460209155574</v>
      </c>
      <c r="I7" s="183">
        <f t="shared" si="1"/>
        <v>1.1755106745722084</v>
      </c>
      <c r="J7" s="207">
        <f t="shared" si="2"/>
        <v>134.9050443900199</v>
      </c>
      <c r="K7" s="207">
        <f t="shared" si="3"/>
        <v>2.547389679202817E-3</v>
      </c>
    </row>
    <row r="8" spans="1:12" ht="14.1" customHeight="1">
      <c r="A8" s="180" t="s">
        <v>52</v>
      </c>
      <c r="B8" s="180">
        <v>2</v>
      </c>
      <c r="C8" s="205">
        <f>'T12 &amp; T13'!D39</f>
        <v>91646043.280000001</v>
      </c>
      <c r="D8" s="205">
        <f>'T12 &amp; T13'!E39</f>
        <v>50646039.369999997</v>
      </c>
      <c r="E8" s="205">
        <f>'T12 &amp; T13'!F39</f>
        <v>40999851.469999999</v>
      </c>
      <c r="F8" s="205">
        <f>C8-D8-E8</f>
        <v>152.44000000506639</v>
      </c>
      <c r="G8" s="182">
        <f>'T12 &amp; T13'!H39</f>
        <v>637966</v>
      </c>
      <c r="H8" s="183">
        <f t="shared" si="0"/>
        <v>0.28450777086538676</v>
      </c>
      <c r="I8" s="183">
        <f t="shared" si="1"/>
        <v>1.3571551362161336</v>
      </c>
      <c r="J8" s="207">
        <f t="shared" si="2"/>
        <v>143.65349137728344</v>
      </c>
      <c r="K8" s="207">
        <f t="shared" si="3"/>
        <v>2.3894690313444039E-4</v>
      </c>
    </row>
    <row r="9" spans="1:12" ht="14.1" customHeight="1">
      <c r="A9" s="180" t="s">
        <v>53</v>
      </c>
      <c r="B9" s="180">
        <v>3</v>
      </c>
      <c r="C9" s="205">
        <f>'T12 &amp; T13'!D40</f>
        <v>76137365.680000007</v>
      </c>
      <c r="D9" s="205">
        <f>'T12 &amp; T13'!E40</f>
        <v>35292354.359999999</v>
      </c>
      <c r="E9" s="205">
        <f>'T12 &amp; T13'!F40</f>
        <v>40844398.920000002</v>
      </c>
      <c r="F9" s="205">
        <f>C9-D9-E9</f>
        <v>612.40000000596046</v>
      </c>
      <c r="G9" s="182">
        <f>'T12 &amp; T13'!H40</f>
        <v>494310</v>
      </c>
      <c r="H9" s="183">
        <f t="shared" si="0"/>
        <v>0.22044283898588535</v>
      </c>
      <c r="I9" s="183">
        <f t="shared" si="1"/>
        <v>1.6179998556491886</v>
      </c>
      <c r="J9" s="207">
        <f t="shared" si="2"/>
        <v>154.0275650502721</v>
      </c>
      <c r="K9" s="207">
        <f t="shared" si="3"/>
        <v>1.2388986668405665E-3</v>
      </c>
    </row>
    <row r="10" spans="1:12" ht="14.1" customHeight="1">
      <c r="A10" s="180" t="s">
        <v>54</v>
      </c>
      <c r="B10" s="180">
        <v>4</v>
      </c>
      <c r="C10" s="205">
        <f>'T12 &amp; T13'!D41</f>
        <v>3833710.83</v>
      </c>
      <c r="D10" s="205">
        <f>'T12 &amp; T13'!E41</f>
        <v>1065313.1200000001</v>
      </c>
      <c r="E10" s="205">
        <f>'T12 &amp; T13'!F41</f>
        <v>2768397.57</v>
      </c>
      <c r="F10" s="205">
        <f>C10-D10-E10</f>
        <v>0.14000000013038516</v>
      </c>
      <c r="G10" s="182">
        <f>'T12 &amp; T13'!H41</f>
        <v>3202</v>
      </c>
      <c r="H10" s="183">
        <f t="shared" si="0"/>
        <v>1.4279661961781166E-3</v>
      </c>
      <c r="I10" s="183">
        <f t="shared" si="1"/>
        <v>2.6990028269810473</v>
      </c>
      <c r="J10" s="207">
        <f t="shared" si="2"/>
        <v>1197.2863304184884</v>
      </c>
      <c r="K10" s="207">
        <f t="shared" si="3"/>
        <v>4.3722673369889185E-5</v>
      </c>
    </row>
    <row r="11" spans="1:12" s="46" customFormat="1" ht="14.1" customHeight="1">
      <c r="A11" s="201" t="s">
        <v>55</v>
      </c>
      <c r="B11" s="185"/>
      <c r="C11" s="202">
        <f>SUM(C6:C10)</f>
        <v>250540243.20000002</v>
      </c>
      <c r="D11" s="202">
        <f>SUM(D6:D10)</f>
        <v>140086606.04000002</v>
      </c>
      <c r="E11" s="202">
        <f>SUM(E6:E10)</f>
        <v>110411842.61999999</v>
      </c>
      <c r="F11" s="202">
        <f>SUM(F6:F10)</f>
        <v>41794.540000013541</v>
      </c>
      <c r="G11" s="206">
        <f>SUM(G6:G10)</f>
        <v>1926753</v>
      </c>
      <c r="H11" s="203">
        <f t="shared" si="0"/>
        <v>0.8592561375342832</v>
      </c>
      <c r="I11" s="203">
        <f t="shared" si="1"/>
        <v>1.3413500955712068</v>
      </c>
      <c r="J11" s="204">
        <f t="shared" si="2"/>
        <v>130.03236180247288</v>
      </c>
      <c r="K11" s="204">
        <f t="shared" si="3"/>
        <v>2.1691695821941651E-2</v>
      </c>
    </row>
    <row r="12" spans="1:12" ht="17.100000000000001" customHeight="1">
      <c r="A12" s="179" t="s">
        <v>56</v>
      </c>
      <c r="B12" s="47"/>
      <c r="C12" s="47"/>
      <c r="D12" s="47"/>
      <c r="E12" s="47"/>
      <c r="F12" s="47"/>
      <c r="G12" s="48"/>
      <c r="H12" s="49"/>
      <c r="I12" s="47"/>
      <c r="J12" s="47"/>
      <c r="K12" s="47"/>
    </row>
    <row r="13" spans="1:12" ht="39.4">
      <c r="A13" s="199"/>
      <c r="B13" s="197"/>
      <c r="C13" s="200" t="s">
        <v>41</v>
      </c>
      <c r="D13" s="200" t="s">
        <v>42</v>
      </c>
      <c r="E13" s="200" t="s">
        <v>43</v>
      </c>
      <c r="F13" s="200" t="s">
        <v>44</v>
      </c>
      <c r="G13" s="200" t="s">
        <v>45</v>
      </c>
      <c r="H13" s="200" t="s">
        <v>46</v>
      </c>
      <c r="I13" s="200" t="s">
        <v>47</v>
      </c>
      <c r="J13" s="200" t="s">
        <v>48</v>
      </c>
      <c r="K13" s="200" t="s">
        <v>49</v>
      </c>
    </row>
    <row r="14" spans="1:12" ht="14.1" customHeight="1">
      <c r="A14" s="180" t="s">
        <v>50</v>
      </c>
      <c r="B14" s="180"/>
      <c r="C14" s="205"/>
      <c r="D14" s="205"/>
      <c r="E14" s="205"/>
      <c r="F14" s="205"/>
      <c r="G14" s="182"/>
      <c r="H14" s="183"/>
      <c r="I14" s="183"/>
      <c r="J14" s="207"/>
      <c r="K14" s="207"/>
    </row>
    <row r="15" spans="1:12" ht="14.1" customHeight="1">
      <c r="A15" s="180" t="s">
        <v>51</v>
      </c>
      <c r="B15" s="180">
        <v>5</v>
      </c>
      <c r="C15" s="205">
        <f>'T12 &amp; T13'!D44+'T12 &amp; T13'!D52</f>
        <v>2710684.27</v>
      </c>
      <c r="D15" s="205">
        <f>'T12 &amp; T13'!E44+'T12 &amp; T13'!E52</f>
        <v>1697416.37</v>
      </c>
      <c r="E15" s="205">
        <f>'T12 &amp; T13'!F44+'T12 &amp; T13'!F52</f>
        <v>706908.32000000007</v>
      </c>
      <c r="F15" s="205">
        <f>C15-D15-E15</f>
        <v>306359.57999999984</v>
      </c>
      <c r="G15" s="182">
        <f>'T12 &amp; T13'!H44+'T12 &amp; T13'!H52</f>
        <v>9127</v>
      </c>
      <c r="H15" s="183">
        <f>G15/$G$27</f>
        <v>4.0702834080317525E-3</v>
      </c>
      <c r="I15" s="183">
        <f>C15/(D15/0.75)</f>
        <v>1.1977103782143919</v>
      </c>
      <c r="J15" s="207">
        <f>C15/G15</f>
        <v>296.99619480661772</v>
      </c>
      <c r="K15" s="207">
        <f>F15/G15</f>
        <v>33.566295606442409</v>
      </c>
    </row>
    <row r="16" spans="1:12" ht="14.1" customHeight="1">
      <c r="A16" s="180" t="s">
        <v>52</v>
      </c>
      <c r="B16" s="180">
        <v>6</v>
      </c>
      <c r="C16" s="205">
        <f>'T12 &amp; T13'!D45+'T12 &amp; T13'!D53</f>
        <v>8680966.7699999996</v>
      </c>
      <c r="D16" s="205">
        <f>'T12 &amp; T13'!E45+'T12 &amp; T13'!E53</f>
        <v>4666286.3099999996</v>
      </c>
      <c r="E16" s="205">
        <f>'T12 &amp; T13'!F45+'T12 &amp; T13'!F53</f>
        <v>2858868.23</v>
      </c>
      <c r="F16" s="205">
        <f>C16-D16-E16</f>
        <v>1155812.23</v>
      </c>
      <c r="G16" s="182">
        <f>'T12 &amp; T13'!H45+'T12 &amp; T13'!H53</f>
        <v>33402</v>
      </c>
      <c r="H16" s="183">
        <f>G16/$G$27</f>
        <v>1.4895979664191586E-2</v>
      </c>
      <c r="I16" s="183">
        <f>C16/(D16/0.75)</f>
        <v>1.395269095157601</v>
      </c>
      <c r="J16" s="207">
        <f>C16/G16</f>
        <v>259.89362223818932</v>
      </c>
      <c r="K16" s="207">
        <f>F16/G16</f>
        <v>34.603084545835578</v>
      </c>
    </row>
    <row r="17" spans="1:11" ht="14.1" customHeight="1">
      <c r="A17" s="180" t="s">
        <v>53</v>
      </c>
      <c r="B17" s="180">
        <v>7</v>
      </c>
      <c r="C17" s="205">
        <f>'T12 &amp; T13'!D46+'T12 &amp; T13'!D54</f>
        <v>35596807.850000001</v>
      </c>
      <c r="D17" s="205">
        <f>'T12 &amp; T13'!E46+'T12 &amp; T13'!E54</f>
        <v>15118985.84</v>
      </c>
      <c r="E17" s="205">
        <f>'T12 &amp; T13'!F46+'T12 &amp; T13'!F54</f>
        <v>13184171.800000001</v>
      </c>
      <c r="F17" s="205">
        <f>C17-D17-E17</f>
        <v>7293650.2100000009</v>
      </c>
      <c r="G17" s="182">
        <f>'T12 &amp; T13'!H46+'T12 &amp; T13'!H54</f>
        <v>61864</v>
      </c>
      <c r="H17" s="183">
        <f>G17/$G$27</f>
        <v>2.7588913416727985E-2</v>
      </c>
      <c r="I17" s="183">
        <f>C17/(D17/0.75)</f>
        <v>1.7658331167204799</v>
      </c>
      <c r="J17" s="207">
        <f>C17/G17</f>
        <v>575.40423913746281</v>
      </c>
      <c r="K17" s="207">
        <f>F17/G17</f>
        <v>117.89813477951637</v>
      </c>
    </row>
    <row r="18" spans="1:11" ht="14.1" customHeight="1">
      <c r="A18" s="180" t="s">
        <v>54</v>
      </c>
      <c r="B18" s="180">
        <v>8</v>
      </c>
      <c r="C18" s="205">
        <f>'T12 &amp; T13'!D47+'T12 &amp; T13'!D55</f>
        <v>127870592.62</v>
      </c>
      <c r="D18" s="205">
        <f>'T12 &amp; T13'!E47+'T12 &amp; T13'!E55</f>
        <v>29269506.609999999</v>
      </c>
      <c r="E18" s="205">
        <f>'T12 &amp; T13'!F47+'T12 &amp; T13'!F55</f>
        <v>21452215.370000001</v>
      </c>
      <c r="F18" s="205">
        <f>C18-D18-E18</f>
        <v>77148870.640000001</v>
      </c>
      <c r="G18" s="182">
        <f>'T12 &amp; T13'!H47+'T12 &amp; T13'!H55</f>
        <v>211204</v>
      </c>
      <c r="H18" s="183">
        <f>G18/$G$27</f>
        <v>9.4188685976765441E-2</v>
      </c>
      <c r="I18" s="183">
        <f>C18/(D18/0.75)</f>
        <v>3.2765480382998504</v>
      </c>
      <c r="J18" s="207">
        <f>C18/G18</f>
        <v>605.43641512471356</v>
      </c>
      <c r="K18" s="207">
        <f>F18/G18</f>
        <v>365.28129505123007</v>
      </c>
    </row>
    <row r="19" spans="1:11" s="46" customFormat="1" ht="14.1" customHeight="1">
      <c r="A19" s="201" t="s">
        <v>55</v>
      </c>
      <c r="B19" s="185"/>
      <c r="C19" s="202">
        <f>SUM(C13:C18)</f>
        <v>174859051.50999999</v>
      </c>
      <c r="D19" s="202">
        <f>SUM(D13:D18)</f>
        <v>50752195.129999995</v>
      </c>
      <c r="E19" s="202">
        <f>SUM(E13:E18)</f>
        <v>38202163.719999999</v>
      </c>
      <c r="F19" s="202">
        <f>SUM(F13:F18)</f>
        <v>85904692.659999996</v>
      </c>
      <c r="G19" s="206">
        <f>SUM(G13:G18)</f>
        <v>315597</v>
      </c>
      <c r="H19" s="203">
        <f>G19/$G$27</f>
        <v>0.14074386246571677</v>
      </c>
      <c r="I19" s="203">
        <f>C19/(D19/0.75)</f>
        <v>2.5840121456141638</v>
      </c>
      <c r="J19" s="204">
        <f>C19/G19</f>
        <v>554.05802814982394</v>
      </c>
      <c r="K19" s="204">
        <f>F19/G19</f>
        <v>272.19743109091655</v>
      </c>
    </row>
    <row r="20" spans="1:11" ht="17.100000000000001" customHeight="1">
      <c r="A20" s="179" t="s">
        <v>57</v>
      </c>
      <c r="B20" s="47"/>
      <c r="C20" s="50"/>
      <c r="D20" s="50"/>
      <c r="E20" s="50"/>
      <c r="F20" s="50"/>
      <c r="G20" s="48"/>
      <c r="H20" s="49"/>
      <c r="I20" s="49"/>
      <c r="J20" s="51"/>
      <c r="K20" s="51"/>
    </row>
    <row r="21" spans="1:11" ht="39.4">
      <c r="A21" s="199"/>
      <c r="B21" s="197"/>
      <c r="C21" s="200" t="s">
        <v>41</v>
      </c>
      <c r="D21" s="200" t="s">
        <v>42</v>
      </c>
      <c r="E21" s="200" t="s">
        <v>43</v>
      </c>
      <c r="F21" s="200" t="s">
        <v>44</v>
      </c>
      <c r="G21" s="200" t="s">
        <v>45</v>
      </c>
      <c r="H21" s="200" t="s">
        <v>46</v>
      </c>
      <c r="I21" s="200" t="s">
        <v>47</v>
      </c>
      <c r="J21" s="200" t="s">
        <v>48</v>
      </c>
      <c r="K21" s="200" t="s">
        <v>49</v>
      </c>
    </row>
    <row r="22" spans="1:11" ht="14.1" customHeight="1">
      <c r="A22" s="180" t="s">
        <v>50</v>
      </c>
      <c r="B22" s="180">
        <v>10</v>
      </c>
      <c r="C22" s="205">
        <f>'T12 &amp; T13'!D37+'T12 &amp; T13'!D51</f>
        <v>24280374.800000001</v>
      </c>
      <c r="D22" s="205">
        <f>'T12 &amp; T13'!E37+'T12 &amp; T13'!E51</f>
        <v>18219701.140000001</v>
      </c>
      <c r="E22" s="205">
        <f>'T12 &amp; T13'!F37+'T12 &amp; T13'!F51</f>
        <v>6020675.9100000001</v>
      </c>
      <c r="F22" s="205">
        <f>C22-D22-E22</f>
        <v>39997.75</v>
      </c>
      <c r="G22" s="182">
        <f>'T12 &amp; T13'!H37+'T12 &amp; T13'!H51</f>
        <v>386229</v>
      </c>
      <c r="H22" s="183">
        <f t="shared" ref="H22:H27" si="4">G22/$G$27</f>
        <v>0.17224295939527728</v>
      </c>
      <c r="I22" s="183">
        <f t="shared" ref="I22:I27" si="5">C22/(D22/0.75)</f>
        <v>0.99948297505389261</v>
      </c>
      <c r="J22" s="207">
        <f t="shared" ref="J22:J27" si="6">C22/G22</f>
        <v>62.86522969533619</v>
      </c>
      <c r="K22" s="207">
        <f t="shared" ref="K22:K27" si="7">F22/G22</f>
        <v>0.10355967573641545</v>
      </c>
    </row>
    <row r="23" spans="1:11" ht="14.1" customHeight="1">
      <c r="A23" s="180" t="s">
        <v>51</v>
      </c>
      <c r="B23" s="180">
        <v>11</v>
      </c>
      <c r="C23" s="205">
        <f>'T12 &amp; T13'!D38+'T12 &amp; T13'!D44+'T12 &amp; T13'!D52</f>
        <v>57353432.880000003</v>
      </c>
      <c r="D23" s="205">
        <f>'T12 &amp; T13'!E38+'T12 &amp; T13'!E44+'T12 &amp; T13'!E52</f>
        <v>36560614.420000002</v>
      </c>
      <c r="E23" s="205">
        <f>'T12 &amp; T13'!F38+'T12 &amp; T13'!F44+'T12 &amp; T13'!F52</f>
        <v>20485427.07</v>
      </c>
      <c r="F23" s="205">
        <f>C23-D23-E23</f>
        <v>307391.3900000006</v>
      </c>
      <c r="G23" s="182">
        <f>'T12 &amp; T13'!H38+'T12 &amp; T13'!H44+'T12 &amp; T13'!H52</f>
        <v>414173</v>
      </c>
      <c r="H23" s="183">
        <f t="shared" si="4"/>
        <v>0.1847048854995875</v>
      </c>
      <c r="I23" s="183">
        <f t="shared" si="5"/>
        <v>1.1765413503682578</v>
      </c>
      <c r="J23" s="207">
        <f t="shared" si="6"/>
        <v>138.47699603788755</v>
      </c>
      <c r="K23" s="207">
        <f t="shared" si="7"/>
        <v>0.74218114169682858</v>
      </c>
    </row>
    <row r="24" spans="1:11" ht="14.1" customHeight="1">
      <c r="A24" s="180" t="s">
        <v>52</v>
      </c>
      <c r="B24" s="180">
        <v>12</v>
      </c>
      <c r="C24" s="205">
        <f>'T12 &amp; T13'!D39+'T12 &amp; T13'!D45+'T12 &amp; T13'!D53</f>
        <v>100327010.05</v>
      </c>
      <c r="D24" s="205">
        <f>'T12 &amp; T13'!E39+'T12 &amp; T13'!E45+'T12 &amp; T13'!E53</f>
        <v>55312325.679999992</v>
      </c>
      <c r="E24" s="205">
        <f>'T12 &amp; T13'!F39+'T12 &amp; T13'!F45+'T12 &amp; T13'!F53</f>
        <v>43858719.700000003</v>
      </c>
      <c r="F24" s="205">
        <f>C24-D24-E24</f>
        <v>1155964.6700000018</v>
      </c>
      <c r="G24" s="182">
        <f>'T12 &amp; T13'!H39+'T12 &amp; T13'!H45+'T12 &amp; T13'!H53</f>
        <v>671368</v>
      </c>
      <c r="H24" s="183">
        <f t="shared" si="4"/>
        <v>0.29940375052957835</v>
      </c>
      <c r="I24" s="183">
        <f t="shared" si="5"/>
        <v>1.3603705252391407</v>
      </c>
      <c r="J24" s="207">
        <f t="shared" si="6"/>
        <v>149.43668755436661</v>
      </c>
      <c r="K24" s="207">
        <f t="shared" si="7"/>
        <v>1.7218048372874515</v>
      </c>
    </row>
    <row r="25" spans="1:11" ht="14.1" customHeight="1">
      <c r="A25" s="180" t="s">
        <v>53</v>
      </c>
      <c r="B25" s="180">
        <v>13</v>
      </c>
      <c r="C25" s="205">
        <f>'T12 &amp; T13'!D40+'T12 &amp; T13'!D46+'T12 &amp; T13'!D54</f>
        <v>111734173.53000002</v>
      </c>
      <c r="D25" s="205">
        <f>'T12 &amp; T13'!E40+'T12 &amp; T13'!E46+'T12 &amp; T13'!E54</f>
        <v>50411340.199999996</v>
      </c>
      <c r="E25" s="205">
        <f>'T12 &amp; T13'!F40+'T12 &amp; T13'!F46+'T12 &amp; T13'!F54</f>
        <v>54028570.719999999</v>
      </c>
      <c r="F25" s="205">
        <f>C25-D25-E25</f>
        <v>7294262.6100000218</v>
      </c>
      <c r="G25" s="182">
        <f>'T12 &amp; T13'!H40+'T12 &amp; T13'!H46+'T12 &amp; T13'!H54</f>
        <v>556174</v>
      </c>
      <c r="H25" s="183">
        <f t="shared" si="4"/>
        <v>0.24803175240261333</v>
      </c>
      <c r="I25" s="183">
        <f t="shared" si="5"/>
        <v>1.6623368832296987</v>
      </c>
      <c r="J25" s="207">
        <f t="shared" si="6"/>
        <v>200.89787284195236</v>
      </c>
      <c r="K25" s="207">
        <f t="shared" si="7"/>
        <v>13.115072998737844</v>
      </c>
    </row>
    <row r="26" spans="1:11" ht="14.1" customHeight="1">
      <c r="A26" s="180" t="s">
        <v>54</v>
      </c>
      <c r="B26" s="180">
        <v>14</v>
      </c>
      <c r="C26" s="205">
        <f>'T12 &amp; T13'!D41+'T12 &amp; T13'!D47+'T12 &amp; T13'!D55</f>
        <v>131704303.44999999</v>
      </c>
      <c r="D26" s="205">
        <f>'T12 &amp; T13'!E41+'T12 &amp; T13'!E47+'T12 &amp; T13'!E55</f>
        <v>30334819.73</v>
      </c>
      <c r="E26" s="205">
        <f>'T12 &amp; T13'!F41+'T12 &amp; T13'!F47+'T12 &amp; T13'!F55</f>
        <v>24220612.940000001</v>
      </c>
      <c r="F26" s="205">
        <f>C26-D26-E26</f>
        <v>77148870.779999986</v>
      </c>
      <c r="G26" s="182">
        <f>'T12 &amp; T13'!H41+'T12 &amp; T13'!H47+'T12 &amp; T13'!H55</f>
        <v>214406</v>
      </c>
      <c r="H26" s="183">
        <f t="shared" si="4"/>
        <v>9.5616652172943559E-2</v>
      </c>
      <c r="I26" s="183">
        <f t="shared" si="5"/>
        <v>3.2562655214928484</v>
      </c>
      <c r="J26" s="207">
        <f t="shared" si="6"/>
        <v>614.27526958200792</v>
      </c>
      <c r="K26" s="207">
        <f t="shared" si="7"/>
        <v>359.8260812663824</v>
      </c>
    </row>
    <row r="27" spans="1:11" s="46" customFormat="1" ht="14.1" customHeight="1">
      <c r="A27" s="201" t="s">
        <v>55</v>
      </c>
      <c r="B27" s="185"/>
      <c r="C27" s="202">
        <f>SUM(C22:C26)</f>
        <v>425399294.71000004</v>
      </c>
      <c r="D27" s="202">
        <f>SUM(D22:D26)</f>
        <v>190838801.16999999</v>
      </c>
      <c r="E27" s="202">
        <f>SUM(E22:E26)</f>
        <v>148614006.34</v>
      </c>
      <c r="F27" s="202">
        <f>SUM(F22:F26)</f>
        <v>85946487.200000018</v>
      </c>
      <c r="G27" s="206">
        <f>SUM(G22:G26)</f>
        <v>2242350</v>
      </c>
      <c r="H27" s="203">
        <f t="shared" si="4"/>
        <v>1</v>
      </c>
      <c r="I27" s="203">
        <f t="shared" si="5"/>
        <v>1.6718270554858992</v>
      </c>
      <c r="J27" s="204">
        <f t="shared" si="6"/>
        <v>189.71137186879838</v>
      </c>
      <c r="K27" s="204">
        <f t="shared" si="7"/>
        <v>38.32875652774991</v>
      </c>
    </row>
    <row r="28" spans="1:11" s="46" customFormat="1" ht="15" customHeight="1" thickBot="1">
      <c r="A28" s="52"/>
      <c r="B28" s="52"/>
      <c r="C28" s="53"/>
      <c r="D28" s="53"/>
      <c r="E28" s="53"/>
      <c r="F28" s="53"/>
      <c r="G28" s="54"/>
      <c r="H28" s="55"/>
      <c r="I28" s="55"/>
      <c r="J28" s="56"/>
      <c r="K28" s="56"/>
    </row>
    <row r="29" spans="1:11" ht="17.100000000000001" customHeight="1">
      <c r="A29" s="179" t="s">
        <v>65</v>
      </c>
      <c r="B29" s="47"/>
      <c r="C29" s="50"/>
      <c r="D29" s="50"/>
      <c r="E29" s="50"/>
      <c r="F29" s="50"/>
      <c r="G29" s="48"/>
      <c r="H29" s="49"/>
      <c r="I29" s="49"/>
      <c r="J29" s="51"/>
      <c r="K29" s="51"/>
    </row>
    <row r="30" spans="1:11" ht="39.4">
      <c r="A30" s="199"/>
      <c r="B30" s="197"/>
      <c r="C30" s="200" t="s">
        <v>41</v>
      </c>
      <c r="D30" s="200" t="s">
        <v>42</v>
      </c>
      <c r="E30" s="200" t="s">
        <v>43</v>
      </c>
      <c r="F30" s="200" t="s">
        <v>44</v>
      </c>
      <c r="G30" s="200" t="s">
        <v>45</v>
      </c>
      <c r="H30" s="200" t="s">
        <v>46</v>
      </c>
      <c r="I30" s="200" t="s">
        <v>47</v>
      </c>
      <c r="J30" s="200" t="s">
        <v>48</v>
      </c>
      <c r="K30" s="200" t="s">
        <v>49</v>
      </c>
    </row>
    <row r="31" spans="1:11" ht="14.1" customHeight="1">
      <c r="A31" s="180" t="s">
        <v>50</v>
      </c>
      <c r="B31" s="180"/>
      <c r="C31" s="205"/>
      <c r="D31" s="205"/>
      <c r="E31" s="205"/>
      <c r="F31" s="205"/>
      <c r="G31" s="182"/>
      <c r="H31" s="183"/>
      <c r="I31" s="183"/>
      <c r="J31" s="207"/>
      <c r="K31" s="207"/>
    </row>
    <row r="32" spans="1:11" ht="14.1" customHeight="1">
      <c r="A32" s="180" t="s">
        <v>51</v>
      </c>
      <c r="B32" s="180">
        <v>15</v>
      </c>
      <c r="C32" s="205">
        <f>'T12 &amp; T13'!D44</f>
        <v>1722440.56</v>
      </c>
      <c r="D32" s="205">
        <f>'T12 &amp; T13'!E44</f>
        <v>1037185.24</v>
      </c>
      <c r="E32" s="205">
        <f>'T12 &amp; T13'!F44</f>
        <v>485422.68</v>
      </c>
      <c r="F32" s="205">
        <f>C32-D32-E32</f>
        <v>199832.64000000007</v>
      </c>
      <c r="G32" s="182">
        <f>'T12 &amp; T13'!H44</f>
        <v>7417</v>
      </c>
      <c r="H32" s="183">
        <f>G32/$G$27</f>
        <v>3.3076905924588045E-3</v>
      </c>
      <c r="I32" s="183">
        <f>C32/(D32/0.75)</f>
        <v>1.2455156226480817</v>
      </c>
      <c r="J32" s="207">
        <f>C32/G32</f>
        <v>232.22873938249967</v>
      </c>
      <c r="K32" s="207">
        <f>F32/G32</f>
        <v>26.94251584198464</v>
      </c>
    </row>
    <row r="33" spans="1:11" ht="14.1" customHeight="1">
      <c r="A33" s="180" t="s">
        <v>52</v>
      </c>
      <c r="B33" s="180">
        <v>16</v>
      </c>
      <c r="C33" s="205">
        <f>'T12 &amp; T13'!D45</f>
        <v>6540100.0700000003</v>
      </c>
      <c r="D33" s="205">
        <f>'T12 &amp; T13'!E45</f>
        <v>3493588.76</v>
      </c>
      <c r="E33" s="205">
        <f>'T12 &amp; T13'!F45</f>
        <v>2470950.6</v>
      </c>
      <c r="F33" s="205">
        <f>C33-D33-E33</f>
        <v>575560.71000000043</v>
      </c>
      <c r="G33" s="182">
        <f>'T12 &amp; T13'!H45</f>
        <v>29956</v>
      </c>
      <c r="H33" s="183">
        <f>G33/$G$27</f>
        <v>1.3359199054563294E-2</v>
      </c>
      <c r="I33" s="183">
        <f>C33/(D33/0.75)</f>
        <v>1.4040218782075542</v>
      </c>
      <c r="J33" s="207">
        <f>C33/G33</f>
        <v>218.32354353051142</v>
      </c>
      <c r="K33" s="207">
        <f>F33/G33</f>
        <v>19.213536854052624</v>
      </c>
    </row>
    <row r="34" spans="1:11" ht="14.1" customHeight="1">
      <c r="A34" s="180" t="s">
        <v>53</v>
      </c>
      <c r="B34" s="180">
        <v>17</v>
      </c>
      <c r="C34" s="205">
        <f>'T12 &amp; T13'!D46</f>
        <v>30167550.370000001</v>
      </c>
      <c r="D34" s="205">
        <f>'T12 &amp; T13'!E46</f>
        <v>12765362.720000001</v>
      </c>
      <c r="E34" s="205">
        <f>'T12 &amp; T13'!F46</f>
        <v>12397924.9</v>
      </c>
      <c r="F34" s="205">
        <f>C34-D34-E34</f>
        <v>5004262.7499999981</v>
      </c>
      <c r="G34" s="182">
        <f>'T12 &amp; T13'!H46</f>
        <v>42126</v>
      </c>
      <c r="H34" s="183">
        <f>G34/$G$27</f>
        <v>1.8786540905746205E-2</v>
      </c>
      <c r="I34" s="183">
        <f>C34/(D34/0.75)</f>
        <v>1.7724261561366741</v>
      </c>
      <c r="J34" s="207">
        <f>C34/G34</f>
        <v>716.12662892275557</v>
      </c>
      <c r="K34" s="207">
        <f>F34/G34</f>
        <v>118.79273489056635</v>
      </c>
    </row>
    <row r="35" spans="1:11" ht="14.1" customHeight="1">
      <c r="A35" s="180" t="s">
        <v>54</v>
      </c>
      <c r="B35" s="180">
        <v>18</v>
      </c>
      <c r="C35" s="205">
        <f>'T12 &amp; T13'!D47</f>
        <v>63271501.5</v>
      </c>
      <c r="D35" s="205">
        <f>'T12 &amp; T13'!E47</f>
        <v>15526498.789999999</v>
      </c>
      <c r="E35" s="205">
        <f>'T12 &amp; T13'!F47</f>
        <v>16862722.550000001</v>
      </c>
      <c r="F35" s="205">
        <f>C35-D35-E35</f>
        <v>30882280.16</v>
      </c>
      <c r="G35" s="182">
        <f>'T12 &amp; T13'!H47</f>
        <v>165572</v>
      </c>
      <c r="H35" s="183">
        <f>G35/$G$27</f>
        <v>7.3838606818739272E-2</v>
      </c>
      <c r="I35" s="183">
        <f>C35/(D35/0.75)</f>
        <v>3.0562992189561107</v>
      </c>
      <c r="J35" s="207">
        <f>C35/G35</f>
        <v>382.13889727731743</v>
      </c>
      <c r="K35" s="207">
        <f>F35/G35</f>
        <v>186.51873601816732</v>
      </c>
    </row>
    <row r="36" spans="1:11" s="46" customFormat="1" ht="14.1" customHeight="1">
      <c r="A36" s="201" t="s">
        <v>55</v>
      </c>
      <c r="B36" s="185"/>
      <c r="C36" s="202">
        <f>SUM(C31:C35)</f>
        <v>101701592.5</v>
      </c>
      <c r="D36" s="202">
        <f>SUM(D31:D35)</f>
        <v>32822635.509999998</v>
      </c>
      <c r="E36" s="202">
        <f>SUM(E31:E35)</f>
        <v>32217020.73</v>
      </c>
      <c r="F36" s="202">
        <f>SUM(F31:F35)</f>
        <v>36661936.259999998</v>
      </c>
      <c r="G36" s="206">
        <f>SUM(G31:G35)</f>
        <v>245071</v>
      </c>
      <c r="H36" s="203">
        <f>G36/$G$27</f>
        <v>0.10929203737150757</v>
      </c>
      <c r="I36" s="203">
        <f>C36/(D36/0.75)</f>
        <v>2.3238899981618206</v>
      </c>
      <c r="J36" s="204">
        <f>C36/G36</f>
        <v>414.988278906929</v>
      </c>
      <c r="K36" s="204">
        <f>F36/G36</f>
        <v>149.59720350429058</v>
      </c>
    </row>
    <row r="37" spans="1:11" ht="17.100000000000001" customHeight="1">
      <c r="A37" s="179" t="s">
        <v>59</v>
      </c>
      <c r="B37" s="47"/>
      <c r="C37" s="50"/>
      <c r="D37" s="50"/>
      <c r="E37" s="50"/>
      <c r="F37" s="50"/>
      <c r="G37" s="48"/>
      <c r="H37" s="49"/>
      <c r="I37" s="49"/>
      <c r="J37" s="51"/>
      <c r="K37" s="51"/>
    </row>
    <row r="38" spans="1:11" ht="39.4">
      <c r="A38" s="199"/>
      <c r="B38" s="197"/>
      <c r="C38" s="200" t="s">
        <v>41</v>
      </c>
      <c r="D38" s="200" t="s">
        <v>42</v>
      </c>
      <c r="E38" s="200" t="s">
        <v>43</v>
      </c>
      <c r="F38" s="200" t="s">
        <v>44</v>
      </c>
      <c r="G38" s="200" t="s">
        <v>45</v>
      </c>
      <c r="H38" s="200" t="s">
        <v>46</v>
      </c>
      <c r="I38" s="200" t="s">
        <v>47</v>
      </c>
      <c r="J38" s="200" t="s">
        <v>48</v>
      </c>
      <c r="K38" s="200" t="s">
        <v>49</v>
      </c>
    </row>
    <row r="39" spans="1:11" ht="14.1" customHeight="1">
      <c r="A39" s="180" t="s">
        <v>50</v>
      </c>
      <c r="B39" s="180">
        <v>10</v>
      </c>
      <c r="C39" s="205">
        <f>'T12 &amp; T13'!D37+'T12 &amp; T13'!D51</f>
        <v>24280374.800000001</v>
      </c>
      <c r="D39" s="205">
        <f>'T12 &amp; T13'!E37+'T12 &amp; T13'!E51</f>
        <v>18219701.140000001</v>
      </c>
      <c r="E39" s="205">
        <f>'T12 &amp; T13'!F37+'T12 &amp; T13'!F51</f>
        <v>6020675.9100000001</v>
      </c>
      <c r="F39" s="205">
        <f>C39-D39-E39</f>
        <v>39997.75</v>
      </c>
      <c r="G39" s="182">
        <f>'T12 &amp; T13'!H37+'T12 &amp; T13'!H51</f>
        <v>386229</v>
      </c>
      <c r="H39" s="183">
        <f t="shared" ref="H39:H44" si="8">G39/$G$27</f>
        <v>0.17224295939527728</v>
      </c>
      <c r="I39" s="183">
        <f t="shared" ref="I39:I44" si="9">C39/(D39/0.75)</f>
        <v>0.99948297505389261</v>
      </c>
      <c r="J39" s="207">
        <f t="shared" ref="J39:J44" si="10">C39/G39</f>
        <v>62.86522969533619</v>
      </c>
      <c r="K39" s="207">
        <f t="shared" ref="K39:K44" si="11">F39/G39</f>
        <v>0.10355967573641545</v>
      </c>
    </row>
    <row r="40" spans="1:11" ht="14.1" customHeight="1">
      <c r="A40" s="180" t="s">
        <v>51</v>
      </c>
      <c r="B40" s="180">
        <v>11</v>
      </c>
      <c r="C40" s="205">
        <f>'T12 &amp; T13'!D38+'T12 &amp; T13'!D44</f>
        <v>56365189.170000002</v>
      </c>
      <c r="D40" s="205">
        <f>'T12 &amp; T13'!E38+'T12 &amp; T13'!E44</f>
        <v>35900383.289999999</v>
      </c>
      <c r="E40" s="205">
        <f>'T12 &amp; T13'!F38+'T12 &amp; T13'!F44</f>
        <v>20263941.43</v>
      </c>
      <c r="F40" s="205">
        <f>C40-D40-E40</f>
        <v>200864.45000000298</v>
      </c>
      <c r="G40" s="182">
        <f>'T12 &amp; T13'!H38+'T12 &amp; T13'!H44</f>
        <v>412463</v>
      </c>
      <c r="H40" s="183">
        <f t="shared" si="8"/>
        <v>0.18394229268401455</v>
      </c>
      <c r="I40" s="183">
        <f t="shared" si="9"/>
        <v>1.1775331626967709</v>
      </c>
      <c r="J40" s="207">
        <f t="shared" si="10"/>
        <v>136.65514038834999</v>
      </c>
      <c r="K40" s="207">
        <f t="shared" si="11"/>
        <v>0.48698780254229584</v>
      </c>
    </row>
    <row r="41" spans="1:11" ht="14.1" customHeight="1">
      <c r="A41" s="180" t="s">
        <v>52</v>
      </c>
      <c r="B41" s="180">
        <v>12</v>
      </c>
      <c r="C41" s="205">
        <f>'T12 &amp; T13'!D39+'T12 &amp; T13'!D45</f>
        <v>98186143.349999994</v>
      </c>
      <c r="D41" s="205">
        <f>'T12 &amp; T13'!E39+'T12 &amp; T13'!E45</f>
        <v>54139628.129999995</v>
      </c>
      <c r="E41" s="205">
        <f>'T12 &amp; T13'!F39+'T12 &amp; T13'!F45</f>
        <v>43470802.07</v>
      </c>
      <c r="F41" s="205">
        <f>C41-D41-E41</f>
        <v>575713.14999999851</v>
      </c>
      <c r="G41" s="182">
        <f>'T12 &amp; T13'!H39+'T12 &amp; T13'!H45</f>
        <v>667922</v>
      </c>
      <c r="H41" s="183">
        <f t="shared" si="8"/>
        <v>0.29786696991995004</v>
      </c>
      <c r="I41" s="183">
        <f t="shared" si="9"/>
        <v>1.3601794112009171</v>
      </c>
      <c r="J41" s="207">
        <f t="shared" si="10"/>
        <v>147.00240948793422</v>
      </c>
      <c r="K41" s="207">
        <f t="shared" si="11"/>
        <v>0.86194667940268255</v>
      </c>
    </row>
    <row r="42" spans="1:11" ht="14.1" customHeight="1">
      <c r="A42" s="180" t="s">
        <v>53</v>
      </c>
      <c r="B42" s="180">
        <v>13</v>
      </c>
      <c r="C42" s="205">
        <f>'T12 &amp; T13'!D40+'T12 &amp; T13'!D46</f>
        <v>106304916.05000001</v>
      </c>
      <c r="D42" s="205">
        <f>'T12 &amp; T13'!E40+'T12 &amp; T13'!E46</f>
        <v>48057717.079999998</v>
      </c>
      <c r="E42" s="205">
        <f>'T12 &amp; T13'!F40+'T12 &amp; T13'!F46</f>
        <v>53242323.82</v>
      </c>
      <c r="F42" s="205">
        <f>C42-D42-E42</f>
        <v>5004875.1500000134</v>
      </c>
      <c r="G42" s="182">
        <f>'T12 &amp; T13'!H40+'T12 &amp; T13'!H46</f>
        <v>536436</v>
      </c>
      <c r="H42" s="183">
        <f t="shared" si="8"/>
        <v>0.23922937989163154</v>
      </c>
      <c r="I42" s="183">
        <f t="shared" si="9"/>
        <v>1.6590194433243357</v>
      </c>
      <c r="J42" s="207">
        <f t="shared" si="10"/>
        <v>198.16887019141149</v>
      </c>
      <c r="K42" s="207">
        <f t="shared" si="11"/>
        <v>9.3298644199867518</v>
      </c>
    </row>
    <row r="43" spans="1:11" ht="14.1" customHeight="1">
      <c r="A43" s="180" t="s">
        <v>54</v>
      </c>
      <c r="B43" s="180">
        <v>14</v>
      </c>
      <c r="C43" s="205">
        <f>'T12 &amp; T13'!D41+'T12 &amp; T13'!D47</f>
        <v>67105212.329999998</v>
      </c>
      <c r="D43" s="205">
        <f>'T12 &amp; T13'!E41+'T12 &amp; T13'!E47</f>
        <v>16591811.91</v>
      </c>
      <c r="E43" s="205">
        <f>'T12 &amp; T13'!F41+'T12 &amp; T13'!F47</f>
        <v>19631120.120000001</v>
      </c>
      <c r="F43" s="205">
        <f>C43-D43-E43</f>
        <v>30882280.300000001</v>
      </c>
      <c r="G43" s="182">
        <f>'T12 &amp; T13'!H41+'T12 &amp; T13'!H47</f>
        <v>168774</v>
      </c>
      <c r="H43" s="183">
        <f t="shared" si="8"/>
        <v>7.526657301491739E-2</v>
      </c>
      <c r="I43" s="183">
        <f t="shared" si="9"/>
        <v>3.0333582323921124</v>
      </c>
      <c r="J43" s="207">
        <f t="shared" si="10"/>
        <v>397.60396939101992</v>
      </c>
      <c r="K43" s="207">
        <f t="shared" si="11"/>
        <v>182.98008164764715</v>
      </c>
    </row>
    <row r="44" spans="1:11" s="46" customFormat="1" ht="14.1" customHeight="1">
      <c r="A44" s="201" t="s">
        <v>55</v>
      </c>
      <c r="B44" s="185"/>
      <c r="C44" s="202">
        <f>SUM(C39:C43)</f>
        <v>352241835.69999999</v>
      </c>
      <c r="D44" s="202">
        <f>SUM(D39:D43)</f>
        <v>172909241.54999998</v>
      </c>
      <c r="E44" s="202">
        <f>SUM(E39:E43)</f>
        <v>142628863.34999999</v>
      </c>
      <c r="F44" s="202">
        <f>SUM(F39:F43)</f>
        <v>36703730.800000012</v>
      </c>
      <c r="G44" s="206">
        <f>SUM(G39:G43)</f>
        <v>2171824</v>
      </c>
      <c r="H44" s="203">
        <f t="shared" si="8"/>
        <v>0.96854817490579082</v>
      </c>
      <c r="I44" s="203">
        <f t="shared" si="9"/>
        <v>1.5278615209159132</v>
      </c>
      <c r="J44" s="204">
        <f t="shared" si="10"/>
        <v>162.18709973736361</v>
      </c>
      <c r="K44" s="204">
        <f t="shared" si="11"/>
        <v>16.899956350054154</v>
      </c>
    </row>
    <row r="45" spans="1:11" ht="17.100000000000001" customHeight="1">
      <c r="A45" s="179" t="s">
        <v>60</v>
      </c>
      <c r="B45" s="47"/>
      <c r="C45" s="50"/>
      <c r="D45" s="50"/>
      <c r="E45" s="50"/>
      <c r="F45" s="50"/>
      <c r="G45" s="48"/>
      <c r="H45" s="49"/>
      <c r="I45" s="49"/>
      <c r="J45" s="51"/>
      <c r="K45" s="51"/>
    </row>
    <row r="46" spans="1:11" ht="39.4">
      <c r="A46" s="199"/>
      <c r="B46" s="197"/>
      <c r="C46" s="200" t="s">
        <v>41</v>
      </c>
      <c r="D46" s="200" t="s">
        <v>42</v>
      </c>
      <c r="E46" s="200" t="s">
        <v>43</v>
      </c>
      <c r="F46" s="200" t="s">
        <v>44</v>
      </c>
      <c r="G46" s="200" t="s">
        <v>45</v>
      </c>
      <c r="H46" s="200" t="s">
        <v>46</v>
      </c>
      <c r="I46" s="200" t="s">
        <v>47</v>
      </c>
      <c r="J46" s="200" t="s">
        <v>48</v>
      </c>
      <c r="K46" s="200" t="s">
        <v>49</v>
      </c>
    </row>
    <row r="47" spans="1:11" ht="14.1" customHeight="1">
      <c r="A47" s="180" t="s">
        <v>50</v>
      </c>
      <c r="B47" s="180"/>
      <c r="C47" s="205">
        <f>'T12 &amp; T13'!D37</f>
        <v>20215428.390000001</v>
      </c>
      <c r="D47" s="205">
        <f>'T12 &amp; T13'!E37</f>
        <v>15206797.810000001</v>
      </c>
      <c r="E47" s="205">
        <f>'T12 &amp; T13'!F37</f>
        <v>5008638.53</v>
      </c>
      <c r="F47" s="205">
        <f>C47-D47-E47</f>
        <v>-7.9500000001862645</v>
      </c>
      <c r="G47" s="182">
        <f>'T12 &amp; T13'!H37</f>
        <v>331449</v>
      </c>
      <c r="H47" s="183">
        <f t="shared" ref="H47:H52" si="12">G47/$G$27</f>
        <v>0.14781323165429125</v>
      </c>
      <c r="I47" s="183">
        <f t="shared" ref="I47:I52" si="13">C47/(D47/0.75)</f>
        <v>0.99702590130643687</v>
      </c>
      <c r="J47" s="207">
        <f t="shared" ref="J47:J52" si="14">C47/G47</f>
        <v>60.991067675570001</v>
      </c>
      <c r="K47" s="207">
        <f t="shared" ref="K47:K52" si="15">F47/G47</f>
        <v>-2.398559054390348E-5</v>
      </c>
    </row>
    <row r="48" spans="1:11" ht="14.1" customHeight="1">
      <c r="A48" s="180" t="s">
        <v>51</v>
      </c>
      <c r="B48" s="180">
        <v>21</v>
      </c>
      <c r="C48" s="205">
        <f>'T12 &amp; T13'!D38+'T12 &amp; T13'!D44</f>
        <v>56365189.170000002</v>
      </c>
      <c r="D48" s="205">
        <f>'T12 &amp; T13'!E38+'T12 &amp; T13'!E44</f>
        <v>35900383.289999999</v>
      </c>
      <c r="E48" s="205">
        <f>'T12 &amp; T13'!F38+'T12 &amp; T13'!F44</f>
        <v>20263941.43</v>
      </c>
      <c r="F48" s="205">
        <f>C48-D48-E48</f>
        <v>200864.45000000298</v>
      </c>
      <c r="G48" s="182">
        <f>'T12 &amp; T13'!H38+'T12 &amp; T13'!H44</f>
        <v>412463</v>
      </c>
      <c r="H48" s="183">
        <f t="shared" si="12"/>
        <v>0.18394229268401455</v>
      </c>
      <c r="I48" s="183">
        <f t="shared" si="13"/>
        <v>1.1775331626967709</v>
      </c>
      <c r="J48" s="207">
        <f t="shared" si="14"/>
        <v>136.65514038834999</v>
      </c>
      <c r="K48" s="207">
        <f t="shared" si="15"/>
        <v>0.48698780254229584</v>
      </c>
    </row>
    <row r="49" spans="1:11" ht="14.1" customHeight="1">
      <c r="A49" s="180" t="s">
        <v>52</v>
      </c>
      <c r="B49" s="180">
        <v>22</v>
      </c>
      <c r="C49" s="205">
        <f>'T12 &amp; T13'!D39+'T12 &amp; T13'!D45</f>
        <v>98186143.349999994</v>
      </c>
      <c r="D49" s="205">
        <f>'T12 &amp; T13'!E39+'T12 &amp; T13'!E45</f>
        <v>54139628.129999995</v>
      </c>
      <c r="E49" s="205">
        <f>'T12 &amp; T13'!F39+'T12 &amp; T13'!F45</f>
        <v>43470802.07</v>
      </c>
      <c r="F49" s="205">
        <f>C49-D49-E49</f>
        <v>575713.14999999851</v>
      </c>
      <c r="G49" s="182">
        <f>'T12 &amp; T13'!H39+'T12 &amp; T13'!H45</f>
        <v>667922</v>
      </c>
      <c r="H49" s="183">
        <f t="shared" si="12"/>
        <v>0.29786696991995004</v>
      </c>
      <c r="I49" s="183">
        <f t="shared" si="13"/>
        <v>1.3601794112009171</v>
      </c>
      <c r="J49" s="207">
        <f t="shared" si="14"/>
        <v>147.00240948793422</v>
      </c>
      <c r="K49" s="207">
        <f t="shared" si="15"/>
        <v>0.86194667940268255</v>
      </c>
    </row>
    <row r="50" spans="1:11" ht="14.1" customHeight="1">
      <c r="A50" s="180" t="s">
        <v>53</v>
      </c>
      <c r="B50" s="180">
        <v>23</v>
      </c>
      <c r="C50" s="205">
        <f>'T12 &amp; T13'!D40+'T12 &amp; T13'!D46</f>
        <v>106304916.05000001</v>
      </c>
      <c r="D50" s="205">
        <f>'T12 &amp; T13'!E40+'T12 &amp; T13'!E46</f>
        <v>48057717.079999998</v>
      </c>
      <c r="E50" s="205">
        <f>'T12 &amp; T13'!F40+'T12 &amp; T13'!F46</f>
        <v>53242323.82</v>
      </c>
      <c r="F50" s="205">
        <f>C50-D50-E50</f>
        <v>5004875.1500000134</v>
      </c>
      <c r="G50" s="182">
        <f>'T12 &amp; T13'!H40+'T12 &amp; T13'!H46</f>
        <v>536436</v>
      </c>
      <c r="H50" s="183">
        <f t="shared" si="12"/>
        <v>0.23922937989163154</v>
      </c>
      <c r="I50" s="183">
        <f t="shared" si="13"/>
        <v>1.6590194433243357</v>
      </c>
      <c r="J50" s="207">
        <f t="shared" si="14"/>
        <v>198.16887019141149</v>
      </c>
      <c r="K50" s="207">
        <f t="shared" si="15"/>
        <v>9.3298644199867518</v>
      </c>
    </row>
    <row r="51" spans="1:11" ht="14.1" customHeight="1">
      <c r="A51" s="180" t="s">
        <v>54</v>
      </c>
      <c r="B51" s="180">
        <v>24</v>
      </c>
      <c r="C51" s="205">
        <f>'T12 &amp; T13'!D41+'T12 &amp; T13'!D47</f>
        <v>67105212.329999998</v>
      </c>
      <c r="D51" s="205">
        <f>'T12 &amp; T13'!E41+'T12 &amp; T13'!E47</f>
        <v>16591811.91</v>
      </c>
      <c r="E51" s="205">
        <f>'T12 &amp; T13'!F41+'T12 &amp; T13'!F47</f>
        <v>19631120.120000001</v>
      </c>
      <c r="F51" s="205">
        <f>C51-D51-E51</f>
        <v>30882280.300000001</v>
      </c>
      <c r="G51" s="182">
        <f>'T12 &amp; T13'!H41+'T12 &amp; T13'!H47</f>
        <v>168774</v>
      </c>
      <c r="H51" s="183">
        <f t="shared" si="12"/>
        <v>7.526657301491739E-2</v>
      </c>
      <c r="I51" s="183">
        <f t="shared" si="13"/>
        <v>3.0333582323921124</v>
      </c>
      <c r="J51" s="207">
        <f t="shared" si="14"/>
        <v>397.60396939101992</v>
      </c>
      <c r="K51" s="207">
        <f t="shared" si="15"/>
        <v>182.98008164764715</v>
      </c>
    </row>
    <row r="52" spans="1:11" s="46" customFormat="1" ht="14.1" customHeight="1">
      <c r="A52" s="201" t="s">
        <v>55</v>
      </c>
      <c r="B52" s="185">
        <v>25</v>
      </c>
      <c r="C52" s="202">
        <f>SUM(C47:C51)</f>
        <v>348176889.29000002</v>
      </c>
      <c r="D52" s="202">
        <f>SUM(D47:D51)</f>
        <v>169896338.22</v>
      </c>
      <c r="E52" s="202">
        <f>SUM(E47:E51)</f>
        <v>141616825.97</v>
      </c>
      <c r="F52" s="202">
        <f>SUM(F47:F51)</f>
        <v>36663725.100000016</v>
      </c>
      <c r="G52" s="206">
        <f>SUM(G47:G51)</f>
        <v>2117044</v>
      </c>
      <c r="H52" s="203">
        <f t="shared" si="12"/>
        <v>0.94411844716480475</v>
      </c>
      <c r="I52" s="203">
        <f t="shared" si="13"/>
        <v>1.5370117431804646</v>
      </c>
      <c r="J52" s="204">
        <f t="shared" si="14"/>
        <v>164.46369999395384</v>
      </c>
      <c r="K52" s="204">
        <f t="shared" si="15"/>
        <v>17.3183576250659</v>
      </c>
    </row>
    <row r="53" spans="1:11" ht="17.100000000000001" customHeight="1">
      <c r="A53" s="179" t="s">
        <v>61</v>
      </c>
      <c r="B53" s="47"/>
      <c r="C53" s="50"/>
      <c r="D53" s="50"/>
      <c r="E53" s="50"/>
      <c r="F53" s="50"/>
      <c r="G53" s="48"/>
      <c r="H53" s="49"/>
      <c r="I53" s="49"/>
      <c r="J53" s="51"/>
      <c r="K53" s="51"/>
    </row>
    <row r="54" spans="1:11" ht="39.4">
      <c r="A54" s="199"/>
      <c r="B54" s="197"/>
      <c r="C54" s="200" t="s">
        <v>41</v>
      </c>
      <c r="D54" s="200" t="s">
        <v>42</v>
      </c>
      <c r="E54" s="200" t="s">
        <v>43</v>
      </c>
      <c r="F54" s="200" t="s">
        <v>44</v>
      </c>
      <c r="G54" s="200" t="s">
        <v>45</v>
      </c>
      <c r="H54" s="200" t="s">
        <v>46</v>
      </c>
      <c r="I54" s="200" t="s">
        <v>47</v>
      </c>
      <c r="J54" s="200" t="s">
        <v>48</v>
      </c>
      <c r="K54" s="200" t="s">
        <v>49</v>
      </c>
    </row>
    <row r="55" spans="1:11" ht="14.1" customHeight="1">
      <c r="A55" s="180" t="s">
        <v>50</v>
      </c>
      <c r="B55" s="180"/>
      <c r="C55" s="205"/>
      <c r="D55" s="205"/>
      <c r="E55" s="205"/>
      <c r="F55" s="205"/>
      <c r="G55" s="182"/>
      <c r="H55" s="183"/>
      <c r="I55" s="183"/>
      <c r="J55" s="207"/>
      <c r="K55" s="207"/>
    </row>
    <row r="56" spans="1:11" ht="14.1" customHeight="1">
      <c r="A56" s="180" t="s">
        <v>51</v>
      </c>
      <c r="B56" s="180">
        <v>21</v>
      </c>
      <c r="C56" s="205">
        <f>'T12 &amp; T13'!D52</f>
        <v>988243.71</v>
      </c>
      <c r="D56" s="205">
        <f>'T12 &amp; T13'!E52</f>
        <v>660231.13</v>
      </c>
      <c r="E56" s="205">
        <f>'T12 &amp; T13'!F52</f>
        <v>221485.64</v>
      </c>
      <c r="F56" s="205">
        <f>C56-D56-E56</f>
        <v>106526.93999999994</v>
      </c>
      <c r="G56" s="182">
        <f>'T12 &amp; T13'!H52</f>
        <v>1710</v>
      </c>
      <c r="H56" s="183">
        <f>G56/$G$27</f>
        <v>7.6259281557294802E-4</v>
      </c>
      <c r="I56" s="183">
        <f>C56/(D56/0.75)</f>
        <v>1.1226110809104077</v>
      </c>
      <c r="J56" s="207">
        <f>C56/G56</f>
        <v>577.92029824561405</v>
      </c>
      <c r="K56" s="207">
        <f>F56/G56</f>
        <v>62.296456140350841</v>
      </c>
    </row>
    <row r="57" spans="1:11" ht="14.1" customHeight="1">
      <c r="A57" s="180" t="s">
        <v>52</v>
      </c>
      <c r="B57" s="180">
        <v>22</v>
      </c>
      <c r="C57" s="205">
        <f>'T12 &amp; T13'!D53</f>
        <v>2140866.7000000002</v>
      </c>
      <c r="D57" s="205">
        <f>'T12 &amp; T13'!E53</f>
        <v>1172697.55</v>
      </c>
      <c r="E57" s="205">
        <f>'T12 &amp; T13'!F53</f>
        <v>387917.63</v>
      </c>
      <c r="F57" s="205">
        <f>C57-D57-E57</f>
        <v>580251.52000000014</v>
      </c>
      <c r="G57" s="182">
        <f>'T12 &amp; T13'!H53</f>
        <v>3446</v>
      </c>
      <c r="H57" s="183">
        <f>G57/$G$27</f>
        <v>1.5367806096282918E-3</v>
      </c>
      <c r="I57" s="183">
        <f>C57/(D57/0.75)</f>
        <v>1.3691936382062024</v>
      </c>
      <c r="J57" s="207">
        <f>C57/G57</f>
        <v>621.26137550783517</v>
      </c>
      <c r="K57" s="207">
        <f>F57/G57</f>
        <v>168.38407428903079</v>
      </c>
    </row>
    <row r="58" spans="1:11" ht="14.1" customHeight="1">
      <c r="A58" s="180" t="s">
        <v>53</v>
      </c>
      <c r="B58" s="180">
        <v>23</v>
      </c>
      <c r="C58" s="205">
        <f>'T12 &amp; T13'!D54</f>
        <v>5429257.4800000004</v>
      </c>
      <c r="D58" s="205">
        <f>'T12 &amp; T13'!E54</f>
        <v>2353623.12</v>
      </c>
      <c r="E58" s="205">
        <f>'T12 &amp; T13'!F54</f>
        <v>786246.9</v>
      </c>
      <c r="F58" s="205">
        <f>C58-D58-E58</f>
        <v>2289387.4600000004</v>
      </c>
      <c r="G58" s="182">
        <f>'T12 &amp; T13'!H54</f>
        <v>19738</v>
      </c>
      <c r="H58" s="183">
        <f>G58/$G$27</f>
        <v>8.8023725109817822E-3</v>
      </c>
      <c r="I58" s="183">
        <f>C58/(D58/0.75)</f>
        <v>1.7300744012065961</v>
      </c>
      <c r="J58" s="207">
        <f>C58/G58</f>
        <v>275.06624176714968</v>
      </c>
      <c r="K58" s="207">
        <f>F58/G58</f>
        <v>115.9888266288378</v>
      </c>
    </row>
    <row r="59" spans="1:11" ht="14.1" customHeight="1">
      <c r="A59" s="180" t="s">
        <v>54</v>
      </c>
      <c r="B59" s="180">
        <v>24</v>
      </c>
      <c r="C59" s="205">
        <f>'T12 &amp; T13'!D55</f>
        <v>64599091.119999997</v>
      </c>
      <c r="D59" s="205">
        <f>'T12 &amp; T13'!E55</f>
        <v>13743007.82</v>
      </c>
      <c r="E59" s="205">
        <f>'T12 &amp; T13'!F55</f>
        <v>4589492.82</v>
      </c>
      <c r="F59" s="205">
        <f>C59-D59-E59</f>
        <v>46266590.479999997</v>
      </c>
      <c r="G59" s="182">
        <f>'T12 &amp; T13'!H55</f>
        <v>45632</v>
      </c>
      <c r="H59" s="183">
        <f>G59/$G$27</f>
        <v>2.0350079158026179E-2</v>
      </c>
      <c r="I59" s="183">
        <f>C59/(D59/0.75)</f>
        <v>3.5253795220499264</v>
      </c>
      <c r="J59" s="207">
        <f>C59/G59</f>
        <v>1415.6532941795231</v>
      </c>
      <c r="K59" s="207">
        <f>F59/G59</f>
        <v>1013.906698807854</v>
      </c>
    </row>
    <row r="60" spans="1:11" s="46" customFormat="1" ht="14.1" customHeight="1">
      <c r="A60" s="201" t="s">
        <v>55</v>
      </c>
      <c r="B60" s="185">
        <v>25</v>
      </c>
      <c r="C60" s="202">
        <f>SUM(C55:C59)</f>
        <v>73157459.00999999</v>
      </c>
      <c r="D60" s="202">
        <f>SUM(D55:D59)</f>
        <v>17929559.620000001</v>
      </c>
      <c r="E60" s="202">
        <f>SUM(E55:E59)</f>
        <v>5985142.9900000002</v>
      </c>
      <c r="F60" s="202">
        <f>SUM(F55:F59)</f>
        <v>49242756.399999999</v>
      </c>
      <c r="G60" s="206">
        <f>SUM(G55:G59)</f>
        <v>70526</v>
      </c>
      <c r="H60" s="203">
        <f>G60/$G$27</f>
        <v>3.1451825094209199E-2</v>
      </c>
      <c r="I60" s="203">
        <f>C60/(D60/0.75)</f>
        <v>3.0602031182236025</v>
      </c>
      <c r="J60" s="204">
        <f>C60/G60</f>
        <v>1037.3118992995489</v>
      </c>
      <c r="K60" s="204">
        <f>F60/G60</f>
        <v>698.22131412528711</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3B5D3-197E-437F-AD3D-82708C076746}">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125" style="37" customWidth="1"/>
    <col min="2" max="2" width="1.0625" style="37" hidden="1" customWidth="1"/>
    <col min="3" max="6" width="12.0625" style="59" customWidth="1"/>
    <col min="7" max="7" width="12.0625" style="57" customWidth="1"/>
    <col min="8" max="8" width="9.5" style="58" customWidth="1"/>
    <col min="9" max="10" width="10.1875" style="37" customWidth="1"/>
    <col min="11" max="11" width="10.1875" style="60" customWidth="1"/>
    <col min="12" max="16384" width="9.625" style="37"/>
  </cols>
  <sheetData>
    <row r="1" spans="1:11" ht="27" customHeight="1">
      <c r="A1" s="232" t="s">
        <v>38</v>
      </c>
      <c r="B1" s="232"/>
      <c r="C1" s="232"/>
      <c r="D1" s="232"/>
      <c r="E1" s="232"/>
      <c r="F1" s="232"/>
      <c r="G1" s="232"/>
      <c r="H1" s="232"/>
      <c r="I1" s="232"/>
      <c r="J1" s="232"/>
      <c r="K1" s="232"/>
    </row>
    <row r="2" spans="1:11" ht="15" customHeight="1">
      <c r="A2" s="234" t="str">
        <f>TEXT(Selection!G13&amp;" "&amp;Selection!G12,"mmmm yyyy")</f>
        <v xml:space="preserve"> </v>
      </c>
      <c r="B2" s="234"/>
      <c r="C2" s="234"/>
      <c r="D2" s="234"/>
      <c r="E2" s="234"/>
      <c r="F2" s="234"/>
      <c r="G2" s="234"/>
      <c r="H2" s="234"/>
      <c r="I2" s="234"/>
      <c r="J2" s="234"/>
      <c r="K2" s="234"/>
    </row>
    <row r="3" spans="1:11" ht="16.5" customHeight="1">
      <c r="A3" s="174" t="s">
        <v>66</v>
      </c>
      <c r="B3" s="38"/>
      <c r="C3" s="39"/>
      <c r="D3" s="39"/>
      <c r="E3" s="39"/>
      <c r="F3" s="39"/>
      <c r="G3" s="40"/>
      <c r="H3" s="41"/>
      <c r="I3" s="41"/>
      <c r="J3" s="174" t="str">
        <f>Selection!E15&amp;" "&amp;Selection!E14</f>
        <v>Dec 2024</v>
      </c>
      <c r="K3" s="43"/>
    </row>
    <row r="4" spans="1:11" ht="17.100000000000001" customHeight="1">
      <c r="A4" s="179" t="s">
        <v>40</v>
      </c>
      <c r="B4" s="38"/>
      <c r="C4" s="39"/>
      <c r="D4" s="39"/>
      <c r="E4" s="39"/>
      <c r="F4" s="39"/>
      <c r="G4" s="40"/>
      <c r="H4" s="41"/>
      <c r="I4" s="41"/>
      <c r="J4" s="38"/>
      <c r="K4" s="43"/>
    </row>
    <row r="5" spans="1:11" s="45" customFormat="1" ht="39.4">
      <c r="A5" s="199"/>
      <c r="B5" s="197"/>
      <c r="C5" s="200" t="s">
        <v>41</v>
      </c>
      <c r="D5" s="200" t="s">
        <v>42</v>
      </c>
      <c r="E5" s="200" t="s">
        <v>43</v>
      </c>
      <c r="F5" s="200" t="s">
        <v>44</v>
      </c>
      <c r="G5" s="200" t="s">
        <v>45</v>
      </c>
      <c r="H5" s="200" t="s">
        <v>46</v>
      </c>
      <c r="I5" s="200" t="s">
        <v>47</v>
      </c>
      <c r="J5" s="200" t="s">
        <v>48</v>
      </c>
      <c r="K5" s="200" t="s">
        <v>49</v>
      </c>
    </row>
    <row r="6" spans="1:11" ht="14.1" customHeight="1">
      <c r="A6" s="180" t="s">
        <v>50</v>
      </c>
      <c r="B6" s="180">
        <v>0</v>
      </c>
      <c r="C6" s="205">
        <f>'T14 &amp; T15'!D7+'T14 &amp; T15'!D21</f>
        <v>11788280.060000001</v>
      </c>
      <c r="D6" s="205">
        <f>'T14 &amp; T15'!E7+'T14 &amp; T15'!E21</f>
        <v>8825095.6499999985</v>
      </c>
      <c r="E6" s="205">
        <f>'T14 &amp; T15'!F7+'T14 &amp; T15'!F21</f>
        <v>2928251.27</v>
      </c>
      <c r="F6" s="205">
        <f>C6-D6-E6</f>
        <v>34933.140000001993</v>
      </c>
      <c r="G6" s="182">
        <f>'T14 &amp; T15'!H7+'T14 &amp; T15'!H21</f>
        <v>197486</v>
      </c>
      <c r="H6" s="183">
        <f t="shared" ref="H6:H11" si="0">G6/$G$27</f>
        <v>0.25105578028582981</v>
      </c>
      <c r="I6" s="183">
        <f t="shared" ref="I6:I11" si="1">C6/(D6/0.75)</f>
        <v>1.0018259739768376</v>
      </c>
      <c r="J6" s="207">
        <f t="shared" ref="J6:J11" si="2">C6/G6</f>
        <v>59.691725286855778</v>
      </c>
      <c r="K6" s="207">
        <f t="shared" ref="K6:K11" si="3">F6/G6</f>
        <v>0.17688919720892618</v>
      </c>
    </row>
    <row r="7" spans="1:11" ht="14.1" customHeight="1">
      <c r="A7" s="180" t="s">
        <v>51</v>
      </c>
      <c r="B7" s="180">
        <v>1</v>
      </c>
      <c r="C7" s="205">
        <f>'T14 &amp; T15'!D8</f>
        <v>18102230.469999999</v>
      </c>
      <c r="D7" s="205">
        <f>'T14 &amp; T15'!E8</f>
        <v>11410227.9</v>
      </c>
      <c r="E7" s="205">
        <f>'T14 &amp; T15'!F8</f>
        <v>6691887.3799999999</v>
      </c>
      <c r="F7" s="205">
        <f>C7-D7-E7</f>
        <v>115.18999999854714</v>
      </c>
      <c r="G7" s="182">
        <f>'T14 &amp; T15'!H8</f>
        <v>129878</v>
      </c>
      <c r="H7" s="183">
        <f t="shared" si="0"/>
        <v>0.16510852734858675</v>
      </c>
      <c r="I7" s="183">
        <f t="shared" si="1"/>
        <v>1.1898686837359311</v>
      </c>
      <c r="J7" s="207">
        <f t="shared" si="2"/>
        <v>139.37872826806694</v>
      </c>
      <c r="K7" s="207">
        <f t="shared" si="3"/>
        <v>8.8690925328806366E-4</v>
      </c>
    </row>
    <row r="8" spans="1:11" ht="14.1" customHeight="1">
      <c r="A8" s="180" t="s">
        <v>52</v>
      </c>
      <c r="B8" s="180">
        <v>2</v>
      </c>
      <c r="C8" s="205">
        <f>'T14 &amp; T15'!D9</f>
        <v>36384454.689999998</v>
      </c>
      <c r="D8" s="205">
        <f>'T14 &amp; T15'!E9</f>
        <v>19769329.949999999</v>
      </c>
      <c r="E8" s="205">
        <f>'T14 &amp; T15'!F9</f>
        <v>16615096.539999999</v>
      </c>
      <c r="F8" s="205">
        <f>C8-D8-E8</f>
        <v>28.199999999254942</v>
      </c>
      <c r="G8" s="182">
        <f>'T14 &amp; T15'!H9</f>
        <v>213168</v>
      </c>
      <c r="H8" s="183">
        <f t="shared" si="0"/>
        <v>0.2709916580009204</v>
      </c>
      <c r="I8" s="183">
        <f t="shared" si="1"/>
        <v>1.3803371731119294</v>
      </c>
      <c r="J8" s="207">
        <f t="shared" si="2"/>
        <v>170.68441177850332</v>
      </c>
      <c r="K8" s="207">
        <f t="shared" si="3"/>
        <v>1.3229002476570096E-4</v>
      </c>
    </row>
    <row r="9" spans="1:11" ht="14.1" customHeight="1">
      <c r="A9" s="180" t="s">
        <v>53</v>
      </c>
      <c r="B9" s="180">
        <v>3</v>
      </c>
      <c r="C9" s="205">
        <f>'T14 &amp; T15'!D10</f>
        <v>30974761.27</v>
      </c>
      <c r="D9" s="205">
        <f>'T14 &amp; T15'!E10</f>
        <v>14428075.25</v>
      </c>
      <c r="E9" s="205">
        <f>'T14 &amp; T15'!F10</f>
        <v>16546678.58</v>
      </c>
      <c r="F9" s="205">
        <f>C9-D9-E9</f>
        <v>7.4399999994784594</v>
      </c>
      <c r="G9" s="182">
        <f>'T14 &amp; T15'!H10</f>
        <v>141271</v>
      </c>
      <c r="H9" s="183">
        <f t="shared" si="0"/>
        <v>0.17959197683258288</v>
      </c>
      <c r="I9" s="183">
        <f t="shared" si="1"/>
        <v>1.6101295945555869</v>
      </c>
      <c r="J9" s="207">
        <f t="shared" si="2"/>
        <v>219.25774766229446</v>
      </c>
      <c r="K9" s="207">
        <f t="shared" si="3"/>
        <v>5.2664736566446469E-5</v>
      </c>
    </row>
    <row r="10" spans="1:11" ht="14.1" customHeight="1">
      <c r="A10" s="180" t="s">
        <v>54</v>
      </c>
      <c r="B10" s="180">
        <v>4</v>
      </c>
      <c r="C10" s="205">
        <f>'T14 &amp; T15'!D11</f>
        <v>912039.2</v>
      </c>
      <c r="D10" s="205">
        <f>'T14 &amp; T15'!E11</f>
        <v>262231.5</v>
      </c>
      <c r="E10" s="205">
        <f>'T14 &amp; T15'!F11</f>
        <v>649807.69999999995</v>
      </c>
      <c r="F10" s="205">
        <f>C10-D10-E10</f>
        <v>0</v>
      </c>
      <c r="G10" s="182">
        <f>'T14 &amp; T15'!H11</f>
        <v>730</v>
      </c>
      <c r="H10" s="183">
        <f t="shared" si="0"/>
        <v>9.2801879428747224E-4</v>
      </c>
      <c r="I10" s="183">
        <f t="shared" si="1"/>
        <v>2.6084944028463397</v>
      </c>
      <c r="J10" s="207">
        <f t="shared" si="2"/>
        <v>1249.3687671232876</v>
      </c>
      <c r="K10" s="207">
        <f t="shared" si="3"/>
        <v>0</v>
      </c>
    </row>
    <row r="11" spans="1:11" s="46" customFormat="1" ht="14.1" customHeight="1">
      <c r="A11" s="201" t="s">
        <v>55</v>
      </c>
      <c r="B11" s="185"/>
      <c r="C11" s="202">
        <f>SUM(C6:C10)</f>
        <v>98161765.689999998</v>
      </c>
      <c r="D11" s="202">
        <f>SUM(D6:D10)</f>
        <v>54694960.25</v>
      </c>
      <c r="E11" s="202">
        <f>SUM(E6:E10)</f>
        <v>43431721.469999999</v>
      </c>
      <c r="F11" s="202">
        <f>SUM(F6:F10)</f>
        <v>35083.969999999274</v>
      </c>
      <c r="G11" s="206">
        <f>SUM(G6:G10)</f>
        <v>682533</v>
      </c>
      <c r="H11" s="203">
        <f t="shared" si="0"/>
        <v>0.86767596126220725</v>
      </c>
      <c r="I11" s="203">
        <f t="shared" si="1"/>
        <v>1.3460348801972115</v>
      </c>
      <c r="J11" s="204">
        <f t="shared" si="2"/>
        <v>143.81980899092059</v>
      </c>
      <c r="K11" s="204">
        <f t="shared" si="3"/>
        <v>5.1402598848699292E-2</v>
      </c>
    </row>
    <row r="12" spans="1:11" ht="17.100000000000001" customHeight="1">
      <c r="A12" s="179" t="s">
        <v>56</v>
      </c>
      <c r="B12" s="47"/>
      <c r="C12" s="47"/>
      <c r="D12" s="47"/>
      <c r="E12" s="47"/>
      <c r="F12" s="47"/>
      <c r="G12" s="48"/>
      <c r="H12" s="49"/>
      <c r="I12" s="47"/>
      <c r="J12" s="47"/>
      <c r="K12" s="47"/>
    </row>
    <row r="13" spans="1:11" ht="39.4">
      <c r="A13" s="199"/>
      <c r="B13" s="197"/>
      <c r="C13" s="200" t="s">
        <v>41</v>
      </c>
      <c r="D13" s="200" t="s">
        <v>42</v>
      </c>
      <c r="E13" s="200" t="s">
        <v>43</v>
      </c>
      <c r="F13" s="200" t="s">
        <v>44</v>
      </c>
      <c r="G13" s="200" t="s">
        <v>45</v>
      </c>
      <c r="H13" s="200" t="s">
        <v>46</v>
      </c>
      <c r="I13" s="200" t="s">
        <v>47</v>
      </c>
      <c r="J13" s="200" t="s">
        <v>48</v>
      </c>
      <c r="K13" s="200" t="s">
        <v>49</v>
      </c>
    </row>
    <row r="14" spans="1:11" ht="14.1" customHeight="1">
      <c r="A14" s="180" t="s">
        <v>50</v>
      </c>
      <c r="B14" s="180"/>
      <c r="C14" s="205"/>
      <c r="D14" s="205"/>
      <c r="E14" s="205"/>
      <c r="F14" s="205"/>
      <c r="G14" s="182"/>
      <c r="H14" s="183"/>
      <c r="I14" s="183"/>
      <c r="J14" s="207"/>
      <c r="K14" s="207"/>
    </row>
    <row r="15" spans="1:11" ht="14.1" customHeight="1">
      <c r="A15" s="180" t="s">
        <v>51</v>
      </c>
      <c r="B15" s="180">
        <v>5</v>
      </c>
      <c r="C15" s="205">
        <f>'T14 &amp; T15'!D14+'T14 &amp; T15'!D22</f>
        <v>1115750.8500000001</v>
      </c>
      <c r="D15" s="205">
        <f>'T14 &amp; T15'!E14+'T14 &amp; T15'!E22</f>
        <v>703917.82000000007</v>
      </c>
      <c r="E15" s="205">
        <f>'T14 &amp; T15'!F14+'T14 &amp; T15'!F22</f>
        <v>285451.36</v>
      </c>
      <c r="F15" s="205">
        <f>C15-D15-E15</f>
        <v>126381.67000000004</v>
      </c>
      <c r="G15" s="182">
        <f>'T14 &amp; T15'!H14+'T14 &amp; T15'!H22</f>
        <v>3226</v>
      </c>
      <c r="H15" s="183">
        <f>G15/$G$27</f>
        <v>4.1010803155772406E-3</v>
      </c>
      <c r="I15" s="183">
        <f>C15/(D15/0.75)</f>
        <v>1.1887937962701385</v>
      </c>
      <c r="J15" s="207">
        <f>C15/G15</f>
        <v>345.86201177929325</v>
      </c>
      <c r="K15" s="207">
        <f>F15/G15</f>
        <v>39.175967141971498</v>
      </c>
    </row>
    <row r="16" spans="1:11" ht="14.1" customHeight="1">
      <c r="A16" s="180" t="s">
        <v>52</v>
      </c>
      <c r="B16" s="180">
        <v>6</v>
      </c>
      <c r="C16" s="205">
        <f>'T14 &amp; T15'!D15+'T14 &amp; T15'!D23</f>
        <v>2526502.3099999996</v>
      </c>
      <c r="D16" s="205">
        <f>'T14 &amp; T15'!E15+'T14 &amp; T15'!E23</f>
        <v>1352740.4</v>
      </c>
      <c r="E16" s="205">
        <f>'T14 &amp; T15'!F15+'T14 &amp; T15'!F23</f>
        <v>945053.96000000008</v>
      </c>
      <c r="F16" s="205">
        <f>C16-D16-E16</f>
        <v>228707.9499999996</v>
      </c>
      <c r="G16" s="182">
        <f>'T14 &amp; T15'!H15+'T14 &amp; T15'!H23</f>
        <v>7424</v>
      </c>
      <c r="H16" s="183">
        <f>G16/$G$27</f>
        <v>9.4378240120413619E-3</v>
      </c>
      <c r="I16" s="183">
        <f>C16/(D16/0.75)</f>
        <v>1.4007689372624637</v>
      </c>
      <c r="J16" s="207">
        <f>C16/G16</f>
        <v>340.31550511853442</v>
      </c>
      <c r="K16" s="207">
        <f>F16/G16</f>
        <v>30.806566540948221</v>
      </c>
    </row>
    <row r="17" spans="1:11" ht="14.1" customHeight="1">
      <c r="A17" s="180" t="s">
        <v>53</v>
      </c>
      <c r="B17" s="180">
        <v>7</v>
      </c>
      <c r="C17" s="205">
        <f>'T14 &amp; T15'!D16+'T14 &amp; T15'!D24</f>
        <v>17063884.609999999</v>
      </c>
      <c r="D17" s="205">
        <f>'T14 &amp; T15'!E16+'T14 &amp; T15'!E24</f>
        <v>7220334.8499999996</v>
      </c>
      <c r="E17" s="205">
        <f>'T14 &amp; T15'!F16+'T14 &amp; T15'!F24</f>
        <v>6887898.1999999993</v>
      </c>
      <c r="F17" s="205">
        <f>C17-D17-E17</f>
        <v>2955651.5600000005</v>
      </c>
      <c r="G17" s="182">
        <f>'T14 &amp; T15'!H16+'T14 &amp; T15'!H24</f>
        <v>23482</v>
      </c>
      <c r="H17" s="183">
        <f>G17/$G$27</f>
        <v>2.9851694969121129E-2</v>
      </c>
      <c r="I17" s="183">
        <f>C17/(D17/0.75)</f>
        <v>1.7724819864136911</v>
      </c>
      <c r="J17" s="207">
        <f>C17/G17</f>
        <v>726.67935482497228</v>
      </c>
      <c r="K17" s="207">
        <f>F17/G17</f>
        <v>125.86881696618688</v>
      </c>
    </row>
    <row r="18" spans="1:11" ht="14.1" customHeight="1">
      <c r="A18" s="180" t="s">
        <v>54</v>
      </c>
      <c r="B18" s="180">
        <v>8</v>
      </c>
      <c r="C18" s="205">
        <f>'T14 &amp; T15'!D17+'T14 &amp; T15'!D25</f>
        <v>28660058.039999999</v>
      </c>
      <c r="D18" s="205">
        <f>'T14 &amp; T15'!E17+'T14 &amp; T15'!E25</f>
        <v>7252102.0099999998</v>
      </c>
      <c r="E18" s="205">
        <f>'T14 &amp; T15'!F17+'T14 &amp; T15'!F25</f>
        <v>6614637.5300000003</v>
      </c>
      <c r="F18" s="205">
        <f>C18-D18-E18</f>
        <v>14793318.5</v>
      </c>
      <c r="G18" s="182">
        <f>'T14 &amp; T15'!H17+'T14 &amp; T15'!H25</f>
        <v>69957</v>
      </c>
      <c r="H18" s="183">
        <f>G18/$G$27</f>
        <v>8.8933439441053003E-2</v>
      </c>
      <c r="I18" s="183">
        <f>C18/(D18/0.75)</f>
        <v>2.9639742381395435</v>
      </c>
      <c r="J18" s="207">
        <f>C18/G18</f>
        <v>409.68106179510272</v>
      </c>
      <c r="K18" s="207">
        <f>F18/G18</f>
        <v>211.46302014094371</v>
      </c>
    </row>
    <row r="19" spans="1:11" s="46" customFormat="1" ht="14.1" customHeight="1">
      <c r="A19" s="201" t="s">
        <v>55</v>
      </c>
      <c r="B19" s="185"/>
      <c r="C19" s="202">
        <f>SUM(C13:C18)</f>
        <v>49366195.810000002</v>
      </c>
      <c r="D19" s="202">
        <f>SUM(D13:D18)</f>
        <v>16529095.08</v>
      </c>
      <c r="E19" s="202">
        <f>SUM(E13:E18)</f>
        <v>14733041.050000001</v>
      </c>
      <c r="F19" s="202">
        <f>SUM(F13:F18)</f>
        <v>18104059.68</v>
      </c>
      <c r="G19" s="206">
        <f>SUM(G13:G18)</f>
        <v>104089</v>
      </c>
      <c r="H19" s="203">
        <f>G19/$G$27</f>
        <v>0.13232403873779275</v>
      </c>
      <c r="I19" s="203">
        <f>C19/(D19/0.75)</f>
        <v>2.2399681699634821</v>
      </c>
      <c r="J19" s="204">
        <f>C19/G19</f>
        <v>474.26909481309269</v>
      </c>
      <c r="K19" s="204">
        <f>F19/G19</f>
        <v>173.92865413252122</v>
      </c>
    </row>
    <row r="20" spans="1:11" ht="17.100000000000001" customHeight="1">
      <c r="A20" s="179" t="s">
        <v>57</v>
      </c>
      <c r="B20" s="47"/>
      <c r="C20" s="50"/>
      <c r="D20" s="50"/>
      <c r="E20" s="50"/>
      <c r="F20" s="50"/>
      <c r="G20" s="48"/>
      <c r="H20" s="49"/>
      <c r="I20" s="49"/>
      <c r="J20" s="51"/>
      <c r="K20" s="51"/>
    </row>
    <row r="21" spans="1:11" ht="39.4">
      <c r="A21" s="199"/>
      <c r="B21" s="197"/>
      <c r="C21" s="200" t="s">
        <v>41</v>
      </c>
      <c r="D21" s="200" t="s">
        <v>42</v>
      </c>
      <c r="E21" s="200" t="s">
        <v>43</v>
      </c>
      <c r="F21" s="200" t="s">
        <v>44</v>
      </c>
      <c r="G21" s="200" t="s">
        <v>45</v>
      </c>
      <c r="H21" s="200" t="s">
        <v>46</v>
      </c>
      <c r="I21" s="200" t="s">
        <v>47</v>
      </c>
      <c r="J21" s="200" t="s">
        <v>48</v>
      </c>
      <c r="K21" s="200" t="s">
        <v>49</v>
      </c>
    </row>
    <row r="22" spans="1:11" ht="14.1" customHeight="1">
      <c r="A22" s="180" t="s">
        <v>50</v>
      </c>
      <c r="B22" s="180">
        <v>10</v>
      </c>
      <c r="C22" s="205">
        <f>'T14 &amp; T15'!D7+'T14 &amp; T15'!D21</f>
        <v>11788280.060000001</v>
      </c>
      <c r="D22" s="205">
        <f>'T14 &amp; T15'!E7+'T14 &amp; T15'!E21</f>
        <v>8825095.6499999985</v>
      </c>
      <c r="E22" s="205">
        <f>'T14 &amp; T15'!F7+'T14 &amp; T15'!F21</f>
        <v>2928251.27</v>
      </c>
      <c r="F22" s="205">
        <f>C22-D22-E22</f>
        <v>34933.140000001993</v>
      </c>
      <c r="G22" s="182">
        <f>'T14 &amp; T15'!H7+'T14 &amp; T15'!H21</f>
        <v>197486</v>
      </c>
      <c r="H22" s="183">
        <f t="shared" ref="H22:H27" si="4">G22/$G$27</f>
        <v>0.25105578028582981</v>
      </c>
      <c r="I22" s="183">
        <f t="shared" ref="I22:I27" si="5">C22/(D22/0.75)</f>
        <v>1.0018259739768376</v>
      </c>
      <c r="J22" s="207">
        <f t="shared" ref="J22:J27" si="6">C22/G22</f>
        <v>59.691725286855778</v>
      </c>
      <c r="K22" s="207">
        <f t="shared" ref="K22:K27" si="7">F22/G22</f>
        <v>0.17688919720892618</v>
      </c>
    </row>
    <row r="23" spans="1:11" ht="14.1" customHeight="1">
      <c r="A23" s="180" t="s">
        <v>51</v>
      </c>
      <c r="B23" s="180">
        <v>11</v>
      </c>
      <c r="C23" s="205">
        <f>'T14 &amp; T15'!D8+'T14 &amp; T15'!D14+'T14 &amp; T15'!D22</f>
        <v>19217981.32</v>
      </c>
      <c r="D23" s="205">
        <f>'T14 &amp; T15'!E8+'T14 &amp; T15'!E14+'T14 &amp; T15'!E22</f>
        <v>12114145.720000001</v>
      </c>
      <c r="E23" s="205">
        <f>'T14 &amp; T15'!F8+'T14 &amp; T15'!F14+'T14 &amp; T15'!F22</f>
        <v>6977338.7400000002</v>
      </c>
      <c r="F23" s="205">
        <f>C23-D23-E23</f>
        <v>126496.8599999994</v>
      </c>
      <c r="G23" s="182">
        <f>'T14 &amp; T15'!H8+'T14 &amp; T15'!H14+'T14 &amp; T15'!H22</f>
        <v>133104</v>
      </c>
      <c r="H23" s="183">
        <f t="shared" si="4"/>
        <v>0.16920960766416399</v>
      </c>
      <c r="I23" s="183">
        <f t="shared" si="5"/>
        <v>1.1898062251475046</v>
      </c>
      <c r="J23" s="207">
        <f t="shared" si="6"/>
        <v>144.38319900228393</v>
      </c>
      <c r="K23" s="207">
        <f t="shared" si="7"/>
        <v>0.95036107104218814</v>
      </c>
    </row>
    <row r="24" spans="1:11" ht="14.1" customHeight="1">
      <c r="A24" s="180" t="s">
        <v>52</v>
      </c>
      <c r="B24" s="180">
        <v>12</v>
      </c>
      <c r="C24" s="205">
        <f>'T14 &amp; T15'!D9+'T14 &amp; T15'!D15+'T14 &amp; T15'!D23</f>
        <v>38910957</v>
      </c>
      <c r="D24" s="205">
        <f>'T14 &amp; T15'!E9+'T14 &amp; T15'!E15+'T14 &amp; T15'!E23</f>
        <v>21122070.349999998</v>
      </c>
      <c r="E24" s="205">
        <f>'T14 &amp; T15'!F9+'T14 &amp; T15'!F15+'T14 &amp; T15'!F23</f>
        <v>17560150.5</v>
      </c>
      <c r="F24" s="205">
        <f>C24-D24-E24</f>
        <v>228736.15000000224</v>
      </c>
      <c r="G24" s="182">
        <f>'T14 &amp; T15'!H9+'T14 &amp; T15'!H15+'T14 &amp; T15'!H23</f>
        <v>220592</v>
      </c>
      <c r="H24" s="183">
        <f t="shared" si="4"/>
        <v>0.28042948201296175</v>
      </c>
      <c r="I24" s="183">
        <f t="shared" si="5"/>
        <v>1.3816457035898473</v>
      </c>
      <c r="J24" s="207">
        <f t="shared" si="6"/>
        <v>176.3933279538696</v>
      </c>
      <c r="K24" s="207">
        <f t="shared" si="7"/>
        <v>1.036919516573594</v>
      </c>
    </row>
    <row r="25" spans="1:11" ht="14.1" customHeight="1">
      <c r="A25" s="180" t="s">
        <v>53</v>
      </c>
      <c r="B25" s="180">
        <v>13</v>
      </c>
      <c r="C25" s="205">
        <f>'T14 &amp; T15'!D10+'T14 &amp; T15'!D16+'T14 &amp; T15'!D24</f>
        <v>48038645.879999995</v>
      </c>
      <c r="D25" s="205">
        <f>'T14 &amp; T15'!E10+'T14 &amp; T15'!E16+'T14 &amp; T15'!E24</f>
        <v>21648410.100000001</v>
      </c>
      <c r="E25" s="205">
        <f>'T14 &amp; T15'!F10+'T14 &amp; T15'!F16+'T14 &amp; T15'!F24</f>
        <v>23434576.779999997</v>
      </c>
      <c r="F25" s="205">
        <f>C25-D25-E25</f>
        <v>2955658.9999999963</v>
      </c>
      <c r="G25" s="182">
        <f>'T14 &amp; T15'!H10+'T14 &amp; T15'!H16+'T14 &amp; T15'!H24</f>
        <v>164753</v>
      </c>
      <c r="H25" s="183">
        <f t="shared" si="4"/>
        <v>0.20944367180170401</v>
      </c>
      <c r="I25" s="183">
        <f t="shared" si="5"/>
        <v>1.6642785425614233</v>
      </c>
      <c r="J25" s="207">
        <f t="shared" si="6"/>
        <v>291.57979448022189</v>
      </c>
      <c r="K25" s="207">
        <f t="shared" si="7"/>
        <v>17.939940395622514</v>
      </c>
    </row>
    <row r="26" spans="1:11" ht="14.1" customHeight="1">
      <c r="A26" s="180" t="s">
        <v>54</v>
      </c>
      <c r="B26" s="180">
        <v>14</v>
      </c>
      <c r="C26" s="205">
        <f>'T14 &amp; T15'!D11+'T14 &amp; T15'!D17+'T14 &amp; T15'!D25</f>
        <v>29572097.240000002</v>
      </c>
      <c r="D26" s="205">
        <f>'T14 &amp; T15'!E11+'T14 &amp; T15'!E17+'T14 &amp; T15'!E25</f>
        <v>7514333.5099999998</v>
      </c>
      <c r="E26" s="205">
        <f>'T14 &amp; T15'!F11+'T14 &amp; T15'!F17+'T14 &amp; T15'!F25</f>
        <v>7264445.2300000004</v>
      </c>
      <c r="F26" s="205">
        <f>C26-D26-E26</f>
        <v>14793318.500000004</v>
      </c>
      <c r="G26" s="182">
        <f>'T14 &amp; T15'!H11+'T14 &amp; T15'!H17+'T14 &amp; T15'!H25</f>
        <v>70687</v>
      </c>
      <c r="H26" s="183">
        <f t="shared" si="4"/>
        <v>8.9861458235340474E-2</v>
      </c>
      <c r="I26" s="183">
        <f t="shared" si="5"/>
        <v>2.9515688783954444</v>
      </c>
      <c r="J26" s="207">
        <f t="shared" si="6"/>
        <v>418.35269908186797</v>
      </c>
      <c r="K26" s="207">
        <f t="shared" si="7"/>
        <v>209.27919560881074</v>
      </c>
    </row>
    <row r="27" spans="1:11" s="46" customFormat="1" ht="14.1" customHeight="1">
      <c r="A27" s="201" t="s">
        <v>55</v>
      </c>
      <c r="B27" s="185"/>
      <c r="C27" s="202">
        <f>SUM(C22:C26)</f>
        <v>147527961.5</v>
      </c>
      <c r="D27" s="202">
        <f>SUM(D22:D26)</f>
        <v>71224055.329999998</v>
      </c>
      <c r="E27" s="202">
        <f>SUM(E22:E26)</f>
        <v>58164762.519999996</v>
      </c>
      <c r="F27" s="202">
        <f>SUM(F22:F26)</f>
        <v>18139143.650000002</v>
      </c>
      <c r="G27" s="206">
        <f>SUM(G22:G26)</f>
        <v>786622</v>
      </c>
      <c r="H27" s="203">
        <f t="shared" si="4"/>
        <v>1</v>
      </c>
      <c r="I27" s="203">
        <f t="shared" si="5"/>
        <v>1.5534915923047035</v>
      </c>
      <c r="J27" s="204">
        <f t="shared" si="6"/>
        <v>187.54619308892961</v>
      </c>
      <c r="K27" s="204">
        <f t="shared" si="7"/>
        <v>23.059542766411315</v>
      </c>
    </row>
    <row r="28" spans="1:11" s="46" customFormat="1" ht="15" customHeight="1" thickBot="1">
      <c r="A28" s="52"/>
      <c r="B28" s="52"/>
      <c r="C28" s="53"/>
      <c r="D28" s="53"/>
      <c r="E28" s="53"/>
      <c r="F28" s="53"/>
      <c r="G28" s="54"/>
      <c r="H28" s="55"/>
      <c r="I28" s="55"/>
      <c r="J28" s="56"/>
      <c r="K28" s="56"/>
    </row>
    <row r="29" spans="1:11" ht="17.100000000000001" customHeight="1">
      <c r="A29" s="179" t="s">
        <v>58</v>
      </c>
      <c r="B29" s="47"/>
      <c r="C29" s="50"/>
      <c r="D29" s="50"/>
      <c r="E29" s="50"/>
      <c r="F29" s="50"/>
      <c r="G29" s="48"/>
      <c r="H29" s="49"/>
      <c r="I29" s="49"/>
      <c r="J29" s="51"/>
      <c r="K29" s="51"/>
    </row>
    <row r="30" spans="1:11" ht="39.4">
      <c r="A30" s="199"/>
      <c r="B30" s="197"/>
      <c r="C30" s="200" t="s">
        <v>41</v>
      </c>
      <c r="D30" s="200" t="s">
        <v>42</v>
      </c>
      <c r="E30" s="200" t="s">
        <v>43</v>
      </c>
      <c r="F30" s="200" t="s">
        <v>44</v>
      </c>
      <c r="G30" s="200" t="s">
        <v>45</v>
      </c>
      <c r="H30" s="200" t="s">
        <v>46</v>
      </c>
      <c r="I30" s="200" t="s">
        <v>47</v>
      </c>
      <c r="J30" s="200" t="s">
        <v>48</v>
      </c>
      <c r="K30" s="200" t="s">
        <v>49</v>
      </c>
    </row>
    <row r="31" spans="1:11" ht="14.1" customHeight="1">
      <c r="A31" s="180" t="s">
        <v>50</v>
      </c>
      <c r="B31" s="180"/>
      <c r="C31" s="205"/>
      <c r="D31" s="205"/>
      <c r="E31" s="205"/>
      <c r="F31" s="205"/>
      <c r="G31" s="182"/>
      <c r="H31" s="183"/>
      <c r="I31" s="183"/>
      <c r="J31" s="207"/>
      <c r="K31" s="207"/>
    </row>
    <row r="32" spans="1:11" ht="14.1" customHeight="1">
      <c r="A32" s="180" t="s">
        <v>51</v>
      </c>
      <c r="B32" s="180">
        <v>15</v>
      </c>
      <c r="C32" s="205">
        <f>'T14 &amp; T15'!D14</f>
        <v>568823.5</v>
      </c>
      <c r="D32" s="205">
        <f>'T14 &amp; T15'!E14</f>
        <v>339880.39</v>
      </c>
      <c r="E32" s="205">
        <f>'T14 &amp; T15'!F14</f>
        <v>163457.73000000001</v>
      </c>
      <c r="F32" s="205">
        <f>C32-D32-E32</f>
        <v>65485.379999999976</v>
      </c>
      <c r="G32" s="182">
        <f>'T14 &amp; T15'!H14</f>
        <v>2717</v>
      </c>
      <c r="H32" s="183">
        <f>G32/$G$27</f>
        <v>3.454009676820633E-3</v>
      </c>
      <c r="I32" s="183">
        <f>C32/(D32/0.75)</f>
        <v>1.2551992923157467</v>
      </c>
      <c r="J32" s="207">
        <f>C32/G32</f>
        <v>209.3571954361428</v>
      </c>
      <c r="K32" s="207">
        <f>F32/G32</f>
        <v>24.102090541037899</v>
      </c>
    </row>
    <row r="33" spans="1:11" ht="14.1" customHeight="1">
      <c r="A33" s="180" t="s">
        <v>52</v>
      </c>
      <c r="B33" s="180">
        <v>16</v>
      </c>
      <c r="C33" s="205">
        <f>'T14 &amp; T15'!D15</f>
        <v>2218429.5299999998</v>
      </c>
      <c r="D33" s="205">
        <f>'T14 &amp; T15'!E15</f>
        <v>1187259.02</v>
      </c>
      <c r="E33" s="205">
        <f>'T14 &amp; T15'!F15</f>
        <v>890349.05</v>
      </c>
      <c r="F33" s="205">
        <f>C33-D33-E33</f>
        <v>140821.45999999973</v>
      </c>
      <c r="G33" s="182">
        <f>'T14 &amp; T15'!H15</f>
        <v>7003</v>
      </c>
      <c r="H33" s="183">
        <f>G33/$G$27</f>
        <v>8.9026241320481758E-3</v>
      </c>
      <c r="I33" s="183">
        <f>C33/(D33/0.75)</f>
        <v>1.4013977737562271</v>
      </c>
      <c r="J33" s="207">
        <f>C33/G33</f>
        <v>316.78274025417676</v>
      </c>
      <c r="K33" s="207">
        <f>F33/G33</f>
        <v>20.108733399971403</v>
      </c>
    </row>
    <row r="34" spans="1:11" ht="14.1" customHeight="1">
      <c r="A34" s="180" t="s">
        <v>53</v>
      </c>
      <c r="B34" s="180">
        <v>17</v>
      </c>
      <c r="C34" s="205">
        <f>'T14 &amp; T15'!D16</f>
        <v>16267086.640000001</v>
      </c>
      <c r="D34" s="205">
        <f>'T14 &amp; T15'!E16</f>
        <v>6883013.3499999996</v>
      </c>
      <c r="E34" s="205">
        <f>'T14 &amp; T15'!F16</f>
        <v>6776675.1399999997</v>
      </c>
      <c r="F34" s="205">
        <f>C34-D34-E34</f>
        <v>2607398.1500000013</v>
      </c>
      <c r="G34" s="182">
        <f>'T14 &amp; T15'!H16</f>
        <v>22083</v>
      </c>
      <c r="H34" s="183">
        <f>G34/$G$27</f>
        <v>2.807320415650719E-2</v>
      </c>
      <c r="I34" s="183">
        <f>C34/(D34/0.75)</f>
        <v>1.7725252530564977</v>
      </c>
      <c r="J34" s="207">
        <f>C34/G34</f>
        <v>736.63391024770192</v>
      </c>
      <c r="K34" s="207">
        <f>F34/G34</f>
        <v>118.07264185119782</v>
      </c>
    </row>
    <row r="35" spans="1:11" ht="14.1" customHeight="1">
      <c r="A35" s="180" t="s">
        <v>54</v>
      </c>
      <c r="B35" s="180">
        <v>18</v>
      </c>
      <c r="C35" s="205">
        <f>'T14 &amp; T15'!D17</f>
        <v>19777468.800000001</v>
      </c>
      <c r="D35" s="205">
        <f>'T14 &amp; T15'!E17</f>
        <v>5383134.0199999996</v>
      </c>
      <c r="E35" s="205">
        <f>'T14 &amp; T15'!F17</f>
        <v>5991459.1600000001</v>
      </c>
      <c r="F35" s="205">
        <f>C35-D35-E35</f>
        <v>8402875.620000001</v>
      </c>
      <c r="G35" s="182">
        <f>'T14 &amp; T15'!H17</f>
        <v>66033</v>
      </c>
      <c r="H35" s="183">
        <f>G35/$G$27</f>
        <v>8.3945020607102266E-2</v>
      </c>
      <c r="I35" s="183">
        <f>C35/(D35/0.75)</f>
        <v>2.7554769294040353</v>
      </c>
      <c r="J35" s="207">
        <f>C35/G35</f>
        <v>299.5088637499432</v>
      </c>
      <c r="K35" s="207">
        <f>F35/G35</f>
        <v>127.25267093725866</v>
      </c>
    </row>
    <row r="36" spans="1:11" s="46" customFormat="1" ht="14.1" customHeight="1">
      <c r="A36" s="201" t="s">
        <v>55</v>
      </c>
      <c r="B36" s="185"/>
      <c r="C36" s="202">
        <f>SUM(C31:C35)</f>
        <v>38831808.469999999</v>
      </c>
      <c r="D36" s="202">
        <f>SUM(D31:D35)</f>
        <v>13793286.779999999</v>
      </c>
      <c r="E36" s="202">
        <f>SUM(E31:E35)</f>
        <v>13821941.08</v>
      </c>
      <c r="F36" s="202">
        <f>SUM(F31:F35)</f>
        <v>11216580.610000003</v>
      </c>
      <c r="G36" s="206">
        <f>SUM(G31:G35)</f>
        <v>97836</v>
      </c>
      <c r="H36" s="203">
        <f>G36/$G$27</f>
        <v>0.12437485857247826</v>
      </c>
      <c r="I36" s="203">
        <f>C36/(D36/0.75)</f>
        <v>2.1114515210927847</v>
      </c>
      <c r="J36" s="204">
        <f>C36/G36</f>
        <v>396.90715554601576</v>
      </c>
      <c r="K36" s="204">
        <f>F36/G36</f>
        <v>114.64676203033652</v>
      </c>
    </row>
    <row r="37" spans="1:11" ht="17.100000000000001" customHeight="1">
      <c r="A37" s="179" t="s">
        <v>59</v>
      </c>
      <c r="B37" s="47"/>
      <c r="C37" s="50"/>
      <c r="D37" s="50"/>
      <c r="E37" s="50"/>
      <c r="F37" s="50"/>
      <c r="G37" s="48"/>
      <c r="H37" s="49"/>
      <c r="I37" s="49"/>
      <c r="J37" s="51"/>
      <c r="K37" s="51"/>
    </row>
    <row r="38" spans="1:11" ht="39.4">
      <c r="A38" s="199"/>
      <c r="B38" s="197"/>
      <c r="C38" s="200" t="s">
        <v>41</v>
      </c>
      <c r="D38" s="200" t="s">
        <v>42</v>
      </c>
      <c r="E38" s="200" t="s">
        <v>43</v>
      </c>
      <c r="F38" s="200" t="s">
        <v>44</v>
      </c>
      <c r="G38" s="200" t="s">
        <v>45</v>
      </c>
      <c r="H38" s="200" t="s">
        <v>46</v>
      </c>
      <c r="I38" s="200" t="s">
        <v>47</v>
      </c>
      <c r="J38" s="200" t="s">
        <v>48</v>
      </c>
      <c r="K38" s="200" t="s">
        <v>49</v>
      </c>
    </row>
    <row r="39" spans="1:11" ht="14.1" customHeight="1">
      <c r="A39" s="180" t="s">
        <v>50</v>
      </c>
      <c r="B39" s="180">
        <v>10</v>
      </c>
      <c r="C39" s="205">
        <f>'T14 &amp; T15'!D7+'T14 &amp; T15'!D21</f>
        <v>11788280.060000001</v>
      </c>
      <c r="D39" s="205">
        <f>'T14 &amp; T15'!E7+'T14 &amp; T15'!E21</f>
        <v>8825095.6499999985</v>
      </c>
      <c r="E39" s="205">
        <f>'T14 &amp; T15'!F7+'T14 &amp; T15'!F21</f>
        <v>2928251.27</v>
      </c>
      <c r="F39" s="205">
        <f>C39-D39-E39</f>
        <v>34933.140000001993</v>
      </c>
      <c r="G39" s="182">
        <f>'T14 &amp; T15'!H7+'T14 &amp; T15'!H21</f>
        <v>197486</v>
      </c>
      <c r="H39" s="183">
        <f t="shared" ref="H39:H44" si="8">G39/$G$27</f>
        <v>0.25105578028582981</v>
      </c>
      <c r="I39" s="183">
        <f t="shared" ref="I39:I44" si="9">C39/(D39/0.75)</f>
        <v>1.0018259739768376</v>
      </c>
      <c r="J39" s="207">
        <f t="shared" ref="J39:J44" si="10">C39/G39</f>
        <v>59.691725286855778</v>
      </c>
      <c r="K39" s="207">
        <f t="shared" ref="K39:K44" si="11">F39/G39</f>
        <v>0.17688919720892618</v>
      </c>
    </row>
    <row r="40" spans="1:11" ht="14.1" customHeight="1">
      <c r="A40" s="180" t="s">
        <v>51</v>
      </c>
      <c r="B40" s="180">
        <v>11</v>
      </c>
      <c r="C40" s="205">
        <f>'T14 &amp; T15'!D8+'T14 &amp; T15'!D14</f>
        <v>18671053.969999999</v>
      </c>
      <c r="D40" s="205">
        <f>'T14 &amp; T15'!E8+'T14 &amp; T15'!E14</f>
        <v>11750108.290000001</v>
      </c>
      <c r="E40" s="205">
        <f>'T14 &amp; T15'!F8+'T14 &amp; T15'!F14</f>
        <v>6855345.1100000003</v>
      </c>
      <c r="F40" s="205">
        <f>C40-D40-E40</f>
        <v>65600.569999997504</v>
      </c>
      <c r="G40" s="182">
        <f>'T14 &amp; T15'!H8+'T14 &amp; T15'!H14</f>
        <v>132595</v>
      </c>
      <c r="H40" s="183">
        <f t="shared" si="8"/>
        <v>0.16856253702540738</v>
      </c>
      <c r="I40" s="183">
        <f t="shared" si="9"/>
        <v>1.1917584188919843</v>
      </c>
      <c r="J40" s="207">
        <f t="shared" si="10"/>
        <v>140.81265485123873</v>
      </c>
      <c r="K40" s="207">
        <f t="shared" si="11"/>
        <v>0.49474391945395757</v>
      </c>
    </row>
    <row r="41" spans="1:11" ht="14.1" customHeight="1">
      <c r="A41" s="180" t="s">
        <v>52</v>
      </c>
      <c r="B41" s="180">
        <v>12</v>
      </c>
      <c r="C41" s="205">
        <f>'T14 &amp; T15'!D9+'T14 &amp; T15'!D15</f>
        <v>38602884.219999999</v>
      </c>
      <c r="D41" s="205">
        <f>'T14 &amp; T15'!E9+'T14 &amp; T15'!E15</f>
        <v>20956588.969999999</v>
      </c>
      <c r="E41" s="205">
        <f>'T14 &amp; T15'!F9+'T14 &amp; T15'!F15</f>
        <v>17505445.59</v>
      </c>
      <c r="F41" s="205">
        <f>C41-D41-E41</f>
        <v>140849.66000000015</v>
      </c>
      <c r="G41" s="182">
        <f>'T14 &amp; T15'!H9+'T14 &amp; T15'!H15</f>
        <v>220171</v>
      </c>
      <c r="H41" s="183">
        <f t="shared" si="8"/>
        <v>0.27989428213296857</v>
      </c>
      <c r="I41" s="183">
        <f t="shared" si="9"/>
        <v>1.3815303247320405</v>
      </c>
      <c r="J41" s="207">
        <f t="shared" si="10"/>
        <v>175.33137524923808</v>
      </c>
      <c r="K41" s="207">
        <f t="shared" si="11"/>
        <v>0.63972848376943448</v>
      </c>
    </row>
    <row r="42" spans="1:11" ht="14.1" customHeight="1">
      <c r="A42" s="180" t="s">
        <v>53</v>
      </c>
      <c r="B42" s="180">
        <v>13</v>
      </c>
      <c r="C42" s="205">
        <f>'T14 &amp; T15'!D10+'T14 &amp; T15'!D16</f>
        <v>47241847.909999996</v>
      </c>
      <c r="D42" s="205">
        <f>'T14 &amp; T15'!E10+'T14 &amp; T15'!E16</f>
        <v>21311088.600000001</v>
      </c>
      <c r="E42" s="205">
        <f>'T14 &amp; T15'!F10+'T14 &amp; T15'!F16</f>
        <v>23323353.719999999</v>
      </c>
      <c r="F42" s="205">
        <f>C42-D42-E42</f>
        <v>2607405.5899999961</v>
      </c>
      <c r="G42" s="182">
        <f>'T14 &amp; T15'!H10+'T14 &amp; T15'!H16</f>
        <v>163354</v>
      </c>
      <c r="H42" s="183">
        <f t="shared" si="8"/>
        <v>0.20766518098909006</v>
      </c>
      <c r="I42" s="183">
        <f t="shared" si="9"/>
        <v>1.6625798239372904</v>
      </c>
      <c r="J42" s="207">
        <f t="shared" si="10"/>
        <v>289.19921097738649</v>
      </c>
      <c r="K42" s="207">
        <f t="shared" si="11"/>
        <v>15.961688051715882</v>
      </c>
    </row>
    <row r="43" spans="1:11" ht="14.1" customHeight="1">
      <c r="A43" s="180" t="s">
        <v>54</v>
      </c>
      <c r="B43" s="180">
        <v>14</v>
      </c>
      <c r="C43" s="205">
        <f>'T14 &amp; T15'!D11+'T14 &amp; T15'!D17</f>
        <v>20689508</v>
      </c>
      <c r="D43" s="205">
        <f>'T14 &amp; T15'!E11+'T14 &amp; T15'!E17</f>
        <v>5645365.5199999996</v>
      </c>
      <c r="E43" s="205">
        <f>'T14 &amp; T15'!F11+'T14 &amp; T15'!F17</f>
        <v>6641266.8600000003</v>
      </c>
      <c r="F43" s="205">
        <f>C43-D43-E43</f>
        <v>8402875.620000001</v>
      </c>
      <c r="G43" s="182">
        <f>'T14 &amp; T15'!H11+'T14 &amp; T15'!H17</f>
        <v>66763</v>
      </c>
      <c r="H43" s="183">
        <f t="shared" si="8"/>
        <v>8.4873039401389738E-2</v>
      </c>
      <c r="I43" s="183">
        <f t="shared" si="9"/>
        <v>2.7486494798303158</v>
      </c>
      <c r="J43" s="207">
        <f t="shared" si="10"/>
        <v>309.89482198223567</v>
      </c>
      <c r="K43" s="207">
        <f t="shared" si="11"/>
        <v>125.86126477240389</v>
      </c>
    </row>
    <row r="44" spans="1:11" s="46" customFormat="1" ht="14.1" customHeight="1">
      <c r="A44" s="201" t="s">
        <v>55</v>
      </c>
      <c r="B44" s="185"/>
      <c r="C44" s="202">
        <f>SUM(C39:C43)</f>
        <v>136993574.16</v>
      </c>
      <c r="D44" s="202">
        <f>SUM(D39:D43)</f>
        <v>68488247.030000001</v>
      </c>
      <c r="E44" s="202">
        <f>SUM(E39:E43)</f>
        <v>57253662.549999997</v>
      </c>
      <c r="F44" s="202">
        <f>SUM(F39:F43)</f>
        <v>11251664.579999996</v>
      </c>
      <c r="G44" s="206">
        <f>SUM(G39:G43)</f>
        <v>780369</v>
      </c>
      <c r="H44" s="203">
        <f t="shared" si="8"/>
        <v>0.99205081983468557</v>
      </c>
      <c r="I44" s="203">
        <f t="shared" si="9"/>
        <v>1.5001870404858573</v>
      </c>
      <c r="J44" s="204">
        <f t="shared" si="10"/>
        <v>175.54973885431122</v>
      </c>
      <c r="K44" s="204">
        <f t="shared" si="11"/>
        <v>14.418389992426656</v>
      </c>
    </row>
    <row r="45" spans="1:11" ht="17.100000000000001" customHeight="1">
      <c r="A45" s="179" t="s">
        <v>60</v>
      </c>
      <c r="B45" s="47"/>
      <c r="C45" s="50"/>
      <c r="D45" s="50"/>
      <c r="E45" s="50"/>
      <c r="F45" s="50"/>
      <c r="G45" s="48"/>
      <c r="H45" s="49"/>
      <c r="I45" s="49"/>
      <c r="J45" s="51"/>
      <c r="K45" s="51"/>
    </row>
    <row r="46" spans="1:11" ht="39.4">
      <c r="A46" s="199"/>
      <c r="B46" s="197"/>
      <c r="C46" s="200" t="s">
        <v>41</v>
      </c>
      <c r="D46" s="200" t="s">
        <v>42</v>
      </c>
      <c r="E46" s="200" t="s">
        <v>43</v>
      </c>
      <c r="F46" s="200" t="s">
        <v>44</v>
      </c>
      <c r="G46" s="200" t="s">
        <v>45</v>
      </c>
      <c r="H46" s="200" t="s">
        <v>46</v>
      </c>
      <c r="I46" s="200" t="s">
        <v>47</v>
      </c>
      <c r="J46" s="200" t="s">
        <v>48</v>
      </c>
      <c r="K46" s="200" t="s">
        <v>49</v>
      </c>
    </row>
    <row r="47" spans="1:11" ht="14.1" customHeight="1">
      <c r="A47" s="180" t="s">
        <v>50</v>
      </c>
      <c r="B47" s="180"/>
      <c r="C47" s="205">
        <f>'T14 &amp; T15'!D7</f>
        <v>9998448.0500000007</v>
      </c>
      <c r="D47" s="205">
        <f>'T14 &amp; T15'!E7</f>
        <v>7505652.5199999996</v>
      </c>
      <c r="E47" s="205">
        <f>'T14 &amp; T15'!F7</f>
        <v>2492795.4300000002</v>
      </c>
      <c r="F47" s="205">
        <f>C47-D47-E47</f>
        <v>0.10000000102445483</v>
      </c>
      <c r="G47" s="182">
        <f>'T14 &amp; T15'!H7</f>
        <v>189546</v>
      </c>
      <c r="H47" s="183">
        <f t="shared" ref="H47:H52" si="12">G47/$G$27</f>
        <v>0.24096198682467565</v>
      </c>
      <c r="I47" s="183">
        <f t="shared" ref="I47:I52" si="13">C47/(D47/0.75)</f>
        <v>0.9990918201339809</v>
      </c>
      <c r="J47" s="207">
        <f t="shared" ref="J47:J52" si="14">C47/G47</f>
        <v>52.749454222194089</v>
      </c>
      <c r="K47" s="207">
        <f t="shared" ref="K47:K52" si="15">F47/G47</f>
        <v>5.2757642484913863E-7</v>
      </c>
    </row>
    <row r="48" spans="1:11" ht="14.1" customHeight="1">
      <c r="A48" s="180" t="s">
        <v>51</v>
      </c>
      <c r="B48" s="180">
        <v>21</v>
      </c>
      <c r="C48" s="205">
        <f>'T14 &amp; T15'!D8+'T14 &amp; T15'!D14</f>
        <v>18671053.969999999</v>
      </c>
      <c r="D48" s="205">
        <f>'T14 &amp; T15'!E8+'T14 &amp; T15'!E14</f>
        <v>11750108.290000001</v>
      </c>
      <c r="E48" s="205">
        <f>'T14 &amp; T15'!F8+'T14 &amp; T15'!F14</f>
        <v>6855345.1100000003</v>
      </c>
      <c r="F48" s="205">
        <f>C48-D48-E48</f>
        <v>65600.569999997504</v>
      </c>
      <c r="G48" s="182">
        <f>'T14 &amp; T15'!H8+'T14 &amp; T15'!H14</f>
        <v>132595</v>
      </c>
      <c r="H48" s="183">
        <f t="shared" si="12"/>
        <v>0.16856253702540738</v>
      </c>
      <c r="I48" s="183">
        <f t="shared" si="13"/>
        <v>1.1917584188919843</v>
      </c>
      <c r="J48" s="207">
        <f t="shared" si="14"/>
        <v>140.81265485123873</v>
      </c>
      <c r="K48" s="207">
        <f t="shared" si="15"/>
        <v>0.49474391945395757</v>
      </c>
    </row>
    <row r="49" spans="1:11" ht="14.1" customHeight="1">
      <c r="A49" s="180" t="s">
        <v>52</v>
      </c>
      <c r="B49" s="180">
        <v>22</v>
      </c>
      <c r="C49" s="205">
        <f>'T14 &amp; T15'!D9+'T14 &amp; T15'!D15</f>
        <v>38602884.219999999</v>
      </c>
      <c r="D49" s="205">
        <f>'T14 &amp; T15'!E9+'T14 &amp; T15'!E15</f>
        <v>20956588.969999999</v>
      </c>
      <c r="E49" s="205">
        <f>'T14 &amp; T15'!F9+'T14 &amp; T15'!F15</f>
        <v>17505445.59</v>
      </c>
      <c r="F49" s="205">
        <f>C49-D49-E49</f>
        <v>140849.66000000015</v>
      </c>
      <c r="G49" s="182">
        <f>'T14 &amp; T15'!H9+'T14 &amp; T15'!H15</f>
        <v>220171</v>
      </c>
      <c r="H49" s="183">
        <f t="shared" si="12"/>
        <v>0.27989428213296857</v>
      </c>
      <c r="I49" s="183">
        <f t="shared" si="13"/>
        <v>1.3815303247320405</v>
      </c>
      <c r="J49" s="207">
        <f t="shared" si="14"/>
        <v>175.33137524923808</v>
      </c>
      <c r="K49" s="207">
        <f t="shared" si="15"/>
        <v>0.63972848376943448</v>
      </c>
    </row>
    <row r="50" spans="1:11" ht="14.1" customHeight="1">
      <c r="A50" s="180" t="s">
        <v>53</v>
      </c>
      <c r="B50" s="180">
        <v>23</v>
      </c>
      <c r="C50" s="205">
        <f>'T14 &amp; T15'!D10+'T14 &amp; T15'!D16</f>
        <v>47241847.909999996</v>
      </c>
      <c r="D50" s="205">
        <f>'T14 &amp; T15'!E10+'T14 &amp; T15'!E16</f>
        <v>21311088.600000001</v>
      </c>
      <c r="E50" s="205">
        <f>'T14 &amp; T15'!F10+'T14 &amp; T15'!F16</f>
        <v>23323353.719999999</v>
      </c>
      <c r="F50" s="205">
        <f>C50-D50-E50</f>
        <v>2607405.5899999961</v>
      </c>
      <c r="G50" s="182">
        <f>'T14 &amp; T15'!H10+'T14 &amp; T15'!H16</f>
        <v>163354</v>
      </c>
      <c r="H50" s="183">
        <f t="shared" si="12"/>
        <v>0.20766518098909006</v>
      </c>
      <c r="I50" s="183">
        <f t="shared" si="13"/>
        <v>1.6625798239372904</v>
      </c>
      <c r="J50" s="207">
        <f t="shared" si="14"/>
        <v>289.19921097738649</v>
      </c>
      <c r="K50" s="207">
        <f t="shared" si="15"/>
        <v>15.961688051715882</v>
      </c>
    </row>
    <row r="51" spans="1:11" ht="14.1" customHeight="1">
      <c r="A51" s="180" t="s">
        <v>54</v>
      </c>
      <c r="B51" s="180">
        <v>24</v>
      </c>
      <c r="C51" s="205">
        <f>'T14 &amp; T15'!D11+'T14 &amp; T15'!D17</f>
        <v>20689508</v>
      </c>
      <c r="D51" s="205">
        <f>'T14 &amp; T15'!E11+'T14 &amp; T15'!E17</f>
        <v>5645365.5199999996</v>
      </c>
      <c r="E51" s="205">
        <f>'T14 &amp; T15'!F11+'T14 &amp; T15'!F17</f>
        <v>6641266.8600000003</v>
      </c>
      <c r="F51" s="205">
        <f>C51-D51-E51</f>
        <v>8402875.620000001</v>
      </c>
      <c r="G51" s="182">
        <f>'T14 &amp; T15'!H11+'T14 &amp; T15'!H17</f>
        <v>66763</v>
      </c>
      <c r="H51" s="183">
        <f t="shared" si="12"/>
        <v>8.4873039401389738E-2</v>
      </c>
      <c r="I51" s="183">
        <f t="shared" si="13"/>
        <v>2.7486494798303158</v>
      </c>
      <c r="J51" s="207">
        <f t="shared" si="14"/>
        <v>309.89482198223567</v>
      </c>
      <c r="K51" s="207">
        <f t="shared" si="15"/>
        <v>125.86126477240389</v>
      </c>
    </row>
    <row r="52" spans="1:11" s="46" customFormat="1" ht="14.1" customHeight="1">
      <c r="A52" s="201" t="s">
        <v>55</v>
      </c>
      <c r="B52" s="185">
        <v>25</v>
      </c>
      <c r="C52" s="202">
        <f>SUM(C47:C51)</f>
        <v>135203742.14999998</v>
      </c>
      <c r="D52" s="202">
        <f>SUM(D47:D51)</f>
        <v>67168803.900000006</v>
      </c>
      <c r="E52" s="202">
        <f>SUM(E47:E51)</f>
        <v>56818206.710000001</v>
      </c>
      <c r="F52" s="202">
        <f>SUM(F47:F51)</f>
        <v>11216731.539999995</v>
      </c>
      <c r="G52" s="206">
        <f>SUM(G47:G51)</f>
        <v>772429</v>
      </c>
      <c r="H52" s="203">
        <f t="shared" si="12"/>
        <v>0.98195702637353133</v>
      </c>
      <c r="I52" s="203">
        <f t="shared" si="13"/>
        <v>1.5096711676370937</v>
      </c>
      <c r="J52" s="204">
        <f t="shared" si="14"/>
        <v>175.03711299032011</v>
      </c>
      <c r="K52" s="204">
        <f t="shared" si="15"/>
        <v>14.521375479170247</v>
      </c>
    </row>
    <row r="53" spans="1:11" ht="17.100000000000001" customHeight="1">
      <c r="A53" s="179" t="s">
        <v>61</v>
      </c>
      <c r="B53" s="47"/>
      <c r="C53" s="50"/>
      <c r="D53" s="50"/>
      <c r="E53" s="50"/>
      <c r="F53" s="50"/>
      <c r="G53" s="48"/>
      <c r="H53" s="49"/>
      <c r="I53" s="49"/>
      <c r="J53" s="51"/>
      <c r="K53" s="51"/>
    </row>
    <row r="54" spans="1:11" ht="39.4">
      <c r="A54" s="199"/>
      <c r="B54" s="197"/>
      <c r="C54" s="200" t="s">
        <v>41</v>
      </c>
      <c r="D54" s="200" t="s">
        <v>42</v>
      </c>
      <c r="E54" s="200" t="s">
        <v>43</v>
      </c>
      <c r="F54" s="200" t="s">
        <v>44</v>
      </c>
      <c r="G54" s="200" t="s">
        <v>45</v>
      </c>
      <c r="H54" s="200" t="s">
        <v>46</v>
      </c>
      <c r="I54" s="200" t="s">
        <v>47</v>
      </c>
      <c r="J54" s="200" t="s">
        <v>48</v>
      </c>
      <c r="K54" s="200" t="s">
        <v>49</v>
      </c>
    </row>
    <row r="55" spans="1:11" ht="14.1" customHeight="1">
      <c r="A55" s="180" t="s">
        <v>50</v>
      </c>
      <c r="B55" s="180"/>
      <c r="C55" s="205"/>
      <c r="D55" s="205"/>
      <c r="E55" s="205"/>
      <c r="F55" s="205"/>
      <c r="G55" s="182"/>
      <c r="H55" s="183"/>
      <c r="I55" s="183"/>
      <c r="J55" s="207"/>
      <c r="K55" s="207"/>
    </row>
    <row r="56" spans="1:11" ht="14.1" customHeight="1">
      <c r="A56" s="180" t="s">
        <v>51</v>
      </c>
      <c r="B56" s="180">
        <v>21</v>
      </c>
      <c r="C56" s="205">
        <f>'T14 &amp; T15'!D22</f>
        <v>546927.35</v>
      </c>
      <c r="D56" s="205">
        <f>'T14 &amp; T15'!E22</f>
        <v>364037.43</v>
      </c>
      <c r="E56" s="205">
        <f>'T14 &amp; T15'!F22</f>
        <v>121993.63</v>
      </c>
      <c r="F56" s="205">
        <f>C56-D56-E56</f>
        <v>60896.289999999979</v>
      </c>
      <c r="G56" s="182">
        <f>'T14 &amp; T15'!H22</f>
        <v>509</v>
      </c>
      <c r="H56" s="183">
        <f>G56/$G$27</f>
        <v>6.4707063875660742E-4</v>
      </c>
      <c r="I56" s="183">
        <f>C56/(D56/0.75)</f>
        <v>1.1267948806802641</v>
      </c>
      <c r="J56" s="207">
        <f>C56/G56</f>
        <v>1074.5134577603144</v>
      </c>
      <c r="K56" s="207">
        <f>F56/G56</f>
        <v>119.63907662082511</v>
      </c>
    </row>
    <row r="57" spans="1:11" ht="14.1" customHeight="1">
      <c r="A57" s="180" t="s">
        <v>52</v>
      </c>
      <c r="B57" s="180">
        <v>22</v>
      </c>
      <c r="C57" s="205">
        <f>'T14 &amp; T15'!D23</f>
        <v>308072.78000000003</v>
      </c>
      <c r="D57" s="205">
        <f>'T14 &amp; T15'!E23</f>
        <v>165481.38</v>
      </c>
      <c r="E57" s="205">
        <f>'T14 &amp; T15'!F23</f>
        <v>54704.91</v>
      </c>
      <c r="F57" s="205">
        <f>C57-D57-E57</f>
        <v>87886.49000000002</v>
      </c>
      <c r="G57" s="182">
        <f>'T14 &amp; T15'!H23</f>
        <v>421</v>
      </c>
      <c r="H57" s="183">
        <f>G57/$G$27</f>
        <v>5.3519987999318605E-4</v>
      </c>
      <c r="I57" s="183">
        <f>C57/(D57/0.75)</f>
        <v>1.3962573009724721</v>
      </c>
      <c r="J57" s="207">
        <f>C57/G57</f>
        <v>731.76432304038008</v>
      </c>
      <c r="K57" s="207">
        <f>F57/G57</f>
        <v>208.75650831353923</v>
      </c>
    </row>
    <row r="58" spans="1:11" ht="14.1" customHeight="1">
      <c r="A58" s="180" t="s">
        <v>53</v>
      </c>
      <c r="B58" s="180">
        <v>23</v>
      </c>
      <c r="C58" s="205">
        <f>'T14 &amp; T15'!D24</f>
        <v>796797.97</v>
      </c>
      <c r="D58" s="205">
        <f>'T14 &amp; T15'!E24</f>
        <v>337321.5</v>
      </c>
      <c r="E58" s="205">
        <f>'T14 &amp; T15'!F24</f>
        <v>111223.06</v>
      </c>
      <c r="F58" s="205">
        <f>C58-D58-E58</f>
        <v>348253.41</v>
      </c>
      <c r="G58" s="182">
        <f>'T14 &amp; T15'!H24</f>
        <v>1399</v>
      </c>
      <c r="H58" s="183">
        <f>G58/$G$27</f>
        <v>1.7784908126139366E-3</v>
      </c>
      <c r="I58" s="183">
        <f>C58/(D58/0.75)</f>
        <v>1.7715991346534388</v>
      </c>
      <c r="J58" s="207">
        <f>C58/G58</f>
        <v>569.54822730521801</v>
      </c>
      <c r="K58" s="207">
        <f>F58/G58</f>
        <v>248.93024303073622</v>
      </c>
    </row>
    <row r="59" spans="1:11" ht="14.1" customHeight="1">
      <c r="A59" s="180" t="s">
        <v>54</v>
      </c>
      <c r="B59" s="180">
        <v>24</v>
      </c>
      <c r="C59" s="205">
        <f>'T14 &amp; T15'!D25</f>
        <v>8882589.2400000002</v>
      </c>
      <c r="D59" s="205">
        <f>'T14 &amp; T15'!E25</f>
        <v>1868967.99</v>
      </c>
      <c r="E59" s="205">
        <f>'T14 &amp; T15'!F25</f>
        <v>623178.37</v>
      </c>
      <c r="F59" s="205">
        <f>C59-D59-E59</f>
        <v>6390442.8799999999</v>
      </c>
      <c r="G59" s="182">
        <f>'T14 &amp; T15'!H25</f>
        <v>3924</v>
      </c>
      <c r="H59" s="183">
        <f>G59/$G$27</f>
        <v>4.9884188339507415E-3</v>
      </c>
      <c r="I59" s="183">
        <f>C59/(D59/0.75)</f>
        <v>3.5645029586622297</v>
      </c>
      <c r="J59" s="207">
        <f>C59/G59</f>
        <v>2263.6567889908256</v>
      </c>
      <c r="K59" s="207">
        <f>F59/G59</f>
        <v>1628.5532313965341</v>
      </c>
    </row>
    <row r="60" spans="1:11" s="46" customFormat="1" ht="14.1" customHeight="1">
      <c r="A60" s="201" t="s">
        <v>55</v>
      </c>
      <c r="B60" s="185">
        <v>25</v>
      </c>
      <c r="C60" s="202">
        <f>SUM(C55:C59)</f>
        <v>10534387.34</v>
      </c>
      <c r="D60" s="202">
        <f>SUM(D55:D59)</f>
        <v>2735808.3</v>
      </c>
      <c r="E60" s="202">
        <f>SUM(E55:E59)</f>
        <v>911099.97</v>
      </c>
      <c r="F60" s="202">
        <f>SUM(F55:F59)</f>
        <v>6887479.0700000003</v>
      </c>
      <c r="G60" s="206">
        <f>SUM(G55:G59)</f>
        <v>6253</v>
      </c>
      <c r="H60" s="203">
        <f>G60/$G$27</f>
        <v>7.9491801653144706E-3</v>
      </c>
      <c r="I60" s="203">
        <f>C60/(D60/0.75)</f>
        <v>2.887918172117542</v>
      </c>
      <c r="J60" s="204">
        <f>C60/G60</f>
        <v>1684.6933216056293</v>
      </c>
      <c r="K60" s="204">
        <f>F60/G60</f>
        <v>1101.4679465856389</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A9F8B-FE4B-4226-8941-1EE126171F6E}">
  <sheetPr>
    <pageSetUpPr fitToPage="1"/>
  </sheetPr>
  <dimension ref="A1:K62"/>
  <sheetViews>
    <sheetView showGridLines="0" zoomScaleNormal="100" zoomScaleSheetLayoutView="100" workbookViewId="0">
      <selection sqref="A1:K1"/>
    </sheetView>
  </sheetViews>
  <sheetFormatPr defaultColWidth="9.625" defaultRowHeight="12" customHeight="1"/>
  <cols>
    <col min="1" max="1" width="13.8125" style="37" customWidth="1"/>
    <col min="2" max="2" width="1.0625" style="37" hidden="1" customWidth="1"/>
    <col min="3" max="6" width="12.0625" style="59" customWidth="1"/>
    <col min="7" max="7" width="12.0625" style="57" customWidth="1"/>
    <col min="8" max="8" width="9.5" style="58" customWidth="1"/>
    <col min="9" max="10" width="10.1875" style="37" customWidth="1"/>
    <col min="11" max="11" width="10.1875" style="60" customWidth="1"/>
    <col min="12" max="16384" width="9.625" style="37"/>
  </cols>
  <sheetData>
    <row r="1" spans="1:11" ht="27" customHeight="1">
      <c r="A1" s="232" t="s">
        <v>38</v>
      </c>
      <c r="B1" s="232"/>
      <c r="C1" s="232"/>
      <c r="D1" s="232"/>
      <c r="E1" s="232"/>
      <c r="F1" s="232"/>
      <c r="G1" s="232"/>
      <c r="H1" s="232"/>
      <c r="I1" s="232"/>
      <c r="J1" s="232"/>
      <c r="K1" s="232"/>
    </row>
    <row r="2" spans="1:11" ht="15" customHeight="1">
      <c r="A2" s="234" t="str">
        <f>TEXT(Selection!G13&amp;" "&amp;Selection!G12,"mmmm yyyy")</f>
        <v xml:space="preserve"> </v>
      </c>
      <c r="B2" s="234"/>
      <c r="C2" s="234"/>
      <c r="D2" s="234"/>
      <c r="E2" s="234"/>
      <c r="F2" s="234"/>
      <c r="G2" s="234"/>
      <c r="H2" s="234"/>
      <c r="I2" s="234"/>
      <c r="J2" s="234"/>
      <c r="K2" s="234"/>
    </row>
    <row r="3" spans="1:11" ht="15.75" customHeight="1">
      <c r="A3" s="174" t="s">
        <v>67</v>
      </c>
      <c r="B3" s="38"/>
      <c r="C3" s="39"/>
      <c r="D3" s="39"/>
      <c r="E3" s="39"/>
      <c r="F3" s="39"/>
      <c r="G3" s="40"/>
      <c r="H3" s="41"/>
      <c r="I3" s="41"/>
      <c r="J3" s="174" t="str">
        <f>Selection!E15&amp;" "&amp;Selection!E14</f>
        <v>Dec 2024</v>
      </c>
      <c r="K3" s="43"/>
    </row>
    <row r="4" spans="1:11" ht="17.100000000000001" customHeight="1">
      <c r="A4" s="179" t="s">
        <v>40</v>
      </c>
      <c r="B4" s="38"/>
      <c r="C4" s="39"/>
      <c r="D4" s="39"/>
      <c r="E4" s="39"/>
      <c r="F4" s="39"/>
      <c r="G4" s="40"/>
      <c r="H4" s="41"/>
      <c r="I4" s="41"/>
      <c r="J4" s="38"/>
      <c r="K4" s="43"/>
    </row>
    <row r="5" spans="1:11" s="45" customFormat="1" ht="39.4">
      <c r="A5" s="199"/>
      <c r="B5" s="197"/>
      <c r="C5" s="200" t="s">
        <v>41</v>
      </c>
      <c r="D5" s="200" t="s">
        <v>42</v>
      </c>
      <c r="E5" s="200" t="s">
        <v>43</v>
      </c>
      <c r="F5" s="200" t="s">
        <v>44</v>
      </c>
      <c r="G5" s="200" t="s">
        <v>45</v>
      </c>
      <c r="H5" s="200" t="s">
        <v>46</v>
      </c>
      <c r="I5" s="200" t="s">
        <v>47</v>
      </c>
      <c r="J5" s="200" t="s">
        <v>48</v>
      </c>
      <c r="K5" s="200" t="s">
        <v>49</v>
      </c>
    </row>
    <row r="6" spans="1:11" ht="14.1" customHeight="1">
      <c r="A6" s="180" t="s">
        <v>50</v>
      </c>
      <c r="B6" s="180">
        <v>0</v>
      </c>
      <c r="C6" s="205">
        <f>'T14 &amp; T15'!D37+'T14 &amp; T15'!D51</f>
        <v>16629960.609999999</v>
      </c>
      <c r="D6" s="205">
        <f>'T14 &amp; T15'!E37+'T14 &amp; T15'!E51</f>
        <v>12495405.48</v>
      </c>
      <c r="E6" s="205">
        <f>'T14 &amp; T15'!F37+'T14 &amp; T15'!F51</f>
        <v>4125796.7199999997</v>
      </c>
      <c r="F6" s="205">
        <f>C6-D6-E6</f>
        <v>8758.4099999992177</v>
      </c>
      <c r="G6" s="182">
        <f>'T14 &amp; T15'!H37+'T14 &amp; T15'!H51</f>
        <v>239221</v>
      </c>
      <c r="H6" s="183">
        <f t="shared" ref="H6:H11" si="0">G6/$G$27</f>
        <v>0.22389096194468544</v>
      </c>
      <c r="I6" s="183">
        <f t="shared" ref="I6:I11" si="1">C6/(D6/0.75)</f>
        <v>0.99816452354933893</v>
      </c>
      <c r="J6" s="207">
        <f t="shared" ref="J6:J11" si="2">C6/G6</f>
        <v>69.517143603613391</v>
      </c>
      <c r="K6" s="207">
        <f t="shared" ref="K6:K11" si="3">F6/G6</f>
        <v>3.6612212138563159E-2</v>
      </c>
    </row>
    <row r="7" spans="1:11" ht="14.1" customHeight="1">
      <c r="A7" s="180" t="s">
        <v>51</v>
      </c>
      <c r="B7" s="180">
        <v>1</v>
      </c>
      <c r="C7" s="205">
        <f>'T14 &amp; T15'!D38</f>
        <v>17490745.039999999</v>
      </c>
      <c r="D7" s="205">
        <f>'T14 &amp; T15'!E38</f>
        <v>11110853.9</v>
      </c>
      <c r="E7" s="205">
        <f>'T14 &amp; T15'!F38</f>
        <v>6379860.4900000002</v>
      </c>
      <c r="F7" s="205">
        <f>C7-D7-E7</f>
        <v>30.649999998509884</v>
      </c>
      <c r="G7" s="182">
        <f>'T14 &amp; T15'!H38</f>
        <v>99581</v>
      </c>
      <c r="H7" s="183">
        <f t="shared" si="0"/>
        <v>9.3199534662148059E-2</v>
      </c>
      <c r="I7" s="183">
        <f t="shared" si="1"/>
        <v>1.1806526211275263</v>
      </c>
      <c r="J7" s="207">
        <f t="shared" si="2"/>
        <v>175.64339623020456</v>
      </c>
      <c r="K7" s="207">
        <f t="shared" si="3"/>
        <v>3.0778963857071013E-4</v>
      </c>
    </row>
    <row r="8" spans="1:11" ht="14.1" customHeight="1">
      <c r="A8" s="180" t="s">
        <v>52</v>
      </c>
      <c r="B8" s="180">
        <v>2</v>
      </c>
      <c r="C8" s="205">
        <f>'T14 &amp; T15'!D39</f>
        <v>60769868.829999998</v>
      </c>
      <c r="D8" s="205">
        <f>'T14 &amp; T15'!E39</f>
        <v>33214727.949999999</v>
      </c>
      <c r="E8" s="205">
        <f>'T14 &amp; T15'!F39</f>
        <v>27555125.960000001</v>
      </c>
      <c r="F8" s="205">
        <f>C8-D8-E8</f>
        <v>14.919999998062849</v>
      </c>
      <c r="G8" s="182">
        <f>'T14 &amp; T15'!H39</f>
        <v>360009</v>
      </c>
      <c r="H8" s="183">
        <f t="shared" si="0"/>
        <v>0.33693848499397738</v>
      </c>
      <c r="I8" s="183">
        <f t="shared" si="1"/>
        <v>1.3722045741609032</v>
      </c>
      <c r="J8" s="207">
        <f t="shared" si="2"/>
        <v>168.80097117016518</v>
      </c>
      <c r="K8" s="207">
        <f t="shared" si="3"/>
        <v>4.1443408353854626E-5</v>
      </c>
    </row>
    <row r="9" spans="1:11" ht="14.1" customHeight="1">
      <c r="A9" s="180" t="s">
        <v>53</v>
      </c>
      <c r="B9" s="180">
        <v>3</v>
      </c>
      <c r="C9" s="205">
        <f>'T14 &amp; T15'!D40</f>
        <v>55446689.600000001</v>
      </c>
      <c r="D9" s="205">
        <f>'T14 &amp; T15'!E40</f>
        <v>25320340.800000001</v>
      </c>
      <c r="E9" s="205">
        <f>'T14 &amp; T15'!F40</f>
        <v>30126340.789999999</v>
      </c>
      <c r="F9" s="205">
        <f>C9-D9-E9</f>
        <v>8.0100000016391277</v>
      </c>
      <c r="G9" s="182">
        <f>'T14 &amp; T15'!H40</f>
        <v>243281</v>
      </c>
      <c r="H9" s="183">
        <f t="shared" si="0"/>
        <v>0.22769078430766956</v>
      </c>
      <c r="I9" s="183">
        <f t="shared" si="1"/>
        <v>1.6423561407988634</v>
      </c>
      <c r="J9" s="207">
        <f t="shared" si="2"/>
        <v>227.9121246624274</v>
      </c>
      <c r="K9" s="207">
        <f t="shared" si="3"/>
        <v>3.2924889332250066E-5</v>
      </c>
    </row>
    <row r="10" spans="1:11" ht="14.1" customHeight="1">
      <c r="A10" s="180" t="s">
        <v>54</v>
      </c>
      <c r="B10" s="180">
        <v>4</v>
      </c>
      <c r="C10" s="205">
        <f>'T14 &amp; T15'!D41</f>
        <v>2095595.46</v>
      </c>
      <c r="D10" s="205">
        <f>'T14 &amp; T15'!E41</f>
        <v>588485.59</v>
      </c>
      <c r="E10" s="205">
        <f>'T14 &amp; T15'!F41</f>
        <v>1507109.87</v>
      </c>
      <c r="F10" s="205">
        <f>C10-D10-E10</f>
        <v>0</v>
      </c>
      <c r="G10" s="182">
        <f>'T14 &amp; T15'!H41</f>
        <v>1961</v>
      </c>
      <c r="H10" s="183">
        <f t="shared" si="0"/>
        <v>1.8353329196580908E-3</v>
      </c>
      <c r="I10" s="183">
        <f t="shared" si="1"/>
        <v>2.6707478002987299</v>
      </c>
      <c r="J10" s="207">
        <f t="shared" si="2"/>
        <v>1068.6361346251913</v>
      </c>
      <c r="K10" s="207">
        <f t="shared" si="3"/>
        <v>0</v>
      </c>
    </row>
    <row r="11" spans="1:11" s="46" customFormat="1" ht="14.1" customHeight="1">
      <c r="A11" s="201" t="s">
        <v>55</v>
      </c>
      <c r="B11" s="185"/>
      <c r="C11" s="202">
        <f>SUM(C6:C10)</f>
        <v>152432859.53999999</v>
      </c>
      <c r="D11" s="202">
        <f>SUM(D6:D10)</f>
        <v>82729813.719999999</v>
      </c>
      <c r="E11" s="202">
        <f>SUM(E6:E10)</f>
        <v>69694233.830000013</v>
      </c>
      <c r="F11" s="202">
        <f>SUM(F6:F10)</f>
        <v>8811.9899999974295</v>
      </c>
      <c r="G11" s="206">
        <f>SUM(G6:G10)</f>
        <v>944053</v>
      </c>
      <c r="H11" s="203">
        <f t="shared" si="0"/>
        <v>0.88355509882813854</v>
      </c>
      <c r="I11" s="203">
        <f t="shared" si="1"/>
        <v>1.3819038084859354</v>
      </c>
      <c r="J11" s="204">
        <f t="shared" si="2"/>
        <v>161.46642141913642</v>
      </c>
      <c r="K11" s="204">
        <f t="shared" si="3"/>
        <v>9.3342111089074753E-3</v>
      </c>
    </row>
    <row r="12" spans="1:11" ht="17.100000000000001" customHeight="1">
      <c r="A12" s="179" t="s">
        <v>56</v>
      </c>
      <c r="B12" s="47"/>
      <c r="C12" s="47"/>
      <c r="D12" s="47"/>
      <c r="E12" s="47"/>
      <c r="F12" s="47"/>
      <c r="G12" s="48"/>
      <c r="H12" s="49"/>
      <c r="I12" s="47"/>
      <c r="J12" s="47"/>
      <c r="K12" s="47"/>
    </row>
    <row r="13" spans="1:11" ht="39.4">
      <c r="A13" s="199"/>
      <c r="B13" s="197"/>
      <c r="C13" s="200" t="s">
        <v>41</v>
      </c>
      <c r="D13" s="200" t="s">
        <v>42</v>
      </c>
      <c r="E13" s="200" t="s">
        <v>43</v>
      </c>
      <c r="F13" s="200" t="s">
        <v>44</v>
      </c>
      <c r="G13" s="200" t="s">
        <v>45</v>
      </c>
      <c r="H13" s="200" t="s">
        <v>46</v>
      </c>
      <c r="I13" s="200" t="s">
        <v>47</v>
      </c>
      <c r="J13" s="200" t="s">
        <v>48</v>
      </c>
      <c r="K13" s="200" t="s">
        <v>49</v>
      </c>
    </row>
    <row r="14" spans="1:11" ht="14.1" customHeight="1">
      <c r="A14" s="180" t="s">
        <v>50</v>
      </c>
      <c r="B14" s="180"/>
      <c r="C14" s="205"/>
      <c r="D14" s="205"/>
      <c r="E14" s="205"/>
      <c r="F14" s="205"/>
      <c r="G14" s="182"/>
      <c r="H14" s="183"/>
      <c r="I14" s="183"/>
      <c r="J14" s="207"/>
      <c r="K14" s="207"/>
    </row>
    <row r="15" spans="1:11" ht="14.1" customHeight="1">
      <c r="A15" s="180" t="s">
        <v>51</v>
      </c>
      <c r="B15" s="180">
        <v>5</v>
      </c>
      <c r="C15" s="205">
        <f>'T14 &amp; T15'!D44+'T14 &amp; T15'!D52</f>
        <v>1311220.1099999999</v>
      </c>
      <c r="D15" s="205">
        <f>'T14 &amp; T15'!E44+'T14 &amp; T15'!E52</f>
        <v>851995.57000000007</v>
      </c>
      <c r="E15" s="205">
        <f>'T14 &amp; T15'!F44+'T14 &amp; T15'!F52</f>
        <v>318530.05</v>
      </c>
      <c r="F15" s="205">
        <f>C15-D15-E15</f>
        <v>140694.48999999982</v>
      </c>
      <c r="G15" s="182">
        <f>'T14 &amp; T15'!H44+'T14 &amp; T15'!H52</f>
        <v>4576</v>
      </c>
      <c r="H15" s="183">
        <f>G15/$G$27</f>
        <v>4.282755451481603E-3</v>
      </c>
      <c r="I15" s="183">
        <f>C15/(D15/0.75)</f>
        <v>1.1542490561306553</v>
      </c>
      <c r="J15" s="207">
        <f>C15/G15</f>
        <v>286.54285620629366</v>
      </c>
      <c r="K15" s="207">
        <f>F15/G15</f>
        <v>30.746173513985973</v>
      </c>
    </row>
    <row r="16" spans="1:11" ht="14.1" customHeight="1">
      <c r="A16" s="180" t="s">
        <v>52</v>
      </c>
      <c r="B16" s="180">
        <v>6</v>
      </c>
      <c r="C16" s="205">
        <f>'T14 &amp; T15'!D45+'T14 &amp; T15'!D53</f>
        <v>3115583.4099999997</v>
      </c>
      <c r="D16" s="205">
        <f>'T14 &amp; T15'!E45+'T14 &amp; T15'!E53</f>
        <v>1683419.02</v>
      </c>
      <c r="E16" s="205">
        <f>'T14 &amp; T15'!F45+'T14 &amp; T15'!F53</f>
        <v>878868.75</v>
      </c>
      <c r="F16" s="205">
        <f>C16-D16-E16</f>
        <v>553295.63999999966</v>
      </c>
      <c r="G16" s="182">
        <f>'T14 &amp; T15'!H45+'T14 &amp; T15'!H53</f>
        <v>8261</v>
      </c>
      <c r="H16" s="183">
        <f>G16/$G$27</f>
        <v>7.7316090001506828E-3</v>
      </c>
      <c r="I16" s="183">
        <f>C16/(D16/0.75)</f>
        <v>1.3880605658714726</v>
      </c>
      <c r="J16" s="207">
        <f>C16/G16</f>
        <v>377.14361578501388</v>
      </c>
      <c r="K16" s="207">
        <f>F16/G16</f>
        <v>66.976835734172582</v>
      </c>
    </row>
    <row r="17" spans="1:11" ht="14.1" customHeight="1">
      <c r="A17" s="180" t="s">
        <v>53</v>
      </c>
      <c r="B17" s="180">
        <v>7</v>
      </c>
      <c r="C17" s="205">
        <f>'T14 &amp; T15'!D46+'T14 &amp; T15'!D54</f>
        <v>14056523.76</v>
      </c>
      <c r="D17" s="205">
        <f>'T14 &amp; T15'!E46+'T14 &amp; T15'!E54</f>
        <v>6069709.3900000006</v>
      </c>
      <c r="E17" s="205">
        <f>'T14 &amp; T15'!F46+'T14 &amp; T15'!F54</f>
        <v>4528204.9799999995</v>
      </c>
      <c r="F17" s="205">
        <f>C17-D17-E17</f>
        <v>3458609.3899999997</v>
      </c>
      <c r="G17" s="182">
        <f>'T14 &amp; T15'!H46+'T14 &amp; T15'!H54</f>
        <v>28026</v>
      </c>
      <c r="H17" s="183">
        <f>G17/$G$27</f>
        <v>2.6230005306648471E-2</v>
      </c>
      <c r="I17" s="183">
        <f>C17/(D17/0.75)</f>
        <v>1.7368859269224417</v>
      </c>
      <c r="J17" s="207">
        <f>C17/G17</f>
        <v>501.55297794904732</v>
      </c>
      <c r="K17" s="207">
        <f>F17/G17</f>
        <v>123.40717155498464</v>
      </c>
    </row>
    <row r="18" spans="1:11" ht="14.1" customHeight="1">
      <c r="A18" s="180" t="s">
        <v>54</v>
      </c>
      <c r="B18" s="180">
        <v>8</v>
      </c>
      <c r="C18" s="205">
        <f>'T14 &amp; T15'!D47+'T14 &amp; T15'!D55</f>
        <v>43763004.509999998</v>
      </c>
      <c r="D18" s="205">
        <f>'T14 &amp; T15'!E47+'T14 &amp; T15'!E55</f>
        <v>10052011.109999999</v>
      </c>
      <c r="E18" s="205">
        <f>'T14 &amp; T15'!F47+'T14 &amp; T15'!F55</f>
        <v>6077377.0800000001</v>
      </c>
      <c r="F18" s="205">
        <f>C18-D18-E18</f>
        <v>27633616.32</v>
      </c>
      <c r="G18" s="182">
        <f>'T14 &amp; T15'!H47+'T14 &amp; T15'!H55</f>
        <v>83555</v>
      </c>
      <c r="H18" s="183">
        <f>G18/$G$27</f>
        <v>7.8200531413580715E-2</v>
      </c>
      <c r="I18" s="183">
        <f>C18/(D18/0.75)</f>
        <v>3.2652424498265402</v>
      </c>
      <c r="J18" s="207">
        <f>C18/G18</f>
        <v>523.76284495242658</v>
      </c>
      <c r="K18" s="207">
        <f>F18/G18</f>
        <v>330.72367087547127</v>
      </c>
    </row>
    <row r="19" spans="1:11" s="46" customFormat="1" ht="14.1" customHeight="1">
      <c r="A19" s="201" t="s">
        <v>55</v>
      </c>
      <c r="B19" s="185"/>
      <c r="C19" s="202">
        <f>SUM(C13:C18)</f>
        <v>62246331.789999999</v>
      </c>
      <c r="D19" s="202">
        <f>SUM(D13:D18)</f>
        <v>18657135.09</v>
      </c>
      <c r="E19" s="202">
        <f>SUM(E13:E18)</f>
        <v>11802980.859999999</v>
      </c>
      <c r="F19" s="202">
        <f>SUM(F13:F18)</f>
        <v>31786215.84</v>
      </c>
      <c r="G19" s="206">
        <f>SUM(G13:G18)</f>
        <v>124418</v>
      </c>
      <c r="H19" s="203">
        <f>G19/$G$27</f>
        <v>0.11644490117186147</v>
      </c>
      <c r="I19" s="203">
        <f>C19/(D19/0.75)</f>
        <v>2.5022463854872585</v>
      </c>
      <c r="J19" s="204">
        <f>C19/G19</f>
        <v>500.30005135912808</v>
      </c>
      <c r="K19" s="204">
        <f>F19/G19</f>
        <v>255.47923805237184</v>
      </c>
    </row>
    <row r="20" spans="1:11" ht="17.100000000000001" customHeight="1">
      <c r="A20" s="179" t="s">
        <v>57</v>
      </c>
      <c r="B20" s="47"/>
      <c r="C20" s="50"/>
      <c r="D20" s="50"/>
      <c r="E20" s="50"/>
      <c r="F20" s="50"/>
      <c r="G20" s="48"/>
      <c r="H20" s="49"/>
      <c r="I20" s="49"/>
      <c r="J20" s="51"/>
      <c r="K20" s="51"/>
    </row>
    <row r="21" spans="1:11" ht="39.4">
      <c r="A21" s="199"/>
      <c r="B21" s="197"/>
      <c r="C21" s="200" t="s">
        <v>41</v>
      </c>
      <c r="D21" s="200" t="s">
        <v>42</v>
      </c>
      <c r="E21" s="200" t="s">
        <v>43</v>
      </c>
      <c r="F21" s="200" t="s">
        <v>44</v>
      </c>
      <c r="G21" s="200" t="s">
        <v>45</v>
      </c>
      <c r="H21" s="200" t="s">
        <v>46</v>
      </c>
      <c r="I21" s="200" t="s">
        <v>47</v>
      </c>
      <c r="J21" s="200" t="s">
        <v>48</v>
      </c>
      <c r="K21" s="200" t="s">
        <v>49</v>
      </c>
    </row>
    <row r="22" spans="1:11" ht="14.1" customHeight="1">
      <c r="A22" s="180" t="s">
        <v>50</v>
      </c>
      <c r="B22" s="180">
        <v>10</v>
      </c>
      <c r="C22" s="205">
        <f>'T14 &amp; T15'!D37+'T14 &amp; T15'!D51</f>
        <v>16629960.609999999</v>
      </c>
      <c r="D22" s="205">
        <f>'T14 &amp; T15'!E37+'T14 &amp; T15'!E51</f>
        <v>12495405.48</v>
      </c>
      <c r="E22" s="205">
        <f>'T14 &amp; T15'!F37+'T14 &amp; T15'!F51</f>
        <v>4125796.7199999997</v>
      </c>
      <c r="F22" s="205">
        <f>C22-D22-E22</f>
        <v>8758.4099999992177</v>
      </c>
      <c r="G22" s="182">
        <f>'T14 &amp; T15'!H37+'T14 &amp; T15'!H51</f>
        <v>239221</v>
      </c>
      <c r="H22" s="183">
        <f t="shared" ref="H22:H27" si="4">G22/$G$27</f>
        <v>0.22389096194468544</v>
      </c>
      <c r="I22" s="183">
        <f t="shared" ref="I22:I27" si="5">C22/(D22/0.75)</f>
        <v>0.99816452354933893</v>
      </c>
      <c r="J22" s="207">
        <f t="shared" ref="J22:J27" si="6">C22/G22</f>
        <v>69.517143603613391</v>
      </c>
      <c r="K22" s="207">
        <f t="shared" ref="K22:K27" si="7">F22/G22</f>
        <v>3.6612212138563159E-2</v>
      </c>
    </row>
    <row r="23" spans="1:11" ht="14.1" customHeight="1">
      <c r="A23" s="180" t="s">
        <v>51</v>
      </c>
      <c r="B23" s="180">
        <v>11</v>
      </c>
      <c r="C23" s="205">
        <f>'T14 &amp; T15'!D38+'T14 &amp; T15'!D44+'T14 &amp; T15'!D52</f>
        <v>18801965.149999999</v>
      </c>
      <c r="D23" s="205">
        <f>'T14 &amp; T15'!E38+'T14 &amp; T15'!E44+'T14 &amp; T15'!E52</f>
        <v>11962849.470000001</v>
      </c>
      <c r="E23" s="205">
        <f>'T14 &amp; T15'!F38+'T14 &amp; T15'!F44+'T14 &amp; T15'!F52</f>
        <v>6698390.540000001</v>
      </c>
      <c r="F23" s="205">
        <f>C23-D23-E23</f>
        <v>140725.13999999687</v>
      </c>
      <c r="G23" s="182">
        <f>'T14 &amp; T15'!H38+'T14 &amp; T15'!H44+'T14 &amp; T15'!H52</f>
        <v>104157</v>
      </c>
      <c r="H23" s="183">
        <f t="shared" si="4"/>
        <v>9.748229011362966E-2</v>
      </c>
      <c r="I23" s="183">
        <f t="shared" si="5"/>
        <v>1.1787721560706053</v>
      </c>
      <c r="J23" s="207">
        <f t="shared" si="6"/>
        <v>180.51561728928442</v>
      </c>
      <c r="K23" s="207">
        <f t="shared" si="7"/>
        <v>1.3510867248480358</v>
      </c>
    </row>
    <row r="24" spans="1:11" ht="14.1" customHeight="1">
      <c r="A24" s="180" t="s">
        <v>52</v>
      </c>
      <c r="B24" s="180">
        <v>12</v>
      </c>
      <c r="C24" s="205">
        <f>'T14 &amp; T15'!D39+'T14 &amp; T15'!D45+'T14 &amp; T15'!D53</f>
        <v>63885452.239999995</v>
      </c>
      <c r="D24" s="205">
        <f>'T14 &amp; T15'!E39+'T14 &amp; T15'!E45+'T14 &amp; T15'!E53</f>
        <v>34898146.969999999</v>
      </c>
      <c r="E24" s="205">
        <f>'T14 &amp; T15'!F39+'T14 &amp; T15'!F45+'T14 &amp; T15'!F53</f>
        <v>28433994.710000001</v>
      </c>
      <c r="F24" s="205">
        <f>C24-D24-E24</f>
        <v>553310.55999999493</v>
      </c>
      <c r="G24" s="182">
        <f>'T14 &amp; T15'!H39+'T14 &amp; T15'!H45+'T14 &amp; T15'!H53</f>
        <v>368270</v>
      </c>
      <c r="H24" s="183">
        <f t="shared" si="4"/>
        <v>0.34467009399412807</v>
      </c>
      <c r="I24" s="183">
        <f t="shared" si="5"/>
        <v>1.3729694364915443</v>
      </c>
      <c r="J24" s="207">
        <f t="shared" si="6"/>
        <v>173.47449490862681</v>
      </c>
      <c r="K24" s="207">
        <f t="shared" si="7"/>
        <v>1.5024589567436797</v>
      </c>
    </row>
    <row r="25" spans="1:11" ht="14.1" customHeight="1">
      <c r="A25" s="180" t="s">
        <v>53</v>
      </c>
      <c r="B25" s="180">
        <v>13</v>
      </c>
      <c r="C25" s="205">
        <f>'T14 &amp; T15'!D40+'T14 &amp; T15'!D46+'T14 &amp; T15'!D54</f>
        <v>69503213.359999999</v>
      </c>
      <c r="D25" s="205">
        <f>'T14 &amp; T15'!E40+'T14 &amp; T15'!E46+'T14 &amp; T15'!E54</f>
        <v>31390050.190000001</v>
      </c>
      <c r="E25" s="205">
        <f>'T14 &amp; T15'!F40+'T14 &amp; T15'!F46+'T14 &amp; T15'!F54</f>
        <v>34654545.769999996</v>
      </c>
      <c r="F25" s="205">
        <f>C25-D25-E25</f>
        <v>3458617.400000006</v>
      </c>
      <c r="G25" s="182">
        <f>'T14 &amp; T15'!H40+'T14 &amp; T15'!H46+'T14 &amp; T15'!H54</f>
        <v>271307</v>
      </c>
      <c r="H25" s="183">
        <f t="shared" si="4"/>
        <v>0.25392078961431802</v>
      </c>
      <c r="I25" s="183">
        <f t="shared" si="5"/>
        <v>1.6606348095807233</v>
      </c>
      <c r="J25" s="207">
        <f t="shared" si="6"/>
        <v>256.17921159424566</v>
      </c>
      <c r="K25" s="207">
        <f t="shared" si="7"/>
        <v>12.747984386691114</v>
      </c>
    </row>
    <row r="26" spans="1:11" ht="14.1" customHeight="1">
      <c r="A26" s="180" t="s">
        <v>54</v>
      </c>
      <c r="B26" s="180">
        <v>14</v>
      </c>
      <c r="C26" s="205">
        <f>'T14 &amp; T15'!D41+'T14 &amp; T15'!D47+'T14 &amp; T15'!D55</f>
        <v>45858599.969999999</v>
      </c>
      <c r="D26" s="205">
        <f>'T14 &amp; T15'!E41+'T14 &amp; T15'!E47+'T14 &amp; T15'!E55</f>
        <v>10640496.699999999</v>
      </c>
      <c r="E26" s="205">
        <f>'T14 &amp; T15'!F41+'T14 &amp; T15'!F47+'T14 &amp; T15'!F55</f>
        <v>7584486.9500000002</v>
      </c>
      <c r="F26" s="205">
        <f>C26-D26-E26</f>
        <v>27633616.319999997</v>
      </c>
      <c r="G26" s="182">
        <f>'T14 &amp; T15'!H41+'T14 &amp; T15'!H47+'T14 &amp; T15'!H55</f>
        <v>85516</v>
      </c>
      <c r="H26" s="183">
        <f t="shared" si="4"/>
        <v>8.003586433323881E-2</v>
      </c>
      <c r="I26" s="183">
        <f t="shared" si="5"/>
        <v>3.2323632013813794</v>
      </c>
      <c r="J26" s="207">
        <f t="shared" si="6"/>
        <v>536.25754209738523</v>
      </c>
      <c r="K26" s="207">
        <f t="shared" si="7"/>
        <v>323.13972028626216</v>
      </c>
    </row>
    <row r="27" spans="1:11" s="46" customFormat="1" ht="14.1" customHeight="1">
      <c r="A27" s="201" t="s">
        <v>55</v>
      </c>
      <c r="B27" s="185"/>
      <c r="C27" s="202">
        <f>SUM(C22:C26)</f>
        <v>214679191.33000001</v>
      </c>
      <c r="D27" s="202">
        <f>SUM(D22:D26)</f>
        <v>101386948.81</v>
      </c>
      <c r="E27" s="202">
        <f>SUM(E22:E26)</f>
        <v>81497214.689999998</v>
      </c>
      <c r="F27" s="202">
        <f>SUM(F22:F26)</f>
        <v>31795027.829999994</v>
      </c>
      <c r="G27" s="206">
        <f>SUM(G22:G26)</f>
        <v>1068471</v>
      </c>
      <c r="H27" s="203">
        <f t="shared" si="4"/>
        <v>1</v>
      </c>
      <c r="I27" s="203">
        <f t="shared" si="5"/>
        <v>1.5880682413989298</v>
      </c>
      <c r="J27" s="204">
        <f t="shared" si="6"/>
        <v>200.92186997120186</v>
      </c>
      <c r="K27" s="204">
        <f t="shared" si="7"/>
        <v>29.757501916289723</v>
      </c>
    </row>
    <row r="28" spans="1:11" s="46" customFormat="1" ht="15" customHeight="1" thickBot="1">
      <c r="A28" s="52"/>
      <c r="B28" s="52"/>
      <c r="C28" s="53"/>
      <c r="D28" s="53"/>
      <c r="E28" s="53"/>
      <c r="F28" s="53"/>
      <c r="G28" s="54"/>
      <c r="H28" s="55"/>
      <c r="I28" s="55"/>
      <c r="J28" s="56"/>
      <c r="K28" s="56"/>
    </row>
    <row r="29" spans="1:11" ht="17.100000000000001" customHeight="1">
      <c r="A29" s="179" t="s">
        <v>65</v>
      </c>
      <c r="B29" s="47"/>
      <c r="C29" s="50"/>
      <c r="D29" s="50"/>
      <c r="E29" s="50"/>
      <c r="F29" s="50"/>
      <c r="G29" s="48"/>
      <c r="H29" s="49"/>
      <c r="I29" s="49"/>
      <c r="J29" s="51"/>
      <c r="K29" s="51"/>
    </row>
    <row r="30" spans="1:11" ht="39.4">
      <c r="A30" s="199"/>
      <c r="B30" s="197"/>
      <c r="C30" s="200" t="s">
        <v>41</v>
      </c>
      <c r="D30" s="200" t="s">
        <v>42</v>
      </c>
      <c r="E30" s="200" t="s">
        <v>43</v>
      </c>
      <c r="F30" s="200" t="s">
        <v>44</v>
      </c>
      <c r="G30" s="200" t="s">
        <v>45</v>
      </c>
      <c r="H30" s="200" t="s">
        <v>46</v>
      </c>
      <c r="I30" s="200" t="s">
        <v>47</v>
      </c>
      <c r="J30" s="200" t="s">
        <v>48</v>
      </c>
      <c r="K30" s="200" t="s">
        <v>49</v>
      </c>
    </row>
    <row r="31" spans="1:11" ht="14.1" customHeight="1">
      <c r="A31" s="180" t="s">
        <v>50</v>
      </c>
      <c r="B31" s="180"/>
      <c r="C31" s="205"/>
      <c r="D31" s="205"/>
      <c r="E31" s="205"/>
      <c r="F31" s="205"/>
      <c r="G31" s="182"/>
      <c r="H31" s="183"/>
      <c r="I31" s="183"/>
      <c r="J31" s="207"/>
      <c r="K31" s="207"/>
    </row>
    <row r="32" spans="1:11" ht="14.1" customHeight="1">
      <c r="A32" s="180" t="s">
        <v>51</v>
      </c>
      <c r="B32" s="180">
        <v>15</v>
      </c>
      <c r="C32" s="205">
        <f>'T14 &amp; T15'!D44</f>
        <v>754462.13</v>
      </c>
      <c r="D32" s="205">
        <f>'T14 &amp; T15'!E44</f>
        <v>481518.56</v>
      </c>
      <c r="E32" s="205">
        <f>'T14 &amp; T15'!F44</f>
        <v>195519.07</v>
      </c>
      <c r="F32" s="205">
        <f>C32-D32-E32</f>
        <v>77424.5</v>
      </c>
      <c r="G32" s="182">
        <f>'T14 &amp; T15'!H44</f>
        <v>3610</v>
      </c>
      <c r="H32" s="183">
        <f>G32/$G$27</f>
        <v>3.3786597858060726E-3</v>
      </c>
      <c r="I32" s="183">
        <f>C32/(D32/0.75)</f>
        <v>1.1751293605380444</v>
      </c>
      <c r="J32" s="207">
        <f>C32/G32</f>
        <v>208.99227977839334</v>
      </c>
      <c r="K32" s="207">
        <f>F32/G32</f>
        <v>21.447229916897506</v>
      </c>
    </row>
    <row r="33" spans="1:11" ht="14.1" customHeight="1">
      <c r="A33" s="180" t="s">
        <v>52</v>
      </c>
      <c r="B33" s="180">
        <v>16</v>
      </c>
      <c r="C33" s="205">
        <f>'T14 &amp; T15'!D45</f>
        <v>2449524.2999999998</v>
      </c>
      <c r="D33" s="205">
        <f>'T14 &amp; T15'!E45</f>
        <v>1324217.46</v>
      </c>
      <c r="E33" s="205">
        <f>'T14 &amp; T15'!F45</f>
        <v>762540.26</v>
      </c>
      <c r="F33" s="205">
        <f>C33-D33-E33</f>
        <v>362766.57999999984</v>
      </c>
      <c r="G33" s="182">
        <f>'T14 &amp; T15'!H45</f>
        <v>6936</v>
      </c>
      <c r="H33" s="183">
        <f>G33/$G$27</f>
        <v>6.4915191895708914E-3</v>
      </c>
      <c r="I33" s="183">
        <f>C33/(D33/0.75)</f>
        <v>1.3873425479528112</v>
      </c>
      <c r="J33" s="207">
        <f>C33/G33</f>
        <v>353.16094290657435</v>
      </c>
      <c r="K33" s="207">
        <f>F33/G33</f>
        <v>52.301986735870798</v>
      </c>
    </row>
    <row r="34" spans="1:11" ht="14.1" customHeight="1">
      <c r="A34" s="180" t="s">
        <v>53</v>
      </c>
      <c r="B34" s="180">
        <v>17</v>
      </c>
      <c r="C34" s="205">
        <f>'T14 &amp; T15'!D46</f>
        <v>11692833.949999999</v>
      </c>
      <c r="D34" s="205">
        <f>'T14 &amp; T15'!E46</f>
        <v>5049025.4800000004</v>
      </c>
      <c r="E34" s="205">
        <f>'T14 &amp; T15'!F46</f>
        <v>4185711.44</v>
      </c>
      <c r="F34" s="205">
        <f>C34-D34-E34</f>
        <v>2458097.0299999989</v>
      </c>
      <c r="G34" s="182">
        <f>'T14 &amp; T15'!H46</f>
        <v>18965</v>
      </c>
      <c r="H34" s="183">
        <f>G34/$G$27</f>
        <v>1.7749662835959048E-2</v>
      </c>
      <c r="I34" s="183">
        <f>C34/(D34/0.75)</f>
        <v>1.7368946734845947</v>
      </c>
      <c r="J34" s="207">
        <f>C34/G34</f>
        <v>616.54805958344309</v>
      </c>
      <c r="K34" s="207">
        <f>F34/G34</f>
        <v>129.61228737147371</v>
      </c>
    </row>
    <row r="35" spans="1:11" ht="14.1" customHeight="1">
      <c r="A35" s="180" t="s">
        <v>54</v>
      </c>
      <c r="B35" s="180">
        <v>18</v>
      </c>
      <c r="C35" s="205">
        <f>'T14 &amp; T15'!D47</f>
        <v>27696554.5</v>
      </c>
      <c r="D35" s="205">
        <f>'T14 &amp; T15'!E47</f>
        <v>6620856.9699999997</v>
      </c>
      <c r="E35" s="205">
        <f>'T14 &amp; T15'!F47</f>
        <v>4872480.12</v>
      </c>
      <c r="F35" s="205">
        <f>C35-D35-E35</f>
        <v>16203217.41</v>
      </c>
      <c r="G35" s="182">
        <f>'T14 &amp; T15'!H47</f>
        <v>70070</v>
      </c>
      <c r="H35" s="183">
        <f>G35/$G$27</f>
        <v>6.5579692850812055E-2</v>
      </c>
      <c r="I35" s="183">
        <f>C35/(D35/0.75)</f>
        <v>3.1374210270849576</v>
      </c>
      <c r="J35" s="207">
        <f>C35/G35</f>
        <v>395.26979449122308</v>
      </c>
      <c r="K35" s="207">
        <f>F35/G35</f>
        <v>231.243291137434</v>
      </c>
    </row>
    <row r="36" spans="1:11" s="46" customFormat="1" ht="14.1" customHeight="1">
      <c r="A36" s="201" t="s">
        <v>55</v>
      </c>
      <c r="B36" s="185"/>
      <c r="C36" s="202">
        <f>SUM(C31:C35)</f>
        <v>42593374.879999995</v>
      </c>
      <c r="D36" s="202">
        <f>SUM(D31:D35)</f>
        <v>13475618.469999999</v>
      </c>
      <c r="E36" s="202">
        <f>SUM(E31:E35)</f>
        <v>10016250.890000001</v>
      </c>
      <c r="F36" s="202">
        <f>SUM(F31:F35)</f>
        <v>19101505.52</v>
      </c>
      <c r="G36" s="206">
        <f>SUM(G31:G35)</f>
        <v>99581</v>
      </c>
      <c r="H36" s="203">
        <f>G36/$G$27</f>
        <v>9.3199534662148059E-2</v>
      </c>
      <c r="I36" s="203">
        <f>C36/(D36/0.75)</f>
        <v>2.3705799649283184</v>
      </c>
      <c r="J36" s="204">
        <f>C36/G36</f>
        <v>427.72592040650318</v>
      </c>
      <c r="K36" s="204">
        <f>F36/G36</f>
        <v>191.81877587089906</v>
      </c>
    </row>
    <row r="37" spans="1:11" ht="17.100000000000001" customHeight="1">
      <c r="A37" s="179" t="s">
        <v>59</v>
      </c>
      <c r="B37" s="47"/>
      <c r="C37" s="50"/>
      <c r="D37" s="50"/>
      <c r="E37" s="50"/>
      <c r="F37" s="50"/>
      <c r="G37" s="48"/>
      <c r="H37" s="49"/>
      <c r="I37" s="49"/>
      <c r="J37" s="51"/>
      <c r="K37" s="51"/>
    </row>
    <row r="38" spans="1:11" ht="39.4">
      <c r="A38" s="199"/>
      <c r="B38" s="197"/>
      <c r="C38" s="200" t="s">
        <v>41</v>
      </c>
      <c r="D38" s="200" t="s">
        <v>42</v>
      </c>
      <c r="E38" s="200" t="s">
        <v>43</v>
      </c>
      <c r="F38" s="200" t="s">
        <v>44</v>
      </c>
      <c r="G38" s="200" t="s">
        <v>45</v>
      </c>
      <c r="H38" s="200" t="s">
        <v>46</v>
      </c>
      <c r="I38" s="200" t="s">
        <v>47</v>
      </c>
      <c r="J38" s="200" t="s">
        <v>48</v>
      </c>
      <c r="K38" s="200" t="s">
        <v>49</v>
      </c>
    </row>
    <row r="39" spans="1:11" ht="14.1" customHeight="1">
      <c r="A39" s="180" t="s">
        <v>50</v>
      </c>
      <c r="B39" s="180">
        <v>10</v>
      </c>
      <c r="C39" s="205">
        <f>'T14 &amp; T15'!D37+'T14 &amp; T15'!D51</f>
        <v>16629960.609999999</v>
      </c>
      <c r="D39" s="205">
        <f>'T14 &amp; T15'!E37+'T14 &amp; T15'!E51</f>
        <v>12495405.48</v>
      </c>
      <c r="E39" s="205">
        <f>'T14 &amp; T15'!F37+'T14 &amp; T15'!F51</f>
        <v>4125796.7199999997</v>
      </c>
      <c r="F39" s="205">
        <f>C39-D39-E39</f>
        <v>8758.4099999992177</v>
      </c>
      <c r="G39" s="182">
        <f>'T14 &amp; T15'!H37+'T14 &amp; T15'!H51</f>
        <v>239221</v>
      </c>
      <c r="H39" s="183">
        <f t="shared" ref="H39:H44" si="8">G39/$G$27</f>
        <v>0.22389096194468544</v>
      </c>
      <c r="I39" s="183">
        <f t="shared" ref="I39:I44" si="9">C39/(D39/0.75)</f>
        <v>0.99816452354933893</v>
      </c>
      <c r="J39" s="207">
        <f t="shared" ref="J39:J44" si="10">C39/G39</f>
        <v>69.517143603613391</v>
      </c>
      <c r="K39" s="207">
        <f t="shared" ref="K39:K44" si="11">F39/G39</f>
        <v>3.6612212138563159E-2</v>
      </c>
    </row>
    <row r="40" spans="1:11" ht="14.1" customHeight="1">
      <c r="A40" s="180" t="s">
        <v>51</v>
      </c>
      <c r="B40" s="180">
        <v>11</v>
      </c>
      <c r="C40" s="205">
        <f>'T14 &amp; T15'!D38+'T14 &amp; T15'!D44</f>
        <v>18245207.169999998</v>
      </c>
      <c r="D40" s="205">
        <f>'T14 &amp; T15'!E38+'T14 &amp; T15'!E44</f>
        <v>11592372.460000001</v>
      </c>
      <c r="E40" s="205">
        <f>'T14 &amp; T15'!F38+'T14 &amp; T15'!F44</f>
        <v>6575379.5600000005</v>
      </c>
      <c r="F40" s="205">
        <f>C40-D40-E40</f>
        <v>77455.149999996647</v>
      </c>
      <c r="G40" s="182">
        <f>'T14 &amp; T15'!H38+'T14 &amp; T15'!H44</f>
        <v>103191</v>
      </c>
      <c r="H40" s="183">
        <f t="shared" si="8"/>
        <v>9.6578194447954138E-2</v>
      </c>
      <c r="I40" s="183">
        <f t="shared" si="9"/>
        <v>1.1804231985054763</v>
      </c>
      <c r="J40" s="207">
        <f t="shared" si="10"/>
        <v>176.81006260235873</v>
      </c>
      <c r="K40" s="207">
        <f t="shared" si="11"/>
        <v>0.75059985851476052</v>
      </c>
    </row>
    <row r="41" spans="1:11" ht="14.1" customHeight="1">
      <c r="A41" s="180" t="s">
        <v>52</v>
      </c>
      <c r="B41" s="180">
        <v>12</v>
      </c>
      <c r="C41" s="205">
        <f>'T14 &amp; T15'!D39+'T14 &amp; T15'!D45</f>
        <v>63219393.129999995</v>
      </c>
      <c r="D41" s="205">
        <f>'T14 &amp; T15'!E39+'T14 &amp; T15'!E45</f>
        <v>34538945.409999996</v>
      </c>
      <c r="E41" s="205">
        <f>'T14 &amp; T15'!F39+'T14 &amp; T15'!F45</f>
        <v>28317666.220000003</v>
      </c>
      <c r="F41" s="205">
        <f>C41-D41-E41</f>
        <v>362781.49999999627</v>
      </c>
      <c r="G41" s="182">
        <f>'T14 &amp; T15'!H39+'T14 &amp; T15'!H45</f>
        <v>366945</v>
      </c>
      <c r="H41" s="183">
        <f t="shared" si="8"/>
        <v>0.34343000418354824</v>
      </c>
      <c r="I41" s="183">
        <f t="shared" si="9"/>
        <v>1.372784961574772</v>
      </c>
      <c r="J41" s="207">
        <f t="shared" si="10"/>
        <v>172.28574617449479</v>
      </c>
      <c r="K41" s="207">
        <f t="shared" si="11"/>
        <v>0.98865361293925869</v>
      </c>
    </row>
    <row r="42" spans="1:11" ht="14.1" customHeight="1">
      <c r="A42" s="180" t="s">
        <v>53</v>
      </c>
      <c r="B42" s="180">
        <v>13</v>
      </c>
      <c r="C42" s="205">
        <f>'T14 &amp; T15'!D40+'T14 &amp; T15'!D46</f>
        <v>67139523.549999997</v>
      </c>
      <c r="D42" s="205">
        <f>'T14 &amp; T15'!E40+'T14 &amp; T15'!E46</f>
        <v>30369366.280000001</v>
      </c>
      <c r="E42" s="205">
        <f>'T14 &amp; T15'!F40+'T14 &amp; T15'!F46</f>
        <v>34312052.229999997</v>
      </c>
      <c r="F42" s="205">
        <f>C42-D42-E42</f>
        <v>2458105.0399999991</v>
      </c>
      <c r="G42" s="182">
        <f>'T14 &amp; T15'!H40+'T14 &amp; T15'!H46</f>
        <v>262246</v>
      </c>
      <c r="H42" s="183">
        <f t="shared" si="8"/>
        <v>0.24544044714362862</v>
      </c>
      <c r="I42" s="183">
        <f t="shared" si="9"/>
        <v>1.658073540232595</v>
      </c>
      <c r="J42" s="207">
        <f t="shared" si="10"/>
        <v>256.0173407792683</v>
      </c>
      <c r="K42" s="207">
        <f t="shared" si="11"/>
        <v>9.3732794399151906</v>
      </c>
    </row>
    <row r="43" spans="1:11" ht="14.1" customHeight="1">
      <c r="A43" s="180" t="s">
        <v>54</v>
      </c>
      <c r="B43" s="180">
        <v>14</v>
      </c>
      <c r="C43" s="205">
        <f>'T14 &amp; T15'!D41+'T14 &amp; T15'!D47</f>
        <v>29792149.960000001</v>
      </c>
      <c r="D43" s="205">
        <f>'T14 &amp; T15'!E41+'T14 &amp; T15'!E47</f>
        <v>7209342.5599999996</v>
      </c>
      <c r="E43" s="205">
        <f>'T14 &amp; T15'!F41+'T14 &amp; T15'!F47</f>
        <v>6379589.9900000002</v>
      </c>
      <c r="F43" s="205">
        <f>C43-D43-E43</f>
        <v>16203217.410000002</v>
      </c>
      <c r="G43" s="182">
        <f>'T14 &amp; T15'!H41+'T14 &amp; T15'!H47</f>
        <v>72031</v>
      </c>
      <c r="H43" s="183">
        <f t="shared" si="8"/>
        <v>6.7415025770470136E-2</v>
      </c>
      <c r="I43" s="183">
        <f t="shared" si="9"/>
        <v>3.0993273358895572</v>
      </c>
      <c r="J43" s="207">
        <f t="shared" si="10"/>
        <v>413.60178201052327</v>
      </c>
      <c r="K43" s="207">
        <f t="shared" si="11"/>
        <v>224.94783371048578</v>
      </c>
    </row>
    <row r="44" spans="1:11" s="46" customFormat="1" ht="14.1" customHeight="1">
      <c r="A44" s="201" t="s">
        <v>55</v>
      </c>
      <c r="B44" s="185"/>
      <c r="C44" s="202">
        <f>SUM(C39:C43)</f>
        <v>195026234.41999999</v>
      </c>
      <c r="D44" s="202">
        <f>SUM(D39:D43)</f>
        <v>96205432.189999998</v>
      </c>
      <c r="E44" s="202">
        <f>SUM(E39:E43)</f>
        <v>79710484.719999984</v>
      </c>
      <c r="F44" s="202">
        <f>SUM(F39:F43)</f>
        <v>19110317.509999994</v>
      </c>
      <c r="G44" s="206">
        <f>SUM(G39:G43)</f>
        <v>1043634</v>
      </c>
      <c r="H44" s="203">
        <f t="shared" si="8"/>
        <v>0.97675463349028657</v>
      </c>
      <c r="I44" s="203">
        <f t="shared" si="9"/>
        <v>1.520388947748045</v>
      </c>
      <c r="J44" s="204">
        <f t="shared" si="10"/>
        <v>186.87225063575926</v>
      </c>
      <c r="K44" s="204">
        <f t="shared" si="11"/>
        <v>18.311321315710291</v>
      </c>
    </row>
    <row r="45" spans="1:11" ht="17.100000000000001" customHeight="1">
      <c r="A45" s="179" t="s">
        <v>60</v>
      </c>
      <c r="B45" s="47"/>
      <c r="C45" s="50"/>
      <c r="D45" s="50"/>
      <c r="E45" s="50"/>
      <c r="F45" s="50"/>
      <c r="G45" s="48"/>
      <c r="H45" s="49"/>
      <c r="I45" s="49"/>
      <c r="J45" s="51"/>
      <c r="K45" s="51"/>
    </row>
    <row r="46" spans="1:11" ht="39.4">
      <c r="A46" s="199"/>
      <c r="B46" s="197"/>
      <c r="C46" s="200" t="s">
        <v>41</v>
      </c>
      <c r="D46" s="200" t="s">
        <v>42</v>
      </c>
      <c r="E46" s="200" t="s">
        <v>43</v>
      </c>
      <c r="F46" s="200" t="s">
        <v>44</v>
      </c>
      <c r="G46" s="200" t="s">
        <v>45</v>
      </c>
      <c r="H46" s="200" t="s">
        <v>46</v>
      </c>
      <c r="I46" s="200" t="s">
        <v>47</v>
      </c>
      <c r="J46" s="200" t="s">
        <v>48</v>
      </c>
      <c r="K46" s="200" t="s">
        <v>49</v>
      </c>
    </row>
    <row r="47" spans="1:11" ht="14.1" customHeight="1">
      <c r="A47" s="180" t="s">
        <v>50</v>
      </c>
      <c r="B47" s="180"/>
      <c r="C47" s="205">
        <f>'T14 &amp; T15'!D37</f>
        <v>14455348.49</v>
      </c>
      <c r="D47" s="205">
        <f>'T14 &amp; T15'!E37</f>
        <v>10865658.460000001</v>
      </c>
      <c r="E47" s="205">
        <f>'T14 &amp; T15'!F37</f>
        <v>3589690.03</v>
      </c>
      <c r="F47" s="205">
        <f>C47-D47-E47</f>
        <v>0</v>
      </c>
      <c r="G47" s="182">
        <f>'T14 &amp; T15'!H37</f>
        <v>211703</v>
      </c>
      <c r="H47" s="183">
        <f t="shared" ref="H47:H52" si="12">G47/$G$27</f>
        <v>0.19813640239182906</v>
      </c>
      <c r="I47" s="183">
        <f t="shared" ref="I47:I52" si="13">C47/(D47/0.75)</f>
        <v>0.99777766873596341</v>
      </c>
      <c r="J47" s="207">
        <f t="shared" ref="J47:J52" si="14">C47/G47</f>
        <v>68.281264271172347</v>
      </c>
      <c r="K47" s="207">
        <f t="shared" ref="K47:K52" si="15">F47/G47</f>
        <v>0</v>
      </c>
    </row>
    <row r="48" spans="1:11" ht="14.1" customHeight="1">
      <c r="A48" s="180" t="s">
        <v>51</v>
      </c>
      <c r="B48" s="180">
        <v>21</v>
      </c>
      <c r="C48" s="205">
        <f>'T14 &amp; T15'!D38+'T14 &amp; T15'!D44</f>
        <v>18245207.169999998</v>
      </c>
      <c r="D48" s="205">
        <f>'T14 &amp; T15'!E38+'T14 &amp; T15'!E44</f>
        <v>11592372.460000001</v>
      </c>
      <c r="E48" s="205">
        <f>'T14 &amp; T15'!F38+'T14 &amp; T15'!F44</f>
        <v>6575379.5600000005</v>
      </c>
      <c r="F48" s="205">
        <f>C48-D48-E48</f>
        <v>77455.149999996647</v>
      </c>
      <c r="G48" s="182">
        <f>'T14 &amp; T15'!H38+'T14 &amp; T15'!H44</f>
        <v>103191</v>
      </c>
      <c r="H48" s="183">
        <f t="shared" si="12"/>
        <v>9.6578194447954138E-2</v>
      </c>
      <c r="I48" s="183">
        <f t="shared" si="13"/>
        <v>1.1804231985054763</v>
      </c>
      <c r="J48" s="207">
        <f t="shared" si="14"/>
        <v>176.81006260235873</v>
      </c>
      <c r="K48" s="207">
        <f t="shared" si="15"/>
        <v>0.75059985851476052</v>
      </c>
    </row>
    <row r="49" spans="1:11" ht="14.1" customHeight="1">
      <c r="A49" s="180" t="s">
        <v>52</v>
      </c>
      <c r="B49" s="180">
        <v>22</v>
      </c>
      <c r="C49" s="205">
        <f>'T14 &amp; T15'!D39+'T14 &amp; T15'!D45</f>
        <v>63219393.129999995</v>
      </c>
      <c r="D49" s="205">
        <f>'T14 &amp; T15'!E39+'T14 &amp; T15'!E45</f>
        <v>34538945.409999996</v>
      </c>
      <c r="E49" s="205">
        <f>'T14 &amp; T15'!F39+'T14 &amp; T15'!F45</f>
        <v>28317666.220000003</v>
      </c>
      <c r="F49" s="205">
        <f>C49-D49-E49</f>
        <v>362781.49999999627</v>
      </c>
      <c r="G49" s="182">
        <f>'T14 &amp; T15'!H39+'T14 &amp; T15'!H45</f>
        <v>366945</v>
      </c>
      <c r="H49" s="183">
        <f t="shared" si="12"/>
        <v>0.34343000418354824</v>
      </c>
      <c r="I49" s="183">
        <f t="shared" si="13"/>
        <v>1.372784961574772</v>
      </c>
      <c r="J49" s="207">
        <f t="shared" si="14"/>
        <v>172.28574617449479</v>
      </c>
      <c r="K49" s="207">
        <f t="shared" si="15"/>
        <v>0.98865361293925869</v>
      </c>
    </row>
    <row r="50" spans="1:11" ht="14.1" customHeight="1">
      <c r="A50" s="180" t="s">
        <v>53</v>
      </c>
      <c r="B50" s="180">
        <v>23</v>
      </c>
      <c r="C50" s="205">
        <f>'T14 &amp; T15'!D40+'T14 &amp; T15'!D46</f>
        <v>67139523.549999997</v>
      </c>
      <c r="D50" s="205">
        <f>'T14 &amp; T15'!E40+'T14 &amp; T15'!E46</f>
        <v>30369366.280000001</v>
      </c>
      <c r="E50" s="205">
        <f>'T14 &amp; T15'!F40+'T14 &amp; T15'!F46</f>
        <v>34312052.229999997</v>
      </c>
      <c r="F50" s="205">
        <f>C50-D50-E50</f>
        <v>2458105.0399999991</v>
      </c>
      <c r="G50" s="182">
        <f>'T14 &amp; T15'!H40+'T14 &amp; T15'!H46</f>
        <v>262246</v>
      </c>
      <c r="H50" s="183">
        <f t="shared" si="12"/>
        <v>0.24544044714362862</v>
      </c>
      <c r="I50" s="183">
        <f t="shared" si="13"/>
        <v>1.658073540232595</v>
      </c>
      <c r="J50" s="207">
        <f t="shared" si="14"/>
        <v>256.0173407792683</v>
      </c>
      <c r="K50" s="207">
        <f t="shared" si="15"/>
        <v>9.3732794399151906</v>
      </c>
    </row>
    <row r="51" spans="1:11" ht="14.1" customHeight="1">
      <c r="A51" s="180" t="s">
        <v>54</v>
      </c>
      <c r="B51" s="180">
        <v>24</v>
      </c>
      <c r="C51" s="205">
        <f>'T14 &amp; T15'!D41+'T14 &amp; T15'!D47</f>
        <v>29792149.960000001</v>
      </c>
      <c r="D51" s="205">
        <f>'T14 &amp; T15'!E41+'T14 &amp; T15'!E47</f>
        <v>7209342.5599999996</v>
      </c>
      <c r="E51" s="205">
        <f>'T14 &amp; T15'!F41+'T14 &amp; T15'!F47</f>
        <v>6379589.9900000002</v>
      </c>
      <c r="F51" s="205">
        <f>C51-D51-E51</f>
        <v>16203217.410000002</v>
      </c>
      <c r="G51" s="182">
        <f>'T14 &amp; T15'!H41+'T14 &amp; T15'!H47</f>
        <v>72031</v>
      </c>
      <c r="H51" s="183">
        <f t="shared" si="12"/>
        <v>6.7415025770470136E-2</v>
      </c>
      <c r="I51" s="183">
        <f t="shared" si="13"/>
        <v>3.0993273358895572</v>
      </c>
      <c r="J51" s="207">
        <f t="shared" si="14"/>
        <v>413.60178201052327</v>
      </c>
      <c r="K51" s="207">
        <f t="shared" si="15"/>
        <v>224.94783371048578</v>
      </c>
    </row>
    <row r="52" spans="1:11" s="46" customFormat="1" ht="14.1" customHeight="1">
      <c r="A52" s="201" t="s">
        <v>55</v>
      </c>
      <c r="B52" s="185">
        <v>25</v>
      </c>
      <c r="C52" s="202">
        <f>SUM(C47:C51)</f>
        <v>192851622.29999998</v>
      </c>
      <c r="D52" s="202">
        <f>SUM(D47:D51)</f>
        <v>94575685.170000002</v>
      </c>
      <c r="E52" s="202">
        <f>SUM(E47:E51)</f>
        <v>79174378.029999986</v>
      </c>
      <c r="F52" s="202">
        <f>SUM(F47:F51)</f>
        <v>19101559.099999994</v>
      </c>
      <c r="G52" s="206">
        <f>SUM(G47:G51)</f>
        <v>1016116</v>
      </c>
      <c r="H52" s="203">
        <f t="shared" si="12"/>
        <v>0.95100007393743025</v>
      </c>
      <c r="I52" s="203">
        <f t="shared" si="13"/>
        <v>1.5293435777389461</v>
      </c>
      <c r="J52" s="204">
        <f t="shared" si="14"/>
        <v>189.79291960760384</v>
      </c>
      <c r="K52" s="204">
        <f t="shared" si="15"/>
        <v>18.798600848721989</v>
      </c>
    </row>
    <row r="53" spans="1:11" ht="17.100000000000001" customHeight="1">
      <c r="A53" s="179" t="s">
        <v>61</v>
      </c>
      <c r="B53" s="47"/>
      <c r="C53" s="50"/>
      <c r="D53" s="50"/>
      <c r="E53" s="50"/>
      <c r="F53" s="50"/>
      <c r="G53" s="48"/>
      <c r="H53" s="49"/>
      <c r="I53" s="49"/>
      <c r="J53" s="51"/>
      <c r="K53" s="51"/>
    </row>
    <row r="54" spans="1:11" ht="39.4">
      <c r="A54" s="199"/>
      <c r="B54" s="197"/>
      <c r="C54" s="200" t="s">
        <v>41</v>
      </c>
      <c r="D54" s="200" t="s">
        <v>42</v>
      </c>
      <c r="E54" s="200" t="s">
        <v>43</v>
      </c>
      <c r="F54" s="200" t="s">
        <v>44</v>
      </c>
      <c r="G54" s="200" t="s">
        <v>45</v>
      </c>
      <c r="H54" s="200" t="s">
        <v>46</v>
      </c>
      <c r="I54" s="200" t="s">
        <v>47</v>
      </c>
      <c r="J54" s="200" t="s">
        <v>48</v>
      </c>
      <c r="K54" s="200" t="s">
        <v>49</v>
      </c>
    </row>
    <row r="55" spans="1:11" ht="14.1" customHeight="1">
      <c r="A55" s="180" t="s">
        <v>50</v>
      </c>
      <c r="B55" s="180"/>
      <c r="C55" s="205"/>
      <c r="D55" s="205"/>
      <c r="E55" s="205"/>
      <c r="F55" s="205"/>
      <c r="G55" s="182"/>
      <c r="H55" s="183"/>
      <c r="I55" s="183"/>
      <c r="J55" s="207"/>
      <c r="K55" s="207"/>
    </row>
    <row r="56" spans="1:11" ht="14.1" customHeight="1">
      <c r="A56" s="180" t="s">
        <v>51</v>
      </c>
      <c r="B56" s="180">
        <v>21</v>
      </c>
      <c r="C56" s="205">
        <f>'T14 &amp; T15'!D52</f>
        <v>556757.98</v>
      </c>
      <c r="D56" s="205">
        <f>'T14 &amp; T15'!E52</f>
        <v>370477.01</v>
      </c>
      <c r="E56" s="205">
        <f>'T14 &amp; T15'!F52</f>
        <v>123010.98</v>
      </c>
      <c r="F56" s="205">
        <f>C56-D56-E56</f>
        <v>63269.989999999976</v>
      </c>
      <c r="G56" s="182">
        <f>'T14 &amp; T15'!H52</f>
        <v>966</v>
      </c>
      <c r="H56" s="183">
        <f>G56/$G$27</f>
        <v>9.040956656755307E-4</v>
      </c>
      <c r="I56" s="183">
        <f>C56/(D56/0.75)</f>
        <v>1.1271103839884693</v>
      </c>
      <c r="J56" s="207">
        <f>C56/G56</f>
        <v>576.35401656314696</v>
      </c>
      <c r="K56" s="207">
        <f>F56/G56</f>
        <v>65.496884057970988</v>
      </c>
    </row>
    <row r="57" spans="1:11" ht="14.1" customHeight="1">
      <c r="A57" s="180" t="s">
        <v>52</v>
      </c>
      <c r="B57" s="180">
        <v>22</v>
      </c>
      <c r="C57" s="205">
        <f>'T14 &amp; T15'!D53</f>
        <v>666059.11</v>
      </c>
      <c r="D57" s="205">
        <f>'T14 &amp; T15'!E53</f>
        <v>359201.56</v>
      </c>
      <c r="E57" s="205">
        <f>'T14 &amp; T15'!F53</f>
        <v>116328.49</v>
      </c>
      <c r="F57" s="205">
        <f>C57-D57-E57</f>
        <v>190529.06</v>
      </c>
      <c r="G57" s="182">
        <f>'T14 &amp; T15'!H53</f>
        <v>1325</v>
      </c>
      <c r="H57" s="183">
        <f>G57/$G$27</f>
        <v>1.2400898105797912E-3</v>
      </c>
      <c r="I57" s="183">
        <f>C57/(D57/0.75)</f>
        <v>1.3907075807243152</v>
      </c>
      <c r="J57" s="207">
        <f>C57/G57</f>
        <v>502.68612075471697</v>
      </c>
      <c r="K57" s="207">
        <f>F57/G57</f>
        <v>143.79551698113207</v>
      </c>
    </row>
    <row r="58" spans="1:11" ht="14.1" customHeight="1">
      <c r="A58" s="180" t="s">
        <v>53</v>
      </c>
      <c r="B58" s="180">
        <v>23</v>
      </c>
      <c r="C58" s="205">
        <f>'T14 &amp; T15'!D54</f>
        <v>2363689.81</v>
      </c>
      <c r="D58" s="205">
        <f>'T14 &amp; T15'!E54</f>
        <v>1020683.91</v>
      </c>
      <c r="E58" s="205">
        <f>'T14 &amp; T15'!F54</f>
        <v>342493.54</v>
      </c>
      <c r="F58" s="205">
        <f>C58-D58-E58</f>
        <v>1000512.3599999999</v>
      </c>
      <c r="G58" s="182">
        <f>'T14 &amp; T15'!H54</f>
        <v>9061</v>
      </c>
      <c r="H58" s="183">
        <f>G58/$G$27</f>
        <v>8.480342470689425E-3</v>
      </c>
      <c r="I58" s="183">
        <f>C58/(D58/0.75)</f>
        <v>1.7368426602316087</v>
      </c>
      <c r="J58" s="207">
        <f>C58/G58</f>
        <v>260.86412206158263</v>
      </c>
      <c r="K58" s="207">
        <f>F58/G58</f>
        <v>110.41964021631165</v>
      </c>
    </row>
    <row r="59" spans="1:11" ht="14.1" customHeight="1">
      <c r="A59" s="180" t="s">
        <v>54</v>
      </c>
      <c r="B59" s="180">
        <v>24</v>
      </c>
      <c r="C59" s="205">
        <f>'T14 &amp; T15'!D55</f>
        <v>16066450.01</v>
      </c>
      <c r="D59" s="205">
        <f>'T14 &amp; T15'!E55</f>
        <v>3431154.14</v>
      </c>
      <c r="E59" s="205">
        <f>'T14 &amp; T15'!F55</f>
        <v>1204896.96</v>
      </c>
      <c r="F59" s="205">
        <f>C59-D59-E59</f>
        <v>11430398.91</v>
      </c>
      <c r="G59" s="182">
        <f>'T14 &amp; T15'!H55</f>
        <v>13485</v>
      </c>
      <c r="H59" s="183">
        <f>G59/$G$27</f>
        <v>1.2620838562768667E-2</v>
      </c>
      <c r="I59" s="183">
        <f>C59/(D59/0.75)</f>
        <v>3.5118904647927009</v>
      </c>
      <c r="J59" s="207">
        <f>C59/G59</f>
        <v>1191.4312206154987</v>
      </c>
      <c r="K59" s="207">
        <f>F59/G59</f>
        <v>847.63803559510563</v>
      </c>
    </row>
    <row r="60" spans="1:11" s="46" customFormat="1" ht="14.1" customHeight="1">
      <c r="A60" s="201" t="s">
        <v>55</v>
      </c>
      <c r="B60" s="185">
        <v>25</v>
      </c>
      <c r="C60" s="202">
        <f>SUM(C55:C59)</f>
        <v>19652956.91</v>
      </c>
      <c r="D60" s="202">
        <f>SUM(D55:D59)</f>
        <v>5181516.62</v>
      </c>
      <c r="E60" s="202">
        <f>SUM(E55:E59)</f>
        <v>1786729.97</v>
      </c>
      <c r="F60" s="202">
        <f>SUM(F55:F59)</f>
        <v>12684710.32</v>
      </c>
      <c r="G60" s="206">
        <f>SUM(G55:G59)</f>
        <v>24837</v>
      </c>
      <c r="H60" s="203">
        <f>G60/$G$27</f>
        <v>2.3245366509713414E-2</v>
      </c>
      <c r="I60" s="203">
        <f>C60/(D60/0.75)</f>
        <v>2.8446724701425352</v>
      </c>
      <c r="J60" s="204">
        <f>C60/G60</f>
        <v>791.27740508112902</v>
      </c>
      <c r="K60" s="204">
        <f>F60/G60</f>
        <v>510.71829609051014</v>
      </c>
    </row>
    <row r="61" spans="1:11" ht="12" customHeight="1">
      <c r="C61" s="37"/>
      <c r="D61" s="37"/>
      <c r="E61" s="37"/>
      <c r="F61" s="37"/>
      <c r="K61" s="37"/>
    </row>
    <row r="62" spans="1:11" ht="12" customHeight="1">
      <c r="C62" s="37"/>
      <c r="D62" s="37"/>
      <c r="E62" s="37"/>
      <c r="F62" s="37"/>
      <c r="K62"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9BAD8-114F-416B-BDE4-8DE755B2C425}">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125" style="38" customWidth="1"/>
    <col min="2" max="2" width="1.0625" style="38" hidden="1" customWidth="1"/>
    <col min="3" max="6" width="12.0625" style="39" customWidth="1"/>
    <col min="7" max="7" width="12.0625" style="40" customWidth="1"/>
    <col min="8" max="8" width="9.5" style="41" customWidth="1"/>
    <col min="9" max="10" width="10.1875" style="38" customWidth="1"/>
    <col min="11" max="11" width="10.1875" style="43" customWidth="1"/>
    <col min="12" max="16384" width="9.625" style="38"/>
  </cols>
  <sheetData>
    <row r="1" spans="1:11" ht="27" customHeight="1">
      <c r="A1" s="232" t="s">
        <v>38</v>
      </c>
      <c r="B1" s="232"/>
      <c r="C1" s="232"/>
      <c r="D1" s="232"/>
      <c r="E1" s="232"/>
      <c r="F1" s="232"/>
      <c r="G1" s="232"/>
      <c r="H1" s="232"/>
      <c r="I1" s="232"/>
      <c r="J1" s="232"/>
      <c r="K1" s="232"/>
    </row>
    <row r="2" spans="1:11" ht="15" customHeight="1">
      <c r="A2" s="234" t="str">
        <f>TEXT(Selection!G13&amp;" "&amp;Selection!G12,"mmmm yyyy")</f>
        <v xml:space="preserve"> </v>
      </c>
      <c r="B2" s="234"/>
      <c r="C2" s="234"/>
      <c r="D2" s="234"/>
      <c r="E2" s="234"/>
      <c r="F2" s="234"/>
      <c r="G2" s="234"/>
      <c r="H2" s="234"/>
      <c r="I2" s="234"/>
      <c r="J2" s="234"/>
      <c r="K2" s="234"/>
    </row>
    <row r="3" spans="1:11" ht="15" customHeight="1">
      <c r="A3" s="174" t="s">
        <v>68</v>
      </c>
      <c r="I3" s="41"/>
      <c r="J3" s="174" t="str">
        <f>Selection!E15&amp;" "&amp;Selection!E14</f>
        <v>Dec 2024</v>
      </c>
    </row>
    <row r="4" spans="1:11" ht="17.100000000000001" customHeight="1">
      <c r="A4" s="179" t="s">
        <v>40</v>
      </c>
      <c r="I4" s="41"/>
    </row>
    <row r="5" spans="1:11" s="61" customFormat="1" ht="39.4">
      <c r="A5" s="199"/>
      <c r="B5" s="197"/>
      <c r="C5" s="200" t="s">
        <v>41</v>
      </c>
      <c r="D5" s="200" t="s">
        <v>42</v>
      </c>
      <c r="E5" s="200" t="s">
        <v>43</v>
      </c>
      <c r="F5" s="200" t="s">
        <v>44</v>
      </c>
      <c r="G5" s="200" t="s">
        <v>45</v>
      </c>
      <c r="H5" s="200" t="s">
        <v>46</v>
      </c>
      <c r="I5" s="200" t="s">
        <v>47</v>
      </c>
      <c r="J5" s="200" t="s">
        <v>48</v>
      </c>
      <c r="K5" s="200" t="s">
        <v>49</v>
      </c>
    </row>
    <row r="6" spans="1:11" ht="14.1" customHeight="1">
      <c r="A6" s="180" t="s">
        <v>50</v>
      </c>
      <c r="B6" s="180">
        <v>0</v>
      </c>
      <c r="C6" s="205">
        <f>'T16 &amp; T17'!D7+'T16 &amp; T17'!D21</f>
        <v>1908208.11</v>
      </c>
      <c r="D6" s="205">
        <f>'T16 &amp; T17'!E7+'T16 &amp; T17'!E21</f>
        <v>1434108.02</v>
      </c>
      <c r="E6" s="205">
        <f>'T16 &amp; T17'!F7+'T16 &amp; T17'!F21</f>
        <v>473029.64</v>
      </c>
      <c r="F6" s="205">
        <f>C6-D6-E6</f>
        <v>1070.4500000000698</v>
      </c>
      <c r="G6" s="182">
        <f>'T16 &amp; T17'!H7+'T16 &amp; T17'!H21</f>
        <v>30669</v>
      </c>
      <c r="H6" s="183">
        <f t="shared" ref="H6:H11" si="0">G6/$G$27</f>
        <v>0.16864163995183082</v>
      </c>
      <c r="I6" s="183">
        <f t="shared" ref="I6:I11" si="1">C6/(D6/0.75)</f>
        <v>0.99794162123157226</v>
      </c>
      <c r="J6" s="207">
        <f t="shared" ref="J6:J11" si="2">C6/G6</f>
        <v>62.219443411914312</v>
      </c>
      <c r="K6" s="207">
        <f t="shared" ref="K6:K11" si="3">F6/G6</f>
        <v>3.4903322573284747E-2</v>
      </c>
    </row>
    <row r="7" spans="1:11" ht="14.1" customHeight="1">
      <c r="A7" s="180" t="s">
        <v>51</v>
      </c>
      <c r="B7" s="180">
        <v>1</v>
      </c>
      <c r="C7" s="205">
        <f>'T16 &amp; T17'!D8</f>
        <v>2729782.63</v>
      </c>
      <c r="D7" s="205">
        <f>'T16 &amp; T17'!E8</f>
        <v>1729471.65</v>
      </c>
      <c r="E7" s="205">
        <f>'T16 &amp; T17'!F8</f>
        <v>1000295.95</v>
      </c>
      <c r="F7" s="205">
        <f>C7-D7-E7</f>
        <v>15.03000000002794</v>
      </c>
      <c r="G7" s="182">
        <f>'T16 &amp; T17'!H8</f>
        <v>17348</v>
      </c>
      <c r="H7" s="183">
        <f t="shared" si="0"/>
        <v>9.5392584364810101E-2</v>
      </c>
      <c r="I7" s="183">
        <f t="shared" si="1"/>
        <v>1.1837933119632231</v>
      </c>
      <c r="J7" s="207">
        <f t="shared" si="2"/>
        <v>157.35431346552917</v>
      </c>
      <c r="K7" s="207">
        <f t="shared" si="3"/>
        <v>8.6638229190845863E-4</v>
      </c>
    </row>
    <row r="8" spans="1:11" ht="14.1" customHeight="1">
      <c r="A8" s="180" t="s">
        <v>52</v>
      </c>
      <c r="B8" s="180">
        <v>2</v>
      </c>
      <c r="C8" s="205">
        <f>'T16 &amp; T17'!D9</f>
        <v>9919567.5</v>
      </c>
      <c r="D8" s="205">
        <f>'T16 &amp; T17'!E9</f>
        <v>5412867</v>
      </c>
      <c r="E8" s="205">
        <f>'T16 &amp; T17'!F9</f>
        <v>4506696.32</v>
      </c>
      <c r="F8" s="205">
        <f>C8-D8-E8</f>
        <v>4.1799999997019768</v>
      </c>
      <c r="G8" s="182">
        <f>'T16 &amp; T17'!H9</f>
        <v>54855</v>
      </c>
      <c r="H8" s="183">
        <f t="shared" si="0"/>
        <v>0.30163478299121849</v>
      </c>
      <c r="I8" s="183">
        <f t="shared" si="1"/>
        <v>1.374442716770983</v>
      </c>
      <c r="J8" s="207">
        <f t="shared" si="2"/>
        <v>180.83251298878864</v>
      </c>
      <c r="K8" s="207">
        <f t="shared" si="3"/>
        <v>7.6200893258626865E-5</v>
      </c>
    </row>
    <row r="9" spans="1:11" ht="14.1" customHeight="1">
      <c r="A9" s="180" t="s">
        <v>53</v>
      </c>
      <c r="B9" s="180">
        <v>3</v>
      </c>
      <c r="C9" s="205">
        <f>'T16 &amp; T17'!D10</f>
        <v>12133402.34</v>
      </c>
      <c r="D9" s="205">
        <f>'T16 &amp; T17'!E10</f>
        <v>5624500.1699999999</v>
      </c>
      <c r="E9" s="205">
        <f>'T16 &amp; T17'!F10</f>
        <v>6508893.3300000001</v>
      </c>
      <c r="F9" s="205">
        <f>C9-D9-E9</f>
        <v>8.8399999998509884</v>
      </c>
      <c r="G9" s="182">
        <f>'T16 &amp; T17'!H10</f>
        <v>57290</v>
      </c>
      <c r="H9" s="183">
        <f t="shared" si="0"/>
        <v>0.31502427704980229</v>
      </c>
      <c r="I9" s="183">
        <f t="shared" si="1"/>
        <v>1.6179307458355008</v>
      </c>
      <c r="J9" s="207">
        <f t="shared" si="2"/>
        <v>211.78918380171061</v>
      </c>
      <c r="K9" s="207">
        <f t="shared" si="3"/>
        <v>1.5430267062054441E-4</v>
      </c>
    </row>
    <row r="10" spans="1:11" ht="14.1" customHeight="1">
      <c r="A10" s="180" t="s">
        <v>54</v>
      </c>
      <c r="B10" s="180">
        <v>4</v>
      </c>
      <c r="C10" s="205">
        <f>'T16 &amp; T17'!D11</f>
        <v>237403.07</v>
      </c>
      <c r="D10" s="205">
        <f>'T16 &amp; T17'!E11</f>
        <v>64121.1</v>
      </c>
      <c r="E10" s="205">
        <f>'T16 &amp; T17'!F11</f>
        <v>173281.97</v>
      </c>
      <c r="F10" s="205">
        <f>C10-D10-E10</f>
        <v>0</v>
      </c>
      <c r="G10" s="182">
        <f>'T16 &amp; T17'!H11</f>
        <v>162</v>
      </c>
      <c r="H10" s="183">
        <f t="shared" si="0"/>
        <v>8.9080001539654349E-4</v>
      </c>
      <c r="I10" s="183">
        <f t="shared" si="1"/>
        <v>2.7768129757599294</v>
      </c>
      <c r="J10" s="207">
        <f t="shared" si="2"/>
        <v>1465.4510493827161</v>
      </c>
      <c r="K10" s="207">
        <f t="shared" si="3"/>
        <v>0</v>
      </c>
    </row>
    <row r="11" spans="1:11" s="62" customFormat="1" ht="14.1" customHeight="1">
      <c r="A11" s="201" t="s">
        <v>55</v>
      </c>
      <c r="B11" s="185"/>
      <c r="C11" s="202">
        <f>SUM(C6:C10)</f>
        <v>26928363.649999999</v>
      </c>
      <c r="D11" s="202">
        <f>SUM(D6:D10)</f>
        <v>14265067.939999999</v>
      </c>
      <c r="E11" s="202">
        <f>SUM(E6:E10)</f>
        <v>12662197.210000001</v>
      </c>
      <c r="F11" s="202">
        <f>SUM(F6:F10)</f>
        <v>1098.4999999996508</v>
      </c>
      <c r="G11" s="206">
        <f>SUM(G6:G10)</f>
        <v>160324</v>
      </c>
      <c r="H11" s="203">
        <f t="shared" si="0"/>
        <v>0.88158408437305824</v>
      </c>
      <c r="I11" s="203">
        <f t="shared" si="1"/>
        <v>1.4157852470417327</v>
      </c>
      <c r="J11" s="204">
        <f t="shared" si="2"/>
        <v>167.9621494598438</v>
      </c>
      <c r="K11" s="204">
        <f t="shared" si="3"/>
        <v>6.8517502058310096E-3</v>
      </c>
    </row>
    <row r="12" spans="1:11" ht="17.100000000000001" customHeight="1">
      <c r="A12" s="179" t="s">
        <v>56</v>
      </c>
      <c r="B12" s="47"/>
      <c r="C12" s="47"/>
      <c r="D12" s="47"/>
      <c r="E12" s="47"/>
      <c r="F12" s="47"/>
      <c r="G12" s="48"/>
      <c r="H12" s="49"/>
      <c r="I12" s="47"/>
      <c r="J12" s="47"/>
      <c r="K12" s="47"/>
    </row>
    <row r="13" spans="1:11" ht="39.4">
      <c r="A13" s="199"/>
      <c r="B13" s="197"/>
      <c r="C13" s="200" t="s">
        <v>41</v>
      </c>
      <c r="D13" s="200" t="s">
        <v>42</v>
      </c>
      <c r="E13" s="200" t="s">
        <v>43</v>
      </c>
      <c r="F13" s="200" t="s">
        <v>44</v>
      </c>
      <c r="G13" s="200" t="s">
        <v>45</v>
      </c>
      <c r="H13" s="200" t="s">
        <v>46</v>
      </c>
      <c r="I13" s="200" t="s">
        <v>47</v>
      </c>
      <c r="J13" s="200" t="s">
        <v>48</v>
      </c>
      <c r="K13" s="200" t="s">
        <v>49</v>
      </c>
    </row>
    <row r="14" spans="1:11" ht="14.1" customHeight="1">
      <c r="A14" s="180" t="s">
        <v>50</v>
      </c>
      <c r="B14" s="180"/>
      <c r="C14" s="205"/>
      <c r="D14" s="205"/>
      <c r="E14" s="205"/>
      <c r="F14" s="205"/>
      <c r="G14" s="182"/>
      <c r="H14" s="183"/>
      <c r="I14" s="183"/>
      <c r="J14" s="207"/>
      <c r="K14" s="207"/>
    </row>
    <row r="15" spans="1:11" ht="14.1" customHeight="1">
      <c r="A15" s="180" t="s">
        <v>51</v>
      </c>
      <c r="B15" s="180">
        <v>5</v>
      </c>
      <c r="C15" s="205">
        <f>'T16 &amp; T17'!D14+'T16 &amp; T17'!D22</f>
        <v>311468.95999999996</v>
      </c>
      <c r="D15" s="205">
        <f>'T16 &amp; T17'!E14+'T16 &amp; T17'!E22</f>
        <v>198223.43</v>
      </c>
      <c r="E15" s="205">
        <f>'T16 &amp; T17'!F14+'T16 &amp; T17'!F22</f>
        <v>91731.74</v>
      </c>
      <c r="F15" s="205">
        <f>C15-D15-E15</f>
        <v>21513.789999999964</v>
      </c>
      <c r="G15" s="182">
        <f>'T16 &amp; T17'!H14+'T16 &amp; T17'!H22</f>
        <v>1291</v>
      </c>
      <c r="H15" s="183">
        <f>G15/$G$27</f>
        <v>7.0989062955366519E-3</v>
      </c>
      <c r="I15" s="183">
        <f>C15/(D15/0.75)</f>
        <v>1.1784768329354405</v>
      </c>
      <c r="J15" s="207">
        <f>C15/G15</f>
        <v>241.26178156467853</v>
      </c>
      <c r="K15" s="207">
        <f>F15/G15</f>
        <v>16.664438419829562</v>
      </c>
    </row>
    <row r="16" spans="1:11" ht="14.1" customHeight="1">
      <c r="A16" s="180" t="s">
        <v>52</v>
      </c>
      <c r="B16" s="180">
        <v>6</v>
      </c>
      <c r="C16" s="205">
        <f>'T16 &amp; T17'!D15+'T16 &amp; T17'!D23</f>
        <v>470798.62</v>
      </c>
      <c r="D16" s="205">
        <f>'T16 &amp; T17'!E15+'T16 &amp; T17'!E23</f>
        <v>251073.14</v>
      </c>
      <c r="E16" s="205">
        <f>'T16 &amp; T17'!F15+'T16 &amp; T17'!F23</f>
        <v>183332.45</v>
      </c>
      <c r="F16" s="205">
        <f>C16-D16-E16</f>
        <v>36393.02999999997</v>
      </c>
      <c r="G16" s="182">
        <f>'T16 &amp; T17'!H15+'T16 &amp; T17'!H23</f>
        <v>1695</v>
      </c>
      <c r="H16" s="183">
        <f>G16/$G$27</f>
        <v>9.3204075685008724E-3</v>
      </c>
      <c r="I16" s="183">
        <f>C16/(D16/0.75)</f>
        <v>1.4063589796981069</v>
      </c>
      <c r="J16" s="207">
        <f>C16/G16</f>
        <v>277.75729793510322</v>
      </c>
      <c r="K16" s="207">
        <f>F16/G16</f>
        <v>21.470814159292019</v>
      </c>
    </row>
    <row r="17" spans="1:11" ht="14.1" customHeight="1">
      <c r="A17" s="180" t="s">
        <v>53</v>
      </c>
      <c r="B17" s="180">
        <v>7</v>
      </c>
      <c r="C17" s="205">
        <f>'T16 &amp; T17'!D16+'T16 &amp; T17'!D24</f>
        <v>4878368.6400000006</v>
      </c>
      <c r="D17" s="205">
        <f>'T16 &amp; T17'!E16+'T16 &amp; T17'!E24</f>
        <v>2103723.19</v>
      </c>
      <c r="E17" s="205">
        <f>'T16 &amp; T17'!F16+'T16 &amp; T17'!F24</f>
        <v>2030848.41</v>
      </c>
      <c r="F17" s="205">
        <f>C17-D17-E17</f>
        <v>743797.04000000074</v>
      </c>
      <c r="G17" s="182">
        <f>'T16 &amp; T17'!H16+'T16 &amp; T17'!H24</f>
        <v>5789</v>
      </c>
      <c r="H17" s="183">
        <f>G17/$G$27</f>
        <v>3.1832353636608579E-2</v>
      </c>
      <c r="I17" s="183">
        <f>C17/(D17/0.75)</f>
        <v>1.7391910197082536</v>
      </c>
      <c r="J17" s="207">
        <f>C17/G17</f>
        <v>842.69625842114363</v>
      </c>
      <c r="K17" s="207">
        <f>F17/G17</f>
        <v>128.48454655380908</v>
      </c>
    </row>
    <row r="18" spans="1:11" ht="14.1" customHeight="1">
      <c r="A18" s="180" t="s">
        <v>54</v>
      </c>
      <c r="B18" s="180">
        <v>8</v>
      </c>
      <c r="C18" s="205">
        <f>'T16 &amp; T17'!D17+'T16 &amp; T17'!D25</f>
        <v>8632073.5</v>
      </c>
      <c r="D18" s="205">
        <f>'T16 &amp; T17'!E17+'T16 &amp; T17'!E25</f>
        <v>1991515.2</v>
      </c>
      <c r="E18" s="205">
        <f>'T16 &amp; T17'!F17+'T16 &amp; T17'!F25</f>
        <v>1748094.13</v>
      </c>
      <c r="F18" s="205">
        <f>C18-D18-E18</f>
        <v>4892464.17</v>
      </c>
      <c r="G18" s="182">
        <f>'T16 &amp; T17'!H17+'T16 &amp; T17'!H25</f>
        <v>12760</v>
      </c>
      <c r="H18" s="183">
        <f>G18/$G$27</f>
        <v>7.0164248126295653E-2</v>
      </c>
      <c r="I18" s="183">
        <f>C18/(D18/0.75)</f>
        <v>3.2508188363312516</v>
      </c>
      <c r="J18" s="207">
        <f>C18/G18</f>
        <v>676.49478840125391</v>
      </c>
      <c r="K18" s="207">
        <f>F18/G18</f>
        <v>383.42195689655171</v>
      </c>
    </row>
    <row r="19" spans="1:11" s="62" customFormat="1" ht="14.1" customHeight="1">
      <c r="A19" s="201" t="s">
        <v>55</v>
      </c>
      <c r="B19" s="185"/>
      <c r="C19" s="202">
        <f>SUM(C13:C18)</f>
        <v>14292709.720000001</v>
      </c>
      <c r="D19" s="202">
        <f>SUM(D13:D18)</f>
        <v>4544534.96</v>
      </c>
      <c r="E19" s="202">
        <f>SUM(E13:E18)</f>
        <v>4054006.73</v>
      </c>
      <c r="F19" s="202">
        <f>SUM(F13:F18)</f>
        <v>5694168.0300000003</v>
      </c>
      <c r="G19" s="206">
        <f>SUM(G13:G18)</f>
        <v>21535</v>
      </c>
      <c r="H19" s="203">
        <f>G19/$G$27</f>
        <v>0.11841591562694175</v>
      </c>
      <c r="I19" s="203">
        <f>C19/(D19/0.75)</f>
        <v>2.3587743045990344</v>
      </c>
      <c r="J19" s="204">
        <f>C19/G19</f>
        <v>663.69675969352215</v>
      </c>
      <c r="K19" s="204">
        <f>F19/G19</f>
        <v>264.41458230787094</v>
      </c>
    </row>
    <row r="20" spans="1:11" ht="17.100000000000001" customHeight="1">
      <c r="A20" s="179" t="s">
        <v>57</v>
      </c>
      <c r="B20" s="47"/>
      <c r="C20" s="50"/>
      <c r="D20" s="50"/>
      <c r="E20" s="50"/>
      <c r="F20" s="50"/>
      <c r="G20" s="48"/>
      <c r="H20" s="49"/>
      <c r="I20" s="49"/>
      <c r="J20" s="51"/>
      <c r="K20" s="51"/>
    </row>
    <row r="21" spans="1:11" ht="39.4">
      <c r="A21" s="199"/>
      <c r="B21" s="197"/>
      <c r="C21" s="200" t="s">
        <v>41</v>
      </c>
      <c r="D21" s="200" t="s">
        <v>42</v>
      </c>
      <c r="E21" s="200" t="s">
        <v>43</v>
      </c>
      <c r="F21" s="200" t="s">
        <v>44</v>
      </c>
      <c r="G21" s="200" t="s">
        <v>45</v>
      </c>
      <c r="H21" s="200" t="s">
        <v>46</v>
      </c>
      <c r="I21" s="200" t="s">
        <v>47</v>
      </c>
      <c r="J21" s="200" t="s">
        <v>48</v>
      </c>
      <c r="K21" s="200" t="s">
        <v>49</v>
      </c>
    </row>
    <row r="22" spans="1:11" ht="14.1" customHeight="1">
      <c r="A22" s="180" t="s">
        <v>50</v>
      </c>
      <c r="B22" s="180">
        <v>10</v>
      </c>
      <c r="C22" s="205">
        <f>'T16 &amp; T17'!D7+'T16 &amp; T17'!D21</f>
        <v>1908208.11</v>
      </c>
      <c r="D22" s="205">
        <f>'T16 &amp; T17'!E7+'T16 &amp; T17'!E21</f>
        <v>1434108.02</v>
      </c>
      <c r="E22" s="205">
        <f>'T16 &amp; T17'!F7+'T16 &amp; T17'!F21</f>
        <v>473029.64</v>
      </c>
      <c r="F22" s="205">
        <f>C22-D22-E22</f>
        <v>1070.4500000000698</v>
      </c>
      <c r="G22" s="182">
        <f>'T16 &amp; T17'!H7+'T16 &amp; T17'!H21</f>
        <v>30669</v>
      </c>
      <c r="H22" s="183">
        <f t="shared" ref="H22:H27" si="4">G22/$G$27</f>
        <v>0.16864163995183082</v>
      </c>
      <c r="I22" s="183">
        <f t="shared" ref="I22:I27" si="5">C22/(D22/0.75)</f>
        <v>0.99794162123157226</v>
      </c>
      <c r="J22" s="207">
        <f t="shared" ref="J22:J27" si="6">C22/G22</f>
        <v>62.219443411914312</v>
      </c>
      <c r="K22" s="207">
        <f t="shared" ref="K22:K27" si="7">F22/G22</f>
        <v>3.4903322573284747E-2</v>
      </c>
    </row>
    <row r="23" spans="1:11" ht="14.1" customHeight="1">
      <c r="A23" s="180" t="s">
        <v>51</v>
      </c>
      <c r="B23" s="180">
        <v>11</v>
      </c>
      <c r="C23" s="205">
        <f>'T16 &amp; T17'!D8+'T16 &amp; T17'!D14+'T16 &amp; T17'!D22</f>
        <v>3041251.59</v>
      </c>
      <c r="D23" s="205">
        <f>'T16 &amp; T17'!E8+'T16 &amp; T17'!E14+'T16 &amp; T17'!E22</f>
        <v>1927695.08</v>
      </c>
      <c r="E23" s="205">
        <f>'T16 &amp; T17'!F8+'T16 &amp; T17'!F14+'T16 &amp; T17'!F22</f>
        <v>1092027.69</v>
      </c>
      <c r="F23" s="205">
        <f>C23-D23-E23</f>
        <v>21528.819999999832</v>
      </c>
      <c r="G23" s="182">
        <f>'T16 &amp; T17'!H8+'T16 &amp; T17'!H14+'T16 &amp; T17'!H22</f>
        <v>18639</v>
      </c>
      <c r="H23" s="183">
        <f t="shared" si="4"/>
        <v>0.10249149066034675</v>
      </c>
      <c r="I23" s="183">
        <f t="shared" si="5"/>
        <v>1.1832466224378182</v>
      </c>
      <c r="J23" s="207">
        <f t="shared" si="6"/>
        <v>163.16602768388861</v>
      </c>
      <c r="K23" s="207">
        <f t="shared" si="7"/>
        <v>1.1550415794838689</v>
      </c>
    </row>
    <row r="24" spans="1:11" ht="14.1" customHeight="1">
      <c r="A24" s="180" t="s">
        <v>52</v>
      </c>
      <c r="B24" s="180">
        <v>12</v>
      </c>
      <c r="C24" s="205">
        <f>'T16 &amp; T17'!D9+'T16 &amp; T17'!D15+'T16 &amp; T17'!D23</f>
        <v>10390366.119999999</v>
      </c>
      <c r="D24" s="205">
        <f>'T16 &amp; T17'!E9+'T16 &amp; T17'!E15+'T16 &amp; T17'!E23</f>
        <v>5663940.1400000006</v>
      </c>
      <c r="E24" s="205">
        <f>'T16 &amp; T17'!F9+'T16 &amp; T17'!F15+'T16 &amp; T17'!F23</f>
        <v>4690028.7700000005</v>
      </c>
      <c r="F24" s="205">
        <f>C24-D24-E24</f>
        <v>36397.2099999981</v>
      </c>
      <c r="G24" s="182">
        <f>'T16 &amp; T17'!H9+'T16 &amp; T17'!H15+'T16 &amp; T17'!H23</f>
        <v>56550</v>
      </c>
      <c r="H24" s="183">
        <f t="shared" si="4"/>
        <v>0.31095519055971932</v>
      </c>
      <c r="I24" s="183">
        <f t="shared" si="5"/>
        <v>1.3758575121523087</v>
      </c>
      <c r="J24" s="207">
        <f t="shared" si="6"/>
        <v>183.73768558797522</v>
      </c>
      <c r="K24" s="207">
        <f t="shared" si="7"/>
        <v>0.64362882404948007</v>
      </c>
    </row>
    <row r="25" spans="1:11" ht="14.1" customHeight="1">
      <c r="A25" s="180" t="s">
        <v>53</v>
      </c>
      <c r="B25" s="180">
        <v>13</v>
      </c>
      <c r="C25" s="205">
        <f>'T16 &amp; T17'!D10+'T16 &amp; T17'!D16+'T16 &amp; T17'!D24</f>
        <v>17011770.98</v>
      </c>
      <c r="D25" s="205">
        <f>'T16 &amp; T17'!E10+'T16 &amp; T17'!E16+'T16 &amp; T17'!E24</f>
        <v>7728223.3599999994</v>
      </c>
      <c r="E25" s="205">
        <f>'T16 &amp; T17'!F10+'T16 &amp; T17'!F16+'T16 &amp; T17'!F24</f>
        <v>8539741.7400000002</v>
      </c>
      <c r="F25" s="205">
        <f>C25-D25-E25</f>
        <v>743805.88000000082</v>
      </c>
      <c r="G25" s="182">
        <f>'T16 &amp; T17'!H10+'T16 &amp; T17'!H16+'T16 &amp; T17'!H24</f>
        <v>63079</v>
      </c>
      <c r="H25" s="183">
        <f t="shared" si="4"/>
        <v>0.34685663068641093</v>
      </c>
      <c r="I25" s="183">
        <f t="shared" si="5"/>
        <v>1.650939373858884</v>
      </c>
      <c r="J25" s="207">
        <f t="shared" si="6"/>
        <v>269.68992818529148</v>
      </c>
      <c r="K25" s="207">
        <f t="shared" si="7"/>
        <v>11.791656177174668</v>
      </c>
    </row>
    <row r="26" spans="1:11" ht="14.1" customHeight="1">
      <c r="A26" s="180" t="s">
        <v>54</v>
      </c>
      <c r="B26" s="180">
        <v>14</v>
      </c>
      <c r="C26" s="205">
        <f>'T16 &amp; T17'!D11+'T16 &amp; T17'!D17+'T16 &amp; T17'!D25</f>
        <v>8869476.5700000003</v>
      </c>
      <c r="D26" s="205">
        <f>'T16 &amp; T17'!E11+'T16 &amp; T17'!E17+'T16 &amp; T17'!E25</f>
        <v>2055636.3</v>
      </c>
      <c r="E26" s="205">
        <f>'T16 &amp; T17'!F11+'T16 &amp; T17'!F17+'T16 &amp; T17'!F25</f>
        <v>1921376.0999999999</v>
      </c>
      <c r="F26" s="205">
        <f>C26-D26-E26</f>
        <v>4892464.1700000009</v>
      </c>
      <c r="G26" s="182">
        <f>'T16 &amp; T17'!H11+'T16 &amp; T17'!H17+'T16 &amp; T17'!H25</f>
        <v>12922</v>
      </c>
      <c r="H26" s="183">
        <f t="shared" si="4"/>
        <v>7.1055048141692195E-2</v>
      </c>
      <c r="I26" s="183">
        <f t="shared" si="5"/>
        <v>3.2360332552504549</v>
      </c>
      <c r="J26" s="207">
        <f t="shared" si="6"/>
        <v>686.38574291905275</v>
      </c>
      <c r="K26" s="207">
        <f t="shared" si="7"/>
        <v>378.61508822163756</v>
      </c>
    </row>
    <row r="27" spans="1:11" s="62" customFormat="1" ht="14.1" customHeight="1">
      <c r="A27" s="201" t="s">
        <v>55</v>
      </c>
      <c r="B27" s="185"/>
      <c r="C27" s="202">
        <f>SUM(C22:C26)</f>
        <v>41221073.370000005</v>
      </c>
      <c r="D27" s="202">
        <f>SUM(D22:D26)</f>
        <v>18809602.899999999</v>
      </c>
      <c r="E27" s="202">
        <f>SUM(E22:E26)</f>
        <v>16716203.939999999</v>
      </c>
      <c r="F27" s="202">
        <f>SUM(F22:F26)</f>
        <v>5695266.5299999993</v>
      </c>
      <c r="G27" s="206">
        <f>SUM(G22:G26)</f>
        <v>181859</v>
      </c>
      <c r="H27" s="203">
        <f t="shared" si="4"/>
        <v>1</v>
      </c>
      <c r="I27" s="203">
        <f t="shared" si="5"/>
        <v>1.6436181663090828</v>
      </c>
      <c r="J27" s="204">
        <f t="shared" si="6"/>
        <v>226.66501723862996</v>
      </c>
      <c r="K27" s="204">
        <f t="shared" si="7"/>
        <v>31.316935263033447</v>
      </c>
    </row>
    <row r="28" spans="1:11" s="62" customFormat="1" ht="15" customHeight="1" thickBot="1">
      <c r="A28" s="52"/>
      <c r="B28" s="52"/>
      <c r="C28" s="53"/>
      <c r="D28" s="53"/>
      <c r="E28" s="53"/>
      <c r="F28" s="53"/>
      <c r="G28" s="54"/>
      <c r="H28" s="55"/>
      <c r="I28" s="55"/>
      <c r="J28" s="56"/>
      <c r="K28" s="56"/>
    </row>
    <row r="29" spans="1:11" ht="17.100000000000001" customHeight="1">
      <c r="A29" s="179" t="s">
        <v>58</v>
      </c>
      <c r="B29" s="47"/>
      <c r="C29" s="50"/>
      <c r="D29" s="50"/>
      <c r="E29" s="50"/>
      <c r="F29" s="50"/>
      <c r="G29" s="48"/>
      <c r="H29" s="49"/>
      <c r="I29" s="49"/>
      <c r="J29" s="51"/>
      <c r="K29" s="51"/>
    </row>
    <row r="30" spans="1:11" ht="39.4">
      <c r="A30" s="199"/>
      <c r="B30" s="197"/>
      <c r="C30" s="200" t="s">
        <v>41</v>
      </c>
      <c r="D30" s="200" t="s">
        <v>42</v>
      </c>
      <c r="E30" s="200" t="s">
        <v>43</v>
      </c>
      <c r="F30" s="200" t="s">
        <v>44</v>
      </c>
      <c r="G30" s="200" t="s">
        <v>45</v>
      </c>
      <c r="H30" s="200" t="s">
        <v>46</v>
      </c>
      <c r="I30" s="200" t="s">
        <v>47</v>
      </c>
      <c r="J30" s="200" t="s">
        <v>48</v>
      </c>
      <c r="K30" s="200" t="s">
        <v>49</v>
      </c>
    </row>
    <row r="31" spans="1:11" ht="14.1" customHeight="1">
      <c r="A31" s="180" t="s">
        <v>50</v>
      </c>
      <c r="B31" s="180"/>
      <c r="C31" s="205"/>
      <c r="D31" s="205"/>
      <c r="E31" s="205"/>
      <c r="F31" s="205"/>
      <c r="G31" s="182"/>
      <c r="H31" s="183"/>
      <c r="I31" s="183"/>
      <c r="J31" s="207"/>
      <c r="K31" s="207"/>
    </row>
    <row r="32" spans="1:11" ht="14.1" customHeight="1">
      <c r="A32" s="180" t="s">
        <v>51</v>
      </c>
      <c r="B32" s="180">
        <v>15</v>
      </c>
      <c r="C32" s="205">
        <f>'T16 &amp; T17'!D14</f>
        <v>237324.15</v>
      </c>
      <c r="D32" s="205">
        <f>'T16 &amp; T17'!E14</f>
        <v>150409.57999999999</v>
      </c>
      <c r="E32" s="205">
        <f>'T16 &amp; T17'!F14</f>
        <v>75922.5</v>
      </c>
      <c r="F32" s="205">
        <f>C32-D32-E32</f>
        <v>10992.070000000007</v>
      </c>
      <c r="G32" s="182">
        <f>'T16 &amp; T17'!H14</f>
        <v>1115</v>
      </c>
      <c r="H32" s="183">
        <f>G32/$G$27</f>
        <v>6.1311235627601601E-3</v>
      </c>
      <c r="I32" s="183">
        <f>C32/(D32/0.75)</f>
        <v>1.183389465617815</v>
      </c>
      <c r="J32" s="207">
        <f>C32/G32</f>
        <v>212.84677130044844</v>
      </c>
      <c r="K32" s="207">
        <f>F32/G32</f>
        <v>9.858358744394625</v>
      </c>
    </row>
    <row r="33" spans="1:11" ht="14.1" customHeight="1">
      <c r="A33" s="180" t="s">
        <v>52</v>
      </c>
      <c r="B33" s="180">
        <v>16</v>
      </c>
      <c r="C33" s="205">
        <f>'T16 &amp; T17'!D15</f>
        <v>422841.29</v>
      </c>
      <c r="D33" s="205">
        <f>'T16 &amp; T17'!E15</f>
        <v>224836.95</v>
      </c>
      <c r="E33" s="205">
        <f>'T16 &amp; T17'!F15</f>
        <v>174883.01</v>
      </c>
      <c r="F33" s="205">
        <f>C33-D33-E33</f>
        <v>23121.329999999958</v>
      </c>
      <c r="G33" s="182">
        <f>'T16 &amp; T17'!H15</f>
        <v>1607</v>
      </c>
      <c r="H33" s="183">
        <f>G33/$G$27</f>
        <v>8.8365162021126261E-3</v>
      </c>
      <c r="I33" s="183">
        <f>C33/(D33/0.75)</f>
        <v>1.4104931040027004</v>
      </c>
      <c r="J33" s="207">
        <f>C33/G33</f>
        <v>263.12463596764155</v>
      </c>
      <c r="K33" s="207">
        <f>F33/G33</f>
        <v>14.387884256378319</v>
      </c>
    </row>
    <row r="34" spans="1:11" ht="14.1" customHeight="1">
      <c r="A34" s="180" t="s">
        <v>53</v>
      </c>
      <c r="B34" s="180">
        <v>17</v>
      </c>
      <c r="C34" s="205">
        <f>'T16 &amp; T17'!D16</f>
        <v>4719584.95</v>
      </c>
      <c r="D34" s="205">
        <f>'T16 &amp; T17'!E16</f>
        <v>2035515.94</v>
      </c>
      <c r="E34" s="205">
        <f>'T16 &amp; T17'!F16</f>
        <v>2008034.94</v>
      </c>
      <c r="F34" s="205">
        <f>C34-D34-E34</f>
        <v>676034.0700000003</v>
      </c>
      <c r="G34" s="182">
        <f>'T16 &amp; T17'!H16</f>
        <v>5510</v>
      </c>
      <c r="H34" s="183">
        <f>G34/$G$27</f>
        <v>3.0298198054536755E-2</v>
      </c>
      <c r="I34" s="183">
        <f>C34/(D34/0.75)</f>
        <v>1.7389638877011202</v>
      </c>
      <c r="J34" s="207">
        <f>C34/G34</f>
        <v>856.54899274047193</v>
      </c>
      <c r="K34" s="207">
        <f>F34/G34</f>
        <v>122.69220871143381</v>
      </c>
    </row>
    <row r="35" spans="1:11" ht="14.1" customHeight="1">
      <c r="A35" s="180" t="s">
        <v>54</v>
      </c>
      <c r="B35" s="180">
        <v>18</v>
      </c>
      <c r="C35" s="205">
        <f>'T16 &amp; T17'!D17</f>
        <v>5358753.96</v>
      </c>
      <c r="D35" s="205">
        <f>'T16 &amp; T17'!E17</f>
        <v>1355612.42</v>
      </c>
      <c r="E35" s="205">
        <f>'T16 &amp; T17'!F17</f>
        <v>1530579.39</v>
      </c>
      <c r="F35" s="205">
        <f>C35-D35-E35</f>
        <v>2472562.1500000004</v>
      </c>
      <c r="G35" s="182">
        <f>'T16 &amp; T17'!H17</f>
        <v>11030</v>
      </c>
      <c r="H35" s="183">
        <f>G35/$G$27</f>
        <v>6.0651383764344903E-2</v>
      </c>
      <c r="I35" s="183">
        <f>C35/(D35/0.75)</f>
        <v>2.9647599938631428</v>
      </c>
      <c r="J35" s="207">
        <f>C35/G35</f>
        <v>485.83444786944693</v>
      </c>
      <c r="K35" s="207">
        <f>F35/G35</f>
        <v>224.16701269265641</v>
      </c>
    </row>
    <row r="36" spans="1:11" s="62" customFormat="1" ht="14.1" customHeight="1">
      <c r="A36" s="201" t="s">
        <v>55</v>
      </c>
      <c r="B36" s="185"/>
      <c r="C36" s="202">
        <f>SUM(C31:C35)</f>
        <v>10738504.350000001</v>
      </c>
      <c r="D36" s="202">
        <f>SUM(D31:D35)</f>
        <v>3766374.8899999997</v>
      </c>
      <c r="E36" s="202">
        <f>SUM(E31:E35)</f>
        <v>3789419.84</v>
      </c>
      <c r="F36" s="202">
        <f>SUM(F31:F35)</f>
        <v>3182709.6200000006</v>
      </c>
      <c r="G36" s="206">
        <f>SUM(G31:G35)</f>
        <v>19262</v>
      </c>
      <c r="H36" s="203">
        <f>G36/$G$27</f>
        <v>0.10591722158375445</v>
      </c>
      <c r="I36" s="203">
        <f>C36/(D36/0.75)</f>
        <v>2.1383634124907842</v>
      </c>
      <c r="J36" s="204">
        <f>C36/G36</f>
        <v>557.496851313467</v>
      </c>
      <c r="K36" s="204">
        <f>F36/G36</f>
        <v>165.23256255840519</v>
      </c>
    </row>
    <row r="37" spans="1:11" ht="17.100000000000001" customHeight="1">
      <c r="A37" s="179" t="s">
        <v>59</v>
      </c>
      <c r="B37" s="47"/>
      <c r="C37" s="50"/>
      <c r="D37" s="50"/>
      <c r="E37" s="50"/>
      <c r="F37" s="50"/>
      <c r="G37" s="48"/>
      <c r="H37" s="49"/>
      <c r="I37" s="49"/>
      <c r="J37" s="51"/>
      <c r="K37" s="51"/>
    </row>
    <row r="38" spans="1:11" ht="39.4">
      <c r="A38" s="199"/>
      <c r="B38" s="197"/>
      <c r="C38" s="200" t="s">
        <v>41</v>
      </c>
      <c r="D38" s="200" t="s">
        <v>42</v>
      </c>
      <c r="E38" s="200" t="s">
        <v>43</v>
      </c>
      <c r="F38" s="200" t="s">
        <v>44</v>
      </c>
      <c r="G38" s="200" t="s">
        <v>45</v>
      </c>
      <c r="H38" s="200" t="s">
        <v>46</v>
      </c>
      <c r="I38" s="200" t="s">
        <v>47</v>
      </c>
      <c r="J38" s="200" t="s">
        <v>48</v>
      </c>
      <c r="K38" s="200" t="s">
        <v>49</v>
      </c>
    </row>
    <row r="39" spans="1:11" ht="14.1" customHeight="1">
      <c r="A39" s="180" t="s">
        <v>50</v>
      </c>
      <c r="B39" s="180">
        <v>10</v>
      </c>
      <c r="C39" s="205">
        <f>'T16 &amp; T17'!D7+'T16 &amp; T17'!D21</f>
        <v>1908208.11</v>
      </c>
      <c r="D39" s="205">
        <f>'T16 &amp; T17'!E7+'T16 &amp; T17'!E21</f>
        <v>1434108.02</v>
      </c>
      <c r="E39" s="205">
        <f>'T16 &amp; T17'!F7+'T16 &amp; T17'!F21</f>
        <v>473029.64</v>
      </c>
      <c r="F39" s="205">
        <f>C39-D39-E39</f>
        <v>1070.4500000000698</v>
      </c>
      <c r="G39" s="182">
        <f>'T16 &amp; T17'!H7+'T16 &amp; T17'!H21</f>
        <v>30669</v>
      </c>
      <c r="H39" s="183">
        <f t="shared" ref="H39:H44" si="8">G39/$G$27</f>
        <v>0.16864163995183082</v>
      </c>
      <c r="I39" s="183">
        <f t="shared" ref="I39:I44" si="9">C39/(D39/0.75)</f>
        <v>0.99794162123157226</v>
      </c>
      <c r="J39" s="207">
        <f t="shared" ref="J39:J44" si="10">C39/G39</f>
        <v>62.219443411914312</v>
      </c>
      <c r="K39" s="207">
        <f t="shared" ref="K39:K44" si="11">F39/G39</f>
        <v>3.4903322573284747E-2</v>
      </c>
    </row>
    <row r="40" spans="1:11" ht="14.1" customHeight="1">
      <c r="A40" s="180" t="s">
        <v>51</v>
      </c>
      <c r="B40" s="180">
        <v>11</v>
      </c>
      <c r="C40" s="205">
        <f>'T16 &amp; T17'!D8+'T16 &amp; T17'!D14</f>
        <v>2967106.78</v>
      </c>
      <c r="D40" s="205">
        <f>'T16 &amp; T17'!E8+'T16 &amp; T17'!E14</f>
        <v>1879881.23</v>
      </c>
      <c r="E40" s="205">
        <f>'T16 &amp; T17'!F8+'T16 &amp; T17'!F14</f>
        <v>1076218.45</v>
      </c>
      <c r="F40" s="205">
        <f>C40-D40-E40</f>
        <v>11007.09999999986</v>
      </c>
      <c r="G40" s="182">
        <f>'T16 &amp; T17'!H8+'T16 &amp; T17'!H14</f>
        <v>18463</v>
      </c>
      <c r="H40" s="183">
        <f t="shared" si="8"/>
        <v>0.10152370792757026</v>
      </c>
      <c r="I40" s="183">
        <f t="shared" si="9"/>
        <v>1.1837610001563768</v>
      </c>
      <c r="J40" s="207">
        <f t="shared" si="10"/>
        <v>160.70556139305637</v>
      </c>
      <c r="K40" s="207">
        <f t="shared" si="11"/>
        <v>0.59617071981800684</v>
      </c>
    </row>
    <row r="41" spans="1:11" ht="14.1" customHeight="1">
      <c r="A41" s="180" t="s">
        <v>52</v>
      </c>
      <c r="B41" s="180">
        <v>12</v>
      </c>
      <c r="C41" s="205">
        <f>'T16 &amp; T17'!D9+'T16 &amp; T17'!D15</f>
        <v>10342408.789999999</v>
      </c>
      <c r="D41" s="205">
        <f>'T16 &amp; T17'!E9+'T16 &amp; T17'!E15</f>
        <v>5637703.9500000002</v>
      </c>
      <c r="E41" s="205">
        <f>'T16 &amp; T17'!F9+'T16 &amp; T17'!F15</f>
        <v>4681579.33</v>
      </c>
      <c r="F41" s="205">
        <f>C41-D41-E41</f>
        <v>23125.509999998845</v>
      </c>
      <c r="G41" s="182">
        <f>'T16 &amp; T17'!H9+'T16 &amp; T17'!H15</f>
        <v>56462</v>
      </c>
      <c r="H41" s="183">
        <f t="shared" si="8"/>
        <v>0.31047129919333111</v>
      </c>
      <c r="I41" s="183">
        <f t="shared" si="9"/>
        <v>1.3758804402100608</v>
      </c>
      <c r="J41" s="207">
        <f t="shared" si="10"/>
        <v>183.17468013885443</v>
      </c>
      <c r="K41" s="207">
        <f t="shared" si="11"/>
        <v>0.40957652934715111</v>
      </c>
    </row>
    <row r="42" spans="1:11" ht="14.1" customHeight="1">
      <c r="A42" s="180" t="s">
        <v>53</v>
      </c>
      <c r="B42" s="180">
        <v>13</v>
      </c>
      <c r="C42" s="205">
        <f>'T16 &amp; T17'!D10+'T16 &amp; T17'!D16</f>
        <v>16852987.289999999</v>
      </c>
      <c r="D42" s="205">
        <f>'T16 &amp; T17'!E10+'T16 &amp; T17'!E16</f>
        <v>7660016.1099999994</v>
      </c>
      <c r="E42" s="205">
        <f>'T16 &amp; T17'!F10+'T16 &amp; T17'!F16</f>
        <v>8516928.2699999996</v>
      </c>
      <c r="F42" s="205">
        <f>C42-D42-E42</f>
        <v>676042.91000000015</v>
      </c>
      <c r="G42" s="182">
        <f>'T16 &amp; T17'!H10+'T16 &amp; T17'!H16</f>
        <v>62800</v>
      </c>
      <c r="H42" s="183">
        <f t="shared" si="8"/>
        <v>0.34532247510433906</v>
      </c>
      <c r="I42" s="183">
        <f t="shared" si="9"/>
        <v>1.6500931964097396</v>
      </c>
      <c r="J42" s="207">
        <f t="shared" si="10"/>
        <v>268.35967022292994</v>
      </c>
      <c r="K42" s="207">
        <f t="shared" si="11"/>
        <v>10.765014490445862</v>
      </c>
    </row>
    <row r="43" spans="1:11" ht="14.1" customHeight="1">
      <c r="A43" s="180" t="s">
        <v>54</v>
      </c>
      <c r="B43" s="180">
        <v>14</v>
      </c>
      <c r="C43" s="205">
        <f>'T16 &amp; T17'!D11+'T16 &amp; T17'!D17</f>
        <v>5596157.0300000003</v>
      </c>
      <c r="D43" s="205">
        <f>'T16 &amp; T17'!E11+'T16 &amp; T17'!E17</f>
        <v>1419733.52</v>
      </c>
      <c r="E43" s="205">
        <f>'T16 &amp; T17'!F11+'T16 &amp; T17'!F17</f>
        <v>1703861.3599999999</v>
      </c>
      <c r="F43" s="205">
        <f>C43-D43-E43</f>
        <v>2472562.1500000004</v>
      </c>
      <c r="G43" s="182">
        <f>'T16 &amp; T17'!H11+'T16 &amp; T17'!H17</f>
        <v>11192</v>
      </c>
      <c r="H43" s="183">
        <f t="shared" si="8"/>
        <v>6.1542183779741445E-2</v>
      </c>
      <c r="I43" s="183">
        <f t="shared" si="9"/>
        <v>2.9562715209400707</v>
      </c>
      <c r="J43" s="207">
        <f t="shared" si="10"/>
        <v>500.0140305575411</v>
      </c>
      <c r="K43" s="207">
        <f t="shared" si="11"/>
        <v>220.92227930664765</v>
      </c>
    </row>
    <row r="44" spans="1:11" s="62" customFormat="1" ht="14.1" customHeight="1">
      <c r="A44" s="201" t="s">
        <v>55</v>
      </c>
      <c r="B44" s="185"/>
      <c r="C44" s="202">
        <f>SUM(C39:C43)</f>
        <v>37666868</v>
      </c>
      <c r="D44" s="202">
        <f>SUM(D39:D43)</f>
        <v>18031442.829999998</v>
      </c>
      <c r="E44" s="202">
        <f>SUM(E39:E43)</f>
        <v>16451617.049999999</v>
      </c>
      <c r="F44" s="202">
        <f>SUM(F39:F43)</f>
        <v>3183808.1199999992</v>
      </c>
      <c r="G44" s="206">
        <f>SUM(G39:G43)</f>
        <v>179586</v>
      </c>
      <c r="H44" s="203">
        <f t="shared" si="8"/>
        <v>0.98750130595681274</v>
      </c>
      <c r="I44" s="203">
        <f t="shared" si="9"/>
        <v>1.5667160562990845</v>
      </c>
      <c r="J44" s="204">
        <f t="shared" si="10"/>
        <v>209.74278618600559</v>
      </c>
      <c r="K44" s="204">
        <f t="shared" si="11"/>
        <v>17.728598665820272</v>
      </c>
    </row>
    <row r="45" spans="1:11" ht="17.100000000000001" customHeight="1">
      <c r="A45" s="179" t="s">
        <v>60</v>
      </c>
      <c r="B45" s="47"/>
      <c r="C45" s="50"/>
      <c r="D45" s="50"/>
      <c r="E45" s="50"/>
      <c r="F45" s="50"/>
      <c r="G45" s="48"/>
      <c r="H45" s="49"/>
      <c r="I45" s="49"/>
      <c r="J45" s="51"/>
      <c r="K45" s="51"/>
    </row>
    <row r="46" spans="1:11" ht="39.4">
      <c r="A46" s="199"/>
      <c r="B46" s="197"/>
      <c r="C46" s="200" t="s">
        <v>41</v>
      </c>
      <c r="D46" s="200" t="s">
        <v>42</v>
      </c>
      <c r="E46" s="200" t="s">
        <v>43</v>
      </c>
      <c r="F46" s="200" t="s">
        <v>44</v>
      </c>
      <c r="G46" s="200" t="s">
        <v>45</v>
      </c>
      <c r="H46" s="200" t="s">
        <v>46</v>
      </c>
      <c r="I46" s="200" t="s">
        <v>47</v>
      </c>
      <c r="J46" s="200" t="s">
        <v>48</v>
      </c>
      <c r="K46" s="200" t="s">
        <v>49</v>
      </c>
    </row>
    <row r="47" spans="1:11" ht="14.1" customHeight="1">
      <c r="A47" s="180" t="s">
        <v>50</v>
      </c>
      <c r="B47" s="180"/>
      <c r="C47" s="205">
        <f>'T16 &amp; T17'!D7</f>
        <v>1668076.3</v>
      </c>
      <c r="D47" s="205">
        <f>'T16 &amp; T17'!E7</f>
        <v>1254387.72</v>
      </c>
      <c r="E47" s="205">
        <f>'T16 &amp; T17'!F7</f>
        <v>413688.58</v>
      </c>
      <c r="F47" s="205">
        <f>C47-D47-E47</f>
        <v>0</v>
      </c>
      <c r="G47" s="182">
        <f>'T16 &amp; T17'!H7</f>
        <v>28650</v>
      </c>
      <c r="H47" s="183">
        <f t="shared" ref="H47:H52" si="12">G47/$G$27</f>
        <v>0.15753963235253685</v>
      </c>
      <c r="I47" s="183">
        <f t="shared" ref="I47:I52" si="13">C47/(D47/0.75)</f>
        <v>0.99734492378480877</v>
      </c>
      <c r="J47" s="207">
        <f t="shared" ref="J47:J52" si="14">C47/G47</f>
        <v>58.22255846422339</v>
      </c>
      <c r="K47" s="207">
        <f t="shared" ref="K47:K52" si="15">F47/G47</f>
        <v>0</v>
      </c>
    </row>
    <row r="48" spans="1:11" ht="14.1" customHeight="1">
      <c r="A48" s="180" t="s">
        <v>51</v>
      </c>
      <c r="B48" s="180">
        <v>21</v>
      </c>
      <c r="C48" s="205">
        <f>'T16 &amp; T17'!D8+'T16 &amp; T17'!D14</f>
        <v>2967106.78</v>
      </c>
      <c r="D48" s="205">
        <f>'T16 &amp; T17'!E8+'T16 &amp; T17'!E14</f>
        <v>1879881.23</v>
      </c>
      <c r="E48" s="205">
        <f>'T16 &amp; T17'!F8+'T16 &amp; T17'!F14</f>
        <v>1076218.45</v>
      </c>
      <c r="F48" s="205">
        <f>C48-D48-E48</f>
        <v>11007.09999999986</v>
      </c>
      <c r="G48" s="182">
        <f>'T16 &amp; T17'!H8+'T16 &amp; T17'!H14</f>
        <v>18463</v>
      </c>
      <c r="H48" s="183">
        <f t="shared" si="12"/>
        <v>0.10152370792757026</v>
      </c>
      <c r="I48" s="183">
        <f t="shared" si="13"/>
        <v>1.1837610001563768</v>
      </c>
      <c r="J48" s="207">
        <f t="shared" si="14"/>
        <v>160.70556139305637</v>
      </c>
      <c r="K48" s="207">
        <f t="shared" si="15"/>
        <v>0.59617071981800684</v>
      </c>
    </row>
    <row r="49" spans="1:11" ht="14.1" customHeight="1">
      <c r="A49" s="180" t="s">
        <v>52</v>
      </c>
      <c r="B49" s="180">
        <v>22</v>
      </c>
      <c r="C49" s="205">
        <f>'T16 &amp; T17'!D9+'T16 &amp; T17'!D15</f>
        <v>10342408.789999999</v>
      </c>
      <c r="D49" s="205">
        <f>'T16 &amp; T17'!E9+'T16 &amp; T17'!E15</f>
        <v>5637703.9500000002</v>
      </c>
      <c r="E49" s="205">
        <f>'T16 &amp; T17'!F9+'T16 &amp; T17'!F15</f>
        <v>4681579.33</v>
      </c>
      <c r="F49" s="205">
        <f>C49-D49-E49</f>
        <v>23125.509999998845</v>
      </c>
      <c r="G49" s="182">
        <f>'T16 &amp; T17'!H9+'T16 &amp; T17'!H15</f>
        <v>56462</v>
      </c>
      <c r="H49" s="183">
        <f t="shared" si="12"/>
        <v>0.31047129919333111</v>
      </c>
      <c r="I49" s="183">
        <f t="shared" si="13"/>
        <v>1.3758804402100608</v>
      </c>
      <c r="J49" s="207">
        <f t="shared" si="14"/>
        <v>183.17468013885443</v>
      </c>
      <c r="K49" s="207">
        <f t="shared" si="15"/>
        <v>0.40957652934715111</v>
      </c>
    </row>
    <row r="50" spans="1:11" ht="14.1" customHeight="1">
      <c r="A50" s="180" t="s">
        <v>53</v>
      </c>
      <c r="B50" s="180">
        <v>23</v>
      </c>
      <c r="C50" s="205">
        <f>'T16 &amp; T17'!D10+'T16 &amp; T17'!D16</f>
        <v>16852987.289999999</v>
      </c>
      <c r="D50" s="205">
        <f>'T16 &amp; T17'!E10+'T16 &amp; T17'!E16</f>
        <v>7660016.1099999994</v>
      </c>
      <c r="E50" s="205">
        <f>'T16 &amp; T17'!F10+'T16 &amp; T17'!F16</f>
        <v>8516928.2699999996</v>
      </c>
      <c r="F50" s="205">
        <f>C50-D50-E50</f>
        <v>676042.91000000015</v>
      </c>
      <c r="G50" s="182">
        <f>'T16 &amp; T17'!H10+'T16 &amp; T17'!H16</f>
        <v>62800</v>
      </c>
      <c r="H50" s="183">
        <f t="shared" si="12"/>
        <v>0.34532247510433906</v>
      </c>
      <c r="I50" s="183">
        <f t="shared" si="13"/>
        <v>1.6500931964097396</v>
      </c>
      <c r="J50" s="207">
        <f t="shared" si="14"/>
        <v>268.35967022292994</v>
      </c>
      <c r="K50" s="207">
        <f t="shared" si="15"/>
        <v>10.765014490445862</v>
      </c>
    </row>
    <row r="51" spans="1:11" ht="14.1" customHeight="1">
      <c r="A51" s="180" t="s">
        <v>54</v>
      </c>
      <c r="B51" s="180">
        <v>24</v>
      </c>
      <c r="C51" s="205">
        <f>'T16 &amp; T17'!D11+'T16 &amp; T17'!D17</f>
        <v>5596157.0300000003</v>
      </c>
      <c r="D51" s="205">
        <f>'T16 &amp; T17'!E11+'T16 &amp; T17'!E17</f>
        <v>1419733.52</v>
      </c>
      <c r="E51" s="205">
        <f>'T16 &amp; T17'!F11+'T16 &amp; T17'!F17</f>
        <v>1703861.3599999999</v>
      </c>
      <c r="F51" s="205">
        <f>C51-D51-E51</f>
        <v>2472562.1500000004</v>
      </c>
      <c r="G51" s="182">
        <f>'T16 &amp; T17'!H11+'T16 &amp; T17'!H17</f>
        <v>11192</v>
      </c>
      <c r="H51" s="183">
        <f t="shared" si="12"/>
        <v>6.1542183779741445E-2</v>
      </c>
      <c r="I51" s="183">
        <f t="shared" si="13"/>
        <v>2.9562715209400707</v>
      </c>
      <c r="J51" s="207">
        <f t="shared" si="14"/>
        <v>500.0140305575411</v>
      </c>
      <c r="K51" s="207">
        <f t="shared" si="15"/>
        <v>220.92227930664765</v>
      </c>
    </row>
    <row r="52" spans="1:11" s="62" customFormat="1" ht="14.1" customHeight="1">
      <c r="A52" s="201" t="s">
        <v>55</v>
      </c>
      <c r="B52" s="185">
        <v>25</v>
      </c>
      <c r="C52" s="202">
        <f>SUM(C47:C51)</f>
        <v>37426736.189999998</v>
      </c>
      <c r="D52" s="202">
        <f>SUM(D47:D51)</f>
        <v>17851722.530000001</v>
      </c>
      <c r="E52" s="202">
        <f>SUM(E47:E51)</f>
        <v>16392275.989999998</v>
      </c>
      <c r="F52" s="202">
        <f>SUM(F47:F51)</f>
        <v>3182737.669999999</v>
      </c>
      <c r="G52" s="206">
        <f>SUM(G47:G51)</f>
        <v>177567</v>
      </c>
      <c r="H52" s="203">
        <f t="shared" si="12"/>
        <v>0.97639929835751871</v>
      </c>
      <c r="I52" s="203">
        <f t="shared" si="13"/>
        <v>1.5724002036961975</v>
      </c>
      <c r="J52" s="204">
        <f t="shared" si="14"/>
        <v>210.77529152376286</v>
      </c>
      <c r="K52" s="204">
        <f t="shared" si="15"/>
        <v>17.924150714941398</v>
      </c>
    </row>
    <row r="53" spans="1:11" ht="17.100000000000001" customHeight="1">
      <c r="A53" s="179" t="s">
        <v>61</v>
      </c>
      <c r="B53" s="47"/>
      <c r="C53" s="50"/>
      <c r="D53" s="50"/>
      <c r="E53" s="50"/>
      <c r="F53" s="50"/>
      <c r="G53" s="48"/>
      <c r="H53" s="49"/>
      <c r="I53" s="49"/>
      <c r="J53" s="51"/>
      <c r="K53" s="51"/>
    </row>
    <row r="54" spans="1:11" ht="39.4">
      <c r="A54" s="199"/>
      <c r="B54" s="197"/>
      <c r="C54" s="200" t="s">
        <v>41</v>
      </c>
      <c r="D54" s="200" t="s">
        <v>42</v>
      </c>
      <c r="E54" s="200" t="s">
        <v>43</v>
      </c>
      <c r="F54" s="200" t="s">
        <v>44</v>
      </c>
      <c r="G54" s="200" t="s">
        <v>45</v>
      </c>
      <c r="H54" s="200" t="s">
        <v>46</v>
      </c>
      <c r="I54" s="200" t="s">
        <v>47</v>
      </c>
      <c r="J54" s="200" t="s">
        <v>48</v>
      </c>
      <c r="K54" s="200" t="s">
        <v>49</v>
      </c>
    </row>
    <row r="55" spans="1:11" ht="14.1" customHeight="1">
      <c r="A55" s="180" t="s">
        <v>50</v>
      </c>
      <c r="B55" s="180"/>
      <c r="C55" s="205"/>
      <c r="D55" s="205"/>
      <c r="E55" s="205"/>
      <c r="F55" s="205"/>
      <c r="G55" s="182"/>
      <c r="H55" s="183"/>
      <c r="I55" s="183"/>
      <c r="J55" s="207"/>
      <c r="K55" s="207"/>
    </row>
    <row r="56" spans="1:11" ht="14.1" customHeight="1">
      <c r="A56" s="180" t="s">
        <v>51</v>
      </c>
      <c r="B56" s="180">
        <v>21</v>
      </c>
      <c r="C56" s="205">
        <f>'T16 &amp; T17'!D22</f>
        <v>74144.81</v>
      </c>
      <c r="D56" s="205">
        <f>'T16 &amp; T17'!E22</f>
        <v>47813.85</v>
      </c>
      <c r="E56" s="205">
        <f>'T16 &amp; T17'!F22</f>
        <v>15809.24</v>
      </c>
      <c r="F56" s="205">
        <f>C56-D56-E56</f>
        <v>10521.72</v>
      </c>
      <c r="G56" s="182">
        <f>'T16 &amp; T17'!H22</f>
        <v>176</v>
      </c>
      <c r="H56" s="183">
        <f>G56/$G$27</f>
        <v>9.6778273277649165E-4</v>
      </c>
      <c r="I56" s="183">
        <f>C56/(D56/0.75)</f>
        <v>1.1630230048406476</v>
      </c>
      <c r="J56" s="207">
        <f>C56/G56</f>
        <v>421.27732954545451</v>
      </c>
      <c r="K56" s="207">
        <f>F56/G56</f>
        <v>59.782499999999999</v>
      </c>
    </row>
    <row r="57" spans="1:11" ht="14.1" customHeight="1">
      <c r="A57" s="180" t="s">
        <v>52</v>
      </c>
      <c r="B57" s="180">
        <v>22</v>
      </c>
      <c r="C57" s="205">
        <f>'T16 &amp; T17'!D23</f>
        <v>47957.33</v>
      </c>
      <c r="D57" s="205">
        <f>'T16 &amp; T17'!E23</f>
        <v>26236.19</v>
      </c>
      <c r="E57" s="205">
        <f>'T16 &amp; T17'!F23</f>
        <v>8449.44</v>
      </c>
      <c r="F57" s="205">
        <f>C57-D57-E57</f>
        <v>13271.700000000003</v>
      </c>
      <c r="G57" s="182">
        <f>'T16 &amp; T17'!H23</f>
        <v>88</v>
      </c>
      <c r="H57" s="183">
        <f>G57/$G$27</f>
        <v>4.8389136638824583E-4</v>
      </c>
      <c r="I57" s="183">
        <f>C57/(D57/0.75)</f>
        <v>1.3709306686679736</v>
      </c>
      <c r="J57" s="207">
        <f>C57/G57</f>
        <v>544.96965909090909</v>
      </c>
      <c r="K57" s="207">
        <f>F57/G57</f>
        <v>150.81477272727275</v>
      </c>
    </row>
    <row r="58" spans="1:11" ht="14.1" customHeight="1">
      <c r="A58" s="180" t="s">
        <v>53</v>
      </c>
      <c r="B58" s="180">
        <v>23</v>
      </c>
      <c r="C58" s="205">
        <f>'T16 &amp; T17'!D24</f>
        <v>158783.69</v>
      </c>
      <c r="D58" s="205">
        <f>'T16 &amp; T17'!E24</f>
        <v>68207.25</v>
      </c>
      <c r="E58" s="205">
        <f>'T16 &amp; T17'!F24</f>
        <v>22813.47</v>
      </c>
      <c r="F58" s="205">
        <f>C58-D58-E58</f>
        <v>67762.97</v>
      </c>
      <c r="G58" s="182">
        <f>'T16 &amp; T17'!H24</f>
        <v>279</v>
      </c>
      <c r="H58" s="183">
        <f>G58/$G$27</f>
        <v>1.5341555820718249E-3</v>
      </c>
      <c r="I58" s="183">
        <f>C58/(D58/0.75)</f>
        <v>1.7459693434348988</v>
      </c>
      <c r="J58" s="207">
        <f>C58/G58</f>
        <v>569.11716845878141</v>
      </c>
      <c r="K58" s="207">
        <f>F58/G58</f>
        <v>242.87802867383513</v>
      </c>
    </row>
    <row r="59" spans="1:11" ht="14.1" customHeight="1">
      <c r="A59" s="180" t="s">
        <v>54</v>
      </c>
      <c r="B59" s="180">
        <v>24</v>
      </c>
      <c r="C59" s="205">
        <f>'T16 &amp; T17'!D25</f>
        <v>3273319.54</v>
      </c>
      <c r="D59" s="205">
        <f>'T16 &amp; T17'!E25</f>
        <v>635902.78</v>
      </c>
      <c r="E59" s="205">
        <f>'T16 &amp; T17'!F25</f>
        <v>217514.74</v>
      </c>
      <c r="F59" s="205">
        <f>C59-D59-E59</f>
        <v>2419902.0199999996</v>
      </c>
      <c r="G59" s="182">
        <f>'T16 &amp; T17'!H25</f>
        <v>1730</v>
      </c>
      <c r="H59" s="183">
        <f>G59/$G$27</f>
        <v>9.5128643619507413E-3</v>
      </c>
      <c r="I59" s="183">
        <f>C59/(D59/0.75)</f>
        <v>3.8606367706082363</v>
      </c>
      <c r="J59" s="207">
        <f>C59/G59</f>
        <v>1892.0922196531792</v>
      </c>
      <c r="K59" s="207">
        <f>F59/G59</f>
        <v>1398.7872947976875</v>
      </c>
    </row>
    <row r="60" spans="1:11" s="62" customFormat="1" ht="14.1" customHeight="1">
      <c r="A60" s="201" t="s">
        <v>55</v>
      </c>
      <c r="B60" s="185">
        <v>25</v>
      </c>
      <c r="C60" s="202">
        <f>SUM(C55:C59)</f>
        <v>3554205.37</v>
      </c>
      <c r="D60" s="202">
        <f>SUM(D55:D59)</f>
        <v>778160.07000000007</v>
      </c>
      <c r="E60" s="202">
        <f>SUM(E55:E59)</f>
        <v>264586.89</v>
      </c>
      <c r="F60" s="202">
        <f>SUM(F55:F59)</f>
        <v>2511458.4099999997</v>
      </c>
      <c r="G60" s="206">
        <f>SUM(G55:G59)</f>
        <v>2273</v>
      </c>
      <c r="H60" s="203">
        <f>G60/$G$27</f>
        <v>1.2498694043187304E-2</v>
      </c>
      <c r="I60" s="203">
        <f>C60/(D60/0.75)</f>
        <v>3.4255857249267492</v>
      </c>
      <c r="J60" s="204">
        <f>C60/G60</f>
        <v>1563.6627232732073</v>
      </c>
      <c r="K60" s="204">
        <f>F60/G60</f>
        <v>1104.9091113066431</v>
      </c>
    </row>
    <row r="61" spans="1:11" ht="12" customHeight="1">
      <c r="C61" s="38"/>
      <c r="D61" s="38"/>
      <c r="E61" s="38"/>
      <c r="F61" s="38"/>
      <c r="K61" s="38"/>
    </row>
    <row r="62" spans="1:11" ht="12" customHeight="1">
      <c r="C62" s="38"/>
      <c r="D62" s="38"/>
      <c r="E62" s="38"/>
      <c r="F62" s="38"/>
      <c r="K62" s="38"/>
    </row>
    <row r="63" spans="1:11" ht="12" customHeight="1">
      <c r="C63" s="38"/>
      <c r="D63" s="38"/>
      <c r="E63" s="38"/>
      <c r="F63" s="38"/>
      <c r="K63" s="38"/>
    </row>
    <row r="64" spans="1:11" ht="12" customHeight="1">
      <c r="C64" s="38"/>
      <c r="D64" s="38"/>
      <c r="E64" s="38"/>
      <c r="F64" s="38"/>
      <c r="K64" s="38"/>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41212-0A81-412D-A3BF-AF72FDD9C7FC}">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125" style="38" customWidth="1"/>
    <col min="2" max="2" width="1.0625" style="38" hidden="1" customWidth="1"/>
    <col min="3" max="6" width="12.0625" style="39" customWidth="1"/>
    <col min="7" max="7" width="12.0625" style="40" customWidth="1"/>
    <col min="8" max="8" width="9.5" style="41" customWidth="1"/>
    <col min="9" max="10" width="10.1875" style="38" customWidth="1"/>
    <col min="11" max="11" width="10.1875" style="43" customWidth="1"/>
    <col min="12" max="16384" width="9.625" style="38"/>
  </cols>
  <sheetData>
    <row r="1" spans="1:11" ht="27" customHeight="1">
      <c r="A1" s="232" t="s">
        <v>38</v>
      </c>
      <c r="B1" s="232"/>
      <c r="C1" s="232"/>
      <c r="D1" s="232"/>
      <c r="E1" s="232"/>
      <c r="F1" s="232"/>
      <c r="G1" s="232"/>
      <c r="H1" s="232"/>
      <c r="I1" s="232"/>
      <c r="J1" s="232"/>
      <c r="K1" s="232"/>
    </row>
    <row r="2" spans="1:11" ht="15" customHeight="1">
      <c r="A2" s="234" t="str">
        <f>TEXT(Selection!G13&amp;" "&amp;Selection!G12,"mmmm yyyy")</f>
        <v xml:space="preserve"> </v>
      </c>
      <c r="B2" s="234"/>
      <c r="C2" s="234"/>
      <c r="D2" s="234"/>
      <c r="E2" s="234"/>
      <c r="F2" s="234"/>
      <c r="G2" s="234"/>
      <c r="H2" s="234"/>
      <c r="I2" s="234"/>
      <c r="J2" s="234"/>
      <c r="K2" s="234"/>
    </row>
    <row r="3" spans="1:11" ht="15" customHeight="1">
      <c r="A3" s="174" t="s">
        <v>69</v>
      </c>
      <c r="I3" s="41"/>
      <c r="J3" s="174" t="str">
        <f>Selection!E15&amp;" "&amp;Selection!E14</f>
        <v>Dec 2024</v>
      </c>
    </row>
    <row r="4" spans="1:11" ht="17.100000000000001" customHeight="1">
      <c r="A4" s="179" t="s">
        <v>40</v>
      </c>
      <c r="I4" s="41"/>
    </row>
    <row r="5" spans="1:11" s="61" customFormat="1" ht="39.4">
      <c r="A5" s="199"/>
      <c r="B5" s="197"/>
      <c r="C5" s="200" t="s">
        <v>41</v>
      </c>
      <c r="D5" s="200" t="s">
        <v>42</v>
      </c>
      <c r="E5" s="200" t="s">
        <v>43</v>
      </c>
      <c r="F5" s="200" t="s">
        <v>44</v>
      </c>
      <c r="G5" s="200" t="s">
        <v>45</v>
      </c>
      <c r="H5" s="200" t="s">
        <v>46</v>
      </c>
      <c r="I5" s="200" t="s">
        <v>47</v>
      </c>
      <c r="J5" s="200" t="s">
        <v>48</v>
      </c>
      <c r="K5" s="200" t="s">
        <v>49</v>
      </c>
    </row>
    <row r="6" spans="1:11" ht="14.1" customHeight="1">
      <c r="A6" s="180" t="s">
        <v>50</v>
      </c>
      <c r="B6" s="180">
        <v>0</v>
      </c>
      <c r="C6" s="205">
        <f>'T16 &amp; T17'!D37+'T16 &amp; T17'!D51</f>
        <v>901400.91</v>
      </c>
      <c r="D6" s="205">
        <f>'T16 &amp; T17'!E37+'T16 &amp; T17'!E51</f>
        <v>678849.40999999992</v>
      </c>
      <c r="E6" s="205">
        <f>'T16 &amp; T17'!F37+'T16 &amp; T17'!F51</f>
        <v>221290.15000000002</v>
      </c>
      <c r="F6" s="205">
        <f>C6-D6-E6</f>
        <v>1261.3500000000931</v>
      </c>
      <c r="G6" s="182">
        <f>'T16 &amp; T17'!H37+'T16 &amp; T17'!H51</f>
        <v>14746</v>
      </c>
      <c r="H6" s="183">
        <f t="shared" ref="H6:H11" si="0">G6/$G$27</f>
        <v>0.12929757029996405</v>
      </c>
      <c r="I6" s="183">
        <f t="shared" ref="I6:I11" si="1">C6/(D6/0.75)</f>
        <v>0.99587724838709091</v>
      </c>
      <c r="J6" s="207">
        <f t="shared" ref="J6:J11" si="2">C6/G6</f>
        <v>61.128503322935039</v>
      </c>
      <c r="K6" s="207">
        <f t="shared" ref="K6:K11" si="3">F6/G6</f>
        <v>8.5538451105390823E-2</v>
      </c>
    </row>
    <row r="7" spans="1:11" ht="14.1" customHeight="1">
      <c r="A7" s="180" t="s">
        <v>51</v>
      </c>
      <c r="B7" s="180">
        <v>1</v>
      </c>
      <c r="C7" s="205">
        <f>'T16 &amp; T17'!D38</f>
        <v>1837833.44</v>
      </c>
      <c r="D7" s="205">
        <f>'T16 &amp; T17'!E38</f>
        <v>1176845.2</v>
      </c>
      <c r="E7" s="205">
        <f>'T16 &amp; T17'!F38</f>
        <v>660978.1</v>
      </c>
      <c r="F7" s="205">
        <f>C7-D7-E7</f>
        <v>10.14000000001397</v>
      </c>
      <c r="G7" s="182">
        <f>'T16 &amp; T17'!H38</f>
        <v>12196</v>
      </c>
      <c r="H7" s="183">
        <f t="shared" si="0"/>
        <v>0.10693836751514726</v>
      </c>
      <c r="I7" s="183">
        <f t="shared" si="1"/>
        <v>1.1712458698901096</v>
      </c>
      <c r="J7" s="207">
        <f t="shared" si="2"/>
        <v>150.69149229255493</v>
      </c>
      <c r="K7" s="207">
        <f t="shared" si="3"/>
        <v>8.3142013775122745E-4</v>
      </c>
    </row>
    <row r="8" spans="1:11" ht="14.1" customHeight="1">
      <c r="A8" s="180" t="s">
        <v>52</v>
      </c>
      <c r="B8" s="180">
        <v>2</v>
      </c>
      <c r="C8" s="205">
        <f>'T16 &amp; T17'!D39</f>
        <v>5333397.96</v>
      </c>
      <c r="D8" s="205">
        <f>'T16 &amp; T17'!E39</f>
        <v>2938083.95</v>
      </c>
      <c r="E8" s="205">
        <f>'T16 &amp; T17'!F39</f>
        <v>2395311.7200000002</v>
      </c>
      <c r="F8" s="205">
        <f>C8-D8-E8</f>
        <v>2.2899999995715916</v>
      </c>
      <c r="G8" s="182">
        <f>'T16 &amp; T17'!H39</f>
        <v>39535</v>
      </c>
      <c r="H8" s="183">
        <f t="shared" si="0"/>
        <v>0.34665532631283591</v>
      </c>
      <c r="I8" s="183">
        <f t="shared" si="1"/>
        <v>1.3614479838127156</v>
      </c>
      <c r="J8" s="207">
        <f t="shared" si="2"/>
        <v>134.90319868470974</v>
      </c>
      <c r="K8" s="207">
        <f t="shared" si="3"/>
        <v>5.7923359038107792E-5</v>
      </c>
    </row>
    <row r="9" spans="1:11" ht="14.1" customHeight="1">
      <c r="A9" s="180" t="s">
        <v>53</v>
      </c>
      <c r="B9" s="180">
        <v>3</v>
      </c>
      <c r="C9" s="205">
        <f>'T16 &amp; T17'!D40</f>
        <v>3395939.2</v>
      </c>
      <c r="D9" s="205">
        <f>'T16 &amp; T17'!E40</f>
        <v>1574472</v>
      </c>
      <c r="E9" s="205">
        <f>'T16 &amp; T17'!F40</f>
        <v>1821456.62</v>
      </c>
      <c r="F9" s="205">
        <f>C9-D9-E9</f>
        <v>10.580000000074506</v>
      </c>
      <c r="G9" s="182">
        <f>'T16 &amp; T17'!H40</f>
        <v>19943</v>
      </c>
      <c r="H9" s="183">
        <f t="shared" si="0"/>
        <v>0.17486650240690241</v>
      </c>
      <c r="I9" s="183">
        <f t="shared" si="1"/>
        <v>1.6176562047467342</v>
      </c>
      <c r="J9" s="207">
        <f t="shared" si="2"/>
        <v>170.28226445369305</v>
      </c>
      <c r="K9" s="207">
        <f t="shared" si="3"/>
        <v>5.3051195908712363E-4</v>
      </c>
    </row>
    <row r="10" spans="1:11" ht="14.1" customHeight="1">
      <c r="A10" s="180" t="s">
        <v>54</v>
      </c>
      <c r="B10" s="180">
        <v>4</v>
      </c>
      <c r="C10" s="205">
        <f>'T16 &amp; T17'!D41</f>
        <v>208705.26</v>
      </c>
      <c r="D10" s="205">
        <f>'T16 &amp; T17'!E41</f>
        <v>57875.3</v>
      </c>
      <c r="E10" s="205">
        <f>'T16 &amp; T17'!F41</f>
        <v>150829.96</v>
      </c>
      <c r="F10" s="205">
        <f>C10-D10-E10</f>
        <v>0</v>
      </c>
      <c r="G10" s="182">
        <f>'T16 &amp; T17'!H41</f>
        <v>198</v>
      </c>
      <c r="H10" s="183">
        <f t="shared" si="0"/>
        <v>1.7361263338798916E-3</v>
      </c>
      <c r="I10" s="183">
        <f t="shared" si="1"/>
        <v>2.7045897818240254</v>
      </c>
      <c r="J10" s="207">
        <f t="shared" si="2"/>
        <v>1054.0669696969696</v>
      </c>
      <c r="K10" s="207">
        <f t="shared" si="3"/>
        <v>0</v>
      </c>
    </row>
    <row r="11" spans="1:11" s="62" customFormat="1" ht="14.1" customHeight="1">
      <c r="A11" s="201" t="s">
        <v>55</v>
      </c>
      <c r="B11" s="185"/>
      <c r="C11" s="202">
        <f>SUM(C6:C10)</f>
        <v>11677276.770000001</v>
      </c>
      <c r="D11" s="202">
        <f>SUM(D6:D10)</f>
        <v>6426125.8600000003</v>
      </c>
      <c r="E11" s="202">
        <f>SUM(E6:E10)</f>
        <v>5249866.55</v>
      </c>
      <c r="F11" s="202">
        <f>SUM(F6:F10)</f>
        <v>1284.3599999997532</v>
      </c>
      <c r="G11" s="206">
        <f>SUM(G6:G10)</f>
        <v>86618</v>
      </c>
      <c r="H11" s="203">
        <f t="shared" si="0"/>
        <v>0.75949389286872959</v>
      </c>
      <c r="I11" s="203">
        <f t="shared" si="1"/>
        <v>1.3628674209471521</v>
      </c>
      <c r="J11" s="204">
        <f t="shared" si="2"/>
        <v>134.81351185665798</v>
      </c>
      <c r="K11" s="204">
        <f t="shared" si="3"/>
        <v>1.4827864877967088E-2</v>
      </c>
    </row>
    <row r="12" spans="1:11" ht="17.100000000000001" customHeight="1">
      <c r="A12" s="179" t="s">
        <v>56</v>
      </c>
      <c r="B12" s="47"/>
      <c r="C12" s="47"/>
      <c r="D12" s="47"/>
      <c r="E12" s="47"/>
      <c r="F12" s="47"/>
      <c r="G12" s="48"/>
      <c r="H12" s="49"/>
      <c r="I12" s="47"/>
      <c r="J12" s="47"/>
      <c r="K12" s="47"/>
    </row>
    <row r="13" spans="1:11" ht="39.4">
      <c r="A13" s="199"/>
      <c r="B13" s="197"/>
      <c r="C13" s="200" t="s">
        <v>41</v>
      </c>
      <c r="D13" s="200" t="s">
        <v>42</v>
      </c>
      <c r="E13" s="200" t="s">
        <v>43</v>
      </c>
      <c r="F13" s="200" t="s">
        <v>44</v>
      </c>
      <c r="G13" s="200" t="s">
        <v>45</v>
      </c>
      <c r="H13" s="200" t="s">
        <v>46</v>
      </c>
      <c r="I13" s="200" t="s">
        <v>47</v>
      </c>
      <c r="J13" s="200" t="s">
        <v>48</v>
      </c>
      <c r="K13" s="200" t="s">
        <v>49</v>
      </c>
    </row>
    <row r="14" spans="1:11" ht="14.1" customHeight="1">
      <c r="A14" s="180" t="s">
        <v>50</v>
      </c>
      <c r="B14" s="180"/>
      <c r="C14" s="205"/>
      <c r="D14" s="205"/>
      <c r="E14" s="205"/>
      <c r="F14" s="205"/>
      <c r="G14" s="182"/>
      <c r="H14" s="183"/>
      <c r="I14" s="183"/>
      <c r="J14" s="207"/>
      <c r="K14" s="207"/>
    </row>
    <row r="15" spans="1:11" ht="14.1" customHeight="1">
      <c r="A15" s="180" t="s">
        <v>51</v>
      </c>
      <c r="B15" s="180">
        <v>5</v>
      </c>
      <c r="C15" s="205">
        <f>'T16 &amp; T17'!D44+'T16 &amp; T17'!D52</f>
        <v>105992.88</v>
      </c>
      <c r="D15" s="205">
        <f>'T16 &amp; T17'!E44+'T16 &amp; T17'!E52</f>
        <v>66225.78</v>
      </c>
      <c r="E15" s="205">
        <f>'T16 &amp; T17'!F44+'T16 &amp; T17'!F52</f>
        <v>26783.95</v>
      </c>
      <c r="F15" s="205">
        <f>C15-D15-E15</f>
        <v>12983.150000000005</v>
      </c>
      <c r="G15" s="182">
        <f>'T16 &amp; T17'!H44+'T16 &amp; T17'!H52</f>
        <v>385</v>
      </c>
      <c r="H15" s="183">
        <f>G15/$G$27</f>
        <v>3.3758012047664558E-3</v>
      </c>
      <c r="I15" s="183">
        <f>C15/(D15/0.75)</f>
        <v>1.2003582290763508</v>
      </c>
      <c r="J15" s="207">
        <f>C15/G15</f>
        <v>275.30618181818181</v>
      </c>
      <c r="K15" s="207">
        <f>F15/G15</f>
        <v>33.722467532467547</v>
      </c>
    </row>
    <row r="16" spans="1:11" ht="14.1" customHeight="1">
      <c r="A16" s="180" t="s">
        <v>52</v>
      </c>
      <c r="B16" s="180">
        <v>6</v>
      </c>
      <c r="C16" s="205">
        <f>'T16 &amp; T17'!D45+'T16 &amp; T17'!D53</f>
        <v>296709.14</v>
      </c>
      <c r="D16" s="205">
        <f>'T16 &amp; T17'!E45+'T16 &amp; T17'!E53</f>
        <v>160246</v>
      </c>
      <c r="E16" s="205">
        <f>'T16 &amp; T17'!F45+'T16 &amp; T17'!F53</f>
        <v>96114.549999999988</v>
      </c>
      <c r="F16" s="205">
        <f>C16-D16-E16</f>
        <v>40348.590000000026</v>
      </c>
      <c r="G16" s="182">
        <f>'T16 &amp; T17'!H45+'T16 &amp; T17'!H53</f>
        <v>1150</v>
      </c>
      <c r="H16" s="183">
        <f>G16/$G$27</f>
        <v>1.0083562040211491E-2</v>
      </c>
      <c r="I16" s="183">
        <f>C16/(D16/0.75)</f>
        <v>1.388688984436429</v>
      </c>
      <c r="J16" s="207">
        <f>C16/G16</f>
        <v>258.00794782608699</v>
      </c>
      <c r="K16" s="207">
        <f>F16/G16</f>
        <v>35.085730434782633</v>
      </c>
    </row>
    <row r="17" spans="1:11" ht="14.1" customHeight="1">
      <c r="A17" s="180" t="s">
        <v>53</v>
      </c>
      <c r="B17" s="180">
        <v>7</v>
      </c>
      <c r="C17" s="205">
        <f>'T16 &amp; T17'!D46+'T16 &amp; T17'!D54</f>
        <v>1625036.17</v>
      </c>
      <c r="D17" s="205">
        <f>'T16 &amp; T17'!E46+'T16 &amp; T17'!E54</f>
        <v>683018.42999999993</v>
      </c>
      <c r="E17" s="205">
        <f>'T16 &amp; T17'!F46+'T16 &amp; T17'!F54</f>
        <v>512808.81999999995</v>
      </c>
      <c r="F17" s="205">
        <f>C17-D17-E17</f>
        <v>429208.92000000004</v>
      </c>
      <c r="G17" s="182">
        <f>'T16 &amp; T17'!H46+'T16 &amp; T17'!H54</f>
        <v>2864</v>
      </c>
      <c r="H17" s="183">
        <f>G17/$G$27</f>
        <v>2.5112453637535403E-2</v>
      </c>
      <c r="I17" s="183">
        <f>C17/(D17/0.75)</f>
        <v>1.7843985959500392</v>
      </c>
      <c r="J17" s="207">
        <f>C17/G17</f>
        <v>567.40089734636865</v>
      </c>
      <c r="K17" s="207">
        <f>F17/G17</f>
        <v>149.86344972067042</v>
      </c>
    </row>
    <row r="18" spans="1:11" ht="14.1" customHeight="1">
      <c r="A18" s="180" t="s">
        <v>54</v>
      </c>
      <c r="B18" s="180">
        <v>8</v>
      </c>
      <c r="C18" s="205">
        <f>'T16 &amp; T17'!D47+'T16 &amp; T17'!D55</f>
        <v>16460506.120000001</v>
      </c>
      <c r="D18" s="205">
        <f>'T16 &amp; T17'!E47+'T16 &amp; T17'!E55</f>
        <v>3571104.0999999996</v>
      </c>
      <c r="E18" s="205">
        <f>'T16 &amp; T17'!F47+'T16 &amp; T17'!F55</f>
        <v>1984654.46</v>
      </c>
      <c r="F18" s="205">
        <f>C18-D18-E18</f>
        <v>10904747.560000002</v>
      </c>
      <c r="G18" s="182">
        <f>'T16 &amp; T17'!H47+'T16 &amp; T17'!H55</f>
        <v>23030</v>
      </c>
      <c r="H18" s="183">
        <f>G18/$G$27</f>
        <v>0.20193429024875709</v>
      </c>
      <c r="I18" s="183">
        <f>C18/(D18/0.75)</f>
        <v>3.4570203624139668</v>
      </c>
      <c r="J18" s="207">
        <f>C18/G18</f>
        <v>714.7419070777247</v>
      </c>
      <c r="K18" s="207">
        <f>F18/G18</f>
        <v>473.50184802431619</v>
      </c>
    </row>
    <row r="19" spans="1:11" s="62" customFormat="1" ht="14.1" customHeight="1">
      <c r="A19" s="201" t="s">
        <v>55</v>
      </c>
      <c r="B19" s="185"/>
      <c r="C19" s="202">
        <f>SUM(C13:C18)</f>
        <v>18488244.310000002</v>
      </c>
      <c r="D19" s="202">
        <f>SUM(D13:D18)</f>
        <v>4480594.3099999996</v>
      </c>
      <c r="E19" s="202">
        <f>SUM(E13:E18)</f>
        <v>2620361.7799999998</v>
      </c>
      <c r="F19" s="202">
        <f>SUM(F13:F18)</f>
        <v>11387288.220000003</v>
      </c>
      <c r="G19" s="206">
        <f>SUM(G13:G18)</f>
        <v>27429</v>
      </c>
      <c r="H19" s="203">
        <f>G19/$G$27</f>
        <v>0.24050610713127044</v>
      </c>
      <c r="I19" s="203">
        <f>C19/(D19/0.75)</f>
        <v>3.094719645015128</v>
      </c>
      <c r="J19" s="204">
        <f>C19/G19</f>
        <v>674.04004192642833</v>
      </c>
      <c r="K19" s="204">
        <f>F19/G19</f>
        <v>415.15506288964247</v>
      </c>
    </row>
    <row r="20" spans="1:11" ht="17.100000000000001" customHeight="1">
      <c r="A20" s="179" t="s">
        <v>57</v>
      </c>
      <c r="B20" s="47"/>
      <c r="C20" s="50"/>
      <c r="D20" s="50"/>
      <c r="E20" s="50"/>
      <c r="F20" s="50"/>
      <c r="G20" s="48"/>
      <c r="H20" s="49"/>
      <c r="I20" s="49"/>
      <c r="J20" s="51"/>
      <c r="K20" s="51"/>
    </row>
    <row r="21" spans="1:11" ht="39.4">
      <c r="A21" s="199"/>
      <c r="B21" s="197"/>
      <c r="C21" s="200" t="s">
        <v>41</v>
      </c>
      <c r="D21" s="200" t="s">
        <v>42</v>
      </c>
      <c r="E21" s="200" t="s">
        <v>43</v>
      </c>
      <c r="F21" s="200" t="s">
        <v>44</v>
      </c>
      <c r="G21" s="200" t="s">
        <v>45</v>
      </c>
      <c r="H21" s="200" t="s">
        <v>46</v>
      </c>
      <c r="I21" s="200" t="s">
        <v>47</v>
      </c>
      <c r="J21" s="200" t="s">
        <v>48</v>
      </c>
      <c r="K21" s="200" t="s">
        <v>49</v>
      </c>
    </row>
    <row r="22" spans="1:11" ht="14.1" customHeight="1">
      <c r="A22" s="180" t="s">
        <v>50</v>
      </c>
      <c r="B22" s="180">
        <v>10</v>
      </c>
      <c r="C22" s="205">
        <f>'T16 &amp; T17'!D37+'T16 &amp; T17'!D51</f>
        <v>901400.91</v>
      </c>
      <c r="D22" s="205">
        <f>'T16 &amp; T17'!E37+'T16 &amp; T17'!E51</f>
        <v>678849.40999999992</v>
      </c>
      <c r="E22" s="205">
        <f>'T16 &amp; T17'!F37+'T16 &amp; T17'!F51</f>
        <v>221290.15000000002</v>
      </c>
      <c r="F22" s="205">
        <f>C22-D22-E22</f>
        <v>1261.3500000000931</v>
      </c>
      <c r="G22" s="182">
        <f>'T16 &amp; T17'!H37+'T16 &amp; T17'!H51</f>
        <v>14746</v>
      </c>
      <c r="H22" s="183">
        <f t="shared" ref="H22:H27" si="4">G22/$G$27</f>
        <v>0.12929757029996405</v>
      </c>
      <c r="I22" s="183">
        <f t="shared" ref="I22:I27" si="5">C22/(D22/0.75)</f>
        <v>0.99587724838709091</v>
      </c>
      <c r="J22" s="207">
        <f t="shared" ref="J22:J27" si="6">C22/G22</f>
        <v>61.128503322935039</v>
      </c>
      <c r="K22" s="207">
        <f t="shared" ref="K22:K27" si="7">F22/G22</f>
        <v>8.5538451105390823E-2</v>
      </c>
    </row>
    <row r="23" spans="1:11" ht="14.1" customHeight="1">
      <c r="A23" s="180" t="s">
        <v>51</v>
      </c>
      <c r="B23" s="180">
        <v>11</v>
      </c>
      <c r="C23" s="205">
        <f>'T16 &amp; T17'!D38+'T16 &amp; T17'!D44+'T16 &amp; T17'!D52</f>
        <v>1943826.32</v>
      </c>
      <c r="D23" s="205">
        <f>'T16 &amp; T17'!E38+'T16 &amp; T17'!E44+'T16 &amp; T17'!E52</f>
        <v>1243070.98</v>
      </c>
      <c r="E23" s="205">
        <f>'T16 &amp; T17'!F38+'T16 &amp; T17'!F44+'T16 &amp; T17'!F52</f>
        <v>687762.04999999993</v>
      </c>
      <c r="F23" s="205">
        <f>C23-D23-E23</f>
        <v>12993.290000000154</v>
      </c>
      <c r="G23" s="182">
        <f>'T16 &amp; T17'!H38+'T16 &amp; T17'!H44+'T16 &amp; T17'!H52</f>
        <v>12581</v>
      </c>
      <c r="H23" s="183">
        <f t="shared" si="4"/>
        <v>0.11031416871991372</v>
      </c>
      <c r="I23" s="183">
        <f t="shared" si="5"/>
        <v>1.1727968583097323</v>
      </c>
      <c r="J23" s="207">
        <f t="shared" si="6"/>
        <v>154.50491375884272</v>
      </c>
      <c r="K23" s="207">
        <f t="shared" si="7"/>
        <v>1.0327708449248989</v>
      </c>
    </row>
    <row r="24" spans="1:11" ht="14.1" customHeight="1">
      <c r="A24" s="180" t="s">
        <v>52</v>
      </c>
      <c r="B24" s="180">
        <v>12</v>
      </c>
      <c r="C24" s="205">
        <f>'T16 &amp; T17'!D39+'T16 &amp; T17'!D45+'T16 &amp; T17'!D53</f>
        <v>5630107.1000000006</v>
      </c>
      <c r="D24" s="205">
        <f>'T16 &amp; T17'!E39+'T16 &amp; T17'!E45+'T16 &amp; T17'!E53</f>
        <v>3098329.95</v>
      </c>
      <c r="E24" s="205">
        <f>'T16 &amp; T17'!F39+'T16 &amp; T17'!F45+'T16 &amp; T17'!F53</f>
        <v>2491426.27</v>
      </c>
      <c r="F24" s="205">
        <f>C24-D24-E24</f>
        <v>40350.880000000354</v>
      </c>
      <c r="G24" s="182">
        <f>'T16 &amp; T17'!H39+'T16 &amp; T17'!H45+'T16 &amp; T17'!H53</f>
        <v>40685</v>
      </c>
      <c r="H24" s="183">
        <f t="shared" si="4"/>
        <v>0.3567388883530474</v>
      </c>
      <c r="I24" s="183">
        <f t="shared" si="5"/>
        <v>1.3628568916619097</v>
      </c>
      <c r="J24" s="207">
        <f t="shared" si="6"/>
        <v>138.38287083691779</v>
      </c>
      <c r="K24" s="207">
        <f t="shared" si="7"/>
        <v>0.99178763672115899</v>
      </c>
    </row>
    <row r="25" spans="1:11" ht="14.1" customHeight="1">
      <c r="A25" s="180" t="s">
        <v>53</v>
      </c>
      <c r="B25" s="180">
        <v>13</v>
      </c>
      <c r="C25" s="205">
        <f>'T16 &amp; T17'!D40+'T16 &amp; T17'!D46+'T16 &amp; T17'!D54</f>
        <v>5020975.3699999992</v>
      </c>
      <c r="D25" s="205">
        <f>'T16 &amp; T17'!E40+'T16 &amp; T17'!E46+'T16 &amp; T17'!E54</f>
        <v>2257490.4300000002</v>
      </c>
      <c r="E25" s="205">
        <f>'T16 &amp; T17'!F40+'T16 &amp; T17'!F46+'T16 &amp; T17'!F54</f>
        <v>2334265.44</v>
      </c>
      <c r="F25" s="205">
        <f>C25-D25-E25</f>
        <v>429219.49999999907</v>
      </c>
      <c r="G25" s="182">
        <f>'T16 &amp; T17'!H40+'T16 &amp; T17'!H46+'T16 &amp; T17'!H54</f>
        <v>22807</v>
      </c>
      <c r="H25" s="183">
        <f t="shared" si="4"/>
        <v>0.19997895604443783</v>
      </c>
      <c r="I25" s="183">
        <f t="shared" si="5"/>
        <v>1.6681052010041075</v>
      </c>
      <c r="J25" s="207">
        <f t="shared" si="6"/>
        <v>220.15062787740604</v>
      </c>
      <c r="K25" s="207">
        <f t="shared" si="7"/>
        <v>18.819638707414349</v>
      </c>
    </row>
    <row r="26" spans="1:11" ht="14.1" customHeight="1">
      <c r="A26" s="180" t="s">
        <v>54</v>
      </c>
      <c r="B26" s="180">
        <v>14</v>
      </c>
      <c r="C26" s="205">
        <f>'T16 &amp; T17'!D41+'T16 &amp; T17'!D47+'T16 &amp; T17'!D55</f>
        <v>16669211.379999999</v>
      </c>
      <c r="D26" s="205">
        <f>'T16 &amp; T17'!E41+'T16 &amp; T17'!E47+'T16 &amp; T17'!E55</f>
        <v>3628979.4</v>
      </c>
      <c r="E26" s="205">
        <f>'T16 &amp; T17'!F41+'T16 &amp; T17'!F47+'T16 &amp; T17'!F55</f>
        <v>2135484.42</v>
      </c>
      <c r="F26" s="205">
        <f>C26-D26-E26</f>
        <v>10904747.559999999</v>
      </c>
      <c r="G26" s="182">
        <f>'T16 &amp; T17'!H41+'T16 &amp; T17'!H47+'T16 &amp; T17'!H55</f>
        <v>23228</v>
      </c>
      <c r="H26" s="183">
        <f t="shared" si="4"/>
        <v>0.20367041658263699</v>
      </c>
      <c r="I26" s="183">
        <f t="shared" si="5"/>
        <v>3.445020529739022</v>
      </c>
      <c r="J26" s="207">
        <f t="shared" si="6"/>
        <v>717.63438005854994</v>
      </c>
      <c r="K26" s="207">
        <f t="shared" si="7"/>
        <v>469.46562596865846</v>
      </c>
    </row>
    <row r="27" spans="1:11" s="62" customFormat="1" ht="14.1" customHeight="1">
      <c r="A27" s="201" t="s">
        <v>55</v>
      </c>
      <c r="B27" s="185"/>
      <c r="C27" s="202">
        <f>SUM(C22:C26)</f>
        <v>30165521.079999998</v>
      </c>
      <c r="D27" s="202">
        <f>SUM(D22:D26)</f>
        <v>10906720.17</v>
      </c>
      <c r="E27" s="202">
        <f>SUM(E22:E26)</f>
        <v>7870228.3300000001</v>
      </c>
      <c r="F27" s="202">
        <f>SUM(F22:F26)</f>
        <v>11388572.579999998</v>
      </c>
      <c r="G27" s="206">
        <f>SUM(G22:G26)</f>
        <v>114047</v>
      </c>
      <c r="H27" s="203">
        <f t="shared" si="4"/>
        <v>1</v>
      </c>
      <c r="I27" s="203">
        <f t="shared" si="5"/>
        <v>2.074330363057256</v>
      </c>
      <c r="J27" s="204">
        <f t="shared" si="6"/>
        <v>264.50078546564134</v>
      </c>
      <c r="K27" s="204">
        <f t="shared" si="7"/>
        <v>99.858589704244721</v>
      </c>
    </row>
    <row r="28" spans="1:11" s="62" customFormat="1" ht="15" customHeight="1" thickBot="1">
      <c r="A28" s="52"/>
      <c r="B28" s="52"/>
      <c r="C28" s="53"/>
      <c r="D28" s="53"/>
      <c r="E28" s="53"/>
      <c r="F28" s="53"/>
      <c r="G28" s="54"/>
      <c r="H28" s="55"/>
      <c r="I28" s="55"/>
      <c r="J28" s="56"/>
      <c r="K28" s="56"/>
    </row>
    <row r="29" spans="1:11" ht="17.100000000000001" customHeight="1">
      <c r="A29" s="179" t="s">
        <v>58</v>
      </c>
      <c r="B29" s="47"/>
      <c r="C29" s="50"/>
      <c r="D29" s="50"/>
      <c r="E29" s="50"/>
      <c r="F29" s="50"/>
      <c r="G29" s="48"/>
      <c r="H29" s="49"/>
      <c r="I29" s="49"/>
      <c r="J29" s="51"/>
      <c r="K29" s="51"/>
    </row>
    <row r="30" spans="1:11" ht="39.4">
      <c r="A30" s="199"/>
      <c r="B30" s="197"/>
      <c r="C30" s="200" t="s">
        <v>41</v>
      </c>
      <c r="D30" s="200" t="s">
        <v>42</v>
      </c>
      <c r="E30" s="200" t="s">
        <v>43</v>
      </c>
      <c r="F30" s="200" t="s">
        <v>44</v>
      </c>
      <c r="G30" s="200" t="s">
        <v>45</v>
      </c>
      <c r="H30" s="200" t="s">
        <v>46</v>
      </c>
      <c r="I30" s="200" t="s">
        <v>47</v>
      </c>
      <c r="J30" s="200" t="s">
        <v>48</v>
      </c>
      <c r="K30" s="200" t="s">
        <v>49</v>
      </c>
    </row>
    <row r="31" spans="1:11" ht="14.1" customHeight="1">
      <c r="A31" s="180" t="s">
        <v>50</v>
      </c>
      <c r="B31" s="180"/>
      <c r="C31" s="205"/>
      <c r="D31" s="205"/>
      <c r="E31" s="205"/>
      <c r="F31" s="205"/>
      <c r="G31" s="182"/>
      <c r="H31" s="183"/>
      <c r="I31" s="183"/>
      <c r="J31" s="207"/>
      <c r="K31" s="207"/>
    </row>
    <row r="32" spans="1:11" ht="14.1" customHeight="1">
      <c r="A32" s="180" t="s">
        <v>51</v>
      </c>
      <c r="B32" s="180">
        <v>15</v>
      </c>
      <c r="C32" s="205">
        <f>'T16 &amp; T17'!D44</f>
        <v>72633.259999999995</v>
      </c>
      <c r="D32" s="205">
        <f>'T16 &amp; T17'!E44</f>
        <v>43525.47</v>
      </c>
      <c r="E32" s="205">
        <f>'T16 &amp; T17'!F44</f>
        <v>19480.830000000002</v>
      </c>
      <c r="F32" s="205">
        <f>C32-D32-E32</f>
        <v>9626.9599999999919</v>
      </c>
      <c r="G32" s="182">
        <f>'T16 &amp; T17'!H44</f>
        <v>272</v>
      </c>
      <c r="H32" s="183">
        <f>G32/$G$27</f>
        <v>2.384981630380457E-3</v>
      </c>
      <c r="I32" s="183">
        <f>C32/(D32/0.75)</f>
        <v>1.2515647734533366</v>
      </c>
      <c r="J32" s="207">
        <f>C32/G32</f>
        <v>267.03404411764706</v>
      </c>
      <c r="K32" s="207">
        <f>F32/G32</f>
        <v>35.393235294117616</v>
      </c>
    </row>
    <row r="33" spans="1:11" ht="14.1" customHeight="1">
      <c r="A33" s="180" t="s">
        <v>52</v>
      </c>
      <c r="B33" s="180">
        <v>16</v>
      </c>
      <c r="C33" s="205">
        <f>'T16 &amp; T17'!D45</f>
        <v>231311.78</v>
      </c>
      <c r="D33" s="205">
        <f>'T16 &amp; T17'!E45</f>
        <v>125692.43</v>
      </c>
      <c r="E33" s="205">
        <f>'T16 &amp; T17'!F45</f>
        <v>84563.34</v>
      </c>
      <c r="F33" s="205">
        <f>C33-D33-E33</f>
        <v>21056.010000000009</v>
      </c>
      <c r="G33" s="182">
        <f>'T16 &amp; T17'!H45</f>
        <v>1055</v>
      </c>
      <c r="H33" s="183">
        <f>G33/$G$27</f>
        <v>9.2505721325418476E-3</v>
      </c>
      <c r="I33" s="183">
        <f>C33/(D33/0.75)</f>
        <v>1.3802250063905999</v>
      </c>
      <c r="J33" s="207">
        <f>C33/G33</f>
        <v>219.2528720379147</v>
      </c>
      <c r="K33" s="207">
        <f>F33/G33</f>
        <v>19.958303317535552</v>
      </c>
    </row>
    <row r="34" spans="1:11" ht="14.1" customHeight="1">
      <c r="A34" s="180" t="s">
        <v>53</v>
      </c>
      <c r="B34" s="180">
        <v>17</v>
      </c>
      <c r="C34" s="205">
        <f>'T16 &amp; T17'!D46</f>
        <v>1162107.6499999999</v>
      </c>
      <c r="D34" s="205">
        <f>'T16 &amp; T17'!E46</f>
        <v>485299.72</v>
      </c>
      <c r="E34" s="205">
        <f>'T16 &amp; T17'!F46</f>
        <v>447073.29</v>
      </c>
      <c r="F34" s="205">
        <f>C34-D34-E34</f>
        <v>229734.63999999996</v>
      </c>
      <c r="G34" s="182">
        <f>'T16 &amp; T17'!H46</f>
        <v>1695</v>
      </c>
      <c r="H34" s="183">
        <f>G34/$G$27</f>
        <v>1.4862293615789982E-2</v>
      </c>
      <c r="I34" s="183">
        <f>C34/(D34/0.75)</f>
        <v>1.7959638169583116</v>
      </c>
      <c r="J34" s="207">
        <f>C34/G34</f>
        <v>685.60923303834807</v>
      </c>
      <c r="K34" s="207">
        <f>F34/G34</f>
        <v>135.53666076696163</v>
      </c>
    </row>
    <row r="35" spans="1:11" ht="14.1" customHeight="1">
      <c r="A35" s="180" t="s">
        <v>54</v>
      </c>
      <c r="B35" s="180">
        <v>18</v>
      </c>
      <c r="C35" s="205">
        <f>'T16 &amp; T17'!D47</f>
        <v>4771919.8</v>
      </c>
      <c r="D35" s="205">
        <f>'T16 &amp; T17'!E47</f>
        <v>1198934.9099999999</v>
      </c>
      <c r="E35" s="205">
        <f>'T16 &amp; T17'!F47</f>
        <v>1196369.47</v>
      </c>
      <c r="F35" s="205">
        <f>C35-D35-E35</f>
        <v>2376615.42</v>
      </c>
      <c r="G35" s="182">
        <f>'T16 &amp; T17'!H47</f>
        <v>14745</v>
      </c>
      <c r="H35" s="183">
        <f>G35/$G$27</f>
        <v>0.12928880198514647</v>
      </c>
      <c r="I35" s="183">
        <f>C35/(D35/0.75)</f>
        <v>2.9850993745773908</v>
      </c>
      <c r="J35" s="207">
        <f>C35/G35</f>
        <v>323.62969142082062</v>
      </c>
      <c r="K35" s="207">
        <f>F35/G35</f>
        <v>161.18110681586978</v>
      </c>
    </row>
    <row r="36" spans="1:11" s="62" customFormat="1" ht="14.1" customHeight="1">
      <c r="A36" s="201" t="s">
        <v>55</v>
      </c>
      <c r="B36" s="185"/>
      <c r="C36" s="202">
        <f>SUM(C31:C35)</f>
        <v>6237972.4900000002</v>
      </c>
      <c r="D36" s="202">
        <f>SUM(D31:D35)</f>
        <v>1853452.5299999998</v>
      </c>
      <c r="E36" s="202">
        <f>SUM(E31:E35)</f>
        <v>1747486.93</v>
      </c>
      <c r="F36" s="202">
        <f>SUM(F31:F35)</f>
        <v>2637033.0299999998</v>
      </c>
      <c r="G36" s="206">
        <f>SUM(G31:G35)</f>
        <v>17767</v>
      </c>
      <c r="H36" s="203">
        <f>G36/$G$27</f>
        <v>0.15578664936385875</v>
      </c>
      <c r="I36" s="203">
        <f>C36/(D36/0.75)</f>
        <v>2.5241970278569803</v>
      </c>
      <c r="J36" s="204">
        <f>C36/G36</f>
        <v>351.09880621376709</v>
      </c>
      <c r="K36" s="204">
        <f>F36/G36</f>
        <v>148.42308943547025</v>
      </c>
    </row>
    <row r="37" spans="1:11" ht="17.100000000000001" customHeight="1">
      <c r="A37" s="179" t="s">
        <v>59</v>
      </c>
      <c r="B37" s="47"/>
      <c r="C37" s="50"/>
      <c r="D37" s="50"/>
      <c r="E37" s="50"/>
      <c r="F37" s="50"/>
      <c r="G37" s="48"/>
      <c r="H37" s="49"/>
      <c r="I37" s="49"/>
      <c r="J37" s="51"/>
      <c r="K37" s="51"/>
    </row>
    <row r="38" spans="1:11" ht="39.4">
      <c r="A38" s="199"/>
      <c r="B38" s="197"/>
      <c r="C38" s="200" t="s">
        <v>41</v>
      </c>
      <c r="D38" s="200" t="s">
        <v>42</v>
      </c>
      <c r="E38" s="200" t="s">
        <v>43</v>
      </c>
      <c r="F38" s="200" t="s">
        <v>44</v>
      </c>
      <c r="G38" s="200" t="s">
        <v>45</v>
      </c>
      <c r="H38" s="200" t="s">
        <v>46</v>
      </c>
      <c r="I38" s="200" t="s">
        <v>47</v>
      </c>
      <c r="J38" s="200" t="s">
        <v>48</v>
      </c>
      <c r="K38" s="200" t="s">
        <v>49</v>
      </c>
    </row>
    <row r="39" spans="1:11" ht="14.1" customHeight="1">
      <c r="A39" s="180" t="s">
        <v>50</v>
      </c>
      <c r="B39" s="180">
        <v>10</v>
      </c>
      <c r="C39" s="205">
        <f>'T16 &amp; T17'!D37+'T16 &amp; T17'!D51</f>
        <v>901400.91</v>
      </c>
      <c r="D39" s="205">
        <f>'T16 &amp; T17'!E37+'T16 &amp; T17'!E51</f>
        <v>678849.40999999992</v>
      </c>
      <c r="E39" s="205">
        <f>'T16 &amp; T17'!F37+'T16 &amp; T17'!F51</f>
        <v>221290.15000000002</v>
      </c>
      <c r="F39" s="205">
        <f>C39-D39-E39</f>
        <v>1261.3500000000931</v>
      </c>
      <c r="G39" s="182">
        <f>'T16 &amp; T17'!H37+'T16 &amp; T17'!H51</f>
        <v>14746</v>
      </c>
      <c r="H39" s="183">
        <f t="shared" ref="H39:H44" si="8">G39/$G$27</f>
        <v>0.12929757029996405</v>
      </c>
      <c r="I39" s="183">
        <f t="shared" ref="I39:I44" si="9">C39/(D39/0.75)</f>
        <v>0.99587724838709091</v>
      </c>
      <c r="J39" s="207">
        <f t="shared" ref="J39:J44" si="10">C39/G39</f>
        <v>61.128503322935039</v>
      </c>
      <c r="K39" s="207">
        <f t="shared" ref="K39:K44" si="11">F39/G39</f>
        <v>8.5538451105390823E-2</v>
      </c>
    </row>
    <row r="40" spans="1:11" ht="14.1" customHeight="1">
      <c r="A40" s="180" t="s">
        <v>51</v>
      </c>
      <c r="B40" s="180">
        <v>11</v>
      </c>
      <c r="C40" s="205">
        <f>'T16 &amp; T17'!D38+'T16 &amp; T17'!D44</f>
        <v>1910466.7</v>
      </c>
      <c r="D40" s="205">
        <f>'T16 &amp; T17'!E38+'T16 &amp; T17'!E44</f>
        <v>1220370.67</v>
      </c>
      <c r="E40" s="205">
        <f>'T16 &amp; T17'!F38+'T16 &amp; T17'!F44</f>
        <v>680458.92999999993</v>
      </c>
      <c r="F40" s="205">
        <f>C40-D40-E40</f>
        <v>9637.1000000000931</v>
      </c>
      <c r="G40" s="182">
        <f>'T16 &amp; T17'!H38+'T16 &amp; T17'!H44</f>
        <v>12468</v>
      </c>
      <c r="H40" s="183">
        <f t="shared" si="8"/>
        <v>0.10932334914552772</v>
      </c>
      <c r="I40" s="183">
        <f t="shared" si="9"/>
        <v>1.1741105061136876</v>
      </c>
      <c r="J40" s="207">
        <f t="shared" si="10"/>
        <v>153.22960378569135</v>
      </c>
      <c r="K40" s="207">
        <f t="shared" si="11"/>
        <v>0.77294674366378679</v>
      </c>
    </row>
    <row r="41" spans="1:11" ht="14.1" customHeight="1">
      <c r="A41" s="180" t="s">
        <v>52</v>
      </c>
      <c r="B41" s="180">
        <v>12</v>
      </c>
      <c r="C41" s="205">
        <f>'T16 &amp; T17'!D39+'T16 &amp; T17'!D45</f>
        <v>5564709.7400000002</v>
      </c>
      <c r="D41" s="205">
        <f>'T16 &amp; T17'!E39+'T16 &amp; T17'!E45</f>
        <v>3063776.3800000004</v>
      </c>
      <c r="E41" s="205">
        <f>'T16 &amp; T17'!F39+'T16 &amp; T17'!F45</f>
        <v>2479875.06</v>
      </c>
      <c r="F41" s="205">
        <f>C41-D41-E41</f>
        <v>21058.299999999814</v>
      </c>
      <c r="G41" s="182">
        <f>'T16 &amp; T17'!H39+'T16 &amp; T17'!H45</f>
        <v>40590</v>
      </c>
      <c r="H41" s="183">
        <f t="shared" si="8"/>
        <v>0.35590589844537779</v>
      </c>
      <c r="I41" s="183">
        <f t="shared" si="9"/>
        <v>1.3622183173172711</v>
      </c>
      <c r="J41" s="207">
        <f t="shared" si="10"/>
        <v>137.09558364129097</v>
      </c>
      <c r="K41" s="207">
        <f t="shared" si="11"/>
        <v>0.51880512441487592</v>
      </c>
    </row>
    <row r="42" spans="1:11" ht="14.1" customHeight="1">
      <c r="A42" s="180" t="s">
        <v>53</v>
      </c>
      <c r="B42" s="180">
        <v>13</v>
      </c>
      <c r="C42" s="205">
        <f>'T16 &amp; T17'!D40+'T16 &amp; T17'!D46</f>
        <v>4558046.8499999996</v>
      </c>
      <c r="D42" s="205">
        <f>'T16 &amp; T17'!E40+'T16 &amp; T17'!E46</f>
        <v>2059771.72</v>
      </c>
      <c r="E42" s="205">
        <f>'T16 &amp; T17'!F40+'T16 &amp; T17'!F46</f>
        <v>2268529.91</v>
      </c>
      <c r="F42" s="205">
        <f>C42-D42-E42</f>
        <v>229745.21999999974</v>
      </c>
      <c r="G42" s="182">
        <f>'T16 &amp; T17'!H40+'T16 &amp; T17'!H46</f>
        <v>21638</v>
      </c>
      <c r="H42" s="183">
        <f t="shared" si="8"/>
        <v>0.18972879602269241</v>
      </c>
      <c r="I42" s="183">
        <f t="shared" si="9"/>
        <v>1.6596669933404073</v>
      </c>
      <c r="J42" s="207">
        <f t="shared" si="10"/>
        <v>210.65009936223308</v>
      </c>
      <c r="K42" s="207">
        <f t="shared" si="11"/>
        <v>10.617673537295486</v>
      </c>
    </row>
    <row r="43" spans="1:11" ht="14.1" customHeight="1">
      <c r="A43" s="180" t="s">
        <v>54</v>
      </c>
      <c r="B43" s="180">
        <v>14</v>
      </c>
      <c r="C43" s="205">
        <f>'T16 &amp; T17'!D41+'T16 &amp; T17'!D47</f>
        <v>4980625.0599999996</v>
      </c>
      <c r="D43" s="205">
        <f>'T16 &amp; T17'!E41+'T16 &amp; T17'!E47</f>
        <v>1256810.21</v>
      </c>
      <c r="E43" s="205">
        <f>'T16 &amp; T17'!F41+'T16 &amp; T17'!F47</f>
        <v>1347199.43</v>
      </c>
      <c r="F43" s="205">
        <f>C43-D43-E43</f>
        <v>2376615.42</v>
      </c>
      <c r="G43" s="182">
        <f>'T16 &amp; T17'!H41+'T16 &amp; T17'!H47</f>
        <v>14943</v>
      </c>
      <c r="H43" s="183">
        <f t="shared" si="8"/>
        <v>0.13102492831902637</v>
      </c>
      <c r="I43" s="183">
        <f t="shared" si="9"/>
        <v>2.9721820886544199</v>
      </c>
      <c r="J43" s="207">
        <f t="shared" si="10"/>
        <v>333.30824198621423</v>
      </c>
      <c r="K43" s="207">
        <f t="shared" si="11"/>
        <v>159.04540052198354</v>
      </c>
    </row>
    <row r="44" spans="1:11" s="62" customFormat="1" ht="14.1" customHeight="1">
      <c r="A44" s="201" t="s">
        <v>55</v>
      </c>
      <c r="B44" s="185"/>
      <c r="C44" s="202">
        <f>SUM(C39:C43)</f>
        <v>17915249.259999998</v>
      </c>
      <c r="D44" s="202">
        <f>SUM(D39:D43)</f>
        <v>8279578.3899999997</v>
      </c>
      <c r="E44" s="202">
        <f>SUM(E39:E43)</f>
        <v>6997353.4800000004</v>
      </c>
      <c r="F44" s="202">
        <f>SUM(F39:F43)</f>
        <v>2638317.3899999997</v>
      </c>
      <c r="G44" s="206">
        <f>SUM(G39:G43)</f>
        <v>104385</v>
      </c>
      <c r="H44" s="203">
        <f t="shared" si="8"/>
        <v>0.91528054223258837</v>
      </c>
      <c r="I44" s="203">
        <f t="shared" si="9"/>
        <v>1.6228407187047598</v>
      </c>
      <c r="J44" s="204">
        <f t="shared" si="10"/>
        <v>171.62666340949369</v>
      </c>
      <c r="K44" s="204">
        <f t="shared" si="11"/>
        <v>25.274870814772235</v>
      </c>
    </row>
    <row r="45" spans="1:11" ht="17.100000000000001" customHeight="1">
      <c r="A45" s="179" t="s">
        <v>60</v>
      </c>
      <c r="B45" s="47"/>
      <c r="C45" s="50"/>
      <c r="D45" s="50"/>
      <c r="E45" s="50"/>
      <c r="F45" s="50"/>
      <c r="G45" s="48"/>
      <c r="H45" s="49"/>
      <c r="I45" s="49"/>
      <c r="J45" s="51"/>
      <c r="K45" s="51"/>
    </row>
    <row r="46" spans="1:11" ht="39.4">
      <c r="A46" s="199"/>
      <c r="B46" s="197"/>
      <c r="C46" s="200" t="s">
        <v>41</v>
      </c>
      <c r="D46" s="200" t="s">
        <v>42</v>
      </c>
      <c r="E46" s="200" t="s">
        <v>43</v>
      </c>
      <c r="F46" s="200" t="s">
        <v>44</v>
      </c>
      <c r="G46" s="200" t="s">
        <v>45</v>
      </c>
      <c r="H46" s="200" t="s">
        <v>46</v>
      </c>
      <c r="I46" s="200" t="s">
        <v>47</v>
      </c>
      <c r="J46" s="200" t="s">
        <v>48</v>
      </c>
      <c r="K46" s="200" t="s">
        <v>49</v>
      </c>
    </row>
    <row r="47" spans="1:11" ht="14.1" customHeight="1">
      <c r="A47" s="180" t="s">
        <v>50</v>
      </c>
      <c r="B47" s="180"/>
      <c r="C47" s="205">
        <f>'T16 &amp; T17'!D37</f>
        <v>500118.45</v>
      </c>
      <c r="D47" s="205">
        <f>'T16 &amp; T17'!E37</f>
        <v>378100.6</v>
      </c>
      <c r="E47" s="205">
        <f>'T16 &amp; T17'!F37</f>
        <v>122017.85</v>
      </c>
      <c r="F47" s="205">
        <f>C47-D47-E47</f>
        <v>0</v>
      </c>
      <c r="G47" s="182">
        <f>'T16 &amp; T17'!H37</f>
        <v>10509</v>
      </c>
      <c r="H47" s="183">
        <f t="shared" ref="H47:H52" si="12">G47/$G$27</f>
        <v>9.2146220417897884E-2</v>
      </c>
      <c r="I47" s="183">
        <f t="shared" ref="I47:I52" si="13">C47/(D47/0.75)</f>
        <v>0.99203449425893542</v>
      </c>
      <c r="J47" s="207">
        <f t="shared" ref="J47:J52" si="14">C47/G47</f>
        <v>47.589537539252071</v>
      </c>
      <c r="K47" s="207">
        <f t="shared" ref="K47:K52" si="15">F47/G47</f>
        <v>0</v>
      </c>
    </row>
    <row r="48" spans="1:11" ht="14.1" customHeight="1">
      <c r="A48" s="180" t="s">
        <v>51</v>
      </c>
      <c r="B48" s="180">
        <v>21</v>
      </c>
      <c r="C48" s="205">
        <f>'T16 &amp; T17'!D38+'T16 &amp; T17'!D44</f>
        <v>1910466.7</v>
      </c>
      <c r="D48" s="205">
        <f>'T16 &amp; T17'!E38+'T16 &amp; T17'!E44</f>
        <v>1220370.67</v>
      </c>
      <c r="E48" s="205">
        <f>'T16 &amp; T17'!F38+'T16 &amp; T17'!F44</f>
        <v>680458.92999999993</v>
      </c>
      <c r="F48" s="205">
        <f>C48-D48-E48</f>
        <v>9637.1000000000931</v>
      </c>
      <c r="G48" s="182">
        <f>'T16 &amp; T17'!H38+'T16 &amp; T17'!H44</f>
        <v>12468</v>
      </c>
      <c r="H48" s="183">
        <f t="shared" si="12"/>
        <v>0.10932334914552772</v>
      </c>
      <c r="I48" s="183">
        <f t="shared" si="13"/>
        <v>1.1741105061136876</v>
      </c>
      <c r="J48" s="207">
        <f t="shared" si="14"/>
        <v>153.22960378569135</v>
      </c>
      <c r="K48" s="207">
        <f t="shared" si="15"/>
        <v>0.77294674366378679</v>
      </c>
    </row>
    <row r="49" spans="1:11" ht="14.1" customHeight="1">
      <c r="A49" s="180" t="s">
        <v>52</v>
      </c>
      <c r="B49" s="180">
        <v>22</v>
      </c>
      <c r="C49" s="205">
        <f>'T16 &amp; T17'!D39+'T16 &amp; T17'!D45</f>
        <v>5564709.7400000002</v>
      </c>
      <c r="D49" s="205">
        <f>'T16 &amp; T17'!E39+'T16 &amp; T17'!E45</f>
        <v>3063776.3800000004</v>
      </c>
      <c r="E49" s="205">
        <f>'T16 &amp; T17'!F39+'T16 &amp; T17'!F45</f>
        <v>2479875.06</v>
      </c>
      <c r="F49" s="205">
        <f>C49-D49-E49</f>
        <v>21058.299999999814</v>
      </c>
      <c r="G49" s="182">
        <f>'T16 &amp; T17'!H39+'T16 &amp; T17'!H45</f>
        <v>40590</v>
      </c>
      <c r="H49" s="183">
        <f t="shared" si="12"/>
        <v>0.35590589844537779</v>
      </c>
      <c r="I49" s="183">
        <f t="shared" si="13"/>
        <v>1.3622183173172711</v>
      </c>
      <c r="J49" s="207">
        <f t="shared" si="14"/>
        <v>137.09558364129097</v>
      </c>
      <c r="K49" s="207">
        <f t="shared" si="15"/>
        <v>0.51880512441487592</v>
      </c>
    </row>
    <row r="50" spans="1:11" ht="14.1" customHeight="1">
      <c r="A50" s="180" t="s">
        <v>53</v>
      </c>
      <c r="B50" s="180">
        <v>23</v>
      </c>
      <c r="C50" s="205">
        <f>'T16 &amp; T17'!D40+'T16 &amp; T17'!D46</f>
        <v>4558046.8499999996</v>
      </c>
      <c r="D50" s="205">
        <f>'T16 &amp; T17'!E40+'T16 &amp; T17'!E46</f>
        <v>2059771.72</v>
      </c>
      <c r="E50" s="205">
        <f>'T16 &amp; T17'!F40+'T16 &amp; T17'!F46</f>
        <v>2268529.91</v>
      </c>
      <c r="F50" s="205">
        <f>C50-D50-E50</f>
        <v>229745.21999999974</v>
      </c>
      <c r="G50" s="182">
        <f>'T16 &amp; T17'!H40+'T16 &amp; T17'!H46</f>
        <v>21638</v>
      </c>
      <c r="H50" s="183">
        <f t="shared" si="12"/>
        <v>0.18972879602269241</v>
      </c>
      <c r="I50" s="183">
        <f t="shared" si="13"/>
        <v>1.6596669933404073</v>
      </c>
      <c r="J50" s="207">
        <f t="shared" si="14"/>
        <v>210.65009936223308</v>
      </c>
      <c r="K50" s="207">
        <f t="shared" si="15"/>
        <v>10.617673537295486</v>
      </c>
    </row>
    <row r="51" spans="1:11" ht="14.1" customHeight="1">
      <c r="A51" s="180" t="s">
        <v>54</v>
      </c>
      <c r="B51" s="180">
        <v>24</v>
      </c>
      <c r="C51" s="205">
        <f>'T16 &amp; T17'!D41+'T16 &amp; T17'!D47</f>
        <v>4980625.0599999996</v>
      </c>
      <c r="D51" s="205">
        <f>'T16 &amp; T17'!E41+'T16 &amp; T17'!E47</f>
        <v>1256810.21</v>
      </c>
      <c r="E51" s="205">
        <f>'T16 &amp; T17'!F41+'T16 &amp; T17'!F47</f>
        <v>1347199.43</v>
      </c>
      <c r="F51" s="205">
        <f>C51-D51-E51</f>
        <v>2376615.42</v>
      </c>
      <c r="G51" s="182">
        <f>'T16 &amp; T17'!H41+'T16 &amp; T17'!H47</f>
        <v>14943</v>
      </c>
      <c r="H51" s="183">
        <f t="shared" si="12"/>
        <v>0.13102492831902637</v>
      </c>
      <c r="I51" s="183">
        <f t="shared" si="13"/>
        <v>2.9721820886544199</v>
      </c>
      <c r="J51" s="207">
        <f t="shared" si="14"/>
        <v>333.30824198621423</v>
      </c>
      <c r="K51" s="207">
        <f t="shared" si="15"/>
        <v>159.04540052198354</v>
      </c>
    </row>
    <row r="52" spans="1:11" s="62" customFormat="1" ht="14.1" customHeight="1">
      <c r="A52" s="201" t="s">
        <v>55</v>
      </c>
      <c r="B52" s="185">
        <v>25</v>
      </c>
      <c r="C52" s="202">
        <f>SUM(C47:C51)</f>
        <v>17513966.800000001</v>
      </c>
      <c r="D52" s="202">
        <f>SUM(D47:D51)</f>
        <v>7978829.5800000001</v>
      </c>
      <c r="E52" s="202">
        <f>SUM(E47:E51)</f>
        <v>6898081.1799999997</v>
      </c>
      <c r="F52" s="202">
        <f>SUM(F47:F51)</f>
        <v>2637056.0399999996</v>
      </c>
      <c r="G52" s="206">
        <f>SUM(G47:G51)</f>
        <v>100148</v>
      </c>
      <c r="H52" s="203">
        <f t="shared" si="12"/>
        <v>0.87812919235052211</v>
      </c>
      <c r="I52" s="203">
        <f t="shared" si="13"/>
        <v>1.6462909714133789</v>
      </c>
      <c r="J52" s="204">
        <f t="shared" si="14"/>
        <v>174.88084435036149</v>
      </c>
      <c r="K52" s="204">
        <f t="shared" si="15"/>
        <v>26.331589647321959</v>
      </c>
    </row>
    <row r="53" spans="1:11" ht="17.100000000000001" customHeight="1">
      <c r="A53" s="179" t="s">
        <v>61</v>
      </c>
      <c r="B53" s="47"/>
      <c r="C53" s="50"/>
      <c r="D53" s="50"/>
      <c r="E53" s="50"/>
      <c r="F53" s="50"/>
      <c r="G53" s="48"/>
      <c r="H53" s="49"/>
      <c r="I53" s="49"/>
      <c r="J53" s="51"/>
      <c r="K53" s="51"/>
    </row>
    <row r="54" spans="1:11" ht="39.4">
      <c r="A54" s="199"/>
      <c r="B54" s="197"/>
      <c r="C54" s="200" t="s">
        <v>41</v>
      </c>
      <c r="D54" s="200" t="s">
        <v>42</v>
      </c>
      <c r="E54" s="200" t="s">
        <v>43</v>
      </c>
      <c r="F54" s="200" t="s">
        <v>44</v>
      </c>
      <c r="G54" s="200" t="s">
        <v>45</v>
      </c>
      <c r="H54" s="200" t="s">
        <v>46</v>
      </c>
      <c r="I54" s="200" t="s">
        <v>47</v>
      </c>
      <c r="J54" s="200" t="s">
        <v>48</v>
      </c>
      <c r="K54" s="200" t="s">
        <v>49</v>
      </c>
    </row>
    <row r="55" spans="1:11" ht="14.1" customHeight="1">
      <c r="A55" s="180" t="s">
        <v>50</v>
      </c>
      <c r="B55" s="180"/>
      <c r="C55" s="205"/>
      <c r="D55" s="205"/>
      <c r="E55" s="205"/>
      <c r="F55" s="205"/>
      <c r="G55" s="182"/>
      <c r="H55" s="183"/>
      <c r="I55" s="183"/>
      <c r="J55" s="207"/>
      <c r="K55" s="207"/>
    </row>
    <row r="56" spans="1:11" ht="14.1" customHeight="1">
      <c r="A56" s="180" t="s">
        <v>51</v>
      </c>
      <c r="B56" s="180">
        <v>21</v>
      </c>
      <c r="C56" s="205">
        <f>'T16 &amp; T17'!D52</f>
        <v>33359.620000000003</v>
      </c>
      <c r="D56" s="205">
        <f>'T16 &amp; T17'!E52</f>
        <v>22700.31</v>
      </c>
      <c r="E56" s="205">
        <f>'T16 &amp; T17'!F52</f>
        <v>7303.12</v>
      </c>
      <c r="F56" s="205">
        <f>C56-D56-E56</f>
        <v>3356.1900000000014</v>
      </c>
      <c r="G56" s="182">
        <f>'T16 &amp; T17'!H52</f>
        <v>113</v>
      </c>
      <c r="H56" s="183">
        <f>G56/$G$27</f>
        <v>9.9081957438599882E-4</v>
      </c>
      <c r="I56" s="183">
        <f>C56/(D56/0.75)</f>
        <v>1.1021750363761553</v>
      </c>
      <c r="J56" s="207">
        <f>C56/G56</f>
        <v>295.21787610619469</v>
      </c>
      <c r="K56" s="207">
        <f>F56/G56</f>
        <v>29.700796460177003</v>
      </c>
    </row>
    <row r="57" spans="1:11" ht="14.1" customHeight="1">
      <c r="A57" s="180" t="s">
        <v>52</v>
      </c>
      <c r="B57" s="180">
        <v>22</v>
      </c>
      <c r="C57" s="205">
        <f>'T16 &amp; T17'!D53</f>
        <v>65397.36</v>
      </c>
      <c r="D57" s="205">
        <f>'T16 &amp; T17'!E53</f>
        <v>34553.57</v>
      </c>
      <c r="E57" s="205">
        <f>'T16 &amp; T17'!F53</f>
        <v>11551.21</v>
      </c>
      <c r="F57" s="205">
        <f>C57-D57-E57</f>
        <v>19292.580000000002</v>
      </c>
      <c r="G57" s="182">
        <f>'T16 &amp; T17'!H53</f>
        <v>95</v>
      </c>
      <c r="H57" s="183">
        <f>G57/$G$27</f>
        <v>8.3298990766964497E-4</v>
      </c>
      <c r="I57" s="183">
        <f>C57/(D57/0.75)</f>
        <v>1.419477640081763</v>
      </c>
      <c r="J57" s="207">
        <f>C57/G57</f>
        <v>688.39326315789469</v>
      </c>
      <c r="K57" s="207">
        <f>F57/G57</f>
        <v>203.07978947368423</v>
      </c>
    </row>
    <row r="58" spans="1:11" ht="14.1" customHeight="1">
      <c r="A58" s="180" t="s">
        <v>53</v>
      </c>
      <c r="B58" s="180">
        <v>23</v>
      </c>
      <c r="C58" s="205">
        <f>'T16 &amp; T17'!D54</f>
        <v>462928.52</v>
      </c>
      <c r="D58" s="205">
        <f>'T16 &amp; T17'!E54</f>
        <v>197718.71</v>
      </c>
      <c r="E58" s="205">
        <f>'T16 &amp; T17'!F54</f>
        <v>65735.53</v>
      </c>
      <c r="F58" s="205">
        <f>C58-D58-E58</f>
        <v>199474.28000000006</v>
      </c>
      <c r="G58" s="182">
        <f>'T16 &amp; T17'!H54</f>
        <v>1169</v>
      </c>
      <c r="H58" s="183">
        <f>G58/$G$27</f>
        <v>1.0250160021745421E-2</v>
      </c>
      <c r="I58" s="183">
        <f>C58/(D58/0.75)</f>
        <v>1.7560118109206764</v>
      </c>
      <c r="J58" s="207">
        <f>C58/G58</f>
        <v>396.00386655260911</v>
      </c>
      <c r="K58" s="207">
        <f>F58/G58</f>
        <v>170.63668092386661</v>
      </c>
    </row>
    <row r="59" spans="1:11" ht="14.1" customHeight="1">
      <c r="A59" s="180" t="s">
        <v>54</v>
      </c>
      <c r="B59" s="180">
        <v>24</v>
      </c>
      <c r="C59" s="205">
        <f>'T16 &amp; T17'!D55</f>
        <v>11688586.32</v>
      </c>
      <c r="D59" s="205">
        <f>'T16 &amp; T17'!E55</f>
        <v>2372169.19</v>
      </c>
      <c r="E59" s="205">
        <f>'T16 &amp; T17'!F55</f>
        <v>788284.99</v>
      </c>
      <c r="F59" s="205">
        <f>C59-D59-E59</f>
        <v>8528132.1400000006</v>
      </c>
      <c r="G59" s="182">
        <f>'T16 &amp; T17'!H55</f>
        <v>8285</v>
      </c>
      <c r="H59" s="183">
        <f>G59/$G$27</f>
        <v>7.2645488263610614E-2</v>
      </c>
      <c r="I59" s="183">
        <f>C59/(D59/0.75)</f>
        <v>3.6955373069321418</v>
      </c>
      <c r="J59" s="207">
        <f>C59/G59</f>
        <v>1410.813074230537</v>
      </c>
      <c r="K59" s="207">
        <f>F59/G59</f>
        <v>1029.346063971032</v>
      </c>
    </row>
    <row r="60" spans="1:11" s="62" customFormat="1" ht="14.1" customHeight="1">
      <c r="A60" s="201" t="s">
        <v>55</v>
      </c>
      <c r="B60" s="185">
        <v>25</v>
      </c>
      <c r="C60" s="202">
        <f>SUM(C55:C59)</f>
        <v>12250271.82</v>
      </c>
      <c r="D60" s="202">
        <f>SUM(D55:D59)</f>
        <v>2627141.7799999998</v>
      </c>
      <c r="E60" s="202">
        <f>SUM(E55:E59)</f>
        <v>872874.85</v>
      </c>
      <c r="F60" s="202">
        <f>SUM(F55:F59)</f>
        <v>8750255.1900000013</v>
      </c>
      <c r="G60" s="206">
        <f>SUM(G55:G59)</f>
        <v>9662</v>
      </c>
      <c r="H60" s="203">
        <f>G60/$G$27</f>
        <v>8.4719457767411688E-2</v>
      </c>
      <c r="I60" s="203">
        <f>C60/(D60/0.75)</f>
        <v>3.4972242209935089</v>
      </c>
      <c r="J60" s="204">
        <f>C60/G60</f>
        <v>1267.8815793831504</v>
      </c>
      <c r="K60" s="204">
        <f>F60/G60</f>
        <v>905.63601635272209</v>
      </c>
    </row>
    <row r="61" spans="1:11" ht="12" customHeight="1">
      <c r="C61" s="38"/>
      <c r="D61" s="38"/>
      <c r="E61" s="38"/>
      <c r="F61" s="38"/>
      <c r="K61" s="38"/>
    </row>
    <row r="62" spans="1:11" ht="12" customHeight="1">
      <c r="C62" s="38"/>
      <c r="D62" s="38"/>
      <c r="E62" s="38"/>
      <c r="F62" s="38"/>
      <c r="K62" s="38"/>
    </row>
    <row r="63" spans="1:11" ht="12" customHeight="1">
      <c r="C63" s="38"/>
      <c r="D63" s="38"/>
      <c r="E63" s="38"/>
      <c r="F63" s="38"/>
      <c r="K63" s="38"/>
    </row>
    <row r="64" spans="1:11" ht="12" customHeight="1">
      <c r="C64" s="38"/>
      <c r="D64" s="38"/>
      <c r="E64" s="38"/>
      <c r="F64" s="38"/>
      <c r="K64" s="38"/>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1E739-E8AE-4511-90CF-51FC43372C4F}">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125" style="38" customWidth="1"/>
    <col min="2" max="2" width="1.0625" style="38" hidden="1" customWidth="1"/>
    <col min="3" max="6" width="12.0625" style="39" customWidth="1"/>
    <col min="7" max="7" width="12.0625" style="40" customWidth="1"/>
    <col min="8" max="8" width="9.5" style="41" customWidth="1"/>
    <col min="9" max="10" width="10.1875" style="38" customWidth="1"/>
    <col min="11" max="11" width="10.1875" style="43" customWidth="1"/>
    <col min="12" max="16384" width="9.625" style="38"/>
  </cols>
  <sheetData>
    <row r="1" spans="1:11" ht="27" customHeight="1">
      <c r="A1" s="232" t="s">
        <v>38</v>
      </c>
      <c r="B1" s="232"/>
      <c r="C1" s="232"/>
      <c r="D1" s="232"/>
      <c r="E1" s="232"/>
      <c r="F1" s="232"/>
      <c r="G1" s="232"/>
      <c r="H1" s="232"/>
      <c r="I1" s="232"/>
      <c r="J1" s="232"/>
      <c r="K1" s="232"/>
    </row>
    <row r="2" spans="1:11" ht="15" customHeight="1">
      <c r="A2" s="234" t="str">
        <f>TEXT(Selection!G13&amp;" "&amp;Selection!G12,"mmmm yyyy")</f>
        <v xml:space="preserve"> </v>
      </c>
      <c r="B2" s="234"/>
      <c r="C2" s="234"/>
      <c r="D2" s="234"/>
      <c r="E2" s="234"/>
      <c r="F2" s="234"/>
      <c r="G2" s="234"/>
      <c r="H2" s="234"/>
      <c r="I2" s="234"/>
      <c r="J2" s="234"/>
      <c r="K2" s="234"/>
    </row>
    <row r="3" spans="1:11" ht="14.25" customHeight="1">
      <c r="A3" s="174" t="s">
        <v>70</v>
      </c>
      <c r="I3" s="41"/>
      <c r="J3" s="174" t="str">
        <f>Selection!E15&amp;" "&amp;Selection!E14</f>
        <v>Dec 2024</v>
      </c>
    </row>
    <row r="4" spans="1:11" ht="17.100000000000001" customHeight="1">
      <c r="A4" s="179" t="s">
        <v>40</v>
      </c>
      <c r="I4" s="41"/>
    </row>
    <row r="5" spans="1:11" s="61" customFormat="1" ht="39.4">
      <c r="A5" s="199"/>
      <c r="B5" s="197"/>
      <c r="C5" s="200" t="s">
        <v>41</v>
      </c>
      <c r="D5" s="200" t="s">
        <v>42</v>
      </c>
      <c r="E5" s="200" t="s">
        <v>43</v>
      </c>
      <c r="F5" s="200" t="s">
        <v>44</v>
      </c>
      <c r="G5" s="200" t="s">
        <v>45</v>
      </c>
      <c r="H5" s="200" t="s">
        <v>46</v>
      </c>
      <c r="I5" s="200" t="s">
        <v>47</v>
      </c>
      <c r="J5" s="200" t="s">
        <v>48</v>
      </c>
      <c r="K5" s="200" t="s">
        <v>49</v>
      </c>
    </row>
    <row r="6" spans="1:11" ht="14.1" customHeight="1">
      <c r="A6" s="180" t="s">
        <v>50</v>
      </c>
      <c r="B6" s="180">
        <v>0</v>
      </c>
      <c r="C6" s="205">
        <f>'T18'!D7+'T18'!D21</f>
        <v>385661.26</v>
      </c>
      <c r="D6" s="205">
        <f>'T18'!E7+'T18'!E21</f>
        <v>273136.33999999997</v>
      </c>
      <c r="E6" s="205">
        <f>'T18'!F7+'T18'!F21</f>
        <v>90229.62</v>
      </c>
      <c r="F6" s="205">
        <f>C6-D6-E6</f>
        <v>22295.300000000047</v>
      </c>
      <c r="G6" s="182">
        <f>'T18'!H7+'T18'!H21</f>
        <v>4438</v>
      </c>
      <c r="H6" s="183">
        <f t="shared" ref="H6:H11" si="0">G6/$G$27</f>
        <v>0.13395713854512525</v>
      </c>
      <c r="I6" s="183">
        <f t="shared" ref="I6:I11" si="1">C6/(D6/0.75)</f>
        <v>1.0589800866483019</v>
      </c>
      <c r="J6" s="207">
        <f t="shared" ref="J6:J11" si="2">C6/G6</f>
        <v>86.899788192879683</v>
      </c>
      <c r="K6" s="207">
        <f t="shared" ref="K6:K11" si="3">F6/G6</f>
        <v>5.0237269040108261</v>
      </c>
    </row>
    <row r="7" spans="1:11" ht="14.1" customHeight="1">
      <c r="A7" s="180" t="s">
        <v>51</v>
      </c>
      <c r="B7" s="180">
        <v>1</v>
      </c>
      <c r="C7" s="205">
        <f>'T18'!D8</f>
        <v>607088.18000000005</v>
      </c>
      <c r="D7" s="205">
        <f>'T18'!E8</f>
        <v>385337.35</v>
      </c>
      <c r="E7" s="205">
        <f>'T18'!F8</f>
        <v>221748.21</v>
      </c>
      <c r="F7" s="205">
        <f>C7-D7-E7</f>
        <v>2.6200000000826549</v>
      </c>
      <c r="G7" s="182">
        <f>'T18'!H8</f>
        <v>3840</v>
      </c>
      <c r="H7" s="183">
        <f t="shared" si="0"/>
        <v>0.11590703290069423</v>
      </c>
      <c r="I7" s="183">
        <f t="shared" si="1"/>
        <v>1.1816039504086486</v>
      </c>
      <c r="J7" s="207">
        <f t="shared" si="2"/>
        <v>158.09588020833334</v>
      </c>
      <c r="K7" s="207">
        <f t="shared" si="3"/>
        <v>6.8229166668819132E-4</v>
      </c>
    </row>
    <row r="8" spans="1:11" ht="14.1" customHeight="1">
      <c r="A8" s="180" t="s">
        <v>52</v>
      </c>
      <c r="B8" s="180">
        <v>2</v>
      </c>
      <c r="C8" s="205">
        <f>'T18'!D9</f>
        <v>2244336.2000000002</v>
      </c>
      <c r="D8" s="205">
        <f>'T18'!E9</f>
        <v>1226957</v>
      </c>
      <c r="E8" s="205">
        <f>'T18'!F9</f>
        <v>1017377.7</v>
      </c>
      <c r="F8" s="205">
        <f>C8-D8-E8</f>
        <v>1.5000000002328306</v>
      </c>
      <c r="G8" s="182">
        <f>'T18'!H9</f>
        <v>9592</v>
      </c>
      <c r="H8" s="183">
        <f t="shared" si="0"/>
        <v>0.28952610926652583</v>
      </c>
      <c r="I8" s="183">
        <f t="shared" si="1"/>
        <v>1.3718917207367496</v>
      </c>
      <c r="J8" s="207">
        <f t="shared" si="2"/>
        <v>233.9800041701418</v>
      </c>
      <c r="K8" s="207">
        <f t="shared" si="3"/>
        <v>1.5638031695504906E-4</v>
      </c>
    </row>
    <row r="9" spans="1:11" ht="14.1" customHeight="1">
      <c r="A9" s="180" t="s">
        <v>53</v>
      </c>
      <c r="B9" s="180">
        <v>3</v>
      </c>
      <c r="C9" s="205">
        <f>'T18'!D10</f>
        <v>1591153.16</v>
      </c>
      <c r="D9" s="205">
        <f>'T18'!E10</f>
        <v>740796.9</v>
      </c>
      <c r="E9" s="205">
        <f>'T18'!F10</f>
        <v>850348.03</v>
      </c>
      <c r="F9" s="205">
        <f>C9-D9-E9</f>
        <v>8.2299999998649582</v>
      </c>
      <c r="G9" s="182">
        <f>'T18'!H10</f>
        <v>8250</v>
      </c>
      <c r="H9" s="183">
        <f t="shared" si="0"/>
        <v>0.24901901599758527</v>
      </c>
      <c r="I9" s="183">
        <f t="shared" si="1"/>
        <v>1.6109204425666466</v>
      </c>
      <c r="J9" s="207">
        <f t="shared" si="2"/>
        <v>192.86704969696967</v>
      </c>
      <c r="K9" s="207">
        <f t="shared" si="3"/>
        <v>9.9757575755938881E-4</v>
      </c>
    </row>
    <row r="10" spans="1:11" ht="14.1" customHeight="1">
      <c r="A10" s="180" t="s">
        <v>54</v>
      </c>
      <c r="B10" s="180">
        <v>4</v>
      </c>
      <c r="C10" s="205">
        <f>'T18'!D11</f>
        <v>7953.8</v>
      </c>
      <c r="D10" s="205">
        <f>'T18'!E11</f>
        <v>2109.6</v>
      </c>
      <c r="E10" s="205">
        <f>'T18'!F11</f>
        <v>5844.2</v>
      </c>
      <c r="F10" s="205">
        <f>C10-D10-E10</f>
        <v>0</v>
      </c>
      <c r="G10" s="182">
        <f>'T18'!H11</f>
        <v>24</v>
      </c>
      <c r="H10" s="183">
        <f t="shared" si="0"/>
        <v>7.2441895562933901E-4</v>
      </c>
      <c r="I10" s="183">
        <f t="shared" si="1"/>
        <v>2.8277161547212746</v>
      </c>
      <c r="J10" s="207">
        <f t="shared" si="2"/>
        <v>331.40833333333336</v>
      </c>
      <c r="K10" s="207">
        <f t="shared" si="3"/>
        <v>0</v>
      </c>
    </row>
    <row r="11" spans="1:11" s="62" customFormat="1" ht="14.1" customHeight="1">
      <c r="A11" s="201" t="s">
        <v>55</v>
      </c>
      <c r="B11" s="185"/>
      <c r="C11" s="202">
        <f>SUM(C6:C10)</f>
        <v>4836192.5999999996</v>
      </c>
      <c r="D11" s="202">
        <f>SUM(D6:D10)</f>
        <v>2628337.19</v>
      </c>
      <c r="E11" s="202">
        <f>SUM(E6:E10)</f>
        <v>2185547.7599999998</v>
      </c>
      <c r="F11" s="202">
        <f>SUM(F6:F10)</f>
        <v>22307.650000000227</v>
      </c>
      <c r="G11" s="206">
        <f>SUM(G6:G10)</f>
        <v>26144</v>
      </c>
      <c r="H11" s="203">
        <f t="shared" si="0"/>
        <v>0.7891337156655599</v>
      </c>
      <c r="I11" s="203">
        <f t="shared" si="1"/>
        <v>1.380014886902696</v>
      </c>
      <c r="J11" s="204">
        <f t="shared" si="2"/>
        <v>184.9828870869033</v>
      </c>
      <c r="K11" s="204">
        <f t="shared" si="3"/>
        <v>0.85326078641371739</v>
      </c>
    </row>
    <row r="12" spans="1:11" ht="17.100000000000001" customHeight="1">
      <c r="A12" s="179" t="s">
        <v>56</v>
      </c>
      <c r="B12" s="47"/>
      <c r="C12" s="47"/>
      <c r="D12" s="47"/>
      <c r="E12" s="47"/>
      <c r="F12" s="47"/>
      <c r="G12" s="48"/>
      <c r="H12" s="49"/>
      <c r="I12" s="47"/>
      <c r="J12" s="47"/>
      <c r="K12" s="47"/>
    </row>
    <row r="13" spans="1:11" ht="39.4">
      <c r="A13" s="199"/>
      <c r="B13" s="197"/>
      <c r="C13" s="200" t="s">
        <v>41</v>
      </c>
      <c r="D13" s="200" t="s">
        <v>42</v>
      </c>
      <c r="E13" s="200" t="s">
        <v>43</v>
      </c>
      <c r="F13" s="200" t="s">
        <v>44</v>
      </c>
      <c r="G13" s="200" t="s">
        <v>45</v>
      </c>
      <c r="H13" s="200" t="s">
        <v>46</v>
      </c>
      <c r="I13" s="200" t="s">
        <v>47</v>
      </c>
      <c r="J13" s="200" t="s">
        <v>48</v>
      </c>
      <c r="K13" s="200" t="s">
        <v>49</v>
      </c>
    </row>
    <row r="14" spans="1:11" ht="14.1" customHeight="1">
      <c r="A14" s="180" t="s">
        <v>50</v>
      </c>
      <c r="B14" s="180"/>
      <c r="C14" s="205"/>
      <c r="D14" s="205"/>
      <c r="E14" s="205"/>
      <c r="F14" s="205"/>
      <c r="G14" s="182"/>
      <c r="H14" s="183"/>
      <c r="I14" s="183"/>
      <c r="J14" s="207"/>
      <c r="K14" s="207"/>
    </row>
    <row r="15" spans="1:11" ht="14.1" customHeight="1">
      <c r="A15" s="180" t="s">
        <v>51</v>
      </c>
      <c r="B15" s="180">
        <v>5</v>
      </c>
      <c r="C15" s="205">
        <f>'T18'!D14+'T18'!D22</f>
        <v>51591.75</v>
      </c>
      <c r="D15" s="205">
        <f>'T18'!E14+'T18'!E22</f>
        <v>33541.660000000003</v>
      </c>
      <c r="E15" s="205">
        <f>'T18'!F14+'T18'!F22</f>
        <v>13263.81</v>
      </c>
      <c r="F15" s="205">
        <f>C15-D15-E15</f>
        <v>4786.279999999997</v>
      </c>
      <c r="G15" s="182">
        <f>'T18'!H14+'T18'!H22</f>
        <v>111</v>
      </c>
      <c r="H15" s="183">
        <f>G15/$G$27</f>
        <v>3.3504376697856926E-3</v>
      </c>
      <c r="I15" s="183">
        <f>C15/(D15/0.75)</f>
        <v>1.1536045771139529</v>
      </c>
      <c r="J15" s="207">
        <f>C15/G15</f>
        <v>464.79054054054052</v>
      </c>
      <c r="K15" s="207">
        <f>F15/G15</f>
        <v>43.119639639639615</v>
      </c>
    </row>
    <row r="16" spans="1:11" ht="14.1" customHeight="1">
      <c r="A16" s="180" t="s">
        <v>52</v>
      </c>
      <c r="B16" s="180">
        <v>6</v>
      </c>
      <c r="C16" s="205">
        <f>'T18'!D15+'T18'!D23</f>
        <v>133996.35999999999</v>
      </c>
      <c r="D16" s="205">
        <f>'T18'!E15+'T18'!E23</f>
        <v>72600.69</v>
      </c>
      <c r="E16" s="205">
        <f>'T18'!F15+'T18'!F23</f>
        <v>39990.06</v>
      </c>
      <c r="F16" s="205">
        <f>C16-D16-E16</f>
        <v>21405.609999999986</v>
      </c>
      <c r="G16" s="182">
        <f>'T18'!H15+'T18'!H23</f>
        <v>368</v>
      </c>
      <c r="H16" s="183">
        <f>G16/$G$27</f>
        <v>1.1107757319649865E-2</v>
      </c>
      <c r="I16" s="183">
        <f>C16/(D16/0.75)</f>
        <v>1.3842467612911116</v>
      </c>
      <c r="J16" s="207">
        <f>C16/G16</f>
        <v>364.12054347826086</v>
      </c>
      <c r="K16" s="207">
        <f>F16/G16</f>
        <v>58.167418478260835</v>
      </c>
    </row>
    <row r="17" spans="1:11" ht="14.1" customHeight="1">
      <c r="A17" s="180" t="s">
        <v>53</v>
      </c>
      <c r="B17" s="180">
        <v>7</v>
      </c>
      <c r="C17" s="205">
        <f>'T18'!D16+'T18'!D24</f>
        <v>457316.7</v>
      </c>
      <c r="D17" s="205">
        <f>'T18'!E16+'T18'!E24</f>
        <v>195770.01</v>
      </c>
      <c r="E17" s="205">
        <f>'T18'!F16+'T18'!F24</f>
        <v>165176.22</v>
      </c>
      <c r="F17" s="205">
        <f>C17-D17-E17</f>
        <v>96370.47</v>
      </c>
      <c r="G17" s="182">
        <f>'T18'!H16+'T18'!H24</f>
        <v>658</v>
      </c>
      <c r="H17" s="183">
        <f>G17/$G$27</f>
        <v>1.9861153033504376E-2</v>
      </c>
      <c r="I17" s="183">
        <f>C17/(D17/0.75)</f>
        <v>1.7519921718346951</v>
      </c>
      <c r="J17" s="207">
        <f>C17/G17</f>
        <v>695.01018237082064</v>
      </c>
      <c r="K17" s="207">
        <f>F17/G17</f>
        <v>146.45968085106384</v>
      </c>
    </row>
    <row r="18" spans="1:11" ht="14.1" customHeight="1">
      <c r="A18" s="180" t="s">
        <v>54</v>
      </c>
      <c r="B18" s="180">
        <v>8</v>
      </c>
      <c r="C18" s="205">
        <f>'T18'!D17+'T18'!D25</f>
        <v>3277728.04</v>
      </c>
      <c r="D18" s="205">
        <f>'T18'!E17+'T18'!E25</f>
        <v>780662.73</v>
      </c>
      <c r="E18" s="205">
        <f>'T18'!F17+'T18'!F25</f>
        <v>533646.05000000005</v>
      </c>
      <c r="F18" s="205">
        <f>C18-D18-E18</f>
        <v>1963419.26</v>
      </c>
      <c r="G18" s="182">
        <f>'T18'!H17+'T18'!H25</f>
        <v>5849</v>
      </c>
      <c r="H18" s="183">
        <f>G18/$G$27</f>
        <v>0.17654693631150015</v>
      </c>
      <c r="I18" s="183">
        <f>C18/(D18/0.75)</f>
        <v>3.1489860288321947</v>
      </c>
      <c r="J18" s="207">
        <f>C18/G18</f>
        <v>560.39118481791763</v>
      </c>
      <c r="K18" s="207">
        <f>F18/G18</f>
        <v>335.68460591554111</v>
      </c>
    </row>
    <row r="19" spans="1:11" s="62" customFormat="1" ht="14.1" customHeight="1">
      <c r="A19" s="201" t="s">
        <v>55</v>
      </c>
      <c r="B19" s="185"/>
      <c r="C19" s="202">
        <f>SUM(C13:C18)</f>
        <v>3920632.85</v>
      </c>
      <c r="D19" s="202">
        <f>SUM(D13:D18)</f>
        <v>1082575.0899999999</v>
      </c>
      <c r="E19" s="202">
        <f>SUM(E13:E18)</f>
        <v>752076.14</v>
      </c>
      <c r="F19" s="202">
        <f>SUM(F13:F18)</f>
        <v>2085981.62</v>
      </c>
      <c r="G19" s="206">
        <f>SUM(G13:G18)</f>
        <v>6986</v>
      </c>
      <c r="H19" s="203">
        <f>G19/$G$27</f>
        <v>0.21086628433444007</v>
      </c>
      <c r="I19" s="203">
        <f>C19/(D19/0.75)</f>
        <v>2.7161853848863275</v>
      </c>
      <c r="J19" s="204">
        <f>C19/G19</f>
        <v>561.2128328084741</v>
      </c>
      <c r="K19" s="204">
        <f>F19/G19</f>
        <v>298.5945634125394</v>
      </c>
    </row>
    <row r="20" spans="1:11" ht="17.100000000000001" customHeight="1">
      <c r="A20" s="179" t="s">
        <v>57</v>
      </c>
      <c r="B20" s="47"/>
      <c r="C20" s="50"/>
      <c r="D20" s="50"/>
      <c r="E20" s="50"/>
      <c r="F20" s="50"/>
      <c r="G20" s="48"/>
      <c r="H20" s="49"/>
      <c r="I20" s="49"/>
      <c r="J20" s="51"/>
      <c r="K20" s="51"/>
    </row>
    <row r="21" spans="1:11" ht="39.4">
      <c r="A21" s="199"/>
      <c r="B21" s="197"/>
      <c r="C21" s="200" t="s">
        <v>41</v>
      </c>
      <c r="D21" s="200" t="s">
        <v>42</v>
      </c>
      <c r="E21" s="200" t="s">
        <v>43</v>
      </c>
      <c r="F21" s="200" t="s">
        <v>44</v>
      </c>
      <c r="G21" s="200" t="s">
        <v>45</v>
      </c>
      <c r="H21" s="200" t="s">
        <v>46</v>
      </c>
      <c r="I21" s="200" t="s">
        <v>47</v>
      </c>
      <c r="J21" s="200" t="s">
        <v>48</v>
      </c>
      <c r="K21" s="200" t="s">
        <v>49</v>
      </c>
    </row>
    <row r="22" spans="1:11" ht="14.1" customHeight="1">
      <c r="A22" s="180" t="s">
        <v>50</v>
      </c>
      <c r="B22" s="180">
        <v>10</v>
      </c>
      <c r="C22" s="205">
        <f>'T18'!D7+'T18'!D21</f>
        <v>385661.26</v>
      </c>
      <c r="D22" s="205">
        <f>'T18'!E7+'T18'!E21</f>
        <v>273136.33999999997</v>
      </c>
      <c r="E22" s="205">
        <f>'T18'!F7+'T18'!F21</f>
        <v>90229.62</v>
      </c>
      <c r="F22" s="205">
        <f>C22-D22-E22</f>
        <v>22295.300000000047</v>
      </c>
      <c r="G22" s="182">
        <f>'T18'!H7+'T18'!H21</f>
        <v>4438</v>
      </c>
      <c r="H22" s="183">
        <f t="shared" ref="H22:H27" si="4">G22/$G$27</f>
        <v>0.13395713854512525</v>
      </c>
      <c r="I22" s="183">
        <f t="shared" ref="I22:I27" si="5">C22/(D22/0.75)</f>
        <v>1.0589800866483019</v>
      </c>
      <c r="J22" s="207">
        <f t="shared" ref="J22:J27" si="6">C22/G22</f>
        <v>86.899788192879683</v>
      </c>
      <c r="K22" s="207">
        <f t="shared" ref="K22:K27" si="7">F22/G22</f>
        <v>5.0237269040108261</v>
      </c>
    </row>
    <row r="23" spans="1:11" ht="14.1" customHeight="1">
      <c r="A23" s="180" t="s">
        <v>51</v>
      </c>
      <c r="B23" s="180">
        <v>11</v>
      </c>
      <c r="C23" s="205">
        <f>'T18'!D8+'T18'!D14+'T18'!D22</f>
        <v>658679.93000000005</v>
      </c>
      <c r="D23" s="205">
        <f>'T18'!E8+'T18'!E14+'T18'!E22</f>
        <v>418879.01</v>
      </c>
      <c r="E23" s="205">
        <f>'T18'!F8+'T18'!F14+'T18'!F22</f>
        <v>235012.02</v>
      </c>
      <c r="F23" s="205">
        <f>C23-D23-E23</f>
        <v>4788.9000000000524</v>
      </c>
      <c r="G23" s="182">
        <f>'T18'!H8+'T18'!H14+'T18'!H22</f>
        <v>3951</v>
      </c>
      <c r="H23" s="183">
        <f t="shared" si="4"/>
        <v>0.11925747057047993</v>
      </c>
      <c r="I23" s="183">
        <f t="shared" si="5"/>
        <v>1.1793619057206997</v>
      </c>
      <c r="J23" s="207">
        <f t="shared" si="6"/>
        <v>166.71220703619338</v>
      </c>
      <c r="K23" s="207">
        <f t="shared" si="7"/>
        <v>1.2120728929385098</v>
      </c>
    </row>
    <row r="24" spans="1:11" ht="14.1" customHeight="1">
      <c r="A24" s="180" t="s">
        <v>52</v>
      </c>
      <c r="B24" s="180">
        <v>12</v>
      </c>
      <c r="C24" s="205">
        <f>'T18'!D9+'T18'!D15+'T18'!D23</f>
        <v>2378332.5600000005</v>
      </c>
      <c r="D24" s="205">
        <f>'T18'!E9+'T18'!E15+'T18'!E23</f>
        <v>1299557.6900000002</v>
      </c>
      <c r="E24" s="205">
        <f>'T18'!F9+'T18'!F15+'T18'!F23</f>
        <v>1057367.76</v>
      </c>
      <c r="F24" s="205">
        <f>C24-D24-E24</f>
        <v>21407.110000000335</v>
      </c>
      <c r="G24" s="182">
        <f>'T18'!H9+'T18'!H15+'T18'!H23</f>
        <v>9960</v>
      </c>
      <c r="H24" s="183">
        <f t="shared" si="4"/>
        <v>0.30063386658617569</v>
      </c>
      <c r="I24" s="183">
        <f t="shared" si="5"/>
        <v>1.3725819436303748</v>
      </c>
      <c r="J24" s="207">
        <f t="shared" si="6"/>
        <v>238.78840963855427</v>
      </c>
      <c r="K24" s="207">
        <f t="shared" si="7"/>
        <v>2.1493082329317605</v>
      </c>
    </row>
    <row r="25" spans="1:11" ht="14.1" customHeight="1">
      <c r="A25" s="180" t="s">
        <v>53</v>
      </c>
      <c r="B25" s="180">
        <v>13</v>
      </c>
      <c r="C25" s="205">
        <f>'T18'!D10+'T18'!D16+'T18'!D24</f>
        <v>2048469.8599999999</v>
      </c>
      <c r="D25" s="205">
        <f>'T18'!E10+'T18'!E16+'T18'!E24</f>
        <v>936566.91</v>
      </c>
      <c r="E25" s="205">
        <f>'T18'!F10+'T18'!F16+'T18'!F24</f>
        <v>1015524.25</v>
      </c>
      <c r="F25" s="205">
        <f>C25-D25-E25</f>
        <v>96378.699999999721</v>
      </c>
      <c r="G25" s="182">
        <f>'T18'!H10+'T18'!H16+'T18'!H24</f>
        <v>8908</v>
      </c>
      <c r="H25" s="183">
        <f t="shared" si="4"/>
        <v>0.26888016903108963</v>
      </c>
      <c r="I25" s="183">
        <f t="shared" si="5"/>
        <v>1.6404085800981372</v>
      </c>
      <c r="J25" s="207">
        <f t="shared" si="6"/>
        <v>229.95844858554108</v>
      </c>
      <c r="K25" s="207">
        <f t="shared" si="7"/>
        <v>10.819342164346624</v>
      </c>
    </row>
    <row r="26" spans="1:11" ht="14.1" customHeight="1">
      <c r="A26" s="180" t="s">
        <v>54</v>
      </c>
      <c r="B26" s="180">
        <v>14</v>
      </c>
      <c r="C26" s="205">
        <f>'T18'!D11+'T18'!D17+'T18'!D25</f>
        <v>3285681.84</v>
      </c>
      <c r="D26" s="205">
        <f>'T18'!E11+'T18'!E17+'T18'!E25</f>
        <v>782772.33</v>
      </c>
      <c r="E26" s="205">
        <f>'T18'!F11+'T18'!F17+'T18'!F25</f>
        <v>539490.25</v>
      </c>
      <c r="F26" s="205">
        <f>C26-D26-E26</f>
        <v>1963419.2599999998</v>
      </c>
      <c r="G26" s="182">
        <f>'T18'!H11+'T18'!H17+'T18'!H25</f>
        <v>5873</v>
      </c>
      <c r="H26" s="183">
        <f t="shared" si="4"/>
        <v>0.17727135526712948</v>
      </c>
      <c r="I26" s="183">
        <f t="shared" si="5"/>
        <v>3.1481201947953372</v>
      </c>
      <c r="J26" s="207">
        <f t="shared" si="6"/>
        <v>559.45544696066747</v>
      </c>
      <c r="K26" s="207">
        <f t="shared" si="7"/>
        <v>334.31283160224751</v>
      </c>
    </row>
    <row r="27" spans="1:11" s="62" customFormat="1" ht="14.1" customHeight="1">
      <c r="A27" s="201" t="s">
        <v>55</v>
      </c>
      <c r="B27" s="185"/>
      <c r="C27" s="202">
        <f>SUM(C22:C26)</f>
        <v>8756825.4499999993</v>
      </c>
      <c r="D27" s="202">
        <f>SUM(D22:D26)</f>
        <v>3710912.2800000003</v>
      </c>
      <c r="E27" s="202">
        <f>SUM(E22:E26)</f>
        <v>2937623.9</v>
      </c>
      <c r="F27" s="202">
        <f>SUM(F22:F26)</f>
        <v>2108289.27</v>
      </c>
      <c r="G27" s="206">
        <f>SUM(G22:G26)</f>
        <v>33130</v>
      </c>
      <c r="H27" s="203">
        <f t="shared" si="4"/>
        <v>1</v>
      </c>
      <c r="I27" s="203">
        <f t="shared" si="5"/>
        <v>1.7698125398695761</v>
      </c>
      <c r="J27" s="204">
        <f t="shared" si="6"/>
        <v>264.31709779655898</v>
      </c>
      <c r="K27" s="204">
        <f t="shared" si="7"/>
        <v>63.63686296408089</v>
      </c>
    </row>
    <row r="28" spans="1:11" s="62" customFormat="1" ht="15" customHeight="1" thickBot="1">
      <c r="A28" s="52"/>
      <c r="B28" s="52"/>
      <c r="C28" s="53"/>
      <c r="D28" s="53"/>
      <c r="E28" s="53"/>
      <c r="F28" s="53"/>
      <c r="G28" s="54"/>
      <c r="H28" s="55"/>
      <c r="I28" s="55"/>
      <c r="J28" s="56"/>
      <c r="K28" s="56"/>
    </row>
    <row r="29" spans="1:11" ht="17.100000000000001" customHeight="1">
      <c r="A29" s="179" t="s">
        <v>58</v>
      </c>
      <c r="B29" s="47"/>
      <c r="C29" s="50"/>
      <c r="D29" s="50"/>
      <c r="E29" s="50"/>
      <c r="F29" s="50"/>
      <c r="G29" s="48"/>
      <c r="H29" s="49"/>
      <c r="I29" s="49"/>
      <c r="J29" s="51"/>
      <c r="K29" s="51"/>
    </row>
    <row r="30" spans="1:11" ht="39.4">
      <c r="A30" s="199"/>
      <c r="B30" s="197"/>
      <c r="C30" s="200" t="s">
        <v>41</v>
      </c>
      <c r="D30" s="200" t="s">
        <v>42</v>
      </c>
      <c r="E30" s="200" t="s">
        <v>43</v>
      </c>
      <c r="F30" s="200" t="s">
        <v>44</v>
      </c>
      <c r="G30" s="200" t="s">
        <v>45</v>
      </c>
      <c r="H30" s="200" t="s">
        <v>46</v>
      </c>
      <c r="I30" s="200" t="s">
        <v>47</v>
      </c>
      <c r="J30" s="200" t="s">
        <v>48</v>
      </c>
      <c r="K30" s="200" t="s">
        <v>49</v>
      </c>
    </row>
    <row r="31" spans="1:11" ht="14.1" customHeight="1">
      <c r="A31" s="180" t="s">
        <v>50</v>
      </c>
      <c r="B31" s="180"/>
      <c r="C31" s="205"/>
      <c r="D31" s="205"/>
      <c r="E31" s="205"/>
      <c r="F31" s="205"/>
      <c r="G31" s="182"/>
      <c r="H31" s="183"/>
      <c r="I31" s="183"/>
      <c r="J31" s="207"/>
      <c r="K31" s="207"/>
    </row>
    <row r="32" spans="1:11" ht="14.1" customHeight="1">
      <c r="A32" s="180" t="s">
        <v>51</v>
      </c>
      <c r="B32" s="180">
        <v>15</v>
      </c>
      <c r="C32" s="205">
        <f>'T18'!D14</f>
        <v>24781.95</v>
      </c>
      <c r="D32" s="205">
        <f>'T18'!E14</f>
        <v>15688.01</v>
      </c>
      <c r="E32" s="205">
        <f>'T18'!F14</f>
        <v>7132.11</v>
      </c>
      <c r="F32" s="205">
        <f>C32-D32-E32</f>
        <v>1961.8300000000008</v>
      </c>
      <c r="G32" s="182">
        <f>'T18'!H14</f>
        <v>69</v>
      </c>
      <c r="H32" s="183">
        <f>G32/$G$27</f>
        <v>2.0827044974343497E-3</v>
      </c>
      <c r="I32" s="183">
        <f>C32/(D32/0.75)</f>
        <v>1.184755905943456</v>
      </c>
      <c r="J32" s="207">
        <f>C32/G32</f>
        <v>359.15869565217395</v>
      </c>
      <c r="K32" s="207">
        <f>F32/G32</f>
        <v>28.432318840579722</v>
      </c>
    </row>
    <row r="33" spans="1:11" ht="14.1" customHeight="1">
      <c r="A33" s="180" t="s">
        <v>52</v>
      </c>
      <c r="B33" s="180">
        <v>16</v>
      </c>
      <c r="C33" s="205">
        <f>'T18'!D15</f>
        <v>88303.16</v>
      </c>
      <c r="D33" s="205">
        <f>'T18'!E15</f>
        <v>47641.07</v>
      </c>
      <c r="E33" s="205">
        <f>'T18'!F15</f>
        <v>31503.61</v>
      </c>
      <c r="F33" s="205">
        <f>C33-D33-E33</f>
        <v>9158.4800000000032</v>
      </c>
      <c r="G33" s="182">
        <f>'T18'!H15</f>
        <v>296</v>
      </c>
      <c r="H33" s="183">
        <f>G33/$G$27</f>
        <v>8.9345004527618468E-3</v>
      </c>
      <c r="I33" s="183">
        <f>C33/(D33/0.75)</f>
        <v>1.3901318757114398</v>
      </c>
      <c r="J33" s="207">
        <f>C33/G33</f>
        <v>298.32148648648649</v>
      </c>
      <c r="K33" s="207">
        <f>F33/G33</f>
        <v>30.94081081081082</v>
      </c>
    </row>
    <row r="34" spans="1:11" ht="14.1" customHeight="1">
      <c r="A34" s="180" t="s">
        <v>53</v>
      </c>
      <c r="B34" s="180">
        <v>17</v>
      </c>
      <c r="C34" s="205">
        <f>'T18'!D16</f>
        <v>350482.53</v>
      </c>
      <c r="D34" s="205">
        <f>'T18'!E16</f>
        <v>149900.97</v>
      </c>
      <c r="E34" s="205">
        <f>'T18'!F16</f>
        <v>149707.26999999999</v>
      </c>
      <c r="F34" s="205">
        <f>C34-D34-E34</f>
        <v>50874.290000000037</v>
      </c>
      <c r="G34" s="182">
        <f>'T18'!H16</f>
        <v>482</v>
      </c>
      <c r="H34" s="183">
        <f>G34/$G$27</f>
        <v>1.4548747358889225E-2</v>
      </c>
      <c r="I34" s="183">
        <f>C34/(D34/0.75)</f>
        <v>1.7535703571497905</v>
      </c>
      <c r="J34" s="207">
        <f>C34/G34</f>
        <v>727.1421784232366</v>
      </c>
      <c r="K34" s="207">
        <f>F34/G34</f>
        <v>105.54831950207476</v>
      </c>
    </row>
    <row r="35" spans="1:11" ht="14.1" customHeight="1">
      <c r="A35" s="180" t="s">
        <v>54</v>
      </c>
      <c r="B35" s="180">
        <v>18</v>
      </c>
      <c r="C35" s="205">
        <f>'T18'!D17</f>
        <v>1293033.03</v>
      </c>
      <c r="D35" s="205">
        <f>'T18'!E17</f>
        <v>338112.88</v>
      </c>
      <c r="E35" s="205">
        <f>'T18'!F17</f>
        <v>386127.08</v>
      </c>
      <c r="F35" s="205">
        <f>C35-D35-E35</f>
        <v>568793.07000000007</v>
      </c>
      <c r="G35" s="182">
        <f>'T18'!H17</f>
        <v>4624</v>
      </c>
      <c r="H35" s="183">
        <f>G35/$G$27</f>
        <v>0.13957138545125264</v>
      </c>
      <c r="I35" s="183">
        <f>C35/(D35/0.75)</f>
        <v>2.8681982552690686</v>
      </c>
      <c r="J35" s="207">
        <f>C35/G35</f>
        <v>279.63517084775089</v>
      </c>
      <c r="K35" s="207">
        <f>F35/G35</f>
        <v>123.00888192041523</v>
      </c>
    </row>
    <row r="36" spans="1:11" s="62" customFormat="1" ht="14.1" customHeight="1">
      <c r="A36" s="201" t="s">
        <v>55</v>
      </c>
      <c r="B36" s="185"/>
      <c r="C36" s="202">
        <f>SUM(C31:C35)</f>
        <v>1756600.67</v>
      </c>
      <c r="D36" s="202">
        <f>SUM(D31:D35)</f>
        <v>551342.92999999993</v>
      </c>
      <c r="E36" s="202">
        <f>SUM(E31:E35)</f>
        <v>574470.07000000007</v>
      </c>
      <c r="F36" s="202">
        <f>SUM(F31:F35)</f>
        <v>630787.67000000016</v>
      </c>
      <c r="G36" s="206">
        <f>SUM(G31:G35)</f>
        <v>5471</v>
      </c>
      <c r="H36" s="203">
        <f>G36/$G$27</f>
        <v>0.16513733776033807</v>
      </c>
      <c r="I36" s="203">
        <f>C36/(D36/0.75)</f>
        <v>2.3895300561848143</v>
      </c>
      <c r="J36" s="204">
        <f>C36/G36</f>
        <v>321.07488027782853</v>
      </c>
      <c r="K36" s="204">
        <f>F36/G36</f>
        <v>115.29659477243651</v>
      </c>
    </row>
    <row r="37" spans="1:11" ht="17.100000000000001" customHeight="1">
      <c r="A37" s="179" t="s">
        <v>59</v>
      </c>
      <c r="B37" s="47"/>
      <c r="C37" s="50"/>
      <c r="D37" s="50"/>
      <c r="E37" s="50"/>
      <c r="F37" s="50"/>
      <c r="G37" s="48"/>
      <c r="H37" s="49"/>
      <c r="I37" s="49"/>
      <c r="J37" s="51"/>
      <c r="K37" s="51"/>
    </row>
    <row r="38" spans="1:11" ht="39.4">
      <c r="A38" s="199"/>
      <c r="B38" s="197"/>
      <c r="C38" s="200" t="s">
        <v>41</v>
      </c>
      <c r="D38" s="200" t="s">
        <v>42</v>
      </c>
      <c r="E38" s="200" t="s">
        <v>43</v>
      </c>
      <c r="F38" s="200" t="s">
        <v>44</v>
      </c>
      <c r="G38" s="200" t="s">
        <v>45</v>
      </c>
      <c r="H38" s="200" t="s">
        <v>46</v>
      </c>
      <c r="I38" s="200" t="s">
        <v>47</v>
      </c>
      <c r="J38" s="200" t="s">
        <v>48</v>
      </c>
      <c r="K38" s="200" t="s">
        <v>49</v>
      </c>
    </row>
    <row r="39" spans="1:11" ht="14.1" customHeight="1">
      <c r="A39" s="180" t="s">
        <v>50</v>
      </c>
      <c r="B39" s="180">
        <v>10</v>
      </c>
      <c r="C39" s="205">
        <f>'T18'!D7+'T18'!D21</f>
        <v>385661.26</v>
      </c>
      <c r="D39" s="205">
        <f>'T18'!E7+'T18'!E21</f>
        <v>273136.33999999997</v>
      </c>
      <c r="E39" s="205">
        <f>'T18'!F7+'T18'!F21</f>
        <v>90229.62</v>
      </c>
      <c r="F39" s="205">
        <f>C39-D39-E39</f>
        <v>22295.300000000047</v>
      </c>
      <c r="G39" s="182">
        <f>'T18'!H7+'T18'!H21</f>
        <v>4438</v>
      </c>
      <c r="H39" s="183">
        <f t="shared" ref="H39:H44" si="8">G39/$G$27</f>
        <v>0.13395713854512525</v>
      </c>
      <c r="I39" s="183">
        <f t="shared" ref="I39:I44" si="9">C39/(D39/0.75)</f>
        <v>1.0589800866483019</v>
      </c>
      <c r="J39" s="207">
        <f t="shared" ref="J39:J44" si="10">C39/G39</f>
        <v>86.899788192879683</v>
      </c>
      <c r="K39" s="207">
        <f t="shared" ref="K39:K44" si="11">F39/G39</f>
        <v>5.0237269040108261</v>
      </c>
    </row>
    <row r="40" spans="1:11" ht="14.1" customHeight="1">
      <c r="A40" s="180" t="s">
        <v>51</v>
      </c>
      <c r="B40" s="180">
        <v>11</v>
      </c>
      <c r="C40" s="205">
        <f>'T18'!D8+'T18'!D14</f>
        <v>631870.13</v>
      </c>
      <c r="D40" s="205">
        <f>'T18'!E8+'T18'!E14</f>
        <v>401025.36</v>
      </c>
      <c r="E40" s="205">
        <f>'T18'!F8+'T18'!F14</f>
        <v>228880.31999999998</v>
      </c>
      <c r="F40" s="205">
        <f>C40-D40-E40</f>
        <v>1964.4500000000407</v>
      </c>
      <c r="G40" s="182">
        <f>'T18'!H8+'T18'!H14</f>
        <v>3909</v>
      </c>
      <c r="H40" s="183">
        <f t="shared" si="8"/>
        <v>0.11798973739812858</v>
      </c>
      <c r="I40" s="183">
        <f t="shared" si="9"/>
        <v>1.1817272541068227</v>
      </c>
      <c r="J40" s="207">
        <f t="shared" si="10"/>
        <v>161.644955231517</v>
      </c>
      <c r="K40" s="207">
        <f t="shared" si="11"/>
        <v>0.50254540803275538</v>
      </c>
    </row>
    <row r="41" spans="1:11" ht="14.1" customHeight="1">
      <c r="A41" s="180" t="s">
        <v>52</v>
      </c>
      <c r="B41" s="180">
        <v>12</v>
      </c>
      <c r="C41" s="205">
        <f>'T18'!D9+'T18'!D15</f>
        <v>2332639.3600000003</v>
      </c>
      <c r="D41" s="205">
        <f>'T18'!E9+'T18'!E15</f>
        <v>1274598.07</v>
      </c>
      <c r="E41" s="205">
        <f>'T18'!F9+'T18'!F15</f>
        <v>1048881.31</v>
      </c>
      <c r="F41" s="205">
        <f>C41-D41-E41</f>
        <v>9159.9800000002142</v>
      </c>
      <c r="G41" s="182">
        <f>'T18'!H9+'T18'!H15</f>
        <v>9888</v>
      </c>
      <c r="H41" s="183">
        <f t="shared" si="8"/>
        <v>0.29846060971928767</v>
      </c>
      <c r="I41" s="183">
        <f t="shared" si="9"/>
        <v>1.3725734889901411</v>
      </c>
      <c r="J41" s="207">
        <f t="shared" si="10"/>
        <v>235.90608414239486</v>
      </c>
      <c r="K41" s="207">
        <f t="shared" si="11"/>
        <v>0.92637338187704432</v>
      </c>
    </row>
    <row r="42" spans="1:11" ht="14.1" customHeight="1">
      <c r="A42" s="180" t="s">
        <v>53</v>
      </c>
      <c r="B42" s="180">
        <v>13</v>
      </c>
      <c r="C42" s="205">
        <f>'T18'!D10+'T18'!D16</f>
        <v>1941635.69</v>
      </c>
      <c r="D42" s="205">
        <f>'T18'!E10+'T18'!E16</f>
        <v>890697.87</v>
      </c>
      <c r="E42" s="205">
        <f>'T18'!F10+'T18'!F16</f>
        <v>1000055.3</v>
      </c>
      <c r="F42" s="205">
        <f>C42-D42-E42</f>
        <v>50882.519999999786</v>
      </c>
      <c r="G42" s="182">
        <f>'T18'!H10+'T18'!H16</f>
        <v>8732</v>
      </c>
      <c r="H42" s="183">
        <f t="shared" si="8"/>
        <v>0.26356776335647447</v>
      </c>
      <c r="I42" s="183">
        <f t="shared" si="9"/>
        <v>1.6349278656072233</v>
      </c>
      <c r="J42" s="207">
        <f t="shared" si="10"/>
        <v>222.35864521300962</v>
      </c>
      <c r="K42" s="207">
        <f t="shared" si="11"/>
        <v>5.8271323866238873</v>
      </c>
    </row>
    <row r="43" spans="1:11" ht="14.1" customHeight="1">
      <c r="A43" s="180" t="s">
        <v>54</v>
      </c>
      <c r="B43" s="180">
        <v>14</v>
      </c>
      <c r="C43" s="205">
        <f>'T18'!D11+'T18'!D17</f>
        <v>1300986.83</v>
      </c>
      <c r="D43" s="205">
        <f>'T18'!E11+'T18'!E17</f>
        <v>340222.48</v>
      </c>
      <c r="E43" s="205">
        <f>'T18'!F11+'T18'!F17</f>
        <v>391971.28</v>
      </c>
      <c r="F43" s="205">
        <f>C43-D43-E43</f>
        <v>568793.07000000007</v>
      </c>
      <c r="G43" s="182">
        <f>'T18'!H11+'T18'!H17</f>
        <v>4648</v>
      </c>
      <c r="H43" s="183">
        <f t="shared" si="8"/>
        <v>0.14029580440688197</v>
      </c>
      <c r="I43" s="183">
        <f t="shared" si="9"/>
        <v>2.8679472399942534</v>
      </c>
      <c r="J43" s="207">
        <f t="shared" si="10"/>
        <v>279.90250215146301</v>
      </c>
      <c r="K43" s="207">
        <f t="shared" si="11"/>
        <v>122.37372418244408</v>
      </c>
    </row>
    <row r="44" spans="1:11" s="62" customFormat="1" ht="14.1" customHeight="1">
      <c r="A44" s="201" t="s">
        <v>55</v>
      </c>
      <c r="B44" s="185"/>
      <c r="C44" s="202">
        <f>SUM(C39:C43)</f>
        <v>6592793.2700000005</v>
      </c>
      <c r="D44" s="202">
        <f>SUM(D39:D43)</f>
        <v>3179680.12</v>
      </c>
      <c r="E44" s="202">
        <f>SUM(E39:E43)</f>
        <v>2760017.83</v>
      </c>
      <c r="F44" s="202">
        <f>SUM(F39:F43)</f>
        <v>653095.32000000018</v>
      </c>
      <c r="G44" s="206">
        <f>SUM(G39:G43)</f>
        <v>31615</v>
      </c>
      <c r="H44" s="203">
        <f t="shared" si="8"/>
        <v>0.95427105342589802</v>
      </c>
      <c r="I44" s="203">
        <f t="shared" si="9"/>
        <v>1.5550604985070009</v>
      </c>
      <c r="J44" s="204">
        <f t="shared" si="10"/>
        <v>208.53371089672626</v>
      </c>
      <c r="K44" s="204">
        <f t="shared" si="11"/>
        <v>20.657767515419902</v>
      </c>
    </row>
    <row r="45" spans="1:11" ht="17.100000000000001" customHeight="1">
      <c r="A45" s="179" t="s">
        <v>60</v>
      </c>
      <c r="B45" s="47"/>
      <c r="C45" s="50"/>
      <c r="D45" s="50"/>
      <c r="E45" s="50"/>
      <c r="F45" s="50"/>
      <c r="G45" s="48"/>
      <c r="H45" s="49"/>
      <c r="I45" s="49"/>
      <c r="J45" s="51"/>
      <c r="K45" s="51"/>
    </row>
    <row r="46" spans="1:11" ht="39.4">
      <c r="A46" s="199"/>
      <c r="B46" s="197"/>
      <c r="C46" s="200" t="s">
        <v>41</v>
      </c>
      <c r="D46" s="200" t="s">
        <v>42</v>
      </c>
      <c r="E46" s="200" t="s">
        <v>43</v>
      </c>
      <c r="F46" s="200" t="s">
        <v>44</v>
      </c>
      <c r="G46" s="200" t="s">
        <v>45</v>
      </c>
      <c r="H46" s="200" t="s">
        <v>46</v>
      </c>
      <c r="I46" s="200" t="s">
        <v>47</v>
      </c>
      <c r="J46" s="200" t="s">
        <v>48</v>
      </c>
      <c r="K46" s="200" t="s">
        <v>49</v>
      </c>
    </row>
    <row r="47" spans="1:11" ht="14.1" customHeight="1">
      <c r="A47" s="180" t="s">
        <v>50</v>
      </c>
      <c r="B47" s="180"/>
      <c r="C47" s="205">
        <f>'T18'!D7</f>
        <v>242162.22</v>
      </c>
      <c r="D47" s="205">
        <f>'T18'!E7</f>
        <v>181928.05</v>
      </c>
      <c r="E47" s="205">
        <f>'T18'!F7</f>
        <v>60234.17</v>
      </c>
      <c r="F47" s="205">
        <f>C47-D47-E47</f>
        <v>0</v>
      </c>
      <c r="G47" s="182">
        <f>'T18'!H7</f>
        <v>3810</v>
      </c>
      <c r="H47" s="183">
        <f t="shared" ref="H47:H52" si="12">G47/$G$27</f>
        <v>0.11500150920615757</v>
      </c>
      <c r="I47" s="183">
        <f t="shared" ref="I47:I52" si="13">C47/(D47/0.75)</f>
        <v>0.99831590015943128</v>
      </c>
      <c r="J47" s="207">
        <f t="shared" ref="J47:J52" si="14">C47/G47</f>
        <v>63.559637795275592</v>
      </c>
      <c r="K47" s="207">
        <f t="shared" ref="K47:K52" si="15">F47/G47</f>
        <v>0</v>
      </c>
    </row>
    <row r="48" spans="1:11" ht="14.1" customHeight="1">
      <c r="A48" s="180" t="s">
        <v>51</v>
      </c>
      <c r="B48" s="180">
        <v>21</v>
      </c>
      <c r="C48" s="205">
        <f>'T18'!D8+'T18'!D14</f>
        <v>631870.13</v>
      </c>
      <c r="D48" s="205">
        <f>'T18'!E8+'T18'!E14</f>
        <v>401025.36</v>
      </c>
      <c r="E48" s="205">
        <f>'T18'!F8+'T18'!F14</f>
        <v>228880.31999999998</v>
      </c>
      <c r="F48" s="205">
        <f>C48-D48-E48</f>
        <v>1964.4500000000407</v>
      </c>
      <c r="G48" s="182">
        <f>'T18'!H8+'T18'!H14</f>
        <v>3909</v>
      </c>
      <c r="H48" s="183">
        <f t="shared" si="12"/>
        <v>0.11798973739812858</v>
      </c>
      <c r="I48" s="183">
        <f t="shared" si="13"/>
        <v>1.1817272541068227</v>
      </c>
      <c r="J48" s="207">
        <f t="shared" si="14"/>
        <v>161.644955231517</v>
      </c>
      <c r="K48" s="207">
        <f t="shared" si="15"/>
        <v>0.50254540803275538</v>
      </c>
    </row>
    <row r="49" spans="1:11" ht="14.1" customHeight="1">
      <c r="A49" s="180" t="s">
        <v>52</v>
      </c>
      <c r="B49" s="180">
        <v>22</v>
      </c>
      <c r="C49" s="205">
        <f>'T18'!D9+'T18'!D15</f>
        <v>2332639.3600000003</v>
      </c>
      <c r="D49" s="205">
        <f>'T18'!E9+'T18'!E15</f>
        <v>1274598.07</v>
      </c>
      <c r="E49" s="205">
        <f>'T18'!F9+'T18'!F15</f>
        <v>1048881.31</v>
      </c>
      <c r="F49" s="205">
        <f>C49-D49-E49</f>
        <v>9159.9800000002142</v>
      </c>
      <c r="G49" s="182">
        <f>'T18'!H9+'T18'!H15</f>
        <v>9888</v>
      </c>
      <c r="H49" s="183">
        <f t="shared" si="12"/>
        <v>0.29846060971928767</v>
      </c>
      <c r="I49" s="183">
        <f t="shared" si="13"/>
        <v>1.3725734889901411</v>
      </c>
      <c r="J49" s="207">
        <f t="shared" si="14"/>
        <v>235.90608414239486</v>
      </c>
      <c r="K49" s="207">
        <f t="shared" si="15"/>
        <v>0.92637338187704432</v>
      </c>
    </row>
    <row r="50" spans="1:11" ht="14.1" customHeight="1">
      <c r="A50" s="180" t="s">
        <v>53</v>
      </c>
      <c r="B50" s="180">
        <v>23</v>
      </c>
      <c r="C50" s="205">
        <f>'T18'!D10+'T18'!D16</f>
        <v>1941635.69</v>
      </c>
      <c r="D50" s="205">
        <f>'T18'!E10+'T18'!E16</f>
        <v>890697.87</v>
      </c>
      <c r="E50" s="205">
        <f>'T18'!F10+'T18'!F16</f>
        <v>1000055.3</v>
      </c>
      <c r="F50" s="205">
        <f>C50-D50-E50</f>
        <v>50882.519999999786</v>
      </c>
      <c r="G50" s="182">
        <f>'T18'!H10+'T18'!H16</f>
        <v>8732</v>
      </c>
      <c r="H50" s="183">
        <f t="shared" si="12"/>
        <v>0.26356776335647447</v>
      </c>
      <c r="I50" s="183">
        <f t="shared" si="13"/>
        <v>1.6349278656072233</v>
      </c>
      <c r="J50" s="207">
        <f t="shared" si="14"/>
        <v>222.35864521300962</v>
      </c>
      <c r="K50" s="207">
        <f t="shared" si="15"/>
        <v>5.8271323866238873</v>
      </c>
    </row>
    <row r="51" spans="1:11" ht="14.1" customHeight="1">
      <c r="A51" s="180" t="s">
        <v>54</v>
      </c>
      <c r="B51" s="180">
        <v>24</v>
      </c>
      <c r="C51" s="205">
        <f>'T18'!D11+'T18'!D17</f>
        <v>1300986.83</v>
      </c>
      <c r="D51" s="205">
        <f>'T18'!E11+'T18'!E17</f>
        <v>340222.48</v>
      </c>
      <c r="E51" s="205">
        <f>'T18'!F11+'T18'!F17</f>
        <v>391971.28</v>
      </c>
      <c r="F51" s="205">
        <f>C51-D51-E51</f>
        <v>568793.07000000007</v>
      </c>
      <c r="G51" s="182">
        <f>'T18'!H11+'T18'!H17</f>
        <v>4648</v>
      </c>
      <c r="H51" s="183">
        <f t="shared" si="12"/>
        <v>0.14029580440688197</v>
      </c>
      <c r="I51" s="183">
        <f t="shared" si="13"/>
        <v>2.8679472399942534</v>
      </c>
      <c r="J51" s="207">
        <f t="shared" si="14"/>
        <v>279.90250215146301</v>
      </c>
      <c r="K51" s="207">
        <f t="shared" si="15"/>
        <v>122.37372418244408</v>
      </c>
    </row>
    <row r="52" spans="1:11" s="62" customFormat="1" ht="14.1" customHeight="1">
      <c r="A52" s="201" t="s">
        <v>55</v>
      </c>
      <c r="B52" s="185">
        <v>25</v>
      </c>
      <c r="C52" s="202">
        <f>SUM(C47:C51)</f>
        <v>6449294.2300000004</v>
      </c>
      <c r="D52" s="202">
        <f>SUM(D47:D51)</f>
        <v>3088471.83</v>
      </c>
      <c r="E52" s="202">
        <f>SUM(E47:E51)</f>
        <v>2730022.38</v>
      </c>
      <c r="F52" s="202">
        <f>SUM(F47:F51)</f>
        <v>630800.02000000014</v>
      </c>
      <c r="G52" s="206">
        <f>SUM(G47:G51)</f>
        <v>30987</v>
      </c>
      <c r="H52" s="203">
        <f t="shared" si="12"/>
        <v>0.93531542408693025</v>
      </c>
      <c r="I52" s="203">
        <f t="shared" si="13"/>
        <v>1.5661372156662994</v>
      </c>
      <c r="J52" s="204">
        <f t="shared" si="14"/>
        <v>208.1290292703392</v>
      </c>
      <c r="K52" s="204">
        <f t="shared" si="15"/>
        <v>20.356924516732828</v>
      </c>
    </row>
    <row r="53" spans="1:11" ht="17.100000000000001" customHeight="1">
      <c r="A53" s="179" t="s">
        <v>61</v>
      </c>
      <c r="B53" s="47"/>
      <c r="C53" s="50"/>
      <c r="D53" s="50"/>
      <c r="E53" s="50"/>
      <c r="F53" s="50"/>
      <c r="G53" s="48"/>
      <c r="H53" s="49"/>
      <c r="I53" s="49"/>
      <c r="J53" s="51"/>
      <c r="K53" s="51"/>
    </row>
    <row r="54" spans="1:11" ht="39.4">
      <c r="A54" s="199"/>
      <c r="B54" s="197"/>
      <c r="C54" s="200" t="s">
        <v>41</v>
      </c>
      <c r="D54" s="200" t="s">
        <v>42</v>
      </c>
      <c r="E54" s="200" t="s">
        <v>43</v>
      </c>
      <c r="F54" s="200" t="s">
        <v>44</v>
      </c>
      <c r="G54" s="200" t="s">
        <v>45</v>
      </c>
      <c r="H54" s="200" t="s">
        <v>46</v>
      </c>
      <c r="I54" s="200" t="s">
        <v>47</v>
      </c>
      <c r="J54" s="200" t="s">
        <v>48</v>
      </c>
      <c r="K54" s="200" t="s">
        <v>49</v>
      </c>
    </row>
    <row r="55" spans="1:11" ht="14.1" customHeight="1">
      <c r="A55" s="180" t="s">
        <v>50</v>
      </c>
      <c r="B55" s="180"/>
      <c r="C55" s="205"/>
      <c r="D55" s="205"/>
      <c r="E55" s="205"/>
      <c r="F55" s="205"/>
      <c r="G55" s="182"/>
      <c r="H55" s="183"/>
      <c r="I55" s="183"/>
      <c r="J55" s="207"/>
      <c r="K55" s="207"/>
    </row>
    <row r="56" spans="1:11" ht="14.1" customHeight="1">
      <c r="A56" s="180" t="s">
        <v>51</v>
      </c>
      <c r="B56" s="180">
        <v>21</v>
      </c>
      <c r="C56" s="205">
        <f>'T18'!D22</f>
        <v>26809.8</v>
      </c>
      <c r="D56" s="205">
        <f>'T18'!E22</f>
        <v>17853.650000000001</v>
      </c>
      <c r="E56" s="205">
        <f>'T18'!F22</f>
        <v>6131.7</v>
      </c>
      <c r="F56" s="205">
        <f>C56-D56-E56</f>
        <v>2824.449999999998</v>
      </c>
      <c r="G56" s="182">
        <f>'T18'!H22</f>
        <v>42</v>
      </c>
      <c r="H56" s="183">
        <f>G56/$G$27</f>
        <v>1.2677331723513431E-3</v>
      </c>
      <c r="I56" s="183">
        <f>C56/(D56/0.75)</f>
        <v>1.1262318909578712</v>
      </c>
      <c r="J56" s="207">
        <f>C56/G56</f>
        <v>638.32857142857142</v>
      </c>
      <c r="K56" s="207">
        <f>F56/G56</f>
        <v>67.24880952380947</v>
      </c>
    </row>
    <row r="57" spans="1:11" ht="14.1" customHeight="1">
      <c r="A57" s="180" t="s">
        <v>52</v>
      </c>
      <c r="B57" s="180">
        <v>22</v>
      </c>
      <c r="C57" s="205">
        <f>'T18'!D23</f>
        <v>45693.2</v>
      </c>
      <c r="D57" s="205">
        <f>'T18'!E23</f>
        <v>24959.62</v>
      </c>
      <c r="E57" s="205">
        <f>'T18'!F23</f>
        <v>8486.4500000000007</v>
      </c>
      <c r="F57" s="205">
        <f>C57-D57-E57</f>
        <v>12247.129999999997</v>
      </c>
      <c r="G57" s="182">
        <f>'T18'!H23</f>
        <v>72</v>
      </c>
      <c r="H57" s="183">
        <f>G57/$G$27</f>
        <v>2.1732568668880168E-3</v>
      </c>
      <c r="I57" s="183">
        <f>C57/(D57/0.75)</f>
        <v>1.3730136917148579</v>
      </c>
      <c r="J57" s="207">
        <f>C57/G57</f>
        <v>634.62777777777774</v>
      </c>
      <c r="K57" s="207">
        <f>F57/G57</f>
        <v>170.09902777777774</v>
      </c>
    </row>
    <row r="58" spans="1:11" ht="14.1" customHeight="1">
      <c r="A58" s="180" t="s">
        <v>53</v>
      </c>
      <c r="B58" s="180">
        <v>23</v>
      </c>
      <c r="C58" s="205">
        <f>'T18'!D24</f>
        <v>106834.17</v>
      </c>
      <c r="D58" s="205">
        <f>'T18'!E24</f>
        <v>45869.04</v>
      </c>
      <c r="E58" s="205">
        <f>'T18'!F24</f>
        <v>15468.95</v>
      </c>
      <c r="F58" s="205">
        <f>C58-D58-E58</f>
        <v>45496.179999999993</v>
      </c>
      <c r="G58" s="182">
        <f>'T18'!H24</f>
        <v>176</v>
      </c>
      <c r="H58" s="183">
        <f>G58/$G$27</f>
        <v>5.312405674615152E-3</v>
      </c>
      <c r="I58" s="183">
        <f>C58/(D58/0.75)</f>
        <v>1.7468346296325363</v>
      </c>
      <c r="J58" s="207">
        <f>C58/G58</f>
        <v>607.01232954545458</v>
      </c>
      <c r="K58" s="207">
        <f>F58/G58</f>
        <v>258.5010227272727</v>
      </c>
    </row>
    <row r="59" spans="1:11" ht="14.1" customHeight="1">
      <c r="A59" s="180" t="s">
        <v>54</v>
      </c>
      <c r="B59" s="180">
        <v>24</v>
      </c>
      <c r="C59" s="205">
        <f>'T18'!D25</f>
        <v>1984695.01</v>
      </c>
      <c r="D59" s="205">
        <f>'T18'!E25</f>
        <v>442549.85</v>
      </c>
      <c r="E59" s="205">
        <f>'T18'!F25</f>
        <v>147518.97</v>
      </c>
      <c r="F59" s="205">
        <f>C59-D59-E59</f>
        <v>1394626.1900000002</v>
      </c>
      <c r="G59" s="182">
        <f>'T18'!H25</f>
        <v>1225</v>
      </c>
      <c r="H59" s="183">
        <f>G59/$G$27</f>
        <v>3.6975550860247508E-2</v>
      </c>
      <c r="I59" s="183">
        <f>C59/(D59/0.75)</f>
        <v>3.3635109298986317</v>
      </c>
      <c r="J59" s="207">
        <f>C59/G59</f>
        <v>1620.1591918367346</v>
      </c>
      <c r="K59" s="207">
        <f>F59/G59</f>
        <v>1138.4703591836735</v>
      </c>
    </row>
    <row r="60" spans="1:11" s="62" customFormat="1" ht="14.1" customHeight="1">
      <c r="A60" s="201" t="s">
        <v>55</v>
      </c>
      <c r="B60" s="185">
        <v>25</v>
      </c>
      <c r="C60" s="202">
        <f>SUM(C55:C59)</f>
        <v>2164032.1800000002</v>
      </c>
      <c r="D60" s="202">
        <f>SUM(D55:D59)</f>
        <v>531232.15999999992</v>
      </c>
      <c r="E60" s="202">
        <f>SUM(E55:E59)</f>
        <v>177606.07</v>
      </c>
      <c r="F60" s="202">
        <f>SUM(F55:F59)</f>
        <v>1455193.9500000002</v>
      </c>
      <c r="G60" s="206">
        <f>SUM(G55:G59)</f>
        <v>1515</v>
      </c>
      <c r="H60" s="203">
        <f>G60/$G$27</f>
        <v>4.5728946574102022E-2</v>
      </c>
      <c r="I60" s="203">
        <f>C60/(D60/0.75)</f>
        <v>3.0552068515580841</v>
      </c>
      <c r="J60" s="204">
        <f>C60/G60</f>
        <v>1428.4040792079209</v>
      </c>
      <c r="K60" s="204">
        <f>F60/G60</f>
        <v>960.52405940594076</v>
      </c>
    </row>
    <row r="61" spans="1:11" ht="12" customHeight="1">
      <c r="C61" s="38"/>
      <c r="D61" s="38"/>
      <c r="E61" s="38"/>
      <c r="F61" s="38"/>
      <c r="K61" s="38"/>
    </row>
    <row r="62" spans="1:11" ht="12" customHeight="1">
      <c r="C62" s="38"/>
      <c r="D62" s="38"/>
      <c r="E62" s="38"/>
      <c r="F62" s="38"/>
      <c r="K62" s="38"/>
    </row>
    <row r="63" spans="1:11" ht="12" customHeight="1">
      <c r="C63" s="38"/>
      <c r="D63" s="38"/>
      <c r="E63" s="38"/>
      <c r="F63" s="38"/>
      <c r="K63" s="38"/>
    </row>
    <row r="64" spans="1:11" ht="12" customHeight="1">
      <c r="C64" s="38"/>
      <c r="D64" s="38"/>
      <c r="E64" s="38"/>
      <c r="F64" s="38"/>
      <c r="K64" s="38"/>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B6F59-1CF3-4440-8C29-F4A8F0D18419}">
  <sheetPr>
    <pageSetUpPr fitToPage="1"/>
  </sheetPr>
  <dimension ref="A1:Y68"/>
  <sheetViews>
    <sheetView showGridLines="0" zoomScaleNormal="100" zoomScaleSheetLayoutView="100" workbookViewId="0">
      <selection activeCell="D51" sqref="D51"/>
    </sheetView>
  </sheetViews>
  <sheetFormatPr defaultColWidth="8.5625" defaultRowHeight="10.15"/>
  <cols>
    <col min="1" max="1" width="7.375" style="32" customWidth="1"/>
    <col min="2" max="2" width="27.75" style="32" customWidth="1"/>
    <col min="3" max="3" width="3.5" style="32" hidden="1" customWidth="1"/>
    <col min="4" max="4" width="13.6875" style="63" bestFit="1" customWidth="1"/>
    <col min="5" max="5" width="12.1875" style="63" bestFit="1" customWidth="1"/>
    <col min="6" max="6" width="13.25" style="63" customWidth="1"/>
    <col min="7" max="7" width="12.1875" style="63" bestFit="1" customWidth="1"/>
    <col min="8" max="8" width="11.5625" style="64" bestFit="1" customWidth="1"/>
    <col min="9" max="9" width="9.375" style="65" customWidth="1"/>
    <col min="10" max="10" width="10.0625" style="65" customWidth="1"/>
    <col min="11" max="11" width="9.9375" style="32" customWidth="1"/>
    <col min="12" max="12" width="9.625" style="66" customWidth="1"/>
    <col min="13" max="22" width="8.5625" style="32"/>
    <col min="23" max="23" width="37.375" style="32" bestFit="1" customWidth="1"/>
    <col min="24" max="16384" width="8.5625" style="32"/>
  </cols>
  <sheetData>
    <row r="1" spans="1:12" ht="29.25" customHeight="1">
      <c r="A1" s="232" t="s">
        <v>71</v>
      </c>
      <c r="B1" s="232"/>
      <c r="C1" s="232"/>
      <c r="D1" s="232"/>
      <c r="E1" s="232"/>
      <c r="F1" s="232"/>
      <c r="G1" s="232"/>
      <c r="H1" s="232"/>
      <c r="I1" s="232"/>
      <c r="J1" s="232"/>
      <c r="K1" s="232"/>
      <c r="L1" s="232"/>
    </row>
    <row r="2" spans="1:12" ht="20.25" customHeight="1">
      <c r="A2" s="234" t="str">
        <f>TEXT(Selection!G13&amp;" "&amp;Selection!G12,"mmmm yyyy")</f>
        <v xml:space="preserve"> </v>
      </c>
      <c r="B2" s="234"/>
      <c r="C2" s="234"/>
      <c r="D2" s="234"/>
      <c r="E2" s="234"/>
      <c r="F2" s="234"/>
      <c r="G2" s="234"/>
      <c r="H2" s="234"/>
      <c r="I2" s="234"/>
      <c r="J2" s="234"/>
      <c r="K2" s="234"/>
      <c r="L2" s="234"/>
    </row>
    <row r="3" spans="1:12" ht="15">
      <c r="A3" s="174" t="s">
        <v>72</v>
      </c>
      <c r="B3" s="174"/>
      <c r="C3" s="32" t="s">
        <v>20</v>
      </c>
      <c r="J3" s="42" t="str">
        <f>Selection!E15&amp;" "&amp;Selection!E14</f>
        <v>Dec 2024</v>
      </c>
    </row>
    <row r="4" spans="1:12" s="70" customFormat="1" ht="39.4">
      <c r="A4" s="67"/>
      <c r="B4" s="68"/>
      <c r="C4" s="69"/>
      <c r="D4" s="200" t="s">
        <v>41</v>
      </c>
      <c r="E4" s="200" t="s">
        <v>42</v>
      </c>
      <c r="F4" s="200" t="s">
        <v>43</v>
      </c>
      <c r="G4" s="200" t="s">
        <v>44</v>
      </c>
      <c r="H4" s="200" t="s">
        <v>73</v>
      </c>
      <c r="I4" s="200" t="s">
        <v>46</v>
      </c>
      <c r="J4" s="200" t="s">
        <v>74</v>
      </c>
      <c r="K4" s="200" t="s">
        <v>48</v>
      </c>
      <c r="L4" s="200" t="s">
        <v>49</v>
      </c>
    </row>
    <row r="5" spans="1:12" ht="14.1" customHeight="1">
      <c r="A5" s="180" t="s">
        <v>75</v>
      </c>
      <c r="B5" s="71"/>
      <c r="C5" s="72">
        <v>0</v>
      </c>
      <c r="D5" s="73"/>
      <c r="E5" s="74"/>
      <c r="F5" s="74"/>
      <c r="G5" s="74"/>
      <c r="H5" s="74"/>
      <c r="I5" s="74"/>
      <c r="J5" s="74"/>
      <c r="K5" s="74"/>
      <c r="L5" s="74"/>
    </row>
    <row r="6" spans="1:12" ht="17.100000000000001" customHeight="1">
      <c r="A6" s="210" t="s">
        <v>76</v>
      </c>
      <c r="B6" s="75"/>
      <c r="C6" s="72">
        <v>1</v>
      </c>
      <c r="D6" s="76"/>
      <c r="E6" s="77"/>
      <c r="F6" s="77"/>
      <c r="G6" s="77"/>
      <c r="H6" s="77"/>
      <c r="I6" s="77"/>
      <c r="J6" s="77"/>
      <c r="K6" s="77"/>
      <c r="L6" s="77"/>
    </row>
    <row r="7" spans="1:12" ht="14.1" customHeight="1">
      <c r="A7" s="213"/>
      <c r="B7" s="208" t="s">
        <v>50</v>
      </c>
      <c r="C7" s="79">
        <v>2</v>
      </c>
      <c r="D7" s="205">
        <f>D37+'T12 &amp; T13'!D7+'T12 &amp; T13'!D37+'T14 &amp; T15'!D7+'T14 &amp; T15'!D37+'T16 &amp; T17'!D7+'T16 &amp; T17'!D37+'T18'!D7</f>
        <v>99969675.819999993</v>
      </c>
      <c r="E7" s="205">
        <f>E37+'T12 &amp; T13'!E7+'T12 &amp; T13'!E37+'T14 &amp; T15'!E7+'T14 &amp; T15'!E37+'T16 &amp; T17'!E7+'T16 &amp; T17'!E37+'T18'!E7</f>
        <v>75264694.719999984</v>
      </c>
      <c r="F7" s="205">
        <f>F37+'T12 &amp; T13'!F7+'T12 &amp; T13'!F37+'T14 &amp; T15'!F7+'T14 &amp; T15'!F37+'T16 &amp; T17'!F7+'T16 &amp; T17'!F37+'T18'!F7</f>
        <v>24704997.050000004</v>
      </c>
      <c r="G7" s="205">
        <f>G37+'T12 &amp; T13'!G7+'T12 &amp; T13'!G37+'T14 &amp; T15'!G7+'T14 &amp; T15'!G37+'T16 &amp; T17'!G7+'T16 &amp; T17'!G37+'T18'!G7</f>
        <v>-15.949999999720603</v>
      </c>
      <c r="H7" s="182">
        <f>H37+'T12 &amp; T13'!H7+'T12 &amp; T13'!H37+'T14 &amp; T15'!H7+'T14 &amp; T15'!H37+'T16 &amp; T17'!H7+'T16 &amp; T17'!H37+'T18'!H7</f>
        <v>2108790</v>
      </c>
      <c r="I7" s="183">
        <f t="shared" ref="I7:I12" si="0">H7/H$28</f>
        <v>0.19956500150043538</v>
      </c>
      <c r="J7" s="183">
        <f t="shared" ref="J7:J12" si="1">D7/(E7/0.75)</f>
        <v>0.99618097361492908</v>
      </c>
      <c r="K7" s="207">
        <f t="shared" ref="K7:K12" si="2">D7/H7</f>
        <v>47.406178813442779</v>
      </c>
      <c r="L7" s="207">
        <f t="shared" ref="L7:L12" si="3">G7/H7</f>
        <v>-7.5635791139566304E-6</v>
      </c>
    </row>
    <row r="8" spans="1:12" ht="14.1" customHeight="1">
      <c r="A8" s="211"/>
      <c r="B8" s="208" t="s">
        <v>51</v>
      </c>
      <c r="C8" s="79">
        <v>3</v>
      </c>
      <c r="D8" s="205">
        <f>D38+'T12 &amp; T13'!D8+'T12 &amp; T13'!D38+'T14 &amp; T15'!D8+'T14 &amp; T15'!D38+'T16 &amp; T17'!D8+'T16 &amp; T17'!D38+'T18'!D8</f>
        <v>235231003.13999999</v>
      </c>
      <c r="E8" s="205">
        <f>E38+'T12 &amp; T13'!E8+'T12 &amp; T13'!E38+'T14 &amp; T15'!E8+'T14 &amp; T15'!E38+'T16 &amp; T17'!E8+'T16 &amp; T17'!E38+'T18'!E8</f>
        <v>149930492.60999998</v>
      </c>
      <c r="F8" s="205">
        <f>F38+'T12 &amp; T13'!F8+'T12 &amp; T13'!F38+'T14 &amp; T15'!F8+'T14 &amp; T15'!F38+'T16 &amp; T17'!F8+'T16 &amp; T17'!F38+'T18'!F8</f>
        <v>85298140.889999971</v>
      </c>
      <c r="G8" s="205">
        <f>G38+'T12 &amp; T13'!G8+'T12 &amp; T13'!G38+'T14 &amp; T15'!G8+'T14 &amp; T15'!G38+'T16 &amp; T17'!G8+'T16 &amp; T17'!G38+'T18'!G8</f>
        <v>2369.6400000099966</v>
      </c>
      <c r="H8" s="182">
        <f>H38+'T12 &amp; T13'!H8+'T12 &amp; T13'!H38+'T14 &amp; T15'!H8+'T14 &amp; T15'!H38+'T16 &amp; T17'!H8+'T16 &amp; T17'!H38+'T18'!H8</f>
        <v>1696184</v>
      </c>
      <c r="I8" s="183">
        <f t="shared" si="0"/>
        <v>0.16051809924412316</v>
      </c>
      <c r="J8" s="183">
        <f t="shared" si="1"/>
        <v>1.1767002781343026</v>
      </c>
      <c r="K8" s="207">
        <f t="shared" si="2"/>
        <v>138.68247969559906</v>
      </c>
      <c r="L8" s="207">
        <f t="shared" si="3"/>
        <v>1.3970418303733538E-3</v>
      </c>
    </row>
    <row r="9" spans="1:12" ht="14.1" customHeight="1">
      <c r="A9" s="212"/>
      <c r="B9" s="208" t="s">
        <v>52</v>
      </c>
      <c r="C9" s="79">
        <v>4</v>
      </c>
      <c r="D9" s="205">
        <f>D39+'T12 &amp; T13'!D9+'T12 &amp; T13'!D39+'T14 &amp; T15'!D9+'T14 &amp; T15'!D39+'T16 &amp; T17'!D9+'T16 &amp; T17'!D39+'T18'!D9</f>
        <v>483597623.16999996</v>
      </c>
      <c r="E9" s="205">
        <f>E39+'T12 &amp; T13'!E9+'T12 &amp; T13'!E39+'T14 &amp; T15'!E9+'T14 &amp; T15'!E39+'T16 &amp; T17'!E9+'T16 &amp; T17'!E39+'T18'!E9</f>
        <v>265381179.75999999</v>
      </c>
      <c r="F9" s="205">
        <f>F39+'T12 &amp; T13'!F9+'T12 &amp; T13'!F39+'T14 &amp; T15'!F9+'T14 &amp; T15'!F39+'T16 &amp; T17'!F9+'T16 &amp; T17'!F39+'T18'!F9</f>
        <v>218216008.56999996</v>
      </c>
      <c r="G9" s="205">
        <f>G39+'T12 &amp; T13'!G9+'T12 &amp; T13'!G39+'T14 &amp; T15'!G9+'T14 &amp; T15'!G39+'T16 &amp; T17'!G9+'T16 &amp; T17'!G39+'T18'!G9</f>
        <v>434.83999997447245</v>
      </c>
      <c r="H9" s="182">
        <f>H39+'T12 &amp; T13'!H9+'T12 &amp; T13'!H39+'T14 &amp; T15'!H9+'T14 &amp; T15'!H39+'T16 &amp; T17'!H9+'T16 &amp; T17'!H39+'T18'!H9</f>
        <v>2755556</v>
      </c>
      <c r="I9" s="183">
        <f t="shared" si="0"/>
        <v>0.26077159758654661</v>
      </c>
      <c r="J9" s="183">
        <f t="shared" si="1"/>
        <v>1.3667066281998956</v>
      </c>
      <c r="K9" s="207">
        <f t="shared" si="2"/>
        <v>175.49910913441786</v>
      </c>
      <c r="L9" s="207">
        <f t="shared" si="3"/>
        <v>1.5780481324802415E-4</v>
      </c>
    </row>
    <row r="10" spans="1:12" s="83" customFormat="1" ht="14.1" customHeight="1">
      <c r="A10" s="212"/>
      <c r="B10" s="208" t="s">
        <v>53</v>
      </c>
      <c r="C10" s="82"/>
      <c r="D10" s="205">
        <f>D40+'T12 &amp; T13'!D10+'T12 &amp; T13'!D40+'T14 &amp; T15'!D10+'T14 &amp; T15'!D40+'T16 &amp; T17'!D10+'T16 &amp; T17'!D40+'T18'!D10</f>
        <v>394945145.86000001</v>
      </c>
      <c r="E10" s="205">
        <f>E40+'T12 &amp; T13'!E10+'T12 &amp; T13'!E40+'T14 &amp; T15'!E10+'T14 &amp; T15'!E40+'T16 &amp; T17'!E10+'T16 &amp; T17'!E40+'T18'!E10</f>
        <v>182542836.98000002</v>
      </c>
      <c r="F10" s="205">
        <f>F40+'T12 &amp; T13'!F10+'T12 &amp; T13'!F40+'T14 &amp; T15'!F10+'T14 &amp; T15'!F40+'T16 &amp; T17'!F10+'T16 &amp; T17'!F40+'T18'!F10</f>
        <v>212401396.49000001</v>
      </c>
      <c r="G10" s="205">
        <f>G40+'T12 &amp; T13'!G10+'T12 &amp; T13'!G40+'T14 &amp; T15'!G10+'T14 &amp; T15'!G40+'T16 &amp; T17'!G10+'T16 &amp; T17'!G40+'T18'!G10</f>
        <v>912.39000001491513</v>
      </c>
      <c r="H10" s="182">
        <f>H40+'T12 &amp; T13'!H10+'T12 &amp; T13'!H40+'T14 &amp; T15'!H10+'T14 &amp; T15'!H40+'T16 &amp; T17'!H10+'T16 &amp; T17'!H40+'T18'!H10</f>
        <v>2214580</v>
      </c>
      <c r="I10" s="183">
        <f t="shared" si="0"/>
        <v>0.20957642108642119</v>
      </c>
      <c r="J10" s="183">
        <f t="shared" si="1"/>
        <v>1.622681362333892</v>
      </c>
      <c r="K10" s="207">
        <f t="shared" si="2"/>
        <v>178.33862215860344</v>
      </c>
      <c r="L10" s="207">
        <f t="shared" si="3"/>
        <v>4.1199234166971397E-4</v>
      </c>
    </row>
    <row r="11" spans="1:12" ht="14.1" customHeight="1">
      <c r="A11" s="212"/>
      <c r="B11" s="208" t="s">
        <v>54</v>
      </c>
      <c r="C11" s="82">
        <v>5</v>
      </c>
      <c r="D11" s="205">
        <f>D41+'T12 &amp; T13'!D11+'T12 &amp; T13'!D41+'T14 &amp; T15'!D11+'T14 &amp; T15'!D41+'T16 &amp; T17'!D11+'T16 &amp; T17'!D41+'T18'!D11</f>
        <v>17536289.020000003</v>
      </c>
      <c r="E11" s="205">
        <f>E41+'T12 &amp; T13'!E11+'T12 &amp; T13'!E41+'T14 &amp; T15'!E11+'T14 &amp; T15'!E41+'T16 &amp; T17'!E11+'T16 &amp; T17'!E41+'T18'!E11</f>
        <v>5003711.7299999995</v>
      </c>
      <c r="F11" s="205">
        <f>F41+'T12 &amp; T13'!F11+'T12 &amp; T13'!F41+'T14 &amp; T15'!F11+'T14 &amp; T15'!F41+'T16 &amp; T17'!F11+'T16 &amp; T17'!F41+'T18'!F11</f>
        <v>12532577.069999998</v>
      </c>
      <c r="G11" s="205">
        <f>G41+'T12 &amp; T13'!G11+'T12 &amp; T13'!G41+'T14 &amp; T15'!G11+'T14 &amp; T15'!G41+'T16 &amp; T17'!G11+'T16 &amp; T17'!G41+'T18'!G11</f>
        <v>0.22000000020489097</v>
      </c>
      <c r="H11" s="182">
        <f>H41+'T12 &amp; T13'!H11+'T12 &amp; T13'!H41+'T14 &amp; T15'!H11+'T14 &amp; T15'!H41+'T16 &amp; T17'!H11+'T16 &amp; T17'!H41+'T18'!H11</f>
        <v>17098</v>
      </c>
      <c r="I11" s="183">
        <f t="shared" si="0"/>
        <v>1.6180664720785113E-3</v>
      </c>
      <c r="J11" s="183">
        <f t="shared" si="1"/>
        <v>2.6284921024017511</v>
      </c>
      <c r="K11" s="207">
        <f t="shared" si="2"/>
        <v>1025.6339349631537</v>
      </c>
      <c r="L11" s="207">
        <f t="shared" si="3"/>
        <v>1.286700200052E-5</v>
      </c>
    </row>
    <row r="12" spans="1:12" ht="14.1" customHeight="1">
      <c r="A12" s="214"/>
      <c r="B12" s="209" t="s">
        <v>0</v>
      </c>
      <c r="C12" s="84">
        <v>6</v>
      </c>
      <c r="D12" s="202">
        <f>SUM(D7:D11)</f>
        <v>1231279737.0099998</v>
      </c>
      <c r="E12" s="202">
        <f t="shared" ref="E12:H12" si="4">SUM(E7:E11)</f>
        <v>678122915.79999995</v>
      </c>
      <c r="F12" s="202">
        <f t="shared" si="4"/>
        <v>553153120.07000005</v>
      </c>
      <c r="G12" s="202">
        <f t="shared" si="4"/>
        <v>3701.1399999998685</v>
      </c>
      <c r="H12" s="206">
        <f t="shared" si="4"/>
        <v>8792208</v>
      </c>
      <c r="I12" s="203">
        <f t="shared" si="0"/>
        <v>0.83204918588960486</v>
      </c>
      <c r="J12" s="203">
        <f t="shared" si="1"/>
        <v>1.3617882263543171</v>
      </c>
      <c r="K12" s="204">
        <f t="shared" si="2"/>
        <v>140.04215289378956</v>
      </c>
      <c r="L12" s="204">
        <f t="shared" si="3"/>
        <v>4.2095682904679557E-4</v>
      </c>
    </row>
    <row r="13" spans="1:12" ht="17.100000000000001" customHeight="1">
      <c r="A13" s="215" t="s">
        <v>77</v>
      </c>
      <c r="B13" s="75"/>
      <c r="C13" s="85"/>
      <c r="D13" s="86"/>
      <c r="E13" s="87"/>
      <c r="F13" s="87"/>
      <c r="G13" s="88"/>
      <c r="H13" s="89"/>
      <c r="I13" s="90"/>
      <c r="J13" s="91"/>
      <c r="K13" s="92"/>
      <c r="L13" s="92"/>
    </row>
    <row r="14" spans="1:12" ht="14.1" customHeight="1">
      <c r="A14" s="213"/>
      <c r="B14" s="208" t="s">
        <v>51</v>
      </c>
      <c r="C14" s="93">
        <v>7</v>
      </c>
      <c r="D14" s="205">
        <f>D44+'T12 &amp; T13'!D14+'T12 &amp; T13'!D44+'T14 &amp; T15'!D14+'T14 &amp; T15'!D44+'T16 &amp; T17'!D14+'T16 &amp; T17'!D44+'T18'!D14</f>
        <v>9225912.3800000008</v>
      </c>
      <c r="E14" s="205">
        <f>E44+'T12 &amp; T13'!E14+'T12 &amp; T13'!E44+'T14 &amp; T15'!E14+'T14 &amp; T15'!E44+'T16 &amp; T17'!E14+'T16 &amp; T17'!E44+'T18'!E14</f>
        <v>5786695.3499999987</v>
      </c>
      <c r="F14" s="205">
        <f>F44+'T12 &amp; T13'!F14+'T12 &amp; T13'!F44+'T14 &amp; T15'!F14+'T14 &amp; T15'!F44+'T16 &amp; T17'!F14+'T16 &amp; T17'!F44+'T18'!F14</f>
        <v>2639040.25</v>
      </c>
      <c r="G14" s="205">
        <f>G44+'T12 &amp; T13'!G14+'T12 &amp; T13'!G44+'T14 &amp; T15'!G14+'T14 &amp; T15'!G44+'T16 &amp; T17'!G14+'T16 &amp; T17'!G44+'T18'!G14</f>
        <v>800176.77999999991</v>
      </c>
      <c r="H14" s="182">
        <f>H44+'T12 &amp; T13'!H14+'T12 &amp; T13'!H44+'T14 &amp; T15'!H14+'T14 &amp; T15'!H44+'T16 &amp; T17'!H14+'T16 &amp; T17'!H44+'T18'!H14</f>
        <v>38373</v>
      </c>
      <c r="I14" s="183">
        <f t="shared" ref="I14:I19" si="5">H14/H$28</f>
        <v>3.631422665403481E-3</v>
      </c>
      <c r="J14" s="183">
        <f t="shared" ref="J14:J19" si="6">D14/(E14/0.75)</f>
        <v>1.1957488456688847</v>
      </c>
      <c r="K14" s="207">
        <f t="shared" ref="K14:K19" si="7">D14/H14</f>
        <v>240.42718526046963</v>
      </c>
      <c r="L14" s="207">
        <f t="shared" ref="L14:L19" si="8">G14/H14</f>
        <v>20.85259896281239</v>
      </c>
    </row>
    <row r="15" spans="1:12" ht="14.1" customHeight="1">
      <c r="A15" s="211"/>
      <c r="B15" s="208" t="s">
        <v>52</v>
      </c>
      <c r="C15" s="93">
        <v>8</v>
      </c>
      <c r="D15" s="205">
        <f>D45+'T12 &amp; T13'!D15+'T12 &amp; T13'!D45+'T14 &amp; T15'!D15+'T14 &amp; T15'!D45+'T16 &amp; T17'!D15+'T16 &amp; T17'!D45+'T18'!D15</f>
        <v>27570126.610000003</v>
      </c>
      <c r="E15" s="205">
        <f>E45+'T12 &amp; T13'!E15+'T12 &amp; T13'!E45+'T14 &amp; T15'!E15+'T14 &amp; T15'!E45+'T16 &amp; T17'!E15+'T16 &amp; T17'!E45+'T18'!E15</f>
        <v>14773878.82</v>
      </c>
      <c r="F15" s="205">
        <f>F45+'T12 &amp; T13'!F15+'T12 &amp; T13'!F45+'T14 &amp; T15'!F15+'T14 &amp; T15'!F45+'T16 &amp; T17'!F15+'T16 &amp; T17'!F45+'T18'!F15</f>
        <v>10549996.85</v>
      </c>
      <c r="G15" s="205">
        <f>G45+'T12 &amp; T13'!G15+'T12 &amp; T13'!G45+'T14 &amp; T15'!G15+'T14 &amp; T15'!G45+'T16 &amp; T17'!G15+'T16 &amp; T17'!G45+'T18'!G15</f>
        <v>2246250.94</v>
      </c>
      <c r="H15" s="182">
        <f>H45+'T12 &amp; T13'!H15+'T12 &amp; T13'!H45+'T14 &amp; T15'!H15+'T14 &amp; T15'!H45+'T16 &amp; T17'!H15+'T16 &amp; T17'!H45+'T18'!H15</f>
        <v>97084</v>
      </c>
      <c r="I15" s="183">
        <f t="shared" si="5"/>
        <v>9.1875286802708036E-3</v>
      </c>
      <c r="J15" s="183">
        <f t="shared" si="6"/>
        <v>1.3996050197398331</v>
      </c>
      <c r="K15" s="207">
        <f t="shared" si="7"/>
        <v>283.98218666309589</v>
      </c>
      <c r="L15" s="207">
        <f t="shared" si="8"/>
        <v>23.137189856206994</v>
      </c>
    </row>
    <row r="16" spans="1:12" s="83" customFormat="1" ht="14.1" customHeight="1">
      <c r="A16" s="212"/>
      <c r="B16" s="208" t="s">
        <v>53</v>
      </c>
      <c r="C16" s="94"/>
      <c r="D16" s="205">
        <f>D46+'T12 &amp; T13'!D16+'T12 &amp; T13'!D46+'T14 &amp; T15'!D16+'T14 &amp; T15'!D46+'T16 &amp; T17'!D16+'T16 &amp; T17'!D46+'T18'!D16</f>
        <v>118108308.48000002</v>
      </c>
      <c r="E16" s="205">
        <f>E46+'T12 &amp; T13'!E16+'T12 &amp; T13'!E46+'T14 &amp; T15'!E16+'T14 &amp; T15'!E46+'T16 &amp; T17'!E16+'T16 &amp; T17'!E46+'T18'!E16</f>
        <v>50374157.950000003</v>
      </c>
      <c r="F16" s="205">
        <f>F46+'T12 &amp; T13'!F16+'T12 &amp; T13'!F46+'T14 &amp; T15'!F16+'T14 &amp; T15'!F46+'T16 &amp; T17'!F16+'T16 &amp; T17'!F46+'T18'!F16</f>
        <v>48216078.640000001</v>
      </c>
      <c r="G16" s="205">
        <f>G46+'T12 &amp; T13'!G16+'T12 &amp; T13'!G46+'T14 &amp; T15'!G16+'T14 &amp; T15'!G46+'T16 &amp; T17'!G16+'T16 &amp; T17'!G46+'T18'!G16</f>
        <v>19518071.889999997</v>
      </c>
      <c r="H16" s="182">
        <f>H46+'T12 &amp; T13'!H16+'T12 &amp; T13'!H46+'T14 &amp; T15'!H16+'T14 &amp; T15'!H46+'T16 &amp; T17'!H16+'T16 &amp; T17'!H46+'T18'!H16</f>
        <v>167913</v>
      </c>
      <c r="I16" s="183">
        <f t="shared" si="5"/>
        <v>1.5890419670494739E-2</v>
      </c>
      <c r="J16" s="183">
        <f t="shared" si="6"/>
        <v>1.7584657484086046</v>
      </c>
      <c r="K16" s="207">
        <f t="shared" si="7"/>
        <v>703.38990119883522</v>
      </c>
      <c r="L16" s="207">
        <f t="shared" si="8"/>
        <v>116.23919464246364</v>
      </c>
    </row>
    <row r="17" spans="1:18" s="83" customFormat="1" ht="14.1" customHeight="1">
      <c r="A17" s="212"/>
      <c r="B17" s="208" t="s">
        <v>54</v>
      </c>
      <c r="C17" s="93">
        <v>9</v>
      </c>
      <c r="D17" s="205">
        <f>D47+'T12 &amp; T13'!D17+'T12 &amp; T13'!D47+'T14 &amp; T15'!D17+'T14 &amp; T15'!D47+'T16 &amp; T17'!D17+'T16 &amp; T17'!D47+'T18'!D17</f>
        <v>252020217.04000002</v>
      </c>
      <c r="E17" s="205">
        <f>E47+'T12 &amp; T13'!E17+'T12 &amp; T13'!E47+'T14 &amp; T15'!E17+'T14 &amp; T15'!E47+'T16 &amp; T17'!E17+'T16 &amp; T17'!E47+'T18'!E17</f>
        <v>63561705.770000003</v>
      </c>
      <c r="F17" s="205">
        <f>F47+'T12 &amp; T13'!F17+'T12 &amp; T13'!F47+'T14 &amp; T15'!F17+'T14 &amp; T15'!F47+'T16 &amp; T17'!F17+'T16 &amp; T17'!F47+'T18'!F17</f>
        <v>66918952.639999993</v>
      </c>
      <c r="G17" s="205">
        <f>G47+'T12 &amp; T13'!G17+'T12 &amp; T13'!G47+'T14 &amp; T15'!G17+'T14 &amp; T15'!G47+'T16 &amp; T17'!G17+'T16 &amp; T17'!G47+'T18'!G17</f>
        <v>121539558.62999998</v>
      </c>
      <c r="H17" s="182">
        <f>H47+'T12 &amp; T13'!H17+'T12 &amp; T13'!H47+'T14 &amp; T15'!H17+'T14 &amp; T15'!H47+'T16 &amp; T17'!H17+'T16 &amp; T17'!H47+'T18'!H17</f>
        <v>732847</v>
      </c>
      <c r="I17" s="183">
        <f t="shared" si="5"/>
        <v>6.9352857636175033E-2</v>
      </c>
      <c r="J17" s="183">
        <f t="shared" si="6"/>
        <v>2.973727034072327</v>
      </c>
      <c r="K17" s="207">
        <f t="shared" si="7"/>
        <v>343.89199524593812</v>
      </c>
      <c r="L17" s="207">
        <f t="shared" si="8"/>
        <v>165.84574765264779</v>
      </c>
    </row>
    <row r="18" spans="1:18" ht="14.1" customHeight="1">
      <c r="A18" s="214"/>
      <c r="B18" s="209" t="s">
        <v>0</v>
      </c>
      <c r="C18" s="95"/>
      <c r="D18" s="202">
        <f>SUM(D14:D17)</f>
        <v>406924564.51000005</v>
      </c>
      <c r="E18" s="202">
        <f t="shared" ref="E18:H18" si="9">SUM(E14:E17)</f>
        <v>134496437.89000002</v>
      </c>
      <c r="F18" s="202">
        <f t="shared" si="9"/>
        <v>128324068.38</v>
      </c>
      <c r="G18" s="202">
        <f t="shared" si="9"/>
        <v>144104058.23999998</v>
      </c>
      <c r="H18" s="206">
        <f t="shared" si="9"/>
        <v>1036217</v>
      </c>
      <c r="I18" s="203">
        <f t="shared" si="5"/>
        <v>9.8062228652344069E-2</v>
      </c>
      <c r="J18" s="203">
        <f t="shared" si="6"/>
        <v>2.2691561811630074</v>
      </c>
      <c r="K18" s="204">
        <f t="shared" si="7"/>
        <v>392.70207351355947</v>
      </c>
      <c r="L18" s="204">
        <f t="shared" si="8"/>
        <v>139.06745231935008</v>
      </c>
    </row>
    <row r="19" spans="1:18" ht="14.1" customHeight="1">
      <c r="A19" s="216" t="s">
        <v>78</v>
      </c>
      <c r="B19" s="201"/>
      <c r="C19" s="95">
        <v>10</v>
      </c>
      <c r="D19" s="202">
        <f>D18+D12</f>
        <v>1638204301.5199997</v>
      </c>
      <c r="E19" s="202">
        <f t="shared" ref="E19:H19" si="10">E18+E12</f>
        <v>812619353.68999994</v>
      </c>
      <c r="F19" s="202">
        <f t="shared" si="10"/>
        <v>681477188.45000005</v>
      </c>
      <c r="G19" s="202">
        <f t="shared" si="10"/>
        <v>144107759.37999997</v>
      </c>
      <c r="H19" s="206">
        <f t="shared" si="10"/>
        <v>9828425</v>
      </c>
      <c r="I19" s="203">
        <f t="shared" si="5"/>
        <v>0.9301114145419489</v>
      </c>
      <c r="J19" s="203">
        <f t="shared" si="6"/>
        <v>1.51196648290598</v>
      </c>
      <c r="K19" s="204">
        <f t="shared" si="7"/>
        <v>166.68024648099768</v>
      </c>
      <c r="L19" s="204">
        <f t="shared" si="8"/>
        <v>14.662345124473145</v>
      </c>
      <c r="R19" s="32" t="s">
        <v>165</v>
      </c>
    </row>
    <row r="20" spans="1:18" ht="17.100000000000001" customHeight="1">
      <c r="A20" s="180" t="s">
        <v>79</v>
      </c>
      <c r="B20" s="79"/>
      <c r="C20" s="96"/>
      <c r="D20" s="97"/>
      <c r="E20" s="97"/>
      <c r="F20" s="97"/>
      <c r="G20" s="98"/>
      <c r="H20" s="99"/>
      <c r="I20" s="100"/>
      <c r="J20" s="100"/>
      <c r="K20" s="101"/>
      <c r="L20" s="101"/>
    </row>
    <row r="21" spans="1:18" ht="14.1" customHeight="1">
      <c r="A21" s="78"/>
      <c r="B21" s="208" t="s">
        <v>50</v>
      </c>
      <c r="C21" s="96">
        <v>22</v>
      </c>
      <c r="D21" s="205">
        <f>D51+'T12 &amp; T13'!D21+'T12 &amp; T13'!D51+'T14 &amp; T15'!D21+'T14 &amp; T15'!D51+'T16 &amp; T17'!D21+'T16 &amp; T17'!D51+'T18'!D21</f>
        <v>49780997.260000005</v>
      </c>
      <c r="E21" s="205">
        <f>E51+'T12 &amp; T13'!E21+'T12 &amp; T13'!E51+'T14 &amp; T15'!E21+'T14 &amp; T15'!E51+'T16 &amp; T17'!E21+'T16 &amp; T17'!E51+'T18'!E21</f>
        <v>37113485.700000003</v>
      </c>
      <c r="F21" s="205">
        <f>F51+'T12 &amp; T13'!F21+'T12 &amp; T13'!F51+'T14 &amp; T15'!F21+'T14 &amp; T15'!F51+'T16 &amp; T17'!F21+'T16 &amp; T17'!F51+'T18'!F21</f>
        <v>12505547.300000001</v>
      </c>
      <c r="G21" s="205">
        <f>G51+'T12 &amp; T13'!G21+'T12 &amp; T13'!G51+'T14 &amp; T15'!G21+'T14 &amp; T15'!G51+'T16 &amp; T17'!G21+'T16 &amp; T17'!G51+'T18'!G21</f>
        <v>161964.26000000411</v>
      </c>
      <c r="H21" s="182">
        <f>H51+'T12 &amp; T13'!H21+'T12 &amp; T13'!H51+'T14 &amp; T15'!H21+'T14 &amp; T15'!H51+'T16 &amp; T17'!H21+'T16 &amp; T17'!H51+'T18'!H21</f>
        <v>440714</v>
      </c>
      <c r="I21" s="183">
        <f t="shared" ref="I21:I26" si="11">H21/H$28</f>
        <v>4.1706898302468653E-2</v>
      </c>
      <c r="J21" s="183">
        <f t="shared" ref="J21:J26" si="12">D21/(E21/0.75)</f>
        <v>1.0059887192164223</v>
      </c>
      <c r="K21" s="207">
        <f t="shared" ref="K21:K26" si="13">D21/H21</f>
        <v>112.95533443457663</v>
      </c>
      <c r="L21" s="207">
        <f t="shared" ref="L21:L26" si="14">G21/H21</f>
        <v>0.36750423176936542</v>
      </c>
    </row>
    <row r="22" spans="1:18" ht="14.1" customHeight="1">
      <c r="A22" s="81"/>
      <c r="B22" s="208" t="s">
        <v>51</v>
      </c>
      <c r="C22" s="96">
        <v>23</v>
      </c>
      <c r="D22" s="205">
        <f>D52+'T12 &amp; T13'!D22+'T12 &amp; T13'!D52+'T14 &amp; T15'!D22+'T14 &amp; T15'!D52+'T16 &amp; T17'!D22+'T16 &amp; T17'!D52+'T18'!D22</f>
        <v>6902442.9699999997</v>
      </c>
      <c r="E22" s="205">
        <f>E52+'T12 &amp; T13'!E22+'T12 &amp; T13'!E52+'T14 &amp; T15'!E22+'T14 &amp; T15'!E52+'T16 &amp; T17'!E22+'T16 &amp; T17'!E52+'T18'!E22</f>
        <v>4625785.07</v>
      </c>
      <c r="F22" s="205">
        <f>F52+'T12 &amp; T13'!F22+'T12 &amp; T13'!F52+'T14 &amp; T15'!F22+'T14 &amp; T15'!F52+'T16 &amp; T17'!F22+'T16 &amp; T17'!F52+'T18'!F22</f>
        <v>1571892.83</v>
      </c>
      <c r="G22" s="205">
        <f>G52+'T12 &amp; T13'!G22+'T12 &amp; T13'!G52+'T14 &amp; T15'!G22+'T14 &amp; T15'!G52+'T16 &amp; T17'!G22+'T16 &amp; T17'!G52+'T18'!G22</f>
        <v>704765.06999999983</v>
      </c>
      <c r="H22" s="182">
        <f>H52+'T12 &amp; T13'!H22+'T12 &amp; T13'!H52+'T14 &amp; T15'!H22+'T14 &amp; T15'!H52+'T16 &amp; T17'!H22+'T16 &amp; T17'!H52+'T18'!H22</f>
        <v>15445</v>
      </c>
      <c r="I22" s="183">
        <f t="shared" si="11"/>
        <v>1.4616350837087734E-3</v>
      </c>
      <c r="J22" s="183">
        <f t="shared" si="12"/>
        <v>1.1191251104755715</v>
      </c>
      <c r="K22" s="207">
        <f t="shared" si="13"/>
        <v>446.9046921333765</v>
      </c>
      <c r="L22" s="207">
        <f t="shared" si="14"/>
        <v>45.630629329880207</v>
      </c>
    </row>
    <row r="23" spans="1:18" ht="14.1" customHeight="1">
      <c r="A23" s="81"/>
      <c r="B23" s="208" t="s">
        <v>52</v>
      </c>
      <c r="C23" s="102">
        <v>24</v>
      </c>
      <c r="D23" s="205">
        <f>D53+'T12 &amp; T13'!D23+'T12 &amp; T13'!D53+'T14 &amp; T15'!D23+'T14 &amp; T15'!D53+'T16 &amp; T17'!D23+'T16 &amp; T17'!D53+'T18'!D23</f>
        <v>8019986.2200000016</v>
      </c>
      <c r="E23" s="205">
        <f>E53+'T12 &amp; T13'!E23+'T12 &amp; T13'!E53+'T14 &amp; T15'!E23+'T14 &amp; T15'!E53+'T16 &amp; T17'!E23+'T16 &amp; T17'!E53+'T18'!E23</f>
        <v>4352931.6000000006</v>
      </c>
      <c r="F23" s="205">
        <f>F53+'T12 &amp; T13'!F23+'T12 &amp; T13'!F53+'T14 &amp; T15'!F23+'T14 &amp; T15'!F53+'T16 &amp; T17'!F23+'T16 &amp; T17'!F53+'T18'!F23</f>
        <v>1448787.2399999998</v>
      </c>
      <c r="G23" s="205">
        <f>G53+'T12 &amp; T13'!G23+'T12 &amp; T13'!G53+'T14 &amp; T15'!G23+'T14 &amp; T15'!G53+'T16 &amp; T17'!G23+'T16 &amp; T17'!G53+'T18'!G23</f>
        <v>2218267.3800000004</v>
      </c>
      <c r="H23" s="182">
        <f>H53+'T12 &amp; T13'!H23+'T12 &amp; T13'!H53+'T14 &amp; T15'!H23+'T14 &amp; T15'!H53+'T16 &amp; T17'!H23+'T16 &amp; T17'!H53+'T18'!H23</f>
        <v>18197</v>
      </c>
      <c r="I23" s="183">
        <f t="shared" si="11"/>
        <v>1.7220701598089057E-3</v>
      </c>
      <c r="J23" s="183">
        <f t="shared" si="12"/>
        <v>1.3818249900825459</v>
      </c>
      <c r="K23" s="207">
        <f t="shared" si="13"/>
        <v>440.73123152167949</v>
      </c>
      <c r="L23" s="207">
        <f t="shared" si="14"/>
        <v>121.90291696433481</v>
      </c>
    </row>
    <row r="24" spans="1:18" s="83" customFormat="1" ht="14.1" customHeight="1">
      <c r="A24" s="103"/>
      <c r="B24" s="208" t="s">
        <v>53</v>
      </c>
      <c r="C24" s="102">
        <v>25</v>
      </c>
      <c r="D24" s="205">
        <f>D54+'T12 &amp; T13'!D24+'T12 &amp; T13'!D54+'T14 &amp; T15'!D24+'T14 &amp; T15'!D54+'T16 &amp; T17'!D24+'T16 &amp; T17'!D54+'T18'!D24</f>
        <v>22068804.23</v>
      </c>
      <c r="E24" s="205">
        <f>E54+'T12 &amp; T13'!E24+'T12 &amp; T13'!E54+'T14 &amp; T15'!E24+'T14 &amp; T15'!E54+'T16 &amp; T17'!E24+'T16 &amp; T17'!E54+'T18'!E24</f>
        <v>9507812.0399999991</v>
      </c>
      <c r="F24" s="205">
        <f>F54+'T12 &amp; T13'!F24+'T12 &amp; T13'!F54+'T14 &amp; T15'!F24+'T14 &amp; T15'!F54+'T16 &amp; T17'!F24+'T16 &amp; T17'!F54+'T18'!F24</f>
        <v>3277947.8400000003</v>
      </c>
      <c r="G24" s="205">
        <f>G54+'T12 &amp; T13'!G24+'T12 &amp; T13'!G54+'T14 &amp; T15'!G24+'T14 &amp; T15'!G54+'T16 &amp; T17'!G24+'T16 &amp; T17'!G54+'T18'!G24</f>
        <v>9283044.3499999996</v>
      </c>
      <c r="H24" s="182">
        <f>H54+'T12 &amp; T13'!H24+'T12 &amp; T13'!H54+'T14 &amp; T15'!H24+'T14 &amp; T15'!H54+'T16 &amp; T17'!H24+'T16 &amp; T17'!H54+'T18'!H24</f>
        <v>60472</v>
      </c>
      <c r="I24" s="183">
        <f t="shared" si="11"/>
        <v>5.722757965816571E-3</v>
      </c>
      <c r="J24" s="183">
        <f t="shared" si="12"/>
        <v>1.7408424885627001</v>
      </c>
      <c r="K24" s="207">
        <f t="shared" si="13"/>
        <v>364.94252265511312</v>
      </c>
      <c r="L24" s="207">
        <f t="shared" si="14"/>
        <v>153.50979544251885</v>
      </c>
    </row>
    <row r="25" spans="1:18" ht="14.1" customHeight="1">
      <c r="A25" s="80"/>
      <c r="B25" s="208" t="s">
        <v>54</v>
      </c>
      <c r="C25" s="102">
        <v>26</v>
      </c>
      <c r="D25" s="205">
        <f>D55+'T12 &amp; T13'!D25+'T12 &amp; T13'!D55+'T14 &amp; T15'!D25+'T14 &amp; T15'!D55+'T16 &amp; T17'!D25+'T16 &amp; T17'!D55+'T18'!D25</f>
        <v>296131036.18000001</v>
      </c>
      <c r="E25" s="205">
        <f>E55+'T12 &amp; T13'!E25+'T12 &amp; T13'!E55+'T14 &amp; T15'!E25+'T14 &amp; T15'!E55+'T16 &amp; T17'!E25+'T16 &amp; T17'!E55+'T18'!E25</f>
        <v>62593024.57</v>
      </c>
      <c r="F25" s="205">
        <f>F55+'T12 &amp; T13'!F25+'T12 &amp; T13'!F55+'T14 &amp; T15'!F25+'T14 &amp; T15'!F55+'T16 &amp; T17'!F25+'T16 &amp; T17'!F55+'T18'!F25</f>
        <v>21075178.459999997</v>
      </c>
      <c r="G25" s="205">
        <f>G55+'T12 &amp; T13'!G25+'T12 &amp; T13'!G55+'T14 &amp; T15'!G25+'T14 &amp; T15'!G55+'T16 &amp; T17'!G25+'T16 &amp; T17'!G55+'T18'!G25</f>
        <v>212462833.14999998</v>
      </c>
      <c r="H25" s="182">
        <f>H55+'T12 &amp; T13'!H25+'T12 &amp; T13'!H55+'T14 &amp; T15'!H25+'T14 &amp; T15'!H55+'T16 &amp; T17'!H25+'T16 &amp; T17'!H55+'T18'!H25</f>
        <v>203680</v>
      </c>
      <c r="I25" s="183">
        <f t="shared" si="11"/>
        <v>1.9275223946248168E-2</v>
      </c>
      <c r="J25" s="183">
        <f t="shared" si="12"/>
        <v>3.5482911819769889</v>
      </c>
      <c r="K25" s="207">
        <f t="shared" si="13"/>
        <v>1453.9033590926945</v>
      </c>
      <c r="L25" s="207">
        <f t="shared" si="14"/>
        <v>1043.1207440593087</v>
      </c>
    </row>
    <row r="26" spans="1:18" ht="14.1" customHeight="1">
      <c r="A26" s="214"/>
      <c r="B26" s="209" t="s">
        <v>0</v>
      </c>
      <c r="C26" s="95">
        <v>27</v>
      </c>
      <c r="D26" s="202">
        <f>SUM(D21:D25)</f>
        <v>382903266.86000001</v>
      </c>
      <c r="E26" s="202">
        <f t="shared" ref="E26:H26" si="15">SUM(E21:E25)</f>
        <v>118193038.98</v>
      </c>
      <c r="F26" s="202">
        <f t="shared" si="15"/>
        <v>39879353.670000002</v>
      </c>
      <c r="G26" s="202">
        <f t="shared" si="15"/>
        <v>224830874.20999998</v>
      </c>
      <c r="H26" s="206">
        <f t="shared" si="15"/>
        <v>738508</v>
      </c>
      <c r="I26" s="203">
        <f t="shared" si="11"/>
        <v>6.9888585458051072E-2</v>
      </c>
      <c r="J26" s="203">
        <f t="shared" si="12"/>
        <v>2.4297323482273319</v>
      </c>
      <c r="K26" s="204">
        <f t="shared" si="13"/>
        <v>518.48221936661491</v>
      </c>
      <c r="L26" s="204">
        <f t="shared" si="14"/>
        <v>304.43932118541704</v>
      </c>
    </row>
    <row r="27" spans="1:18" ht="14.1" customHeight="1">
      <c r="A27" s="102"/>
      <c r="B27" s="102"/>
      <c r="C27" s="96"/>
      <c r="D27" s="97"/>
      <c r="E27" s="97"/>
      <c r="F27" s="97"/>
      <c r="G27" s="98"/>
      <c r="H27" s="99"/>
      <c r="I27" s="100"/>
      <c r="J27" s="100"/>
      <c r="K27" s="101"/>
      <c r="L27" s="101"/>
    </row>
    <row r="28" spans="1:18" ht="14.1" customHeight="1">
      <c r="A28" s="209" t="s">
        <v>80</v>
      </c>
      <c r="B28" s="209"/>
      <c r="C28" s="202"/>
      <c r="D28" s="202">
        <f>D19+D26</f>
        <v>2021107568.3799996</v>
      </c>
      <c r="E28" s="202">
        <f t="shared" ref="E28:H28" si="16">E19+E26</f>
        <v>930812392.66999996</v>
      </c>
      <c r="F28" s="202">
        <f t="shared" si="16"/>
        <v>721356542.12</v>
      </c>
      <c r="G28" s="206">
        <f t="shared" si="16"/>
        <v>368938633.58999991</v>
      </c>
      <c r="H28" s="218">
        <f t="shared" si="16"/>
        <v>10566933</v>
      </c>
      <c r="I28" s="203">
        <f>H28/H$28</f>
        <v>1</v>
      </c>
      <c r="J28" s="203">
        <f>D28/(E28/0.75)</f>
        <v>1.6285028951289497</v>
      </c>
      <c r="K28" s="204">
        <f>D28/H28</f>
        <v>191.26718872732511</v>
      </c>
      <c r="L28" s="204">
        <f>G28/H28</f>
        <v>34.914448079684043</v>
      </c>
    </row>
    <row r="29" spans="1:18" ht="14.1" customHeight="1">
      <c r="A29" s="209" t="s">
        <v>81</v>
      </c>
      <c r="B29" s="209"/>
      <c r="C29" s="202"/>
      <c r="D29" s="202">
        <f>D12+D21</f>
        <v>1281060734.2699997</v>
      </c>
      <c r="E29" s="202">
        <f t="shared" ref="E29:H29" si="17">E12+E21</f>
        <v>715236401.5</v>
      </c>
      <c r="F29" s="202">
        <f t="shared" si="17"/>
        <v>565658667.37</v>
      </c>
      <c r="G29" s="206">
        <f t="shared" si="17"/>
        <v>165665.40000000398</v>
      </c>
      <c r="H29" s="218">
        <f t="shared" si="17"/>
        <v>9232922</v>
      </c>
      <c r="I29" s="203">
        <f>H29/H$28</f>
        <v>0.87375608419207351</v>
      </c>
      <c r="J29" s="203">
        <f>D29/(E29/0.75)</f>
        <v>1.343325855182302</v>
      </c>
      <c r="K29" s="204">
        <f>D29/H29</f>
        <v>138.74922091511223</v>
      </c>
      <c r="L29" s="204">
        <f>G29/H29</f>
        <v>1.7942900416574946E-2</v>
      </c>
    </row>
    <row r="30" spans="1:18" ht="14.1" customHeight="1">
      <c r="A30" s="209" t="s">
        <v>82</v>
      </c>
      <c r="B30" s="209"/>
      <c r="C30" s="202"/>
      <c r="D30" s="202">
        <f>D19+D21</f>
        <v>1687985298.7799997</v>
      </c>
      <c r="E30" s="202">
        <f t="shared" ref="E30:H30" si="18">E19+E21</f>
        <v>849732839.38999999</v>
      </c>
      <c r="F30" s="202">
        <f t="shared" si="18"/>
        <v>693982735.75</v>
      </c>
      <c r="G30" s="206">
        <f t="shared" si="18"/>
        <v>144269723.63999996</v>
      </c>
      <c r="H30" s="218">
        <f t="shared" si="18"/>
        <v>10269139</v>
      </c>
      <c r="I30" s="203">
        <f>H30/H$28</f>
        <v>0.97181831284441755</v>
      </c>
      <c r="J30" s="203">
        <f>D30/(E30/0.75)</f>
        <v>1.4898670680938007</v>
      </c>
      <c r="K30" s="204">
        <f>D30/H30</f>
        <v>164.37456916105623</v>
      </c>
      <c r="L30" s="204">
        <f>G30/H30</f>
        <v>14.048862678750377</v>
      </c>
    </row>
    <row r="31" spans="1:18" ht="14.1" customHeight="1">
      <c r="A31" s="209" t="s">
        <v>83</v>
      </c>
      <c r="B31" s="209"/>
      <c r="C31" s="202"/>
      <c r="D31" s="202">
        <f>D26-D21</f>
        <v>333122269.60000002</v>
      </c>
      <c r="E31" s="202">
        <f t="shared" ref="E31:H31" si="19">E26-E21</f>
        <v>81079553.280000001</v>
      </c>
      <c r="F31" s="202">
        <f t="shared" si="19"/>
        <v>27373806.370000001</v>
      </c>
      <c r="G31" s="206">
        <f t="shared" si="19"/>
        <v>224668909.94999999</v>
      </c>
      <c r="H31" s="218">
        <f t="shared" si="19"/>
        <v>297794</v>
      </c>
      <c r="I31" s="203">
        <f>H31/H$28</f>
        <v>2.8181687155582419E-2</v>
      </c>
      <c r="J31" s="203">
        <f>D31/(E31/0.75)</f>
        <v>3.0814390569863783</v>
      </c>
      <c r="K31" s="204">
        <f>D31/H31</f>
        <v>1118.6332484872094</v>
      </c>
      <c r="L31" s="204">
        <f>G31/H31</f>
        <v>754.44404504456099</v>
      </c>
    </row>
    <row r="32" spans="1:18" ht="11.65">
      <c r="A32" s="105"/>
      <c r="B32" s="105"/>
      <c r="C32" s="105"/>
      <c r="D32" s="106"/>
      <c r="E32" s="106"/>
      <c r="F32" s="106"/>
      <c r="G32" s="106"/>
      <c r="H32" s="106"/>
      <c r="I32" s="107"/>
      <c r="J32" s="107"/>
      <c r="K32" s="107"/>
      <c r="L32" s="107"/>
    </row>
    <row r="33" spans="1:25" ht="13.15">
      <c r="A33" s="174" t="s">
        <v>84</v>
      </c>
      <c r="C33" s="32" t="s">
        <v>20</v>
      </c>
    </row>
    <row r="34" spans="1:25" ht="39.4">
      <c r="A34" s="67"/>
      <c r="B34" s="68"/>
      <c r="C34" s="69"/>
      <c r="D34" s="200" t="s">
        <v>41</v>
      </c>
      <c r="E34" s="200" t="s">
        <v>42</v>
      </c>
      <c r="F34" s="200" t="s">
        <v>43</v>
      </c>
      <c r="G34" s="200" t="s">
        <v>44</v>
      </c>
      <c r="H34" s="200" t="s">
        <v>73</v>
      </c>
      <c r="I34" s="200" t="s">
        <v>46</v>
      </c>
      <c r="J34" s="200" t="s">
        <v>74</v>
      </c>
      <c r="K34" s="200" t="s">
        <v>48</v>
      </c>
      <c r="L34" s="200" t="s">
        <v>49</v>
      </c>
    </row>
    <row r="35" spans="1:25" ht="13.5">
      <c r="A35" s="180" t="s">
        <v>75</v>
      </c>
      <c r="B35" s="71"/>
      <c r="C35" s="72">
        <v>0</v>
      </c>
      <c r="D35" s="73"/>
      <c r="E35" s="74"/>
      <c r="F35" s="74"/>
      <c r="G35" s="74"/>
      <c r="H35" s="74"/>
      <c r="I35" s="74"/>
      <c r="J35" s="74"/>
      <c r="K35" s="74"/>
      <c r="L35" s="74"/>
      <c r="N35" s="22"/>
      <c r="O35" s="22"/>
      <c r="P35" s="22"/>
      <c r="Q35" s="22"/>
      <c r="R35" s="22"/>
      <c r="S35" s="22"/>
      <c r="T35" s="22"/>
      <c r="U35" s="22"/>
      <c r="V35" s="22"/>
      <c r="W35" s="22"/>
      <c r="X35" s="22"/>
      <c r="Y35" s="22"/>
    </row>
    <row r="36" spans="1:25" ht="13.5">
      <c r="A36" s="210" t="s">
        <v>76</v>
      </c>
      <c r="B36" s="75"/>
      <c r="C36" s="72">
        <v>1</v>
      </c>
      <c r="D36" s="76"/>
      <c r="E36" s="77"/>
      <c r="F36" s="77"/>
      <c r="G36" s="77"/>
      <c r="H36" s="77"/>
      <c r="I36" s="77"/>
      <c r="J36" s="77"/>
      <c r="K36" s="77"/>
      <c r="L36" s="77"/>
      <c r="N36" s="22"/>
      <c r="O36" s="22"/>
      <c r="P36" s="22"/>
      <c r="Q36" s="22"/>
      <c r="R36" s="22"/>
      <c r="S36" s="22"/>
      <c r="T36" s="22"/>
      <c r="U36" s="22"/>
      <c r="V36" s="22"/>
      <c r="W36" s="22"/>
      <c r="X36" s="22"/>
      <c r="Y36" s="22"/>
    </row>
    <row r="37" spans="1:25" ht="12.75">
      <c r="A37" s="213"/>
      <c r="B37" s="208" t="s">
        <v>50</v>
      </c>
      <c r="C37" s="79">
        <v>2</v>
      </c>
      <c r="D37" s="205">
        <f>SUMIFS(Table_MedicalGapAgreements[AmountCharged],Table_MedicalGapAgreements[Year],Selection!$E$14,Table_MedicalGapAgreements[MonthEnd],Selection!$E$15,Table_MedicalGapAgreements[State],"NSW",Table_MedicalGapAgreements[GapType],"No gap agreement",Table_MedicalGapAgreements[MBSFeePercentage],"Up to MBS Fee")</f>
        <v>30644916.02</v>
      </c>
      <c r="E37" s="205">
        <f>SUMIFS(Table_MedicalGapAgreements[MedicareBenefit],Table_MedicalGapAgreements[Year],Selection!$E$14,Table_MedicalGapAgreements[MonthEnd],Selection!$E$15,Table_MedicalGapAgreements[State],"NSW",Table_MedicalGapAgreements[GapType],"No gap agreement",Table_MedicalGapAgreements[MBSFeePercentage],"Up to MBS Fee")</f>
        <v>23111618.399999999</v>
      </c>
      <c r="F37" s="205">
        <f>SUMIFS(Table_MedicalGapAgreements[FundBenefit],Table_MedicalGapAgreements[Year],Selection!$E$14,Table_MedicalGapAgreements[MonthEnd],Selection!$E$15,Table_MedicalGapAgreements[State],"NSW",Table_MedicalGapAgreements[GapType],"No gap agreement",Table_MedicalGapAgreements[MBSFeePercentage],"Up to MBS Fee")</f>
        <v>7533304.3700000001</v>
      </c>
      <c r="G37" s="205">
        <f>D37-E37-F37</f>
        <v>-6.7499999990686774</v>
      </c>
      <c r="H37" s="182">
        <f>SUMIFS(Table_MedicalGapAgreements[NumberofServices],Table_MedicalGapAgreements[Year],Selection!$E$14,Table_MedicalGapAgreements[MonthEnd],Selection!$E$15,Table_MedicalGapAgreements[State],"NSW",Table_MedicalGapAgreements[GapType],"No gap agreement",Table_MedicalGapAgreements[MBSFeePercentage],"Up to MBS Fee")</f>
        <v>999518</v>
      </c>
      <c r="I37" s="183">
        <f t="shared" ref="I37:I42" si="20">H37/H$58</f>
        <v>0.2827902792061644</v>
      </c>
      <c r="J37" s="183">
        <f t="shared" ref="J37:J42" si="21">D37/(E37/0.75)</f>
        <v>0.99446462888120379</v>
      </c>
      <c r="K37" s="207">
        <f t="shared" ref="K37:K42" si="22">D37/H37</f>
        <v>30.659693992504387</v>
      </c>
      <c r="L37" s="207">
        <f t="shared" ref="L37:L42" si="23">G37/H37</f>
        <v>-6.7532550680114589E-6</v>
      </c>
      <c r="M37" s="63"/>
      <c r="N37" s="22"/>
      <c r="O37" s="22"/>
      <c r="P37" s="22"/>
      <c r="Q37" s="22"/>
      <c r="R37" s="22"/>
      <c r="S37" s="22"/>
      <c r="T37" s="22"/>
      <c r="U37" s="22"/>
      <c r="V37" s="22"/>
      <c r="W37" s="22"/>
      <c r="X37" s="22"/>
      <c r="Y37" s="22"/>
    </row>
    <row r="38" spans="1:25" ht="12.75">
      <c r="A38" s="211"/>
      <c r="B38" s="208" t="s">
        <v>51</v>
      </c>
      <c r="C38" s="79">
        <v>3</v>
      </c>
      <c r="D38" s="205">
        <f>SUMIFS(Table_MedicalGapAgreements[AmountCharged],Table_MedicalGapAgreements[Year],Selection!$E$14,Table_MedicalGapAgreements[MonthEnd],Selection!$E$15,Table_MedicalGapAgreements[State],"NSW",Table_MedicalGapAgreements[GapType],"No gap agreement",Table_MedicalGapAgreements[MBSFeePercentage],"100% MBS Fee to 125% MBS Fee")</f>
        <v>68955942.260000005</v>
      </c>
      <c r="E38" s="205">
        <f>SUMIFS(Table_MedicalGapAgreements[MedicareBenefit],Table_MedicalGapAgreements[Year],Selection!$E$14,Table_MedicalGapAgreements[MonthEnd],Selection!$E$15,Table_MedicalGapAgreements[State],"NSW",Table_MedicalGapAgreements[GapType],"No gap agreement",Table_MedicalGapAgreements[MBSFeePercentage],"100% MBS Fee to 125% MBS Fee")</f>
        <v>44025058.060000002</v>
      </c>
      <c r="F38" s="205">
        <f>SUMIFS(Table_MedicalGapAgreements[FundBenefit],Table_MedicalGapAgreements[Year],Selection!$E$14,Table_MedicalGapAgreements[MonthEnd],Selection!$E$15,Table_MedicalGapAgreements[State],"NSW",Table_MedicalGapAgreements[GapType],"No gap agreement",Table_MedicalGapAgreements[MBSFeePercentage],"100% MBS Fee to 125% MBS Fee")</f>
        <v>24930191.219999999</v>
      </c>
      <c r="G38" s="205">
        <f t="shared" ref="G38:G41" si="24">D38-E38-F38</f>
        <v>692.98000000417233</v>
      </c>
      <c r="H38" s="182">
        <f>SUMIFS(Table_MedicalGapAgreements[NumberofServices],Table_MedicalGapAgreements[Year],Selection!$E$14,Table_MedicalGapAgreements[MonthEnd],Selection!$E$15,Table_MedicalGapAgreements[State],"NSW",Table_MedicalGapAgreements[GapType],"No gap agreement",Table_MedicalGapAgreements[MBSFeePercentage],"100% MBS Fee to 125% MBS Fee")</f>
        <v>500916</v>
      </c>
      <c r="I38" s="183">
        <f t="shared" si="20"/>
        <v>0.14172248573696025</v>
      </c>
      <c r="J38" s="183">
        <f t="shared" si="21"/>
        <v>1.1747163768533144</v>
      </c>
      <c r="K38" s="207">
        <f t="shared" si="22"/>
        <v>137.65969196432138</v>
      </c>
      <c r="L38" s="207">
        <f t="shared" si="23"/>
        <v>1.3834255643744107E-3</v>
      </c>
      <c r="N38" s="22"/>
      <c r="O38" s="22"/>
      <c r="P38" s="22"/>
      <c r="Q38" s="22"/>
      <c r="R38" s="22"/>
      <c r="S38" s="22"/>
      <c r="T38" s="22"/>
      <c r="U38" s="22"/>
      <c r="V38" s="22"/>
      <c r="W38" s="22"/>
      <c r="X38" s="22"/>
      <c r="Y38" s="22"/>
    </row>
    <row r="39" spans="1:25" ht="12.75">
      <c r="A39" s="212"/>
      <c r="B39" s="208" t="s">
        <v>52</v>
      </c>
      <c r="C39" s="79">
        <v>4</v>
      </c>
      <c r="D39" s="205">
        <f>SUMIFS(Table_MedicalGapAgreements[AmountCharged],Table_MedicalGapAgreements[Year],Selection!$E$14,Table_MedicalGapAgreements[MonthEnd],Selection!$E$15,Table_MedicalGapAgreements[State],"NSW",Table_MedicalGapAgreements[GapType],"No gap agreement",Table_MedicalGapAgreements[MBSFeePercentage],"More than 125% MBS Fee to 150% MBS Fee")</f>
        <v>137091470.94999999</v>
      </c>
      <c r="E39" s="205">
        <f>SUMIFS(Table_MedicalGapAgreements[MedicareBenefit],Table_MedicalGapAgreements[Year],Selection!$E$14,Table_MedicalGapAgreements[MonthEnd],Selection!$E$15,Table_MedicalGapAgreements[State],"NSW",Table_MedicalGapAgreements[GapType],"No gap agreement",Table_MedicalGapAgreements[MBSFeePercentage],"More than 125% MBS Fee to 150% MBS Fee")</f>
        <v>75098749.5</v>
      </c>
      <c r="F39" s="205">
        <f>SUMIFS(Table_MedicalGapAgreements[FundBenefit],Table_MedicalGapAgreements[Year],Selection!$E$14,Table_MedicalGapAgreements[MonthEnd],Selection!$E$15,Table_MedicalGapAgreements[State],"NSW",Table_MedicalGapAgreements[GapType],"No gap agreement",Table_MedicalGapAgreements[MBSFeePercentage],"More than 125% MBS Fee to 150% MBS Fee")</f>
        <v>61992636.43</v>
      </c>
      <c r="G39" s="205">
        <f t="shared" si="24"/>
        <v>85.019999988377094</v>
      </c>
      <c r="H39" s="182">
        <f>SUMIFS(Table_MedicalGapAgreements[NumberofServices],Table_MedicalGapAgreements[Year],Selection!$E$14,Table_MedicalGapAgreements[MonthEnd],Selection!$E$15,Table_MedicalGapAgreements[State],"NSW",Table_MedicalGapAgreements[GapType],"No gap agreement",Table_MedicalGapAgreements[MBSFeePercentage],"More than 125% MBS Fee to 150% MBS Fee")</f>
        <v>685833</v>
      </c>
      <c r="I39" s="183">
        <f t="shared" si="20"/>
        <v>0.19404043304753027</v>
      </c>
      <c r="J39" s="183">
        <f t="shared" si="21"/>
        <v>1.369112054422424</v>
      </c>
      <c r="K39" s="207">
        <f t="shared" si="22"/>
        <v>199.89045576692865</v>
      </c>
      <c r="L39" s="207">
        <f t="shared" si="23"/>
        <v>1.2396603836265839E-4</v>
      </c>
      <c r="N39" s="22"/>
      <c r="O39" s="22"/>
      <c r="P39" s="22"/>
      <c r="Q39" s="22"/>
      <c r="R39" s="22"/>
      <c r="S39" s="22"/>
      <c r="T39" s="22"/>
      <c r="U39" s="22"/>
      <c r="V39" s="22"/>
      <c r="W39" s="22"/>
      <c r="X39" s="22"/>
      <c r="Y39" s="22"/>
    </row>
    <row r="40" spans="1:25" ht="15">
      <c r="A40" s="212"/>
      <c r="B40" s="208" t="s">
        <v>53</v>
      </c>
      <c r="C40" s="82"/>
      <c r="D40" s="205">
        <f>SUMIFS(Table_MedicalGapAgreements[AmountCharged],Table_MedicalGapAgreements[Year],Selection!$E$14,Table_MedicalGapAgreements[MonthEnd],Selection!$E$15,Table_MedicalGapAgreements[State],"NSW",Table_MedicalGapAgreements[GapType],"No gap agreement",Table_MedicalGapAgreements[MBSFeePercentage],"More than 150% MBS Fee to 200% MBS Fee")</f>
        <v>128922323.76000001</v>
      </c>
      <c r="E40" s="205">
        <f>SUMIFS(Table_MedicalGapAgreements[MedicareBenefit],Table_MedicalGapAgreements[Year],Selection!$E$14,Table_MedicalGapAgreements[MonthEnd],Selection!$E$15,Table_MedicalGapAgreements[State],"NSW",Table_MedicalGapAgreements[GapType],"No gap agreement",Table_MedicalGapAgreements[MBSFeePercentage],"More than 150% MBS Fee to 200% MBS Fee")</f>
        <v>59507457.899999999</v>
      </c>
      <c r="F40" s="205">
        <f>SUMIFS(Table_MedicalGapAgreements[FundBenefit],Table_MedicalGapAgreements[Year],Selection!$E$14,Table_MedicalGapAgreements[MonthEnd],Selection!$E$15,Table_MedicalGapAgreements[State],"NSW",Table_MedicalGapAgreements[GapType],"No gap agreement",Table_MedicalGapAgreements[MBSFeePercentage],"More than 150% MBS Fee to 200% MBS Fee")</f>
        <v>69414693.909999996</v>
      </c>
      <c r="G40" s="205">
        <f t="shared" si="24"/>
        <v>171.95000001788139</v>
      </c>
      <c r="H40" s="182">
        <f>SUMIFS(Table_MedicalGapAgreements[NumberofServices],Table_MedicalGapAgreements[Year],Selection!$E$14,Table_MedicalGapAgreements[MonthEnd],Selection!$E$15,Table_MedicalGapAgreements[State],"NSW",Table_MedicalGapAgreements[GapType],"No gap agreement",Table_MedicalGapAgreements[MBSFeePercentage],"More than 150% MBS Fee to 200% MBS Fee")</f>
        <v>708522</v>
      </c>
      <c r="I40" s="183">
        <f t="shared" si="20"/>
        <v>0.2004597558060085</v>
      </c>
      <c r="J40" s="183">
        <f t="shared" si="21"/>
        <v>1.624867642346389</v>
      </c>
      <c r="K40" s="207">
        <f t="shared" si="22"/>
        <v>181.9595210311042</v>
      </c>
      <c r="L40" s="207">
        <f t="shared" si="23"/>
        <v>2.4268830045909851E-4</v>
      </c>
      <c r="N40" s="22"/>
      <c r="O40" s="22"/>
      <c r="P40" s="22"/>
      <c r="Q40" s="22"/>
      <c r="R40" s="22"/>
      <c r="S40" s="22"/>
      <c r="T40" s="22"/>
      <c r="U40" s="22"/>
      <c r="V40" s="22"/>
      <c r="W40" s="22"/>
      <c r="X40" s="22"/>
      <c r="Y40" s="22"/>
    </row>
    <row r="41" spans="1:25" ht="15">
      <c r="A41" s="212"/>
      <c r="B41" s="208" t="s">
        <v>54</v>
      </c>
      <c r="C41" s="82">
        <v>5</v>
      </c>
      <c r="D41" s="205">
        <f>SUMIFS(Table_MedicalGapAgreements[AmountCharged],Table_MedicalGapAgreements[Year],Selection!$E$14,Table_MedicalGapAgreements[MonthEnd],Selection!$E$15,Table_MedicalGapAgreements[State],"NSW",Table_MedicalGapAgreements[GapType],"No gap agreement",Table_MedicalGapAgreements[MBSFeePercentage],"More than 200% MBS Fee")</f>
        <v>6610077.04</v>
      </c>
      <c r="E41" s="205">
        <f>SUMIFS(Table_MedicalGapAgreements[MedicareBenefit],Table_MedicalGapAgreements[Year],Selection!$E$14,Table_MedicalGapAgreements[MonthEnd],Selection!$E$15,Table_MedicalGapAgreements[State],"NSW",Table_MedicalGapAgreements[GapType],"No gap agreement",Table_MedicalGapAgreements[MBSFeePercentage],"More than 200% MBS Fee")</f>
        <v>1922905.79</v>
      </c>
      <c r="F41" s="205">
        <f>SUMIFS(Table_MedicalGapAgreements[FundBenefit],Table_MedicalGapAgreements[Year],Selection!$E$14,Table_MedicalGapAgreements[MonthEnd],Selection!$E$15,Table_MedicalGapAgreements[State],"NSW",Table_MedicalGapAgreements[GapType],"No gap agreement",Table_MedicalGapAgreements[MBSFeePercentage],"More than 200% MBS Fee")</f>
        <v>4687171.17</v>
      </c>
      <c r="G41" s="205">
        <f t="shared" si="24"/>
        <v>8.0000000074505806E-2</v>
      </c>
      <c r="H41" s="182">
        <f>SUMIFS(Table_MedicalGapAgreements[NumberofServices],Table_MedicalGapAgreements[Year],Selection!$E$14,Table_MedicalGapAgreements[MonthEnd],Selection!$E$15,Table_MedicalGapAgreements[State],"NSW",Table_MedicalGapAgreements[GapType],"No gap agreement",Table_MedicalGapAgreements[MBSFeePercentage],"More than 200% MBS Fee")</f>
        <v>5988</v>
      </c>
      <c r="I41" s="183">
        <f>H41/H$58</f>
        <v>1.69416477931014E-3</v>
      </c>
      <c r="J41" s="183">
        <f t="shared" si="21"/>
        <v>2.578159473949059</v>
      </c>
      <c r="K41" s="207">
        <f t="shared" si="22"/>
        <v>1103.8872812291249</v>
      </c>
      <c r="L41" s="207">
        <f t="shared" si="23"/>
        <v>1.336005345265628E-5</v>
      </c>
      <c r="N41" s="22"/>
      <c r="O41" s="22"/>
      <c r="P41" s="22"/>
      <c r="Q41" s="22"/>
      <c r="R41" s="22"/>
      <c r="S41" s="22"/>
      <c r="T41" s="22"/>
      <c r="U41" s="22"/>
      <c r="V41" s="22"/>
      <c r="W41" s="22"/>
      <c r="X41" s="22"/>
      <c r="Y41" s="22"/>
    </row>
    <row r="42" spans="1:25" ht="15">
      <c r="A42" s="214"/>
      <c r="B42" s="209" t="s">
        <v>0</v>
      </c>
      <c r="C42" s="84">
        <v>6</v>
      </c>
      <c r="D42" s="202">
        <f>SUM(D37:D41)</f>
        <v>372224730.03000003</v>
      </c>
      <c r="E42" s="202">
        <f t="shared" ref="E42:F42" si="25">SUM(E37:E41)</f>
        <v>203665789.65000001</v>
      </c>
      <c r="F42" s="202">
        <f t="shared" si="25"/>
        <v>168557997.09999999</v>
      </c>
      <c r="G42" s="202">
        <f>D42-E42-F42</f>
        <v>943.28000003099442</v>
      </c>
      <c r="H42" s="206">
        <f t="shared" ref="H42" si="26">SUM(H37:H41)</f>
        <v>2900777</v>
      </c>
      <c r="I42" s="203">
        <f t="shared" si="20"/>
        <v>0.82070711857597356</v>
      </c>
      <c r="J42" s="203">
        <f t="shared" si="21"/>
        <v>1.3707189017961812</v>
      </c>
      <c r="K42" s="204">
        <f t="shared" si="22"/>
        <v>128.31897454716443</v>
      </c>
      <c r="L42" s="204">
        <f t="shared" si="23"/>
        <v>3.251818392213515E-4</v>
      </c>
      <c r="N42" s="22"/>
      <c r="O42" s="22"/>
      <c r="P42" s="22"/>
      <c r="Q42" s="22"/>
      <c r="R42" s="22"/>
      <c r="S42" s="22"/>
      <c r="T42" s="22"/>
      <c r="U42" s="22"/>
      <c r="V42" s="22"/>
      <c r="W42" s="22"/>
      <c r="X42" s="22"/>
      <c r="Y42" s="22"/>
    </row>
    <row r="43" spans="1:25" ht="15">
      <c r="A43" s="215" t="s">
        <v>77</v>
      </c>
      <c r="B43" s="75"/>
      <c r="C43" s="85"/>
      <c r="D43" s="86"/>
      <c r="E43" s="87"/>
      <c r="F43" s="87"/>
      <c r="G43" s="88"/>
      <c r="H43" s="89"/>
      <c r="I43" s="90"/>
      <c r="J43" s="91"/>
      <c r="K43" s="92"/>
      <c r="L43" s="92"/>
      <c r="N43" s="22"/>
      <c r="O43" s="22"/>
      <c r="P43" s="22"/>
      <c r="Q43" s="22"/>
      <c r="R43" s="22"/>
      <c r="S43" s="22"/>
      <c r="T43" s="22"/>
      <c r="U43" s="22"/>
      <c r="V43" s="22"/>
      <c r="W43" s="22"/>
      <c r="X43" s="22"/>
      <c r="Y43" s="22"/>
    </row>
    <row r="44" spans="1:25" ht="15">
      <c r="A44" s="213"/>
      <c r="B44" s="208" t="s">
        <v>51</v>
      </c>
      <c r="C44" s="93">
        <v>7</v>
      </c>
      <c r="D44" s="205">
        <f>SUMIFS(Table_MedicalGapAgreements[AmountCharged],Table_MedicalGapAgreements[Year],Selection!$E$14,Table_MedicalGapAgreements[MonthEnd],Selection!$E$15,Table_MedicalGapAgreements[State],"NSW",Table_MedicalGapAgreements[GapType],"Known gap agreement",Table_MedicalGapAgreements[MBSFeePercentage],"100% MBS Fee to 125% MBS Fee")</f>
        <v>3063649.79</v>
      </c>
      <c r="E44" s="205">
        <f>SUMIFS(Table_MedicalGapAgreements[MedicareBenefit],Table_MedicalGapAgreements[Year],Selection!$E$14,Table_MedicalGapAgreements[MonthEnd],Selection!$E$15,Table_MedicalGapAgreements[State],"NSW",Table_MedicalGapAgreements[GapType],"Known gap agreement",Table_MedicalGapAgreements[MBSFeePercentage],"100% MBS Fee to 125% MBS Fee")</f>
        <v>1971441.98</v>
      </c>
      <c r="F44" s="205">
        <f>SUMIFS(Table_MedicalGapAgreements[FundBenefit],Table_MedicalGapAgreements[Year],Selection!$E$14,Table_MedicalGapAgreements[MonthEnd],Selection!$E$15,Table_MedicalGapAgreements[State],"NSW",Table_MedicalGapAgreements[GapType],"Known gap agreement",Table_MedicalGapAgreements[MBSFeePercentage],"100% MBS Fee to 125% MBS Fee")</f>
        <v>902168.94</v>
      </c>
      <c r="G44" s="205">
        <f t="shared" ref="G44:G47" si="27">D44-E44-F44</f>
        <v>190038.87000000011</v>
      </c>
      <c r="H44" s="182">
        <f>SUMIFS(Table_MedicalGapAgreements[NumberofServices],Table_MedicalGapAgreements[Year],Selection!$E$14,Table_MedicalGapAgreements[MonthEnd],Selection!$E$15,Table_MedicalGapAgreements[State],"NSW",Table_MedicalGapAgreements[GapType],"Known gap agreement",Table_MedicalGapAgreements[MBSFeePercentage],"100% MBS Fee to 125% MBS Fee")</f>
        <v>10778</v>
      </c>
      <c r="I44" s="183">
        <f t="shared" ref="I44:I49" si="28">H44/H$58</f>
        <v>3.0493834320983113E-3</v>
      </c>
      <c r="J44" s="183">
        <f t="shared" ref="J44:J49" si="29">D44/(E44/0.75)</f>
        <v>1.1655110146837799</v>
      </c>
      <c r="K44" s="207">
        <f t="shared" ref="K44:K49" si="30">D44/H44</f>
        <v>284.25030525143814</v>
      </c>
      <c r="L44" s="207">
        <f t="shared" ref="L44:L49" si="31">G44/H44</f>
        <v>17.632108925589172</v>
      </c>
      <c r="N44" s="22"/>
      <c r="O44" s="22"/>
      <c r="P44" s="22"/>
      <c r="Q44" s="22"/>
      <c r="R44" s="22"/>
      <c r="S44" s="22"/>
      <c r="T44" s="22"/>
      <c r="U44" s="22"/>
      <c r="V44" s="22"/>
      <c r="W44" s="22"/>
      <c r="X44" s="22"/>
      <c r="Y44" s="22"/>
    </row>
    <row r="45" spans="1:25" ht="15">
      <c r="A45" s="211"/>
      <c r="B45" s="208" t="s">
        <v>52</v>
      </c>
      <c r="C45" s="93">
        <v>8</v>
      </c>
      <c r="D45" s="205">
        <f>SUMIFS(Table_MedicalGapAgreements[AmountCharged],Table_MedicalGapAgreements[Year],Selection!$E$14,Table_MedicalGapAgreements[MonthEnd],Selection!$E$15,Table_MedicalGapAgreements[State],"NSW",Table_MedicalGapAgreements[GapType],"Known gap agreement",Table_MedicalGapAgreements[MBSFeePercentage],"More than 125% MBS Fee to 150% MBS Fee")</f>
        <v>7211068.8099999996</v>
      </c>
      <c r="E45" s="205">
        <f>SUMIFS(Table_MedicalGapAgreements[MedicareBenefit],Table_MedicalGapAgreements[Year],Selection!$E$14,Table_MedicalGapAgreements[MonthEnd],Selection!$E$15,Table_MedicalGapAgreements[State],"NSW",Table_MedicalGapAgreements[GapType],"Known gap agreement",Table_MedicalGapAgreements[MBSFeePercentage],"More than 125% MBS Fee to 150% MBS Fee")</f>
        <v>3863604.26</v>
      </c>
      <c r="F45" s="205">
        <f>SUMIFS(Table_MedicalGapAgreements[FundBenefit],Table_MedicalGapAgreements[Year],Selection!$E$14,Table_MedicalGapAgreements[MonthEnd],Selection!$E$15,Table_MedicalGapAgreements[State],"NSW",Table_MedicalGapAgreements[GapType],"Known gap agreement",Table_MedicalGapAgreements[MBSFeePercentage],"More than 125% MBS Fee to 150% MBS Fee")</f>
        <v>2878032.59</v>
      </c>
      <c r="G45" s="205">
        <f t="shared" si="27"/>
        <v>469431.95999999996</v>
      </c>
      <c r="H45" s="182">
        <f>SUMIFS(Table_MedicalGapAgreements[NumberofServices],Table_MedicalGapAgreements[Year],Selection!$E$14,Table_MedicalGapAgreements[MonthEnd],Selection!$E$15,Table_MedicalGapAgreements[State],"NSW",Table_MedicalGapAgreements[GapType],"Known gap agreement",Table_MedicalGapAgreements[MBSFeePercentage],"More than 125% MBS Fee to 150% MBS Fee")</f>
        <v>30475</v>
      </c>
      <c r="I45" s="183">
        <f t="shared" si="28"/>
        <v>8.6221896542211952E-3</v>
      </c>
      <c r="J45" s="183">
        <f t="shared" si="29"/>
        <v>1.3998073414226953</v>
      </c>
      <c r="K45" s="207">
        <f t="shared" si="30"/>
        <v>236.62243839212468</v>
      </c>
      <c r="L45" s="207">
        <f t="shared" si="31"/>
        <v>15.403837899917963</v>
      </c>
      <c r="N45" s="22"/>
      <c r="O45" s="22"/>
      <c r="P45" s="22"/>
      <c r="Q45" s="22"/>
      <c r="R45" s="22"/>
      <c r="S45" s="22"/>
      <c r="T45" s="22"/>
      <c r="U45" s="22"/>
      <c r="V45" s="22"/>
      <c r="W45" s="22"/>
      <c r="X45" s="22"/>
      <c r="Y45" s="22"/>
    </row>
    <row r="46" spans="1:25" ht="12.75">
      <c r="A46" s="212"/>
      <c r="B46" s="208" t="s">
        <v>53</v>
      </c>
      <c r="C46" s="94"/>
      <c r="D46" s="205">
        <f>SUMIFS(Table_MedicalGapAgreements[AmountCharged],Table_MedicalGapAgreements[Year],Selection!$E$14,Table_MedicalGapAgreements[MonthEnd],Selection!$E$15,Table_MedicalGapAgreements[State],"NSW",Table_MedicalGapAgreements[GapType],"Known gap agreement",Table_MedicalGapAgreements[MBSFeePercentage],"More than 150% MBS Fee to 200% MBS Fee")</f>
        <v>25245930.41</v>
      </c>
      <c r="E46" s="205">
        <f>SUMIFS(Table_MedicalGapAgreements[MedicareBenefit],Table_MedicalGapAgreements[Year],Selection!$E$14,Table_MedicalGapAgreements[MonthEnd],Selection!$E$15,Table_MedicalGapAgreements[State],"NSW",Table_MedicalGapAgreements[GapType],"Known gap agreement",Table_MedicalGapAgreements[MBSFeePercentage],"More than 150% MBS Fee to 200% MBS Fee")</f>
        <v>10831383.949999999</v>
      </c>
      <c r="F46" s="205">
        <f>SUMIFS(Table_MedicalGapAgreements[FundBenefit],Table_MedicalGapAgreements[Year],Selection!$E$14,Table_MedicalGapAgreements[MonthEnd],Selection!$E$15,Table_MedicalGapAgreements[State],"NSW",Table_MedicalGapAgreements[GapType],"Known gap agreement",Table_MedicalGapAgreements[MBSFeePercentage],"More than 150% MBS Fee to 200% MBS Fee")</f>
        <v>10715933.859999999</v>
      </c>
      <c r="G46" s="205">
        <f t="shared" si="27"/>
        <v>3698612.6000000015</v>
      </c>
      <c r="H46" s="182">
        <f>SUMIFS(Table_MedicalGapAgreements[NumberofServices],Table_MedicalGapAgreements[Year],Selection!$E$14,Table_MedicalGapAgreements[MonthEnd],Selection!$E$15,Table_MedicalGapAgreements[State],"NSW",Table_MedicalGapAgreements[GapType],"Known gap agreement",Table_MedicalGapAgreements[MBSFeePercentage],"More than 150% MBS Fee to 200% MBS Fee")</f>
        <v>34404</v>
      </c>
      <c r="I46" s="183">
        <f t="shared" si="28"/>
        <v>9.7338084614873172E-3</v>
      </c>
      <c r="J46" s="183">
        <f t="shared" si="29"/>
        <v>1.7481097424766299</v>
      </c>
      <c r="K46" s="207">
        <f t="shared" si="30"/>
        <v>733.8079993605395</v>
      </c>
      <c r="L46" s="207">
        <f t="shared" si="31"/>
        <v>107.50530752238116</v>
      </c>
      <c r="N46" s="22"/>
      <c r="O46" s="22"/>
      <c r="P46" s="22"/>
      <c r="Q46" s="22"/>
      <c r="R46" s="22"/>
      <c r="S46" s="22"/>
      <c r="T46" s="22"/>
      <c r="U46" s="22"/>
      <c r="V46" s="22"/>
      <c r="W46" s="22"/>
      <c r="X46" s="22"/>
      <c r="Y46" s="22"/>
    </row>
    <row r="47" spans="1:25" ht="15">
      <c r="A47" s="212"/>
      <c r="B47" s="208" t="s">
        <v>54</v>
      </c>
      <c r="C47" s="93">
        <v>9</v>
      </c>
      <c r="D47" s="205">
        <f>SUMIFS(Table_MedicalGapAgreements[AmountCharged],Table_MedicalGapAgreements[Year],Selection!$E$14,Table_MedicalGapAgreements[MonthEnd],Selection!$E$15,Table_MedicalGapAgreements[State],"NSW",Table_MedicalGapAgreements[GapType],"Known gap agreement",Table_MedicalGapAgreements[MBSFeePercentage],"More than 200% MBS Fee")</f>
        <v>61595150.789999999</v>
      </c>
      <c r="E47" s="205">
        <f>SUMIFS(Table_MedicalGapAgreements[MedicareBenefit],Table_MedicalGapAgreements[Year],Selection!$E$14,Table_MedicalGapAgreements[MonthEnd],Selection!$E$15,Table_MedicalGapAgreements[State],"NSW",Table_MedicalGapAgreements[GapType],"Known gap agreement",Table_MedicalGapAgreements[MBSFeePercentage],"More than 200% MBS Fee")</f>
        <v>15617848.02</v>
      </c>
      <c r="F47" s="205">
        <f>SUMIFS(Table_MedicalGapAgreements[FundBenefit],Table_MedicalGapAgreements[Year],Selection!$E$14,Table_MedicalGapAgreements[MonthEnd],Selection!$E$15,Table_MedicalGapAgreements[State],"NSW",Table_MedicalGapAgreements[GapType],"Known gap agreement",Table_MedicalGapAgreements[MBSFeePercentage],"More than 200% MBS Fee")</f>
        <v>17273191.84</v>
      </c>
      <c r="G47" s="205">
        <f t="shared" si="27"/>
        <v>28704110.929999996</v>
      </c>
      <c r="H47" s="182">
        <f>SUMIFS(Table_MedicalGapAgreements[NumberofServices],Table_MedicalGapAgreements[Year],Selection!$E$14,Table_MedicalGapAgreements[MonthEnd],Selection!$E$15,Table_MedicalGapAgreements[State],"NSW",Table_MedicalGapAgreements[GapType],"Known gap agreement",Table_MedicalGapAgreements[MBSFeePercentage],"More than 200% MBS Fee")</f>
        <v>188221</v>
      </c>
      <c r="I47" s="183">
        <f t="shared" si="28"/>
        <v>5.3252736961679002E-2</v>
      </c>
      <c r="J47" s="183">
        <f t="shared" si="29"/>
        <v>2.9579211574694271</v>
      </c>
      <c r="K47" s="207">
        <f t="shared" si="30"/>
        <v>327.24908904957471</v>
      </c>
      <c r="L47" s="207">
        <f t="shared" si="31"/>
        <v>152.5021699491555</v>
      </c>
      <c r="N47" s="22"/>
      <c r="O47" s="22"/>
      <c r="P47" s="22"/>
      <c r="Q47" s="22"/>
      <c r="R47" s="22"/>
      <c r="S47" s="22"/>
      <c r="T47" s="22"/>
      <c r="U47" s="22"/>
      <c r="V47" s="22"/>
      <c r="W47" s="22"/>
      <c r="X47" s="22"/>
      <c r="Y47" s="22"/>
    </row>
    <row r="48" spans="1:25" ht="15">
      <c r="A48" s="214"/>
      <c r="B48" s="209" t="s">
        <v>0</v>
      </c>
      <c r="C48" s="95"/>
      <c r="D48" s="202">
        <f>SUM(D44:D47)</f>
        <v>97115799.799999997</v>
      </c>
      <c r="E48" s="202">
        <f t="shared" ref="E48:H48" si="32">SUM(E44:E47)</f>
        <v>32284278.210000001</v>
      </c>
      <c r="F48" s="202">
        <f t="shared" si="32"/>
        <v>31769327.229999997</v>
      </c>
      <c r="G48" s="202">
        <f t="shared" si="32"/>
        <v>33062194.359999999</v>
      </c>
      <c r="H48" s="206">
        <f t="shared" si="32"/>
        <v>263878</v>
      </c>
      <c r="I48" s="203">
        <f t="shared" si="28"/>
        <v>7.4658118509485824E-2</v>
      </c>
      <c r="J48" s="203">
        <f t="shared" si="29"/>
        <v>2.2561089758989534</v>
      </c>
      <c r="K48" s="204">
        <f t="shared" si="30"/>
        <v>368.03295386504368</v>
      </c>
      <c r="L48" s="204">
        <f t="shared" si="31"/>
        <v>125.29348547434799</v>
      </c>
      <c r="N48" s="22"/>
      <c r="O48" s="22"/>
      <c r="P48" s="22"/>
      <c r="Q48" s="22"/>
      <c r="R48" s="22"/>
      <c r="S48" s="22"/>
      <c r="T48" s="22"/>
      <c r="U48" s="22"/>
      <c r="V48" s="22"/>
      <c r="W48" s="22"/>
      <c r="X48" s="22"/>
      <c r="Y48" s="22"/>
    </row>
    <row r="49" spans="1:25" ht="15">
      <c r="A49" s="216" t="s">
        <v>78</v>
      </c>
      <c r="B49" s="216"/>
      <c r="C49" s="95">
        <v>10</v>
      </c>
      <c r="D49" s="202">
        <f>D48+D42</f>
        <v>469340529.83000004</v>
      </c>
      <c r="E49" s="202">
        <f t="shared" ref="E49:H49" si="33">E48+E42</f>
        <v>235950067.86000001</v>
      </c>
      <c r="F49" s="202">
        <f t="shared" si="33"/>
        <v>200327324.32999998</v>
      </c>
      <c r="G49" s="202">
        <f t="shared" si="33"/>
        <v>33063137.64000003</v>
      </c>
      <c r="H49" s="206">
        <f t="shared" si="33"/>
        <v>3164655</v>
      </c>
      <c r="I49" s="203">
        <f t="shared" si="28"/>
        <v>0.89536523708545945</v>
      </c>
      <c r="J49" s="203">
        <f t="shared" si="29"/>
        <v>1.4918639378453622</v>
      </c>
      <c r="K49" s="204">
        <f t="shared" si="30"/>
        <v>148.30701287502114</v>
      </c>
      <c r="L49" s="204">
        <f t="shared" si="31"/>
        <v>10.447627826729937</v>
      </c>
      <c r="N49" s="22"/>
      <c r="O49" s="22"/>
      <c r="P49" s="22"/>
      <c r="Q49" s="22"/>
      <c r="R49" s="22"/>
      <c r="S49" s="22"/>
      <c r="T49" s="22"/>
      <c r="U49" s="22"/>
      <c r="V49" s="22"/>
      <c r="W49" s="22"/>
      <c r="X49" s="22"/>
      <c r="Y49" s="22"/>
    </row>
    <row r="50" spans="1:25" ht="15">
      <c r="A50" s="210" t="s">
        <v>79</v>
      </c>
      <c r="B50" s="75"/>
      <c r="C50" s="96"/>
      <c r="D50" s="97"/>
      <c r="E50" s="97"/>
      <c r="F50" s="97"/>
      <c r="G50" s="98"/>
      <c r="H50" s="99"/>
      <c r="I50" s="100"/>
      <c r="J50" s="100"/>
      <c r="K50" s="101"/>
      <c r="L50" s="101"/>
      <c r="N50" s="22"/>
      <c r="O50" s="22"/>
      <c r="P50" s="22"/>
      <c r="Q50" s="22"/>
      <c r="R50" s="22"/>
      <c r="S50" s="22"/>
      <c r="T50" s="22"/>
      <c r="U50" s="22"/>
      <c r="V50" s="22"/>
      <c r="W50" s="22"/>
      <c r="X50" s="22"/>
      <c r="Y50" s="22"/>
    </row>
    <row r="51" spans="1:25" ht="15">
      <c r="A51" s="213"/>
      <c r="B51" s="208" t="s">
        <v>50</v>
      </c>
      <c r="C51" s="96">
        <v>22</v>
      </c>
      <c r="D51" s="205">
        <f>SUMIFS(Table_MedicalGapAgreements[AmountCharged],Table_MedicalGapAgreements[Year],Selection!$E$14,Table_MedicalGapAgreements[MonthEnd],Selection!$E$15,Table_MedicalGapAgreements[State],"NSW",Table_MedicalGapAgreements[GapType],"No agreement",Table_MedicalGapAgreements[MBSFeePercentage],"Up to MBS Fee")</f>
        <v>35325531.060000002</v>
      </c>
      <c r="E51" s="205">
        <f>SUMIFS(Table_MedicalGapAgreements[MedicareBenefit],Table_MedicalGapAgreements[Year],Selection!$E$14,Table_MedicalGapAgreements[MonthEnd],Selection!$E$15,Table_MedicalGapAgreements[State],"NSW",Table_MedicalGapAgreements[GapType],"No agreement",Table_MedicalGapAgreements[MBSFeePercentage],"Up to MBS Fee")</f>
        <v>26334997.969999999</v>
      </c>
      <c r="F51" s="205">
        <f>SUMIFS(Table_MedicalGapAgreements[FundBenefit],Table_MedicalGapAgreements[Year],Selection!$E$14,Table_MedicalGapAgreements[MonthEnd],Selection!$E$15,Table_MedicalGapAgreements[State],"NSW",Table_MedicalGapAgreements[GapType],"No agreement",Table_MedicalGapAgreements[MBSFeePercentage],"Up to MBS Fee")</f>
        <v>8954562.5099999998</v>
      </c>
      <c r="G51" s="205">
        <f>D51-E51-F51</f>
        <v>35970.5800000038</v>
      </c>
      <c r="H51" s="182">
        <f>SUMIFS(Table_MedicalGapAgreements[NumberofServices],Table_MedicalGapAgreements[Year],Selection!$E$14,Table_MedicalGapAgreements[MonthEnd],Selection!$E$15,Table_MedicalGapAgreements[State],"NSW",Table_MedicalGapAgreements[GapType],"No agreement",Table_MedicalGapAgreements[MBSFeePercentage],"Up to MBS Fee")</f>
        <v>244519</v>
      </c>
      <c r="I51" s="183">
        <f t="shared" ref="I51:I56" si="34">H51/H$58</f>
        <v>6.9180941495012707E-2</v>
      </c>
      <c r="J51" s="183">
        <f t="shared" ref="J51:J56" si="35">D51/(E51/0.75)</f>
        <v>1.0060433012062997</v>
      </c>
      <c r="K51" s="207">
        <f t="shared" ref="K51:K56" si="36">D51/H51</f>
        <v>144.46947296529106</v>
      </c>
      <c r="L51" s="207">
        <f t="shared" ref="L51:L56" si="37">G51/H51</f>
        <v>0.14710750493828209</v>
      </c>
      <c r="N51" s="22"/>
      <c r="O51" s="22"/>
      <c r="P51" s="22"/>
      <c r="Q51" s="22"/>
      <c r="R51" s="22"/>
      <c r="S51" s="22"/>
      <c r="T51" s="22"/>
      <c r="U51" s="22"/>
      <c r="V51" s="22"/>
      <c r="W51" s="22"/>
      <c r="X51" s="22"/>
      <c r="Y51" s="22"/>
    </row>
    <row r="52" spans="1:25" ht="15">
      <c r="A52" s="211"/>
      <c r="B52" s="208" t="s">
        <v>51</v>
      </c>
      <c r="C52" s="96">
        <v>23</v>
      </c>
      <c r="D52" s="205">
        <f>SUMIFS(Table_MedicalGapAgreements[AmountCharged],Table_MedicalGapAgreements[Year],Selection!$E$14,Table_MedicalGapAgreements[MonthEnd],Selection!$E$15,Table_MedicalGapAgreements[State],"NSW",Table_MedicalGapAgreements[GapType],"No agreement",Table_MedicalGapAgreements[MBSFeePercentage],"100% MBS Fee to 125% MBS Fee")</f>
        <v>3064946.39</v>
      </c>
      <c r="E52" s="205">
        <f>SUMIFS(Table_MedicalGapAgreements[MedicareBenefit],Table_MedicalGapAgreements[Year],Selection!$E$14,Table_MedicalGapAgreements[MonthEnd],Selection!$E$15,Table_MedicalGapAgreements[State],"NSW",Table_MedicalGapAgreements[GapType],"No agreement",Table_MedicalGapAgreements[MBSFeePercentage],"100% MBS Fee to 125% MBS Fee")</f>
        <v>2069938.11</v>
      </c>
      <c r="F52" s="205">
        <f>SUMIFS(Table_MedicalGapAgreements[FundBenefit],Table_MedicalGapAgreements[Year],Selection!$E$14,Table_MedicalGapAgreements[MonthEnd],Selection!$E$15,Table_MedicalGapAgreements[State],"NSW",Table_MedicalGapAgreements[GapType],"No agreement",Table_MedicalGapAgreements[MBSFeePercentage],"100% MBS Fee to 125% MBS Fee")</f>
        <v>717446.25</v>
      </c>
      <c r="G52" s="205">
        <f t="shared" ref="G52:G55" si="38">D52-E52-F52</f>
        <v>277562.03000000003</v>
      </c>
      <c r="H52" s="182">
        <f>SUMIFS(Table_MedicalGapAgreements[NumberofServices],Table_MedicalGapAgreements[Year],Selection!$E$14,Table_MedicalGapAgreements[MonthEnd],Selection!$E$15,Table_MedicalGapAgreements[State],"NSW",Table_MedicalGapAgreements[GapType],"No agreement",Table_MedicalGapAgreements[MBSFeePercentage],"100% MBS Fee to 125% MBS Fee")</f>
        <v>9349</v>
      </c>
      <c r="I52" s="183">
        <f t="shared" si="34"/>
        <v>2.645081249460671E-3</v>
      </c>
      <c r="J52" s="183">
        <f t="shared" si="35"/>
        <v>1.1105210254329778</v>
      </c>
      <c r="K52" s="207">
        <f t="shared" si="36"/>
        <v>327.83681570221415</v>
      </c>
      <c r="L52" s="207">
        <f t="shared" si="37"/>
        <v>29.688953898812709</v>
      </c>
      <c r="N52" s="22"/>
      <c r="O52" s="22"/>
      <c r="P52" s="22"/>
      <c r="Q52" s="22"/>
      <c r="R52" s="22"/>
      <c r="S52" s="22"/>
      <c r="T52" s="22"/>
      <c r="U52" s="22"/>
      <c r="V52" s="22"/>
      <c r="W52" s="22"/>
      <c r="X52" s="22"/>
      <c r="Y52" s="22"/>
    </row>
    <row r="53" spans="1:25" ht="12.75">
      <c r="A53" s="212"/>
      <c r="B53" s="208" t="s">
        <v>52</v>
      </c>
      <c r="C53" s="102">
        <v>24</v>
      </c>
      <c r="D53" s="205">
        <f>SUMIFS(Table_MedicalGapAgreements[AmountCharged],Table_MedicalGapAgreements[Year],Selection!$E$14,Table_MedicalGapAgreements[MonthEnd],Selection!$E$15,Table_MedicalGapAgreements[State],"NSW",Table_MedicalGapAgreements[GapType],"No agreement",Table_MedicalGapAgreements[MBSFeePercentage],"More than 125% MBS Fee to 150% MBS Fee")</f>
        <v>2793728.08</v>
      </c>
      <c r="E53" s="205">
        <f>SUMIFS(Table_MedicalGapAgreements[MedicareBenefit],Table_MedicalGapAgreements[Year],Selection!$E$14,Table_MedicalGapAgreements[MonthEnd],Selection!$E$15,Table_MedicalGapAgreements[State],"NSW",Table_MedicalGapAgreements[GapType],"No agreement",Table_MedicalGapAgreements[MBSFeePercentage],"More than 125% MBS Fee to 150% MBS Fee")</f>
        <v>1528562.91</v>
      </c>
      <c r="F53" s="205">
        <f>SUMIFS(Table_MedicalGapAgreements[FundBenefit],Table_MedicalGapAgreements[Year],Selection!$E$14,Table_MedicalGapAgreements[MonthEnd],Selection!$E$15,Table_MedicalGapAgreements[State],"NSW",Table_MedicalGapAgreements[GapType],"No agreement",Table_MedicalGapAgreements[MBSFeePercentage],"More than 125% MBS Fee to 150% MBS Fee")</f>
        <v>516176.98</v>
      </c>
      <c r="G53" s="205">
        <f t="shared" si="38"/>
        <v>748988.19000000018</v>
      </c>
      <c r="H53" s="182">
        <f>SUMIFS(Table_MedicalGapAgreements[NumberofServices],Table_MedicalGapAgreements[Year],Selection!$E$14,Table_MedicalGapAgreements[MonthEnd],Selection!$E$15,Table_MedicalGapAgreements[State],"NSW",Table_MedicalGapAgreements[GapType],"No agreement",Table_MedicalGapAgreements[MBSFeePercentage],"More than 125% MBS Fee to 150% MBS Fee")</f>
        <v>5435</v>
      </c>
      <c r="I53" s="183">
        <f t="shared" si="34"/>
        <v>1.5377063419423197E-3</v>
      </c>
      <c r="J53" s="183">
        <f t="shared" si="35"/>
        <v>1.3707620708918027</v>
      </c>
      <c r="K53" s="207">
        <f t="shared" si="36"/>
        <v>514.02540570377187</v>
      </c>
      <c r="L53" s="207">
        <f t="shared" si="37"/>
        <v>137.80831462741494</v>
      </c>
      <c r="N53" s="22"/>
      <c r="O53" s="22"/>
      <c r="P53" s="22"/>
      <c r="Q53" s="22"/>
      <c r="R53" s="22"/>
      <c r="S53" s="22"/>
      <c r="T53" s="22"/>
      <c r="U53" s="22"/>
      <c r="V53" s="22"/>
      <c r="W53" s="22"/>
      <c r="X53" s="22"/>
      <c r="Y53" s="22"/>
    </row>
    <row r="54" spans="1:25" ht="12.75">
      <c r="A54" s="212"/>
      <c r="B54" s="208" t="s">
        <v>53</v>
      </c>
      <c r="C54" s="102">
        <v>25</v>
      </c>
      <c r="D54" s="205">
        <f>SUMIFS(Table_MedicalGapAgreements[AmountCharged],Table_MedicalGapAgreements[Year],Selection!$E$14,Table_MedicalGapAgreements[MonthEnd],Selection!$E$15,Table_MedicalGapAgreements[State],"NSW",Table_MedicalGapAgreements[GapType],"No agreement",Table_MedicalGapAgreements[MBSFeePercentage],"More than 150% MBS Fee to 200% MBS Fee")</f>
        <v>8177454.5899999999</v>
      </c>
      <c r="E54" s="205">
        <f>SUMIFS(Table_MedicalGapAgreements[MedicareBenefit],Table_MedicalGapAgreements[Year],Selection!$E$14,Table_MedicalGapAgreements[MonthEnd],Selection!$E$15,Table_MedicalGapAgreements[State],"NSW",Table_MedicalGapAgreements[GapType],"No agreement",Table_MedicalGapAgreements[MBSFeePercentage],"More than 150% MBS Fee to 200% MBS Fee")</f>
        <v>3468883.14</v>
      </c>
      <c r="F54" s="205">
        <f>SUMIFS(Table_MedicalGapAgreements[FundBenefit],Table_MedicalGapAgreements[Year],Selection!$E$14,Table_MedicalGapAgreements[MonthEnd],Selection!$E$15,Table_MedicalGapAgreements[State],"NSW",Table_MedicalGapAgreements[GapType],"No agreement",Table_MedicalGapAgreements[MBSFeePercentage],"More than 150% MBS Fee to 200% MBS Fee")</f>
        <v>1257257.58</v>
      </c>
      <c r="G54" s="205">
        <f t="shared" si="38"/>
        <v>3451313.8699999992</v>
      </c>
      <c r="H54" s="182">
        <f>SUMIFS(Table_MedicalGapAgreements[NumberofServices],Table_MedicalGapAgreements[Year],Selection!$E$14,Table_MedicalGapAgreements[MonthEnd],Selection!$E$15,Table_MedicalGapAgreements[State],"NSW",Table_MedicalGapAgreements[GapType],"No agreement",Table_MedicalGapAgreements[MBSFeePercentage],"More than 150% MBS Fee to 200% MBS Fee")</f>
        <v>16634</v>
      </c>
      <c r="I54" s="183">
        <f t="shared" si="34"/>
        <v>4.7062018936280675E-3</v>
      </c>
      <c r="J54" s="183">
        <f t="shared" si="35"/>
        <v>1.7680304279434444</v>
      </c>
      <c r="K54" s="207">
        <f t="shared" si="36"/>
        <v>491.61083263195866</v>
      </c>
      <c r="L54" s="207">
        <f t="shared" si="37"/>
        <v>207.48550378742331</v>
      </c>
      <c r="N54" s="22"/>
      <c r="O54" s="22"/>
      <c r="P54" s="22"/>
      <c r="Q54" s="22"/>
      <c r="R54" s="22"/>
      <c r="S54" s="22"/>
      <c r="T54" s="22"/>
      <c r="U54" s="22"/>
      <c r="V54" s="22"/>
      <c r="W54" s="22"/>
      <c r="X54" s="22"/>
      <c r="Y54" s="22"/>
    </row>
    <row r="55" spans="1:25" ht="12.75">
      <c r="A55" s="212"/>
      <c r="B55" s="208" t="s">
        <v>54</v>
      </c>
      <c r="C55" s="102">
        <v>26</v>
      </c>
      <c r="D55" s="205">
        <f>SUMIFS(Table_MedicalGapAgreements[AmountCharged],Table_MedicalGapAgreements[Year],Selection!$E$14,Table_MedicalGapAgreements[MonthEnd],Selection!$E$15,Table_MedicalGapAgreements[State],"NSW",Table_MedicalGapAgreements[GapType],"No agreement",Table_MedicalGapAgreements[MBSFeePercentage],"More than 200% MBS Fee")</f>
        <v>135853104.47999999</v>
      </c>
      <c r="E55" s="205">
        <f>SUMIFS(Table_MedicalGapAgreements[MedicareBenefit],Table_MedicalGapAgreements[Year],Selection!$E$14,Table_MedicalGapAgreements[MonthEnd],Selection!$E$15,Table_MedicalGapAgreements[State],"NSW",Table_MedicalGapAgreements[GapType],"No agreement",Table_MedicalGapAgreements[MBSFeePercentage],"More than 200% MBS Fee")</f>
        <v>28253493.719999999</v>
      </c>
      <c r="F55" s="205">
        <f>SUMIFS(Table_MedicalGapAgreements[FundBenefit],Table_MedicalGapAgreements[Year],Selection!$E$14,Table_MedicalGapAgreements[MonthEnd],Selection!$E$15,Table_MedicalGapAgreements[State],"NSW",Table_MedicalGapAgreements[GapType],"No agreement",Table_MedicalGapAgreements[MBSFeePercentage],"More than 200% MBS Fee")</f>
        <v>9538825.6500000004</v>
      </c>
      <c r="G55" s="205">
        <f t="shared" si="38"/>
        <v>98060785.109999985</v>
      </c>
      <c r="H55" s="182">
        <f>SUMIFS(Table_MedicalGapAgreements[NumberofServices],Table_MedicalGapAgreements[Year],Selection!$E$14,Table_MedicalGapAgreements[MonthEnd],Selection!$E$15,Table_MedicalGapAgreements[State],"NSW",Table_MedicalGapAgreements[GapType],"No agreement",Table_MedicalGapAgreements[MBSFeePercentage],"More than 200% MBS Fee")</f>
        <v>93893</v>
      </c>
      <c r="I55" s="183">
        <f t="shared" si="34"/>
        <v>2.6564831934496821E-2</v>
      </c>
      <c r="J55" s="183">
        <f t="shared" si="35"/>
        <v>3.6062735946837794</v>
      </c>
      <c r="K55" s="207">
        <f t="shared" si="36"/>
        <v>1446.8927873217385</v>
      </c>
      <c r="L55" s="207">
        <f t="shared" si="37"/>
        <v>1044.3886669932795</v>
      </c>
      <c r="N55" s="22"/>
      <c r="O55" s="22"/>
      <c r="P55" s="22"/>
      <c r="Q55" s="22"/>
      <c r="R55" s="22"/>
      <c r="S55" s="22"/>
      <c r="T55" s="22"/>
      <c r="U55" s="22"/>
      <c r="V55" s="22"/>
      <c r="W55" s="22"/>
      <c r="X55" s="22"/>
      <c r="Y55" s="22"/>
    </row>
    <row r="56" spans="1:25" ht="15">
      <c r="A56" s="214" t="s">
        <v>85</v>
      </c>
      <c r="B56" s="209"/>
      <c r="C56" s="104">
        <v>27</v>
      </c>
      <c r="D56" s="202">
        <f>SUM(D51:D55)</f>
        <v>185214764.59999999</v>
      </c>
      <c r="E56" s="202">
        <f t="shared" ref="E56:H56" si="39">SUM(E51:E55)</f>
        <v>61655875.849999994</v>
      </c>
      <c r="F56" s="202">
        <f t="shared" si="39"/>
        <v>20984268.969999999</v>
      </c>
      <c r="G56" s="202">
        <f t="shared" si="39"/>
        <v>102574619.77999999</v>
      </c>
      <c r="H56" s="206">
        <f t="shared" si="39"/>
        <v>369830</v>
      </c>
      <c r="I56" s="203">
        <f t="shared" si="34"/>
        <v>0.10463476291454059</v>
      </c>
      <c r="J56" s="203">
        <f t="shared" si="35"/>
        <v>2.2530062469301542</v>
      </c>
      <c r="K56" s="204">
        <f t="shared" si="36"/>
        <v>500.81054700808477</v>
      </c>
      <c r="L56" s="204">
        <f t="shared" si="37"/>
        <v>277.35613600843629</v>
      </c>
      <c r="N56" s="22"/>
      <c r="O56" s="22"/>
      <c r="P56" s="22"/>
      <c r="Q56" s="22"/>
      <c r="R56" s="22"/>
      <c r="S56" s="22"/>
      <c r="T56" s="22"/>
      <c r="U56" s="22"/>
      <c r="V56" s="22"/>
      <c r="W56" s="22"/>
      <c r="X56" s="22"/>
      <c r="Y56" s="22"/>
    </row>
    <row r="57" spans="1:25" ht="15">
      <c r="A57" s="102"/>
      <c r="B57" s="102"/>
      <c r="C57" s="96"/>
      <c r="D57" s="97"/>
      <c r="E57" s="97"/>
      <c r="F57" s="97"/>
      <c r="G57" s="98"/>
      <c r="H57" s="99"/>
      <c r="I57" s="100"/>
      <c r="J57" s="100"/>
      <c r="K57" s="101"/>
      <c r="L57" s="101"/>
      <c r="N57" s="22"/>
      <c r="O57" s="22"/>
      <c r="P57" s="22"/>
      <c r="Q57" s="22"/>
      <c r="R57" s="22"/>
      <c r="S57" s="22"/>
      <c r="T57" s="22"/>
      <c r="U57" s="22"/>
      <c r="V57" s="22"/>
      <c r="W57" s="22"/>
      <c r="X57" s="22"/>
      <c r="Y57" s="22"/>
    </row>
    <row r="58" spans="1:25" ht="15">
      <c r="A58" s="217" t="s">
        <v>80</v>
      </c>
      <c r="B58" s="217"/>
      <c r="C58" s="104"/>
      <c r="D58" s="202">
        <f>D49+D56</f>
        <v>654555294.43000007</v>
      </c>
      <c r="E58" s="202">
        <f t="shared" ref="E58:H58" si="40">E49+E56</f>
        <v>297605943.71000004</v>
      </c>
      <c r="F58" s="202">
        <f t="shared" si="40"/>
        <v>221311593.29999998</v>
      </c>
      <c r="G58" s="202">
        <f t="shared" si="40"/>
        <v>135637757.42000002</v>
      </c>
      <c r="H58" s="206">
        <f t="shared" si="40"/>
        <v>3534485</v>
      </c>
      <c r="I58" s="203">
        <f>H58/H$58</f>
        <v>1</v>
      </c>
      <c r="J58" s="203">
        <f>D58/(E58/0.75)</f>
        <v>1.6495519703090005</v>
      </c>
      <c r="K58" s="204">
        <f>D58/H58</f>
        <v>185.19113659557195</v>
      </c>
      <c r="L58" s="204">
        <f>G58/H58</f>
        <v>38.375536300196494</v>
      </c>
      <c r="N58" s="22"/>
      <c r="O58" s="22"/>
      <c r="P58" s="22"/>
      <c r="Q58" s="22"/>
      <c r="R58" s="22"/>
      <c r="S58" s="22"/>
      <c r="T58" s="22"/>
      <c r="U58" s="22"/>
      <c r="V58" s="22"/>
      <c r="W58" s="22"/>
      <c r="X58" s="22"/>
      <c r="Y58" s="22"/>
    </row>
    <row r="59" spans="1:25" ht="15">
      <c r="A59" s="214" t="s">
        <v>81</v>
      </c>
      <c r="B59" s="214"/>
      <c r="C59" s="104"/>
      <c r="D59" s="202">
        <f>D42+D51</f>
        <v>407550261.09000003</v>
      </c>
      <c r="E59" s="202">
        <f t="shared" ref="E59:H59" si="41">E42+E51</f>
        <v>230000787.62</v>
      </c>
      <c r="F59" s="202">
        <f t="shared" si="41"/>
        <v>177512559.60999998</v>
      </c>
      <c r="G59" s="202">
        <f t="shared" si="41"/>
        <v>36913.860000034794</v>
      </c>
      <c r="H59" s="206">
        <f t="shared" si="41"/>
        <v>3145296</v>
      </c>
      <c r="I59" s="203">
        <f>H59/H$58</f>
        <v>0.88988806007098631</v>
      </c>
      <c r="J59" s="203">
        <f>D59/(E59/0.75)</f>
        <v>1.3289636917352921</v>
      </c>
      <c r="K59" s="204">
        <f>D59/H59</f>
        <v>129.57453323629954</v>
      </c>
      <c r="L59" s="204">
        <f>G59/H59</f>
        <v>1.1736211790570678E-2</v>
      </c>
      <c r="N59" s="22"/>
      <c r="O59" s="22"/>
      <c r="P59" s="22"/>
      <c r="Q59" s="22"/>
      <c r="R59" s="22"/>
      <c r="S59" s="22"/>
      <c r="T59" s="22"/>
      <c r="U59" s="22"/>
      <c r="V59" s="22"/>
      <c r="W59" s="22"/>
      <c r="X59" s="22"/>
      <c r="Y59" s="22"/>
    </row>
    <row r="60" spans="1:25" ht="15">
      <c r="A60" s="214" t="s">
        <v>82</v>
      </c>
      <c r="B60" s="214"/>
      <c r="C60" s="104"/>
      <c r="D60" s="202">
        <f>D49+D51</f>
        <v>504666060.89000005</v>
      </c>
      <c r="E60" s="202">
        <f t="shared" ref="E60:H60" si="42">E49+E51</f>
        <v>262285065.83000001</v>
      </c>
      <c r="F60" s="202">
        <f t="shared" si="42"/>
        <v>209281886.83999997</v>
      </c>
      <c r="G60" s="202">
        <f t="shared" si="42"/>
        <v>33099108.220000036</v>
      </c>
      <c r="H60" s="206">
        <f t="shared" si="42"/>
        <v>3409174</v>
      </c>
      <c r="I60" s="203">
        <f>H60/H$58</f>
        <v>0.96454617858047209</v>
      </c>
      <c r="J60" s="203">
        <f>D60/(E60/0.75)</f>
        <v>1.4430846242417188</v>
      </c>
      <c r="K60" s="204">
        <f>D60/H60</f>
        <v>148.0317698333966</v>
      </c>
      <c r="L60" s="204">
        <f>G60/H60</f>
        <v>9.708835107858981</v>
      </c>
      <c r="N60" s="22"/>
      <c r="O60" s="22"/>
      <c r="P60" s="22"/>
      <c r="Q60" s="22"/>
      <c r="R60" s="22"/>
      <c r="S60" s="22"/>
      <c r="T60" s="22"/>
      <c r="U60" s="22"/>
      <c r="V60" s="22"/>
      <c r="W60" s="22"/>
      <c r="X60" s="22"/>
      <c r="Y60" s="22"/>
    </row>
    <row r="61" spans="1:25" ht="15">
      <c r="A61" s="214" t="s">
        <v>83</v>
      </c>
      <c r="B61" s="214"/>
      <c r="C61" s="104"/>
      <c r="D61" s="202">
        <f>D56-D51</f>
        <v>149889233.53999999</v>
      </c>
      <c r="E61" s="202">
        <f t="shared" ref="E61:H61" si="43">E56-E51</f>
        <v>35320877.879999995</v>
      </c>
      <c r="F61" s="202">
        <f t="shared" si="43"/>
        <v>12029706.459999999</v>
      </c>
      <c r="G61" s="202">
        <f t="shared" si="43"/>
        <v>102538649.19999999</v>
      </c>
      <c r="H61" s="206">
        <f t="shared" si="43"/>
        <v>125311</v>
      </c>
      <c r="I61" s="203">
        <f>H61/H$58</f>
        <v>3.5453821419527881E-2</v>
      </c>
      <c r="J61" s="203">
        <f>D61/(E61/0.75)</f>
        <v>3.1827330435253609</v>
      </c>
      <c r="K61" s="204">
        <f>D61/H61</f>
        <v>1196.1378772813241</v>
      </c>
      <c r="L61" s="204">
        <f>G61/H61</f>
        <v>818.27332955606437</v>
      </c>
      <c r="N61" s="22"/>
      <c r="O61" s="22"/>
      <c r="P61" s="22"/>
      <c r="Q61" s="22"/>
      <c r="R61" s="22"/>
      <c r="S61" s="22"/>
      <c r="T61" s="22"/>
      <c r="U61" s="22"/>
      <c r="V61" s="22"/>
      <c r="W61" s="22"/>
      <c r="X61" s="22"/>
      <c r="Y61" s="22"/>
    </row>
    <row r="62" spans="1:25" ht="12.75">
      <c r="N62" s="22"/>
      <c r="O62" s="22"/>
      <c r="P62" s="22"/>
      <c r="Q62" s="22"/>
      <c r="R62" s="22"/>
      <c r="S62" s="22"/>
      <c r="T62" s="22"/>
      <c r="U62" s="22"/>
      <c r="V62" s="22"/>
      <c r="W62" s="22"/>
      <c r="X62" s="22"/>
      <c r="Y62" s="22"/>
    </row>
    <row r="63" spans="1:25" ht="12.75">
      <c r="N63" s="22"/>
      <c r="O63" s="22"/>
      <c r="P63" s="22"/>
      <c r="Q63" s="22"/>
      <c r="R63" s="22"/>
      <c r="S63" s="22"/>
      <c r="T63" s="22"/>
      <c r="U63" s="22"/>
      <c r="V63" s="22"/>
      <c r="W63" s="22"/>
      <c r="X63" s="22"/>
      <c r="Y63" s="22"/>
    </row>
    <row r="64" spans="1:25" ht="12.75">
      <c r="N64" s="22"/>
      <c r="O64" s="22"/>
      <c r="P64" s="22"/>
      <c r="Q64" s="22"/>
      <c r="R64" s="22"/>
      <c r="S64" s="22"/>
      <c r="T64" s="22"/>
      <c r="U64" s="22"/>
      <c r="V64" s="22"/>
      <c r="W64" s="22"/>
      <c r="X64" s="22"/>
      <c r="Y64" s="22"/>
    </row>
    <row r="65" spans="14:25" ht="12.75">
      <c r="N65" s="22"/>
      <c r="O65" s="22"/>
      <c r="P65" s="22"/>
      <c r="Q65" s="22"/>
      <c r="R65" s="22"/>
      <c r="S65" s="22"/>
      <c r="T65" s="22"/>
      <c r="U65" s="22"/>
      <c r="V65" s="22"/>
      <c r="W65" s="22"/>
      <c r="X65" s="22"/>
      <c r="Y65" s="22"/>
    </row>
    <row r="66" spans="14:25" ht="12.75">
      <c r="N66" s="22"/>
      <c r="O66" s="22"/>
      <c r="P66" s="22"/>
      <c r="Q66" s="22"/>
      <c r="R66" s="22"/>
      <c r="S66" s="22"/>
      <c r="T66" s="22"/>
      <c r="U66" s="22"/>
      <c r="V66" s="22"/>
      <c r="W66" s="22"/>
      <c r="X66" s="22"/>
      <c r="Y66" s="22"/>
    </row>
    <row r="67" spans="14:25" ht="12.75">
      <c r="N67" s="22"/>
      <c r="O67" s="22"/>
      <c r="P67" s="22"/>
      <c r="Q67" s="22"/>
      <c r="R67" s="22"/>
      <c r="S67" s="22"/>
      <c r="T67" s="22"/>
      <c r="U67" s="22"/>
      <c r="V67" s="22"/>
      <c r="W67" s="22"/>
      <c r="X67" s="22"/>
      <c r="Y67" s="22"/>
    </row>
    <row r="68" spans="14:25" ht="12.75">
      <c r="N68" s="22"/>
      <c r="O68" s="22"/>
      <c r="P68" s="22"/>
      <c r="Q68" s="22"/>
      <c r="R68" s="22"/>
      <c r="S68" s="22"/>
      <c r="T68" s="22"/>
      <c r="U68" s="22"/>
      <c r="V68" s="22"/>
      <c r="W68" s="22"/>
      <c r="X68" s="22"/>
      <c r="Y68" s="22"/>
    </row>
  </sheetData>
  <mergeCells count="2">
    <mergeCell ref="A1:L1"/>
    <mergeCell ref="A2:L2"/>
  </mergeCells>
  <pageMargins left="0.70866141732283472" right="0.70866141732283472" top="0.74803149606299213" bottom="0.74803149606299213" header="0.31496062992125984" footer="0.31496062992125984"/>
  <pageSetup paperSize="9" scale="58" orientation="portrait" r:id="rId1"/>
  <headerFooter>
    <oddFooter>&amp;LAustralian Prudential Regulation Authority&amp;R&amp;P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E53A6-2842-48FD-93D7-B0C464EB1991}">
  <sheetPr>
    <pageSetUpPr fitToPage="1"/>
  </sheetPr>
  <dimension ref="A1:V61"/>
  <sheetViews>
    <sheetView showGridLines="0" topLeftCell="A13" zoomScaleNormal="100" zoomScaleSheetLayoutView="100" workbookViewId="0">
      <selection activeCell="H68" sqref="H68"/>
    </sheetView>
  </sheetViews>
  <sheetFormatPr defaultColWidth="8.5625" defaultRowHeight="12.75"/>
  <cols>
    <col min="1" max="1" width="7.375" style="32" customWidth="1"/>
    <col min="2" max="2" width="27.5" style="32" customWidth="1"/>
    <col min="3" max="3" width="3.5" style="32" hidden="1" customWidth="1"/>
    <col min="4" max="6" width="12.1875" style="63" bestFit="1" customWidth="1"/>
    <col min="7" max="7" width="11.375" style="63" customWidth="1"/>
    <col min="8" max="8" width="10.0625" style="64" customWidth="1"/>
    <col min="9" max="9" width="10.4375" style="65" customWidth="1"/>
    <col min="10" max="10" width="10.3125" style="65" customWidth="1"/>
    <col min="11" max="11" width="9.9375" style="32" customWidth="1"/>
    <col min="12" max="12" width="10.0625" style="66" customWidth="1"/>
    <col min="13" max="13" width="8.5625" style="32"/>
    <col min="14" max="17" width="11.375" style="22" customWidth="1"/>
    <col min="18" max="18" width="10.0625" style="22" customWidth="1"/>
    <col min="19" max="19" width="9.9375" style="22" customWidth="1"/>
    <col min="20" max="20" width="10.3125" style="22" customWidth="1"/>
    <col min="21" max="21" width="9.9375" style="22" customWidth="1"/>
    <col min="22" max="22" width="10.0625" style="22" customWidth="1"/>
    <col min="23" max="16384" width="8.5625" style="32"/>
  </cols>
  <sheetData>
    <row r="1" spans="1:22" ht="29.25" customHeight="1">
      <c r="A1" s="232" t="s">
        <v>71</v>
      </c>
      <c r="B1" s="232"/>
      <c r="C1" s="232"/>
      <c r="D1" s="232"/>
      <c r="E1" s="232"/>
      <c r="F1" s="232"/>
      <c r="G1" s="232"/>
      <c r="H1" s="232"/>
      <c r="I1" s="232"/>
      <c r="J1" s="232"/>
      <c r="K1" s="232"/>
      <c r="L1" s="232"/>
    </row>
    <row r="2" spans="1:22" ht="20.25" customHeight="1">
      <c r="A2" s="234" t="str">
        <f>TEXT(Selection!G13&amp;" "&amp;Selection!G12,"mmmm yyyy")</f>
        <v xml:space="preserve"> </v>
      </c>
      <c r="B2" s="234"/>
      <c r="C2" s="234"/>
      <c r="D2" s="234"/>
      <c r="E2" s="234"/>
      <c r="F2" s="234"/>
      <c r="G2" s="234"/>
      <c r="H2" s="234"/>
      <c r="I2" s="234"/>
      <c r="J2" s="234"/>
      <c r="K2" s="234"/>
      <c r="L2" s="234"/>
    </row>
    <row r="3" spans="1:22" ht="13.15">
      <c r="A3" s="174" t="s">
        <v>86</v>
      </c>
      <c r="C3" s="32" t="s">
        <v>22</v>
      </c>
      <c r="J3" s="174" t="str">
        <f>Selection!E15&amp;" "&amp;Selection!E14</f>
        <v>Dec 2024</v>
      </c>
    </row>
    <row r="4" spans="1:22" s="70" customFormat="1" ht="39.4">
      <c r="A4" s="67"/>
      <c r="B4" s="68"/>
      <c r="C4" s="69"/>
      <c r="D4" s="200" t="s">
        <v>41</v>
      </c>
      <c r="E4" s="200" t="s">
        <v>42</v>
      </c>
      <c r="F4" s="200" t="s">
        <v>43</v>
      </c>
      <c r="G4" s="200" t="s">
        <v>44</v>
      </c>
      <c r="H4" s="200" t="s">
        <v>73</v>
      </c>
      <c r="I4" s="200" t="s">
        <v>46</v>
      </c>
      <c r="J4" s="200" t="s">
        <v>74</v>
      </c>
      <c r="K4" s="200" t="s">
        <v>48</v>
      </c>
      <c r="L4" s="200" t="s">
        <v>49</v>
      </c>
      <c r="M4" s="108"/>
      <c r="N4" s="22"/>
      <c r="O4" s="22"/>
      <c r="P4" s="22"/>
      <c r="Q4" s="22"/>
      <c r="R4" s="22"/>
      <c r="S4" s="22"/>
      <c r="T4" s="22"/>
      <c r="U4" s="22"/>
      <c r="V4" s="22"/>
    </row>
    <row r="5" spans="1:22" ht="14.1" customHeight="1">
      <c r="A5" s="180" t="s">
        <v>75</v>
      </c>
      <c r="B5" s="71"/>
      <c r="C5" s="72">
        <v>0</v>
      </c>
      <c r="D5" s="73"/>
      <c r="E5" s="74"/>
      <c r="F5" s="74"/>
      <c r="G5" s="74"/>
      <c r="H5" s="74"/>
      <c r="I5" s="74"/>
      <c r="J5" s="74"/>
      <c r="K5" s="74"/>
      <c r="L5" s="74"/>
    </row>
    <row r="6" spans="1:22" ht="17.100000000000001" customHeight="1">
      <c r="A6" s="210" t="s">
        <v>76</v>
      </c>
      <c r="B6" s="75"/>
      <c r="C6" s="72">
        <v>1</v>
      </c>
      <c r="D6" s="76"/>
      <c r="E6" s="77"/>
      <c r="F6" s="77"/>
      <c r="G6" s="77"/>
      <c r="H6" s="77"/>
      <c r="I6" s="77"/>
      <c r="J6" s="77"/>
      <c r="K6" s="77"/>
      <c r="L6" s="77"/>
    </row>
    <row r="7" spans="1:22" ht="14.1" customHeight="1">
      <c r="A7" s="213"/>
      <c r="B7" s="208" t="s">
        <v>50</v>
      </c>
      <c r="C7" s="79">
        <v>2</v>
      </c>
      <c r="D7" s="205">
        <f>SUMIFS(Table_MedicalGapAgreements[AmountCharged],Table_MedicalGapAgreements[Year],Selection!$E$14,Table_MedicalGapAgreements[MonthEnd],Selection!$E$15,Table_MedicalGapAgreements[State],"VIC",Table_MedicalGapAgreements[GapType],"No gap agreement",Table_MedicalGapAgreements[MBSFeePercentage],"Up to MBS Fee")</f>
        <v>22245177.899999999</v>
      </c>
      <c r="E7" s="205">
        <f>SUMIFS(Table_MedicalGapAgreements[MedicareBenefit],Table_MedicalGapAgreements[Year],Selection!$E$14,Table_MedicalGapAgreements[MonthEnd],Selection!$E$15,Table_MedicalGapAgreements[State],"VIC",Table_MedicalGapAgreements[GapType],"No gap agreement",Table_MedicalGapAgreements[MBSFeePercentage],"Up to MBS Fee")</f>
        <v>16760551.16</v>
      </c>
      <c r="F7" s="205">
        <f>SUMIFS(Table_MedicalGapAgreements[FundBenefit],Table_MedicalGapAgreements[Year],Selection!$E$14,Table_MedicalGapAgreements[MonthEnd],Selection!$E$15,Table_MedicalGapAgreements[State],"VIC",Table_MedicalGapAgreements[GapType],"No gap agreement",Table_MedicalGapAgreements[MBSFeePercentage],"Up to MBS Fee")</f>
        <v>5484628.0899999999</v>
      </c>
      <c r="G7" s="205">
        <f>D7-E7-F7</f>
        <v>-1.3500000014901161</v>
      </c>
      <c r="H7" s="182">
        <f>SUMIFS(Table_MedicalGapAgreements[NumberofServices],Table_MedicalGapAgreements[Year],Selection!$E$14,Table_MedicalGapAgreements[MonthEnd],Selection!$E$15,Table_MedicalGapAgreements[State],"VIC",Table_MedicalGapAgreements[GapType],"No gap agreement",Table_MedicalGapAgreements[MBSFeePercentage],"Up to MBS Fee")</f>
        <v>333605</v>
      </c>
      <c r="I7" s="183">
        <f t="shared" ref="I7:I12" si="0">H7/H$28</f>
        <v>0.12801572083167528</v>
      </c>
      <c r="J7" s="183">
        <f t="shared" ref="J7:J12" si="1">D7/(E7/0.75)</f>
        <v>0.99542570323206481</v>
      </c>
      <c r="K7" s="207">
        <f t="shared" ref="K7:K12" si="2">D7/H7</f>
        <v>66.681188531346947</v>
      </c>
      <c r="L7" s="207">
        <f t="shared" ref="L7:L12" si="3">G7/H7</f>
        <v>-4.0467019423873026E-6</v>
      </c>
    </row>
    <row r="8" spans="1:22" ht="14.1" customHeight="1">
      <c r="A8" s="211"/>
      <c r="B8" s="208" t="s">
        <v>51</v>
      </c>
      <c r="C8" s="79">
        <v>3</v>
      </c>
      <c r="D8" s="205">
        <f>SUMIFS(Table_MedicalGapAgreements[AmountCharged],Table_MedicalGapAgreements[Year],Selection!$E$14,Table_MedicalGapAgreements[MonthEnd],Selection!$E$15,Table_MedicalGapAgreements[State],"VIC",Table_MedicalGapAgreements[GapType],"No gap agreement",Table_MedicalGapAgreements[MBSFeePercentage],"100% MBS Fee to 125% MBS Fee")</f>
        <v>70864632.510000005</v>
      </c>
      <c r="E8" s="205">
        <f>SUMIFS(Table_MedicalGapAgreements[MedicareBenefit],Table_MedicalGapAgreements[Year],Selection!$E$14,Table_MedicalGapAgreements[MonthEnd],Selection!$E$15,Table_MedicalGapAgreements[State],"VIC",Table_MedicalGapAgreements[GapType],"No gap agreement",Table_MedicalGapAgreements[MBSFeePercentage],"100% MBS Fee to 125% MBS Fee")</f>
        <v>45229500.5</v>
      </c>
      <c r="F8" s="205">
        <f>SUMIFS(Table_MedicalGapAgreements[FundBenefit],Table_MedicalGapAgreements[Year],Selection!$E$14,Table_MedicalGapAgreements[MonthEnd],Selection!$E$15,Table_MedicalGapAgreements[State],"VIC",Table_MedicalGapAgreements[GapType],"No gap agreement",Table_MedicalGapAgreements[MBSFeePercentage],"100% MBS Fee to 125% MBS Fee")</f>
        <v>25634660.789999999</v>
      </c>
      <c r="G8" s="205">
        <f t="shared" ref="G8:G12" si="4">D8-E8-F8</f>
        <v>471.22000000625849</v>
      </c>
      <c r="H8" s="182">
        <f>SUMIFS(Table_MedicalGapAgreements[NumberofServices],Table_MedicalGapAgreements[Year],Selection!$E$14,Table_MedicalGapAgreements[MonthEnd],Selection!$E$15,Table_MedicalGapAgreements[State],"VIC",Table_MedicalGapAgreements[GapType],"No gap agreement",Table_MedicalGapAgreements[MBSFeePercentage],"100% MBS Fee to 125% MBS Fee")</f>
        <v>527379</v>
      </c>
      <c r="I8" s="183">
        <f t="shared" si="0"/>
        <v>0.20237347412804987</v>
      </c>
      <c r="J8" s="183">
        <f t="shared" si="1"/>
        <v>1.175084265688497</v>
      </c>
      <c r="K8" s="207">
        <f t="shared" si="2"/>
        <v>134.37135818832377</v>
      </c>
      <c r="L8" s="207">
        <f t="shared" si="3"/>
        <v>8.9351301437155914E-4</v>
      </c>
    </row>
    <row r="9" spans="1:22" ht="14.1" customHeight="1">
      <c r="A9" s="212"/>
      <c r="B9" s="208" t="s">
        <v>52</v>
      </c>
      <c r="C9" s="79">
        <v>4</v>
      </c>
      <c r="D9" s="205">
        <f>SUMIFS(Table_MedicalGapAgreements[AmountCharged],Table_MedicalGapAgreements[Year],Selection!$E$14,Table_MedicalGapAgreements[MonthEnd],Selection!$E$15,Table_MedicalGapAgreements[State],"VIC",Table_MedicalGapAgreements[GapType],"No gap agreement",Table_MedicalGapAgreements[MBSFeePercentage],"More than 125% MBS Fee to 150% MBS Fee")</f>
        <v>140208483.75999999</v>
      </c>
      <c r="E9" s="205">
        <f>SUMIFS(Table_MedicalGapAgreements[MedicareBenefit],Table_MedicalGapAgreements[Year],Selection!$E$14,Table_MedicalGapAgreements[MonthEnd],Selection!$E$15,Table_MedicalGapAgreements[State],"VIC",Table_MedicalGapAgreements[GapType],"No gap agreement",Table_MedicalGapAgreements[MBSFeePercentage],"More than 125% MBS Fee to 150% MBS Fee")</f>
        <v>77074425.040000007</v>
      </c>
      <c r="F9" s="205">
        <f>SUMIFS(Table_MedicalGapAgreements[FundBenefit],Table_MedicalGapAgreements[Year],Selection!$E$14,Table_MedicalGapAgreements[MonthEnd],Selection!$E$15,Table_MedicalGapAgreements[State],"VIC",Table_MedicalGapAgreements[GapType],"No gap agreement",Table_MedicalGapAgreements[MBSFeePercentage],"More than 125% MBS Fee to 150% MBS Fee")</f>
        <v>63133912.43</v>
      </c>
      <c r="G9" s="205">
        <f t="shared" si="4"/>
        <v>146.28999998420477</v>
      </c>
      <c r="H9" s="182">
        <f>SUMIFS(Table_MedicalGapAgreements[NumberofServices],Table_MedicalGapAgreements[Year],Selection!$E$14,Table_MedicalGapAgreements[MonthEnd],Selection!$E$15,Table_MedicalGapAgreements[State],"VIC",Table_MedicalGapAgreements[GapType],"No gap agreement",Table_MedicalGapAgreements[MBSFeePercentage],"More than 125% MBS Fee to 150% MBS Fee")</f>
        <v>754598</v>
      </c>
      <c r="I9" s="183">
        <f t="shared" si="0"/>
        <v>0.28956522506599275</v>
      </c>
      <c r="J9" s="183">
        <f t="shared" si="1"/>
        <v>1.3643483265094232</v>
      </c>
      <c r="K9" s="207">
        <f t="shared" si="2"/>
        <v>185.8055332243128</v>
      </c>
      <c r="L9" s="207">
        <f t="shared" si="3"/>
        <v>1.93864812766804E-4</v>
      </c>
    </row>
    <row r="10" spans="1:22" s="83" customFormat="1" ht="14.1" customHeight="1">
      <c r="A10" s="212"/>
      <c r="B10" s="208" t="s">
        <v>53</v>
      </c>
      <c r="C10" s="82"/>
      <c r="D10" s="205">
        <f>SUMIFS(Table_MedicalGapAgreements[AmountCharged],Table_MedicalGapAgreements[Year],Selection!$E$14,Table_MedicalGapAgreements[MonthEnd],Selection!$E$15,Table_MedicalGapAgreements[State],"VIC",Table_MedicalGapAgreements[GapType],"No gap agreement",Table_MedicalGapAgreements[MBSFeePercentage],"More than 150% MBS Fee to 200% MBS Fee")</f>
        <v>86343510.849999994</v>
      </c>
      <c r="E10" s="205">
        <f>SUMIFS(Table_MedicalGapAgreements[MedicareBenefit],Table_MedicalGapAgreements[Year],Selection!$E$14,Table_MedicalGapAgreements[MonthEnd],Selection!$E$15,Table_MedicalGapAgreements[State],"VIC",Table_MedicalGapAgreements[GapType],"No gap agreement",Table_MedicalGapAgreements[MBSFeePercentage],"More than 150% MBS Fee to 200% MBS Fee")</f>
        <v>40054839.600000001</v>
      </c>
      <c r="F10" s="205">
        <f>SUMIFS(Table_MedicalGapAgreements[FundBenefit],Table_MedicalGapAgreements[Year],Selection!$E$14,Table_MedicalGapAgreements[MonthEnd],Selection!$E$15,Table_MedicalGapAgreements[State],"VIC",Table_MedicalGapAgreements[GapType],"No gap agreement",Table_MedicalGapAgreements[MBSFeePercentage],"More than 150% MBS Fee to 200% MBS Fee")</f>
        <v>46288586.310000002</v>
      </c>
      <c r="G10" s="205">
        <f t="shared" si="4"/>
        <v>84.939999990165234</v>
      </c>
      <c r="H10" s="182">
        <f>SUMIFS(Table_MedicalGapAgreements[NumberofServices],Table_MedicalGapAgreements[Year],Selection!$E$14,Table_MedicalGapAgreements[MonthEnd],Selection!$E$15,Table_MedicalGapAgreements[State],"VIC",Table_MedicalGapAgreements[GapType],"No gap agreement",Table_MedicalGapAgreements[MBSFeePercentage],"More than 150% MBS Fee to 200% MBS Fee")</f>
        <v>541713</v>
      </c>
      <c r="I10" s="183">
        <f t="shared" si="0"/>
        <v>0.20787392328918725</v>
      </c>
      <c r="J10" s="183">
        <f t="shared" si="1"/>
        <v>1.616724315568099</v>
      </c>
      <c r="K10" s="207">
        <f t="shared" si="2"/>
        <v>159.38977069038401</v>
      </c>
      <c r="L10" s="207">
        <f t="shared" si="3"/>
        <v>1.5679889533787308E-4</v>
      </c>
      <c r="N10" s="22"/>
      <c r="O10" s="22"/>
      <c r="P10" s="22"/>
      <c r="Q10" s="22"/>
      <c r="R10" s="22"/>
      <c r="S10" s="22"/>
      <c r="T10" s="22"/>
      <c r="U10" s="22"/>
      <c r="V10" s="22"/>
    </row>
    <row r="11" spans="1:22" ht="14.1" customHeight="1">
      <c r="A11" s="212"/>
      <c r="B11" s="208" t="s">
        <v>54</v>
      </c>
      <c r="C11" s="82">
        <v>5</v>
      </c>
      <c r="D11" s="205">
        <f>SUMIFS(Table_MedicalGapAgreements[AmountCharged],Table_MedicalGapAgreements[Year],Selection!$E$14,Table_MedicalGapAgreements[MonthEnd],Selection!$E$15,Table_MedicalGapAgreements[State],"VIC",Table_MedicalGapAgreements[GapType],"No gap agreement",Table_MedicalGapAgreements[MBSFeePercentage],"More than 200% MBS Fee")</f>
        <v>3630804.36</v>
      </c>
      <c r="E11" s="205">
        <f>SUMIFS(Table_MedicalGapAgreements[MedicareBenefit],Table_MedicalGapAgreements[Year],Selection!$E$14,Table_MedicalGapAgreements[MonthEnd],Selection!$E$15,Table_MedicalGapAgreements[State],"VIC",Table_MedicalGapAgreements[GapType],"No gap agreement",Table_MedicalGapAgreements[MBSFeePercentage],"More than 200% MBS Fee")</f>
        <v>1040669.73</v>
      </c>
      <c r="F11" s="205">
        <f>SUMIFS(Table_MedicalGapAgreements[FundBenefit],Table_MedicalGapAgreements[Year],Selection!$E$14,Table_MedicalGapAgreements[MonthEnd],Selection!$E$15,Table_MedicalGapAgreements[State],"VIC",Table_MedicalGapAgreements[GapType],"No gap agreement",Table_MedicalGapAgreements[MBSFeePercentage],"More than 200% MBS Fee")</f>
        <v>2590134.63</v>
      </c>
      <c r="G11" s="205">
        <f t="shared" si="4"/>
        <v>0</v>
      </c>
      <c r="H11" s="182">
        <f>SUMIFS(Table_MedicalGapAgreements[NumberofServices],Table_MedicalGapAgreements[Year],Selection!$E$14,Table_MedicalGapAgreements[MonthEnd],Selection!$E$15,Table_MedicalGapAgreements[State],"VIC",Table_MedicalGapAgreements[GapType],"No gap agreement",Table_MedicalGapAgreements[MBSFeePercentage],"More than 200% MBS Fee")</f>
        <v>4833</v>
      </c>
      <c r="I11" s="183">
        <f t="shared" si="0"/>
        <v>1.8545884467543552E-3</v>
      </c>
      <c r="J11" s="183">
        <f t="shared" si="1"/>
        <v>2.6166834601790523</v>
      </c>
      <c r="K11" s="207">
        <f t="shared" si="2"/>
        <v>751.25271260086902</v>
      </c>
      <c r="L11" s="207">
        <f t="shared" si="3"/>
        <v>0</v>
      </c>
    </row>
    <row r="12" spans="1:22" ht="14.1" customHeight="1">
      <c r="A12" s="214"/>
      <c r="B12" s="209" t="s">
        <v>0</v>
      </c>
      <c r="C12" s="84">
        <v>6</v>
      </c>
      <c r="D12" s="202">
        <f>SUM(D7:D11)</f>
        <v>323292609.38</v>
      </c>
      <c r="E12" s="202">
        <f t="shared" ref="E12:F12" si="5">SUM(E7:E11)</f>
        <v>180159986.02999997</v>
      </c>
      <c r="F12" s="202">
        <f t="shared" si="5"/>
        <v>143131922.25</v>
      </c>
      <c r="G12" s="202">
        <f t="shared" si="4"/>
        <v>701.10000002384186</v>
      </c>
      <c r="H12" s="206">
        <f t="shared" ref="H12" si="6">SUM(H7:H11)</f>
        <v>2162128</v>
      </c>
      <c r="I12" s="203">
        <f t="shared" si="0"/>
        <v>0.82968293176165953</v>
      </c>
      <c r="J12" s="203">
        <f t="shared" si="1"/>
        <v>1.3458563268018036</v>
      </c>
      <c r="K12" s="204">
        <f t="shared" si="2"/>
        <v>149.52519433632051</v>
      </c>
      <c r="L12" s="204">
        <f t="shared" si="3"/>
        <v>3.2426387338022625E-4</v>
      </c>
    </row>
    <row r="13" spans="1:22" ht="17.100000000000001" customHeight="1">
      <c r="A13" s="215" t="s">
        <v>77</v>
      </c>
      <c r="B13" s="75"/>
      <c r="C13" s="85"/>
      <c r="D13" s="86"/>
      <c r="E13" s="87"/>
      <c r="F13" s="87"/>
      <c r="G13" s="88"/>
      <c r="H13" s="89"/>
      <c r="I13" s="90"/>
      <c r="J13" s="91"/>
      <c r="K13" s="92"/>
      <c r="L13" s="92"/>
    </row>
    <row r="14" spans="1:22" ht="14.1" customHeight="1">
      <c r="A14" s="213"/>
      <c r="B14" s="208" t="s">
        <v>51</v>
      </c>
      <c r="C14" s="93">
        <v>7</v>
      </c>
      <c r="D14" s="205">
        <f>SUMIFS(Table_MedicalGapAgreements[AmountCharged],Table_MedicalGapAgreements[Year],Selection!$E$14,Table_MedicalGapAgreements[MonthEnd],Selection!$E$15,Table_MedicalGapAgreements[State],"VIC",Table_MedicalGapAgreements[GapType],"Known gap agreement",Table_MedicalGapAgreements[MBSFeePercentage],"100% MBS Fee to 125% MBS Fee")</f>
        <v>2781797.04</v>
      </c>
      <c r="E14" s="205">
        <f>SUMIFS(Table_MedicalGapAgreements[MedicareBenefit],Table_MedicalGapAgreements[Year],Selection!$E$14,Table_MedicalGapAgreements[MonthEnd],Selection!$E$15,Table_MedicalGapAgreements[State],"VIC",Table_MedicalGapAgreements[GapType],"Known gap agreement",Table_MedicalGapAgreements[MBSFeePercentage],"100% MBS Fee to 125% MBS Fee")</f>
        <v>1747046.12</v>
      </c>
      <c r="F14" s="205">
        <f>SUMIFS(Table_MedicalGapAgreements[FundBenefit],Table_MedicalGapAgreements[Year],Selection!$E$14,Table_MedicalGapAgreements[MonthEnd],Selection!$E$15,Table_MedicalGapAgreements[State],"VIC",Table_MedicalGapAgreements[GapType],"Known gap agreement",Table_MedicalGapAgreements[MBSFeePercentage],"100% MBS Fee to 125% MBS Fee")</f>
        <v>789936.39</v>
      </c>
      <c r="G14" s="205">
        <f t="shared" ref="G14:G17" si="7">D14-E14-F14</f>
        <v>244814.52999999991</v>
      </c>
      <c r="H14" s="182">
        <f>SUMIFS(Table_MedicalGapAgreements[NumberofServices],Table_MedicalGapAgreements[Year],Selection!$E$14,Table_MedicalGapAgreements[MonthEnd],Selection!$E$15,Table_MedicalGapAgreements[State],"VIC",Table_MedicalGapAgreements[GapType],"Known gap agreement",Table_MedicalGapAgreements[MBSFeePercentage],"100% MBS Fee to 125% MBS Fee")</f>
        <v>12395</v>
      </c>
      <c r="I14" s="183">
        <f t="shared" ref="I14:I19" si="8">H14/H$28</f>
        <v>4.7563881228057589E-3</v>
      </c>
      <c r="J14" s="183">
        <f t="shared" ref="J14:J19" si="9">D14/(E14/0.75)</f>
        <v>1.1942144835878745</v>
      </c>
      <c r="K14" s="207">
        <f t="shared" ref="K14:K19" si="10">D14/H14</f>
        <v>224.42896651875756</v>
      </c>
      <c r="L14" s="207">
        <f t="shared" ref="L14:L19" si="11">G14/H14</f>
        <v>19.751071399757961</v>
      </c>
    </row>
    <row r="15" spans="1:22" ht="14.1" customHeight="1">
      <c r="A15" s="211"/>
      <c r="B15" s="208" t="s">
        <v>52</v>
      </c>
      <c r="C15" s="93">
        <v>8</v>
      </c>
      <c r="D15" s="205">
        <f>SUMIFS(Table_MedicalGapAgreements[AmountCharged],Table_MedicalGapAgreements[Year],Selection!$E$14,Table_MedicalGapAgreements[MonthEnd],Selection!$E$15,Table_MedicalGapAgreements[State],"VIC",Table_MedicalGapAgreements[GapType],"Known gap agreement",Table_MedicalGapAgreements[MBSFeePercentage],"More than 125% MBS Fee to 150% MBS Fee")</f>
        <v>8408547.6699999999</v>
      </c>
      <c r="E15" s="205">
        <f>SUMIFS(Table_MedicalGapAgreements[MedicareBenefit],Table_MedicalGapAgreements[Year],Selection!$E$14,Table_MedicalGapAgreements[MonthEnd],Selection!$E$15,Table_MedicalGapAgreements[State],"VIC",Table_MedicalGapAgreements[GapType],"Known gap agreement",Table_MedicalGapAgreements[MBSFeePercentage],"More than 125% MBS Fee to 150% MBS Fee")</f>
        <v>4507038.87</v>
      </c>
      <c r="F15" s="205">
        <f>SUMIFS(Table_MedicalGapAgreements[FundBenefit],Table_MedicalGapAgreements[Year],Selection!$E$14,Table_MedicalGapAgreements[MonthEnd],Selection!$E$15,Table_MedicalGapAgreements[State],"VIC",Table_MedicalGapAgreements[GapType],"Known gap agreement",Table_MedicalGapAgreements[MBSFeePercentage],"More than 125% MBS Fee to 150% MBS Fee")</f>
        <v>3257174.39</v>
      </c>
      <c r="G15" s="205">
        <f t="shared" si="7"/>
        <v>644334.40999999968</v>
      </c>
      <c r="H15" s="182">
        <f>SUMIFS(Table_MedicalGapAgreements[NumberofServices],Table_MedicalGapAgreements[Year],Selection!$E$14,Table_MedicalGapAgreements[MonthEnd],Selection!$E$15,Table_MedicalGapAgreements[State],"VIC",Table_MedicalGapAgreements[GapType],"Known gap agreement",Table_MedicalGapAgreements[MBSFeePercentage],"More than 125% MBS Fee to 150% MBS Fee")</f>
        <v>19756</v>
      </c>
      <c r="I15" s="183">
        <f t="shared" si="8"/>
        <v>7.581057180649501E-3</v>
      </c>
      <c r="J15" s="183">
        <f t="shared" si="9"/>
        <v>1.3992359361435904</v>
      </c>
      <c r="K15" s="207">
        <f t="shared" si="10"/>
        <v>425.61994685158936</v>
      </c>
      <c r="L15" s="207">
        <f t="shared" si="11"/>
        <v>32.614618849969617</v>
      </c>
    </row>
    <row r="16" spans="1:22" s="83" customFormat="1" ht="14.1" customHeight="1">
      <c r="A16" s="212"/>
      <c r="B16" s="208" t="s">
        <v>53</v>
      </c>
      <c r="C16" s="94"/>
      <c r="D16" s="205">
        <f>SUMIFS(Table_MedicalGapAgreements[AmountCharged],Table_MedicalGapAgreements[Year],Selection!$E$14,Table_MedicalGapAgreements[MonthEnd],Selection!$E$15,Table_MedicalGapAgreements[State],"VIC",Table_MedicalGapAgreements[GapType],"Known gap agreement",Table_MedicalGapAgreements[MBSFeePercentage],"More than 150% MBS Fee to 200% MBS Fee")</f>
        <v>28502731.98</v>
      </c>
      <c r="E16" s="205">
        <f>SUMIFS(Table_MedicalGapAgreements[MedicareBenefit],Table_MedicalGapAgreements[Year],Selection!$E$14,Table_MedicalGapAgreements[MonthEnd],Selection!$E$15,Table_MedicalGapAgreements[State],"VIC",Table_MedicalGapAgreements[GapType],"Known gap agreement",Table_MedicalGapAgreements[MBSFeePercentage],"More than 150% MBS Fee to 200% MBS Fee")</f>
        <v>12174655.82</v>
      </c>
      <c r="F16" s="205">
        <f>SUMIFS(Table_MedicalGapAgreements[FundBenefit],Table_MedicalGapAgreements[Year],Selection!$E$14,Table_MedicalGapAgreements[MonthEnd],Selection!$E$15,Table_MedicalGapAgreements[State],"VIC",Table_MedicalGapAgreements[GapType],"Known gap agreement",Table_MedicalGapAgreements[MBSFeePercentage],"More than 150% MBS Fee to 200% MBS Fee")</f>
        <v>11535017.800000001</v>
      </c>
      <c r="G16" s="205">
        <f t="shared" si="7"/>
        <v>4793058.3599999994</v>
      </c>
      <c r="H16" s="182">
        <f>SUMIFS(Table_MedicalGapAgreements[NumberofServices],Table_MedicalGapAgreements[Year],Selection!$E$14,Table_MedicalGapAgreements[MonthEnd],Selection!$E$15,Table_MedicalGapAgreements[State],"VIC",Table_MedicalGapAgreements[GapType],"Known gap agreement",Table_MedicalGapAgreements[MBSFeePercentage],"More than 150% MBS Fee to 200% MBS Fee")</f>
        <v>42648</v>
      </c>
      <c r="I16" s="183">
        <f t="shared" si="8"/>
        <v>1.6365505499106092E-2</v>
      </c>
      <c r="J16" s="183">
        <f t="shared" si="9"/>
        <v>1.7558647489551782</v>
      </c>
      <c r="K16" s="207">
        <f t="shared" si="10"/>
        <v>668.32517304445696</v>
      </c>
      <c r="L16" s="207">
        <f t="shared" si="11"/>
        <v>112.38647439504781</v>
      </c>
      <c r="N16" s="22"/>
      <c r="O16" s="22"/>
      <c r="P16" s="22"/>
      <c r="Q16" s="22"/>
      <c r="R16" s="22"/>
      <c r="S16" s="22"/>
      <c r="T16" s="22"/>
      <c r="U16" s="22"/>
      <c r="V16" s="22"/>
    </row>
    <row r="17" spans="1:22" s="83" customFormat="1" ht="14.1" customHeight="1">
      <c r="A17" s="212"/>
      <c r="B17" s="208" t="s">
        <v>54</v>
      </c>
      <c r="C17" s="93">
        <v>9</v>
      </c>
      <c r="D17" s="205">
        <f>SUMIFS(Table_MedicalGapAgreements[AmountCharged],Table_MedicalGapAgreements[Year],Selection!$E$14,Table_MedicalGapAgreements[MonthEnd],Selection!$E$15,Table_MedicalGapAgreements[State],"VIC",Table_MedicalGapAgreements[GapType],"Known gap agreement",Table_MedicalGapAgreements[MBSFeePercentage],"More than 200% MBS Fee")</f>
        <v>68255834.659999996</v>
      </c>
      <c r="E17" s="205">
        <f>SUMIFS(Table_MedicalGapAgreements[MedicareBenefit],Table_MedicalGapAgreements[Year],Selection!$E$14,Table_MedicalGapAgreements[MonthEnd],Selection!$E$15,Table_MedicalGapAgreements[State],"VIC",Table_MedicalGapAgreements[GapType],"Known gap agreement",Table_MedicalGapAgreements[MBSFeePercentage],"More than 200% MBS Fee")</f>
        <v>17520707.760000002</v>
      </c>
      <c r="F17" s="205">
        <f>SUMIFS(Table_MedicalGapAgreements[FundBenefit],Table_MedicalGapAgreements[Year],Selection!$E$14,Table_MedicalGapAgreements[MonthEnd],Selection!$E$15,Table_MedicalGapAgreements[State],"VIC",Table_MedicalGapAgreements[GapType],"Known gap agreement",Table_MedicalGapAgreements[MBSFeePercentage],"More than 200% MBS Fee")</f>
        <v>18806023.030000001</v>
      </c>
      <c r="G17" s="205">
        <f t="shared" si="7"/>
        <v>31929103.86999999</v>
      </c>
      <c r="H17" s="182">
        <f>SUMIFS(Table_MedicalGapAgreements[NumberofServices],Table_MedicalGapAgreements[Year],Selection!$E$14,Table_MedicalGapAgreements[MonthEnd],Selection!$E$15,Table_MedicalGapAgreements[State],"VIC",Table_MedicalGapAgreements[GapType],"Known gap agreement",Table_MedicalGapAgreements[MBSFeePercentage],"More than 200% MBS Fee")</f>
        <v>212552</v>
      </c>
      <c r="I17" s="183">
        <f t="shared" si="8"/>
        <v>8.1563518215297268E-2</v>
      </c>
      <c r="J17" s="183">
        <f t="shared" si="9"/>
        <v>2.9217926978881352</v>
      </c>
      <c r="K17" s="207">
        <f t="shared" si="10"/>
        <v>321.12534655049114</v>
      </c>
      <c r="L17" s="207">
        <f t="shared" si="11"/>
        <v>150.2178472562008</v>
      </c>
      <c r="N17" s="22"/>
      <c r="O17" s="22"/>
      <c r="P17" s="22"/>
      <c r="Q17" s="22"/>
      <c r="R17" s="22"/>
      <c r="S17" s="22"/>
      <c r="T17" s="22"/>
      <c r="U17" s="22"/>
      <c r="V17" s="22"/>
    </row>
    <row r="18" spans="1:22" ht="14.1" customHeight="1">
      <c r="A18" s="214"/>
      <c r="B18" s="209" t="s">
        <v>0</v>
      </c>
      <c r="C18" s="95"/>
      <c r="D18" s="202">
        <f>SUM(D14:D17)</f>
        <v>107948911.34999999</v>
      </c>
      <c r="E18" s="202">
        <f t="shared" ref="E18:H18" si="12">SUM(E14:E17)</f>
        <v>35949448.570000008</v>
      </c>
      <c r="F18" s="202">
        <f t="shared" si="12"/>
        <v>34388151.609999999</v>
      </c>
      <c r="G18" s="202">
        <f t="shared" si="12"/>
        <v>37611311.169999987</v>
      </c>
      <c r="H18" s="206">
        <f t="shared" si="12"/>
        <v>287351</v>
      </c>
      <c r="I18" s="203">
        <f t="shared" si="8"/>
        <v>0.11026646901785861</v>
      </c>
      <c r="J18" s="203">
        <f t="shared" si="9"/>
        <v>2.2520980636143308</v>
      </c>
      <c r="K18" s="204">
        <f t="shared" si="10"/>
        <v>375.66916889100781</v>
      </c>
      <c r="L18" s="204">
        <f t="shared" si="11"/>
        <v>130.88978695045427</v>
      </c>
    </row>
    <row r="19" spans="1:22" ht="14.1" customHeight="1">
      <c r="A19" s="216" t="s">
        <v>78</v>
      </c>
      <c r="B19" s="201"/>
      <c r="C19" s="95">
        <v>10</v>
      </c>
      <c r="D19" s="202">
        <f>D18+D12</f>
        <v>431241520.73000002</v>
      </c>
      <c r="E19" s="202">
        <f t="shared" ref="E19:H19" si="13">E18+E12</f>
        <v>216109434.59999996</v>
      </c>
      <c r="F19" s="202">
        <f t="shared" si="13"/>
        <v>177520073.86000001</v>
      </c>
      <c r="G19" s="202">
        <f t="shared" si="13"/>
        <v>37612012.270000011</v>
      </c>
      <c r="H19" s="206">
        <f t="shared" si="13"/>
        <v>2449479</v>
      </c>
      <c r="I19" s="203">
        <f t="shared" si="8"/>
        <v>0.93994940077951805</v>
      </c>
      <c r="J19" s="203">
        <f t="shared" si="9"/>
        <v>1.4966081473774773</v>
      </c>
      <c r="K19" s="204">
        <f t="shared" si="10"/>
        <v>176.05438574080449</v>
      </c>
      <c r="L19" s="204">
        <f t="shared" si="11"/>
        <v>15.355107053377477</v>
      </c>
    </row>
    <row r="20" spans="1:22" ht="17.100000000000001" customHeight="1">
      <c r="A20" s="180" t="s">
        <v>79</v>
      </c>
      <c r="B20" s="79"/>
      <c r="C20" s="96"/>
      <c r="D20" s="97"/>
      <c r="E20" s="97"/>
      <c r="F20" s="97"/>
      <c r="G20" s="98"/>
      <c r="H20" s="99"/>
      <c r="I20" s="100"/>
      <c r="J20" s="100"/>
      <c r="K20" s="101"/>
      <c r="L20" s="101"/>
    </row>
    <row r="21" spans="1:22" ht="14.1" customHeight="1">
      <c r="A21" s="78"/>
      <c r="B21" s="208" t="s">
        <v>50</v>
      </c>
      <c r="C21" s="96">
        <v>22</v>
      </c>
      <c r="D21" s="205">
        <f>SUMIFS(Table_MedicalGapAgreements[AmountCharged],Table_MedicalGapAgreements[Year],Selection!$E$14,Table_MedicalGapAgreements[MonthEnd],Selection!$E$15,Table_MedicalGapAgreements[State],"VIC",Table_MedicalGapAgreements[GapType],"No agreement",Table_MedicalGapAgreements[MBSFeePercentage],"Up to MBS Fee")</f>
        <v>5641162.3499999996</v>
      </c>
      <c r="E21" s="205">
        <f>SUMIFS(Table_MedicalGapAgreements[MedicareBenefit],Table_MedicalGapAgreements[Year],Selection!$E$14,Table_MedicalGapAgreements[MonthEnd],Selection!$E$15,Table_MedicalGapAgreements[State],"VIC",Table_MedicalGapAgreements[GapType],"No agreement",Table_MedicalGapAgreements[MBSFeePercentage],"Up to MBS Fee")</f>
        <v>4244716.8499999996</v>
      </c>
      <c r="F21" s="205">
        <f>SUMIFS(Table_MedicalGapAgreements[FundBenefit],Table_MedicalGapAgreements[Year],Selection!$E$14,Table_MedicalGapAgreements[MonthEnd],Selection!$E$15,Table_MedicalGapAgreements[State],"VIC",Table_MedicalGapAgreements[GapType],"No agreement",Table_MedicalGapAgreements[MBSFeePercentage],"Up to MBS Fee")</f>
        <v>1378776.07</v>
      </c>
      <c r="G21" s="205">
        <f>D21-E21-F21</f>
        <v>17669.429999999935</v>
      </c>
      <c r="H21" s="182">
        <f>SUMIFS(Table_MedicalGapAgreements[NumberofServices],Table_MedicalGapAgreements[Year],Selection!$E$14,Table_MedicalGapAgreements[MonthEnd],Selection!$E$15,Table_MedicalGapAgreements[State],"VIC",Table_MedicalGapAgreements[GapType],"No agreement",Table_MedicalGapAgreements[MBSFeePercentage],"Up to MBS Fee")</f>
        <v>99073</v>
      </c>
      <c r="I21" s="183">
        <f t="shared" ref="I21:I26" si="14">H21/H$28</f>
        <v>3.8017720087997975E-2</v>
      </c>
      <c r="J21" s="183">
        <f t="shared" ref="J21:J26" si="15">D21/(E21/0.75)</f>
        <v>0.99673827772516799</v>
      </c>
      <c r="K21" s="207">
        <f t="shared" ref="K21:K26" si="16">D21/H21</f>
        <v>56.939452222098851</v>
      </c>
      <c r="L21" s="207">
        <f t="shared" ref="L21:L26" si="17">G21/H21</f>
        <v>0.17834758208593599</v>
      </c>
    </row>
    <row r="22" spans="1:22" ht="14.1" customHeight="1">
      <c r="A22" s="81"/>
      <c r="B22" s="208" t="s">
        <v>51</v>
      </c>
      <c r="C22" s="96">
        <v>23</v>
      </c>
      <c r="D22" s="205">
        <f>SUMIFS(Table_MedicalGapAgreements[AmountCharged],Table_MedicalGapAgreements[Year],Selection!$E$14,Table_MedicalGapAgreements[MonthEnd],Selection!$E$15,Table_MedicalGapAgreements[State],"VIC",Table_MedicalGapAgreements[GapType],"No agreement",Table_MedicalGapAgreements[MBSFeePercentage],"100% MBS Fee to 125% MBS Fee")</f>
        <v>1611253.31</v>
      </c>
      <c r="E22" s="205">
        <f>SUMIFS(Table_MedicalGapAgreements[MedicareBenefit],Table_MedicalGapAgreements[Year],Selection!$E$14,Table_MedicalGapAgreements[MonthEnd],Selection!$E$15,Table_MedicalGapAgreements[State],"VIC",Table_MedicalGapAgreements[GapType],"No agreement",Table_MedicalGapAgreements[MBSFeePercentage],"100% MBS Fee to 125% MBS Fee")</f>
        <v>1072733.58</v>
      </c>
      <c r="F22" s="205">
        <f>SUMIFS(Table_MedicalGapAgreements[FundBenefit],Table_MedicalGapAgreements[Year],Selection!$E$14,Table_MedicalGapAgreements[MonthEnd],Selection!$E$15,Table_MedicalGapAgreements[State],"VIC",Table_MedicalGapAgreements[GapType],"No agreement",Table_MedicalGapAgreements[MBSFeePercentage],"100% MBS Fee to 125% MBS Fee")</f>
        <v>358712.27</v>
      </c>
      <c r="G22" s="205">
        <f t="shared" ref="G22:G25" si="18">D22-E22-F22</f>
        <v>179807.45999999996</v>
      </c>
      <c r="H22" s="182">
        <f>SUMIFS(Table_MedicalGapAgreements[NumberofServices],Table_MedicalGapAgreements[Year],Selection!$E$14,Table_MedicalGapAgreements[MonthEnd],Selection!$E$15,Table_MedicalGapAgreements[State],"VIC",Table_MedicalGapAgreements[GapType],"No agreement",Table_MedicalGapAgreements[MBSFeePercentage],"100% MBS Fee to 125% MBS Fee")</f>
        <v>2580</v>
      </c>
      <c r="I22" s="183">
        <f t="shared" si="14"/>
        <v>9.9003480087445409E-4</v>
      </c>
      <c r="J22" s="183">
        <f t="shared" si="15"/>
        <v>1.1265052246243656</v>
      </c>
      <c r="K22" s="207">
        <f t="shared" si="16"/>
        <v>624.51678682170541</v>
      </c>
      <c r="L22" s="207">
        <f t="shared" si="17"/>
        <v>69.692813953488354</v>
      </c>
    </row>
    <row r="23" spans="1:22" ht="14.1" customHeight="1">
      <c r="A23" s="81"/>
      <c r="B23" s="208" t="s">
        <v>52</v>
      </c>
      <c r="C23" s="102">
        <v>24</v>
      </c>
      <c r="D23" s="205">
        <f>SUMIFS(Table_MedicalGapAgreements[AmountCharged],Table_MedicalGapAgreements[Year],Selection!$E$14,Table_MedicalGapAgreements[MonthEnd],Selection!$E$15,Table_MedicalGapAgreements[State],"VIC",Table_MedicalGapAgreements[GapType],"No agreement",Table_MedicalGapAgreements[MBSFeePercentage],"More than 125% MBS Fee to 150% MBS Fee")</f>
        <v>1952211.66</v>
      </c>
      <c r="E23" s="205">
        <f>SUMIFS(Table_MedicalGapAgreements[MedicareBenefit],Table_MedicalGapAgreements[Year],Selection!$E$14,Table_MedicalGapAgreements[MonthEnd],Selection!$E$15,Table_MedicalGapAgreements[State],"VIC",Table_MedicalGapAgreements[GapType],"No agreement",Table_MedicalGapAgreements[MBSFeePercentage],"More than 125% MBS Fee to 150% MBS Fee")</f>
        <v>1041238.82</v>
      </c>
      <c r="F23" s="205">
        <f>SUMIFS(Table_MedicalGapAgreements[FundBenefit],Table_MedicalGapAgreements[Year],Selection!$E$14,Table_MedicalGapAgreements[MonthEnd],Selection!$E$15,Table_MedicalGapAgreements[State],"VIC",Table_MedicalGapAgreements[GapType],"No agreement",Table_MedicalGapAgreements[MBSFeePercentage],"More than 125% MBS Fee to 150% MBS Fee")</f>
        <v>345172.13</v>
      </c>
      <c r="G23" s="205">
        <f t="shared" si="18"/>
        <v>565800.71</v>
      </c>
      <c r="H23" s="182">
        <f>SUMIFS(Table_MedicalGapAgreements[NumberofServices],Table_MedicalGapAgreements[Year],Selection!$E$14,Table_MedicalGapAgreements[MonthEnd],Selection!$E$15,Table_MedicalGapAgreements[State],"VIC",Table_MedicalGapAgreements[GapType],"No agreement",Table_MedicalGapAgreements[MBSFeePercentage],"More than 125% MBS Fee to 150% MBS Fee")</f>
        <v>7315</v>
      </c>
      <c r="I23" s="183">
        <f t="shared" si="14"/>
        <v>2.8070172745723377E-3</v>
      </c>
      <c r="J23" s="183">
        <f t="shared" si="15"/>
        <v>1.4061699553230258</v>
      </c>
      <c r="K23" s="207">
        <f t="shared" si="16"/>
        <v>266.87787559808612</v>
      </c>
      <c r="L23" s="207">
        <f t="shared" si="17"/>
        <v>77.348012303485987</v>
      </c>
    </row>
    <row r="24" spans="1:22" s="83" customFormat="1" ht="14.1" customHeight="1">
      <c r="A24" s="103"/>
      <c r="B24" s="208" t="s">
        <v>53</v>
      </c>
      <c r="C24" s="102">
        <v>25</v>
      </c>
      <c r="D24" s="205">
        <f>SUMIFS(Table_MedicalGapAgreements[AmountCharged],Table_MedicalGapAgreements[Year],Selection!$E$14,Table_MedicalGapAgreements[MonthEnd],Selection!$E$15,Table_MedicalGapAgreements[State],"VIC",Table_MedicalGapAgreements[GapType],"No agreement",Table_MedicalGapAgreements[MBSFeePercentage],"More than 150% MBS Fee to 200% MBS Fee")</f>
        <v>4573058</v>
      </c>
      <c r="E24" s="205">
        <f>SUMIFS(Table_MedicalGapAgreements[MedicareBenefit],Table_MedicalGapAgreements[Year],Selection!$E$14,Table_MedicalGapAgreements[MonthEnd],Selection!$E$15,Table_MedicalGapAgreements[State],"VIC",Table_MedicalGapAgreements[GapType],"No agreement",Table_MedicalGapAgreements[MBSFeePercentage],"More than 150% MBS Fee to 200% MBS Fee")</f>
        <v>2015505.37</v>
      </c>
      <c r="F24" s="205">
        <f>SUMIFS(Table_MedicalGapAgreements[FundBenefit],Table_MedicalGapAgreements[Year],Selection!$E$14,Table_MedicalGapAgreements[MonthEnd],Selection!$E$15,Table_MedicalGapAgreements[State],"VIC",Table_MedicalGapAgreements[GapType],"No agreement",Table_MedicalGapAgreements[MBSFeePercentage],"More than 150% MBS Fee to 200% MBS Fee")</f>
        <v>676708.81</v>
      </c>
      <c r="G24" s="205">
        <f t="shared" si="18"/>
        <v>1880843.8199999998</v>
      </c>
      <c r="H24" s="182">
        <f>SUMIFS(Table_MedicalGapAgreements[NumberofServices],Table_MedicalGapAgreements[Year],Selection!$E$14,Table_MedicalGapAgreements[MonthEnd],Selection!$E$15,Table_MedicalGapAgreements[State],"VIC",Table_MedicalGapAgreements[GapType],"No agreement",Table_MedicalGapAgreements[MBSFeePercentage],"More than 150% MBS Fee to 200% MBS Fee")</f>
        <v>12016</v>
      </c>
      <c r="I24" s="183">
        <f t="shared" si="14"/>
        <v>4.6109527780261389E-3</v>
      </c>
      <c r="J24" s="183">
        <f t="shared" si="15"/>
        <v>1.7017039751176648</v>
      </c>
      <c r="K24" s="207">
        <f t="shared" si="16"/>
        <v>380.5807256990679</v>
      </c>
      <c r="L24" s="207">
        <f t="shared" si="17"/>
        <v>156.52828062583222</v>
      </c>
      <c r="N24" s="22"/>
      <c r="O24" s="22"/>
      <c r="P24" s="22"/>
      <c r="Q24" s="22"/>
      <c r="R24" s="22"/>
      <c r="S24" s="22"/>
      <c r="T24" s="22"/>
      <c r="U24" s="22"/>
      <c r="V24" s="22"/>
    </row>
    <row r="25" spans="1:22" ht="14.1" customHeight="1">
      <c r="A25" s="80"/>
      <c r="B25" s="208" t="s">
        <v>54</v>
      </c>
      <c r="C25" s="102">
        <v>26</v>
      </c>
      <c r="D25" s="205">
        <f>SUMIFS(Table_MedicalGapAgreements[AmountCharged],Table_MedicalGapAgreements[Year],Selection!$E$14,Table_MedicalGapAgreements[MonthEnd],Selection!$E$15,Table_MedicalGapAgreements[State],"VIC",Table_MedicalGapAgreements[GapType],"No agreement",Table_MedicalGapAgreements[MBSFeePercentage],"More than 200% MBS Fee")</f>
        <v>53783200.460000001</v>
      </c>
      <c r="E25" s="205">
        <f>SUMIFS(Table_MedicalGapAgreements[MedicareBenefit],Table_MedicalGapAgreements[Year],Selection!$E$14,Table_MedicalGapAgreements[MonthEnd],Selection!$E$15,Table_MedicalGapAgreements[State],"VIC",Table_MedicalGapAgreements[GapType],"No agreement",Table_MedicalGapAgreements[MBSFeePercentage],"More than 200% MBS Fee")</f>
        <v>11845779.08</v>
      </c>
      <c r="F25" s="205">
        <f>SUMIFS(Table_MedicalGapAgreements[FundBenefit],Table_MedicalGapAgreements[Year],Selection!$E$14,Table_MedicalGapAgreements[MonthEnd],Selection!$E$15,Table_MedicalGapAgreements[State],"VIC",Table_MedicalGapAgreements[GapType],"No agreement",Table_MedicalGapAgreements[MBSFeePercentage],"More than 200% MBS Fee")</f>
        <v>3965465.96</v>
      </c>
      <c r="G25" s="205">
        <f t="shared" si="18"/>
        <v>37971955.420000002</v>
      </c>
      <c r="H25" s="182">
        <f>SUMIFS(Table_MedicalGapAgreements[NumberofServices],Table_MedicalGapAgreements[Year],Selection!$E$14,Table_MedicalGapAgreements[MonthEnd],Selection!$E$15,Table_MedicalGapAgreements[State],"VIC",Table_MedicalGapAgreements[GapType],"No agreement",Table_MedicalGapAgreements[MBSFeePercentage],"More than 200% MBS Fee")</f>
        <v>35506</v>
      </c>
      <c r="I25" s="183">
        <f t="shared" si="14"/>
        <v>1.3624874279010993E-2</v>
      </c>
      <c r="J25" s="183">
        <f t="shared" si="15"/>
        <v>3.4052129515992964</v>
      </c>
      <c r="K25" s="207">
        <f t="shared" si="16"/>
        <v>1514.7637148650933</v>
      </c>
      <c r="L25" s="207">
        <f t="shared" si="17"/>
        <v>1069.4517946262604</v>
      </c>
    </row>
    <row r="26" spans="1:22" ht="14.1" customHeight="1">
      <c r="A26" s="214" t="s">
        <v>85</v>
      </c>
      <c r="B26" s="209"/>
      <c r="C26" s="95">
        <v>27</v>
      </c>
      <c r="D26" s="202">
        <f>SUM(D21:D25)</f>
        <v>67560885.780000001</v>
      </c>
      <c r="E26" s="202">
        <f t="shared" ref="E26:H26" si="19">SUM(E21:E25)</f>
        <v>20219973.699999999</v>
      </c>
      <c r="F26" s="202">
        <f t="shared" si="19"/>
        <v>6724835.2400000002</v>
      </c>
      <c r="G26" s="202">
        <f t="shared" si="19"/>
        <v>40616076.840000004</v>
      </c>
      <c r="H26" s="206">
        <f t="shared" si="19"/>
        <v>156490</v>
      </c>
      <c r="I26" s="203">
        <f t="shared" si="14"/>
        <v>6.00505992204819E-2</v>
      </c>
      <c r="J26" s="203">
        <f t="shared" si="15"/>
        <v>2.5059708329393131</v>
      </c>
      <c r="K26" s="204">
        <f t="shared" si="16"/>
        <v>431.72653703112019</v>
      </c>
      <c r="L26" s="204">
        <f t="shared" si="17"/>
        <v>259.54423183590006</v>
      </c>
    </row>
    <row r="27" spans="1:22" ht="14.1" customHeight="1">
      <c r="A27" s="102"/>
      <c r="B27" s="102"/>
      <c r="C27" s="96"/>
      <c r="D27" s="97"/>
      <c r="E27" s="97"/>
      <c r="F27" s="97"/>
      <c r="G27" s="98"/>
      <c r="H27" s="99"/>
      <c r="I27" s="100"/>
      <c r="J27" s="100"/>
      <c r="K27" s="101"/>
      <c r="L27" s="101"/>
    </row>
    <row r="28" spans="1:22" ht="14.1" customHeight="1">
      <c r="A28" s="209" t="s">
        <v>80</v>
      </c>
      <c r="B28" s="209"/>
      <c r="C28" s="202"/>
      <c r="D28" s="202">
        <f>D19+D26</f>
        <v>498802406.50999999</v>
      </c>
      <c r="E28" s="202">
        <f t="shared" ref="E28:H28" si="20">E19+E26</f>
        <v>236329408.29999995</v>
      </c>
      <c r="F28" s="202">
        <f t="shared" si="20"/>
        <v>184244909.10000002</v>
      </c>
      <c r="G28" s="206">
        <f t="shared" si="20"/>
        <v>78228089.110000014</v>
      </c>
      <c r="H28" s="218">
        <f t="shared" si="20"/>
        <v>2605969</v>
      </c>
      <c r="I28" s="203">
        <f>H28/H$28</f>
        <v>1</v>
      </c>
      <c r="J28" s="203">
        <f>D28/(E28/0.75)</f>
        <v>1.5829676364594023</v>
      </c>
      <c r="K28" s="204">
        <f>D28/H28</f>
        <v>191.40765162977763</v>
      </c>
      <c r="L28" s="204">
        <f>G28/H28</f>
        <v>30.018810319692989</v>
      </c>
    </row>
    <row r="29" spans="1:22" ht="14.1" customHeight="1">
      <c r="A29" s="209" t="s">
        <v>81</v>
      </c>
      <c r="B29" s="209"/>
      <c r="C29" s="202"/>
      <c r="D29" s="202">
        <f>D12+D21</f>
        <v>328933771.73000002</v>
      </c>
      <c r="E29" s="202">
        <f t="shared" ref="E29:H29" si="21">E12+E21</f>
        <v>184404702.87999997</v>
      </c>
      <c r="F29" s="202">
        <f t="shared" si="21"/>
        <v>144510698.31999999</v>
      </c>
      <c r="G29" s="206">
        <f t="shared" si="21"/>
        <v>18370.530000023777</v>
      </c>
      <c r="H29" s="218">
        <f t="shared" si="21"/>
        <v>2261201</v>
      </c>
      <c r="I29" s="203">
        <f>H29/H$28</f>
        <v>0.8677006518496575</v>
      </c>
      <c r="J29" s="203">
        <f>D29/(E29/0.75)</f>
        <v>1.3378201582962799</v>
      </c>
      <c r="K29" s="204">
        <f>D29/H29</f>
        <v>145.46861235688468</v>
      </c>
      <c r="L29" s="204">
        <f>G29/H29</f>
        <v>8.1242357490659955E-3</v>
      </c>
    </row>
    <row r="30" spans="1:22" ht="14.1" customHeight="1">
      <c r="A30" s="209" t="s">
        <v>82</v>
      </c>
      <c r="B30" s="209"/>
      <c r="C30" s="202"/>
      <c r="D30" s="202">
        <f>D19+D21</f>
        <v>436882683.08000004</v>
      </c>
      <c r="E30" s="202">
        <f t="shared" ref="E30:H30" si="22">E19+E21</f>
        <v>220354151.44999996</v>
      </c>
      <c r="F30" s="202">
        <f t="shared" si="22"/>
        <v>178898849.93000001</v>
      </c>
      <c r="G30" s="206">
        <f t="shared" si="22"/>
        <v>37629681.70000001</v>
      </c>
      <c r="H30" s="218">
        <f t="shared" si="22"/>
        <v>2548552</v>
      </c>
      <c r="I30" s="203">
        <f>H30/H$28</f>
        <v>0.97796712086751603</v>
      </c>
      <c r="J30" s="203">
        <f>D30/(E30/0.75)</f>
        <v>1.4869790750656635</v>
      </c>
      <c r="K30" s="204">
        <f>D30/H30</f>
        <v>171.42388426055268</v>
      </c>
      <c r="L30" s="204">
        <f>G30/H30</f>
        <v>14.765122194877723</v>
      </c>
    </row>
    <row r="31" spans="1:22" ht="14.1" customHeight="1">
      <c r="A31" s="209" t="s">
        <v>83</v>
      </c>
      <c r="B31" s="209"/>
      <c r="C31" s="202"/>
      <c r="D31" s="202">
        <f>D26-D21</f>
        <v>61919723.43</v>
      </c>
      <c r="E31" s="202">
        <f t="shared" ref="E31:H31" si="23">E26-E21</f>
        <v>15975256.85</v>
      </c>
      <c r="F31" s="202">
        <f t="shared" si="23"/>
        <v>5346059.17</v>
      </c>
      <c r="G31" s="206">
        <f t="shared" si="23"/>
        <v>40598407.410000004</v>
      </c>
      <c r="H31" s="218">
        <f t="shared" si="23"/>
        <v>57417</v>
      </c>
      <c r="I31" s="203">
        <f>H31/H$28</f>
        <v>2.2032879132483925E-2</v>
      </c>
      <c r="J31" s="203">
        <f>D31/(E31/0.75)</f>
        <v>2.9069825298301857</v>
      </c>
      <c r="K31" s="204">
        <f>D31/H31</f>
        <v>1078.4214331992266</v>
      </c>
      <c r="L31" s="204">
        <f>G31/H31</f>
        <v>707.07991378859924</v>
      </c>
    </row>
    <row r="32" spans="1:22">
      <c r="A32" s="105"/>
      <c r="B32" s="105"/>
      <c r="C32" s="105"/>
      <c r="D32" s="106"/>
      <c r="E32" s="106"/>
      <c r="F32" s="106"/>
      <c r="G32" s="106"/>
      <c r="H32" s="106"/>
      <c r="I32" s="107"/>
      <c r="J32" s="107"/>
      <c r="K32" s="107"/>
      <c r="L32" s="107"/>
    </row>
    <row r="33" spans="1:12" ht="13.15">
      <c r="A33" s="174" t="s">
        <v>87</v>
      </c>
      <c r="C33" s="32" t="s">
        <v>22</v>
      </c>
    </row>
    <row r="34" spans="1:12" ht="39.4">
      <c r="A34" s="67"/>
      <c r="B34" s="68"/>
      <c r="C34" s="69"/>
      <c r="D34" s="200" t="s">
        <v>41</v>
      </c>
      <c r="E34" s="200" t="s">
        <v>42</v>
      </c>
      <c r="F34" s="200" t="s">
        <v>43</v>
      </c>
      <c r="G34" s="200" t="s">
        <v>44</v>
      </c>
      <c r="H34" s="200" t="s">
        <v>73</v>
      </c>
      <c r="I34" s="200" t="s">
        <v>46</v>
      </c>
      <c r="J34" s="200" t="s">
        <v>74</v>
      </c>
      <c r="K34" s="200" t="s">
        <v>48</v>
      </c>
      <c r="L34" s="200" t="s">
        <v>49</v>
      </c>
    </row>
    <row r="35" spans="1:12" ht="13.5">
      <c r="A35" s="180" t="s">
        <v>75</v>
      </c>
      <c r="B35" s="71"/>
      <c r="C35" s="72">
        <v>0</v>
      </c>
      <c r="D35" s="73"/>
      <c r="E35" s="74"/>
      <c r="F35" s="74"/>
      <c r="G35" s="74"/>
      <c r="H35" s="74"/>
      <c r="I35" s="74"/>
      <c r="J35" s="74"/>
      <c r="K35" s="74"/>
      <c r="L35" s="74"/>
    </row>
    <row r="36" spans="1:12" ht="13.5">
      <c r="A36" s="210" t="s">
        <v>76</v>
      </c>
      <c r="B36" s="75"/>
      <c r="C36" s="72">
        <v>1</v>
      </c>
      <c r="D36" s="76"/>
      <c r="E36" s="77"/>
      <c r="F36" s="77"/>
      <c r="G36" s="77"/>
      <c r="H36" s="77"/>
      <c r="I36" s="77"/>
      <c r="J36" s="77"/>
      <c r="K36" s="77"/>
      <c r="L36" s="77"/>
    </row>
    <row r="37" spans="1:12">
      <c r="A37" s="213"/>
      <c r="B37" s="208" t="s">
        <v>50</v>
      </c>
      <c r="C37" s="79">
        <v>2</v>
      </c>
      <c r="D37" s="205">
        <f>SUMIFS(Table_MedicalGapAgreements[AmountCharged],Table_MedicalGapAgreements[Year],Selection!$E$14,Table_MedicalGapAgreements[MonthEnd],Selection!$E$15,Table_MedicalGapAgreements[State],"QLD",Table_MedicalGapAgreements[GapType],"No gap agreement",Table_MedicalGapAgreements[MBSFeePercentage],"Up to MBS Fee")</f>
        <v>20215428.390000001</v>
      </c>
      <c r="E37" s="205">
        <f>SUMIFS(Table_MedicalGapAgreements[MedicareBenefit],Table_MedicalGapAgreements[Year],Selection!$E$14,Table_MedicalGapAgreements[MonthEnd],Selection!$E$15,Table_MedicalGapAgreements[State],"QLD",Table_MedicalGapAgreements[GapType],"No gap agreement",Table_MedicalGapAgreements[MBSFeePercentage],"Up to MBS Fee")</f>
        <v>15206797.810000001</v>
      </c>
      <c r="F37" s="205">
        <f>SUMIFS(Table_MedicalGapAgreements[FundBenefit],Table_MedicalGapAgreements[Year],Selection!$E$14,Table_MedicalGapAgreements[MonthEnd],Selection!$E$15,Table_MedicalGapAgreements[State],"QLD",Table_MedicalGapAgreements[GapType],"No gap agreement",Table_MedicalGapAgreements[MBSFeePercentage],"Up to MBS Fee")</f>
        <v>5008638.53</v>
      </c>
      <c r="G37" s="205">
        <f>D37-E37-F37</f>
        <v>-7.9500000001862645</v>
      </c>
      <c r="H37" s="182">
        <f>SUMIFS(Table_MedicalGapAgreements[NumberofServices],Table_MedicalGapAgreements[Year],Selection!$E$14,Table_MedicalGapAgreements[MonthEnd],Selection!$E$15,Table_MedicalGapAgreements[State],"QLD",Table_MedicalGapAgreements[GapType],"No gap agreement",Table_MedicalGapAgreements[MBSFeePercentage],"Up to MBS Fee")</f>
        <v>331449</v>
      </c>
      <c r="I37" s="183">
        <f t="shared" ref="I37:I42" si="24">H37/H$58</f>
        <v>0.14781323165429125</v>
      </c>
      <c r="J37" s="183">
        <f t="shared" ref="J37:J42" si="25">D37/(E37/0.75)</f>
        <v>0.99702590130643687</v>
      </c>
      <c r="K37" s="207">
        <f t="shared" ref="K37:K42" si="26">D37/H37</f>
        <v>60.991067675570001</v>
      </c>
      <c r="L37" s="207">
        <f t="shared" ref="L37:L42" si="27">G37/H37</f>
        <v>-2.398559054390348E-5</v>
      </c>
    </row>
    <row r="38" spans="1:12">
      <c r="A38" s="211"/>
      <c r="B38" s="208" t="s">
        <v>51</v>
      </c>
      <c r="C38" s="79">
        <v>3</v>
      </c>
      <c r="D38" s="205">
        <f>SUMIFS(Table_MedicalGapAgreements[AmountCharged],Table_MedicalGapAgreements[Year],Selection!$E$14,Table_MedicalGapAgreements[MonthEnd],Selection!$E$15,Table_MedicalGapAgreements[State],"QLD",Table_MedicalGapAgreements[GapType],"No gap agreement",Table_MedicalGapAgreements[MBSFeePercentage],"100% MBS Fee to 125% MBS Fee")</f>
        <v>54642748.609999999</v>
      </c>
      <c r="E38" s="205">
        <f>SUMIFS(Table_MedicalGapAgreements[MedicareBenefit],Table_MedicalGapAgreements[Year],Selection!$E$14,Table_MedicalGapAgreements[MonthEnd],Selection!$E$15,Table_MedicalGapAgreements[State],"QLD",Table_MedicalGapAgreements[GapType],"No gap agreement",Table_MedicalGapAgreements[MBSFeePercentage],"100% MBS Fee to 125% MBS Fee")</f>
        <v>34863198.049999997</v>
      </c>
      <c r="F38" s="205">
        <f>SUMIFS(Table_MedicalGapAgreements[FundBenefit],Table_MedicalGapAgreements[Year],Selection!$E$14,Table_MedicalGapAgreements[MonthEnd],Selection!$E$15,Table_MedicalGapAgreements[State],"QLD",Table_MedicalGapAgreements[GapType],"No gap agreement",Table_MedicalGapAgreements[MBSFeePercentage],"100% MBS Fee to 125% MBS Fee")</f>
        <v>19778518.75</v>
      </c>
      <c r="G38" s="205">
        <f t="shared" ref="G38:G42" si="28">D38-E38-F38</f>
        <v>1031.8100000023842</v>
      </c>
      <c r="H38" s="182">
        <f>SUMIFS(Table_MedicalGapAgreements[NumberofServices],Table_MedicalGapAgreements[Year],Selection!$E$14,Table_MedicalGapAgreements[MonthEnd],Selection!$E$15,Table_MedicalGapAgreements[State],"QLD",Table_MedicalGapAgreements[GapType],"No gap agreement",Table_MedicalGapAgreements[MBSFeePercentage],"100% MBS Fee to 125% MBS Fee")</f>
        <v>405046</v>
      </c>
      <c r="I38" s="183">
        <f t="shared" si="24"/>
        <v>0.18063460209155574</v>
      </c>
      <c r="J38" s="183">
        <f t="shared" si="25"/>
        <v>1.1755106745722084</v>
      </c>
      <c r="K38" s="207">
        <f t="shared" si="26"/>
        <v>134.9050443900199</v>
      </c>
      <c r="L38" s="207">
        <f t="shared" si="27"/>
        <v>2.547389679202817E-3</v>
      </c>
    </row>
    <row r="39" spans="1:12">
      <c r="A39" s="212"/>
      <c r="B39" s="208" t="s">
        <v>52</v>
      </c>
      <c r="C39" s="79">
        <v>4</v>
      </c>
      <c r="D39" s="205">
        <f>SUMIFS(Table_MedicalGapAgreements[AmountCharged],Table_MedicalGapAgreements[Year],Selection!$E$14,Table_MedicalGapAgreements[MonthEnd],Selection!$E$15,Table_MedicalGapAgreements[State],"QLD",Table_MedicalGapAgreements[GapType],"No gap agreement",Table_MedicalGapAgreements[MBSFeePercentage],"More than 125% MBS Fee to 150% MBS Fee")</f>
        <v>91646043.280000001</v>
      </c>
      <c r="E39" s="205">
        <f>SUMIFS(Table_MedicalGapAgreements[MedicareBenefit],Table_MedicalGapAgreements[Year],Selection!$E$14,Table_MedicalGapAgreements[MonthEnd],Selection!$E$15,Table_MedicalGapAgreements[State],"QLD",Table_MedicalGapAgreements[GapType],"No gap agreement",Table_MedicalGapAgreements[MBSFeePercentage],"More than 125% MBS Fee to 150% MBS Fee")</f>
        <v>50646039.369999997</v>
      </c>
      <c r="F39" s="205">
        <f>SUMIFS(Table_MedicalGapAgreements[FundBenefit],Table_MedicalGapAgreements[Year],Selection!$E$14,Table_MedicalGapAgreements[MonthEnd],Selection!$E$15,Table_MedicalGapAgreements[State],"QLD",Table_MedicalGapAgreements[GapType],"No gap agreement",Table_MedicalGapAgreements[MBSFeePercentage],"More than 125% MBS Fee to 150% MBS Fee")</f>
        <v>40999851.469999999</v>
      </c>
      <c r="G39" s="205">
        <f t="shared" si="28"/>
        <v>152.44000000506639</v>
      </c>
      <c r="H39" s="182">
        <f>SUMIFS(Table_MedicalGapAgreements[NumberofServices],Table_MedicalGapAgreements[Year],Selection!$E$14,Table_MedicalGapAgreements[MonthEnd],Selection!$E$15,Table_MedicalGapAgreements[State],"QLD",Table_MedicalGapAgreements[GapType],"No gap agreement",Table_MedicalGapAgreements[MBSFeePercentage],"More than 125% MBS Fee to 150% MBS Fee")</f>
        <v>637966</v>
      </c>
      <c r="I39" s="183">
        <f t="shared" si="24"/>
        <v>0.28450777086538676</v>
      </c>
      <c r="J39" s="183">
        <f t="shared" si="25"/>
        <v>1.3571551362161336</v>
      </c>
      <c r="K39" s="207">
        <f t="shared" si="26"/>
        <v>143.65349137728344</v>
      </c>
      <c r="L39" s="207">
        <f t="shared" si="27"/>
        <v>2.3894690313444039E-4</v>
      </c>
    </row>
    <row r="40" spans="1:12" ht="15">
      <c r="A40" s="212"/>
      <c r="B40" s="208" t="s">
        <v>53</v>
      </c>
      <c r="C40" s="82"/>
      <c r="D40" s="205">
        <f>SUMIFS(Table_MedicalGapAgreements[AmountCharged],Table_MedicalGapAgreements[Year],Selection!$E$14,Table_MedicalGapAgreements[MonthEnd],Selection!$E$15,Table_MedicalGapAgreements[State],"QLD",Table_MedicalGapAgreements[GapType],"No gap agreement",Table_MedicalGapAgreements[MBSFeePercentage],"More than 150% MBS Fee to 200% MBS Fee")</f>
        <v>76137365.680000007</v>
      </c>
      <c r="E40" s="205">
        <f>SUMIFS(Table_MedicalGapAgreements[MedicareBenefit],Table_MedicalGapAgreements[Year],Selection!$E$14,Table_MedicalGapAgreements[MonthEnd],Selection!$E$15,Table_MedicalGapAgreements[State],"QLD",Table_MedicalGapAgreements[GapType],"No gap agreement",Table_MedicalGapAgreements[MBSFeePercentage],"More than 150% MBS Fee to 200% MBS Fee")</f>
        <v>35292354.359999999</v>
      </c>
      <c r="F40" s="205">
        <f>SUMIFS(Table_MedicalGapAgreements[FundBenefit],Table_MedicalGapAgreements[Year],Selection!$E$14,Table_MedicalGapAgreements[MonthEnd],Selection!$E$15,Table_MedicalGapAgreements[State],"QLD",Table_MedicalGapAgreements[GapType],"No gap agreement",Table_MedicalGapAgreements[MBSFeePercentage],"More than 150% MBS Fee to 200% MBS Fee")</f>
        <v>40844398.920000002</v>
      </c>
      <c r="G40" s="205">
        <f t="shared" si="28"/>
        <v>612.40000000596046</v>
      </c>
      <c r="H40" s="182">
        <f>SUMIFS(Table_MedicalGapAgreements[NumberofServices],Table_MedicalGapAgreements[Year],Selection!$E$14,Table_MedicalGapAgreements[MonthEnd],Selection!$E$15,Table_MedicalGapAgreements[State],"QLD",Table_MedicalGapAgreements[GapType],"No gap agreement",Table_MedicalGapAgreements[MBSFeePercentage],"More than 150% MBS Fee to 200% MBS Fee")</f>
        <v>494310</v>
      </c>
      <c r="I40" s="183">
        <f t="shared" si="24"/>
        <v>0.22044283898588535</v>
      </c>
      <c r="J40" s="183">
        <f t="shared" si="25"/>
        <v>1.6179998556491886</v>
      </c>
      <c r="K40" s="207">
        <f t="shared" si="26"/>
        <v>154.0275650502721</v>
      </c>
      <c r="L40" s="207">
        <f t="shared" si="27"/>
        <v>1.2388986668405665E-3</v>
      </c>
    </row>
    <row r="41" spans="1:12" ht="15">
      <c r="A41" s="212"/>
      <c r="B41" s="208" t="s">
        <v>54</v>
      </c>
      <c r="C41" s="82">
        <v>5</v>
      </c>
      <c r="D41" s="205">
        <f>SUMIFS(Table_MedicalGapAgreements[AmountCharged],Table_MedicalGapAgreements[Year],Selection!$E$14,Table_MedicalGapAgreements[MonthEnd],Selection!$E$15,Table_MedicalGapAgreements[State],"QLD",Table_MedicalGapAgreements[GapType],"No gap agreement",Table_MedicalGapAgreements[MBSFeePercentage],"More than 200% MBS Fee")</f>
        <v>3833710.83</v>
      </c>
      <c r="E41" s="205">
        <f>SUMIFS(Table_MedicalGapAgreements[MedicareBenefit],Table_MedicalGapAgreements[Year],Selection!$E$14,Table_MedicalGapAgreements[MonthEnd],Selection!$E$15,Table_MedicalGapAgreements[State],"QLD",Table_MedicalGapAgreements[GapType],"No gap agreement",Table_MedicalGapAgreements[MBSFeePercentage],"More than 200% MBS Fee")</f>
        <v>1065313.1200000001</v>
      </c>
      <c r="F41" s="205">
        <f>SUMIFS(Table_MedicalGapAgreements[FundBenefit],Table_MedicalGapAgreements[Year],Selection!$E$14,Table_MedicalGapAgreements[MonthEnd],Selection!$E$15,Table_MedicalGapAgreements[State],"QLD",Table_MedicalGapAgreements[GapType],"No gap agreement",Table_MedicalGapAgreements[MBSFeePercentage],"More than 200% MBS Fee")</f>
        <v>2768397.57</v>
      </c>
      <c r="G41" s="205">
        <f t="shared" si="28"/>
        <v>0.14000000013038516</v>
      </c>
      <c r="H41" s="182">
        <f>SUMIFS(Table_MedicalGapAgreements[NumberofServices],Table_MedicalGapAgreements[Year],Selection!$E$14,Table_MedicalGapAgreements[MonthEnd],Selection!$E$15,Table_MedicalGapAgreements[State],"QLD",Table_MedicalGapAgreements[GapType],"No gap agreement",Table_MedicalGapAgreements[MBSFeePercentage],"More than 200% MBS Fee")</f>
        <v>3202</v>
      </c>
      <c r="I41" s="183">
        <f t="shared" si="24"/>
        <v>1.4279661961781166E-3</v>
      </c>
      <c r="J41" s="183">
        <f t="shared" si="25"/>
        <v>2.6990028269810473</v>
      </c>
      <c r="K41" s="207">
        <f t="shared" si="26"/>
        <v>1197.2863304184884</v>
      </c>
      <c r="L41" s="207">
        <f t="shared" si="27"/>
        <v>4.3722673369889185E-5</v>
      </c>
    </row>
    <row r="42" spans="1:12" ht="15">
      <c r="A42" s="214"/>
      <c r="B42" s="209" t="s">
        <v>0</v>
      </c>
      <c r="C42" s="84">
        <v>6</v>
      </c>
      <c r="D42" s="202">
        <f>SUM(D37:D41)</f>
        <v>246475296.79000002</v>
      </c>
      <c r="E42" s="202">
        <f t="shared" ref="E42:F42" si="29">SUM(E37:E41)</f>
        <v>137073702.70999998</v>
      </c>
      <c r="F42" s="202">
        <f t="shared" si="29"/>
        <v>109399805.23999999</v>
      </c>
      <c r="G42" s="202">
        <f t="shared" si="28"/>
        <v>1788.8400000482798</v>
      </c>
      <c r="H42" s="206">
        <f t="shared" ref="H42" si="30">SUM(H37:H41)</f>
        <v>1871973</v>
      </c>
      <c r="I42" s="203">
        <f t="shared" si="24"/>
        <v>0.83482640979329725</v>
      </c>
      <c r="J42" s="203">
        <f t="shared" si="25"/>
        <v>1.3485918081865176</v>
      </c>
      <c r="K42" s="204">
        <f t="shared" si="26"/>
        <v>131.66605329777727</v>
      </c>
      <c r="L42" s="204">
        <f t="shared" si="27"/>
        <v>9.5559070566096822E-4</v>
      </c>
    </row>
    <row r="43" spans="1:12" ht="15">
      <c r="A43" s="215" t="s">
        <v>77</v>
      </c>
      <c r="B43" s="75"/>
      <c r="C43" s="85"/>
      <c r="D43" s="86"/>
      <c r="E43" s="87"/>
      <c r="F43" s="87"/>
      <c r="G43" s="88"/>
      <c r="H43" s="89"/>
      <c r="I43" s="90"/>
      <c r="J43" s="91"/>
      <c r="K43" s="92"/>
      <c r="L43" s="92"/>
    </row>
    <row r="44" spans="1:12" ht="15">
      <c r="A44" s="213"/>
      <c r="B44" s="208" t="s">
        <v>51</v>
      </c>
      <c r="C44" s="93">
        <v>7</v>
      </c>
      <c r="D44" s="205">
        <f>SUMIFS(Table_MedicalGapAgreements[AmountCharged],Table_MedicalGapAgreements[Year],Selection!$E$14,Table_MedicalGapAgreements[MonthEnd],Selection!$E$15,Table_MedicalGapAgreements[State],"QLD",Table_MedicalGapAgreements[GapType],"Known gap agreement",Table_MedicalGapAgreements[MBSFeePercentage],"100% MBS Fee to 125% MBS Fee")</f>
        <v>1722440.56</v>
      </c>
      <c r="E44" s="205">
        <f>SUMIFS(Table_MedicalGapAgreements[MedicareBenefit],Table_MedicalGapAgreements[Year],Selection!$E$14,Table_MedicalGapAgreements[MonthEnd],Selection!$E$15,Table_MedicalGapAgreements[State],"QLD",Table_MedicalGapAgreements[GapType],"Known gap agreement",Table_MedicalGapAgreements[MBSFeePercentage],"100% MBS Fee to 125% MBS Fee")</f>
        <v>1037185.24</v>
      </c>
      <c r="F44" s="205">
        <f>SUMIFS(Table_MedicalGapAgreements[FundBenefit],Table_MedicalGapAgreements[Year],Selection!$E$14,Table_MedicalGapAgreements[MonthEnd],Selection!$E$15,Table_MedicalGapAgreements[State],"QLD",Table_MedicalGapAgreements[GapType],"Known gap agreement",Table_MedicalGapAgreements[MBSFeePercentage],"100% MBS Fee to 125% MBS Fee")</f>
        <v>485422.68</v>
      </c>
      <c r="G44" s="205">
        <f t="shared" ref="G44:G47" si="31">D44-E44-F44</f>
        <v>199832.64000000007</v>
      </c>
      <c r="H44" s="182">
        <f>SUMIFS(Table_MedicalGapAgreements[NumberofServices],Table_MedicalGapAgreements[Year],Selection!$E$14,Table_MedicalGapAgreements[MonthEnd],Selection!$E$15,Table_MedicalGapAgreements[State],"QLD",Table_MedicalGapAgreements[GapType],"Known gap agreement",Table_MedicalGapAgreements[MBSFeePercentage],"100% MBS Fee to 125% MBS Fee")</f>
        <v>7417</v>
      </c>
      <c r="I44" s="183">
        <f t="shared" ref="I44:I49" si="32">H44/H$58</f>
        <v>3.3076905924588045E-3</v>
      </c>
      <c r="J44" s="183">
        <f t="shared" ref="J44:J49" si="33">D44/(E44/0.75)</f>
        <v>1.2455156226480817</v>
      </c>
      <c r="K44" s="207">
        <f t="shared" ref="K44:K49" si="34">D44/H44</f>
        <v>232.22873938249967</v>
      </c>
      <c r="L44" s="207">
        <f t="shared" ref="L44:L49" si="35">G44/H44</f>
        <v>26.94251584198464</v>
      </c>
    </row>
    <row r="45" spans="1:12" ht="15">
      <c r="A45" s="211"/>
      <c r="B45" s="208" t="s">
        <v>52</v>
      </c>
      <c r="C45" s="93">
        <v>8</v>
      </c>
      <c r="D45" s="205">
        <f>SUMIFS(Table_MedicalGapAgreements[AmountCharged],Table_MedicalGapAgreements[Year],Selection!$E$14,Table_MedicalGapAgreements[MonthEnd],Selection!$E$15,Table_MedicalGapAgreements[State],"QLD",Table_MedicalGapAgreements[GapType],"Known gap agreement",Table_MedicalGapAgreements[MBSFeePercentage],"More than 125% MBS Fee to 150% MBS Fee")</f>
        <v>6540100.0700000003</v>
      </c>
      <c r="E45" s="205">
        <f>SUMIFS(Table_MedicalGapAgreements[MedicareBenefit],Table_MedicalGapAgreements[Year],Selection!$E$14,Table_MedicalGapAgreements[MonthEnd],Selection!$E$15,Table_MedicalGapAgreements[State],"QLD",Table_MedicalGapAgreements[GapType],"Known gap agreement",Table_MedicalGapAgreements[MBSFeePercentage],"More than 125% MBS Fee to 150% MBS Fee")</f>
        <v>3493588.76</v>
      </c>
      <c r="F45" s="205">
        <f>SUMIFS(Table_MedicalGapAgreements[FundBenefit],Table_MedicalGapAgreements[Year],Selection!$E$14,Table_MedicalGapAgreements[MonthEnd],Selection!$E$15,Table_MedicalGapAgreements[State],"QLD",Table_MedicalGapAgreements[GapType],"Known gap agreement",Table_MedicalGapAgreements[MBSFeePercentage],"More than 125% MBS Fee to 150% MBS Fee")</f>
        <v>2470950.6</v>
      </c>
      <c r="G45" s="205">
        <f t="shared" si="31"/>
        <v>575560.71000000043</v>
      </c>
      <c r="H45" s="182">
        <f>SUMIFS(Table_MedicalGapAgreements[NumberofServices],Table_MedicalGapAgreements[Year],Selection!$E$14,Table_MedicalGapAgreements[MonthEnd],Selection!$E$15,Table_MedicalGapAgreements[State],"QLD",Table_MedicalGapAgreements[GapType],"Known gap agreement",Table_MedicalGapAgreements[MBSFeePercentage],"More than 125% MBS Fee to 150% MBS Fee")</f>
        <v>29956</v>
      </c>
      <c r="I45" s="183">
        <f t="shared" si="32"/>
        <v>1.3359199054563294E-2</v>
      </c>
      <c r="J45" s="183">
        <f t="shared" si="33"/>
        <v>1.4040218782075542</v>
      </c>
      <c r="K45" s="207">
        <f t="shared" si="34"/>
        <v>218.32354353051142</v>
      </c>
      <c r="L45" s="207">
        <f t="shared" si="35"/>
        <v>19.213536854052624</v>
      </c>
    </row>
    <row r="46" spans="1:12">
      <c r="A46" s="212"/>
      <c r="B46" s="208" t="s">
        <v>53</v>
      </c>
      <c r="C46" s="94"/>
      <c r="D46" s="205">
        <f>SUMIFS(Table_MedicalGapAgreements[AmountCharged],Table_MedicalGapAgreements[Year],Selection!$E$14,Table_MedicalGapAgreements[MonthEnd],Selection!$E$15,Table_MedicalGapAgreements[State],"QLD",Table_MedicalGapAgreements[GapType],"Known gap agreement",Table_MedicalGapAgreements[MBSFeePercentage],"More than 150% MBS Fee to 200% MBS Fee")</f>
        <v>30167550.370000001</v>
      </c>
      <c r="E46" s="205">
        <f>SUMIFS(Table_MedicalGapAgreements[MedicareBenefit],Table_MedicalGapAgreements[Year],Selection!$E$14,Table_MedicalGapAgreements[MonthEnd],Selection!$E$15,Table_MedicalGapAgreements[State],"QLD",Table_MedicalGapAgreements[GapType],"Known gap agreement",Table_MedicalGapAgreements[MBSFeePercentage],"More than 150% MBS Fee to 200% MBS Fee")</f>
        <v>12765362.720000001</v>
      </c>
      <c r="F46" s="205">
        <f>SUMIFS(Table_MedicalGapAgreements[FundBenefit],Table_MedicalGapAgreements[Year],Selection!$E$14,Table_MedicalGapAgreements[MonthEnd],Selection!$E$15,Table_MedicalGapAgreements[State],"QLD",Table_MedicalGapAgreements[GapType],"Known gap agreement",Table_MedicalGapAgreements[MBSFeePercentage],"More than 150% MBS Fee to 200% MBS Fee")</f>
        <v>12397924.9</v>
      </c>
      <c r="G46" s="205">
        <f t="shared" si="31"/>
        <v>5004262.7499999981</v>
      </c>
      <c r="H46" s="182">
        <f>SUMIFS(Table_MedicalGapAgreements[NumberofServices],Table_MedicalGapAgreements[Year],Selection!$E$14,Table_MedicalGapAgreements[MonthEnd],Selection!$E$15,Table_MedicalGapAgreements[State],"QLD",Table_MedicalGapAgreements[GapType],"Known gap agreement",Table_MedicalGapAgreements[MBSFeePercentage],"More than 150% MBS Fee to 200% MBS Fee")</f>
        <v>42126</v>
      </c>
      <c r="I46" s="183">
        <f t="shared" si="32"/>
        <v>1.8786540905746205E-2</v>
      </c>
      <c r="J46" s="183">
        <f t="shared" si="33"/>
        <v>1.7724261561366741</v>
      </c>
      <c r="K46" s="207">
        <f t="shared" si="34"/>
        <v>716.12662892275557</v>
      </c>
      <c r="L46" s="207">
        <f t="shared" si="35"/>
        <v>118.79273489056635</v>
      </c>
    </row>
    <row r="47" spans="1:12" ht="15">
      <c r="A47" s="212"/>
      <c r="B47" s="208" t="s">
        <v>54</v>
      </c>
      <c r="C47" s="93">
        <v>9</v>
      </c>
      <c r="D47" s="205">
        <f>SUMIFS(Table_MedicalGapAgreements[AmountCharged],Table_MedicalGapAgreements[Year],Selection!$E$14,Table_MedicalGapAgreements[MonthEnd],Selection!$E$15,Table_MedicalGapAgreements[State],"QLD",Table_MedicalGapAgreements[GapType],"Known gap agreement",Table_MedicalGapAgreements[MBSFeePercentage],"More than 200% MBS Fee")</f>
        <v>63271501.5</v>
      </c>
      <c r="E47" s="205">
        <f>SUMIFS(Table_MedicalGapAgreements[MedicareBenefit],Table_MedicalGapAgreements[Year],Selection!$E$14,Table_MedicalGapAgreements[MonthEnd],Selection!$E$15,Table_MedicalGapAgreements[State],"QLD",Table_MedicalGapAgreements[GapType],"Known gap agreement",Table_MedicalGapAgreements[MBSFeePercentage],"More than 200% MBS Fee")</f>
        <v>15526498.789999999</v>
      </c>
      <c r="F47" s="205">
        <f>SUMIFS(Table_MedicalGapAgreements[FundBenefit],Table_MedicalGapAgreements[Year],Selection!$E$14,Table_MedicalGapAgreements[MonthEnd],Selection!$E$15,Table_MedicalGapAgreements[State],"QLD",Table_MedicalGapAgreements[GapType],"Known gap agreement",Table_MedicalGapAgreements[MBSFeePercentage],"More than 200% MBS Fee")</f>
        <v>16862722.550000001</v>
      </c>
      <c r="G47" s="205">
        <f t="shared" si="31"/>
        <v>30882280.16</v>
      </c>
      <c r="H47" s="182">
        <f>SUMIFS(Table_MedicalGapAgreements[NumberofServices],Table_MedicalGapAgreements[Year],Selection!$E$14,Table_MedicalGapAgreements[MonthEnd],Selection!$E$15,Table_MedicalGapAgreements[State],"QLD",Table_MedicalGapAgreements[GapType],"Known gap agreement",Table_MedicalGapAgreements[MBSFeePercentage],"More than 200% MBS Fee")</f>
        <v>165572</v>
      </c>
      <c r="I47" s="183">
        <f t="shared" si="32"/>
        <v>7.3838606818739272E-2</v>
      </c>
      <c r="J47" s="183">
        <f t="shared" si="33"/>
        <v>3.0562992189561107</v>
      </c>
      <c r="K47" s="207">
        <f t="shared" si="34"/>
        <v>382.13889727731743</v>
      </c>
      <c r="L47" s="207">
        <f t="shared" si="35"/>
        <v>186.51873601816732</v>
      </c>
    </row>
    <row r="48" spans="1:12" ht="15">
      <c r="A48" s="214"/>
      <c r="B48" s="209" t="s">
        <v>0</v>
      </c>
      <c r="C48" s="95"/>
      <c r="D48" s="202">
        <f>SUM(D44:D47)</f>
        <v>101701592.5</v>
      </c>
      <c r="E48" s="202">
        <f t="shared" ref="E48:H48" si="36">SUM(E44:E47)</f>
        <v>32822635.509999998</v>
      </c>
      <c r="F48" s="202">
        <f t="shared" si="36"/>
        <v>32217020.73</v>
      </c>
      <c r="G48" s="202">
        <f t="shared" si="36"/>
        <v>36661936.259999998</v>
      </c>
      <c r="H48" s="206">
        <f t="shared" si="36"/>
        <v>245071</v>
      </c>
      <c r="I48" s="203">
        <f t="shared" si="32"/>
        <v>0.10929203737150757</v>
      </c>
      <c r="J48" s="203">
        <f t="shared" si="33"/>
        <v>2.3238899981618206</v>
      </c>
      <c r="K48" s="204">
        <f t="shared" si="34"/>
        <v>414.988278906929</v>
      </c>
      <c r="L48" s="204">
        <f t="shared" si="35"/>
        <v>149.59720350429058</v>
      </c>
    </row>
    <row r="49" spans="1:12" ht="15">
      <c r="A49" s="216" t="s">
        <v>78</v>
      </c>
      <c r="B49" s="216"/>
      <c r="C49" s="95">
        <v>10</v>
      </c>
      <c r="D49" s="202">
        <f>D48+D42</f>
        <v>348176889.29000002</v>
      </c>
      <c r="E49" s="202">
        <f t="shared" ref="E49:H49" si="37">E48+E42</f>
        <v>169896338.21999997</v>
      </c>
      <c r="F49" s="202">
        <f t="shared" si="37"/>
        <v>141616825.97</v>
      </c>
      <c r="G49" s="202">
        <f t="shared" si="37"/>
        <v>36663725.100000046</v>
      </c>
      <c r="H49" s="206">
        <f t="shared" si="37"/>
        <v>2117044</v>
      </c>
      <c r="I49" s="203">
        <f t="shared" si="32"/>
        <v>0.94411844716480475</v>
      </c>
      <c r="J49" s="203">
        <f t="shared" si="33"/>
        <v>1.5370117431804651</v>
      </c>
      <c r="K49" s="204">
        <f t="shared" si="34"/>
        <v>164.46369999395384</v>
      </c>
      <c r="L49" s="204">
        <f t="shared" si="35"/>
        <v>17.318357625065914</v>
      </c>
    </row>
    <row r="50" spans="1:12" ht="15">
      <c r="A50" s="210" t="s">
        <v>79</v>
      </c>
      <c r="B50" s="75"/>
      <c r="C50" s="96"/>
      <c r="D50" s="97"/>
      <c r="E50" s="97"/>
      <c r="F50" s="97"/>
      <c r="G50" s="98"/>
      <c r="H50" s="99"/>
      <c r="I50" s="100"/>
      <c r="J50" s="100"/>
      <c r="K50" s="101"/>
      <c r="L50" s="101"/>
    </row>
    <row r="51" spans="1:12" ht="15">
      <c r="A51" s="213"/>
      <c r="B51" s="208" t="s">
        <v>50</v>
      </c>
      <c r="C51" s="96">
        <v>22</v>
      </c>
      <c r="D51" s="205">
        <f>SUMIFS(Table_MedicalGapAgreements[AmountCharged],Table_MedicalGapAgreements[Year],Selection!$E$14,Table_MedicalGapAgreements[MonthEnd],Selection!$E$15,Table_MedicalGapAgreements[State],"QLD",Table_MedicalGapAgreements[GapType],"No agreement",Table_MedicalGapAgreements[MBSFeePercentage],"Up to MBS Fee")</f>
        <v>4064946.41</v>
      </c>
      <c r="E51" s="205">
        <f>SUMIFS(Table_MedicalGapAgreements[MedicareBenefit],Table_MedicalGapAgreements[Year],Selection!$E$14,Table_MedicalGapAgreements[MonthEnd],Selection!$E$15,Table_MedicalGapAgreements[State],"QLD",Table_MedicalGapAgreements[GapType],"No agreement",Table_MedicalGapAgreements[MBSFeePercentage],"Up to MBS Fee")</f>
        <v>3012903.33</v>
      </c>
      <c r="F51" s="205">
        <f>SUMIFS(Table_MedicalGapAgreements[FundBenefit],Table_MedicalGapAgreements[Year],Selection!$E$14,Table_MedicalGapAgreements[MonthEnd],Selection!$E$15,Table_MedicalGapAgreements[State],"QLD",Table_MedicalGapAgreements[GapType],"No agreement",Table_MedicalGapAgreements[MBSFeePercentage],"Up to MBS Fee")</f>
        <v>1012037.38</v>
      </c>
      <c r="G51" s="205">
        <f>D51-E51-F51</f>
        <v>40005.70000000007</v>
      </c>
      <c r="H51" s="182">
        <f>SUMIFS(Table_MedicalGapAgreements[NumberofServices],Table_MedicalGapAgreements[Year],Selection!$E$14,Table_MedicalGapAgreements[MonthEnd],Selection!$E$15,Table_MedicalGapAgreements[State],"QLD",Table_MedicalGapAgreements[GapType],"No agreement",Table_MedicalGapAgreements[MBSFeePercentage],"Up to MBS Fee")</f>
        <v>54780</v>
      </c>
      <c r="I51" s="183">
        <f t="shared" ref="I51:I56" si="38">H51/H$58</f>
        <v>2.4429727740986021E-2</v>
      </c>
      <c r="J51" s="183">
        <f t="shared" ref="J51:J56" si="39">D51/(E51/0.75)</f>
        <v>1.0118843764894376</v>
      </c>
      <c r="K51" s="207">
        <f t="shared" ref="K51:K56" si="40">D51/H51</f>
        <v>74.204936290617013</v>
      </c>
      <c r="L51" s="207">
        <f t="shared" ref="L51:L56" si="41">G51/H51</f>
        <v>0.73029755385177197</v>
      </c>
    </row>
    <row r="52" spans="1:12" ht="15">
      <c r="A52" s="211"/>
      <c r="B52" s="208" t="s">
        <v>51</v>
      </c>
      <c r="C52" s="96">
        <v>23</v>
      </c>
      <c r="D52" s="205">
        <f>SUMIFS(Table_MedicalGapAgreements[AmountCharged],Table_MedicalGapAgreements[Year],Selection!$E$14,Table_MedicalGapAgreements[MonthEnd],Selection!$E$15,Table_MedicalGapAgreements[State],"QLD",Table_MedicalGapAgreements[GapType],"No agreement",Table_MedicalGapAgreements[MBSFeePercentage],"100% MBS Fee to 125% MBS Fee")</f>
        <v>988243.71</v>
      </c>
      <c r="E52" s="205">
        <f>SUMIFS(Table_MedicalGapAgreements[MedicareBenefit],Table_MedicalGapAgreements[Year],Selection!$E$14,Table_MedicalGapAgreements[MonthEnd],Selection!$E$15,Table_MedicalGapAgreements[State],"QLD",Table_MedicalGapAgreements[GapType],"No agreement",Table_MedicalGapAgreements[MBSFeePercentage],"100% MBS Fee to 125% MBS Fee")</f>
        <v>660231.13</v>
      </c>
      <c r="F52" s="205">
        <f>SUMIFS(Table_MedicalGapAgreements[FundBenefit],Table_MedicalGapAgreements[Year],Selection!$E$14,Table_MedicalGapAgreements[MonthEnd],Selection!$E$15,Table_MedicalGapAgreements[State],"QLD",Table_MedicalGapAgreements[GapType],"No agreement",Table_MedicalGapAgreements[MBSFeePercentage],"100% MBS Fee to 125% MBS Fee")</f>
        <v>221485.64</v>
      </c>
      <c r="G52" s="205">
        <f t="shared" ref="G52:G55" si="42">D52-E52-F52</f>
        <v>106526.93999999994</v>
      </c>
      <c r="H52" s="182">
        <f>SUMIFS(Table_MedicalGapAgreements[NumberofServices],Table_MedicalGapAgreements[Year],Selection!$E$14,Table_MedicalGapAgreements[MonthEnd],Selection!$E$15,Table_MedicalGapAgreements[State],"QLD",Table_MedicalGapAgreements[GapType],"No agreement",Table_MedicalGapAgreements[MBSFeePercentage],"100% MBS Fee to 125% MBS Fee")</f>
        <v>1710</v>
      </c>
      <c r="I52" s="183">
        <f t="shared" si="38"/>
        <v>7.6259281557294802E-4</v>
      </c>
      <c r="J52" s="183">
        <f t="shared" si="39"/>
        <v>1.1226110809104077</v>
      </c>
      <c r="K52" s="207">
        <f t="shared" si="40"/>
        <v>577.92029824561405</v>
      </c>
      <c r="L52" s="207">
        <f t="shared" si="41"/>
        <v>62.296456140350841</v>
      </c>
    </row>
    <row r="53" spans="1:12">
      <c r="A53" s="212"/>
      <c r="B53" s="208" t="s">
        <v>52</v>
      </c>
      <c r="C53" s="102">
        <v>24</v>
      </c>
      <c r="D53" s="205">
        <f>SUMIFS(Table_MedicalGapAgreements[AmountCharged],Table_MedicalGapAgreements[Year],Selection!$E$14,Table_MedicalGapAgreements[MonthEnd],Selection!$E$15,Table_MedicalGapAgreements[State],"QLD",Table_MedicalGapAgreements[GapType],"No agreement",Table_MedicalGapAgreements[MBSFeePercentage],"More than 125% MBS Fee to 150% MBS Fee")</f>
        <v>2140866.7000000002</v>
      </c>
      <c r="E53" s="205">
        <f>SUMIFS(Table_MedicalGapAgreements[MedicareBenefit],Table_MedicalGapAgreements[Year],Selection!$E$14,Table_MedicalGapAgreements[MonthEnd],Selection!$E$15,Table_MedicalGapAgreements[State],"QLD",Table_MedicalGapAgreements[GapType],"No agreement",Table_MedicalGapAgreements[MBSFeePercentage],"More than 125% MBS Fee to 150% MBS Fee")</f>
        <v>1172697.55</v>
      </c>
      <c r="F53" s="205">
        <f>SUMIFS(Table_MedicalGapAgreements[FundBenefit],Table_MedicalGapAgreements[Year],Selection!$E$14,Table_MedicalGapAgreements[MonthEnd],Selection!$E$15,Table_MedicalGapAgreements[State],"QLD",Table_MedicalGapAgreements[GapType],"No agreement",Table_MedicalGapAgreements[MBSFeePercentage],"More than 125% MBS Fee to 150% MBS Fee")</f>
        <v>387917.63</v>
      </c>
      <c r="G53" s="205">
        <f t="shared" si="42"/>
        <v>580251.52000000014</v>
      </c>
      <c r="H53" s="182">
        <f>SUMIFS(Table_MedicalGapAgreements[NumberofServices],Table_MedicalGapAgreements[Year],Selection!$E$14,Table_MedicalGapAgreements[MonthEnd],Selection!$E$15,Table_MedicalGapAgreements[State],"QLD",Table_MedicalGapAgreements[GapType],"No agreement",Table_MedicalGapAgreements[MBSFeePercentage],"More than 125% MBS Fee to 150% MBS Fee")</f>
        <v>3446</v>
      </c>
      <c r="I53" s="183">
        <f t="shared" si="38"/>
        <v>1.5367806096282918E-3</v>
      </c>
      <c r="J53" s="183">
        <f t="shared" si="39"/>
        <v>1.3691936382062024</v>
      </c>
      <c r="K53" s="207">
        <f t="shared" si="40"/>
        <v>621.26137550783517</v>
      </c>
      <c r="L53" s="207">
        <f t="shared" si="41"/>
        <v>168.38407428903079</v>
      </c>
    </row>
    <row r="54" spans="1:12">
      <c r="A54" s="212"/>
      <c r="B54" s="208" t="s">
        <v>53</v>
      </c>
      <c r="C54" s="102">
        <v>25</v>
      </c>
      <c r="D54" s="205">
        <f>SUMIFS(Table_MedicalGapAgreements[AmountCharged],Table_MedicalGapAgreements[Year],Selection!$E$14,Table_MedicalGapAgreements[MonthEnd],Selection!$E$15,Table_MedicalGapAgreements[State],"QLD",Table_MedicalGapAgreements[GapType],"No agreement",Table_MedicalGapAgreements[MBSFeePercentage],"More than 150% MBS Fee to 200% MBS Fee")</f>
        <v>5429257.4800000004</v>
      </c>
      <c r="E54" s="205">
        <f>SUMIFS(Table_MedicalGapAgreements[MedicareBenefit],Table_MedicalGapAgreements[Year],Selection!$E$14,Table_MedicalGapAgreements[MonthEnd],Selection!$E$15,Table_MedicalGapAgreements[State],"QLD",Table_MedicalGapAgreements[GapType],"No agreement",Table_MedicalGapAgreements[MBSFeePercentage],"More than 150% MBS Fee to 200% MBS Fee")</f>
        <v>2353623.12</v>
      </c>
      <c r="F54" s="205">
        <f>SUMIFS(Table_MedicalGapAgreements[FundBenefit],Table_MedicalGapAgreements[Year],Selection!$E$14,Table_MedicalGapAgreements[MonthEnd],Selection!$E$15,Table_MedicalGapAgreements[State],"QLD",Table_MedicalGapAgreements[GapType],"No agreement",Table_MedicalGapAgreements[MBSFeePercentage],"More than 150% MBS Fee to 200% MBS Fee")</f>
        <v>786246.9</v>
      </c>
      <c r="G54" s="205">
        <f t="shared" si="42"/>
        <v>2289387.4600000004</v>
      </c>
      <c r="H54" s="182">
        <f>SUMIFS(Table_MedicalGapAgreements[NumberofServices],Table_MedicalGapAgreements[Year],Selection!$E$14,Table_MedicalGapAgreements[MonthEnd],Selection!$E$15,Table_MedicalGapAgreements[State],"QLD",Table_MedicalGapAgreements[GapType],"No agreement",Table_MedicalGapAgreements[MBSFeePercentage],"More than 150% MBS Fee to 200% MBS Fee")</f>
        <v>19738</v>
      </c>
      <c r="I54" s="183">
        <f t="shared" si="38"/>
        <v>8.8023725109817822E-3</v>
      </c>
      <c r="J54" s="183">
        <f t="shared" si="39"/>
        <v>1.7300744012065961</v>
      </c>
      <c r="K54" s="207">
        <f t="shared" si="40"/>
        <v>275.06624176714968</v>
      </c>
      <c r="L54" s="207">
        <f t="shared" si="41"/>
        <v>115.9888266288378</v>
      </c>
    </row>
    <row r="55" spans="1:12">
      <c r="A55" s="212"/>
      <c r="B55" s="208" t="s">
        <v>54</v>
      </c>
      <c r="C55" s="102">
        <v>26</v>
      </c>
      <c r="D55" s="205">
        <f>SUMIFS(Table_MedicalGapAgreements[AmountCharged],Table_MedicalGapAgreements[Year],Selection!$E$14,Table_MedicalGapAgreements[MonthEnd],Selection!$E$15,Table_MedicalGapAgreements[State],"QLD",Table_MedicalGapAgreements[GapType],"No agreement",Table_MedicalGapAgreements[MBSFeePercentage],"More than 200% MBS Fee")</f>
        <v>64599091.119999997</v>
      </c>
      <c r="E55" s="205">
        <f>SUMIFS(Table_MedicalGapAgreements[MedicareBenefit],Table_MedicalGapAgreements[Year],Selection!$E$14,Table_MedicalGapAgreements[MonthEnd],Selection!$E$15,Table_MedicalGapAgreements[State],"QLD",Table_MedicalGapAgreements[GapType],"No agreement",Table_MedicalGapAgreements[MBSFeePercentage],"More than 200% MBS Fee")</f>
        <v>13743007.82</v>
      </c>
      <c r="F55" s="205">
        <f>SUMIFS(Table_MedicalGapAgreements[FundBenefit],Table_MedicalGapAgreements[Year],Selection!$E$14,Table_MedicalGapAgreements[MonthEnd],Selection!$E$15,Table_MedicalGapAgreements[State],"QLD",Table_MedicalGapAgreements[GapType],"No agreement",Table_MedicalGapAgreements[MBSFeePercentage],"More than 200% MBS Fee")</f>
        <v>4589492.82</v>
      </c>
      <c r="G55" s="205">
        <f t="shared" si="42"/>
        <v>46266590.479999997</v>
      </c>
      <c r="H55" s="182">
        <f>SUMIFS(Table_MedicalGapAgreements[NumberofServices],Table_MedicalGapAgreements[Year],Selection!$E$14,Table_MedicalGapAgreements[MonthEnd],Selection!$E$15,Table_MedicalGapAgreements[State],"QLD",Table_MedicalGapAgreements[GapType],"No agreement",Table_MedicalGapAgreements[MBSFeePercentage],"More than 200% MBS Fee")</f>
        <v>45632</v>
      </c>
      <c r="I55" s="183">
        <f t="shared" si="38"/>
        <v>2.0350079158026179E-2</v>
      </c>
      <c r="J55" s="183">
        <f t="shared" si="39"/>
        <v>3.5253795220499264</v>
      </c>
      <c r="K55" s="207">
        <f t="shared" si="40"/>
        <v>1415.6532941795231</v>
      </c>
      <c r="L55" s="207">
        <f t="shared" si="41"/>
        <v>1013.906698807854</v>
      </c>
    </row>
    <row r="56" spans="1:12" ht="15">
      <c r="A56" s="214" t="s">
        <v>85</v>
      </c>
      <c r="B56" s="209"/>
      <c r="C56" s="104">
        <v>27</v>
      </c>
      <c r="D56" s="202">
        <f>SUM(D51:D55)</f>
        <v>77222405.420000002</v>
      </c>
      <c r="E56" s="202">
        <f t="shared" ref="E56:H56" si="43">SUM(E51:E55)</f>
        <v>20942462.949999999</v>
      </c>
      <c r="F56" s="202">
        <f t="shared" si="43"/>
        <v>6997180.3700000001</v>
      </c>
      <c r="G56" s="202">
        <f t="shared" si="43"/>
        <v>49282762.099999994</v>
      </c>
      <c r="H56" s="206">
        <f t="shared" si="43"/>
        <v>125306</v>
      </c>
      <c r="I56" s="203">
        <f t="shared" si="38"/>
        <v>5.588155283519522E-2</v>
      </c>
      <c r="J56" s="203">
        <f t="shared" si="39"/>
        <v>2.7655201875384003</v>
      </c>
      <c r="K56" s="204">
        <f t="shared" si="40"/>
        <v>616.27061289962171</v>
      </c>
      <c r="L56" s="204">
        <f t="shared" si="41"/>
        <v>393.29930011332254</v>
      </c>
    </row>
    <row r="57" spans="1:12" ht="15">
      <c r="A57" s="102"/>
      <c r="B57" s="102"/>
      <c r="C57" s="96"/>
      <c r="D57" s="97"/>
      <c r="E57" s="97"/>
      <c r="F57" s="97"/>
      <c r="G57" s="98"/>
      <c r="H57" s="99"/>
      <c r="I57" s="100"/>
      <c r="J57" s="100"/>
      <c r="K57" s="101"/>
      <c r="L57" s="101"/>
    </row>
    <row r="58" spans="1:12" ht="15">
      <c r="A58" s="217" t="s">
        <v>80</v>
      </c>
      <c r="B58" s="217"/>
      <c r="C58" s="104"/>
      <c r="D58" s="202">
        <f>D49+D56</f>
        <v>425399294.71000004</v>
      </c>
      <c r="E58" s="202">
        <f t="shared" ref="E58:H58" si="44">E49+E56</f>
        <v>190838801.16999996</v>
      </c>
      <c r="F58" s="202">
        <f t="shared" si="44"/>
        <v>148614006.34</v>
      </c>
      <c r="G58" s="202">
        <f t="shared" si="44"/>
        <v>85946487.200000048</v>
      </c>
      <c r="H58" s="206">
        <f t="shared" si="44"/>
        <v>2242350</v>
      </c>
      <c r="I58" s="203">
        <f>H58/H$58</f>
        <v>1</v>
      </c>
      <c r="J58" s="203">
        <f>D58/(E58/0.75)</f>
        <v>1.6718270554858992</v>
      </c>
      <c r="K58" s="204">
        <f>D58/H58</f>
        <v>189.71137186879838</v>
      </c>
      <c r="L58" s="204">
        <f>G58/H58</f>
        <v>38.328756527749924</v>
      </c>
    </row>
    <row r="59" spans="1:12" ht="15">
      <c r="A59" s="214" t="s">
        <v>81</v>
      </c>
      <c r="B59" s="214"/>
      <c r="C59" s="104"/>
      <c r="D59" s="202">
        <f>D42+D51</f>
        <v>250540243.20000002</v>
      </c>
      <c r="E59" s="202">
        <f t="shared" ref="E59:H59" si="45">E42+E51</f>
        <v>140086606.03999999</v>
      </c>
      <c r="F59" s="202">
        <f t="shared" si="45"/>
        <v>110411842.61999999</v>
      </c>
      <c r="G59" s="202">
        <f t="shared" si="45"/>
        <v>41794.54000004835</v>
      </c>
      <c r="H59" s="206">
        <f t="shared" si="45"/>
        <v>1926753</v>
      </c>
      <c r="I59" s="203">
        <f>H59/H$58</f>
        <v>0.8592561375342832</v>
      </c>
      <c r="J59" s="203">
        <f>D59/(E59/0.75)</f>
        <v>1.341350095571207</v>
      </c>
      <c r="K59" s="204">
        <f>D59/H59</f>
        <v>130.03236180247288</v>
      </c>
      <c r="L59" s="204">
        <f>G59/H59</f>
        <v>2.1691695821959716E-2</v>
      </c>
    </row>
    <row r="60" spans="1:12" ht="15">
      <c r="A60" s="214" t="s">
        <v>82</v>
      </c>
      <c r="B60" s="214"/>
      <c r="C60" s="104"/>
      <c r="D60" s="202">
        <f>D49+D51</f>
        <v>352241835.70000005</v>
      </c>
      <c r="E60" s="202">
        <f t="shared" ref="E60:H60" si="46">E49+E51</f>
        <v>172909241.54999998</v>
      </c>
      <c r="F60" s="202">
        <f t="shared" si="46"/>
        <v>142628863.34999999</v>
      </c>
      <c r="G60" s="202">
        <f t="shared" si="46"/>
        <v>36703730.800000049</v>
      </c>
      <c r="H60" s="206">
        <f t="shared" si="46"/>
        <v>2171824</v>
      </c>
      <c r="I60" s="203">
        <f>H60/H$58</f>
        <v>0.96854817490579082</v>
      </c>
      <c r="J60" s="203">
        <f>D60/(E60/0.75)</f>
        <v>1.5278615209159134</v>
      </c>
      <c r="K60" s="204">
        <f>D60/H60</f>
        <v>162.18709973736364</v>
      </c>
      <c r="L60" s="204">
        <f>G60/H60</f>
        <v>16.899956350054172</v>
      </c>
    </row>
    <row r="61" spans="1:12" ht="15">
      <c r="A61" s="214" t="s">
        <v>83</v>
      </c>
      <c r="B61" s="214"/>
      <c r="C61" s="104"/>
      <c r="D61" s="202">
        <f>D56-D51</f>
        <v>73157459.010000005</v>
      </c>
      <c r="E61" s="202">
        <f t="shared" ref="E61:H61" si="47">E56-E51</f>
        <v>17929559.619999997</v>
      </c>
      <c r="F61" s="202">
        <f t="shared" si="47"/>
        <v>5985142.9900000002</v>
      </c>
      <c r="G61" s="202">
        <f t="shared" si="47"/>
        <v>49242756.399999991</v>
      </c>
      <c r="H61" s="206">
        <f t="shared" si="47"/>
        <v>70526</v>
      </c>
      <c r="I61" s="203">
        <f>H61/H$58</f>
        <v>3.1451825094209199E-2</v>
      </c>
      <c r="J61" s="203">
        <f>D61/(E61/0.75)</f>
        <v>3.0602031182236038</v>
      </c>
      <c r="K61" s="204">
        <f>D61/H61</f>
        <v>1037.3118992995492</v>
      </c>
      <c r="L61" s="204">
        <f>G61/H61</f>
        <v>698.22131412528699</v>
      </c>
    </row>
  </sheetData>
  <mergeCells count="2">
    <mergeCell ref="A1:L1"/>
    <mergeCell ref="A2:L2"/>
  </mergeCells>
  <pageMargins left="0.70866141732283472" right="0.70866141732283472" top="0.74803149606299213" bottom="0.74803149606299213" header="0.31496062992125984" footer="0.31496062992125984"/>
  <pageSetup paperSize="9" scale="59" orientation="portrait" r:id="rId1"/>
  <headerFooter>
    <oddFooter>&amp;LAustralian Prudential Regulation Authority&amp;R&amp;P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90FC4-219E-4C0C-B5F6-330A246E5386}">
  <sheetPr>
    <pageSetUpPr fitToPage="1"/>
  </sheetPr>
  <dimension ref="A1:V61"/>
  <sheetViews>
    <sheetView showGridLines="0" zoomScaleNormal="100" zoomScaleSheetLayoutView="100" workbookViewId="0">
      <selection activeCell="D7" sqref="D7"/>
    </sheetView>
  </sheetViews>
  <sheetFormatPr defaultColWidth="8.5625" defaultRowHeight="12.75"/>
  <cols>
    <col min="1" max="1" width="7.375" style="32" customWidth="1"/>
    <col min="2" max="2" width="24.75" style="32" customWidth="1"/>
    <col min="3" max="3" width="3.5" style="32" hidden="1" customWidth="1"/>
    <col min="4" max="4" width="12.1875" style="63" bestFit="1" customWidth="1"/>
    <col min="5" max="7" width="11.375" style="63" customWidth="1"/>
    <col min="8" max="8" width="10.0625" style="64" customWidth="1"/>
    <col min="9" max="9" width="9.9375" style="65" customWidth="1"/>
    <col min="10" max="10" width="10.3125" style="65" customWidth="1"/>
    <col min="11" max="11" width="9.9375" style="32" customWidth="1"/>
    <col min="12" max="12" width="10.0625" style="66" customWidth="1"/>
    <col min="13" max="13" width="8.5625" style="32"/>
    <col min="14" max="17" width="11.375" style="22" customWidth="1"/>
    <col min="18" max="18" width="10.0625" style="22" customWidth="1"/>
    <col min="19" max="19" width="9.9375" style="22" customWidth="1"/>
    <col min="20" max="20" width="10.3125" style="22" customWidth="1"/>
    <col min="21" max="21" width="9.9375" style="22" customWidth="1"/>
    <col min="22" max="22" width="10.0625" style="22" customWidth="1"/>
    <col min="23" max="16384" width="8.5625" style="32"/>
  </cols>
  <sheetData>
    <row r="1" spans="1:22" ht="29.25" customHeight="1">
      <c r="A1" s="232" t="s">
        <v>71</v>
      </c>
      <c r="B1" s="232"/>
      <c r="C1" s="232"/>
      <c r="D1" s="232"/>
      <c r="E1" s="232"/>
      <c r="F1" s="232"/>
      <c r="G1" s="232"/>
      <c r="H1" s="232"/>
      <c r="I1" s="232"/>
      <c r="J1" s="232"/>
      <c r="K1" s="232"/>
      <c r="L1" s="232"/>
    </row>
    <row r="2" spans="1:22" ht="20.25" customHeight="1">
      <c r="A2" s="234" t="str">
        <f>TEXT(Selection!G13&amp;" "&amp;Selection!G12,"mmmm yyyy")</f>
        <v xml:space="preserve"> </v>
      </c>
      <c r="B2" s="234"/>
      <c r="C2" s="234"/>
      <c r="D2" s="234"/>
      <c r="E2" s="234"/>
      <c r="F2" s="234"/>
      <c r="G2" s="234"/>
      <c r="H2" s="234"/>
      <c r="I2" s="234"/>
      <c r="J2" s="234"/>
      <c r="K2" s="234"/>
      <c r="L2" s="234"/>
    </row>
    <row r="3" spans="1:22" ht="13.15">
      <c r="A3" s="174" t="s">
        <v>88</v>
      </c>
      <c r="B3" s="174"/>
      <c r="C3" s="32" t="s">
        <v>20</v>
      </c>
      <c r="J3" s="174" t="str">
        <f>Selection!E15&amp;" "&amp;Selection!E14</f>
        <v>Dec 2024</v>
      </c>
      <c r="K3" s="174"/>
    </row>
    <row r="4" spans="1:22" s="70" customFormat="1" ht="39.4">
      <c r="A4" s="67"/>
      <c r="B4" s="68"/>
      <c r="C4" s="69"/>
      <c r="D4" s="200" t="s">
        <v>41</v>
      </c>
      <c r="E4" s="200" t="s">
        <v>42</v>
      </c>
      <c r="F4" s="200" t="s">
        <v>43</v>
      </c>
      <c r="G4" s="200" t="s">
        <v>44</v>
      </c>
      <c r="H4" s="200" t="s">
        <v>73</v>
      </c>
      <c r="I4" s="200" t="s">
        <v>46</v>
      </c>
      <c r="J4" s="200" t="s">
        <v>74</v>
      </c>
      <c r="K4" s="200" t="s">
        <v>48</v>
      </c>
      <c r="L4" s="200" t="s">
        <v>49</v>
      </c>
      <c r="M4" s="108"/>
      <c r="N4" s="22"/>
      <c r="O4" s="22"/>
      <c r="P4" s="22"/>
      <c r="Q4" s="22"/>
      <c r="R4" s="22"/>
      <c r="S4" s="22"/>
      <c r="T4" s="22"/>
      <c r="U4" s="22"/>
      <c r="V4" s="22"/>
    </row>
    <row r="5" spans="1:22" ht="14.1" customHeight="1">
      <c r="A5" s="180" t="s">
        <v>75</v>
      </c>
      <c r="B5" s="71"/>
      <c r="C5" s="72">
        <v>0</v>
      </c>
      <c r="D5" s="73"/>
      <c r="E5" s="74"/>
      <c r="F5" s="74"/>
      <c r="G5" s="74"/>
      <c r="H5" s="74"/>
      <c r="I5" s="74"/>
      <c r="J5" s="74"/>
      <c r="K5" s="74"/>
      <c r="L5" s="74"/>
    </row>
    <row r="6" spans="1:22" ht="17.100000000000001" customHeight="1">
      <c r="A6" s="210" t="s">
        <v>76</v>
      </c>
      <c r="B6" s="75"/>
      <c r="C6" s="72">
        <v>1</v>
      </c>
      <c r="D6" s="76"/>
      <c r="E6" s="77"/>
      <c r="F6" s="77"/>
      <c r="G6" s="77"/>
      <c r="H6" s="77"/>
      <c r="I6" s="77"/>
      <c r="J6" s="77"/>
      <c r="K6" s="77"/>
      <c r="L6" s="77"/>
    </row>
    <row r="7" spans="1:22" ht="14.1" customHeight="1">
      <c r="A7" s="213"/>
      <c r="B7" s="208" t="s">
        <v>50</v>
      </c>
      <c r="C7" s="79">
        <v>2</v>
      </c>
      <c r="D7" s="205">
        <f>SUMIFS(Table_MedicalGapAgreements[AmountCharged],Table_MedicalGapAgreements[Year],Selection!$E$14,Table_MedicalGapAgreements[MonthEnd],Selection!$E$15,Table_MedicalGapAgreements[State],"SA",Table_MedicalGapAgreements[GapType],"No gap agreement",Table_MedicalGapAgreements[MBSFeePercentage],"Up to MBS Fee")</f>
        <v>9998448.0500000007</v>
      </c>
      <c r="E7" s="205">
        <f>SUMIFS(Table_MedicalGapAgreements[MedicareBenefit],Table_MedicalGapAgreements[Year],Selection!$E$14,Table_MedicalGapAgreements[MonthEnd],Selection!$E$15,Table_MedicalGapAgreements[State],"SA",Table_MedicalGapAgreements[GapType],"No gap agreement",Table_MedicalGapAgreements[MBSFeePercentage],"Up to MBS Fee")</f>
        <v>7505652.5199999996</v>
      </c>
      <c r="F7" s="205">
        <f>SUMIFS(Table_MedicalGapAgreements[FundBenefit],Table_MedicalGapAgreements[Year],Selection!$E$14,Table_MedicalGapAgreements[MonthEnd],Selection!$E$15,Table_MedicalGapAgreements[State],"SA",Table_MedicalGapAgreements[GapType],"No gap agreement",Table_MedicalGapAgreements[MBSFeePercentage],"Up to MBS Fee")</f>
        <v>2492795.4300000002</v>
      </c>
      <c r="G7" s="205">
        <f>D7-E7-F7</f>
        <v>0.10000000102445483</v>
      </c>
      <c r="H7" s="182">
        <f>SUMIFS(Table_MedicalGapAgreements[NumberofServices],Table_MedicalGapAgreements[Year],Selection!$E$14,Table_MedicalGapAgreements[MonthEnd],Selection!$E$15,Table_MedicalGapAgreements[State],"SA",Table_MedicalGapAgreements[GapType],"No gap agreement",Table_MedicalGapAgreements[MBSFeePercentage],"Up to MBS Fee")</f>
        <v>189546</v>
      </c>
      <c r="I7" s="183">
        <f t="shared" ref="I7:I12" si="0">H7/H$28</f>
        <v>0.24096198682467565</v>
      </c>
      <c r="J7" s="183">
        <f t="shared" ref="J7:J12" si="1">D7/(E7/0.75)</f>
        <v>0.9990918201339809</v>
      </c>
      <c r="K7" s="207">
        <f t="shared" ref="K7:K12" si="2">D7/H7</f>
        <v>52.749454222194089</v>
      </c>
      <c r="L7" s="207">
        <f t="shared" ref="L7:L12" si="3">G7/H7</f>
        <v>5.2757642484913863E-7</v>
      </c>
    </row>
    <row r="8" spans="1:22" ht="14.1" customHeight="1">
      <c r="A8" s="211"/>
      <c r="B8" s="208" t="s">
        <v>51</v>
      </c>
      <c r="C8" s="79">
        <v>3</v>
      </c>
      <c r="D8" s="205">
        <f>SUMIFS(Table_MedicalGapAgreements[AmountCharged],Table_MedicalGapAgreements[Year],Selection!$E$14,Table_MedicalGapAgreements[MonthEnd],Selection!$E$15,Table_MedicalGapAgreements[State],"SA",Table_MedicalGapAgreements[GapType],"No gap agreement",Table_MedicalGapAgreements[MBSFeePercentage],"100% MBS Fee to 125% MBS Fee")</f>
        <v>18102230.469999999</v>
      </c>
      <c r="E8" s="205">
        <f>SUMIFS(Table_MedicalGapAgreements[MedicareBenefit],Table_MedicalGapAgreements[Year],Selection!$E$14,Table_MedicalGapAgreements[MonthEnd],Selection!$E$15,Table_MedicalGapAgreements[State],"SA",Table_MedicalGapAgreements[GapType],"No gap agreement",Table_MedicalGapAgreements[MBSFeePercentage],"100% MBS Fee to 125% MBS Fee")</f>
        <v>11410227.9</v>
      </c>
      <c r="F8" s="205">
        <f>SUMIFS(Table_MedicalGapAgreements[FundBenefit],Table_MedicalGapAgreements[Year],Selection!$E$14,Table_MedicalGapAgreements[MonthEnd],Selection!$E$15,Table_MedicalGapAgreements[State],"SA",Table_MedicalGapAgreements[GapType],"No gap agreement",Table_MedicalGapAgreements[MBSFeePercentage],"100% MBS Fee to 125% MBS Fee")</f>
        <v>6691887.3799999999</v>
      </c>
      <c r="G8" s="205">
        <f t="shared" ref="G8:G12" si="4">D8-E8-F8</f>
        <v>115.18999999854714</v>
      </c>
      <c r="H8" s="182">
        <f>SUMIFS(Table_MedicalGapAgreements[NumberofServices],Table_MedicalGapAgreements[Year],Selection!$E$14,Table_MedicalGapAgreements[MonthEnd],Selection!$E$15,Table_MedicalGapAgreements[State],"SA",Table_MedicalGapAgreements[GapType],"No gap agreement",Table_MedicalGapAgreements[MBSFeePercentage],"100% MBS Fee to 125% MBS Fee")</f>
        <v>129878</v>
      </c>
      <c r="I8" s="183">
        <f t="shared" si="0"/>
        <v>0.16510852734858675</v>
      </c>
      <c r="J8" s="183">
        <f t="shared" si="1"/>
        <v>1.1898686837359311</v>
      </c>
      <c r="K8" s="207">
        <f t="shared" si="2"/>
        <v>139.37872826806694</v>
      </c>
      <c r="L8" s="207">
        <f t="shared" si="3"/>
        <v>8.8690925328806366E-4</v>
      </c>
    </row>
    <row r="9" spans="1:22" ht="14.1" customHeight="1">
      <c r="A9" s="212"/>
      <c r="B9" s="208" t="s">
        <v>52</v>
      </c>
      <c r="C9" s="79">
        <v>4</v>
      </c>
      <c r="D9" s="205">
        <f>SUMIFS(Table_MedicalGapAgreements[AmountCharged],Table_MedicalGapAgreements[Year],Selection!$E$14,Table_MedicalGapAgreements[MonthEnd],Selection!$E$15,Table_MedicalGapAgreements[State],"SA",Table_MedicalGapAgreements[GapType],"No gap agreement",Table_MedicalGapAgreements[MBSFeePercentage],"More than 125% MBS Fee to 150% MBS Fee")</f>
        <v>36384454.689999998</v>
      </c>
      <c r="E9" s="205">
        <f>SUMIFS(Table_MedicalGapAgreements[MedicareBenefit],Table_MedicalGapAgreements[Year],Selection!$E$14,Table_MedicalGapAgreements[MonthEnd],Selection!$E$15,Table_MedicalGapAgreements[State],"SA",Table_MedicalGapAgreements[GapType],"No gap agreement",Table_MedicalGapAgreements[MBSFeePercentage],"More than 125% MBS Fee to 150% MBS Fee")</f>
        <v>19769329.949999999</v>
      </c>
      <c r="F9" s="205">
        <f>SUMIFS(Table_MedicalGapAgreements[FundBenefit],Table_MedicalGapAgreements[Year],Selection!$E$14,Table_MedicalGapAgreements[MonthEnd],Selection!$E$15,Table_MedicalGapAgreements[State],"SA",Table_MedicalGapAgreements[GapType],"No gap agreement",Table_MedicalGapAgreements[MBSFeePercentage],"More than 125% MBS Fee to 150% MBS Fee")</f>
        <v>16615096.539999999</v>
      </c>
      <c r="G9" s="205">
        <f t="shared" si="4"/>
        <v>28.199999999254942</v>
      </c>
      <c r="H9" s="182">
        <f>SUMIFS(Table_MedicalGapAgreements[NumberofServices],Table_MedicalGapAgreements[Year],Selection!$E$14,Table_MedicalGapAgreements[MonthEnd],Selection!$E$15,Table_MedicalGapAgreements[State],"SA",Table_MedicalGapAgreements[GapType],"No gap agreement",Table_MedicalGapAgreements[MBSFeePercentage],"More than 125% MBS Fee to 150% MBS Fee")</f>
        <v>213168</v>
      </c>
      <c r="I9" s="183">
        <f t="shared" si="0"/>
        <v>0.2709916580009204</v>
      </c>
      <c r="J9" s="183">
        <f t="shared" si="1"/>
        <v>1.3803371731119294</v>
      </c>
      <c r="K9" s="207">
        <f t="shared" si="2"/>
        <v>170.68441177850332</v>
      </c>
      <c r="L9" s="207">
        <f t="shared" si="3"/>
        <v>1.3229002476570096E-4</v>
      </c>
    </row>
    <row r="10" spans="1:22" s="83" customFormat="1" ht="14.1" customHeight="1">
      <c r="A10" s="212"/>
      <c r="B10" s="208" t="s">
        <v>53</v>
      </c>
      <c r="C10" s="82"/>
      <c r="D10" s="205">
        <f>SUMIFS(Table_MedicalGapAgreements[AmountCharged],Table_MedicalGapAgreements[Year],Selection!$E$14,Table_MedicalGapAgreements[MonthEnd],Selection!$E$15,Table_MedicalGapAgreements[State],"SA",Table_MedicalGapAgreements[GapType],"No gap agreement",Table_MedicalGapAgreements[MBSFeePercentage],"More than 150% MBS Fee to 200% MBS Fee")</f>
        <v>30974761.27</v>
      </c>
      <c r="E10" s="205">
        <f>SUMIFS(Table_MedicalGapAgreements[MedicareBenefit],Table_MedicalGapAgreements[Year],Selection!$E$14,Table_MedicalGapAgreements[MonthEnd],Selection!$E$15,Table_MedicalGapAgreements[State],"SA",Table_MedicalGapAgreements[GapType],"No gap agreement",Table_MedicalGapAgreements[MBSFeePercentage],"More than 150% MBS Fee to 200% MBS Fee")</f>
        <v>14428075.25</v>
      </c>
      <c r="F10" s="205">
        <f>SUMIFS(Table_MedicalGapAgreements[FundBenefit],Table_MedicalGapAgreements[Year],Selection!$E$14,Table_MedicalGapAgreements[MonthEnd],Selection!$E$15,Table_MedicalGapAgreements[State],"SA",Table_MedicalGapAgreements[GapType],"No gap agreement",Table_MedicalGapAgreements[MBSFeePercentage],"More than 150% MBS Fee to 200% MBS Fee")</f>
        <v>16546678.58</v>
      </c>
      <c r="G10" s="205">
        <f t="shared" si="4"/>
        <v>7.4399999994784594</v>
      </c>
      <c r="H10" s="182">
        <f>SUMIFS(Table_MedicalGapAgreements[NumberofServices],Table_MedicalGapAgreements[Year],Selection!$E$14,Table_MedicalGapAgreements[MonthEnd],Selection!$E$15,Table_MedicalGapAgreements[State],"SA",Table_MedicalGapAgreements[GapType],"No gap agreement",Table_MedicalGapAgreements[MBSFeePercentage],"More than 150% MBS Fee to 200% MBS Fee")</f>
        <v>141271</v>
      </c>
      <c r="I10" s="183">
        <f t="shared" si="0"/>
        <v>0.17959197683258288</v>
      </c>
      <c r="J10" s="183">
        <f t="shared" si="1"/>
        <v>1.6101295945555869</v>
      </c>
      <c r="K10" s="207">
        <f t="shared" si="2"/>
        <v>219.25774766229446</v>
      </c>
      <c r="L10" s="207">
        <f t="shared" si="3"/>
        <v>5.2664736566446469E-5</v>
      </c>
      <c r="N10" s="22"/>
      <c r="O10" s="22"/>
      <c r="P10" s="22"/>
      <c r="Q10" s="22"/>
      <c r="R10" s="22"/>
      <c r="S10" s="22"/>
      <c r="T10" s="22"/>
      <c r="U10" s="22"/>
      <c r="V10" s="22"/>
    </row>
    <row r="11" spans="1:22" ht="14.1" customHeight="1">
      <c r="A11" s="212"/>
      <c r="B11" s="208" t="s">
        <v>54</v>
      </c>
      <c r="C11" s="82">
        <v>5</v>
      </c>
      <c r="D11" s="205">
        <f>SUMIFS(Table_MedicalGapAgreements[AmountCharged],Table_MedicalGapAgreements[Year],Selection!$E$14,Table_MedicalGapAgreements[MonthEnd],Selection!$E$15,Table_MedicalGapAgreements[State],"SA",Table_MedicalGapAgreements[GapType],"No gap agreement",Table_MedicalGapAgreements[MBSFeePercentage],"More than 200% MBS Fee")</f>
        <v>912039.2</v>
      </c>
      <c r="E11" s="205">
        <f>SUMIFS(Table_MedicalGapAgreements[MedicareBenefit],Table_MedicalGapAgreements[Year],Selection!$E$14,Table_MedicalGapAgreements[MonthEnd],Selection!$E$15,Table_MedicalGapAgreements[State],"SA",Table_MedicalGapAgreements[GapType],"No gap agreement",Table_MedicalGapAgreements[MBSFeePercentage],"More than 200% MBS Fee")</f>
        <v>262231.5</v>
      </c>
      <c r="F11" s="205">
        <f>SUMIFS(Table_MedicalGapAgreements[FundBenefit],Table_MedicalGapAgreements[Year],Selection!$E$14,Table_MedicalGapAgreements[MonthEnd],Selection!$E$15,Table_MedicalGapAgreements[State],"SA",Table_MedicalGapAgreements[GapType],"No gap agreement",Table_MedicalGapAgreements[MBSFeePercentage],"More than 200% MBS Fee")</f>
        <v>649807.69999999995</v>
      </c>
      <c r="G11" s="205">
        <f t="shared" si="4"/>
        <v>0</v>
      </c>
      <c r="H11" s="182">
        <f>SUMIFS(Table_MedicalGapAgreements[NumberofServices],Table_MedicalGapAgreements[Year],Selection!$E$14,Table_MedicalGapAgreements[MonthEnd],Selection!$E$15,Table_MedicalGapAgreements[State],"SA",Table_MedicalGapAgreements[GapType],"No gap agreement",Table_MedicalGapAgreements[MBSFeePercentage],"More than 200% MBS Fee")</f>
        <v>730</v>
      </c>
      <c r="I11" s="183">
        <f t="shared" si="0"/>
        <v>9.2801879428747224E-4</v>
      </c>
      <c r="J11" s="183">
        <f t="shared" si="1"/>
        <v>2.6084944028463397</v>
      </c>
      <c r="K11" s="207">
        <f t="shared" si="2"/>
        <v>1249.3687671232876</v>
      </c>
      <c r="L11" s="207">
        <f t="shared" si="3"/>
        <v>0</v>
      </c>
    </row>
    <row r="12" spans="1:22" ht="14.1" customHeight="1">
      <c r="A12" s="214"/>
      <c r="B12" s="209" t="s">
        <v>0</v>
      </c>
      <c r="C12" s="84">
        <v>6</v>
      </c>
      <c r="D12" s="202">
        <f>SUM(D7:D11)</f>
        <v>96371933.679999992</v>
      </c>
      <c r="E12" s="202">
        <f t="shared" ref="E12:F12" si="5">SUM(E7:E11)</f>
        <v>53375517.120000005</v>
      </c>
      <c r="F12" s="202">
        <f t="shared" si="5"/>
        <v>42996265.630000003</v>
      </c>
      <c r="G12" s="202">
        <f t="shared" si="4"/>
        <v>150.92999998480082</v>
      </c>
      <c r="H12" s="206">
        <f t="shared" ref="H12" si="6">SUM(H7:H11)</f>
        <v>674593</v>
      </c>
      <c r="I12" s="203">
        <f t="shared" si="0"/>
        <v>0.85758216780105312</v>
      </c>
      <c r="J12" s="203">
        <f t="shared" si="1"/>
        <v>1.354159250532428</v>
      </c>
      <c r="K12" s="204">
        <f t="shared" si="2"/>
        <v>142.85937399291126</v>
      </c>
      <c r="L12" s="204">
        <f t="shared" si="3"/>
        <v>2.2373490383801909E-4</v>
      </c>
    </row>
    <row r="13" spans="1:22" ht="17.100000000000001" customHeight="1">
      <c r="A13" s="215" t="s">
        <v>77</v>
      </c>
      <c r="B13" s="75"/>
      <c r="C13" s="85"/>
      <c r="D13" s="86"/>
      <c r="E13" s="87"/>
      <c r="F13" s="87"/>
      <c r="G13" s="88"/>
      <c r="H13" s="89"/>
      <c r="I13" s="90"/>
      <c r="J13" s="91"/>
      <c r="K13" s="92"/>
      <c r="L13" s="92"/>
    </row>
    <row r="14" spans="1:22" ht="14.1" customHeight="1">
      <c r="A14" s="213"/>
      <c r="B14" s="208" t="s">
        <v>51</v>
      </c>
      <c r="C14" s="93">
        <v>7</v>
      </c>
      <c r="D14" s="205">
        <f>SUMIFS(Table_MedicalGapAgreements[AmountCharged],Table_MedicalGapAgreements[Year],Selection!$E$14,Table_MedicalGapAgreements[MonthEnd],Selection!$E$15,Table_MedicalGapAgreements[State],"SA",Table_MedicalGapAgreements[GapType],"Known gap agreement",Table_MedicalGapAgreements[MBSFeePercentage],"100% MBS Fee to 125% MBS Fee")</f>
        <v>568823.5</v>
      </c>
      <c r="E14" s="205">
        <f>SUMIFS(Table_MedicalGapAgreements[MedicareBenefit],Table_MedicalGapAgreements[Year],Selection!$E$14,Table_MedicalGapAgreements[MonthEnd],Selection!$E$15,Table_MedicalGapAgreements[State],"SA",Table_MedicalGapAgreements[GapType],"Known gap agreement",Table_MedicalGapAgreements[MBSFeePercentage],"100% MBS Fee to 125% MBS Fee")</f>
        <v>339880.39</v>
      </c>
      <c r="F14" s="205">
        <f>SUMIFS(Table_MedicalGapAgreements[FundBenefit],Table_MedicalGapAgreements[Year],Selection!$E$14,Table_MedicalGapAgreements[MonthEnd],Selection!$E$15,Table_MedicalGapAgreements[State],"SA",Table_MedicalGapAgreements[GapType],"Known gap agreement",Table_MedicalGapAgreements[MBSFeePercentage],"100% MBS Fee to 125% MBS Fee")</f>
        <v>163457.73000000001</v>
      </c>
      <c r="G14" s="205">
        <f t="shared" ref="G14:G17" si="7">D14-E14-F14</f>
        <v>65485.379999999976</v>
      </c>
      <c r="H14" s="182">
        <f>SUMIFS(Table_MedicalGapAgreements[NumberofServices],Table_MedicalGapAgreements[Year],Selection!$E$14,Table_MedicalGapAgreements[MonthEnd],Selection!$E$15,Table_MedicalGapAgreements[State],"SA",Table_MedicalGapAgreements[GapType],"Known gap agreement",Table_MedicalGapAgreements[MBSFeePercentage],"100% MBS Fee to 125% MBS Fee")</f>
        <v>2717</v>
      </c>
      <c r="I14" s="183">
        <f t="shared" ref="I14:I19" si="8">H14/H$28</f>
        <v>3.454009676820633E-3</v>
      </c>
      <c r="J14" s="183">
        <f t="shared" ref="J14:J19" si="9">D14/(E14/0.75)</f>
        <v>1.2551992923157467</v>
      </c>
      <c r="K14" s="207">
        <f t="shared" ref="K14:K19" si="10">D14/H14</f>
        <v>209.3571954361428</v>
      </c>
      <c r="L14" s="207">
        <f t="shared" ref="L14:L19" si="11">G14/H14</f>
        <v>24.102090541037899</v>
      </c>
    </row>
    <row r="15" spans="1:22" ht="14.1" customHeight="1">
      <c r="A15" s="211"/>
      <c r="B15" s="208" t="s">
        <v>52</v>
      </c>
      <c r="C15" s="93">
        <v>8</v>
      </c>
      <c r="D15" s="205">
        <f>SUMIFS(Table_MedicalGapAgreements[AmountCharged],Table_MedicalGapAgreements[Year],Selection!$E$14,Table_MedicalGapAgreements[MonthEnd],Selection!$E$15,Table_MedicalGapAgreements[State],"SA",Table_MedicalGapAgreements[GapType],"Known gap agreement",Table_MedicalGapAgreements[MBSFeePercentage],"More than 125% MBS Fee to 150% MBS Fee")</f>
        <v>2218429.5299999998</v>
      </c>
      <c r="E15" s="205">
        <f>SUMIFS(Table_MedicalGapAgreements[MedicareBenefit],Table_MedicalGapAgreements[Year],Selection!$E$14,Table_MedicalGapAgreements[MonthEnd],Selection!$E$15,Table_MedicalGapAgreements[State],"SA",Table_MedicalGapAgreements[GapType],"Known gap agreement",Table_MedicalGapAgreements[MBSFeePercentage],"More than 125% MBS Fee to 150% MBS Fee")</f>
        <v>1187259.02</v>
      </c>
      <c r="F15" s="205">
        <f>SUMIFS(Table_MedicalGapAgreements[FundBenefit],Table_MedicalGapAgreements[Year],Selection!$E$14,Table_MedicalGapAgreements[MonthEnd],Selection!$E$15,Table_MedicalGapAgreements[State],"SA",Table_MedicalGapAgreements[GapType],"Known gap agreement",Table_MedicalGapAgreements[MBSFeePercentage],"More than 125% MBS Fee to 150% MBS Fee")</f>
        <v>890349.05</v>
      </c>
      <c r="G15" s="205">
        <f t="shared" si="7"/>
        <v>140821.45999999973</v>
      </c>
      <c r="H15" s="182">
        <f>SUMIFS(Table_MedicalGapAgreements[NumberofServices],Table_MedicalGapAgreements[Year],Selection!$E$14,Table_MedicalGapAgreements[MonthEnd],Selection!$E$15,Table_MedicalGapAgreements[State],"SA",Table_MedicalGapAgreements[GapType],"Known gap agreement",Table_MedicalGapAgreements[MBSFeePercentage],"More than 125% MBS Fee to 150% MBS Fee")</f>
        <v>7003</v>
      </c>
      <c r="I15" s="183">
        <f t="shared" si="8"/>
        <v>8.9026241320481758E-3</v>
      </c>
      <c r="J15" s="183">
        <f t="shared" si="9"/>
        <v>1.4013977737562271</v>
      </c>
      <c r="K15" s="207">
        <f t="shared" si="10"/>
        <v>316.78274025417676</v>
      </c>
      <c r="L15" s="207">
        <f t="shared" si="11"/>
        <v>20.108733399971403</v>
      </c>
    </row>
    <row r="16" spans="1:22" s="83" customFormat="1" ht="14.1" customHeight="1">
      <c r="A16" s="212"/>
      <c r="B16" s="208" t="s">
        <v>53</v>
      </c>
      <c r="C16" s="94"/>
      <c r="D16" s="205">
        <f>SUMIFS(Table_MedicalGapAgreements[AmountCharged],Table_MedicalGapAgreements[Year],Selection!$E$14,Table_MedicalGapAgreements[MonthEnd],Selection!$E$15,Table_MedicalGapAgreements[State],"SA",Table_MedicalGapAgreements[GapType],"Known gap agreement",Table_MedicalGapAgreements[MBSFeePercentage],"More than 150% MBS Fee to 200% MBS Fee")</f>
        <v>16267086.640000001</v>
      </c>
      <c r="E16" s="205">
        <f>SUMIFS(Table_MedicalGapAgreements[MedicareBenefit],Table_MedicalGapAgreements[Year],Selection!$E$14,Table_MedicalGapAgreements[MonthEnd],Selection!$E$15,Table_MedicalGapAgreements[State],"SA",Table_MedicalGapAgreements[GapType],"Known gap agreement",Table_MedicalGapAgreements[MBSFeePercentage],"More than 150% MBS Fee to 200% MBS Fee")</f>
        <v>6883013.3499999996</v>
      </c>
      <c r="F16" s="205">
        <f>SUMIFS(Table_MedicalGapAgreements[FundBenefit],Table_MedicalGapAgreements[Year],Selection!$E$14,Table_MedicalGapAgreements[MonthEnd],Selection!$E$15,Table_MedicalGapAgreements[State],"SA",Table_MedicalGapAgreements[GapType],"Known gap agreement",Table_MedicalGapAgreements[MBSFeePercentage],"More than 150% MBS Fee to 200% MBS Fee")</f>
        <v>6776675.1399999997</v>
      </c>
      <c r="G16" s="205">
        <f t="shared" si="7"/>
        <v>2607398.1500000013</v>
      </c>
      <c r="H16" s="182">
        <f>SUMIFS(Table_MedicalGapAgreements[NumberofServices],Table_MedicalGapAgreements[Year],Selection!$E$14,Table_MedicalGapAgreements[MonthEnd],Selection!$E$15,Table_MedicalGapAgreements[State],"SA",Table_MedicalGapAgreements[GapType],"Known gap agreement",Table_MedicalGapAgreements[MBSFeePercentage],"More than 150% MBS Fee to 200% MBS Fee")</f>
        <v>22083</v>
      </c>
      <c r="I16" s="183">
        <f t="shared" si="8"/>
        <v>2.807320415650719E-2</v>
      </c>
      <c r="J16" s="183">
        <f t="shared" si="9"/>
        <v>1.7725252530564977</v>
      </c>
      <c r="K16" s="207">
        <f t="shared" si="10"/>
        <v>736.63391024770192</v>
      </c>
      <c r="L16" s="207">
        <f t="shared" si="11"/>
        <v>118.07264185119782</v>
      </c>
      <c r="N16" s="22"/>
      <c r="O16" s="22"/>
      <c r="P16" s="22"/>
      <c r="Q16" s="22"/>
      <c r="R16" s="22"/>
      <c r="S16" s="22"/>
      <c r="T16" s="22"/>
      <c r="U16" s="22"/>
      <c r="V16" s="22"/>
    </row>
    <row r="17" spans="1:22" s="83" customFormat="1" ht="14.1" customHeight="1">
      <c r="A17" s="212"/>
      <c r="B17" s="208" t="s">
        <v>54</v>
      </c>
      <c r="C17" s="93">
        <v>9</v>
      </c>
      <c r="D17" s="205">
        <f>SUMIFS(Table_MedicalGapAgreements[AmountCharged],Table_MedicalGapAgreements[Year],Selection!$E$14,Table_MedicalGapAgreements[MonthEnd],Selection!$E$15,Table_MedicalGapAgreements[State],"SA",Table_MedicalGapAgreements[GapType],"Known gap agreement",Table_MedicalGapAgreements[MBSFeePercentage],"More than 200% MBS Fee")</f>
        <v>19777468.800000001</v>
      </c>
      <c r="E17" s="205">
        <f>SUMIFS(Table_MedicalGapAgreements[MedicareBenefit],Table_MedicalGapAgreements[Year],Selection!$E$14,Table_MedicalGapAgreements[MonthEnd],Selection!$E$15,Table_MedicalGapAgreements[State],"SA",Table_MedicalGapAgreements[GapType],"Known gap agreement",Table_MedicalGapAgreements[MBSFeePercentage],"More than 200% MBS Fee")</f>
        <v>5383134.0199999996</v>
      </c>
      <c r="F17" s="205">
        <f>SUMIFS(Table_MedicalGapAgreements[FundBenefit],Table_MedicalGapAgreements[Year],Selection!$E$14,Table_MedicalGapAgreements[MonthEnd],Selection!$E$15,Table_MedicalGapAgreements[State],"SA",Table_MedicalGapAgreements[GapType],"Known gap agreement",Table_MedicalGapAgreements[MBSFeePercentage],"More than 200% MBS Fee")</f>
        <v>5991459.1600000001</v>
      </c>
      <c r="G17" s="205">
        <f t="shared" si="7"/>
        <v>8402875.620000001</v>
      </c>
      <c r="H17" s="182">
        <f>SUMIFS(Table_MedicalGapAgreements[NumberofServices],Table_MedicalGapAgreements[Year],Selection!$E$14,Table_MedicalGapAgreements[MonthEnd],Selection!$E$15,Table_MedicalGapAgreements[State],"SA",Table_MedicalGapAgreements[GapType],"Known gap agreement",Table_MedicalGapAgreements[MBSFeePercentage],"More than 200% MBS Fee")</f>
        <v>66033</v>
      </c>
      <c r="I17" s="183">
        <f t="shared" si="8"/>
        <v>8.3945020607102266E-2</v>
      </c>
      <c r="J17" s="183">
        <f t="shared" si="9"/>
        <v>2.7554769294040353</v>
      </c>
      <c r="K17" s="207">
        <f t="shared" si="10"/>
        <v>299.5088637499432</v>
      </c>
      <c r="L17" s="207">
        <f t="shared" si="11"/>
        <v>127.25267093725866</v>
      </c>
      <c r="N17" s="22"/>
      <c r="O17" s="22"/>
      <c r="P17" s="22"/>
      <c r="Q17" s="22"/>
      <c r="R17" s="22"/>
      <c r="S17" s="22"/>
      <c r="T17" s="22"/>
      <c r="U17" s="22"/>
      <c r="V17" s="22"/>
    </row>
    <row r="18" spans="1:22" ht="14.1" customHeight="1">
      <c r="A18" s="214"/>
      <c r="B18" s="209" t="s">
        <v>0</v>
      </c>
      <c r="C18" s="95"/>
      <c r="D18" s="202">
        <f>SUM(D14:D17)</f>
        <v>38831808.469999999</v>
      </c>
      <c r="E18" s="202">
        <f t="shared" ref="E18:H18" si="12">SUM(E14:E17)</f>
        <v>13793286.779999999</v>
      </c>
      <c r="F18" s="202">
        <f t="shared" si="12"/>
        <v>13821941.08</v>
      </c>
      <c r="G18" s="202">
        <f t="shared" si="12"/>
        <v>11216580.610000003</v>
      </c>
      <c r="H18" s="206">
        <f t="shared" si="12"/>
        <v>97836</v>
      </c>
      <c r="I18" s="203">
        <f t="shared" si="8"/>
        <v>0.12437485857247826</v>
      </c>
      <c r="J18" s="203">
        <f t="shared" si="9"/>
        <v>2.1114515210927847</v>
      </c>
      <c r="K18" s="204">
        <f t="shared" si="10"/>
        <v>396.90715554601576</v>
      </c>
      <c r="L18" s="204">
        <f t="shared" si="11"/>
        <v>114.64676203033652</v>
      </c>
    </row>
    <row r="19" spans="1:22" ht="14.1" customHeight="1">
      <c r="A19" s="216" t="s">
        <v>78</v>
      </c>
      <c r="B19" s="201"/>
      <c r="C19" s="95">
        <v>10</v>
      </c>
      <c r="D19" s="202">
        <f>D18+D12</f>
        <v>135203742.14999998</v>
      </c>
      <c r="E19" s="202">
        <f t="shared" ref="E19:H19" si="13">E18+E12</f>
        <v>67168803.900000006</v>
      </c>
      <c r="F19" s="202">
        <f t="shared" si="13"/>
        <v>56818206.710000001</v>
      </c>
      <c r="G19" s="202">
        <f t="shared" si="13"/>
        <v>11216731.539999988</v>
      </c>
      <c r="H19" s="206">
        <f t="shared" si="13"/>
        <v>772429</v>
      </c>
      <c r="I19" s="203">
        <f t="shared" si="8"/>
        <v>0.98195702637353133</v>
      </c>
      <c r="J19" s="203">
        <f t="shared" si="9"/>
        <v>1.5096711676370937</v>
      </c>
      <c r="K19" s="204">
        <f t="shared" si="10"/>
        <v>175.03711299032011</v>
      </c>
      <c r="L19" s="204">
        <f t="shared" si="11"/>
        <v>14.521375479170239</v>
      </c>
    </row>
    <row r="20" spans="1:22" ht="17.100000000000001" customHeight="1">
      <c r="A20" s="180" t="s">
        <v>79</v>
      </c>
      <c r="B20" s="79"/>
      <c r="C20" s="96"/>
      <c r="D20" s="97"/>
      <c r="E20" s="97"/>
      <c r="F20" s="97"/>
      <c r="G20" s="98"/>
      <c r="H20" s="99"/>
      <c r="I20" s="100"/>
      <c r="J20" s="100"/>
      <c r="K20" s="101"/>
      <c r="L20" s="101"/>
    </row>
    <row r="21" spans="1:22" ht="14.1" customHeight="1">
      <c r="A21" s="78"/>
      <c r="B21" s="208" t="s">
        <v>50</v>
      </c>
      <c r="C21" s="96">
        <v>22</v>
      </c>
      <c r="D21" s="205">
        <f>SUMIFS(Table_MedicalGapAgreements[AmountCharged],Table_MedicalGapAgreements[Year],Selection!$E$14,Table_MedicalGapAgreements[MonthEnd],Selection!$E$15,Table_MedicalGapAgreements[State],"SA",Table_MedicalGapAgreements[GapType],"No agreement",Table_MedicalGapAgreements[MBSFeePercentage],"Up to MBS Fee")</f>
        <v>1789832.01</v>
      </c>
      <c r="E21" s="205">
        <f>SUMIFS(Table_MedicalGapAgreements[MedicareBenefit],Table_MedicalGapAgreements[Year],Selection!$E$14,Table_MedicalGapAgreements[MonthEnd],Selection!$E$15,Table_MedicalGapAgreements[State],"SA",Table_MedicalGapAgreements[GapType],"No agreement",Table_MedicalGapAgreements[MBSFeePercentage],"Up to MBS Fee")</f>
        <v>1319443.1299999999</v>
      </c>
      <c r="F21" s="205">
        <f>SUMIFS(Table_MedicalGapAgreements[FundBenefit],Table_MedicalGapAgreements[Year],Selection!$E$14,Table_MedicalGapAgreements[MonthEnd],Selection!$E$15,Table_MedicalGapAgreements[State],"SA",Table_MedicalGapAgreements[GapType],"No agreement",Table_MedicalGapAgreements[MBSFeePercentage],"Up to MBS Fee")</f>
        <v>435455.84</v>
      </c>
      <c r="G21" s="205">
        <f>D21-E21-F21</f>
        <v>34933.040000000095</v>
      </c>
      <c r="H21" s="182">
        <f>SUMIFS(Table_MedicalGapAgreements[NumberofServices],Table_MedicalGapAgreements[Year],Selection!$E$14,Table_MedicalGapAgreements[MonthEnd],Selection!$E$15,Table_MedicalGapAgreements[State],"SA",Table_MedicalGapAgreements[GapType],"No agreement",Table_MedicalGapAgreements[MBSFeePercentage],"Up to MBS Fee")</f>
        <v>7940</v>
      </c>
      <c r="I21" s="183">
        <f t="shared" ref="I21:I26" si="14">H21/H$28</f>
        <v>1.009379346115415E-2</v>
      </c>
      <c r="J21" s="183">
        <f t="shared" ref="J21:J26" si="15">D21/(E21/0.75)</f>
        <v>1.0173792086817717</v>
      </c>
      <c r="K21" s="207">
        <f t="shared" ref="K21:K26" si="16">D21/H21</f>
        <v>225.41964861460957</v>
      </c>
      <c r="L21" s="207">
        <f t="shared" ref="L21:L26" si="17">G21/H21</f>
        <v>4.3996272040302387</v>
      </c>
    </row>
    <row r="22" spans="1:22" ht="14.1" customHeight="1">
      <c r="A22" s="81"/>
      <c r="B22" s="208" t="s">
        <v>51</v>
      </c>
      <c r="C22" s="96">
        <v>23</v>
      </c>
      <c r="D22" s="205">
        <f>SUMIFS(Table_MedicalGapAgreements[AmountCharged],Table_MedicalGapAgreements[Year],Selection!$E$14,Table_MedicalGapAgreements[MonthEnd],Selection!$E$15,Table_MedicalGapAgreements[State],"SA",Table_MedicalGapAgreements[GapType],"No agreement",Table_MedicalGapAgreements[MBSFeePercentage],"100% MBS Fee to 125% MBS Fee")</f>
        <v>546927.35</v>
      </c>
      <c r="E22" s="205">
        <f>SUMIFS(Table_MedicalGapAgreements[MedicareBenefit],Table_MedicalGapAgreements[Year],Selection!$E$14,Table_MedicalGapAgreements[MonthEnd],Selection!$E$15,Table_MedicalGapAgreements[State],"SA",Table_MedicalGapAgreements[GapType],"No agreement",Table_MedicalGapAgreements[MBSFeePercentage],"100% MBS Fee to 125% MBS Fee")</f>
        <v>364037.43</v>
      </c>
      <c r="F22" s="205">
        <f>SUMIFS(Table_MedicalGapAgreements[FundBenefit],Table_MedicalGapAgreements[Year],Selection!$E$14,Table_MedicalGapAgreements[MonthEnd],Selection!$E$15,Table_MedicalGapAgreements[State],"SA",Table_MedicalGapAgreements[GapType],"No agreement",Table_MedicalGapAgreements[MBSFeePercentage],"100% MBS Fee to 125% MBS Fee")</f>
        <v>121993.63</v>
      </c>
      <c r="G22" s="205">
        <f t="shared" ref="G22:G25" si="18">D22-E22-F22</f>
        <v>60896.289999999979</v>
      </c>
      <c r="H22" s="182">
        <f>SUMIFS(Table_MedicalGapAgreements[NumberofServices],Table_MedicalGapAgreements[Year],Selection!$E$14,Table_MedicalGapAgreements[MonthEnd],Selection!$E$15,Table_MedicalGapAgreements[State],"SA",Table_MedicalGapAgreements[GapType],"No agreement",Table_MedicalGapAgreements[MBSFeePercentage],"100% MBS Fee to 125% MBS Fee")</f>
        <v>509</v>
      </c>
      <c r="I22" s="183">
        <f t="shared" si="14"/>
        <v>6.4707063875660742E-4</v>
      </c>
      <c r="J22" s="183">
        <f t="shared" si="15"/>
        <v>1.1267948806802641</v>
      </c>
      <c r="K22" s="207">
        <f t="shared" si="16"/>
        <v>1074.5134577603144</v>
      </c>
      <c r="L22" s="207">
        <f t="shared" si="17"/>
        <v>119.63907662082511</v>
      </c>
    </row>
    <row r="23" spans="1:22" ht="14.1" customHeight="1">
      <c r="A23" s="81"/>
      <c r="B23" s="208" t="s">
        <v>52</v>
      </c>
      <c r="C23" s="102">
        <v>24</v>
      </c>
      <c r="D23" s="205">
        <f>SUMIFS(Table_MedicalGapAgreements[AmountCharged],Table_MedicalGapAgreements[Year],Selection!$E$14,Table_MedicalGapAgreements[MonthEnd],Selection!$E$15,Table_MedicalGapAgreements[State],"SA",Table_MedicalGapAgreements[GapType],"No agreement",Table_MedicalGapAgreements[MBSFeePercentage],"More than 125% MBS Fee to 150% MBS Fee")</f>
        <v>308072.78000000003</v>
      </c>
      <c r="E23" s="205">
        <f>SUMIFS(Table_MedicalGapAgreements[MedicareBenefit],Table_MedicalGapAgreements[Year],Selection!$E$14,Table_MedicalGapAgreements[MonthEnd],Selection!$E$15,Table_MedicalGapAgreements[State],"SA",Table_MedicalGapAgreements[GapType],"No agreement",Table_MedicalGapAgreements[MBSFeePercentage],"More than 125% MBS Fee to 150% MBS Fee")</f>
        <v>165481.38</v>
      </c>
      <c r="F23" s="205">
        <f>SUMIFS(Table_MedicalGapAgreements[FundBenefit],Table_MedicalGapAgreements[Year],Selection!$E$14,Table_MedicalGapAgreements[MonthEnd],Selection!$E$15,Table_MedicalGapAgreements[State],"SA",Table_MedicalGapAgreements[GapType],"No agreement",Table_MedicalGapAgreements[MBSFeePercentage],"More than 125% MBS Fee to 150% MBS Fee")</f>
        <v>54704.91</v>
      </c>
      <c r="G23" s="205">
        <f t="shared" si="18"/>
        <v>87886.49000000002</v>
      </c>
      <c r="H23" s="182">
        <f>SUMIFS(Table_MedicalGapAgreements[NumberofServices],Table_MedicalGapAgreements[Year],Selection!$E$14,Table_MedicalGapAgreements[MonthEnd],Selection!$E$15,Table_MedicalGapAgreements[State],"SA",Table_MedicalGapAgreements[GapType],"No agreement",Table_MedicalGapAgreements[MBSFeePercentage],"More than 125% MBS Fee to 150% MBS Fee")</f>
        <v>421</v>
      </c>
      <c r="I23" s="183">
        <f t="shared" si="14"/>
        <v>5.3519987999318605E-4</v>
      </c>
      <c r="J23" s="183">
        <f t="shared" si="15"/>
        <v>1.3962573009724721</v>
      </c>
      <c r="K23" s="207">
        <f t="shared" si="16"/>
        <v>731.76432304038008</v>
      </c>
      <c r="L23" s="207">
        <f t="shared" si="17"/>
        <v>208.75650831353923</v>
      </c>
    </row>
    <row r="24" spans="1:22" s="83" customFormat="1" ht="14.1" customHeight="1">
      <c r="A24" s="103"/>
      <c r="B24" s="208" t="s">
        <v>53</v>
      </c>
      <c r="C24" s="102">
        <v>25</v>
      </c>
      <c r="D24" s="205">
        <f>SUMIFS(Table_MedicalGapAgreements[AmountCharged],Table_MedicalGapAgreements[Year],Selection!$E$14,Table_MedicalGapAgreements[MonthEnd],Selection!$E$15,Table_MedicalGapAgreements[State],"SA",Table_MedicalGapAgreements[GapType],"No agreement",Table_MedicalGapAgreements[MBSFeePercentage],"More than 150% MBS Fee to 200% MBS Fee")</f>
        <v>796797.97</v>
      </c>
      <c r="E24" s="205">
        <f>SUMIFS(Table_MedicalGapAgreements[MedicareBenefit],Table_MedicalGapAgreements[Year],Selection!$E$14,Table_MedicalGapAgreements[MonthEnd],Selection!$E$15,Table_MedicalGapAgreements[State],"SA",Table_MedicalGapAgreements[GapType],"No agreement",Table_MedicalGapAgreements[MBSFeePercentage],"More than 150% MBS Fee to 200% MBS Fee")</f>
        <v>337321.5</v>
      </c>
      <c r="F24" s="205">
        <f>SUMIFS(Table_MedicalGapAgreements[FundBenefit],Table_MedicalGapAgreements[Year],Selection!$E$14,Table_MedicalGapAgreements[MonthEnd],Selection!$E$15,Table_MedicalGapAgreements[State],"SA",Table_MedicalGapAgreements[GapType],"No agreement",Table_MedicalGapAgreements[MBSFeePercentage],"More than 150% MBS Fee to 200% MBS Fee")</f>
        <v>111223.06</v>
      </c>
      <c r="G24" s="205">
        <f t="shared" si="18"/>
        <v>348253.41</v>
      </c>
      <c r="H24" s="182">
        <f>SUMIFS(Table_MedicalGapAgreements[NumberofServices],Table_MedicalGapAgreements[Year],Selection!$E$14,Table_MedicalGapAgreements[MonthEnd],Selection!$E$15,Table_MedicalGapAgreements[State],"SA",Table_MedicalGapAgreements[GapType],"No agreement",Table_MedicalGapAgreements[MBSFeePercentage],"More than 150% MBS Fee to 200% MBS Fee")</f>
        <v>1399</v>
      </c>
      <c r="I24" s="183">
        <f t="shared" si="14"/>
        <v>1.7784908126139366E-3</v>
      </c>
      <c r="J24" s="183">
        <f t="shared" si="15"/>
        <v>1.7715991346534388</v>
      </c>
      <c r="K24" s="207">
        <f t="shared" si="16"/>
        <v>569.54822730521801</v>
      </c>
      <c r="L24" s="207">
        <f t="shared" si="17"/>
        <v>248.93024303073622</v>
      </c>
      <c r="N24" s="22"/>
      <c r="O24" s="22"/>
      <c r="P24" s="22"/>
      <c r="Q24" s="22"/>
      <c r="R24" s="22"/>
      <c r="S24" s="22"/>
      <c r="T24" s="22"/>
      <c r="U24" s="22"/>
      <c r="V24" s="22"/>
    </row>
    <row r="25" spans="1:22" ht="14.1" customHeight="1">
      <c r="A25" s="80"/>
      <c r="B25" s="208" t="s">
        <v>54</v>
      </c>
      <c r="C25" s="102">
        <v>26</v>
      </c>
      <c r="D25" s="205">
        <f>SUMIFS(Table_MedicalGapAgreements[AmountCharged],Table_MedicalGapAgreements[Year],Selection!$E$14,Table_MedicalGapAgreements[MonthEnd],Selection!$E$15,Table_MedicalGapAgreements[State],"SA",Table_MedicalGapAgreements[GapType],"No agreement",Table_MedicalGapAgreements[MBSFeePercentage],"More than 200% MBS Fee")</f>
        <v>8882589.2400000002</v>
      </c>
      <c r="E25" s="205">
        <f>SUMIFS(Table_MedicalGapAgreements[MedicareBenefit],Table_MedicalGapAgreements[Year],Selection!$E$14,Table_MedicalGapAgreements[MonthEnd],Selection!$E$15,Table_MedicalGapAgreements[State],"SA",Table_MedicalGapAgreements[GapType],"No agreement",Table_MedicalGapAgreements[MBSFeePercentage],"More than 200% MBS Fee")</f>
        <v>1868967.99</v>
      </c>
      <c r="F25" s="205">
        <f>SUMIFS(Table_MedicalGapAgreements[FundBenefit],Table_MedicalGapAgreements[Year],Selection!$E$14,Table_MedicalGapAgreements[MonthEnd],Selection!$E$15,Table_MedicalGapAgreements[State],"SA",Table_MedicalGapAgreements[GapType],"No agreement",Table_MedicalGapAgreements[MBSFeePercentage],"More than 200% MBS Fee")</f>
        <v>623178.37</v>
      </c>
      <c r="G25" s="205">
        <f t="shared" si="18"/>
        <v>6390442.8799999999</v>
      </c>
      <c r="H25" s="182">
        <f>SUMIFS(Table_MedicalGapAgreements[NumberofServices],Table_MedicalGapAgreements[Year],Selection!$E$14,Table_MedicalGapAgreements[MonthEnd],Selection!$E$15,Table_MedicalGapAgreements[State],"SA",Table_MedicalGapAgreements[GapType],"No agreement",Table_MedicalGapAgreements[MBSFeePercentage],"More than 200% MBS Fee")</f>
        <v>3924</v>
      </c>
      <c r="I25" s="183">
        <f t="shared" si="14"/>
        <v>4.9884188339507415E-3</v>
      </c>
      <c r="J25" s="183">
        <f t="shared" si="15"/>
        <v>3.5645029586622297</v>
      </c>
      <c r="K25" s="207">
        <f t="shared" si="16"/>
        <v>2263.6567889908256</v>
      </c>
      <c r="L25" s="207">
        <f t="shared" si="17"/>
        <v>1628.5532313965341</v>
      </c>
    </row>
    <row r="26" spans="1:22" ht="14.1" customHeight="1">
      <c r="A26" s="214" t="s">
        <v>85</v>
      </c>
      <c r="B26" s="209"/>
      <c r="C26" s="95">
        <v>27</v>
      </c>
      <c r="D26" s="202">
        <f>SUM(D21:D25)</f>
        <v>12324219.35</v>
      </c>
      <c r="E26" s="202">
        <f t="shared" ref="E26:H26" si="19">SUM(E21:E25)</f>
        <v>4055251.4299999997</v>
      </c>
      <c r="F26" s="202">
        <f t="shared" si="19"/>
        <v>1346555.81</v>
      </c>
      <c r="G26" s="202">
        <f t="shared" si="19"/>
        <v>6922412.1100000003</v>
      </c>
      <c r="H26" s="206">
        <f t="shared" si="19"/>
        <v>14193</v>
      </c>
      <c r="I26" s="203">
        <f t="shared" si="14"/>
        <v>1.804297362646862E-2</v>
      </c>
      <c r="J26" s="203">
        <f t="shared" si="15"/>
        <v>2.2793073800851853</v>
      </c>
      <c r="K26" s="204">
        <f t="shared" si="16"/>
        <v>868.33082153174098</v>
      </c>
      <c r="L26" s="204">
        <f t="shared" si="17"/>
        <v>487.73424293665892</v>
      </c>
    </row>
    <row r="27" spans="1:22" ht="14.1" customHeight="1">
      <c r="A27" s="102"/>
      <c r="B27" s="102"/>
      <c r="C27" s="96"/>
      <c r="D27" s="97"/>
      <c r="E27" s="97"/>
      <c r="F27" s="97"/>
      <c r="G27" s="98"/>
      <c r="H27" s="99"/>
      <c r="I27" s="100"/>
      <c r="J27" s="100"/>
      <c r="K27" s="101"/>
      <c r="L27" s="101"/>
    </row>
    <row r="28" spans="1:22" ht="14.1" customHeight="1">
      <c r="A28" s="209" t="s">
        <v>80</v>
      </c>
      <c r="B28" s="209"/>
      <c r="C28" s="202"/>
      <c r="D28" s="202">
        <f>D19+D26</f>
        <v>147527961.49999997</v>
      </c>
      <c r="E28" s="202">
        <f t="shared" ref="E28:H28" si="20">E19+E26</f>
        <v>71224055.330000013</v>
      </c>
      <c r="F28" s="202">
        <f t="shared" si="20"/>
        <v>58164762.520000003</v>
      </c>
      <c r="G28" s="206">
        <f t="shared" si="20"/>
        <v>18139143.649999987</v>
      </c>
      <c r="H28" s="218">
        <f t="shared" si="20"/>
        <v>786622</v>
      </c>
      <c r="I28" s="203">
        <f>H28/H$28</f>
        <v>1</v>
      </c>
      <c r="J28" s="203">
        <f>D28/(E28/0.75)</f>
        <v>1.5534915923047028</v>
      </c>
      <c r="K28" s="204">
        <f>D28/H28</f>
        <v>187.54619308892958</v>
      </c>
      <c r="L28" s="204">
        <f>G28/H28</f>
        <v>23.059542766411298</v>
      </c>
    </row>
    <row r="29" spans="1:22" ht="14.1" customHeight="1">
      <c r="A29" s="209" t="s">
        <v>81</v>
      </c>
      <c r="B29" s="209"/>
      <c r="C29" s="202"/>
      <c r="D29" s="202">
        <f>D12+D21</f>
        <v>98161765.689999998</v>
      </c>
      <c r="E29" s="202">
        <f t="shared" ref="E29:H29" si="21">E12+E21</f>
        <v>54694960.250000007</v>
      </c>
      <c r="F29" s="202">
        <f t="shared" si="21"/>
        <v>43431721.470000006</v>
      </c>
      <c r="G29" s="206">
        <f t="shared" si="21"/>
        <v>35083.969999984896</v>
      </c>
      <c r="H29" s="218">
        <f t="shared" si="21"/>
        <v>682533</v>
      </c>
      <c r="I29" s="203">
        <f>H29/H$28</f>
        <v>0.86767596126220725</v>
      </c>
      <c r="J29" s="203">
        <f>D29/(E29/0.75)</f>
        <v>1.3460348801972115</v>
      </c>
      <c r="K29" s="204">
        <f>D29/H29</f>
        <v>143.81980899092059</v>
      </c>
      <c r="L29" s="204">
        <f>G29/H29</f>
        <v>5.1402598848678226E-2</v>
      </c>
    </row>
    <row r="30" spans="1:22" ht="14.1" customHeight="1">
      <c r="A30" s="209" t="s">
        <v>82</v>
      </c>
      <c r="B30" s="209"/>
      <c r="C30" s="202"/>
      <c r="D30" s="202">
        <f>D19+D21</f>
        <v>136993574.15999997</v>
      </c>
      <c r="E30" s="202">
        <f t="shared" ref="E30:H30" si="22">E19+E21</f>
        <v>68488247.030000001</v>
      </c>
      <c r="F30" s="202">
        <f t="shared" si="22"/>
        <v>57253662.550000004</v>
      </c>
      <c r="G30" s="206">
        <f t="shared" si="22"/>
        <v>11251664.579999989</v>
      </c>
      <c r="H30" s="218">
        <f t="shared" si="22"/>
        <v>780369</v>
      </c>
      <c r="I30" s="203">
        <f>H30/H$28</f>
        <v>0.99205081983468557</v>
      </c>
      <c r="J30" s="203">
        <f>D30/(E30/0.75)</f>
        <v>1.5001870404858568</v>
      </c>
      <c r="K30" s="204">
        <f>D30/H30</f>
        <v>175.54973885431119</v>
      </c>
      <c r="L30" s="204">
        <f>G30/H30</f>
        <v>14.418389992426645</v>
      </c>
    </row>
    <row r="31" spans="1:22" ht="14.1" customHeight="1">
      <c r="A31" s="209" t="s">
        <v>83</v>
      </c>
      <c r="B31" s="209"/>
      <c r="C31" s="202"/>
      <c r="D31" s="202">
        <f>D26-D21</f>
        <v>10534387.34</v>
      </c>
      <c r="E31" s="202">
        <f t="shared" ref="E31:H31" si="23">E26-E21</f>
        <v>2735808.3</v>
      </c>
      <c r="F31" s="202">
        <f t="shared" si="23"/>
        <v>911099.97</v>
      </c>
      <c r="G31" s="206">
        <f t="shared" si="23"/>
        <v>6887479.0700000003</v>
      </c>
      <c r="H31" s="218">
        <f t="shared" si="23"/>
        <v>6253</v>
      </c>
      <c r="I31" s="203">
        <f>H31/H$28</f>
        <v>7.9491801653144706E-3</v>
      </c>
      <c r="J31" s="203">
        <f>D31/(E31/0.75)</f>
        <v>2.887918172117542</v>
      </c>
      <c r="K31" s="204">
        <f>D31/H31</f>
        <v>1684.6933216056293</v>
      </c>
      <c r="L31" s="204">
        <f>G31/H31</f>
        <v>1101.4679465856389</v>
      </c>
    </row>
    <row r="32" spans="1:22">
      <c r="A32" s="105"/>
      <c r="B32" s="105"/>
      <c r="C32" s="105"/>
      <c r="D32" s="106"/>
      <c r="E32" s="106"/>
      <c r="F32" s="106"/>
      <c r="G32" s="106"/>
      <c r="H32" s="106"/>
      <c r="I32" s="107"/>
      <c r="J32" s="107"/>
      <c r="K32" s="107"/>
      <c r="L32" s="107"/>
    </row>
    <row r="33" spans="1:12" ht="13.15">
      <c r="A33" s="174" t="s">
        <v>89</v>
      </c>
      <c r="C33" s="32" t="s">
        <v>20</v>
      </c>
    </row>
    <row r="34" spans="1:12" ht="39.4">
      <c r="A34" s="67"/>
      <c r="B34" s="68"/>
      <c r="C34" s="69"/>
      <c r="D34" s="200" t="s">
        <v>41</v>
      </c>
      <c r="E34" s="200" t="s">
        <v>42</v>
      </c>
      <c r="F34" s="200" t="s">
        <v>43</v>
      </c>
      <c r="G34" s="200" t="s">
        <v>44</v>
      </c>
      <c r="H34" s="200" t="s">
        <v>73</v>
      </c>
      <c r="I34" s="200" t="s">
        <v>46</v>
      </c>
      <c r="J34" s="200" t="s">
        <v>74</v>
      </c>
      <c r="K34" s="200" t="s">
        <v>48</v>
      </c>
      <c r="L34" s="200" t="s">
        <v>49</v>
      </c>
    </row>
    <row r="35" spans="1:12" ht="13.5">
      <c r="A35" s="180" t="s">
        <v>75</v>
      </c>
      <c r="B35" s="71"/>
      <c r="C35" s="72">
        <v>0</v>
      </c>
      <c r="D35" s="73"/>
      <c r="E35" s="74"/>
      <c r="F35" s="74"/>
      <c r="G35" s="74"/>
      <c r="H35" s="74"/>
      <c r="I35" s="74"/>
      <c r="J35" s="74"/>
      <c r="K35" s="74"/>
      <c r="L35" s="74"/>
    </row>
    <row r="36" spans="1:12" ht="13.5">
      <c r="A36" s="210" t="s">
        <v>76</v>
      </c>
      <c r="B36" s="75"/>
      <c r="C36" s="72">
        <v>1</v>
      </c>
      <c r="D36" s="76"/>
      <c r="E36" s="77"/>
      <c r="F36" s="77"/>
      <c r="G36" s="77"/>
      <c r="H36" s="77"/>
      <c r="I36" s="77"/>
      <c r="J36" s="77"/>
      <c r="K36" s="77"/>
      <c r="L36" s="77"/>
    </row>
    <row r="37" spans="1:12">
      <c r="A37" s="213"/>
      <c r="B37" s="208" t="s">
        <v>50</v>
      </c>
      <c r="C37" s="79">
        <v>2</v>
      </c>
      <c r="D37" s="205">
        <f>SUMIFS(Table_MedicalGapAgreements[AmountCharged],Table_MedicalGapAgreements[Year],Selection!$E$14,Table_MedicalGapAgreements[MonthEnd],Selection!$E$15,Table_MedicalGapAgreements[State],"WA",Table_MedicalGapAgreements[GapType],"No gap agreement",Table_MedicalGapAgreements[MBSFeePercentage],"Up to MBS Fee")</f>
        <v>14455348.49</v>
      </c>
      <c r="E37" s="205">
        <f>SUMIFS(Table_MedicalGapAgreements[MedicareBenefit],Table_MedicalGapAgreements[Year],Selection!$E$14,Table_MedicalGapAgreements[MonthEnd],Selection!$E$15,Table_MedicalGapAgreements[State],"WA",Table_MedicalGapAgreements[GapType],"No gap agreement",Table_MedicalGapAgreements[MBSFeePercentage],"Up to MBS Fee")</f>
        <v>10865658.460000001</v>
      </c>
      <c r="F37" s="205">
        <f>SUMIFS(Table_MedicalGapAgreements[FundBenefit],Table_MedicalGapAgreements[Year],Selection!$E$14,Table_MedicalGapAgreements[MonthEnd],Selection!$E$15,Table_MedicalGapAgreements[State],"WA",Table_MedicalGapAgreements[GapType],"No gap agreement",Table_MedicalGapAgreements[MBSFeePercentage],"Up to MBS Fee")</f>
        <v>3589690.03</v>
      </c>
      <c r="G37" s="205">
        <f>D37-E37-F37</f>
        <v>0</v>
      </c>
      <c r="H37" s="182">
        <f>SUMIFS(Table_MedicalGapAgreements[NumberofServices],Table_MedicalGapAgreements[Year],Selection!$E$14,Table_MedicalGapAgreements[MonthEnd],Selection!$E$15,Table_MedicalGapAgreements[State],"WA",Table_MedicalGapAgreements[GapType],"No gap agreement",Table_MedicalGapAgreements[MBSFeePercentage],"Up to MBS Fee")</f>
        <v>211703</v>
      </c>
      <c r="I37" s="183">
        <f t="shared" ref="I37:I42" si="24">H37/H$58</f>
        <v>0.19813640239182906</v>
      </c>
      <c r="J37" s="183">
        <f t="shared" ref="J37:J42" si="25">D37/(E37/0.75)</f>
        <v>0.99777766873596341</v>
      </c>
      <c r="K37" s="207">
        <f t="shared" ref="K37:K42" si="26">D37/H37</f>
        <v>68.281264271172347</v>
      </c>
      <c r="L37" s="207">
        <f t="shared" ref="L37:L42" si="27">G37/H37</f>
        <v>0</v>
      </c>
    </row>
    <row r="38" spans="1:12">
      <c r="A38" s="211"/>
      <c r="B38" s="208" t="s">
        <v>51</v>
      </c>
      <c r="C38" s="79">
        <v>3</v>
      </c>
      <c r="D38" s="205">
        <f>SUMIFS(Table_MedicalGapAgreements[AmountCharged],Table_MedicalGapAgreements[Year],Selection!$E$14,Table_MedicalGapAgreements[MonthEnd],Selection!$E$15,Table_MedicalGapAgreements[State],"WA",Table_MedicalGapAgreements[GapType],"No gap agreement",Table_MedicalGapAgreements[MBSFeePercentage],"100% MBS Fee to 125% MBS Fee")</f>
        <v>17490745.039999999</v>
      </c>
      <c r="E38" s="205">
        <f>SUMIFS(Table_MedicalGapAgreements[MedicareBenefit],Table_MedicalGapAgreements[Year],Selection!$E$14,Table_MedicalGapAgreements[MonthEnd],Selection!$E$15,Table_MedicalGapAgreements[State],"WA",Table_MedicalGapAgreements[GapType],"No gap agreement",Table_MedicalGapAgreements[MBSFeePercentage],"100% MBS Fee to 125% MBS Fee")</f>
        <v>11110853.9</v>
      </c>
      <c r="F38" s="205">
        <f>SUMIFS(Table_MedicalGapAgreements[FundBenefit],Table_MedicalGapAgreements[Year],Selection!$E$14,Table_MedicalGapAgreements[MonthEnd],Selection!$E$15,Table_MedicalGapAgreements[State],"WA",Table_MedicalGapAgreements[GapType],"No gap agreement",Table_MedicalGapAgreements[MBSFeePercentage],"100% MBS Fee to 125% MBS Fee")</f>
        <v>6379860.4900000002</v>
      </c>
      <c r="G38" s="205">
        <f t="shared" ref="G38:G42" si="28">D38-E38-F38</f>
        <v>30.649999998509884</v>
      </c>
      <c r="H38" s="182">
        <f>SUMIFS(Table_MedicalGapAgreements[NumberofServices],Table_MedicalGapAgreements[Year],Selection!$E$14,Table_MedicalGapAgreements[MonthEnd],Selection!$E$15,Table_MedicalGapAgreements[State],"WA",Table_MedicalGapAgreements[GapType],"No gap agreement",Table_MedicalGapAgreements[MBSFeePercentage],"100% MBS Fee to 125% MBS Fee")</f>
        <v>99581</v>
      </c>
      <c r="I38" s="183">
        <f t="shared" si="24"/>
        <v>9.3199534662148059E-2</v>
      </c>
      <c r="J38" s="183">
        <f t="shared" si="25"/>
        <v>1.1806526211275263</v>
      </c>
      <c r="K38" s="207">
        <f t="shared" si="26"/>
        <v>175.64339623020456</v>
      </c>
      <c r="L38" s="207">
        <f t="shared" si="27"/>
        <v>3.0778963857071013E-4</v>
      </c>
    </row>
    <row r="39" spans="1:12">
      <c r="A39" s="212"/>
      <c r="B39" s="208" t="s">
        <v>52</v>
      </c>
      <c r="C39" s="79">
        <v>4</v>
      </c>
      <c r="D39" s="205">
        <f>SUMIFS(Table_MedicalGapAgreements[AmountCharged],Table_MedicalGapAgreements[Year],Selection!$E$14,Table_MedicalGapAgreements[MonthEnd],Selection!$E$15,Table_MedicalGapAgreements[State],"WA",Table_MedicalGapAgreements[GapType],"No gap agreement",Table_MedicalGapAgreements[MBSFeePercentage],"More than 125% MBS Fee to 150% MBS Fee")</f>
        <v>60769868.829999998</v>
      </c>
      <c r="E39" s="205">
        <f>SUMIFS(Table_MedicalGapAgreements[MedicareBenefit],Table_MedicalGapAgreements[Year],Selection!$E$14,Table_MedicalGapAgreements[MonthEnd],Selection!$E$15,Table_MedicalGapAgreements[State],"WA",Table_MedicalGapAgreements[GapType],"No gap agreement",Table_MedicalGapAgreements[MBSFeePercentage],"More than 125% MBS Fee to 150% MBS Fee")</f>
        <v>33214727.949999999</v>
      </c>
      <c r="F39" s="205">
        <f>SUMIFS(Table_MedicalGapAgreements[FundBenefit],Table_MedicalGapAgreements[Year],Selection!$E$14,Table_MedicalGapAgreements[MonthEnd],Selection!$E$15,Table_MedicalGapAgreements[State],"WA",Table_MedicalGapAgreements[GapType],"No gap agreement",Table_MedicalGapAgreements[MBSFeePercentage],"More than 125% MBS Fee to 150% MBS Fee")</f>
        <v>27555125.960000001</v>
      </c>
      <c r="G39" s="205">
        <f t="shared" si="28"/>
        <v>14.919999998062849</v>
      </c>
      <c r="H39" s="182">
        <f>SUMIFS(Table_MedicalGapAgreements[NumberofServices],Table_MedicalGapAgreements[Year],Selection!$E$14,Table_MedicalGapAgreements[MonthEnd],Selection!$E$15,Table_MedicalGapAgreements[State],"WA",Table_MedicalGapAgreements[GapType],"No gap agreement",Table_MedicalGapAgreements[MBSFeePercentage],"More than 125% MBS Fee to 150% MBS Fee")</f>
        <v>360009</v>
      </c>
      <c r="I39" s="183">
        <f t="shared" si="24"/>
        <v>0.33693848499397738</v>
      </c>
      <c r="J39" s="183">
        <f t="shared" si="25"/>
        <v>1.3722045741609032</v>
      </c>
      <c r="K39" s="207">
        <f t="shared" si="26"/>
        <v>168.80097117016518</v>
      </c>
      <c r="L39" s="207">
        <f t="shared" si="27"/>
        <v>4.1443408353854626E-5</v>
      </c>
    </row>
    <row r="40" spans="1:12" ht="15">
      <c r="A40" s="212"/>
      <c r="B40" s="208" t="s">
        <v>53</v>
      </c>
      <c r="C40" s="82"/>
      <c r="D40" s="205">
        <f>SUMIFS(Table_MedicalGapAgreements[AmountCharged],Table_MedicalGapAgreements[Year],Selection!$E$14,Table_MedicalGapAgreements[MonthEnd],Selection!$E$15,Table_MedicalGapAgreements[State],"WA",Table_MedicalGapAgreements[GapType],"No gap agreement",Table_MedicalGapAgreements[MBSFeePercentage],"More than 150% MBS Fee to 200% MBS Fee")</f>
        <v>55446689.600000001</v>
      </c>
      <c r="E40" s="205">
        <f>SUMIFS(Table_MedicalGapAgreements[MedicareBenefit],Table_MedicalGapAgreements[Year],Selection!$E$14,Table_MedicalGapAgreements[MonthEnd],Selection!$E$15,Table_MedicalGapAgreements[State],"WA",Table_MedicalGapAgreements[GapType],"No gap agreement",Table_MedicalGapAgreements[MBSFeePercentage],"More than 150% MBS Fee to 200% MBS Fee")</f>
        <v>25320340.800000001</v>
      </c>
      <c r="F40" s="205">
        <f>SUMIFS(Table_MedicalGapAgreements[FundBenefit],Table_MedicalGapAgreements[Year],Selection!$E$14,Table_MedicalGapAgreements[MonthEnd],Selection!$E$15,Table_MedicalGapAgreements[State],"WA",Table_MedicalGapAgreements[GapType],"No gap agreement",Table_MedicalGapAgreements[MBSFeePercentage],"More than 150% MBS Fee to 200% MBS Fee")</f>
        <v>30126340.789999999</v>
      </c>
      <c r="G40" s="205">
        <f t="shared" si="28"/>
        <v>8.0100000016391277</v>
      </c>
      <c r="H40" s="182">
        <f>SUMIFS(Table_MedicalGapAgreements[NumberofServices],Table_MedicalGapAgreements[Year],Selection!$E$14,Table_MedicalGapAgreements[MonthEnd],Selection!$E$15,Table_MedicalGapAgreements[State],"WA",Table_MedicalGapAgreements[GapType],"No gap agreement",Table_MedicalGapAgreements[MBSFeePercentage],"More than 150% MBS Fee to 200% MBS Fee")</f>
        <v>243281</v>
      </c>
      <c r="I40" s="183">
        <f t="shared" si="24"/>
        <v>0.22769078430766956</v>
      </c>
      <c r="J40" s="183">
        <f t="shared" si="25"/>
        <v>1.6423561407988634</v>
      </c>
      <c r="K40" s="207">
        <f t="shared" si="26"/>
        <v>227.9121246624274</v>
      </c>
      <c r="L40" s="207">
        <f t="shared" si="27"/>
        <v>3.2924889332250066E-5</v>
      </c>
    </row>
    <row r="41" spans="1:12" ht="15">
      <c r="A41" s="212"/>
      <c r="B41" s="208" t="s">
        <v>54</v>
      </c>
      <c r="C41" s="82">
        <v>5</v>
      </c>
      <c r="D41" s="205">
        <f>SUMIFS(Table_MedicalGapAgreements[AmountCharged],Table_MedicalGapAgreements[Year],Selection!$E$14,Table_MedicalGapAgreements[MonthEnd],Selection!$E$15,Table_MedicalGapAgreements[State],"WA",Table_MedicalGapAgreements[GapType],"No gap agreement",Table_MedicalGapAgreements[MBSFeePercentage],"More than 200% MBS Fee")</f>
        <v>2095595.46</v>
      </c>
      <c r="E41" s="205">
        <f>SUMIFS(Table_MedicalGapAgreements[MedicareBenefit],Table_MedicalGapAgreements[Year],Selection!$E$14,Table_MedicalGapAgreements[MonthEnd],Selection!$E$15,Table_MedicalGapAgreements[State],"WA",Table_MedicalGapAgreements[GapType],"No gap agreement",Table_MedicalGapAgreements[MBSFeePercentage],"More than 200% MBS Fee")</f>
        <v>588485.59</v>
      </c>
      <c r="F41" s="205">
        <f>SUMIFS(Table_MedicalGapAgreements[FundBenefit],Table_MedicalGapAgreements[Year],Selection!$E$14,Table_MedicalGapAgreements[MonthEnd],Selection!$E$15,Table_MedicalGapAgreements[State],"WA",Table_MedicalGapAgreements[GapType],"No gap agreement",Table_MedicalGapAgreements[MBSFeePercentage],"More than 200% MBS Fee")</f>
        <v>1507109.87</v>
      </c>
      <c r="G41" s="205">
        <f t="shared" si="28"/>
        <v>0</v>
      </c>
      <c r="H41" s="182">
        <f>SUMIFS(Table_MedicalGapAgreements[NumberofServices],Table_MedicalGapAgreements[Year],Selection!$E$14,Table_MedicalGapAgreements[MonthEnd],Selection!$E$15,Table_MedicalGapAgreements[State],"WA",Table_MedicalGapAgreements[GapType],"No gap agreement",Table_MedicalGapAgreements[MBSFeePercentage],"More than 200% MBS Fee")</f>
        <v>1961</v>
      </c>
      <c r="I41" s="183">
        <f t="shared" si="24"/>
        <v>1.8353329196580908E-3</v>
      </c>
      <c r="J41" s="183">
        <f t="shared" si="25"/>
        <v>2.6707478002987299</v>
      </c>
      <c r="K41" s="207">
        <f t="shared" si="26"/>
        <v>1068.6361346251913</v>
      </c>
      <c r="L41" s="207">
        <f t="shared" si="27"/>
        <v>0</v>
      </c>
    </row>
    <row r="42" spans="1:12" ht="15">
      <c r="A42" s="214"/>
      <c r="B42" s="209" t="s">
        <v>0</v>
      </c>
      <c r="C42" s="84">
        <v>6</v>
      </c>
      <c r="D42" s="202">
        <f>SUM(D37:D41)</f>
        <v>150258247.42000002</v>
      </c>
      <c r="E42" s="202">
        <f t="shared" ref="E42:F42" si="29">SUM(E37:E41)</f>
        <v>81100066.700000003</v>
      </c>
      <c r="F42" s="202">
        <f t="shared" si="29"/>
        <v>69158127.140000015</v>
      </c>
      <c r="G42" s="202">
        <f t="shared" si="28"/>
        <v>53.579999998211861</v>
      </c>
      <c r="H42" s="206">
        <f t="shared" ref="H42" si="30">SUM(H37:H41)</f>
        <v>916535</v>
      </c>
      <c r="I42" s="203">
        <f t="shared" si="24"/>
        <v>0.8578005392752821</v>
      </c>
      <c r="J42" s="203">
        <f t="shared" si="25"/>
        <v>1.3895634140705337</v>
      </c>
      <c r="K42" s="204">
        <f t="shared" si="26"/>
        <v>163.94163607499988</v>
      </c>
      <c r="L42" s="204">
        <f t="shared" si="27"/>
        <v>5.8459305971088788E-5</v>
      </c>
    </row>
    <row r="43" spans="1:12" ht="15">
      <c r="A43" s="215" t="s">
        <v>77</v>
      </c>
      <c r="B43" s="75"/>
      <c r="C43" s="85"/>
      <c r="D43" s="86"/>
      <c r="E43" s="87"/>
      <c r="F43" s="87"/>
      <c r="G43" s="88"/>
      <c r="H43" s="89"/>
      <c r="I43" s="90"/>
      <c r="J43" s="91"/>
      <c r="K43" s="92"/>
      <c r="L43" s="92"/>
    </row>
    <row r="44" spans="1:12" ht="15">
      <c r="A44" s="213"/>
      <c r="B44" s="208" t="s">
        <v>51</v>
      </c>
      <c r="C44" s="93">
        <v>7</v>
      </c>
      <c r="D44" s="205">
        <f>SUMIFS(Table_MedicalGapAgreements[AmountCharged],Table_MedicalGapAgreements[Year],Selection!$E$14,Table_MedicalGapAgreements[MonthEnd],Selection!$E$15,Table_MedicalGapAgreements[State],"WA",Table_MedicalGapAgreements[GapType],"Known gap agreement",Table_MedicalGapAgreements[MBSFeePercentage],"100% MBS Fee to 125% MBS Fee")</f>
        <v>754462.13</v>
      </c>
      <c r="E44" s="205">
        <f>SUMIFS(Table_MedicalGapAgreements[MedicareBenefit],Table_MedicalGapAgreements[Year],Selection!$E$14,Table_MedicalGapAgreements[MonthEnd],Selection!$E$15,Table_MedicalGapAgreements[State],"WA",Table_MedicalGapAgreements[GapType],"Known gap agreement",Table_MedicalGapAgreements[MBSFeePercentage],"100% MBS Fee to 125% MBS Fee")</f>
        <v>481518.56</v>
      </c>
      <c r="F44" s="205">
        <f>SUMIFS(Table_MedicalGapAgreements[FundBenefit],Table_MedicalGapAgreements[Year],Selection!$E$14,Table_MedicalGapAgreements[MonthEnd],Selection!$E$15,Table_MedicalGapAgreements[State],"WA",Table_MedicalGapAgreements[GapType],"Known gap agreement",Table_MedicalGapAgreements[MBSFeePercentage],"100% MBS Fee to 125% MBS Fee")</f>
        <v>195519.07</v>
      </c>
      <c r="G44" s="205">
        <f t="shared" ref="G44:G47" si="31">D44-E44-F44</f>
        <v>77424.5</v>
      </c>
      <c r="H44" s="182">
        <f>SUMIFS(Table_MedicalGapAgreements[NumberofServices],Table_MedicalGapAgreements[Year],Selection!$E$14,Table_MedicalGapAgreements[MonthEnd],Selection!$E$15,Table_MedicalGapAgreements[State],"WA",Table_MedicalGapAgreements[GapType],"Known gap agreement",Table_MedicalGapAgreements[MBSFeePercentage],"100% MBS Fee to 125% MBS Fee")</f>
        <v>3610</v>
      </c>
      <c r="I44" s="183">
        <f t="shared" ref="I44:I49" si="32">H44/H$58</f>
        <v>3.3786597858060726E-3</v>
      </c>
      <c r="J44" s="183">
        <f t="shared" ref="J44:J49" si="33">D44/(E44/0.75)</f>
        <v>1.1751293605380444</v>
      </c>
      <c r="K44" s="207">
        <f t="shared" ref="K44:K49" si="34">D44/H44</f>
        <v>208.99227977839334</v>
      </c>
      <c r="L44" s="207">
        <f t="shared" ref="L44:L49" si="35">G44/H44</f>
        <v>21.447229916897506</v>
      </c>
    </row>
    <row r="45" spans="1:12" ht="15">
      <c r="A45" s="211"/>
      <c r="B45" s="208" t="s">
        <v>52</v>
      </c>
      <c r="C45" s="93">
        <v>8</v>
      </c>
      <c r="D45" s="205">
        <f>SUMIFS(Table_MedicalGapAgreements[AmountCharged],Table_MedicalGapAgreements[Year],Selection!$E$14,Table_MedicalGapAgreements[MonthEnd],Selection!$E$15,Table_MedicalGapAgreements[State],"WA",Table_MedicalGapAgreements[GapType],"Known gap agreement",Table_MedicalGapAgreements[MBSFeePercentage],"More than 125% MBS Fee to 150% MBS Fee")</f>
        <v>2449524.2999999998</v>
      </c>
      <c r="E45" s="205">
        <f>SUMIFS(Table_MedicalGapAgreements[MedicareBenefit],Table_MedicalGapAgreements[Year],Selection!$E$14,Table_MedicalGapAgreements[MonthEnd],Selection!$E$15,Table_MedicalGapAgreements[State],"WA",Table_MedicalGapAgreements[GapType],"Known gap agreement",Table_MedicalGapAgreements[MBSFeePercentage],"More than 125% MBS Fee to 150% MBS Fee")</f>
        <v>1324217.46</v>
      </c>
      <c r="F45" s="205">
        <f>SUMIFS(Table_MedicalGapAgreements[FundBenefit],Table_MedicalGapAgreements[Year],Selection!$E$14,Table_MedicalGapAgreements[MonthEnd],Selection!$E$15,Table_MedicalGapAgreements[State],"WA",Table_MedicalGapAgreements[GapType],"Known gap agreement",Table_MedicalGapAgreements[MBSFeePercentage],"More than 125% MBS Fee to 150% MBS Fee")</f>
        <v>762540.26</v>
      </c>
      <c r="G45" s="205">
        <f t="shared" si="31"/>
        <v>362766.57999999984</v>
      </c>
      <c r="H45" s="182">
        <f>SUMIFS(Table_MedicalGapAgreements[NumberofServices],Table_MedicalGapAgreements[Year],Selection!$E$14,Table_MedicalGapAgreements[MonthEnd],Selection!$E$15,Table_MedicalGapAgreements[State],"WA",Table_MedicalGapAgreements[GapType],"Known gap agreement",Table_MedicalGapAgreements[MBSFeePercentage],"More than 125% MBS Fee to 150% MBS Fee")</f>
        <v>6936</v>
      </c>
      <c r="I45" s="183">
        <f t="shared" si="32"/>
        <v>6.4915191895708914E-3</v>
      </c>
      <c r="J45" s="183">
        <f t="shared" si="33"/>
        <v>1.3873425479528112</v>
      </c>
      <c r="K45" s="207">
        <f t="shared" si="34"/>
        <v>353.16094290657435</v>
      </c>
      <c r="L45" s="207">
        <f t="shared" si="35"/>
        <v>52.301986735870798</v>
      </c>
    </row>
    <row r="46" spans="1:12">
      <c r="A46" s="212"/>
      <c r="B46" s="208" t="s">
        <v>53</v>
      </c>
      <c r="C46" s="94"/>
      <c r="D46" s="205">
        <f>SUMIFS(Table_MedicalGapAgreements[AmountCharged],Table_MedicalGapAgreements[Year],Selection!$E$14,Table_MedicalGapAgreements[MonthEnd],Selection!$E$15,Table_MedicalGapAgreements[State],"WA",Table_MedicalGapAgreements[GapType],"Known gap agreement",Table_MedicalGapAgreements[MBSFeePercentage],"More than 150% MBS Fee to 200% MBS Fee")</f>
        <v>11692833.949999999</v>
      </c>
      <c r="E46" s="205">
        <f>SUMIFS(Table_MedicalGapAgreements[MedicareBenefit],Table_MedicalGapAgreements[Year],Selection!$E$14,Table_MedicalGapAgreements[MonthEnd],Selection!$E$15,Table_MedicalGapAgreements[State],"WA",Table_MedicalGapAgreements[GapType],"Known gap agreement",Table_MedicalGapAgreements[MBSFeePercentage],"More than 150% MBS Fee to 200% MBS Fee")</f>
        <v>5049025.4800000004</v>
      </c>
      <c r="F46" s="205">
        <f>SUMIFS(Table_MedicalGapAgreements[FundBenefit],Table_MedicalGapAgreements[Year],Selection!$E$14,Table_MedicalGapAgreements[MonthEnd],Selection!$E$15,Table_MedicalGapAgreements[State],"WA",Table_MedicalGapAgreements[GapType],"Known gap agreement",Table_MedicalGapAgreements[MBSFeePercentage],"More than 150% MBS Fee to 200% MBS Fee")</f>
        <v>4185711.44</v>
      </c>
      <c r="G46" s="205">
        <f t="shared" si="31"/>
        <v>2458097.0299999989</v>
      </c>
      <c r="H46" s="182">
        <f>SUMIFS(Table_MedicalGapAgreements[NumberofServices],Table_MedicalGapAgreements[Year],Selection!$E$14,Table_MedicalGapAgreements[MonthEnd],Selection!$E$15,Table_MedicalGapAgreements[State],"WA",Table_MedicalGapAgreements[GapType],"Known gap agreement",Table_MedicalGapAgreements[MBSFeePercentage],"More than 150% MBS Fee to 200% MBS Fee")</f>
        <v>18965</v>
      </c>
      <c r="I46" s="183">
        <f t="shared" si="32"/>
        <v>1.7749662835959048E-2</v>
      </c>
      <c r="J46" s="183">
        <f t="shared" si="33"/>
        <v>1.7368946734845947</v>
      </c>
      <c r="K46" s="207">
        <f t="shared" si="34"/>
        <v>616.54805958344309</v>
      </c>
      <c r="L46" s="207">
        <f t="shared" si="35"/>
        <v>129.61228737147371</v>
      </c>
    </row>
    <row r="47" spans="1:12" ht="15">
      <c r="A47" s="212"/>
      <c r="B47" s="208" t="s">
        <v>54</v>
      </c>
      <c r="C47" s="93">
        <v>9</v>
      </c>
      <c r="D47" s="205">
        <f>SUMIFS(Table_MedicalGapAgreements[AmountCharged],Table_MedicalGapAgreements[Year],Selection!$E$14,Table_MedicalGapAgreements[MonthEnd],Selection!$E$15,Table_MedicalGapAgreements[State],"WA",Table_MedicalGapAgreements[GapType],"Known gap agreement",Table_MedicalGapAgreements[MBSFeePercentage],"More than 200% MBS Fee")</f>
        <v>27696554.5</v>
      </c>
      <c r="E47" s="205">
        <f>SUMIFS(Table_MedicalGapAgreements[MedicareBenefit],Table_MedicalGapAgreements[Year],Selection!$E$14,Table_MedicalGapAgreements[MonthEnd],Selection!$E$15,Table_MedicalGapAgreements[State],"WA",Table_MedicalGapAgreements[GapType],"Known gap agreement",Table_MedicalGapAgreements[MBSFeePercentage],"More than 200% MBS Fee")</f>
        <v>6620856.9699999997</v>
      </c>
      <c r="F47" s="205">
        <f>SUMIFS(Table_MedicalGapAgreements[FundBenefit],Table_MedicalGapAgreements[Year],Selection!$E$14,Table_MedicalGapAgreements[MonthEnd],Selection!$E$15,Table_MedicalGapAgreements[State],"WA",Table_MedicalGapAgreements[GapType],"Known gap agreement",Table_MedicalGapAgreements[MBSFeePercentage],"More than 200% MBS Fee")</f>
        <v>4872480.12</v>
      </c>
      <c r="G47" s="205">
        <f t="shared" si="31"/>
        <v>16203217.41</v>
      </c>
      <c r="H47" s="182">
        <f>SUMIFS(Table_MedicalGapAgreements[NumberofServices],Table_MedicalGapAgreements[Year],Selection!$E$14,Table_MedicalGapAgreements[MonthEnd],Selection!$E$15,Table_MedicalGapAgreements[State],"WA",Table_MedicalGapAgreements[GapType],"Known gap agreement",Table_MedicalGapAgreements[MBSFeePercentage],"More than 200% MBS Fee")</f>
        <v>70070</v>
      </c>
      <c r="I47" s="183">
        <f t="shared" si="32"/>
        <v>6.5579692850812055E-2</v>
      </c>
      <c r="J47" s="183">
        <f t="shared" si="33"/>
        <v>3.1374210270849576</v>
      </c>
      <c r="K47" s="207">
        <f t="shared" si="34"/>
        <v>395.26979449122308</v>
      </c>
      <c r="L47" s="207">
        <f t="shared" si="35"/>
        <v>231.243291137434</v>
      </c>
    </row>
    <row r="48" spans="1:12" ht="15">
      <c r="A48" s="214"/>
      <c r="B48" s="209" t="s">
        <v>0</v>
      </c>
      <c r="C48" s="95"/>
      <c r="D48" s="202">
        <f>SUM(D44:D47)</f>
        <v>42593374.879999995</v>
      </c>
      <c r="E48" s="202">
        <f t="shared" ref="E48:H48" si="36">SUM(E44:E47)</f>
        <v>13475618.469999999</v>
      </c>
      <c r="F48" s="202">
        <f t="shared" si="36"/>
        <v>10016250.890000001</v>
      </c>
      <c r="G48" s="202">
        <f t="shared" si="36"/>
        <v>19101505.52</v>
      </c>
      <c r="H48" s="206">
        <f t="shared" si="36"/>
        <v>99581</v>
      </c>
      <c r="I48" s="203">
        <f t="shared" si="32"/>
        <v>9.3199534662148059E-2</v>
      </c>
      <c r="J48" s="203">
        <f t="shared" si="33"/>
        <v>2.3705799649283184</v>
      </c>
      <c r="K48" s="204">
        <f t="shared" si="34"/>
        <v>427.72592040650318</v>
      </c>
      <c r="L48" s="204">
        <f t="shared" si="35"/>
        <v>191.81877587089906</v>
      </c>
    </row>
    <row r="49" spans="1:12" ht="15">
      <c r="A49" s="216" t="s">
        <v>78</v>
      </c>
      <c r="B49" s="216"/>
      <c r="C49" s="95">
        <v>10</v>
      </c>
      <c r="D49" s="202">
        <f>D48+D42</f>
        <v>192851622.30000001</v>
      </c>
      <c r="E49" s="202">
        <f t="shared" ref="E49:H49" si="37">E48+E42</f>
        <v>94575685.170000002</v>
      </c>
      <c r="F49" s="202">
        <f t="shared" si="37"/>
        <v>79174378.030000016</v>
      </c>
      <c r="G49" s="202">
        <f t="shared" si="37"/>
        <v>19101559.099999998</v>
      </c>
      <c r="H49" s="206">
        <f t="shared" si="37"/>
        <v>1016116</v>
      </c>
      <c r="I49" s="203">
        <f t="shared" si="32"/>
        <v>0.95100007393743025</v>
      </c>
      <c r="J49" s="203">
        <f t="shared" si="33"/>
        <v>1.5293435777389464</v>
      </c>
      <c r="K49" s="204">
        <f t="shared" si="34"/>
        <v>189.79291960760386</v>
      </c>
      <c r="L49" s="204">
        <f t="shared" si="35"/>
        <v>18.798600848721993</v>
      </c>
    </row>
    <row r="50" spans="1:12" ht="15">
      <c r="A50" s="210" t="s">
        <v>79</v>
      </c>
      <c r="B50" s="75"/>
      <c r="C50" s="96"/>
      <c r="D50" s="97"/>
      <c r="E50" s="97"/>
      <c r="F50" s="97"/>
      <c r="G50" s="98"/>
      <c r="H50" s="99"/>
      <c r="I50" s="100"/>
      <c r="J50" s="100"/>
      <c r="K50" s="101"/>
      <c r="L50" s="101"/>
    </row>
    <row r="51" spans="1:12" ht="15">
      <c r="A51" s="213"/>
      <c r="B51" s="208" t="s">
        <v>50</v>
      </c>
      <c r="C51" s="96">
        <v>22</v>
      </c>
      <c r="D51" s="205">
        <f>SUMIFS(Table_MedicalGapAgreements[AmountCharged],Table_MedicalGapAgreements[Year],Selection!$E$14,Table_MedicalGapAgreements[MonthEnd],Selection!$E$15,Table_MedicalGapAgreements[State],"WA",Table_MedicalGapAgreements[GapType],"No agreement",Table_MedicalGapAgreements[MBSFeePercentage],"Up to MBS Fee")</f>
        <v>2174612.12</v>
      </c>
      <c r="E51" s="205">
        <f>SUMIFS(Table_MedicalGapAgreements[MedicareBenefit],Table_MedicalGapAgreements[Year],Selection!$E$14,Table_MedicalGapAgreements[MonthEnd],Selection!$E$15,Table_MedicalGapAgreements[State],"WA",Table_MedicalGapAgreements[GapType],"No agreement",Table_MedicalGapAgreements[MBSFeePercentage],"Up to MBS Fee")</f>
        <v>1629747.02</v>
      </c>
      <c r="F51" s="205">
        <f>SUMIFS(Table_MedicalGapAgreements[FundBenefit],Table_MedicalGapAgreements[Year],Selection!$E$14,Table_MedicalGapAgreements[MonthEnd],Selection!$E$15,Table_MedicalGapAgreements[State],"WA",Table_MedicalGapAgreements[GapType],"No agreement",Table_MedicalGapAgreements[MBSFeePercentage],"Up to MBS Fee")</f>
        <v>536106.68999999994</v>
      </c>
      <c r="G51" s="205">
        <f>D51-E51-F51</f>
        <v>8758.410000000149</v>
      </c>
      <c r="H51" s="182">
        <f>SUMIFS(Table_MedicalGapAgreements[NumberofServices],Table_MedicalGapAgreements[Year],Selection!$E$14,Table_MedicalGapAgreements[MonthEnd],Selection!$E$15,Table_MedicalGapAgreements[State],"WA",Table_MedicalGapAgreements[GapType],"No agreement",Table_MedicalGapAgreements[MBSFeePercentage],"Up to MBS Fee")</f>
        <v>27518</v>
      </c>
      <c r="I51" s="183">
        <f t="shared" ref="I51:I56" si="38">H51/H$58</f>
        <v>2.5754559552856372E-2</v>
      </c>
      <c r="J51" s="183">
        <f t="shared" ref="J51:J56" si="39">D51/(E51/0.75)</f>
        <v>1.0007437166536435</v>
      </c>
      <c r="K51" s="207">
        <f t="shared" ref="K51:K56" si="40">D51/H51</f>
        <v>79.025078857475108</v>
      </c>
      <c r="L51" s="207">
        <f t="shared" ref="L51:L56" si="41">G51/H51</f>
        <v>0.31827930808925609</v>
      </c>
    </row>
    <row r="52" spans="1:12" ht="15">
      <c r="A52" s="211"/>
      <c r="B52" s="208" t="s">
        <v>51</v>
      </c>
      <c r="C52" s="96">
        <v>23</v>
      </c>
      <c r="D52" s="205">
        <f>SUMIFS(Table_MedicalGapAgreements[AmountCharged],Table_MedicalGapAgreements[Year],Selection!$E$14,Table_MedicalGapAgreements[MonthEnd],Selection!$E$15,Table_MedicalGapAgreements[State],"WA",Table_MedicalGapAgreements[GapType],"No agreement",Table_MedicalGapAgreements[MBSFeePercentage],"100% MBS Fee to 125% MBS Fee")</f>
        <v>556757.98</v>
      </c>
      <c r="E52" s="205">
        <f>SUMIFS(Table_MedicalGapAgreements[MedicareBenefit],Table_MedicalGapAgreements[Year],Selection!$E$14,Table_MedicalGapAgreements[MonthEnd],Selection!$E$15,Table_MedicalGapAgreements[State],"WA",Table_MedicalGapAgreements[GapType],"No agreement",Table_MedicalGapAgreements[MBSFeePercentage],"100% MBS Fee to 125% MBS Fee")</f>
        <v>370477.01</v>
      </c>
      <c r="F52" s="205">
        <f>SUMIFS(Table_MedicalGapAgreements[FundBenefit],Table_MedicalGapAgreements[Year],Selection!$E$14,Table_MedicalGapAgreements[MonthEnd],Selection!$E$15,Table_MedicalGapAgreements[State],"WA",Table_MedicalGapAgreements[GapType],"No agreement",Table_MedicalGapAgreements[MBSFeePercentage],"100% MBS Fee to 125% MBS Fee")</f>
        <v>123010.98</v>
      </c>
      <c r="G52" s="205">
        <f t="shared" ref="G52:G55" si="42">D52-E52-F52</f>
        <v>63269.989999999976</v>
      </c>
      <c r="H52" s="182">
        <f>SUMIFS(Table_MedicalGapAgreements[NumberofServices],Table_MedicalGapAgreements[Year],Selection!$E$14,Table_MedicalGapAgreements[MonthEnd],Selection!$E$15,Table_MedicalGapAgreements[State],"WA",Table_MedicalGapAgreements[GapType],"No agreement",Table_MedicalGapAgreements[MBSFeePercentage],"100% MBS Fee to 125% MBS Fee")</f>
        <v>966</v>
      </c>
      <c r="I52" s="183">
        <f t="shared" si="38"/>
        <v>9.040956656755307E-4</v>
      </c>
      <c r="J52" s="183">
        <f t="shared" si="39"/>
        <v>1.1271103839884693</v>
      </c>
      <c r="K52" s="207">
        <f t="shared" si="40"/>
        <v>576.35401656314696</v>
      </c>
      <c r="L52" s="207">
        <f t="shared" si="41"/>
        <v>65.496884057970988</v>
      </c>
    </row>
    <row r="53" spans="1:12">
      <c r="A53" s="212"/>
      <c r="B53" s="208" t="s">
        <v>52</v>
      </c>
      <c r="C53" s="102">
        <v>24</v>
      </c>
      <c r="D53" s="205">
        <f>SUMIFS(Table_MedicalGapAgreements[AmountCharged],Table_MedicalGapAgreements[Year],Selection!$E$14,Table_MedicalGapAgreements[MonthEnd],Selection!$E$15,Table_MedicalGapAgreements[State],"WA",Table_MedicalGapAgreements[GapType],"No agreement",Table_MedicalGapAgreements[MBSFeePercentage],"More than 125% MBS Fee to 150% MBS Fee")</f>
        <v>666059.11</v>
      </c>
      <c r="E53" s="205">
        <f>SUMIFS(Table_MedicalGapAgreements[MedicareBenefit],Table_MedicalGapAgreements[Year],Selection!$E$14,Table_MedicalGapAgreements[MonthEnd],Selection!$E$15,Table_MedicalGapAgreements[State],"WA",Table_MedicalGapAgreements[GapType],"No agreement",Table_MedicalGapAgreements[MBSFeePercentage],"More than 125% MBS Fee to 150% MBS Fee")</f>
        <v>359201.56</v>
      </c>
      <c r="F53" s="205">
        <f>SUMIFS(Table_MedicalGapAgreements[FundBenefit],Table_MedicalGapAgreements[Year],Selection!$E$14,Table_MedicalGapAgreements[MonthEnd],Selection!$E$15,Table_MedicalGapAgreements[State],"WA",Table_MedicalGapAgreements[GapType],"No agreement",Table_MedicalGapAgreements[MBSFeePercentage],"More than 125% MBS Fee to 150% MBS Fee")</f>
        <v>116328.49</v>
      </c>
      <c r="G53" s="205">
        <f t="shared" si="42"/>
        <v>190529.06</v>
      </c>
      <c r="H53" s="182">
        <f>SUMIFS(Table_MedicalGapAgreements[NumberofServices],Table_MedicalGapAgreements[Year],Selection!$E$14,Table_MedicalGapAgreements[MonthEnd],Selection!$E$15,Table_MedicalGapAgreements[State],"WA",Table_MedicalGapAgreements[GapType],"No agreement",Table_MedicalGapAgreements[MBSFeePercentage],"More than 125% MBS Fee to 150% MBS Fee")</f>
        <v>1325</v>
      </c>
      <c r="I53" s="183">
        <f t="shared" si="38"/>
        <v>1.2400898105797912E-3</v>
      </c>
      <c r="J53" s="183">
        <f t="shared" si="39"/>
        <v>1.3907075807243152</v>
      </c>
      <c r="K53" s="207">
        <f t="shared" si="40"/>
        <v>502.68612075471697</v>
      </c>
      <c r="L53" s="207">
        <f t="shared" si="41"/>
        <v>143.79551698113207</v>
      </c>
    </row>
    <row r="54" spans="1:12">
      <c r="A54" s="212"/>
      <c r="B54" s="208" t="s">
        <v>53</v>
      </c>
      <c r="C54" s="102">
        <v>25</v>
      </c>
      <c r="D54" s="205">
        <f>SUMIFS(Table_MedicalGapAgreements[AmountCharged],Table_MedicalGapAgreements[Year],Selection!$E$14,Table_MedicalGapAgreements[MonthEnd],Selection!$E$15,Table_MedicalGapAgreements[State],"WA",Table_MedicalGapAgreements[GapType],"No agreement",Table_MedicalGapAgreements[MBSFeePercentage],"More than 150% MBS Fee to 200% MBS Fee")</f>
        <v>2363689.81</v>
      </c>
      <c r="E54" s="205">
        <f>SUMIFS(Table_MedicalGapAgreements[MedicareBenefit],Table_MedicalGapAgreements[Year],Selection!$E$14,Table_MedicalGapAgreements[MonthEnd],Selection!$E$15,Table_MedicalGapAgreements[State],"WA",Table_MedicalGapAgreements[GapType],"No agreement",Table_MedicalGapAgreements[MBSFeePercentage],"More than 150% MBS Fee to 200% MBS Fee")</f>
        <v>1020683.91</v>
      </c>
      <c r="F54" s="205">
        <f>SUMIFS(Table_MedicalGapAgreements[FundBenefit],Table_MedicalGapAgreements[Year],Selection!$E$14,Table_MedicalGapAgreements[MonthEnd],Selection!$E$15,Table_MedicalGapAgreements[State],"WA",Table_MedicalGapAgreements[GapType],"No agreement",Table_MedicalGapAgreements[MBSFeePercentage],"More than 150% MBS Fee to 200% MBS Fee")</f>
        <v>342493.54</v>
      </c>
      <c r="G54" s="205">
        <f t="shared" si="42"/>
        <v>1000512.3599999999</v>
      </c>
      <c r="H54" s="182">
        <f>SUMIFS(Table_MedicalGapAgreements[NumberofServices],Table_MedicalGapAgreements[Year],Selection!$E$14,Table_MedicalGapAgreements[MonthEnd],Selection!$E$15,Table_MedicalGapAgreements[State],"WA",Table_MedicalGapAgreements[GapType],"No agreement",Table_MedicalGapAgreements[MBSFeePercentage],"More than 150% MBS Fee to 200% MBS Fee")</f>
        <v>9061</v>
      </c>
      <c r="I54" s="183">
        <f t="shared" si="38"/>
        <v>8.480342470689425E-3</v>
      </c>
      <c r="J54" s="183">
        <f t="shared" si="39"/>
        <v>1.7368426602316087</v>
      </c>
      <c r="K54" s="207">
        <f t="shared" si="40"/>
        <v>260.86412206158263</v>
      </c>
      <c r="L54" s="207">
        <f t="shared" si="41"/>
        <v>110.41964021631165</v>
      </c>
    </row>
    <row r="55" spans="1:12">
      <c r="A55" s="212"/>
      <c r="B55" s="208" t="s">
        <v>54</v>
      </c>
      <c r="C55" s="102">
        <v>26</v>
      </c>
      <c r="D55" s="205">
        <f>SUMIFS(Table_MedicalGapAgreements[AmountCharged],Table_MedicalGapAgreements[Year],Selection!$E$14,Table_MedicalGapAgreements[MonthEnd],Selection!$E$15,Table_MedicalGapAgreements[State],"WA",Table_MedicalGapAgreements[GapType],"No agreement",Table_MedicalGapAgreements[MBSFeePercentage],"More than 200% MBS Fee")</f>
        <v>16066450.01</v>
      </c>
      <c r="E55" s="205">
        <f>SUMIFS(Table_MedicalGapAgreements[MedicareBenefit],Table_MedicalGapAgreements[Year],Selection!$E$14,Table_MedicalGapAgreements[MonthEnd],Selection!$E$15,Table_MedicalGapAgreements[State],"WA",Table_MedicalGapAgreements[GapType],"No agreement",Table_MedicalGapAgreements[MBSFeePercentage],"More than 200% MBS Fee")</f>
        <v>3431154.14</v>
      </c>
      <c r="F55" s="205">
        <f>SUMIFS(Table_MedicalGapAgreements[FundBenefit],Table_MedicalGapAgreements[Year],Selection!$E$14,Table_MedicalGapAgreements[MonthEnd],Selection!$E$15,Table_MedicalGapAgreements[State],"WA",Table_MedicalGapAgreements[GapType],"No agreement",Table_MedicalGapAgreements[MBSFeePercentage],"More than 200% MBS Fee")</f>
        <v>1204896.96</v>
      </c>
      <c r="G55" s="205">
        <f t="shared" si="42"/>
        <v>11430398.91</v>
      </c>
      <c r="H55" s="182">
        <f>SUMIFS(Table_MedicalGapAgreements[NumberofServices],Table_MedicalGapAgreements[Year],Selection!$E$14,Table_MedicalGapAgreements[MonthEnd],Selection!$E$15,Table_MedicalGapAgreements[State],"WA",Table_MedicalGapAgreements[GapType],"No agreement",Table_MedicalGapAgreements[MBSFeePercentage],"More than 200% MBS Fee")</f>
        <v>13485</v>
      </c>
      <c r="I55" s="183">
        <f t="shared" si="38"/>
        <v>1.2620838562768667E-2</v>
      </c>
      <c r="J55" s="183">
        <f t="shared" si="39"/>
        <v>3.5118904647927009</v>
      </c>
      <c r="K55" s="207">
        <f t="shared" si="40"/>
        <v>1191.4312206154987</v>
      </c>
      <c r="L55" s="207">
        <f t="shared" si="41"/>
        <v>847.63803559510563</v>
      </c>
    </row>
    <row r="56" spans="1:12" ht="15">
      <c r="A56" s="214" t="s">
        <v>85</v>
      </c>
      <c r="B56" s="209"/>
      <c r="C56" s="104">
        <v>27</v>
      </c>
      <c r="D56" s="202">
        <f>SUM(D51:D55)</f>
        <v>21827569.030000001</v>
      </c>
      <c r="E56" s="202">
        <f t="shared" ref="E56:H56" si="43">SUM(E51:E55)</f>
        <v>6811263.6400000006</v>
      </c>
      <c r="F56" s="202">
        <f t="shared" si="43"/>
        <v>2322836.66</v>
      </c>
      <c r="G56" s="202">
        <f t="shared" si="43"/>
        <v>12693468.73</v>
      </c>
      <c r="H56" s="206">
        <f t="shared" si="43"/>
        <v>52355</v>
      </c>
      <c r="I56" s="203">
        <f t="shared" si="38"/>
        <v>4.8999926062569782E-2</v>
      </c>
      <c r="J56" s="203">
        <f t="shared" si="39"/>
        <v>2.4034713142450026</v>
      </c>
      <c r="K56" s="204">
        <f t="shared" si="40"/>
        <v>416.91469830961705</v>
      </c>
      <c r="L56" s="204">
        <f t="shared" si="41"/>
        <v>242.44998051762011</v>
      </c>
    </row>
    <row r="57" spans="1:12" ht="15">
      <c r="A57" s="102"/>
      <c r="B57" s="102"/>
      <c r="C57" s="96"/>
      <c r="D57" s="97"/>
      <c r="E57" s="97"/>
      <c r="F57" s="97"/>
      <c r="G57" s="98"/>
      <c r="H57" s="99"/>
      <c r="I57" s="100"/>
      <c r="J57" s="100"/>
      <c r="K57" s="101"/>
      <c r="L57" s="101"/>
    </row>
    <row r="58" spans="1:12" ht="15">
      <c r="A58" s="217" t="s">
        <v>80</v>
      </c>
      <c r="B58" s="217"/>
      <c r="C58" s="104"/>
      <c r="D58" s="202">
        <f>D49+D56</f>
        <v>214679191.33000001</v>
      </c>
      <c r="E58" s="202">
        <f t="shared" ref="E58:H58" si="44">E49+E56</f>
        <v>101386948.81</v>
      </c>
      <c r="F58" s="202">
        <f t="shared" si="44"/>
        <v>81497214.690000013</v>
      </c>
      <c r="G58" s="202">
        <f t="shared" si="44"/>
        <v>31795027.829999998</v>
      </c>
      <c r="H58" s="206">
        <f t="shared" si="44"/>
        <v>1068471</v>
      </c>
      <c r="I58" s="203">
        <f>H58/H$58</f>
        <v>1</v>
      </c>
      <c r="J58" s="203">
        <f>D58/(E58/0.75)</f>
        <v>1.5880682413989298</v>
      </c>
      <c r="K58" s="204">
        <f>D58/H58</f>
        <v>200.92186997120186</v>
      </c>
      <c r="L58" s="204">
        <f>G58/H58</f>
        <v>29.757501916289723</v>
      </c>
    </row>
    <row r="59" spans="1:12" ht="15">
      <c r="A59" s="214" t="s">
        <v>81</v>
      </c>
      <c r="B59" s="214"/>
      <c r="C59" s="104"/>
      <c r="D59" s="202">
        <f>D42+D51</f>
        <v>152432859.54000002</v>
      </c>
      <c r="E59" s="202">
        <f t="shared" ref="E59:H59" si="45">E42+E51</f>
        <v>82729813.719999999</v>
      </c>
      <c r="F59" s="202">
        <f t="shared" si="45"/>
        <v>69694233.830000013</v>
      </c>
      <c r="G59" s="202">
        <f t="shared" si="45"/>
        <v>8811.9899999983609</v>
      </c>
      <c r="H59" s="206">
        <f t="shared" si="45"/>
        <v>944053</v>
      </c>
      <c r="I59" s="203">
        <f>H59/H$58</f>
        <v>0.88355509882813854</v>
      </c>
      <c r="J59" s="203">
        <f>D59/(E59/0.75)</f>
        <v>1.3819038084859356</v>
      </c>
      <c r="K59" s="204">
        <f>D59/H59</f>
        <v>161.46642141913645</v>
      </c>
      <c r="L59" s="204">
        <f>G59/H59</f>
        <v>9.3342111089084624E-3</v>
      </c>
    </row>
    <row r="60" spans="1:12" ht="15">
      <c r="A60" s="214" t="s">
        <v>82</v>
      </c>
      <c r="B60" s="214"/>
      <c r="C60" s="104"/>
      <c r="D60" s="202">
        <f>D49+D51</f>
        <v>195026234.42000002</v>
      </c>
      <c r="E60" s="202">
        <f t="shared" ref="E60:H60" si="46">E49+E51</f>
        <v>96205432.189999998</v>
      </c>
      <c r="F60" s="202">
        <f t="shared" si="46"/>
        <v>79710484.720000014</v>
      </c>
      <c r="G60" s="202">
        <f t="shared" si="46"/>
        <v>19110317.509999998</v>
      </c>
      <c r="H60" s="206">
        <f t="shared" si="46"/>
        <v>1043634</v>
      </c>
      <c r="I60" s="203">
        <f>H60/H$58</f>
        <v>0.97675463349028657</v>
      </c>
      <c r="J60" s="203">
        <f>D60/(E60/0.75)</f>
        <v>1.5203889477480452</v>
      </c>
      <c r="K60" s="204">
        <f>D60/H60</f>
        <v>186.87225063575929</v>
      </c>
      <c r="L60" s="204">
        <f>G60/H60</f>
        <v>18.311321315710295</v>
      </c>
    </row>
    <row r="61" spans="1:12" ht="15">
      <c r="A61" s="214" t="s">
        <v>83</v>
      </c>
      <c r="B61" s="214"/>
      <c r="C61" s="104"/>
      <c r="D61" s="202">
        <f>D56-D51</f>
        <v>19652956.91</v>
      </c>
      <c r="E61" s="202">
        <f t="shared" ref="E61:H61" si="47">E56-E51</f>
        <v>5181516.620000001</v>
      </c>
      <c r="F61" s="202">
        <f t="shared" si="47"/>
        <v>1786729.9700000002</v>
      </c>
      <c r="G61" s="202">
        <f t="shared" si="47"/>
        <v>12684710.32</v>
      </c>
      <c r="H61" s="206">
        <f t="shared" si="47"/>
        <v>24837</v>
      </c>
      <c r="I61" s="203">
        <f>H61/H$58</f>
        <v>2.3245366509713414E-2</v>
      </c>
      <c r="J61" s="203">
        <f>D61/(E61/0.75)</f>
        <v>2.8446724701425348</v>
      </c>
      <c r="K61" s="204">
        <f>D61/H61</f>
        <v>791.27740508112902</v>
      </c>
      <c r="L61" s="204">
        <f>G61/H61</f>
        <v>510.71829609051014</v>
      </c>
    </row>
  </sheetData>
  <mergeCells count="2">
    <mergeCell ref="A1:L1"/>
    <mergeCell ref="A2:L2"/>
  </mergeCells>
  <pageMargins left="0.70866141732283472" right="0.70866141732283472" top="0.74803149606299213" bottom="0.74803149606299213" header="0.31496062992125984" footer="0.31496062992125984"/>
  <pageSetup paperSize="9" scale="61" orientation="portrait" r:id="rId1"/>
  <headerFooter>
    <oddFooter>&amp;LAustralian Prudential Regulation Authority&amp;R&amp;P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5D61B-740A-4DB5-B2DC-4D672CFED9EA}">
  <sheetPr>
    <pageSetUpPr fitToPage="1"/>
  </sheetPr>
  <dimension ref="A1:M61"/>
  <sheetViews>
    <sheetView showGridLines="0" zoomScaleNormal="100" zoomScaleSheetLayoutView="100" workbookViewId="0">
      <selection activeCell="J3" sqref="J3"/>
    </sheetView>
  </sheetViews>
  <sheetFormatPr defaultColWidth="8.5625" defaultRowHeight="10.15"/>
  <cols>
    <col min="1" max="1" width="7.375" style="32" customWidth="1"/>
    <col min="2" max="2" width="26.875" style="32" customWidth="1"/>
    <col min="3" max="3" width="3.5" style="32" hidden="1" customWidth="1"/>
    <col min="4" max="7" width="11.375" style="63" customWidth="1"/>
    <col min="8" max="8" width="10.0625" style="64" customWidth="1"/>
    <col min="9" max="9" width="9.9375" style="65" customWidth="1"/>
    <col min="10" max="10" width="10.5625" style="65" customWidth="1"/>
    <col min="11" max="11" width="9.625" style="32" customWidth="1"/>
    <col min="12" max="12" width="9.75" style="66" customWidth="1"/>
    <col min="13" max="16384" width="8.5625" style="32"/>
  </cols>
  <sheetData>
    <row r="1" spans="1:13" ht="29.25" customHeight="1">
      <c r="A1" s="232" t="s">
        <v>71</v>
      </c>
      <c r="B1" s="232"/>
      <c r="C1" s="232"/>
      <c r="D1" s="232"/>
      <c r="E1" s="232"/>
      <c r="F1" s="232"/>
      <c r="G1" s="232"/>
      <c r="H1" s="232"/>
      <c r="I1" s="232"/>
      <c r="J1" s="232"/>
      <c r="K1" s="232"/>
      <c r="L1" s="232"/>
    </row>
    <row r="2" spans="1:13" ht="17.25" customHeight="1">
      <c r="A2" s="234" t="str">
        <f>TEXT(Selection!G13&amp;" "&amp;Selection!G12,"mmmm yyyy")</f>
        <v xml:space="preserve"> </v>
      </c>
      <c r="B2" s="234"/>
      <c r="C2" s="234"/>
      <c r="D2" s="234"/>
      <c r="E2" s="234"/>
      <c r="F2" s="234"/>
      <c r="G2" s="234"/>
      <c r="H2" s="234"/>
      <c r="I2" s="234"/>
      <c r="J2" s="234"/>
      <c r="K2" s="234"/>
      <c r="L2" s="234"/>
    </row>
    <row r="3" spans="1:13" ht="13.15">
      <c r="A3" s="174" t="s">
        <v>90</v>
      </c>
      <c r="B3" s="174"/>
      <c r="C3" s="32" t="s">
        <v>20</v>
      </c>
      <c r="J3" s="174" t="str">
        <f>Selection!E15&amp;" "&amp;Selection!E14</f>
        <v>Dec 2024</v>
      </c>
      <c r="K3" s="174"/>
    </row>
    <row r="4" spans="1:13" s="70" customFormat="1" ht="39.4">
      <c r="A4" s="67"/>
      <c r="B4" s="68"/>
      <c r="C4" s="69"/>
      <c r="D4" s="200" t="s">
        <v>41</v>
      </c>
      <c r="E4" s="200" t="s">
        <v>42</v>
      </c>
      <c r="F4" s="200" t="s">
        <v>43</v>
      </c>
      <c r="G4" s="200" t="s">
        <v>44</v>
      </c>
      <c r="H4" s="200" t="s">
        <v>73</v>
      </c>
      <c r="I4" s="200" t="s">
        <v>46</v>
      </c>
      <c r="J4" s="200" t="s">
        <v>74</v>
      </c>
      <c r="K4" s="200" t="s">
        <v>48</v>
      </c>
      <c r="L4" s="200" t="s">
        <v>49</v>
      </c>
      <c r="M4" s="108"/>
    </row>
    <row r="5" spans="1:13" ht="14.1" customHeight="1">
      <c r="A5" s="180" t="s">
        <v>75</v>
      </c>
      <c r="B5" s="71"/>
      <c r="C5" s="72">
        <v>0</v>
      </c>
      <c r="D5" s="73"/>
      <c r="E5" s="74"/>
      <c r="F5" s="74"/>
      <c r="G5" s="74"/>
      <c r="H5" s="74"/>
      <c r="I5" s="74"/>
      <c r="J5" s="74"/>
      <c r="K5" s="74"/>
      <c r="L5" s="74"/>
    </row>
    <row r="6" spans="1:13" ht="17.100000000000001" customHeight="1">
      <c r="A6" s="210" t="s">
        <v>76</v>
      </c>
      <c r="B6" s="75"/>
      <c r="C6" s="72">
        <v>1</v>
      </c>
      <c r="D6" s="76"/>
      <c r="E6" s="77"/>
      <c r="F6" s="77"/>
      <c r="G6" s="77"/>
      <c r="H6" s="77"/>
      <c r="I6" s="77"/>
      <c r="J6" s="77"/>
      <c r="K6" s="77"/>
      <c r="L6" s="77"/>
    </row>
    <row r="7" spans="1:13" ht="14.1" customHeight="1">
      <c r="A7" s="213"/>
      <c r="B7" s="208" t="s">
        <v>50</v>
      </c>
      <c r="C7" s="79">
        <v>2</v>
      </c>
      <c r="D7" s="205">
        <f>SUMIFS(Table_MedicalGapAgreements[AmountCharged],Table_MedicalGapAgreements[Year],Selection!$E$14,Table_MedicalGapAgreements[MonthEnd],Selection!$E$15,Table_MedicalGapAgreements[State],"TAS",Table_MedicalGapAgreements[GapType],"No gap agreement",Table_MedicalGapAgreements[MBSFeePercentage],"Up to MBS Fee")</f>
        <v>1668076.3</v>
      </c>
      <c r="E7" s="205">
        <f>SUMIFS(Table_MedicalGapAgreements[MedicareBenefit],Table_MedicalGapAgreements[Year],Selection!$E$14,Table_MedicalGapAgreements[MonthEnd],Selection!$E$15,Table_MedicalGapAgreements[State],"TAS",Table_MedicalGapAgreements[GapType],"No gap agreement",Table_MedicalGapAgreements[MBSFeePercentage],"Up to MBS Fee")</f>
        <v>1254387.72</v>
      </c>
      <c r="F7" s="205">
        <f>SUMIFS(Table_MedicalGapAgreements[FundBenefit],Table_MedicalGapAgreements[Year],Selection!$E$14,Table_MedicalGapAgreements[MonthEnd],Selection!$E$15,Table_MedicalGapAgreements[State],"TAS",Table_MedicalGapAgreements[GapType],"No gap agreement",Table_MedicalGapAgreements[MBSFeePercentage],"Up to MBS Fee")</f>
        <v>413688.58</v>
      </c>
      <c r="G7" s="205">
        <f>D7-E7-F7</f>
        <v>0</v>
      </c>
      <c r="H7" s="182">
        <f>SUMIFS(Table_MedicalGapAgreements[NumberofServices],Table_MedicalGapAgreements[Year],Selection!$E$14,Table_MedicalGapAgreements[MonthEnd],Selection!$E$15,Table_MedicalGapAgreements[State],"TAS",Table_MedicalGapAgreements[GapType],"No gap agreement",Table_MedicalGapAgreements[MBSFeePercentage],"Up to MBS Fee")</f>
        <v>28650</v>
      </c>
      <c r="I7" s="183">
        <f t="shared" ref="I7:I12" si="0">H7/H$28</f>
        <v>0.15753963235253685</v>
      </c>
      <c r="J7" s="183">
        <f t="shared" ref="J7:J12" si="1">D7/(E7/0.75)</f>
        <v>0.99734492378480877</v>
      </c>
      <c r="K7" s="207">
        <f t="shared" ref="K7:K12" si="2">D7/H7</f>
        <v>58.22255846422339</v>
      </c>
      <c r="L7" s="207">
        <f t="shared" ref="L7:L12" si="3">G7/H7</f>
        <v>0</v>
      </c>
    </row>
    <row r="8" spans="1:13" ht="14.1" customHeight="1">
      <c r="A8" s="211"/>
      <c r="B8" s="208" t="s">
        <v>51</v>
      </c>
      <c r="C8" s="79">
        <v>3</v>
      </c>
      <c r="D8" s="205">
        <f>SUMIFS(Table_MedicalGapAgreements[AmountCharged],Table_MedicalGapAgreements[Year],Selection!$E$14,Table_MedicalGapAgreements[MonthEnd],Selection!$E$15,Table_MedicalGapAgreements[State],"TAS",Table_MedicalGapAgreements[GapType],"No gap agreement",Table_MedicalGapAgreements[MBSFeePercentage],"100% MBS Fee to 125% MBS Fee")</f>
        <v>2729782.63</v>
      </c>
      <c r="E8" s="205">
        <f>SUMIFS(Table_MedicalGapAgreements[MedicareBenefit],Table_MedicalGapAgreements[Year],Selection!$E$14,Table_MedicalGapAgreements[MonthEnd],Selection!$E$15,Table_MedicalGapAgreements[State],"TAS",Table_MedicalGapAgreements[GapType],"No gap agreement",Table_MedicalGapAgreements[MBSFeePercentage],"100% MBS Fee to 125% MBS Fee")</f>
        <v>1729471.65</v>
      </c>
      <c r="F8" s="205">
        <f>SUMIFS(Table_MedicalGapAgreements[FundBenefit],Table_MedicalGapAgreements[Year],Selection!$E$14,Table_MedicalGapAgreements[MonthEnd],Selection!$E$15,Table_MedicalGapAgreements[State],"TAS",Table_MedicalGapAgreements[GapType],"No gap agreement",Table_MedicalGapAgreements[MBSFeePercentage],"100% MBS Fee to 125% MBS Fee")</f>
        <v>1000295.95</v>
      </c>
      <c r="G8" s="205">
        <f t="shared" ref="G8:G12" si="4">D8-E8-F8</f>
        <v>15.03000000002794</v>
      </c>
      <c r="H8" s="182">
        <f>SUMIFS(Table_MedicalGapAgreements[NumberofServices],Table_MedicalGapAgreements[Year],Selection!$E$14,Table_MedicalGapAgreements[MonthEnd],Selection!$E$15,Table_MedicalGapAgreements[State],"TAS",Table_MedicalGapAgreements[GapType],"No gap agreement",Table_MedicalGapAgreements[MBSFeePercentage],"100% MBS Fee to 125% MBS Fee")</f>
        <v>17348</v>
      </c>
      <c r="I8" s="183">
        <f t="shared" si="0"/>
        <v>9.5392584364810101E-2</v>
      </c>
      <c r="J8" s="183">
        <f t="shared" si="1"/>
        <v>1.1837933119632231</v>
      </c>
      <c r="K8" s="207">
        <f t="shared" si="2"/>
        <v>157.35431346552917</v>
      </c>
      <c r="L8" s="207">
        <f t="shared" si="3"/>
        <v>8.6638229190845863E-4</v>
      </c>
    </row>
    <row r="9" spans="1:13" ht="14.1" customHeight="1">
      <c r="A9" s="212"/>
      <c r="B9" s="208" t="s">
        <v>52</v>
      </c>
      <c r="C9" s="79">
        <v>4</v>
      </c>
      <c r="D9" s="205">
        <f>SUMIFS(Table_MedicalGapAgreements[AmountCharged],Table_MedicalGapAgreements[Year],Selection!$E$14,Table_MedicalGapAgreements[MonthEnd],Selection!$E$15,Table_MedicalGapAgreements[State],"TAS",Table_MedicalGapAgreements[GapType],"No gap agreement",Table_MedicalGapAgreements[MBSFeePercentage],"More than 125% MBS Fee to 150% MBS Fee")</f>
        <v>9919567.5</v>
      </c>
      <c r="E9" s="205">
        <f>SUMIFS(Table_MedicalGapAgreements[MedicareBenefit],Table_MedicalGapAgreements[Year],Selection!$E$14,Table_MedicalGapAgreements[MonthEnd],Selection!$E$15,Table_MedicalGapAgreements[State],"TAS",Table_MedicalGapAgreements[GapType],"No gap agreement",Table_MedicalGapAgreements[MBSFeePercentage],"More than 125% MBS Fee to 150% MBS Fee")</f>
        <v>5412867</v>
      </c>
      <c r="F9" s="205">
        <f>SUMIFS(Table_MedicalGapAgreements[FundBenefit],Table_MedicalGapAgreements[Year],Selection!$E$14,Table_MedicalGapAgreements[MonthEnd],Selection!$E$15,Table_MedicalGapAgreements[State],"TAS",Table_MedicalGapAgreements[GapType],"No gap agreement",Table_MedicalGapAgreements[MBSFeePercentage],"More than 125% MBS Fee to 150% MBS Fee")</f>
        <v>4506696.32</v>
      </c>
      <c r="G9" s="205">
        <f t="shared" si="4"/>
        <v>4.1799999997019768</v>
      </c>
      <c r="H9" s="182">
        <f>SUMIFS(Table_MedicalGapAgreements[NumberofServices],Table_MedicalGapAgreements[Year],Selection!$E$14,Table_MedicalGapAgreements[MonthEnd],Selection!$E$15,Table_MedicalGapAgreements[State],"TAS",Table_MedicalGapAgreements[GapType],"No gap agreement",Table_MedicalGapAgreements[MBSFeePercentage],"More than 125% MBS Fee to 150% MBS Fee")</f>
        <v>54855</v>
      </c>
      <c r="I9" s="183">
        <f t="shared" si="0"/>
        <v>0.30163478299121849</v>
      </c>
      <c r="J9" s="183">
        <f t="shared" si="1"/>
        <v>1.374442716770983</v>
      </c>
      <c r="K9" s="207">
        <f t="shared" si="2"/>
        <v>180.83251298878864</v>
      </c>
      <c r="L9" s="207">
        <f t="shared" si="3"/>
        <v>7.6200893258626865E-5</v>
      </c>
    </row>
    <row r="10" spans="1:13" s="83" customFormat="1" ht="14.1" customHeight="1">
      <c r="A10" s="212"/>
      <c r="B10" s="208" t="s">
        <v>53</v>
      </c>
      <c r="C10" s="82"/>
      <c r="D10" s="205">
        <f>SUMIFS(Table_MedicalGapAgreements[AmountCharged],Table_MedicalGapAgreements[Year],Selection!$E$14,Table_MedicalGapAgreements[MonthEnd],Selection!$E$15,Table_MedicalGapAgreements[State],"TAS",Table_MedicalGapAgreements[GapType],"No gap agreement",Table_MedicalGapAgreements[MBSFeePercentage],"More than 150% MBS Fee to 200% MBS Fee")</f>
        <v>12133402.34</v>
      </c>
      <c r="E10" s="205">
        <f>SUMIFS(Table_MedicalGapAgreements[MedicareBenefit],Table_MedicalGapAgreements[Year],Selection!$E$14,Table_MedicalGapAgreements[MonthEnd],Selection!$E$15,Table_MedicalGapAgreements[State],"TAS",Table_MedicalGapAgreements[GapType],"No gap agreement",Table_MedicalGapAgreements[MBSFeePercentage],"More than 150% MBS Fee to 200% MBS Fee")</f>
        <v>5624500.1699999999</v>
      </c>
      <c r="F10" s="205">
        <f>SUMIFS(Table_MedicalGapAgreements[FundBenefit],Table_MedicalGapAgreements[Year],Selection!$E$14,Table_MedicalGapAgreements[MonthEnd],Selection!$E$15,Table_MedicalGapAgreements[State],"TAS",Table_MedicalGapAgreements[GapType],"No gap agreement",Table_MedicalGapAgreements[MBSFeePercentage],"More than 150% MBS Fee to 200% MBS Fee")</f>
        <v>6508893.3300000001</v>
      </c>
      <c r="G10" s="205">
        <f t="shared" si="4"/>
        <v>8.8399999998509884</v>
      </c>
      <c r="H10" s="182">
        <f>SUMIFS(Table_MedicalGapAgreements[NumberofServices],Table_MedicalGapAgreements[Year],Selection!$E$14,Table_MedicalGapAgreements[MonthEnd],Selection!$E$15,Table_MedicalGapAgreements[State],"TAS",Table_MedicalGapAgreements[GapType],"No gap agreement",Table_MedicalGapAgreements[MBSFeePercentage],"More than 150% MBS Fee to 200% MBS Fee")</f>
        <v>57290</v>
      </c>
      <c r="I10" s="183">
        <f t="shared" si="0"/>
        <v>0.31502427704980229</v>
      </c>
      <c r="J10" s="183">
        <f t="shared" si="1"/>
        <v>1.6179307458355008</v>
      </c>
      <c r="K10" s="207">
        <f t="shared" si="2"/>
        <v>211.78918380171061</v>
      </c>
      <c r="L10" s="207">
        <f t="shared" si="3"/>
        <v>1.5430267062054441E-4</v>
      </c>
    </row>
    <row r="11" spans="1:13" ht="14.1" customHeight="1">
      <c r="A11" s="212"/>
      <c r="B11" s="208" t="s">
        <v>54</v>
      </c>
      <c r="C11" s="82">
        <v>5</v>
      </c>
      <c r="D11" s="205">
        <f>SUMIFS(Table_MedicalGapAgreements[AmountCharged],Table_MedicalGapAgreements[Year],Selection!$E$14,Table_MedicalGapAgreements[MonthEnd],Selection!$E$15,Table_MedicalGapAgreements[State],"TAS",Table_MedicalGapAgreements[GapType],"No gap agreement",Table_MedicalGapAgreements[MBSFeePercentage],"More than 200% MBS Fee")</f>
        <v>237403.07</v>
      </c>
      <c r="E11" s="205">
        <f>SUMIFS(Table_MedicalGapAgreements[MedicareBenefit],Table_MedicalGapAgreements[Year],Selection!$E$14,Table_MedicalGapAgreements[MonthEnd],Selection!$E$15,Table_MedicalGapAgreements[State],"TAS",Table_MedicalGapAgreements[GapType],"No gap agreement",Table_MedicalGapAgreements[MBSFeePercentage],"More than 200% MBS Fee")</f>
        <v>64121.1</v>
      </c>
      <c r="F11" s="205">
        <f>SUMIFS(Table_MedicalGapAgreements[FundBenefit],Table_MedicalGapAgreements[Year],Selection!$E$14,Table_MedicalGapAgreements[MonthEnd],Selection!$E$15,Table_MedicalGapAgreements[State],"TAS",Table_MedicalGapAgreements[GapType],"No gap agreement",Table_MedicalGapAgreements[MBSFeePercentage],"More than 200% MBS Fee")</f>
        <v>173281.97</v>
      </c>
      <c r="G11" s="205">
        <f t="shared" si="4"/>
        <v>0</v>
      </c>
      <c r="H11" s="182">
        <f>SUMIFS(Table_MedicalGapAgreements[NumberofServices],Table_MedicalGapAgreements[Year],Selection!$E$14,Table_MedicalGapAgreements[MonthEnd],Selection!$E$15,Table_MedicalGapAgreements[State],"TAS",Table_MedicalGapAgreements[GapType],"No gap agreement",Table_MedicalGapAgreements[MBSFeePercentage],"More than 200% MBS Fee")</f>
        <v>162</v>
      </c>
      <c r="I11" s="183">
        <f t="shared" si="0"/>
        <v>8.9080001539654349E-4</v>
      </c>
      <c r="J11" s="183">
        <f t="shared" si="1"/>
        <v>2.7768129757599294</v>
      </c>
      <c r="K11" s="207">
        <f t="shared" si="2"/>
        <v>1465.4510493827161</v>
      </c>
      <c r="L11" s="207">
        <f t="shared" si="3"/>
        <v>0</v>
      </c>
    </row>
    <row r="12" spans="1:13" ht="14.1" customHeight="1">
      <c r="A12" s="214"/>
      <c r="B12" s="209" t="s">
        <v>0</v>
      </c>
      <c r="C12" s="84">
        <v>6</v>
      </c>
      <c r="D12" s="202">
        <f>SUM(D7:D11)</f>
        <v>26688231.84</v>
      </c>
      <c r="E12" s="202">
        <f t="shared" ref="E12:F12" si="5">SUM(E7:E11)</f>
        <v>14085347.640000001</v>
      </c>
      <c r="F12" s="202">
        <f t="shared" si="5"/>
        <v>12602856.15</v>
      </c>
      <c r="G12" s="202">
        <f t="shared" si="4"/>
        <v>28.049999998882413</v>
      </c>
      <c r="H12" s="206">
        <f t="shared" ref="H12" si="6">SUM(H7:H11)</f>
        <v>158305</v>
      </c>
      <c r="I12" s="203">
        <f t="shared" si="0"/>
        <v>0.87048207677376432</v>
      </c>
      <c r="J12" s="203">
        <f t="shared" si="1"/>
        <v>1.4210635329409591</v>
      </c>
      <c r="K12" s="204">
        <f t="shared" si="2"/>
        <v>168.5874220018319</v>
      </c>
      <c r="L12" s="204">
        <f t="shared" si="3"/>
        <v>1.7718960234283448E-4</v>
      </c>
    </row>
    <row r="13" spans="1:13" ht="17.100000000000001" customHeight="1">
      <c r="A13" s="215" t="s">
        <v>77</v>
      </c>
      <c r="B13" s="75"/>
      <c r="C13" s="85"/>
      <c r="D13" s="86"/>
      <c r="E13" s="87"/>
      <c r="F13" s="87"/>
      <c r="G13" s="88"/>
      <c r="H13" s="89"/>
      <c r="I13" s="90"/>
      <c r="J13" s="91"/>
      <c r="K13" s="92"/>
      <c r="L13" s="92"/>
    </row>
    <row r="14" spans="1:13" ht="14.1" customHeight="1">
      <c r="A14" s="213"/>
      <c r="B14" s="208" t="s">
        <v>51</v>
      </c>
      <c r="C14" s="93">
        <v>7</v>
      </c>
      <c r="D14" s="205">
        <f>SUMIFS(Table_MedicalGapAgreements[AmountCharged],Table_MedicalGapAgreements[Year],Selection!$E$14,Table_MedicalGapAgreements[MonthEnd],Selection!$E$15,Table_MedicalGapAgreements[State],"TAS",Table_MedicalGapAgreements[GapType],"Known gap agreement",Table_MedicalGapAgreements[MBSFeePercentage],"100% MBS Fee to 125% MBS Fee")</f>
        <v>237324.15</v>
      </c>
      <c r="E14" s="205">
        <f>SUMIFS(Table_MedicalGapAgreements[MedicareBenefit],Table_MedicalGapAgreements[Year],Selection!$E$14,Table_MedicalGapAgreements[MonthEnd],Selection!$E$15,Table_MedicalGapAgreements[State],"TAS",Table_MedicalGapAgreements[GapType],"Known gap agreement",Table_MedicalGapAgreements[MBSFeePercentage],"100% MBS Fee to 125% MBS Fee")</f>
        <v>150409.57999999999</v>
      </c>
      <c r="F14" s="205">
        <f>SUMIFS(Table_MedicalGapAgreements[FundBenefit],Table_MedicalGapAgreements[Year],Selection!$E$14,Table_MedicalGapAgreements[MonthEnd],Selection!$E$15,Table_MedicalGapAgreements[State],"TAS",Table_MedicalGapAgreements[GapType],"Known gap agreement",Table_MedicalGapAgreements[MBSFeePercentage],"100% MBS Fee to 125% MBS Fee")</f>
        <v>75922.5</v>
      </c>
      <c r="G14" s="205">
        <f t="shared" ref="G14:G17" si="7">D14-E14-F14</f>
        <v>10992.070000000007</v>
      </c>
      <c r="H14" s="182">
        <f>SUMIFS(Table_MedicalGapAgreements[NumberofServices],Table_MedicalGapAgreements[Year],Selection!$E$14,Table_MedicalGapAgreements[MonthEnd],Selection!$E$15,Table_MedicalGapAgreements[State],"TAS",Table_MedicalGapAgreements[GapType],"Known gap agreement",Table_MedicalGapAgreements[MBSFeePercentage],"100% MBS Fee to 125% MBS Fee")</f>
        <v>1115</v>
      </c>
      <c r="I14" s="183">
        <f t="shared" ref="I14:I19" si="8">H14/H$28</f>
        <v>6.1311235627601601E-3</v>
      </c>
      <c r="J14" s="183">
        <f t="shared" ref="J14:J19" si="9">D14/(E14/0.75)</f>
        <v>1.183389465617815</v>
      </c>
      <c r="K14" s="207">
        <f t="shared" ref="K14:K19" si="10">D14/H14</f>
        <v>212.84677130044844</v>
      </c>
      <c r="L14" s="207">
        <f t="shared" ref="L14:L19" si="11">G14/H14</f>
        <v>9.858358744394625</v>
      </c>
    </row>
    <row r="15" spans="1:13" ht="14.1" customHeight="1">
      <c r="A15" s="211"/>
      <c r="B15" s="208" t="s">
        <v>52</v>
      </c>
      <c r="C15" s="93">
        <v>8</v>
      </c>
      <c r="D15" s="205">
        <f>SUMIFS(Table_MedicalGapAgreements[AmountCharged],Table_MedicalGapAgreements[Year],Selection!$E$14,Table_MedicalGapAgreements[MonthEnd],Selection!$E$15,Table_MedicalGapAgreements[State],"TAS",Table_MedicalGapAgreements[GapType],"Known gap agreement",Table_MedicalGapAgreements[MBSFeePercentage],"More than 125% MBS Fee to 150% MBS Fee")</f>
        <v>422841.29</v>
      </c>
      <c r="E15" s="205">
        <f>SUMIFS(Table_MedicalGapAgreements[MedicareBenefit],Table_MedicalGapAgreements[Year],Selection!$E$14,Table_MedicalGapAgreements[MonthEnd],Selection!$E$15,Table_MedicalGapAgreements[State],"TAS",Table_MedicalGapAgreements[GapType],"Known gap agreement",Table_MedicalGapAgreements[MBSFeePercentage],"More than 125% MBS Fee to 150% MBS Fee")</f>
        <v>224836.95</v>
      </c>
      <c r="F15" s="205">
        <f>SUMIFS(Table_MedicalGapAgreements[FundBenefit],Table_MedicalGapAgreements[Year],Selection!$E$14,Table_MedicalGapAgreements[MonthEnd],Selection!$E$15,Table_MedicalGapAgreements[State],"TAS",Table_MedicalGapAgreements[GapType],"Known gap agreement",Table_MedicalGapAgreements[MBSFeePercentage],"More than 125% MBS Fee to 150% MBS Fee")</f>
        <v>174883.01</v>
      </c>
      <c r="G15" s="205">
        <f t="shared" si="7"/>
        <v>23121.329999999958</v>
      </c>
      <c r="H15" s="182">
        <f>SUMIFS(Table_MedicalGapAgreements[NumberofServices],Table_MedicalGapAgreements[Year],Selection!$E$14,Table_MedicalGapAgreements[MonthEnd],Selection!$E$15,Table_MedicalGapAgreements[State],"TAS",Table_MedicalGapAgreements[GapType],"Known gap agreement",Table_MedicalGapAgreements[MBSFeePercentage],"More than 125% MBS Fee to 150% MBS Fee")</f>
        <v>1607</v>
      </c>
      <c r="I15" s="183">
        <f t="shared" si="8"/>
        <v>8.8365162021126261E-3</v>
      </c>
      <c r="J15" s="183">
        <f t="shared" si="9"/>
        <v>1.4104931040027004</v>
      </c>
      <c r="K15" s="207">
        <f t="shared" si="10"/>
        <v>263.12463596764155</v>
      </c>
      <c r="L15" s="207">
        <f t="shared" si="11"/>
        <v>14.387884256378319</v>
      </c>
    </row>
    <row r="16" spans="1:13" s="83" customFormat="1" ht="14.1" customHeight="1">
      <c r="A16" s="212"/>
      <c r="B16" s="208" t="s">
        <v>53</v>
      </c>
      <c r="C16" s="94"/>
      <c r="D16" s="205">
        <f>SUMIFS(Table_MedicalGapAgreements[AmountCharged],Table_MedicalGapAgreements[Year],Selection!$E$14,Table_MedicalGapAgreements[MonthEnd],Selection!$E$15,Table_MedicalGapAgreements[State],"TAS",Table_MedicalGapAgreements[GapType],"Known gap agreement",Table_MedicalGapAgreements[MBSFeePercentage],"More than 150% MBS Fee to 200% MBS Fee")</f>
        <v>4719584.95</v>
      </c>
      <c r="E16" s="205">
        <f>SUMIFS(Table_MedicalGapAgreements[MedicareBenefit],Table_MedicalGapAgreements[Year],Selection!$E$14,Table_MedicalGapAgreements[MonthEnd],Selection!$E$15,Table_MedicalGapAgreements[State],"TAS",Table_MedicalGapAgreements[GapType],"Known gap agreement",Table_MedicalGapAgreements[MBSFeePercentage],"More than 150% MBS Fee to 200% MBS Fee")</f>
        <v>2035515.94</v>
      </c>
      <c r="F16" s="205">
        <f>SUMIFS(Table_MedicalGapAgreements[FundBenefit],Table_MedicalGapAgreements[Year],Selection!$E$14,Table_MedicalGapAgreements[MonthEnd],Selection!$E$15,Table_MedicalGapAgreements[State],"TAS",Table_MedicalGapAgreements[GapType],"Known gap agreement",Table_MedicalGapAgreements[MBSFeePercentage],"More than 150% MBS Fee to 200% MBS Fee")</f>
        <v>2008034.94</v>
      </c>
      <c r="G16" s="205">
        <f t="shared" si="7"/>
        <v>676034.0700000003</v>
      </c>
      <c r="H16" s="182">
        <f>SUMIFS(Table_MedicalGapAgreements[NumberofServices],Table_MedicalGapAgreements[Year],Selection!$E$14,Table_MedicalGapAgreements[MonthEnd],Selection!$E$15,Table_MedicalGapAgreements[State],"TAS",Table_MedicalGapAgreements[GapType],"Known gap agreement",Table_MedicalGapAgreements[MBSFeePercentage],"More than 150% MBS Fee to 200% MBS Fee")</f>
        <v>5510</v>
      </c>
      <c r="I16" s="183">
        <f t="shared" si="8"/>
        <v>3.0298198054536755E-2</v>
      </c>
      <c r="J16" s="183">
        <f t="shared" si="9"/>
        <v>1.7389638877011202</v>
      </c>
      <c r="K16" s="207">
        <f t="shared" si="10"/>
        <v>856.54899274047193</v>
      </c>
      <c r="L16" s="207">
        <f t="shared" si="11"/>
        <v>122.69220871143381</v>
      </c>
    </row>
    <row r="17" spans="1:12" s="83" customFormat="1" ht="14.1" customHeight="1">
      <c r="A17" s="212"/>
      <c r="B17" s="208" t="s">
        <v>54</v>
      </c>
      <c r="C17" s="93">
        <v>9</v>
      </c>
      <c r="D17" s="205">
        <f>SUMIFS(Table_MedicalGapAgreements[AmountCharged],Table_MedicalGapAgreements[Year],Selection!$E$14,Table_MedicalGapAgreements[MonthEnd],Selection!$E$15,Table_MedicalGapAgreements[State],"TAS",Table_MedicalGapAgreements[GapType],"Known gap agreement",Table_MedicalGapAgreements[MBSFeePercentage],"More than 200% MBS Fee")</f>
        <v>5358753.96</v>
      </c>
      <c r="E17" s="205">
        <f>SUMIFS(Table_MedicalGapAgreements[MedicareBenefit],Table_MedicalGapAgreements[Year],Selection!$E$14,Table_MedicalGapAgreements[MonthEnd],Selection!$E$15,Table_MedicalGapAgreements[State],"TAS",Table_MedicalGapAgreements[GapType],"Known gap agreement",Table_MedicalGapAgreements[MBSFeePercentage],"More than 200% MBS Fee")</f>
        <v>1355612.42</v>
      </c>
      <c r="F17" s="205">
        <f>SUMIFS(Table_MedicalGapAgreements[FundBenefit],Table_MedicalGapAgreements[Year],Selection!$E$14,Table_MedicalGapAgreements[MonthEnd],Selection!$E$15,Table_MedicalGapAgreements[State],"TAS",Table_MedicalGapAgreements[GapType],"Known gap agreement",Table_MedicalGapAgreements[MBSFeePercentage],"More than 200% MBS Fee")</f>
        <v>1530579.39</v>
      </c>
      <c r="G17" s="205">
        <f t="shared" si="7"/>
        <v>2472562.1500000004</v>
      </c>
      <c r="H17" s="182">
        <f>SUMIFS(Table_MedicalGapAgreements[NumberofServices],Table_MedicalGapAgreements[Year],Selection!$E$14,Table_MedicalGapAgreements[MonthEnd],Selection!$E$15,Table_MedicalGapAgreements[State],"TAS",Table_MedicalGapAgreements[GapType],"Known gap agreement",Table_MedicalGapAgreements[MBSFeePercentage],"More than 200% MBS Fee")</f>
        <v>11030</v>
      </c>
      <c r="I17" s="183">
        <f t="shared" si="8"/>
        <v>6.0651383764344903E-2</v>
      </c>
      <c r="J17" s="183">
        <f t="shared" si="9"/>
        <v>2.9647599938631428</v>
      </c>
      <c r="K17" s="207">
        <f t="shared" si="10"/>
        <v>485.83444786944693</v>
      </c>
      <c r="L17" s="207">
        <f t="shared" si="11"/>
        <v>224.16701269265641</v>
      </c>
    </row>
    <row r="18" spans="1:12" ht="14.1" customHeight="1">
      <c r="A18" s="214"/>
      <c r="B18" s="209" t="s">
        <v>0</v>
      </c>
      <c r="C18" s="95"/>
      <c r="D18" s="202">
        <f>SUM(D14:D17)</f>
        <v>10738504.350000001</v>
      </c>
      <c r="E18" s="202">
        <f t="shared" ref="E18:H18" si="12">SUM(E14:E17)</f>
        <v>3766374.8899999997</v>
      </c>
      <c r="F18" s="202">
        <f t="shared" si="12"/>
        <v>3789419.84</v>
      </c>
      <c r="G18" s="202">
        <f t="shared" si="12"/>
        <v>3182709.6200000006</v>
      </c>
      <c r="H18" s="206">
        <f t="shared" si="12"/>
        <v>19262</v>
      </c>
      <c r="I18" s="203">
        <f t="shared" si="8"/>
        <v>0.10591722158375445</v>
      </c>
      <c r="J18" s="203">
        <f t="shared" si="9"/>
        <v>2.1383634124907842</v>
      </c>
      <c r="K18" s="204">
        <f t="shared" si="10"/>
        <v>557.496851313467</v>
      </c>
      <c r="L18" s="204">
        <f t="shared" si="11"/>
        <v>165.23256255840519</v>
      </c>
    </row>
    <row r="19" spans="1:12" ht="14.1" customHeight="1">
      <c r="A19" s="216" t="s">
        <v>78</v>
      </c>
      <c r="B19" s="201"/>
      <c r="C19" s="95">
        <v>10</v>
      </c>
      <c r="D19" s="202">
        <f>D18+D12</f>
        <v>37426736.189999998</v>
      </c>
      <c r="E19" s="202">
        <f t="shared" ref="E19:H19" si="13">E18+E12</f>
        <v>17851722.530000001</v>
      </c>
      <c r="F19" s="202">
        <f t="shared" si="13"/>
        <v>16392275.99</v>
      </c>
      <c r="G19" s="202">
        <f t="shared" si="13"/>
        <v>3182737.6699999995</v>
      </c>
      <c r="H19" s="206">
        <f t="shared" si="13"/>
        <v>177567</v>
      </c>
      <c r="I19" s="203">
        <f t="shared" si="8"/>
        <v>0.97639929835751871</v>
      </c>
      <c r="J19" s="203">
        <f t="shared" si="9"/>
        <v>1.5724002036961975</v>
      </c>
      <c r="K19" s="204">
        <f t="shared" si="10"/>
        <v>210.77529152376286</v>
      </c>
      <c r="L19" s="204">
        <f t="shared" si="11"/>
        <v>17.924150714941398</v>
      </c>
    </row>
    <row r="20" spans="1:12" ht="17.100000000000001" customHeight="1">
      <c r="A20" s="180" t="s">
        <v>79</v>
      </c>
      <c r="B20" s="79"/>
      <c r="C20" s="96"/>
      <c r="D20" s="97"/>
      <c r="E20" s="97"/>
      <c r="F20" s="97"/>
      <c r="G20" s="98"/>
      <c r="H20" s="99"/>
      <c r="I20" s="100"/>
      <c r="J20" s="100"/>
      <c r="K20" s="101"/>
      <c r="L20" s="101"/>
    </row>
    <row r="21" spans="1:12" ht="14.1" customHeight="1">
      <c r="A21" s="78"/>
      <c r="B21" s="208" t="s">
        <v>50</v>
      </c>
      <c r="C21" s="96">
        <v>22</v>
      </c>
      <c r="D21" s="205">
        <f>SUMIFS(Table_MedicalGapAgreements[AmountCharged],Table_MedicalGapAgreements[Year],Selection!$E$14,Table_MedicalGapAgreements[MonthEnd],Selection!$E$15,Table_MedicalGapAgreements[State],"TAS",Table_MedicalGapAgreements[GapType],"No agreement",Table_MedicalGapAgreements[MBSFeePercentage],"Up to MBS Fee")</f>
        <v>240131.81</v>
      </c>
      <c r="E21" s="205">
        <f>SUMIFS(Table_MedicalGapAgreements[MedicareBenefit],Table_MedicalGapAgreements[Year],Selection!$E$14,Table_MedicalGapAgreements[MonthEnd],Selection!$E$15,Table_MedicalGapAgreements[State],"TAS",Table_MedicalGapAgreements[GapType],"No agreement",Table_MedicalGapAgreements[MBSFeePercentage],"Up to MBS Fee")</f>
        <v>179720.3</v>
      </c>
      <c r="F21" s="205">
        <f>SUMIFS(Table_MedicalGapAgreements[FundBenefit],Table_MedicalGapAgreements[Year],Selection!$E$14,Table_MedicalGapAgreements[MonthEnd],Selection!$E$15,Table_MedicalGapAgreements[State],"TAS",Table_MedicalGapAgreements[GapType],"No agreement",Table_MedicalGapAgreements[MBSFeePercentage],"Up to MBS Fee")</f>
        <v>59341.06</v>
      </c>
      <c r="G21" s="205">
        <f>D21-E21-F21</f>
        <v>1070.4500000000116</v>
      </c>
      <c r="H21" s="182">
        <f>SUMIFS(Table_MedicalGapAgreements[NumberofServices],Table_MedicalGapAgreements[Year],Selection!$E$14,Table_MedicalGapAgreements[MonthEnd],Selection!$E$15,Table_MedicalGapAgreements[State],"TAS",Table_MedicalGapAgreements[GapType],"No agreement",Table_MedicalGapAgreements[MBSFeePercentage],"Up to MBS Fee")</f>
        <v>2019</v>
      </c>
      <c r="I21" s="183">
        <f t="shared" ref="I21:I26" si="14">H21/H$28</f>
        <v>1.1102007599293959E-2</v>
      </c>
      <c r="J21" s="183">
        <f t="shared" ref="J21:J26" si="15">D21/(E21/0.75)</f>
        <v>1.0021063702876081</v>
      </c>
      <c r="K21" s="207">
        <f t="shared" ref="K21:K26" si="16">D21/H21</f>
        <v>118.93601287766221</v>
      </c>
      <c r="L21" s="207">
        <f t="shared" ref="L21:L26" si="17">G21/H21</f>
        <v>0.53018821198613753</v>
      </c>
    </row>
    <row r="22" spans="1:12" ht="14.1" customHeight="1">
      <c r="A22" s="81"/>
      <c r="B22" s="208" t="s">
        <v>51</v>
      </c>
      <c r="C22" s="96">
        <v>23</v>
      </c>
      <c r="D22" s="205">
        <f>SUMIFS(Table_MedicalGapAgreements[AmountCharged],Table_MedicalGapAgreements[Year],Selection!$E$14,Table_MedicalGapAgreements[MonthEnd],Selection!$E$15,Table_MedicalGapAgreements[State],"TAS",Table_MedicalGapAgreements[GapType],"No agreement",Table_MedicalGapAgreements[MBSFeePercentage],"100% MBS Fee to 125% MBS Fee")</f>
        <v>74144.81</v>
      </c>
      <c r="E22" s="205">
        <f>SUMIFS(Table_MedicalGapAgreements[MedicareBenefit],Table_MedicalGapAgreements[Year],Selection!$E$14,Table_MedicalGapAgreements[MonthEnd],Selection!$E$15,Table_MedicalGapAgreements[State],"TAS",Table_MedicalGapAgreements[GapType],"No agreement",Table_MedicalGapAgreements[MBSFeePercentage],"100% MBS Fee to 125% MBS Fee")</f>
        <v>47813.85</v>
      </c>
      <c r="F22" s="205">
        <f>SUMIFS(Table_MedicalGapAgreements[FundBenefit],Table_MedicalGapAgreements[Year],Selection!$E$14,Table_MedicalGapAgreements[MonthEnd],Selection!$E$15,Table_MedicalGapAgreements[State],"TAS",Table_MedicalGapAgreements[GapType],"No agreement",Table_MedicalGapAgreements[MBSFeePercentage],"100% MBS Fee to 125% MBS Fee")</f>
        <v>15809.24</v>
      </c>
      <c r="G22" s="205">
        <f t="shared" ref="G22:G25" si="18">D22-E22-F22</f>
        <v>10521.72</v>
      </c>
      <c r="H22" s="182">
        <f>SUMIFS(Table_MedicalGapAgreements[NumberofServices],Table_MedicalGapAgreements[Year],Selection!$E$14,Table_MedicalGapAgreements[MonthEnd],Selection!$E$15,Table_MedicalGapAgreements[State],"TAS",Table_MedicalGapAgreements[GapType],"No agreement",Table_MedicalGapAgreements[MBSFeePercentage],"100% MBS Fee to 125% MBS Fee")</f>
        <v>176</v>
      </c>
      <c r="I22" s="183">
        <f t="shared" si="14"/>
        <v>9.6778273277649165E-4</v>
      </c>
      <c r="J22" s="183">
        <f t="shared" si="15"/>
        <v>1.1630230048406476</v>
      </c>
      <c r="K22" s="207">
        <f t="shared" si="16"/>
        <v>421.27732954545451</v>
      </c>
      <c r="L22" s="207">
        <f t="shared" si="17"/>
        <v>59.782499999999999</v>
      </c>
    </row>
    <row r="23" spans="1:12" ht="14.1" customHeight="1">
      <c r="A23" s="81"/>
      <c r="B23" s="208" t="s">
        <v>52</v>
      </c>
      <c r="C23" s="102">
        <v>24</v>
      </c>
      <c r="D23" s="205">
        <f>SUMIFS(Table_MedicalGapAgreements[AmountCharged],Table_MedicalGapAgreements[Year],Selection!$E$14,Table_MedicalGapAgreements[MonthEnd],Selection!$E$15,Table_MedicalGapAgreements[State],"TAS",Table_MedicalGapAgreements[GapType],"No agreement",Table_MedicalGapAgreements[MBSFeePercentage],"More than 125% MBS Fee to 150% MBS Fee")</f>
        <v>47957.33</v>
      </c>
      <c r="E23" s="205">
        <f>SUMIFS(Table_MedicalGapAgreements[MedicareBenefit],Table_MedicalGapAgreements[Year],Selection!$E$14,Table_MedicalGapAgreements[MonthEnd],Selection!$E$15,Table_MedicalGapAgreements[State],"TAS",Table_MedicalGapAgreements[GapType],"No agreement",Table_MedicalGapAgreements[MBSFeePercentage],"More than 125% MBS Fee to 150% MBS Fee")</f>
        <v>26236.19</v>
      </c>
      <c r="F23" s="205">
        <f>SUMIFS(Table_MedicalGapAgreements[FundBenefit],Table_MedicalGapAgreements[Year],Selection!$E$14,Table_MedicalGapAgreements[MonthEnd],Selection!$E$15,Table_MedicalGapAgreements[State],"TAS",Table_MedicalGapAgreements[GapType],"No agreement",Table_MedicalGapAgreements[MBSFeePercentage],"More than 125% MBS Fee to 150% MBS Fee")</f>
        <v>8449.44</v>
      </c>
      <c r="G23" s="205">
        <f t="shared" si="18"/>
        <v>13271.700000000003</v>
      </c>
      <c r="H23" s="182">
        <f>SUMIFS(Table_MedicalGapAgreements[NumberofServices],Table_MedicalGapAgreements[Year],Selection!$E$14,Table_MedicalGapAgreements[MonthEnd],Selection!$E$15,Table_MedicalGapAgreements[State],"TAS",Table_MedicalGapAgreements[GapType],"No agreement",Table_MedicalGapAgreements[MBSFeePercentage],"More than 125% MBS Fee to 150% MBS Fee")</f>
        <v>88</v>
      </c>
      <c r="I23" s="183">
        <f t="shared" si="14"/>
        <v>4.8389136638824583E-4</v>
      </c>
      <c r="J23" s="183">
        <f t="shared" si="15"/>
        <v>1.3709306686679736</v>
      </c>
      <c r="K23" s="207">
        <f t="shared" si="16"/>
        <v>544.96965909090909</v>
      </c>
      <c r="L23" s="207">
        <f t="shared" si="17"/>
        <v>150.81477272727275</v>
      </c>
    </row>
    <row r="24" spans="1:12" s="83" customFormat="1" ht="14.1" customHeight="1">
      <c r="A24" s="103"/>
      <c r="B24" s="208" t="s">
        <v>53</v>
      </c>
      <c r="C24" s="102">
        <v>25</v>
      </c>
      <c r="D24" s="205">
        <f>SUMIFS(Table_MedicalGapAgreements[AmountCharged],Table_MedicalGapAgreements[Year],Selection!$E$14,Table_MedicalGapAgreements[MonthEnd],Selection!$E$15,Table_MedicalGapAgreements[State],"TAS",Table_MedicalGapAgreements[GapType],"No agreement",Table_MedicalGapAgreements[MBSFeePercentage],"More than 150% MBS Fee to 200% MBS Fee")</f>
        <v>158783.69</v>
      </c>
      <c r="E24" s="205">
        <f>SUMIFS(Table_MedicalGapAgreements[MedicareBenefit],Table_MedicalGapAgreements[Year],Selection!$E$14,Table_MedicalGapAgreements[MonthEnd],Selection!$E$15,Table_MedicalGapAgreements[State],"TAS",Table_MedicalGapAgreements[GapType],"No agreement",Table_MedicalGapAgreements[MBSFeePercentage],"More than 150% MBS Fee to 200% MBS Fee")</f>
        <v>68207.25</v>
      </c>
      <c r="F24" s="205">
        <f>SUMIFS(Table_MedicalGapAgreements[FundBenefit],Table_MedicalGapAgreements[Year],Selection!$E$14,Table_MedicalGapAgreements[MonthEnd],Selection!$E$15,Table_MedicalGapAgreements[State],"TAS",Table_MedicalGapAgreements[GapType],"No agreement",Table_MedicalGapAgreements[MBSFeePercentage],"More than 150% MBS Fee to 200% MBS Fee")</f>
        <v>22813.47</v>
      </c>
      <c r="G24" s="205">
        <f t="shared" si="18"/>
        <v>67762.97</v>
      </c>
      <c r="H24" s="182">
        <f>SUMIFS(Table_MedicalGapAgreements[NumberofServices],Table_MedicalGapAgreements[Year],Selection!$E$14,Table_MedicalGapAgreements[MonthEnd],Selection!$E$15,Table_MedicalGapAgreements[State],"TAS",Table_MedicalGapAgreements[GapType],"No agreement",Table_MedicalGapAgreements[MBSFeePercentage],"More than 150% MBS Fee to 200% MBS Fee")</f>
        <v>279</v>
      </c>
      <c r="I24" s="183">
        <f t="shared" si="14"/>
        <v>1.5341555820718249E-3</v>
      </c>
      <c r="J24" s="183">
        <f t="shared" si="15"/>
        <v>1.7459693434348988</v>
      </c>
      <c r="K24" s="207">
        <f t="shared" si="16"/>
        <v>569.11716845878141</v>
      </c>
      <c r="L24" s="207">
        <f t="shared" si="17"/>
        <v>242.87802867383513</v>
      </c>
    </row>
    <row r="25" spans="1:12" ht="14.1" customHeight="1">
      <c r="A25" s="80"/>
      <c r="B25" s="208" t="s">
        <v>54</v>
      </c>
      <c r="C25" s="102">
        <v>26</v>
      </c>
      <c r="D25" s="205">
        <f>SUMIFS(Table_MedicalGapAgreements[AmountCharged],Table_MedicalGapAgreements[Year],Selection!$E$14,Table_MedicalGapAgreements[MonthEnd],Selection!$E$15,Table_MedicalGapAgreements[State],"TAS",Table_MedicalGapAgreements[GapType],"No agreement",Table_MedicalGapAgreements[MBSFeePercentage],"More than 200% MBS Fee")</f>
        <v>3273319.54</v>
      </c>
      <c r="E25" s="205">
        <f>SUMIFS(Table_MedicalGapAgreements[MedicareBenefit],Table_MedicalGapAgreements[Year],Selection!$E$14,Table_MedicalGapAgreements[MonthEnd],Selection!$E$15,Table_MedicalGapAgreements[State],"TAS",Table_MedicalGapAgreements[GapType],"No agreement",Table_MedicalGapAgreements[MBSFeePercentage],"More than 200% MBS Fee")</f>
        <v>635902.78</v>
      </c>
      <c r="F25" s="205">
        <f>SUMIFS(Table_MedicalGapAgreements[FundBenefit],Table_MedicalGapAgreements[Year],Selection!$E$14,Table_MedicalGapAgreements[MonthEnd],Selection!$E$15,Table_MedicalGapAgreements[State],"TAS",Table_MedicalGapAgreements[GapType],"No agreement",Table_MedicalGapAgreements[MBSFeePercentage],"More than 200% MBS Fee")</f>
        <v>217514.74</v>
      </c>
      <c r="G25" s="205">
        <f t="shared" si="18"/>
        <v>2419902.0199999996</v>
      </c>
      <c r="H25" s="182">
        <f>SUMIFS(Table_MedicalGapAgreements[NumberofServices],Table_MedicalGapAgreements[Year],Selection!$E$14,Table_MedicalGapAgreements[MonthEnd],Selection!$E$15,Table_MedicalGapAgreements[State],"TAS",Table_MedicalGapAgreements[GapType],"No agreement",Table_MedicalGapAgreements[MBSFeePercentage],"More than 200% MBS Fee")</f>
        <v>1730</v>
      </c>
      <c r="I25" s="183">
        <f t="shared" si="14"/>
        <v>9.5128643619507413E-3</v>
      </c>
      <c r="J25" s="183">
        <f t="shared" si="15"/>
        <v>3.8606367706082363</v>
      </c>
      <c r="K25" s="207">
        <f t="shared" si="16"/>
        <v>1892.0922196531792</v>
      </c>
      <c r="L25" s="207">
        <f t="shared" si="17"/>
        <v>1398.7872947976875</v>
      </c>
    </row>
    <row r="26" spans="1:12" ht="14.1" customHeight="1">
      <c r="A26" s="214" t="s">
        <v>85</v>
      </c>
      <c r="B26" s="209"/>
      <c r="C26" s="95">
        <v>27</v>
      </c>
      <c r="D26" s="202">
        <f>SUM(D21:D25)</f>
        <v>3794337.18</v>
      </c>
      <c r="E26" s="202">
        <f t="shared" ref="E26:H26" si="19">SUM(E21:E25)</f>
        <v>957880.37</v>
      </c>
      <c r="F26" s="202">
        <f t="shared" si="19"/>
        <v>323927.95</v>
      </c>
      <c r="G26" s="202">
        <f t="shared" si="19"/>
        <v>2512528.8599999994</v>
      </c>
      <c r="H26" s="206">
        <f t="shared" si="19"/>
        <v>4292</v>
      </c>
      <c r="I26" s="203">
        <f t="shared" si="14"/>
        <v>2.3600701642481264E-2</v>
      </c>
      <c r="J26" s="203">
        <f t="shared" si="15"/>
        <v>2.9708854822862691</v>
      </c>
      <c r="K26" s="204">
        <f t="shared" si="16"/>
        <v>884.04873718546139</v>
      </c>
      <c r="L26" s="204">
        <f t="shared" si="17"/>
        <v>585.39815004659818</v>
      </c>
    </row>
    <row r="27" spans="1:12" ht="14.1" customHeight="1">
      <c r="A27" s="102"/>
      <c r="B27" s="102"/>
      <c r="C27" s="96"/>
      <c r="D27" s="97"/>
      <c r="E27" s="97"/>
      <c r="F27" s="97"/>
      <c r="G27" s="98"/>
      <c r="H27" s="99"/>
      <c r="I27" s="100"/>
      <c r="J27" s="100"/>
      <c r="K27" s="101"/>
      <c r="L27" s="101"/>
    </row>
    <row r="28" spans="1:12" ht="14.1" customHeight="1">
      <c r="A28" s="209" t="s">
        <v>80</v>
      </c>
      <c r="B28" s="209"/>
      <c r="C28" s="202"/>
      <c r="D28" s="202">
        <f>D19+D26</f>
        <v>41221073.369999997</v>
      </c>
      <c r="E28" s="202">
        <f t="shared" ref="E28:H28" si="20">E19+E26</f>
        <v>18809602.900000002</v>
      </c>
      <c r="F28" s="202">
        <f t="shared" si="20"/>
        <v>16716203.939999999</v>
      </c>
      <c r="G28" s="206">
        <f t="shared" si="20"/>
        <v>5695266.5299999993</v>
      </c>
      <c r="H28" s="218">
        <f t="shared" si="20"/>
        <v>181859</v>
      </c>
      <c r="I28" s="203">
        <f>H28/H$28</f>
        <v>1</v>
      </c>
      <c r="J28" s="203">
        <f>D28/(E28/0.75)</f>
        <v>1.6436181663090823</v>
      </c>
      <c r="K28" s="204">
        <f>D28/H28</f>
        <v>226.6650172386299</v>
      </c>
      <c r="L28" s="204">
        <f>G28/H28</f>
        <v>31.316935263033447</v>
      </c>
    </row>
    <row r="29" spans="1:12" ht="14.1" customHeight="1">
      <c r="A29" s="209" t="s">
        <v>81</v>
      </c>
      <c r="B29" s="209"/>
      <c r="C29" s="202"/>
      <c r="D29" s="202">
        <f>D12+D21</f>
        <v>26928363.649999999</v>
      </c>
      <c r="E29" s="202">
        <f t="shared" ref="E29:H29" si="21">E12+E21</f>
        <v>14265067.940000001</v>
      </c>
      <c r="F29" s="202">
        <f t="shared" si="21"/>
        <v>12662197.210000001</v>
      </c>
      <c r="G29" s="206">
        <f t="shared" si="21"/>
        <v>1098.4999999988941</v>
      </c>
      <c r="H29" s="218">
        <f t="shared" si="21"/>
        <v>160324</v>
      </c>
      <c r="I29" s="203">
        <f>H29/H$28</f>
        <v>0.88158408437305824</v>
      </c>
      <c r="J29" s="203">
        <f>D29/(E29/0.75)</f>
        <v>1.4157852470417323</v>
      </c>
      <c r="K29" s="204">
        <f>D29/H29</f>
        <v>167.9621494598438</v>
      </c>
      <c r="L29" s="204">
        <f>G29/H29</f>
        <v>6.8517502058262894E-3</v>
      </c>
    </row>
    <row r="30" spans="1:12" ht="14.1" customHeight="1">
      <c r="A30" s="209" t="s">
        <v>82</v>
      </c>
      <c r="B30" s="209"/>
      <c r="C30" s="202"/>
      <c r="D30" s="202">
        <f>D19+D21</f>
        <v>37666868</v>
      </c>
      <c r="E30" s="202">
        <f t="shared" ref="E30:H30" si="22">E19+E21</f>
        <v>18031442.830000002</v>
      </c>
      <c r="F30" s="202">
        <f t="shared" si="22"/>
        <v>16451617.050000001</v>
      </c>
      <c r="G30" s="206">
        <f t="shared" si="22"/>
        <v>3183808.1199999996</v>
      </c>
      <c r="H30" s="218">
        <f t="shared" si="22"/>
        <v>179586</v>
      </c>
      <c r="I30" s="203">
        <f>H30/H$28</f>
        <v>0.98750130595681274</v>
      </c>
      <c r="J30" s="203">
        <f>D30/(E30/0.75)</f>
        <v>1.5667160562990841</v>
      </c>
      <c r="K30" s="204">
        <f>D30/H30</f>
        <v>209.74278618600559</v>
      </c>
      <c r="L30" s="204">
        <f>G30/H30</f>
        <v>17.728598665820275</v>
      </c>
    </row>
    <row r="31" spans="1:12" ht="14.1" customHeight="1">
      <c r="A31" s="209" t="s">
        <v>83</v>
      </c>
      <c r="B31" s="209"/>
      <c r="C31" s="202"/>
      <c r="D31" s="202">
        <f>D26-D21</f>
        <v>3554205.37</v>
      </c>
      <c r="E31" s="202">
        <f t="shared" ref="E31:H31" si="23">E26-E21</f>
        <v>778160.07000000007</v>
      </c>
      <c r="F31" s="202">
        <f t="shared" si="23"/>
        <v>264586.89</v>
      </c>
      <c r="G31" s="206">
        <f t="shared" si="23"/>
        <v>2511458.4099999992</v>
      </c>
      <c r="H31" s="218">
        <f t="shared" si="23"/>
        <v>2273</v>
      </c>
      <c r="I31" s="203">
        <f>H31/H$28</f>
        <v>1.2498694043187304E-2</v>
      </c>
      <c r="J31" s="203">
        <f>D31/(E31/0.75)</f>
        <v>3.4255857249267492</v>
      </c>
      <c r="K31" s="204">
        <f>D31/H31</f>
        <v>1563.6627232732073</v>
      </c>
      <c r="L31" s="204">
        <f>G31/H31</f>
        <v>1104.9091113066429</v>
      </c>
    </row>
    <row r="32" spans="1:12" ht="11.65">
      <c r="A32" s="105"/>
      <c r="B32" s="105"/>
      <c r="C32" s="105"/>
      <c r="D32" s="106"/>
      <c r="E32" s="106"/>
      <c r="F32" s="106"/>
      <c r="G32" s="106"/>
      <c r="H32" s="106"/>
      <c r="I32" s="107"/>
      <c r="J32" s="107"/>
      <c r="K32" s="107"/>
      <c r="L32" s="107"/>
    </row>
    <row r="33" spans="1:12" ht="13.15">
      <c r="A33" s="174" t="s">
        <v>91</v>
      </c>
      <c r="C33" s="32" t="s">
        <v>20</v>
      </c>
    </row>
    <row r="34" spans="1:12" ht="39.4">
      <c r="A34" s="67"/>
      <c r="B34" s="68"/>
      <c r="C34" s="69"/>
      <c r="D34" s="200" t="s">
        <v>41</v>
      </c>
      <c r="E34" s="200" t="s">
        <v>42</v>
      </c>
      <c r="F34" s="200" t="s">
        <v>43</v>
      </c>
      <c r="G34" s="200" t="s">
        <v>44</v>
      </c>
      <c r="H34" s="200" t="s">
        <v>73</v>
      </c>
      <c r="I34" s="200" t="s">
        <v>46</v>
      </c>
      <c r="J34" s="200" t="s">
        <v>74</v>
      </c>
      <c r="K34" s="200" t="s">
        <v>48</v>
      </c>
      <c r="L34" s="200" t="s">
        <v>49</v>
      </c>
    </row>
    <row r="35" spans="1:12" ht="13.5">
      <c r="A35" s="180" t="s">
        <v>75</v>
      </c>
      <c r="B35" s="71"/>
      <c r="C35" s="72">
        <v>0</v>
      </c>
      <c r="D35" s="73"/>
      <c r="E35" s="74"/>
      <c r="F35" s="74"/>
      <c r="G35" s="74"/>
      <c r="H35" s="74"/>
      <c r="I35" s="74"/>
      <c r="J35" s="74"/>
      <c r="K35" s="74"/>
      <c r="L35" s="74"/>
    </row>
    <row r="36" spans="1:12" ht="13.5">
      <c r="A36" s="210" t="s">
        <v>76</v>
      </c>
      <c r="B36" s="75"/>
      <c r="C36" s="72">
        <v>1</v>
      </c>
      <c r="D36" s="76"/>
      <c r="E36" s="77"/>
      <c r="F36" s="77"/>
      <c r="G36" s="77"/>
      <c r="H36" s="77"/>
      <c r="I36" s="77"/>
      <c r="J36" s="77"/>
      <c r="K36" s="77"/>
      <c r="L36" s="77"/>
    </row>
    <row r="37" spans="1:12" ht="12.75">
      <c r="A37" s="213"/>
      <c r="B37" s="208" t="s">
        <v>50</v>
      </c>
      <c r="C37" s="79">
        <v>2</v>
      </c>
      <c r="D37" s="205">
        <f>SUMIFS(Table_MedicalGapAgreements[AmountCharged],Table_MedicalGapAgreements[Year],Selection!$E$14,Table_MedicalGapAgreements[MonthEnd],Selection!$E$15,Table_MedicalGapAgreements[State],"ACT",Table_MedicalGapAgreements[GapType],"No gap agreement",Table_MedicalGapAgreements[MBSFeePercentage],"Up to MBS Fee")</f>
        <v>500118.45</v>
      </c>
      <c r="E37" s="205">
        <f>SUMIFS(Table_MedicalGapAgreements[MedicareBenefit],Table_MedicalGapAgreements[Year],Selection!$E$14,Table_MedicalGapAgreements[MonthEnd],Selection!$E$15,Table_MedicalGapAgreements[State],"ACT",Table_MedicalGapAgreements[GapType],"No gap agreement",Table_MedicalGapAgreements[MBSFeePercentage],"Up to MBS Fee")</f>
        <v>378100.6</v>
      </c>
      <c r="F37" s="205">
        <f>SUMIFS(Table_MedicalGapAgreements[FundBenefit],Table_MedicalGapAgreements[Year],Selection!$E$14,Table_MedicalGapAgreements[MonthEnd],Selection!$E$15,Table_MedicalGapAgreements[State],"ACT",Table_MedicalGapAgreements[GapType],"No gap agreement",Table_MedicalGapAgreements[MBSFeePercentage],"Up to MBS Fee")</f>
        <v>122017.85</v>
      </c>
      <c r="G37" s="205">
        <f>D37-E37-F37</f>
        <v>0</v>
      </c>
      <c r="H37" s="182">
        <f>SUMIFS(Table_MedicalGapAgreements[NumberofServices],Table_MedicalGapAgreements[Year],Selection!$E$14,Table_MedicalGapAgreements[MonthEnd],Selection!$E$15,Table_MedicalGapAgreements[State],"ACT",Table_MedicalGapAgreements[GapType],"No gap agreement",Table_MedicalGapAgreements[MBSFeePercentage],"Up to MBS Fee")</f>
        <v>10509</v>
      </c>
      <c r="I37" s="183">
        <f t="shared" ref="I37:I42" si="24">H37/H$58</f>
        <v>9.2146220417897884E-2</v>
      </c>
      <c r="J37" s="183">
        <f t="shared" ref="J37:J42" si="25">D37/(E37/0.75)</f>
        <v>0.99203449425893542</v>
      </c>
      <c r="K37" s="207">
        <f t="shared" ref="K37:K42" si="26">D37/H37</f>
        <v>47.589537539252071</v>
      </c>
      <c r="L37" s="207">
        <f t="shared" ref="L37:L42" si="27">G37/H37</f>
        <v>0</v>
      </c>
    </row>
    <row r="38" spans="1:12" ht="12.75">
      <c r="A38" s="211"/>
      <c r="B38" s="208" t="s">
        <v>51</v>
      </c>
      <c r="C38" s="79">
        <v>3</v>
      </c>
      <c r="D38" s="205">
        <f>SUMIFS(Table_MedicalGapAgreements[AmountCharged],Table_MedicalGapAgreements[Year],Selection!$E$14,Table_MedicalGapAgreements[MonthEnd],Selection!$E$15,Table_MedicalGapAgreements[State],"ACT",Table_MedicalGapAgreements[GapType],"No gap agreement",Table_MedicalGapAgreements[MBSFeePercentage],"100% MBS Fee to 125% MBS Fee")</f>
        <v>1837833.44</v>
      </c>
      <c r="E38" s="205">
        <f>SUMIFS(Table_MedicalGapAgreements[MedicareBenefit],Table_MedicalGapAgreements[Year],Selection!$E$14,Table_MedicalGapAgreements[MonthEnd],Selection!$E$15,Table_MedicalGapAgreements[State],"ACT",Table_MedicalGapAgreements[GapType],"No gap agreement",Table_MedicalGapAgreements[MBSFeePercentage],"100% MBS Fee to 125% MBS Fee")</f>
        <v>1176845.2</v>
      </c>
      <c r="F38" s="205">
        <f>SUMIFS(Table_MedicalGapAgreements[FundBenefit],Table_MedicalGapAgreements[Year],Selection!$E$14,Table_MedicalGapAgreements[MonthEnd],Selection!$E$15,Table_MedicalGapAgreements[State],"ACT",Table_MedicalGapAgreements[GapType],"No gap agreement",Table_MedicalGapAgreements[MBSFeePercentage],"100% MBS Fee to 125% MBS Fee")</f>
        <v>660978.1</v>
      </c>
      <c r="G38" s="205">
        <f t="shared" ref="G38:G42" si="28">D38-E38-F38</f>
        <v>10.14000000001397</v>
      </c>
      <c r="H38" s="182">
        <f>SUMIFS(Table_MedicalGapAgreements[NumberofServices],Table_MedicalGapAgreements[Year],Selection!$E$14,Table_MedicalGapAgreements[MonthEnd],Selection!$E$15,Table_MedicalGapAgreements[State],"ACT",Table_MedicalGapAgreements[GapType],"No gap agreement",Table_MedicalGapAgreements[MBSFeePercentage],"100% MBS Fee to 125% MBS Fee")</f>
        <v>12196</v>
      </c>
      <c r="I38" s="183">
        <f t="shared" si="24"/>
        <v>0.10693836751514726</v>
      </c>
      <c r="J38" s="183">
        <f t="shared" si="25"/>
        <v>1.1712458698901096</v>
      </c>
      <c r="K38" s="207">
        <f t="shared" si="26"/>
        <v>150.69149229255493</v>
      </c>
      <c r="L38" s="207">
        <f t="shared" si="27"/>
        <v>8.3142013775122745E-4</v>
      </c>
    </row>
    <row r="39" spans="1:12" ht="12.75">
      <c r="A39" s="212"/>
      <c r="B39" s="208" t="s">
        <v>52</v>
      </c>
      <c r="C39" s="79">
        <v>4</v>
      </c>
      <c r="D39" s="205">
        <f>SUMIFS(Table_MedicalGapAgreements[AmountCharged],Table_MedicalGapAgreements[Year],Selection!$E$14,Table_MedicalGapAgreements[MonthEnd],Selection!$E$15,Table_MedicalGapAgreements[State],"ACT",Table_MedicalGapAgreements[GapType],"No gap agreement",Table_MedicalGapAgreements[MBSFeePercentage],"More than 125% MBS Fee to 150% MBS Fee")</f>
        <v>5333397.96</v>
      </c>
      <c r="E39" s="205">
        <f>SUMIFS(Table_MedicalGapAgreements[MedicareBenefit],Table_MedicalGapAgreements[Year],Selection!$E$14,Table_MedicalGapAgreements[MonthEnd],Selection!$E$15,Table_MedicalGapAgreements[State],"ACT",Table_MedicalGapAgreements[GapType],"No gap agreement",Table_MedicalGapAgreements[MBSFeePercentage],"More than 125% MBS Fee to 150% MBS Fee")</f>
        <v>2938083.95</v>
      </c>
      <c r="F39" s="205">
        <f>SUMIFS(Table_MedicalGapAgreements[FundBenefit],Table_MedicalGapAgreements[Year],Selection!$E$14,Table_MedicalGapAgreements[MonthEnd],Selection!$E$15,Table_MedicalGapAgreements[State],"ACT",Table_MedicalGapAgreements[GapType],"No gap agreement",Table_MedicalGapAgreements[MBSFeePercentage],"More than 125% MBS Fee to 150% MBS Fee")</f>
        <v>2395311.7200000002</v>
      </c>
      <c r="G39" s="205">
        <f t="shared" si="28"/>
        <v>2.2899999995715916</v>
      </c>
      <c r="H39" s="182">
        <f>SUMIFS(Table_MedicalGapAgreements[NumberofServices],Table_MedicalGapAgreements[Year],Selection!$E$14,Table_MedicalGapAgreements[MonthEnd],Selection!$E$15,Table_MedicalGapAgreements[State],"ACT",Table_MedicalGapAgreements[GapType],"No gap agreement",Table_MedicalGapAgreements[MBSFeePercentage],"More than 125% MBS Fee to 150% MBS Fee")</f>
        <v>39535</v>
      </c>
      <c r="I39" s="183">
        <f t="shared" si="24"/>
        <v>0.34665532631283591</v>
      </c>
      <c r="J39" s="183">
        <f t="shared" si="25"/>
        <v>1.3614479838127156</v>
      </c>
      <c r="K39" s="207">
        <f t="shared" si="26"/>
        <v>134.90319868470974</v>
      </c>
      <c r="L39" s="207">
        <f t="shared" si="27"/>
        <v>5.7923359038107792E-5</v>
      </c>
    </row>
    <row r="40" spans="1:12" ht="14.25" customHeight="1">
      <c r="A40" s="212"/>
      <c r="B40" s="208" t="s">
        <v>53</v>
      </c>
      <c r="C40" s="82"/>
      <c r="D40" s="205">
        <f>SUMIFS(Table_MedicalGapAgreements[AmountCharged],Table_MedicalGapAgreements[Year],Selection!$E$14,Table_MedicalGapAgreements[MonthEnd],Selection!$E$15,Table_MedicalGapAgreements[State],"ACT",Table_MedicalGapAgreements[GapType],"No gap agreement",Table_MedicalGapAgreements[MBSFeePercentage],"More than 150% MBS Fee to 200% MBS Fee")</f>
        <v>3395939.2</v>
      </c>
      <c r="E40" s="205">
        <f>SUMIFS(Table_MedicalGapAgreements[MedicareBenefit],Table_MedicalGapAgreements[Year],Selection!$E$14,Table_MedicalGapAgreements[MonthEnd],Selection!$E$15,Table_MedicalGapAgreements[State],"ACT",Table_MedicalGapAgreements[GapType],"No gap agreement",Table_MedicalGapAgreements[MBSFeePercentage],"More than 150% MBS Fee to 200% MBS Fee")</f>
        <v>1574472</v>
      </c>
      <c r="F40" s="205">
        <f>SUMIFS(Table_MedicalGapAgreements[FundBenefit],Table_MedicalGapAgreements[Year],Selection!$E$14,Table_MedicalGapAgreements[MonthEnd],Selection!$E$15,Table_MedicalGapAgreements[State],"ACT",Table_MedicalGapAgreements[GapType],"No gap agreement",Table_MedicalGapAgreements[MBSFeePercentage],"More than 150% MBS Fee to 200% MBS Fee")</f>
        <v>1821456.62</v>
      </c>
      <c r="G40" s="205">
        <f t="shared" si="28"/>
        <v>10.580000000074506</v>
      </c>
      <c r="H40" s="182">
        <f>SUMIFS(Table_MedicalGapAgreements[NumberofServices],Table_MedicalGapAgreements[Year],Selection!$E$14,Table_MedicalGapAgreements[MonthEnd],Selection!$E$15,Table_MedicalGapAgreements[State],"ACT",Table_MedicalGapAgreements[GapType],"No gap agreement",Table_MedicalGapAgreements[MBSFeePercentage],"More than 150% MBS Fee to 200% MBS Fee")</f>
        <v>19943</v>
      </c>
      <c r="I40" s="183">
        <f t="shared" si="24"/>
        <v>0.17486650240690241</v>
      </c>
      <c r="J40" s="183">
        <f t="shared" si="25"/>
        <v>1.6176562047467342</v>
      </c>
      <c r="K40" s="207">
        <f t="shared" si="26"/>
        <v>170.28226445369305</v>
      </c>
      <c r="L40" s="207">
        <f t="shared" si="27"/>
        <v>5.3051195908712363E-4</v>
      </c>
    </row>
    <row r="41" spans="1:12" ht="15">
      <c r="A41" s="212"/>
      <c r="B41" s="208" t="s">
        <v>54</v>
      </c>
      <c r="C41" s="82">
        <v>5</v>
      </c>
      <c r="D41" s="205">
        <f>SUMIFS(Table_MedicalGapAgreements[AmountCharged],Table_MedicalGapAgreements[Year],Selection!$E$14,Table_MedicalGapAgreements[MonthEnd],Selection!$E$15,Table_MedicalGapAgreements[State],"ACT",Table_MedicalGapAgreements[GapType],"No gap agreement",Table_MedicalGapAgreements[MBSFeePercentage],"More than 200% MBS Fee")</f>
        <v>208705.26</v>
      </c>
      <c r="E41" s="205">
        <f>SUMIFS(Table_MedicalGapAgreements[MedicareBenefit],Table_MedicalGapAgreements[Year],Selection!$E$14,Table_MedicalGapAgreements[MonthEnd],Selection!$E$15,Table_MedicalGapAgreements[State],"ACT",Table_MedicalGapAgreements[GapType],"No gap agreement",Table_MedicalGapAgreements[MBSFeePercentage],"More than 200% MBS Fee")</f>
        <v>57875.3</v>
      </c>
      <c r="F41" s="205">
        <f>SUMIFS(Table_MedicalGapAgreements[FundBenefit],Table_MedicalGapAgreements[Year],Selection!$E$14,Table_MedicalGapAgreements[MonthEnd],Selection!$E$15,Table_MedicalGapAgreements[State],"ACT",Table_MedicalGapAgreements[GapType],"No gap agreement",Table_MedicalGapAgreements[MBSFeePercentage],"More than 200% MBS Fee")</f>
        <v>150829.96</v>
      </c>
      <c r="G41" s="205">
        <f t="shared" si="28"/>
        <v>0</v>
      </c>
      <c r="H41" s="182">
        <f>SUMIFS(Table_MedicalGapAgreements[NumberofServices],Table_MedicalGapAgreements[Year],Selection!$E$14,Table_MedicalGapAgreements[MonthEnd],Selection!$E$15,Table_MedicalGapAgreements[State],"ACT",Table_MedicalGapAgreements[GapType],"No gap agreement",Table_MedicalGapAgreements[MBSFeePercentage],"More than 200% MBS Fee")</f>
        <v>198</v>
      </c>
      <c r="I41" s="183">
        <f t="shared" si="24"/>
        <v>1.7361263338798916E-3</v>
      </c>
      <c r="J41" s="183">
        <f t="shared" si="25"/>
        <v>2.7045897818240254</v>
      </c>
      <c r="K41" s="207">
        <f t="shared" si="26"/>
        <v>1054.0669696969696</v>
      </c>
      <c r="L41" s="207">
        <f t="shared" si="27"/>
        <v>0</v>
      </c>
    </row>
    <row r="42" spans="1:12" ht="15">
      <c r="A42" s="214"/>
      <c r="B42" s="209" t="s">
        <v>0</v>
      </c>
      <c r="C42" s="84">
        <v>6</v>
      </c>
      <c r="D42" s="202">
        <f>SUM(D37:D41)</f>
        <v>11275994.310000001</v>
      </c>
      <c r="E42" s="202">
        <f t="shared" ref="E42:F42" si="29">SUM(E37:E41)</f>
        <v>6125377.0499999998</v>
      </c>
      <c r="F42" s="202">
        <f t="shared" si="29"/>
        <v>5150594.25</v>
      </c>
      <c r="G42" s="202">
        <f t="shared" si="28"/>
        <v>23.010000000707805</v>
      </c>
      <c r="H42" s="206">
        <f t="shared" ref="H42" si="30">SUM(H37:H41)</f>
        <v>82381</v>
      </c>
      <c r="I42" s="203">
        <f t="shared" si="24"/>
        <v>0.72234254298666334</v>
      </c>
      <c r="J42" s="203">
        <f t="shared" si="25"/>
        <v>1.3806490055171381</v>
      </c>
      <c r="K42" s="204">
        <f t="shared" si="26"/>
        <v>136.8761523895073</v>
      </c>
      <c r="L42" s="204">
        <f t="shared" si="27"/>
        <v>2.7931197728490559E-4</v>
      </c>
    </row>
    <row r="43" spans="1:12" ht="15">
      <c r="A43" s="215" t="s">
        <v>77</v>
      </c>
      <c r="B43" s="75"/>
      <c r="C43" s="85"/>
      <c r="D43" s="86"/>
      <c r="E43" s="87"/>
      <c r="F43" s="87"/>
      <c r="G43" s="88"/>
      <c r="H43" s="89"/>
      <c r="I43" s="90"/>
      <c r="J43" s="91"/>
      <c r="K43" s="92"/>
      <c r="L43" s="92"/>
    </row>
    <row r="44" spans="1:12" ht="15">
      <c r="A44" s="213"/>
      <c r="B44" s="208" t="s">
        <v>51</v>
      </c>
      <c r="C44" s="93">
        <v>7</v>
      </c>
      <c r="D44" s="205">
        <f>SUMIFS(Table_MedicalGapAgreements[AmountCharged],Table_MedicalGapAgreements[Year],Selection!$E$14,Table_MedicalGapAgreements[MonthEnd],Selection!$E$15,Table_MedicalGapAgreements[State],"ACT",Table_MedicalGapAgreements[GapType],"Known gap agreement",Table_MedicalGapAgreements[MBSFeePercentage],"100% MBS Fee to 125% MBS Fee")</f>
        <v>72633.259999999995</v>
      </c>
      <c r="E44" s="205">
        <f>SUMIFS(Table_MedicalGapAgreements[MedicareBenefit],Table_MedicalGapAgreements[Year],Selection!$E$14,Table_MedicalGapAgreements[MonthEnd],Selection!$E$15,Table_MedicalGapAgreements[State],"ACT",Table_MedicalGapAgreements[GapType],"Known gap agreement",Table_MedicalGapAgreements[MBSFeePercentage],"100% MBS Fee to 125% MBS Fee")</f>
        <v>43525.47</v>
      </c>
      <c r="F44" s="205">
        <f>SUMIFS(Table_MedicalGapAgreements[FundBenefit],Table_MedicalGapAgreements[Year],Selection!$E$14,Table_MedicalGapAgreements[MonthEnd],Selection!$E$15,Table_MedicalGapAgreements[State],"ACT",Table_MedicalGapAgreements[GapType],"Known gap agreement",Table_MedicalGapAgreements[MBSFeePercentage],"100% MBS Fee to 125% MBS Fee")</f>
        <v>19480.830000000002</v>
      </c>
      <c r="G44" s="205">
        <f t="shared" ref="G44:G46" si="31">D44-E44-F44</f>
        <v>9626.9599999999919</v>
      </c>
      <c r="H44" s="182">
        <f>SUMIFS(Table_MedicalGapAgreements[NumberofServices],Table_MedicalGapAgreements[Year],Selection!$E$14,Table_MedicalGapAgreements[MonthEnd],Selection!$E$15,Table_MedicalGapAgreements[State],"ACT",Table_MedicalGapAgreements[GapType],"Known gap agreement",Table_MedicalGapAgreements[MBSFeePercentage],"100% MBS Fee to 125% MBS Fee")</f>
        <v>272</v>
      </c>
      <c r="I44" s="183">
        <f t="shared" ref="I44:I49" si="32">H44/H$58</f>
        <v>2.384981630380457E-3</v>
      </c>
      <c r="J44" s="183">
        <f t="shared" ref="J44:J49" si="33">D44/(E44/0.75)</f>
        <v>1.2515647734533366</v>
      </c>
      <c r="K44" s="207">
        <f t="shared" ref="K44:K49" si="34">D44/H44</f>
        <v>267.03404411764706</v>
      </c>
      <c r="L44" s="207">
        <f t="shared" ref="L44:L48" si="35">G44/H44</f>
        <v>35.393235294117616</v>
      </c>
    </row>
    <row r="45" spans="1:12" ht="15">
      <c r="A45" s="211"/>
      <c r="B45" s="208" t="s">
        <v>52</v>
      </c>
      <c r="C45" s="93">
        <v>8</v>
      </c>
      <c r="D45" s="205">
        <f>SUMIFS(Table_MedicalGapAgreements[AmountCharged],Table_MedicalGapAgreements[Year],Selection!$E$14,Table_MedicalGapAgreements[MonthEnd],Selection!$E$15,Table_MedicalGapAgreements[State],"ACT",Table_MedicalGapAgreements[GapType],"Known gap agreement",Table_MedicalGapAgreements[MBSFeePercentage],"More than 125% MBS Fee to 150% MBS Fee")</f>
        <v>231311.78</v>
      </c>
      <c r="E45" s="205">
        <f>SUMIFS(Table_MedicalGapAgreements[MedicareBenefit],Table_MedicalGapAgreements[Year],Selection!$E$14,Table_MedicalGapAgreements[MonthEnd],Selection!$E$15,Table_MedicalGapAgreements[State],"ACT",Table_MedicalGapAgreements[GapType],"Known gap agreement",Table_MedicalGapAgreements[MBSFeePercentage],"More than 125% MBS Fee to 150% MBS Fee")</f>
        <v>125692.43</v>
      </c>
      <c r="F45" s="205">
        <f>SUMIFS(Table_MedicalGapAgreements[FundBenefit],Table_MedicalGapAgreements[Year],Selection!$E$14,Table_MedicalGapAgreements[MonthEnd],Selection!$E$15,Table_MedicalGapAgreements[State],"ACT",Table_MedicalGapAgreements[GapType],"Known gap agreement",Table_MedicalGapAgreements[MBSFeePercentage],"More than 125% MBS Fee to 150% MBS Fee")</f>
        <v>84563.34</v>
      </c>
      <c r="G45" s="205">
        <f t="shared" si="31"/>
        <v>21056.010000000009</v>
      </c>
      <c r="H45" s="182">
        <f>SUMIFS(Table_MedicalGapAgreements[NumberofServices],Table_MedicalGapAgreements[Year],Selection!$E$14,Table_MedicalGapAgreements[MonthEnd],Selection!$E$15,Table_MedicalGapAgreements[State],"ACT",Table_MedicalGapAgreements[GapType],"Known gap agreement",Table_MedicalGapAgreements[MBSFeePercentage],"More than 125% MBS Fee to 150% MBS Fee")</f>
        <v>1055</v>
      </c>
      <c r="I45" s="183">
        <f t="shared" si="32"/>
        <v>9.2505721325418476E-3</v>
      </c>
      <c r="J45" s="183">
        <f t="shared" si="33"/>
        <v>1.3802250063905999</v>
      </c>
      <c r="K45" s="207">
        <f t="shared" si="34"/>
        <v>219.2528720379147</v>
      </c>
      <c r="L45" s="207">
        <f t="shared" si="35"/>
        <v>19.958303317535552</v>
      </c>
    </row>
    <row r="46" spans="1:12" ht="12.75">
      <c r="A46" s="212"/>
      <c r="B46" s="208" t="s">
        <v>53</v>
      </c>
      <c r="C46" s="94"/>
      <c r="D46" s="205">
        <f>SUMIFS(Table_MedicalGapAgreements[AmountCharged],Table_MedicalGapAgreements[Year],Selection!$E$14,Table_MedicalGapAgreements[MonthEnd],Selection!$E$15,Table_MedicalGapAgreements[State],"ACT",Table_MedicalGapAgreements[GapType],"Known gap agreement",Table_MedicalGapAgreements[MBSFeePercentage],"More than 150% MBS Fee to 200% MBS Fee")</f>
        <v>1162107.6499999999</v>
      </c>
      <c r="E46" s="205">
        <f>SUMIFS(Table_MedicalGapAgreements[MedicareBenefit],Table_MedicalGapAgreements[Year],Selection!$E$14,Table_MedicalGapAgreements[MonthEnd],Selection!$E$15,Table_MedicalGapAgreements[State],"ACT",Table_MedicalGapAgreements[GapType],"Known gap agreement",Table_MedicalGapAgreements[MBSFeePercentage],"More than 150% MBS Fee to 200% MBS Fee")</f>
        <v>485299.72</v>
      </c>
      <c r="F46" s="205">
        <f>SUMIFS(Table_MedicalGapAgreements[FundBenefit],Table_MedicalGapAgreements[Year],Selection!$E$14,Table_MedicalGapAgreements[MonthEnd],Selection!$E$15,Table_MedicalGapAgreements[State],"ACT",Table_MedicalGapAgreements[GapType],"Known gap agreement",Table_MedicalGapAgreements[MBSFeePercentage],"More than 150% MBS Fee to 200% MBS Fee")</f>
        <v>447073.29</v>
      </c>
      <c r="G46" s="205">
        <f t="shared" si="31"/>
        <v>229734.63999999996</v>
      </c>
      <c r="H46" s="182">
        <f>SUMIFS(Table_MedicalGapAgreements[NumberofServices],Table_MedicalGapAgreements[Year],Selection!$E$14,Table_MedicalGapAgreements[MonthEnd],Selection!$E$15,Table_MedicalGapAgreements[State],"ACT",Table_MedicalGapAgreements[GapType],"Known gap agreement",Table_MedicalGapAgreements[MBSFeePercentage],"More than 150% MBS Fee to 200% MBS Fee")</f>
        <v>1695</v>
      </c>
      <c r="I46" s="183">
        <f t="shared" si="32"/>
        <v>1.4862293615789982E-2</v>
      </c>
      <c r="J46" s="183">
        <f t="shared" si="33"/>
        <v>1.7959638169583116</v>
      </c>
      <c r="K46" s="207">
        <f t="shared" si="34"/>
        <v>685.60923303834807</v>
      </c>
      <c r="L46" s="207">
        <f t="shared" si="35"/>
        <v>135.53666076696163</v>
      </c>
    </row>
    <row r="47" spans="1:12" ht="15">
      <c r="A47" s="212"/>
      <c r="B47" s="208" t="s">
        <v>54</v>
      </c>
      <c r="C47" s="93">
        <v>9</v>
      </c>
      <c r="D47" s="205">
        <f>SUMIFS(Table_MedicalGapAgreements[AmountCharged],Table_MedicalGapAgreements[Year],Selection!$E$14,Table_MedicalGapAgreements[MonthEnd],Selection!$E$15,Table_MedicalGapAgreements[State],"ACT",Table_MedicalGapAgreements[GapType],"Known gap agreement",Table_MedicalGapAgreements[MBSFeePercentage],"More than 200% MBS Fee")</f>
        <v>4771919.8</v>
      </c>
      <c r="E47" s="205">
        <f>SUMIFS(Table_MedicalGapAgreements[MedicareBenefit],Table_MedicalGapAgreements[Year],Selection!$E$14,Table_MedicalGapAgreements[MonthEnd],Selection!$E$15,Table_MedicalGapAgreements[State],"ACT",Table_MedicalGapAgreements[GapType],"Known gap agreement",Table_MedicalGapAgreements[MBSFeePercentage],"More than 200% MBS Fee")</f>
        <v>1198934.9099999999</v>
      </c>
      <c r="F47" s="205">
        <f>SUMIFS(Table_MedicalGapAgreements[FundBenefit],Table_MedicalGapAgreements[Year],Selection!$E$14,Table_MedicalGapAgreements[MonthEnd],Selection!$E$15,Table_MedicalGapAgreements[State],"ACT",Table_MedicalGapAgreements[GapType],"Known gap agreement",Table_MedicalGapAgreements[MBSFeePercentage],"More than 200% MBS Fee")</f>
        <v>1196369.47</v>
      </c>
      <c r="G47" s="205">
        <f>D47-E47-F47</f>
        <v>2376615.42</v>
      </c>
      <c r="H47" s="182">
        <f>SUMIFS(Table_MedicalGapAgreements[NumberofServices],Table_MedicalGapAgreements[Year],Selection!$E$14,Table_MedicalGapAgreements[MonthEnd],Selection!$E$15,Table_MedicalGapAgreements[State],"ACT",Table_MedicalGapAgreements[GapType],"Known gap agreement",Table_MedicalGapAgreements[MBSFeePercentage],"More than 200% MBS Fee")</f>
        <v>14745</v>
      </c>
      <c r="I47" s="183">
        <f t="shared" si="32"/>
        <v>0.12928880198514647</v>
      </c>
      <c r="J47" s="183">
        <f t="shared" si="33"/>
        <v>2.9850993745773908</v>
      </c>
      <c r="K47" s="207">
        <f t="shared" si="34"/>
        <v>323.62969142082062</v>
      </c>
      <c r="L47" s="207">
        <f t="shared" si="35"/>
        <v>161.18110681586978</v>
      </c>
    </row>
    <row r="48" spans="1:12" ht="15">
      <c r="A48" s="214"/>
      <c r="B48" s="209" t="s">
        <v>0</v>
      </c>
      <c r="C48" s="95"/>
      <c r="D48" s="202">
        <f>SUM(D44:D47)</f>
        <v>6237972.4900000002</v>
      </c>
      <c r="E48" s="202">
        <f t="shared" ref="E48:H48" si="36">SUM(E44:E47)</f>
        <v>1853452.5299999998</v>
      </c>
      <c r="F48" s="202">
        <f t="shared" si="36"/>
        <v>1747486.93</v>
      </c>
      <c r="G48" s="202">
        <f t="shared" si="36"/>
        <v>2637033.0299999998</v>
      </c>
      <c r="H48" s="206">
        <f t="shared" si="36"/>
        <v>17767</v>
      </c>
      <c r="I48" s="203">
        <f t="shared" si="32"/>
        <v>0.15578664936385875</v>
      </c>
      <c r="J48" s="203">
        <f t="shared" si="33"/>
        <v>2.5241970278569803</v>
      </c>
      <c r="K48" s="204">
        <f t="shared" si="34"/>
        <v>351.09880621376709</v>
      </c>
      <c r="L48" s="204">
        <f t="shared" si="35"/>
        <v>148.42308943547025</v>
      </c>
    </row>
    <row r="49" spans="1:12" ht="15">
      <c r="A49" s="216" t="s">
        <v>78</v>
      </c>
      <c r="B49" s="216"/>
      <c r="C49" s="95">
        <v>10</v>
      </c>
      <c r="D49" s="202">
        <f>D48+D42</f>
        <v>17513966.800000001</v>
      </c>
      <c r="E49" s="202">
        <f t="shared" ref="E49:H49" si="37">E48+E42</f>
        <v>7978829.5800000001</v>
      </c>
      <c r="F49" s="202">
        <f t="shared" si="37"/>
        <v>6898081.1799999997</v>
      </c>
      <c r="G49" s="202">
        <f t="shared" si="37"/>
        <v>2637056.0400000005</v>
      </c>
      <c r="H49" s="206">
        <f t="shared" si="37"/>
        <v>100148</v>
      </c>
      <c r="I49" s="203">
        <f t="shared" si="32"/>
        <v>0.87812919235052211</v>
      </c>
      <c r="J49" s="203">
        <f t="shared" si="33"/>
        <v>1.6462909714133789</v>
      </c>
      <c r="K49" s="204">
        <f t="shared" si="34"/>
        <v>174.88084435036149</v>
      </c>
      <c r="L49" s="204">
        <f>G49/H49</f>
        <v>26.331589647321969</v>
      </c>
    </row>
    <row r="50" spans="1:12" ht="15">
      <c r="A50" s="210" t="s">
        <v>79</v>
      </c>
      <c r="B50" s="75"/>
      <c r="C50" s="96"/>
      <c r="D50" s="97"/>
      <c r="E50" s="97"/>
      <c r="F50" s="97"/>
      <c r="G50" s="98"/>
      <c r="H50" s="99"/>
      <c r="I50" s="100"/>
      <c r="J50" s="100"/>
      <c r="K50" s="101"/>
      <c r="L50" s="101"/>
    </row>
    <row r="51" spans="1:12" ht="15">
      <c r="A51" s="213"/>
      <c r="B51" s="208" t="s">
        <v>50</v>
      </c>
      <c r="C51" s="96">
        <v>22</v>
      </c>
      <c r="D51" s="205">
        <f>SUMIFS(Table_MedicalGapAgreements[AmountCharged],Table_MedicalGapAgreements[Year],Selection!$E$14,Table_MedicalGapAgreements[MonthEnd],Selection!$E$15,Table_MedicalGapAgreements[State],"ACT",Table_MedicalGapAgreements[GapType],"No agreement",Table_MedicalGapAgreements[MBSFeePercentage],"Up to MBS Fee")</f>
        <v>401282.46</v>
      </c>
      <c r="E51" s="205">
        <f>SUMIFS(Table_MedicalGapAgreements[MedicareBenefit],Table_MedicalGapAgreements[Year],Selection!$E$14,Table_MedicalGapAgreements[MonthEnd],Selection!$E$15,Table_MedicalGapAgreements[State],"ACT",Table_MedicalGapAgreements[GapType],"No agreement",Table_MedicalGapAgreements[MBSFeePercentage],"Up to MBS Fee")</f>
        <v>300748.81</v>
      </c>
      <c r="F51" s="205">
        <f>SUMIFS(Table_MedicalGapAgreements[FundBenefit],Table_MedicalGapAgreements[Year],Selection!$E$14,Table_MedicalGapAgreements[MonthEnd],Selection!$E$15,Table_MedicalGapAgreements[State],"ACT",Table_MedicalGapAgreements[GapType],"No agreement",Table_MedicalGapAgreements[MBSFeePercentage],"Up to MBS Fee")</f>
        <v>99272.3</v>
      </c>
      <c r="G51" s="205">
        <f>D51-E51-F51</f>
        <v>1261.3500000000204</v>
      </c>
      <c r="H51" s="182">
        <f>SUMIFS(Table_MedicalGapAgreements[NumberofServices],Table_MedicalGapAgreements[Year],Selection!$E$14,Table_MedicalGapAgreements[MonthEnd],Selection!$E$15,Table_MedicalGapAgreements[State],"ACT",Table_MedicalGapAgreements[GapType],"No agreement",Table_MedicalGapAgreements[MBSFeePercentage],"Up to MBS Fee")</f>
        <v>4237</v>
      </c>
      <c r="I51" s="183">
        <f t="shared" ref="I51:I56" si="38">H51/H$58</f>
        <v>3.7151349882066163E-2</v>
      </c>
      <c r="J51" s="183">
        <f t="shared" ref="J51:J56" si="39">D51/(E51/0.75)</f>
        <v>1.0007083486049373</v>
      </c>
      <c r="K51" s="207">
        <f t="shared" ref="K51:K56" si="40">D51/H51</f>
        <v>94.709100778852971</v>
      </c>
      <c r="L51" s="207">
        <f t="shared" ref="L51:L56" si="41">G51/H51</f>
        <v>0.29769884352136428</v>
      </c>
    </row>
    <row r="52" spans="1:12" ht="15">
      <c r="A52" s="211"/>
      <c r="B52" s="208" t="s">
        <v>51</v>
      </c>
      <c r="C52" s="96">
        <v>23</v>
      </c>
      <c r="D52" s="205">
        <f>SUMIFS(Table_MedicalGapAgreements[AmountCharged],Table_MedicalGapAgreements[Year],Selection!$E$14,Table_MedicalGapAgreements[MonthEnd],Selection!$E$15,Table_MedicalGapAgreements[State],"ACT",Table_MedicalGapAgreements[GapType],"No agreement",Table_MedicalGapAgreements[MBSFeePercentage],"100% MBS Fee to 125% MBS Fee")</f>
        <v>33359.620000000003</v>
      </c>
      <c r="E52" s="205">
        <f>SUMIFS(Table_MedicalGapAgreements[MedicareBenefit],Table_MedicalGapAgreements[Year],Selection!$E$14,Table_MedicalGapAgreements[MonthEnd],Selection!$E$15,Table_MedicalGapAgreements[State],"ACT",Table_MedicalGapAgreements[GapType],"No agreement",Table_MedicalGapAgreements[MBSFeePercentage],"100% MBS Fee to 125% MBS Fee")</f>
        <v>22700.31</v>
      </c>
      <c r="F52" s="205">
        <f>SUMIFS(Table_MedicalGapAgreements[FundBenefit],Table_MedicalGapAgreements[Year],Selection!$E$14,Table_MedicalGapAgreements[MonthEnd],Selection!$E$15,Table_MedicalGapAgreements[State],"ACT",Table_MedicalGapAgreements[GapType],"No agreement",Table_MedicalGapAgreements[MBSFeePercentage],"100% MBS Fee to 125% MBS Fee")</f>
        <v>7303.12</v>
      </c>
      <c r="G52" s="205">
        <f t="shared" ref="G52:G55" si="42">D52-E52-F52</f>
        <v>3356.1900000000014</v>
      </c>
      <c r="H52" s="182">
        <f>SUMIFS(Table_MedicalGapAgreements[NumberofServices],Table_MedicalGapAgreements[Year],Selection!$E$14,Table_MedicalGapAgreements[MonthEnd],Selection!$E$15,Table_MedicalGapAgreements[State],"ACT",Table_MedicalGapAgreements[GapType],"No agreement",Table_MedicalGapAgreements[MBSFeePercentage],"100% MBS Fee to 125% MBS Fee")</f>
        <v>113</v>
      </c>
      <c r="I52" s="183">
        <f t="shared" si="38"/>
        <v>9.9081957438599882E-4</v>
      </c>
      <c r="J52" s="183">
        <f t="shared" si="39"/>
        <v>1.1021750363761553</v>
      </c>
      <c r="K52" s="207">
        <f t="shared" si="40"/>
        <v>295.21787610619469</v>
      </c>
      <c r="L52" s="207">
        <f t="shared" si="41"/>
        <v>29.700796460177003</v>
      </c>
    </row>
    <row r="53" spans="1:12" ht="12.75">
      <c r="A53" s="212"/>
      <c r="B53" s="208" t="s">
        <v>52</v>
      </c>
      <c r="C53" s="102">
        <v>24</v>
      </c>
      <c r="D53" s="205">
        <f>SUMIFS(Table_MedicalGapAgreements[AmountCharged],Table_MedicalGapAgreements[Year],Selection!$E$14,Table_MedicalGapAgreements[MonthEnd],Selection!$E$15,Table_MedicalGapAgreements[State],"ACT",Table_MedicalGapAgreements[GapType],"No agreement",Table_MedicalGapAgreements[MBSFeePercentage],"More than 125% MBS Fee to 150% MBS Fee")</f>
        <v>65397.36</v>
      </c>
      <c r="E53" s="205">
        <f>SUMIFS(Table_MedicalGapAgreements[MedicareBenefit],Table_MedicalGapAgreements[Year],Selection!$E$14,Table_MedicalGapAgreements[MonthEnd],Selection!$E$15,Table_MedicalGapAgreements[State],"ACT",Table_MedicalGapAgreements[GapType],"No agreement",Table_MedicalGapAgreements[MBSFeePercentage],"More than 125% MBS Fee to 150% MBS Fee")</f>
        <v>34553.57</v>
      </c>
      <c r="F53" s="205">
        <f>SUMIFS(Table_MedicalGapAgreements[FundBenefit],Table_MedicalGapAgreements[Year],Selection!$E$14,Table_MedicalGapAgreements[MonthEnd],Selection!$E$15,Table_MedicalGapAgreements[State],"ACT",Table_MedicalGapAgreements[GapType],"No agreement",Table_MedicalGapAgreements[MBSFeePercentage],"More than 125% MBS Fee to 150% MBS Fee")</f>
        <v>11551.21</v>
      </c>
      <c r="G53" s="205">
        <f t="shared" si="42"/>
        <v>19292.580000000002</v>
      </c>
      <c r="H53" s="182">
        <f>SUMIFS(Table_MedicalGapAgreements[NumberofServices],Table_MedicalGapAgreements[Year],Selection!$E$14,Table_MedicalGapAgreements[MonthEnd],Selection!$E$15,Table_MedicalGapAgreements[State],"ACT",Table_MedicalGapAgreements[GapType],"No agreement",Table_MedicalGapAgreements[MBSFeePercentage],"More than 125% MBS Fee to 150% MBS Fee")</f>
        <v>95</v>
      </c>
      <c r="I53" s="183">
        <f t="shared" si="38"/>
        <v>8.3298990766964497E-4</v>
      </c>
      <c r="J53" s="183">
        <f t="shared" si="39"/>
        <v>1.419477640081763</v>
      </c>
      <c r="K53" s="207">
        <f t="shared" si="40"/>
        <v>688.39326315789469</v>
      </c>
      <c r="L53" s="207">
        <f t="shared" si="41"/>
        <v>203.07978947368423</v>
      </c>
    </row>
    <row r="54" spans="1:12" ht="12.75">
      <c r="A54" s="212"/>
      <c r="B54" s="208" t="s">
        <v>53</v>
      </c>
      <c r="C54" s="102">
        <v>25</v>
      </c>
      <c r="D54" s="205">
        <f>SUMIFS(Table_MedicalGapAgreements[AmountCharged],Table_MedicalGapAgreements[Year],Selection!$E$14,Table_MedicalGapAgreements[MonthEnd],Selection!$E$15,Table_MedicalGapAgreements[State],"ACT",Table_MedicalGapAgreements[GapType],"No agreement",Table_MedicalGapAgreements[MBSFeePercentage],"More than 150% MBS Fee to 200% MBS Fee")</f>
        <v>462928.52</v>
      </c>
      <c r="E54" s="205">
        <f>SUMIFS(Table_MedicalGapAgreements[MedicareBenefit],Table_MedicalGapAgreements[Year],Selection!$E$14,Table_MedicalGapAgreements[MonthEnd],Selection!$E$15,Table_MedicalGapAgreements[State],"ACT",Table_MedicalGapAgreements[GapType],"No agreement",Table_MedicalGapAgreements[MBSFeePercentage],"More than 150% MBS Fee to 200% MBS Fee")</f>
        <v>197718.71</v>
      </c>
      <c r="F54" s="205">
        <f>SUMIFS(Table_MedicalGapAgreements[FundBenefit],Table_MedicalGapAgreements[Year],Selection!$E$14,Table_MedicalGapAgreements[MonthEnd],Selection!$E$15,Table_MedicalGapAgreements[State],"ACT",Table_MedicalGapAgreements[GapType],"No agreement",Table_MedicalGapAgreements[MBSFeePercentage],"More than 150% MBS Fee to 200% MBS Fee")</f>
        <v>65735.53</v>
      </c>
      <c r="G54" s="205">
        <f t="shared" si="42"/>
        <v>199474.28000000006</v>
      </c>
      <c r="H54" s="182">
        <f>SUMIFS(Table_MedicalGapAgreements[NumberofServices],Table_MedicalGapAgreements[Year],Selection!$E$14,Table_MedicalGapAgreements[MonthEnd],Selection!$E$15,Table_MedicalGapAgreements[State],"ACT",Table_MedicalGapAgreements[GapType],"No agreement",Table_MedicalGapAgreements[MBSFeePercentage],"More than 150% MBS Fee to 200% MBS Fee")</f>
        <v>1169</v>
      </c>
      <c r="I54" s="183">
        <f t="shared" si="38"/>
        <v>1.0250160021745421E-2</v>
      </c>
      <c r="J54" s="183">
        <f t="shared" si="39"/>
        <v>1.7560118109206764</v>
      </c>
      <c r="K54" s="207">
        <f t="shared" si="40"/>
        <v>396.00386655260911</v>
      </c>
      <c r="L54" s="207">
        <f t="shared" si="41"/>
        <v>170.63668092386661</v>
      </c>
    </row>
    <row r="55" spans="1:12" ht="12.75">
      <c r="A55" s="212"/>
      <c r="B55" s="208" t="s">
        <v>54</v>
      </c>
      <c r="C55" s="102">
        <v>26</v>
      </c>
      <c r="D55" s="205">
        <f>SUMIFS(Table_MedicalGapAgreements[AmountCharged],Table_MedicalGapAgreements[Year],Selection!$E$14,Table_MedicalGapAgreements[MonthEnd],Selection!$E$15,Table_MedicalGapAgreements[State],"ACT",Table_MedicalGapAgreements[GapType],"No agreement",Table_MedicalGapAgreements[MBSFeePercentage],"More than 200% MBS Fee")</f>
        <v>11688586.32</v>
      </c>
      <c r="E55" s="205">
        <f>SUMIFS(Table_MedicalGapAgreements[MedicareBenefit],Table_MedicalGapAgreements[Year],Selection!$E$14,Table_MedicalGapAgreements[MonthEnd],Selection!$E$15,Table_MedicalGapAgreements[State],"ACT",Table_MedicalGapAgreements[GapType],"No agreement",Table_MedicalGapAgreements[MBSFeePercentage],"More than 200% MBS Fee")</f>
        <v>2372169.19</v>
      </c>
      <c r="F55" s="205">
        <f>SUMIFS(Table_MedicalGapAgreements[FundBenefit],Table_MedicalGapAgreements[Year],Selection!$E$14,Table_MedicalGapAgreements[MonthEnd],Selection!$E$15,Table_MedicalGapAgreements[State],"ACT",Table_MedicalGapAgreements[GapType],"No agreement",Table_MedicalGapAgreements[MBSFeePercentage],"More than 200% MBS Fee")</f>
        <v>788284.99</v>
      </c>
      <c r="G55" s="205">
        <f t="shared" si="42"/>
        <v>8528132.1400000006</v>
      </c>
      <c r="H55" s="182">
        <f>SUMIFS(Table_MedicalGapAgreements[NumberofServices],Table_MedicalGapAgreements[Year],Selection!$E$14,Table_MedicalGapAgreements[MonthEnd],Selection!$E$15,Table_MedicalGapAgreements[State],"ACT",Table_MedicalGapAgreements[GapType],"No agreement",Table_MedicalGapAgreements[MBSFeePercentage],"More than 200% MBS Fee")</f>
        <v>8285</v>
      </c>
      <c r="I55" s="183">
        <f t="shared" si="38"/>
        <v>7.2645488263610614E-2</v>
      </c>
      <c r="J55" s="183">
        <f t="shared" si="39"/>
        <v>3.6955373069321418</v>
      </c>
      <c r="K55" s="207">
        <f t="shared" si="40"/>
        <v>1410.813074230537</v>
      </c>
      <c r="L55" s="207">
        <f t="shared" si="41"/>
        <v>1029.346063971032</v>
      </c>
    </row>
    <row r="56" spans="1:12" ht="15">
      <c r="A56" s="214" t="s">
        <v>85</v>
      </c>
      <c r="B56" s="209"/>
      <c r="C56" s="104">
        <v>27</v>
      </c>
      <c r="D56" s="202">
        <f>SUM(D51:D55)</f>
        <v>12651554.280000001</v>
      </c>
      <c r="E56" s="202">
        <f t="shared" ref="E56:H56" si="43">SUM(E51:E55)</f>
        <v>2927890.59</v>
      </c>
      <c r="F56" s="202">
        <f t="shared" si="43"/>
        <v>972147.15</v>
      </c>
      <c r="G56" s="202">
        <f t="shared" si="43"/>
        <v>8751516.540000001</v>
      </c>
      <c r="H56" s="206">
        <f t="shared" si="43"/>
        <v>13899</v>
      </c>
      <c r="I56" s="203">
        <f t="shared" si="38"/>
        <v>0.12187080764947784</v>
      </c>
      <c r="J56" s="203">
        <f t="shared" si="39"/>
        <v>3.2407856162412139</v>
      </c>
      <c r="K56" s="204">
        <f t="shared" si="40"/>
        <v>910.24924670839641</v>
      </c>
      <c r="L56" s="204">
        <f t="shared" si="41"/>
        <v>629.65080509389168</v>
      </c>
    </row>
    <row r="57" spans="1:12" ht="15">
      <c r="A57" s="102"/>
      <c r="B57" s="102"/>
      <c r="C57" s="96"/>
      <c r="D57" s="97"/>
      <c r="E57" s="97"/>
      <c r="F57" s="97"/>
      <c r="G57" s="98"/>
      <c r="H57" s="99"/>
      <c r="I57" s="100"/>
      <c r="J57" s="100"/>
      <c r="K57" s="101"/>
      <c r="L57" s="101"/>
    </row>
    <row r="58" spans="1:12" ht="15">
      <c r="A58" s="217" t="s">
        <v>80</v>
      </c>
      <c r="B58" s="217"/>
      <c r="C58" s="104"/>
      <c r="D58" s="202">
        <f>D49+D56</f>
        <v>30165521.080000002</v>
      </c>
      <c r="E58" s="202">
        <f t="shared" ref="E58:H58" si="44">E49+E56</f>
        <v>10906720.17</v>
      </c>
      <c r="F58" s="202">
        <f t="shared" si="44"/>
        <v>7870228.3300000001</v>
      </c>
      <c r="G58" s="202">
        <f t="shared" si="44"/>
        <v>11388572.580000002</v>
      </c>
      <c r="H58" s="206">
        <f t="shared" si="44"/>
        <v>114047</v>
      </c>
      <c r="I58" s="203">
        <f>H58/H$58</f>
        <v>1</v>
      </c>
      <c r="J58" s="203">
        <f>D58/(E58/0.75)</f>
        <v>2.0743303630572565</v>
      </c>
      <c r="K58" s="204">
        <f>D58/H58</f>
        <v>264.5007854656414</v>
      </c>
      <c r="L58" s="204">
        <f>G58/H58</f>
        <v>99.858589704244764</v>
      </c>
    </row>
    <row r="59" spans="1:12" ht="15">
      <c r="A59" s="214" t="s">
        <v>81</v>
      </c>
      <c r="B59" s="214"/>
      <c r="C59" s="104"/>
      <c r="D59" s="202">
        <f>D42+D51</f>
        <v>11677276.770000001</v>
      </c>
      <c r="E59" s="202">
        <f t="shared" ref="E59:H59" si="45">E42+E51</f>
        <v>6426125.8599999994</v>
      </c>
      <c r="F59" s="202">
        <f t="shared" si="45"/>
        <v>5249866.55</v>
      </c>
      <c r="G59" s="202">
        <f t="shared" si="45"/>
        <v>1284.3600000007282</v>
      </c>
      <c r="H59" s="206">
        <f t="shared" si="45"/>
        <v>86618</v>
      </c>
      <c r="I59" s="203">
        <f>H59/H$58</f>
        <v>0.75949389286872959</v>
      </c>
      <c r="J59" s="203">
        <f>D59/(E59/0.75)</f>
        <v>1.3628674209471525</v>
      </c>
      <c r="K59" s="204">
        <f>D59/H59</f>
        <v>134.81351185665798</v>
      </c>
      <c r="L59" s="204">
        <f>G59/H59</f>
        <v>1.4827864877978344E-2</v>
      </c>
    </row>
    <row r="60" spans="1:12" ht="15">
      <c r="A60" s="214" t="s">
        <v>82</v>
      </c>
      <c r="B60" s="214"/>
      <c r="C60" s="104"/>
      <c r="D60" s="202">
        <f>D49+D51</f>
        <v>17915249.260000002</v>
      </c>
      <c r="E60" s="202">
        <f t="shared" ref="E60:H60" si="46">E49+E51</f>
        <v>8279578.3899999997</v>
      </c>
      <c r="F60" s="202">
        <f t="shared" si="46"/>
        <v>6997353.4799999995</v>
      </c>
      <c r="G60" s="202">
        <f t="shared" si="46"/>
        <v>2638317.3900000006</v>
      </c>
      <c r="H60" s="206">
        <f t="shared" si="46"/>
        <v>104385</v>
      </c>
      <c r="I60" s="203">
        <f>H60/H$58</f>
        <v>0.91528054223258837</v>
      </c>
      <c r="J60" s="203">
        <f>D60/(E60/0.75)</f>
        <v>1.6228407187047602</v>
      </c>
      <c r="K60" s="204">
        <f>D60/H60</f>
        <v>171.62666340949372</v>
      </c>
      <c r="L60" s="204">
        <f>G60/H60</f>
        <v>25.274870814772243</v>
      </c>
    </row>
    <row r="61" spans="1:12" ht="15">
      <c r="A61" s="214" t="s">
        <v>83</v>
      </c>
      <c r="B61" s="214"/>
      <c r="C61" s="104"/>
      <c r="D61" s="202">
        <f>D56-D51</f>
        <v>12250271.82</v>
      </c>
      <c r="E61" s="202">
        <f t="shared" ref="E61:H61" si="47">E56-E51</f>
        <v>2627141.7799999998</v>
      </c>
      <c r="F61" s="202">
        <f t="shared" si="47"/>
        <v>872874.85</v>
      </c>
      <c r="G61" s="202">
        <f t="shared" si="47"/>
        <v>8750255.1900000013</v>
      </c>
      <c r="H61" s="206">
        <f t="shared" si="47"/>
        <v>9662</v>
      </c>
      <c r="I61" s="203">
        <f>H61/H$58</f>
        <v>8.4719457767411688E-2</v>
      </c>
      <c r="J61" s="203">
        <f>D61/(E61/0.75)</f>
        <v>3.4972242209935089</v>
      </c>
      <c r="K61" s="204">
        <f>D61/H61</f>
        <v>1267.8815793831504</v>
      </c>
      <c r="L61" s="204">
        <f>G61/H61</f>
        <v>905.63601635272209</v>
      </c>
    </row>
  </sheetData>
  <mergeCells count="2">
    <mergeCell ref="A1:L1"/>
    <mergeCell ref="A2:L2"/>
  </mergeCells>
  <pageMargins left="0.70866141732283472" right="0.70866141732283472" top="0.74803149606299213" bottom="0.74803149606299213" header="0.31496062992125984" footer="0.31496062992125984"/>
  <pageSetup paperSize="9" scale="61" orientation="portrait" r:id="rId1"/>
  <headerFooter>
    <oddFooter>&amp;LAustralian Prudential Regulation Authority&amp;R&amp;P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C92E-8089-4C7F-A9B2-EC20BA81A6FA}">
  <sheetPr>
    <pageSetUpPr fitToPage="1"/>
  </sheetPr>
  <dimension ref="A1:I15"/>
  <sheetViews>
    <sheetView topLeftCell="A3" zoomScaleNormal="100" zoomScaleSheetLayoutView="100" workbookViewId="0">
      <selection activeCell="E24" sqref="E24"/>
    </sheetView>
  </sheetViews>
  <sheetFormatPr defaultRowHeight="12.75"/>
  <cols>
    <col min="1" max="3" width="8.4375" style="22" customWidth="1"/>
    <col min="4" max="4" width="8.8125" style="22" bestFit="1" customWidth="1"/>
    <col min="5" max="5" width="6.75" style="22" bestFit="1" customWidth="1"/>
    <col min="6" max="14" width="8.4375" style="22" customWidth="1"/>
    <col min="15" max="15" width="23.4375" style="22" customWidth="1"/>
    <col min="16" max="19" width="23.4375" style="22" bestFit="1" customWidth="1"/>
    <col min="20" max="20" width="23.4375" style="22" customWidth="1"/>
    <col min="21" max="29" width="23.4375" style="22" bestFit="1" customWidth="1"/>
    <col min="30" max="30" width="23.4375" style="22" customWidth="1"/>
    <col min="31" max="40" width="23.4375" style="22" bestFit="1" customWidth="1"/>
    <col min="41" max="41" width="26.625" style="22" bestFit="1" customWidth="1"/>
    <col min="42" max="42" width="26.8125" style="22" bestFit="1" customWidth="1"/>
    <col min="43" max="43" width="23.0625" style="22" customWidth="1"/>
    <col min="44" max="44" width="15.9375" style="22" customWidth="1"/>
    <col min="45" max="46" width="28.5" style="22" bestFit="1" customWidth="1"/>
    <col min="47" max="16384" width="9" style="22"/>
  </cols>
  <sheetData>
    <row r="1" spans="1:9" s="130" customFormat="1" ht="13.9">
      <c r="A1" s="129"/>
    </row>
    <row r="2" spans="1:9" s="130" customFormat="1" ht="13.9">
      <c r="A2" s="129"/>
    </row>
    <row r="3" spans="1:9" s="130" customFormat="1" ht="13.9">
      <c r="A3" s="129"/>
    </row>
    <row r="4" spans="1:9" s="130" customFormat="1" ht="13.9">
      <c r="A4" s="129"/>
    </row>
    <row r="5" spans="1:9" s="130" customFormat="1" ht="13.9">
      <c r="A5" s="129"/>
    </row>
    <row r="9" spans="1:9" ht="30" thickBot="1">
      <c r="D9" s="131" t="s">
        <v>140</v>
      </c>
    </row>
    <row r="10" spans="1:9">
      <c r="B10" s="132"/>
      <c r="C10" s="133"/>
      <c r="D10" s="133"/>
      <c r="E10" s="133"/>
      <c r="F10" s="133"/>
      <c r="G10" s="133"/>
      <c r="H10" s="133"/>
      <c r="I10" s="134"/>
    </row>
    <row r="11" spans="1:9" ht="25.15">
      <c r="B11" s="135"/>
      <c r="C11" s="225" t="s">
        <v>141</v>
      </c>
      <c r="D11" s="225"/>
      <c r="E11" s="225"/>
      <c r="F11" s="225"/>
      <c r="G11" s="225"/>
      <c r="H11" s="225"/>
      <c r="I11" s="136"/>
    </row>
    <row r="12" spans="1:9" ht="13.15" thickBot="1">
      <c r="B12" s="137"/>
      <c r="C12" s="138"/>
      <c r="D12" s="138"/>
      <c r="E12" s="138"/>
      <c r="F12" s="138"/>
      <c r="G12" s="138"/>
      <c r="H12" s="138"/>
      <c r="I12" s="139"/>
    </row>
    <row r="14" spans="1:9" ht="13.5">
      <c r="D14" s="221" t="s">
        <v>122</v>
      </c>
      <c r="E14" s="222">
        <v>2024</v>
      </c>
    </row>
    <row r="15" spans="1:9" ht="13.5">
      <c r="D15" s="221" t="s">
        <v>123</v>
      </c>
      <c r="E15" t="s">
        <v>131</v>
      </c>
    </row>
  </sheetData>
  <mergeCells count="1">
    <mergeCell ref="C11:H11"/>
  </mergeCells>
  <pageMargins left="0.70866141732283472" right="0.70866141732283472" top="0.74803149606299213" bottom="0.74803149606299213" header="0.31496062992125984" footer="0.31496062992125984"/>
  <pageSetup paperSize="9" scale="69" orientation="portrait" errors="blank"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E28DA-000D-4422-BBD3-A5E32B8CCF36}">
  <sheetPr>
    <pageSetUpPr fitToPage="1"/>
  </sheetPr>
  <dimension ref="A1:M31"/>
  <sheetViews>
    <sheetView showGridLines="0" zoomScaleNormal="100" zoomScaleSheetLayoutView="100" workbookViewId="0">
      <selection sqref="A1:L1"/>
    </sheetView>
  </sheetViews>
  <sheetFormatPr defaultColWidth="8.5625" defaultRowHeight="10.15"/>
  <cols>
    <col min="1" max="1" width="7.375" style="109" customWidth="1"/>
    <col min="2" max="2" width="24.75" style="109" customWidth="1"/>
    <col min="3" max="3" width="3.5" style="109" hidden="1" customWidth="1"/>
    <col min="4" max="7" width="11.375" style="110" customWidth="1"/>
    <col min="8" max="8" width="10.0625" style="64" customWidth="1"/>
    <col min="9" max="9" width="9.9375" style="65" customWidth="1"/>
    <col min="10" max="10" width="10.5625" style="65" customWidth="1"/>
    <col min="11" max="11" width="9.625" style="109" customWidth="1"/>
    <col min="12" max="12" width="9.75" style="111" customWidth="1"/>
    <col min="13" max="16384" width="8.5625" style="109"/>
  </cols>
  <sheetData>
    <row r="1" spans="1:13" ht="29.25" customHeight="1">
      <c r="A1" s="232" t="s">
        <v>71</v>
      </c>
      <c r="B1" s="232"/>
      <c r="C1" s="232"/>
      <c r="D1" s="232"/>
      <c r="E1" s="232"/>
      <c r="F1" s="232"/>
      <c r="G1" s="232"/>
      <c r="H1" s="232"/>
      <c r="I1" s="232"/>
      <c r="J1" s="232"/>
      <c r="K1" s="232"/>
      <c r="L1" s="232"/>
    </row>
    <row r="2" spans="1:13" ht="17.25" customHeight="1">
      <c r="A2" s="234"/>
      <c r="B2" s="234"/>
      <c r="C2" s="234"/>
      <c r="D2" s="234"/>
      <c r="E2" s="234"/>
      <c r="F2" s="234"/>
      <c r="G2" s="234"/>
      <c r="H2" s="234"/>
      <c r="I2" s="234"/>
      <c r="J2" s="234"/>
      <c r="K2" s="234"/>
      <c r="L2" s="234"/>
    </row>
    <row r="3" spans="1:13" ht="13.15">
      <c r="A3" s="174" t="s">
        <v>92</v>
      </c>
      <c r="B3" s="174"/>
      <c r="C3" s="32" t="s">
        <v>20</v>
      </c>
      <c r="D3" s="63"/>
      <c r="E3" s="63"/>
      <c r="F3" s="63"/>
      <c r="G3" s="63"/>
      <c r="J3" s="174" t="str">
        <f>Selection!E15&amp;" "&amp;Selection!E14</f>
        <v>Dec 2024</v>
      </c>
      <c r="K3" s="174"/>
      <c r="L3" s="66"/>
    </row>
    <row r="4" spans="1:13" s="70" customFormat="1" ht="39.4">
      <c r="A4" s="67"/>
      <c r="B4" s="68"/>
      <c r="C4" s="69"/>
      <c r="D4" s="200" t="s">
        <v>41</v>
      </c>
      <c r="E4" s="200" t="s">
        <v>42</v>
      </c>
      <c r="F4" s="200" t="s">
        <v>43</v>
      </c>
      <c r="G4" s="200" t="s">
        <v>44</v>
      </c>
      <c r="H4" s="200" t="s">
        <v>73</v>
      </c>
      <c r="I4" s="200" t="s">
        <v>46</v>
      </c>
      <c r="J4" s="200" t="s">
        <v>74</v>
      </c>
      <c r="K4" s="200" t="s">
        <v>48</v>
      </c>
      <c r="L4" s="200" t="s">
        <v>49</v>
      </c>
      <c r="M4" s="108"/>
    </row>
    <row r="5" spans="1:13" ht="14.1" customHeight="1">
      <c r="A5" s="180" t="s">
        <v>75</v>
      </c>
      <c r="B5" s="71"/>
      <c r="C5" s="72">
        <v>0</v>
      </c>
      <c r="D5" s="73"/>
      <c r="E5" s="74"/>
      <c r="F5" s="74"/>
      <c r="G5" s="74"/>
      <c r="H5" s="74"/>
      <c r="I5" s="74"/>
      <c r="J5" s="74"/>
      <c r="K5" s="74"/>
      <c r="L5" s="74"/>
    </row>
    <row r="6" spans="1:13" ht="17.100000000000001" customHeight="1">
      <c r="A6" s="210" t="s">
        <v>76</v>
      </c>
      <c r="B6" s="75"/>
      <c r="C6" s="72">
        <v>1</v>
      </c>
      <c r="D6" s="76"/>
      <c r="E6" s="77"/>
      <c r="F6" s="77"/>
      <c r="G6" s="77"/>
      <c r="H6" s="77"/>
      <c r="I6" s="77"/>
      <c r="J6" s="77"/>
      <c r="K6" s="77"/>
      <c r="L6" s="77"/>
    </row>
    <row r="7" spans="1:13" ht="14.1" customHeight="1">
      <c r="A7" s="213"/>
      <c r="B7" s="208" t="s">
        <v>50</v>
      </c>
      <c r="C7" s="79">
        <v>2</v>
      </c>
      <c r="D7" s="205">
        <f>SUMIFS(Table_MedicalGapAgreements[AmountCharged],Table_MedicalGapAgreements[Year],Selection!$E$14,Table_MedicalGapAgreements[MonthEnd],Selection!$E$15,Table_MedicalGapAgreements[State],"NT",Table_MedicalGapAgreements[GapType],"No gap agreement",Table_MedicalGapAgreements[MBSFeePercentage],"Up to MBS Fee")</f>
        <v>242162.22</v>
      </c>
      <c r="E7" s="205">
        <f>SUMIFS(Table_MedicalGapAgreements[MedicareBenefit],Table_MedicalGapAgreements[Year],Selection!$E$14,Table_MedicalGapAgreements[MonthEnd],Selection!$E$15,Table_MedicalGapAgreements[State],"NT",Table_MedicalGapAgreements[GapType],"No gap agreement",Table_MedicalGapAgreements[MBSFeePercentage],"Up to MBS Fee")</f>
        <v>181928.05</v>
      </c>
      <c r="F7" s="205">
        <f>SUMIFS(Table_MedicalGapAgreements[FundBenefit],Table_MedicalGapAgreements[Year],Selection!$E$14,Table_MedicalGapAgreements[MonthEnd],Selection!$E$15,Table_MedicalGapAgreements[State],"NT",Table_MedicalGapAgreements[GapType],"No gap agreement",Table_MedicalGapAgreements[MBSFeePercentage],"Up to MBS Fee")</f>
        <v>60234.17</v>
      </c>
      <c r="G7" s="205">
        <f>D7-E7-F7</f>
        <v>0</v>
      </c>
      <c r="H7" s="182">
        <f>SUMIFS(Table_MedicalGapAgreements[NumberofServices],Table_MedicalGapAgreements[Year],Selection!$E$14,Table_MedicalGapAgreements[MonthEnd],Selection!$E$15,Table_MedicalGapAgreements[State],"NT",Table_MedicalGapAgreements[GapType],"No gap agreement",Table_MedicalGapAgreements[MBSFeePercentage],"Up to MBS Fee")</f>
        <v>3810</v>
      </c>
      <c r="I7" s="183">
        <f t="shared" ref="I7:I12" si="0">H7/H$28</f>
        <v>0.11500150920615757</v>
      </c>
      <c r="J7" s="183">
        <f t="shared" ref="J7:J12" si="1">D7/(E7/0.75)</f>
        <v>0.99831590015943128</v>
      </c>
      <c r="K7" s="207">
        <f t="shared" ref="K7:K12" si="2">D7/H7</f>
        <v>63.559637795275592</v>
      </c>
      <c r="L7" s="207">
        <f t="shared" ref="L7:L12" si="3">G7/H7</f>
        <v>0</v>
      </c>
    </row>
    <row r="8" spans="1:13" ht="14.1" customHeight="1">
      <c r="A8" s="211"/>
      <c r="B8" s="208" t="s">
        <v>51</v>
      </c>
      <c r="C8" s="79">
        <v>3</v>
      </c>
      <c r="D8" s="205">
        <f>SUMIFS(Table_MedicalGapAgreements[AmountCharged],Table_MedicalGapAgreements[Year],Selection!$E$14,Table_MedicalGapAgreements[MonthEnd],Selection!$E$15,Table_MedicalGapAgreements[State],"NT",Table_MedicalGapAgreements[GapType],"No gap agreement",Table_MedicalGapAgreements[MBSFeePercentage],"100% MBS Fee to 125% MBS Fee")</f>
        <v>607088.18000000005</v>
      </c>
      <c r="E8" s="205">
        <f>SUMIFS(Table_MedicalGapAgreements[MedicareBenefit],Table_MedicalGapAgreements[Year],Selection!$E$14,Table_MedicalGapAgreements[MonthEnd],Selection!$E$15,Table_MedicalGapAgreements[State],"NT",Table_MedicalGapAgreements[GapType],"No gap agreement",Table_MedicalGapAgreements[MBSFeePercentage],"100% MBS Fee to 125% MBS Fee")</f>
        <v>385337.35</v>
      </c>
      <c r="F8" s="205">
        <f>SUMIFS(Table_MedicalGapAgreements[FundBenefit],Table_MedicalGapAgreements[Year],Selection!$E$14,Table_MedicalGapAgreements[MonthEnd],Selection!$E$15,Table_MedicalGapAgreements[State],"NT",Table_MedicalGapAgreements[GapType],"No gap agreement",Table_MedicalGapAgreements[MBSFeePercentage],"100% MBS Fee to 125% MBS Fee")</f>
        <v>221748.21</v>
      </c>
      <c r="G8" s="205">
        <f t="shared" ref="G8:G12" si="4">D8-E8-F8</f>
        <v>2.6200000000826549</v>
      </c>
      <c r="H8" s="182">
        <f>SUMIFS(Table_MedicalGapAgreements[NumberofServices],Table_MedicalGapAgreements[Year],Selection!$E$14,Table_MedicalGapAgreements[MonthEnd],Selection!$E$15,Table_MedicalGapAgreements[State],"NT",Table_MedicalGapAgreements[GapType],"No gap agreement",Table_MedicalGapAgreements[MBSFeePercentage],"100% MBS Fee to 125% MBS Fee")</f>
        <v>3840</v>
      </c>
      <c r="I8" s="183">
        <f t="shared" si="0"/>
        <v>0.11590703290069423</v>
      </c>
      <c r="J8" s="183">
        <f t="shared" si="1"/>
        <v>1.1816039504086486</v>
      </c>
      <c r="K8" s="207">
        <f t="shared" si="2"/>
        <v>158.09588020833334</v>
      </c>
      <c r="L8" s="207">
        <f t="shared" si="3"/>
        <v>6.8229166668819132E-4</v>
      </c>
    </row>
    <row r="9" spans="1:13" ht="14.1" customHeight="1">
      <c r="A9" s="212"/>
      <c r="B9" s="208" t="s">
        <v>52</v>
      </c>
      <c r="C9" s="79">
        <v>4</v>
      </c>
      <c r="D9" s="205">
        <f>SUMIFS(Table_MedicalGapAgreements[AmountCharged],Table_MedicalGapAgreements[Year],Selection!$E$14,Table_MedicalGapAgreements[MonthEnd],Selection!$E$15,Table_MedicalGapAgreements[State],"NT",Table_MedicalGapAgreements[GapType],"No gap agreement",Table_MedicalGapAgreements[MBSFeePercentage],"More than 125% MBS Fee to 150% MBS Fee")</f>
        <v>2244336.2000000002</v>
      </c>
      <c r="E9" s="205">
        <f>SUMIFS(Table_MedicalGapAgreements[MedicareBenefit],Table_MedicalGapAgreements[Year],Selection!$E$14,Table_MedicalGapAgreements[MonthEnd],Selection!$E$15,Table_MedicalGapAgreements[State],"NT",Table_MedicalGapAgreements[GapType],"No gap agreement",Table_MedicalGapAgreements[MBSFeePercentage],"More than 125% MBS Fee to 150% MBS Fee")</f>
        <v>1226957</v>
      </c>
      <c r="F9" s="205">
        <f>SUMIFS(Table_MedicalGapAgreements[FundBenefit],Table_MedicalGapAgreements[Year],Selection!$E$14,Table_MedicalGapAgreements[MonthEnd],Selection!$E$15,Table_MedicalGapAgreements[State],"NT",Table_MedicalGapAgreements[GapType],"No gap agreement",Table_MedicalGapAgreements[MBSFeePercentage],"More than 125% MBS Fee to 150% MBS Fee")</f>
        <v>1017377.7</v>
      </c>
      <c r="G9" s="205">
        <f t="shared" si="4"/>
        <v>1.5000000002328306</v>
      </c>
      <c r="H9" s="182">
        <f>SUMIFS(Table_MedicalGapAgreements[NumberofServices],Table_MedicalGapAgreements[Year],Selection!$E$14,Table_MedicalGapAgreements[MonthEnd],Selection!$E$15,Table_MedicalGapAgreements[State],"NT",Table_MedicalGapAgreements[GapType],"No gap agreement",Table_MedicalGapAgreements[MBSFeePercentage],"More than 125% MBS Fee to 150% MBS Fee")</f>
        <v>9592</v>
      </c>
      <c r="I9" s="183">
        <f t="shared" si="0"/>
        <v>0.28952610926652583</v>
      </c>
      <c r="J9" s="183">
        <f t="shared" si="1"/>
        <v>1.3718917207367496</v>
      </c>
      <c r="K9" s="207">
        <f t="shared" si="2"/>
        <v>233.9800041701418</v>
      </c>
      <c r="L9" s="207">
        <f t="shared" si="3"/>
        <v>1.5638031695504906E-4</v>
      </c>
    </row>
    <row r="10" spans="1:13" s="112" customFormat="1" ht="14.1" customHeight="1">
      <c r="A10" s="212"/>
      <c r="B10" s="208" t="s">
        <v>53</v>
      </c>
      <c r="C10" s="82"/>
      <c r="D10" s="205">
        <f>SUMIFS(Table_MedicalGapAgreements[AmountCharged],Table_MedicalGapAgreements[Year],Selection!$E$14,Table_MedicalGapAgreements[MonthEnd],Selection!$E$15,Table_MedicalGapAgreements[State],"NT",Table_MedicalGapAgreements[GapType],"No gap agreement",Table_MedicalGapAgreements[MBSFeePercentage],"More than 150% MBS Fee to 200% MBS Fee")</f>
        <v>1591153.16</v>
      </c>
      <c r="E10" s="205">
        <f>SUMIFS(Table_MedicalGapAgreements[MedicareBenefit],Table_MedicalGapAgreements[Year],Selection!$E$14,Table_MedicalGapAgreements[MonthEnd],Selection!$E$15,Table_MedicalGapAgreements[State],"NT",Table_MedicalGapAgreements[GapType],"No gap agreement",Table_MedicalGapAgreements[MBSFeePercentage],"More than 150% MBS Fee to 200% MBS Fee")</f>
        <v>740796.9</v>
      </c>
      <c r="F10" s="205">
        <f>SUMIFS(Table_MedicalGapAgreements[FundBenefit],Table_MedicalGapAgreements[Year],Selection!$E$14,Table_MedicalGapAgreements[MonthEnd],Selection!$E$15,Table_MedicalGapAgreements[State],"NT",Table_MedicalGapAgreements[GapType],"No gap agreement",Table_MedicalGapAgreements[MBSFeePercentage],"More than 150% MBS Fee to 200% MBS Fee")</f>
        <v>850348.03</v>
      </c>
      <c r="G10" s="205">
        <f t="shared" si="4"/>
        <v>8.2299999998649582</v>
      </c>
      <c r="H10" s="182">
        <f>SUMIFS(Table_MedicalGapAgreements[NumberofServices],Table_MedicalGapAgreements[Year],Selection!$E$14,Table_MedicalGapAgreements[MonthEnd],Selection!$E$15,Table_MedicalGapAgreements[State],"NT",Table_MedicalGapAgreements[GapType],"No gap agreement",Table_MedicalGapAgreements[MBSFeePercentage],"More than 150% MBS Fee to 200% MBS Fee")</f>
        <v>8250</v>
      </c>
      <c r="I10" s="183">
        <f t="shared" si="0"/>
        <v>0.24901901599758527</v>
      </c>
      <c r="J10" s="183">
        <f t="shared" si="1"/>
        <v>1.6109204425666466</v>
      </c>
      <c r="K10" s="207">
        <f t="shared" si="2"/>
        <v>192.86704969696967</v>
      </c>
      <c r="L10" s="207">
        <f t="shared" si="3"/>
        <v>9.9757575755938881E-4</v>
      </c>
    </row>
    <row r="11" spans="1:13" ht="14.1" customHeight="1">
      <c r="A11" s="212"/>
      <c r="B11" s="208" t="s">
        <v>54</v>
      </c>
      <c r="C11" s="82">
        <v>5</v>
      </c>
      <c r="D11" s="205">
        <f>SUMIFS(Table_MedicalGapAgreements[AmountCharged],Table_MedicalGapAgreements[Year],Selection!$E$14,Table_MedicalGapAgreements[MonthEnd],Selection!$E$15,Table_MedicalGapAgreements[State],"NT",Table_MedicalGapAgreements[GapType],"No gap agreement",Table_MedicalGapAgreements[MBSFeePercentage],"More than 200% MBS Fee")</f>
        <v>7953.8</v>
      </c>
      <c r="E11" s="205">
        <f>SUMIFS(Table_MedicalGapAgreements[MedicareBenefit],Table_MedicalGapAgreements[Year],Selection!$E$14,Table_MedicalGapAgreements[MonthEnd],Selection!$E$15,Table_MedicalGapAgreements[State],"NT",Table_MedicalGapAgreements[GapType],"No gap agreement",Table_MedicalGapAgreements[MBSFeePercentage],"More than 200% MBS Fee")</f>
        <v>2109.6</v>
      </c>
      <c r="F11" s="205">
        <f>SUMIFS(Table_MedicalGapAgreements[FundBenefit],Table_MedicalGapAgreements[Year],Selection!$E$14,Table_MedicalGapAgreements[MonthEnd],Selection!$E$15,Table_MedicalGapAgreements[State],"NT",Table_MedicalGapAgreements[GapType],"No gap agreement",Table_MedicalGapAgreements[MBSFeePercentage],"More than 200% MBS Fee")</f>
        <v>5844.2</v>
      </c>
      <c r="G11" s="205">
        <f t="shared" si="4"/>
        <v>0</v>
      </c>
      <c r="H11" s="182">
        <f>SUMIFS(Table_MedicalGapAgreements[NumberofServices],Table_MedicalGapAgreements[Year],Selection!$E$14,Table_MedicalGapAgreements[MonthEnd],Selection!$E$15,Table_MedicalGapAgreements[State],"NT",Table_MedicalGapAgreements[GapType],"No gap agreement",Table_MedicalGapAgreements[MBSFeePercentage],"More than 200% MBS Fee")</f>
        <v>24</v>
      </c>
      <c r="I11" s="183">
        <f t="shared" si="0"/>
        <v>7.2441895562933901E-4</v>
      </c>
      <c r="J11" s="183">
        <f t="shared" si="1"/>
        <v>2.8277161547212746</v>
      </c>
      <c r="K11" s="207">
        <f t="shared" si="2"/>
        <v>331.40833333333336</v>
      </c>
      <c r="L11" s="207">
        <f t="shared" si="3"/>
        <v>0</v>
      </c>
    </row>
    <row r="12" spans="1:13" ht="14.1" customHeight="1">
      <c r="A12" s="214"/>
      <c r="B12" s="209" t="s">
        <v>0</v>
      </c>
      <c r="C12" s="84">
        <v>6</v>
      </c>
      <c r="D12" s="202">
        <f>SUM(D7:D11)</f>
        <v>4692693.5599999996</v>
      </c>
      <c r="E12" s="202">
        <f t="shared" ref="E12:F12" si="5">SUM(E7:E11)</f>
        <v>2537128.9</v>
      </c>
      <c r="F12" s="202">
        <f t="shared" si="5"/>
        <v>2155552.3100000005</v>
      </c>
      <c r="G12" s="202">
        <f t="shared" si="4"/>
        <v>12.34999999916181</v>
      </c>
      <c r="H12" s="206">
        <f t="shared" ref="H12" si="6">SUM(H7:H11)</f>
        <v>25516</v>
      </c>
      <c r="I12" s="203">
        <f t="shared" si="0"/>
        <v>0.77017808632659224</v>
      </c>
      <c r="J12" s="203">
        <f t="shared" si="1"/>
        <v>1.3872058963973015</v>
      </c>
      <c r="K12" s="204">
        <f t="shared" si="2"/>
        <v>183.911802790406</v>
      </c>
      <c r="L12" s="204">
        <f t="shared" si="3"/>
        <v>4.8401003288767088E-4</v>
      </c>
    </row>
    <row r="13" spans="1:13" ht="17.100000000000001" customHeight="1">
      <c r="A13" s="215" t="s">
        <v>77</v>
      </c>
      <c r="B13" s="75"/>
      <c r="C13" s="85"/>
      <c r="D13" s="86"/>
      <c r="E13" s="87"/>
      <c r="F13" s="87"/>
      <c r="G13" s="88"/>
      <c r="H13" s="89"/>
      <c r="I13" s="90"/>
      <c r="J13" s="91"/>
      <c r="K13" s="92"/>
      <c r="L13" s="92"/>
    </row>
    <row r="14" spans="1:13" ht="14.1" customHeight="1">
      <c r="A14" s="213"/>
      <c r="B14" s="208" t="s">
        <v>51</v>
      </c>
      <c r="C14" s="93">
        <v>7</v>
      </c>
      <c r="D14" s="205">
        <f>SUMIFS(Table_MedicalGapAgreements[AmountCharged],Table_MedicalGapAgreements[Year],Selection!$E$14,Table_MedicalGapAgreements[MonthEnd],Selection!$E$15,Table_MedicalGapAgreements[State],"NT",Table_MedicalGapAgreements[GapType],"Known gap agreement",Table_MedicalGapAgreements[MBSFeePercentage],"100% MBS Fee to 125% MBS Fee")</f>
        <v>24781.95</v>
      </c>
      <c r="E14" s="205">
        <f>SUMIFS(Table_MedicalGapAgreements[MedicareBenefit],Table_MedicalGapAgreements[Year],Selection!$E$14,Table_MedicalGapAgreements[MonthEnd],Selection!$E$15,Table_MedicalGapAgreements[State],"NT",Table_MedicalGapAgreements[GapType],"Known gap agreement",Table_MedicalGapAgreements[MBSFeePercentage],"100% MBS Fee to 125% MBS Fee")</f>
        <v>15688.01</v>
      </c>
      <c r="F14" s="205">
        <f>SUMIFS(Table_MedicalGapAgreements[FundBenefit],Table_MedicalGapAgreements[Year],Selection!$E$14,Table_MedicalGapAgreements[MonthEnd],Selection!$E$15,Table_MedicalGapAgreements[State],"NT",Table_MedicalGapAgreements[GapType],"Known gap agreement",Table_MedicalGapAgreements[MBSFeePercentage],"100% MBS Fee to 125% MBS Fee")</f>
        <v>7132.11</v>
      </c>
      <c r="G14" s="205">
        <f t="shared" ref="G14:G17" si="7">D14-E14-F14</f>
        <v>1961.8300000000008</v>
      </c>
      <c r="H14" s="182">
        <f>SUMIFS(Table_MedicalGapAgreements[NumberofServices],Table_MedicalGapAgreements[Year],Selection!$E$14,Table_MedicalGapAgreements[MonthEnd],Selection!$E$15,Table_MedicalGapAgreements[State],"NT",Table_MedicalGapAgreements[GapType],"Known gap agreement",Table_MedicalGapAgreements[MBSFeePercentage],"100% MBS Fee to 125% MBS Fee")</f>
        <v>69</v>
      </c>
      <c r="I14" s="183">
        <f t="shared" ref="I14:I19" si="8">H14/H$28</f>
        <v>2.0827044974343497E-3</v>
      </c>
      <c r="J14" s="183">
        <f t="shared" ref="J14:J19" si="9">D14/(E14/0.75)</f>
        <v>1.184755905943456</v>
      </c>
      <c r="K14" s="207">
        <f t="shared" ref="K14:K19" si="10">D14/H14</f>
        <v>359.15869565217395</v>
      </c>
      <c r="L14" s="207">
        <f t="shared" ref="L14:L19" si="11">G14/H14</f>
        <v>28.432318840579722</v>
      </c>
    </row>
    <row r="15" spans="1:13" ht="14.1" customHeight="1">
      <c r="A15" s="211"/>
      <c r="B15" s="208" t="s">
        <v>52</v>
      </c>
      <c r="C15" s="93">
        <v>8</v>
      </c>
      <c r="D15" s="205">
        <f>SUMIFS(Table_MedicalGapAgreements[AmountCharged],Table_MedicalGapAgreements[Year],Selection!$E$14,Table_MedicalGapAgreements[MonthEnd],Selection!$E$15,Table_MedicalGapAgreements[State],"NT",Table_MedicalGapAgreements[GapType],"Known gap agreement",Table_MedicalGapAgreements[MBSFeePercentage],"More than 125% MBS Fee to 150% MBS Fee")</f>
        <v>88303.16</v>
      </c>
      <c r="E15" s="205">
        <f>SUMIFS(Table_MedicalGapAgreements[MedicareBenefit],Table_MedicalGapAgreements[Year],Selection!$E$14,Table_MedicalGapAgreements[MonthEnd],Selection!$E$15,Table_MedicalGapAgreements[State],"NT",Table_MedicalGapAgreements[GapType],"Known gap agreement",Table_MedicalGapAgreements[MBSFeePercentage],"More than 125% MBS Fee to 150% MBS Fee")</f>
        <v>47641.07</v>
      </c>
      <c r="F15" s="205">
        <f>SUMIFS(Table_MedicalGapAgreements[FundBenefit],Table_MedicalGapAgreements[Year],Selection!$E$14,Table_MedicalGapAgreements[MonthEnd],Selection!$E$15,Table_MedicalGapAgreements[State],"NT",Table_MedicalGapAgreements[GapType],"Known gap agreement",Table_MedicalGapAgreements[MBSFeePercentage],"More than 125% MBS Fee to 150% MBS Fee")</f>
        <v>31503.61</v>
      </c>
      <c r="G15" s="205">
        <f t="shared" si="7"/>
        <v>9158.4800000000032</v>
      </c>
      <c r="H15" s="182">
        <f>SUMIFS(Table_MedicalGapAgreements[NumberofServices],Table_MedicalGapAgreements[Year],Selection!$E$14,Table_MedicalGapAgreements[MonthEnd],Selection!$E$15,Table_MedicalGapAgreements[State],"NT",Table_MedicalGapAgreements[GapType],"Known gap agreement",Table_MedicalGapAgreements[MBSFeePercentage],"More than 125% MBS Fee to 150% MBS Fee")</f>
        <v>296</v>
      </c>
      <c r="I15" s="183">
        <f t="shared" si="8"/>
        <v>8.9345004527618468E-3</v>
      </c>
      <c r="J15" s="183">
        <f t="shared" si="9"/>
        <v>1.3901318757114398</v>
      </c>
      <c r="K15" s="207">
        <f t="shared" si="10"/>
        <v>298.32148648648649</v>
      </c>
      <c r="L15" s="207">
        <f t="shared" si="11"/>
        <v>30.94081081081082</v>
      </c>
    </row>
    <row r="16" spans="1:13" s="112" customFormat="1" ht="14.1" customHeight="1">
      <c r="A16" s="212"/>
      <c r="B16" s="208" t="s">
        <v>53</v>
      </c>
      <c r="C16" s="94"/>
      <c r="D16" s="205">
        <f>SUMIFS(Table_MedicalGapAgreements[AmountCharged],Table_MedicalGapAgreements[Year],Selection!$E$14,Table_MedicalGapAgreements[MonthEnd],Selection!$E$15,Table_MedicalGapAgreements[State],"NT",Table_MedicalGapAgreements[GapType],"Known gap agreement",Table_MedicalGapAgreements[MBSFeePercentage],"More than 150% MBS Fee to 200% MBS Fee")</f>
        <v>350482.53</v>
      </c>
      <c r="E16" s="205">
        <f>SUMIFS(Table_MedicalGapAgreements[MedicareBenefit],Table_MedicalGapAgreements[Year],Selection!$E$14,Table_MedicalGapAgreements[MonthEnd],Selection!$E$15,Table_MedicalGapAgreements[State],"NT",Table_MedicalGapAgreements[GapType],"Known gap agreement",Table_MedicalGapAgreements[MBSFeePercentage],"More than 150% MBS Fee to 200% MBS Fee")</f>
        <v>149900.97</v>
      </c>
      <c r="F16" s="205">
        <f>SUMIFS(Table_MedicalGapAgreements[FundBenefit],Table_MedicalGapAgreements[Year],Selection!$E$14,Table_MedicalGapAgreements[MonthEnd],Selection!$E$15,Table_MedicalGapAgreements[State],"NT",Table_MedicalGapAgreements[GapType],"Known gap agreement",Table_MedicalGapAgreements[MBSFeePercentage],"More than 150% MBS Fee to 200% MBS Fee")</f>
        <v>149707.26999999999</v>
      </c>
      <c r="G16" s="205">
        <f t="shared" si="7"/>
        <v>50874.290000000037</v>
      </c>
      <c r="H16" s="182">
        <f>SUMIFS(Table_MedicalGapAgreements[NumberofServices],Table_MedicalGapAgreements[Year],Selection!$E$14,Table_MedicalGapAgreements[MonthEnd],Selection!$E$15,Table_MedicalGapAgreements[State],"NT",Table_MedicalGapAgreements[GapType],"Known gap agreement",Table_MedicalGapAgreements[MBSFeePercentage],"More than 150% MBS Fee to 200% MBS Fee")</f>
        <v>482</v>
      </c>
      <c r="I16" s="183">
        <f t="shared" si="8"/>
        <v>1.4548747358889225E-2</v>
      </c>
      <c r="J16" s="183">
        <f t="shared" si="9"/>
        <v>1.7535703571497905</v>
      </c>
      <c r="K16" s="207">
        <f t="shared" si="10"/>
        <v>727.1421784232366</v>
      </c>
      <c r="L16" s="207">
        <f t="shared" si="11"/>
        <v>105.54831950207476</v>
      </c>
    </row>
    <row r="17" spans="1:12" s="112" customFormat="1" ht="14.1" customHeight="1">
      <c r="A17" s="212"/>
      <c r="B17" s="208" t="s">
        <v>54</v>
      </c>
      <c r="C17" s="93">
        <v>9</v>
      </c>
      <c r="D17" s="205">
        <f>SUMIFS(Table_MedicalGapAgreements[AmountCharged],Table_MedicalGapAgreements[Year],Selection!$E$14,Table_MedicalGapAgreements[MonthEnd],Selection!$E$15,Table_MedicalGapAgreements[State],"NT",Table_MedicalGapAgreements[GapType],"Known gap agreement",Table_MedicalGapAgreements[MBSFeePercentage],"More than 200% MBS Fee")</f>
        <v>1293033.03</v>
      </c>
      <c r="E17" s="205">
        <f>SUMIFS(Table_MedicalGapAgreements[MedicareBenefit],Table_MedicalGapAgreements[Year],Selection!$E$14,Table_MedicalGapAgreements[MonthEnd],Selection!$E$15,Table_MedicalGapAgreements[State],"NT",Table_MedicalGapAgreements[GapType],"Known gap agreement",Table_MedicalGapAgreements[MBSFeePercentage],"More than 200% MBS Fee")</f>
        <v>338112.88</v>
      </c>
      <c r="F17" s="205">
        <f>SUMIFS(Table_MedicalGapAgreements[FundBenefit],Table_MedicalGapAgreements[Year],Selection!$E$14,Table_MedicalGapAgreements[MonthEnd],Selection!$E$15,Table_MedicalGapAgreements[State],"NT",Table_MedicalGapAgreements[GapType],"Known gap agreement",Table_MedicalGapAgreements[MBSFeePercentage],"More than 200% MBS Fee")</f>
        <v>386127.08</v>
      </c>
      <c r="G17" s="205">
        <f t="shared" si="7"/>
        <v>568793.07000000007</v>
      </c>
      <c r="H17" s="182">
        <f>SUMIFS(Table_MedicalGapAgreements[NumberofServices],Table_MedicalGapAgreements[Year],Selection!$E$14,Table_MedicalGapAgreements[MonthEnd],Selection!$E$15,Table_MedicalGapAgreements[State],"NT",Table_MedicalGapAgreements[GapType],"Known gap agreement",Table_MedicalGapAgreements[MBSFeePercentage],"More than 200% MBS Fee")</f>
        <v>4624</v>
      </c>
      <c r="I17" s="183">
        <f t="shared" si="8"/>
        <v>0.13957138545125264</v>
      </c>
      <c r="J17" s="183">
        <f t="shared" si="9"/>
        <v>2.8681982552690686</v>
      </c>
      <c r="K17" s="207">
        <f t="shared" si="10"/>
        <v>279.63517084775089</v>
      </c>
      <c r="L17" s="207">
        <f t="shared" si="11"/>
        <v>123.00888192041523</v>
      </c>
    </row>
    <row r="18" spans="1:12" ht="14.1" customHeight="1">
      <c r="A18" s="214"/>
      <c r="B18" s="209" t="s">
        <v>0</v>
      </c>
      <c r="C18" s="95"/>
      <c r="D18" s="202">
        <f>SUM(D14:D17)</f>
        <v>1756600.67</v>
      </c>
      <c r="E18" s="202">
        <f t="shared" ref="E18:H18" si="12">SUM(E14:E17)</f>
        <v>551342.92999999993</v>
      </c>
      <c r="F18" s="202">
        <f t="shared" si="12"/>
        <v>574470.07000000007</v>
      </c>
      <c r="G18" s="202">
        <f t="shared" si="12"/>
        <v>630787.67000000016</v>
      </c>
      <c r="H18" s="206">
        <f t="shared" si="12"/>
        <v>5471</v>
      </c>
      <c r="I18" s="203">
        <f t="shared" si="8"/>
        <v>0.16513733776033807</v>
      </c>
      <c r="J18" s="203">
        <f t="shared" si="9"/>
        <v>2.3895300561848143</v>
      </c>
      <c r="K18" s="204">
        <f t="shared" si="10"/>
        <v>321.07488027782853</v>
      </c>
      <c r="L18" s="204">
        <f t="shared" si="11"/>
        <v>115.29659477243651</v>
      </c>
    </row>
    <row r="19" spans="1:12" ht="14.1" customHeight="1">
      <c r="A19" s="216" t="s">
        <v>78</v>
      </c>
      <c r="B19" s="201"/>
      <c r="C19" s="95">
        <v>10</v>
      </c>
      <c r="D19" s="202">
        <f>D18+D12</f>
        <v>6449294.2299999995</v>
      </c>
      <c r="E19" s="202">
        <f t="shared" ref="E19:H19" si="13">E18+E12</f>
        <v>3088471.83</v>
      </c>
      <c r="F19" s="202">
        <f t="shared" si="13"/>
        <v>2730022.3800000008</v>
      </c>
      <c r="G19" s="202">
        <f t="shared" si="13"/>
        <v>630800.01999999932</v>
      </c>
      <c r="H19" s="206">
        <f t="shared" si="13"/>
        <v>30987</v>
      </c>
      <c r="I19" s="203">
        <f t="shared" si="8"/>
        <v>0.93531542408693025</v>
      </c>
      <c r="J19" s="203">
        <f t="shared" si="9"/>
        <v>1.5661372156662992</v>
      </c>
      <c r="K19" s="204">
        <f t="shared" si="10"/>
        <v>208.12902927033915</v>
      </c>
      <c r="L19" s="204">
        <f t="shared" si="11"/>
        <v>20.3569245167328</v>
      </c>
    </row>
    <row r="20" spans="1:12" ht="17.100000000000001" customHeight="1">
      <c r="A20" s="180" t="s">
        <v>79</v>
      </c>
      <c r="B20" s="79"/>
      <c r="C20" s="96"/>
      <c r="D20" s="97"/>
      <c r="E20" s="97"/>
      <c r="F20" s="97"/>
      <c r="G20" s="98"/>
      <c r="H20" s="99"/>
      <c r="I20" s="100"/>
      <c r="J20" s="100"/>
      <c r="K20" s="101"/>
      <c r="L20" s="101"/>
    </row>
    <row r="21" spans="1:12" ht="14.1" customHeight="1">
      <c r="A21" s="78"/>
      <c r="B21" s="208" t="s">
        <v>50</v>
      </c>
      <c r="C21" s="96">
        <v>22</v>
      </c>
      <c r="D21" s="205">
        <f>SUMIFS(Table_MedicalGapAgreements[AmountCharged],Table_MedicalGapAgreements[Year],Selection!$E$14,Table_MedicalGapAgreements[MonthEnd],Selection!$E$15,Table_MedicalGapAgreements[State],"NT",Table_MedicalGapAgreements[GapType],"No agreement",Table_MedicalGapAgreements[MBSFeePercentage],"Up to MBS Fee")</f>
        <v>143499.04</v>
      </c>
      <c r="E21" s="205">
        <f>SUMIFS(Table_MedicalGapAgreements[MedicareBenefit],Table_MedicalGapAgreements[Year],Selection!$E$14,Table_MedicalGapAgreements[MonthEnd],Selection!$E$15,Table_MedicalGapAgreements[State],"NT",Table_MedicalGapAgreements[GapType],"No agreement",Table_MedicalGapAgreements[MBSFeePercentage],"Up to MBS Fee")</f>
        <v>91208.29</v>
      </c>
      <c r="F21" s="205">
        <f>SUMIFS(Table_MedicalGapAgreements[FundBenefit],Table_MedicalGapAgreements[Year],Selection!$E$14,Table_MedicalGapAgreements[MonthEnd],Selection!$E$15,Table_MedicalGapAgreements[State],"NT",Table_MedicalGapAgreements[GapType],"No agreement",Table_MedicalGapAgreements[MBSFeePercentage],"Up to MBS Fee")</f>
        <v>29995.45</v>
      </c>
      <c r="G21" s="205">
        <f>D21-E21-F21</f>
        <v>22295.300000000014</v>
      </c>
      <c r="H21" s="182">
        <f>SUMIFS(Table_MedicalGapAgreements[NumberofServices],Table_MedicalGapAgreements[Year],Selection!$E$14,Table_MedicalGapAgreements[MonthEnd],Selection!$E$15,Table_MedicalGapAgreements[State],"NT",Table_MedicalGapAgreements[GapType],"No agreement",Table_MedicalGapAgreements[MBSFeePercentage],"Up to MBS Fee")</f>
        <v>628</v>
      </c>
      <c r="I21" s="183">
        <f t="shared" ref="I21:I26" si="14">H21/H$28</f>
        <v>1.8955629338967703E-2</v>
      </c>
      <c r="J21" s="183">
        <f t="shared" ref="J21:J26" si="15">D21/(E21/0.75)</f>
        <v>1.1799835300058801</v>
      </c>
      <c r="K21" s="207">
        <f t="shared" ref="K21:K26" si="16">D21/H21</f>
        <v>228.50165605095543</v>
      </c>
      <c r="L21" s="207">
        <f t="shared" ref="L21:L26" si="17">G21/H21</f>
        <v>35.502070063694291</v>
      </c>
    </row>
    <row r="22" spans="1:12" ht="14.1" customHeight="1">
      <c r="A22" s="81"/>
      <c r="B22" s="208" t="s">
        <v>51</v>
      </c>
      <c r="C22" s="96">
        <v>23</v>
      </c>
      <c r="D22" s="205">
        <f>SUMIFS(Table_MedicalGapAgreements[AmountCharged],Table_MedicalGapAgreements[Year],Selection!$E$14,Table_MedicalGapAgreements[MonthEnd],Selection!$E$15,Table_MedicalGapAgreements[State],"NT",Table_MedicalGapAgreements[GapType],"No agreement",Table_MedicalGapAgreements[MBSFeePercentage],"100% MBS Fee to 125% MBS Fee")</f>
        <v>26809.8</v>
      </c>
      <c r="E22" s="205">
        <f>SUMIFS(Table_MedicalGapAgreements[MedicareBenefit],Table_MedicalGapAgreements[Year],Selection!$E$14,Table_MedicalGapAgreements[MonthEnd],Selection!$E$15,Table_MedicalGapAgreements[State],"NT",Table_MedicalGapAgreements[GapType],"No agreement",Table_MedicalGapAgreements[MBSFeePercentage],"100% MBS Fee to 125% MBS Fee")</f>
        <v>17853.650000000001</v>
      </c>
      <c r="F22" s="205">
        <f>SUMIFS(Table_MedicalGapAgreements[FundBenefit],Table_MedicalGapAgreements[Year],Selection!$E$14,Table_MedicalGapAgreements[MonthEnd],Selection!$E$15,Table_MedicalGapAgreements[State],"NT",Table_MedicalGapAgreements[GapType],"No agreement",Table_MedicalGapAgreements[MBSFeePercentage],"100% MBS Fee to 125% MBS Fee")</f>
        <v>6131.7</v>
      </c>
      <c r="G22" s="205">
        <f t="shared" ref="G22:G25" si="18">D22-E22-F22</f>
        <v>2824.449999999998</v>
      </c>
      <c r="H22" s="182">
        <f>SUMIFS(Table_MedicalGapAgreements[NumberofServices],Table_MedicalGapAgreements[Year],Selection!$E$14,Table_MedicalGapAgreements[MonthEnd],Selection!$E$15,Table_MedicalGapAgreements[State],"NT",Table_MedicalGapAgreements[GapType],"No agreement",Table_MedicalGapAgreements[MBSFeePercentage],"100% MBS Fee to 125% MBS Fee")</f>
        <v>42</v>
      </c>
      <c r="I22" s="183">
        <f t="shared" si="14"/>
        <v>1.2677331723513431E-3</v>
      </c>
      <c r="J22" s="183">
        <f t="shared" si="15"/>
        <v>1.1262318909578712</v>
      </c>
      <c r="K22" s="207">
        <f t="shared" si="16"/>
        <v>638.32857142857142</v>
      </c>
      <c r="L22" s="207">
        <f t="shared" si="17"/>
        <v>67.24880952380947</v>
      </c>
    </row>
    <row r="23" spans="1:12" ht="14.1" customHeight="1">
      <c r="A23" s="81"/>
      <c r="B23" s="208" t="s">
        <v>52</v>
      </c>
      <c r="C23" s="102">
        <v>24</v>
      </c>
      <c r="D23" s="205">
        <f>SUMIFS(Table_MedicalGapAgreements[AmountCharged],Table_MedicalGapAgreements[Year],Selection!$E$14,Table_MedicalGapAgreements[MonthEnd],Selection!$E$15,Table_MedicalGapAgreements[State],"NT",Table_MedicalGapAgreements[GapType],"No agreement",Table_MedicalGapAgreements[MBSFeePercentage],"More than 125% MBS Fee to 150% MBS Fee")</f>
        <v>45693.2</v>
      </c>
      <c r="E23" s="205">
        <f>SUMIFS(Table_MedicalGapAgreements[MedicareBenefit],Table_MedicalGapAgreements[Year],Selection!$E$14,Table_MedicalGapAgreements[MonthEnd],Selection!$E$15,Table_MedicalGapAgreements[State],"NT",Table_MedicalGapAgreements[GapType],"No agreement",Table_MedicalGapAgreements[MBSFeePercentage],"More than 125% MBS Fee to 150% MBS Fee")</f>
        <v>24959.62</v>
      </c>
      <c r="F23" s="205">
        <f>SUMIFS(Table_MedicalGapAgreements[FundBenefit],Table_MedicalGapAgreements[Year],Selection!$E$14,Table_MedicalGapAgreements[MonthEnd],Selection!$E$15,Table_MedicalGapAgreements[State],"NT",Table_MedicalGapAgreements[GapType],"No agreement",Table_MedicalGapAgreements[MBSFeePercentage],"More than 125% MBS Fee to 150% MBS Fee")</f>
        <v>8486.4500000000007</v>
      </c>
      <c r="G23" s="205">
        <f t="shared" si="18"/>
        <v>12247.129999999997</v>
      </c>
      <c r="H23" s="182">
        <f>SUMIFS(Table_MedicalGapAgreements[NumberofServices],Table_MedicalGapAgreements[Year],Selection!$E$14,Table_MedicalGapAgreements[MonthEnd],Selection!$E$15,Table_MedicalGapAgreements[State],"NT",Table_MedicalGapAgreements[GapType],"No agreement",Table_MedicalGapAgreements[MBSFeePercentage],"More than 125% MBS Fee to 150% MBS Fee")</f>
        <v>72</v>
      </c>
      <c r="I23" s="183">
        <f t="shared" si="14"/>
        <v>2.1732568668880168E-3</v>
      </c>
      <c r="J23" s="183">
        <f t="shared" si="15"/>
        <v>1.3730136917148579</v>
      </c>
      <c r="K23" s="207">
        <f t="shared" si="16"/>
        <v>634.62777777777774</v>
      </c>
      <c r="L23" s="207">
        <f t="shared" si="17"/>
        <v>170.09902777777774</v>
      </c>
    </row>
    <row r="24" spans="1:12" s="112" customFormat="1" ht="14.1" customHeight="1">
      <c r="A24" s="103"/>
      <c r="B24" s="208" t="s">
        <v>53</v>
      </c>
      <c r="C24" s="102">
        <v>25</v>
      </c>
      <c r="D24" s="205">
        <f>SUMIFS(Table_MedicalGapAgreements[AmountCharged],Table_MedicalGapAgreements[Year],Selection!$E$14,Table_MedicalGapAgreements[MonthEnd],Selection!$E$15,Table_MedicalGapAgreements[State],"NT",Table_MedicalGapAgreements[GapType],"No agreement",Table_MedicalGapAgreements[MBSFeePercentage],"More than 150% MBS Fee to 200% MBS Fee")</f>
        <v>106834.17</v>
      </c>
      <c r="E24" s="205">
        <f>SUMIFS(Table_MedicalGapAgreements[MedicareBenefit],Table_MedicalGapAgreements[Year],Selection!$E$14,Table_MedicalGapAgreements[MonthEnd],Selection!$E$15,Table_MedicalGapAgreements[State],"NT",Table_MedicalGapAgreements[GapType],"No agreement",Table_MedicalGapAgreements[MBSFeePercentage],"More than 150% MBS Fee to 200% MBS Fee")</f>
        <v>45869.04</v>
      </c>
      <c r="F24" s="205">
        <f>SUMIFS(Table_MedicalGapAgreements[FundBenefit],Table_MedicalGapAgreements[Year],Selection!$E$14,Table_MedicalGapAgreements[MonthEnd],Selection!$E$15,Table_MedicalGapAgreements[State],"NT",Table_MedicalGapAgreements[GapType],"No agreement",Table_MedicalGapAgreements[MBSFeePercentage],"More than 150% MBS Fee to 200% MBS Fee")</f>
        <v>15468.95</v>
      </c>
      <c r="G24" s="205">
        <f t="shared" si="18"/>
        <v>45496.179999999993</v>
      </c>
      <c r="H24" s="182">
        <f>SUMIFS(Table_MedicalGapAgreements[NumberofServices],Table_MedicalGapAgreements[Year],Selection!$E$14,Table_MedicalGapAgreements[MonthEnd],Selection!$E$15,Table_MedicalGapAgreements[State],"NT",Table_MedicalGapAgreements[GapType],"No agreement",Table_MedicalGapAgreements[MBSFeePercentage],"More than 150% MBS Fee to 200% MBS Fee")</f>
        <v>176</v>
      </c>
      <c r="I24" s="183">
        <f t="shared" si="14"/>
        <v>5.312405674615152E-3</v>
      </c>
      <c r="J24" s="183">
        <f t="shared" si="15"/>
        <v>1.7468346296325363</v>
      </c>
      <c r="K24" s="207">
        <f t="shared" si="16"/>
        <v>607.01232954545458</v>
      </c>
      <c r="L24" s="207">
        <f t="shared" si="17"/>
        <v>258.5010227272727</v>
      </c>
    </row>
    <row r="25" spans="1:12" ht="14.1" customHeight="1">
      <c r="A25" s="80"/>
      <c r="B25" s="208" t="s">
        <v>54</v>
      </c>
      <c r="C25" s="102">
        <v>26</v>
      </c>
      <c r="D25" s="205">
        <f>SUMIFS(Table_MedicalGapAgreements[AmountCharged],Table_MedicalGapAgreements[Year],Selection!$E$14,Table_MedicalGapAgreements[MonthEnd],Selection!$E$15,Table_MedicalGapAgreements[State],"NT",Table_MedicalGapAgreements[GapType],"No agreement",Table_MedicalGapAgreements[MBSFeePercentage],"More than 200% MBS Fee")</f>
        <v>1984695.01</v>
      </c>
      <c r="E25" s="205">
        <f>SUMIFS(Table_MedicalGapAgreements[MedicareBenefit],Table_MedicalGapAgreements[Year],Selection!$E$14,Table_MedicalGapAgreements[MonthEnd],Selection!$E$15,Table_MedicalGapAgreements[State],"NT",Table_MedicalGapAgreements[GapType],"No agreement",Table_MedicalGapAgreements[MBSFeePercentage],"More than 200% MBS Fee")</f>
        <v>442549.85</v>
      </c>
      <c r="F25" s="205">
        <f>SUMIFS(Table_MedicalGapAgreements[FundBenefit],Table_MedicalGapAgreements[Year],Selection!$E$14,Table_MedicalGapAgreements[MonthEnd],Selection!$E$15,Table_MedicalGapAgreements[State],"NT",Table_MedicalGapAgreements[GapType],"No agreement",Table_MedicalGapAgreements[MBSFeePercentage],"More than 200% MBS Fee")</f>
        <v>147518.97</v>
      </c>
      <c r="G25" s="205">
        <f t="shared" si="18"/>
        <v>1394626.1900000002</v>
      </c>
      <c r="H25" s="182">
        <f>SUMIFS(Table_MedicalGapAgreements[NumberofServices],Table_MedicalGapAgreements[Year],Selection!$E$14,Table_MedicalGapAgreements[MonthEnd],Selection!$E$15,Table_MedicalGapAgreements[State],"NT",Table_MedicalGapAgreements[GapType],"No agreement",Table_MedicalGapAgreements[MBSFeePercentage],"More than 200% MBS Fee")</f>
        <v>1225</v>
      </c>
      <c r="I25" s="183">
        <f t="shared" si="14"/>
        <v>3.6975550860247508E-2</v>
      </c>
      <c r="J25" s="183">
        <f t="shared" si="15"/>
        <v>3.3635109298986317</v>
      </c>
      <c r="K25" s="207">
        <f t="shared" si="16"/>
        <v>1620.1591918367346</v>
      </c>
      <c r="L25" s="207">
        <f t="shared" si="17"/>
        <v>1138.4703591836735</v>
      </c>
    </row>
    <row r="26" spans="1:12" ht="14.1" customHeight="1">
      <c r="A26" s="214" t="s">
        <v>85</v>
      </c>
      <c r="B26" s="209"/>
      <c r="C26" s="95">
        <v>27</v>
      </c>
      <c r="D26" s="202">
        <f>SUM(D21:D25)</f>
        <v>2307531.2199999997</v>
      </c>
      <c r="E26" s="202">
        <f t="shared" ref="E26:H26" si="19">SUM(E21:E25)</f>
        <v>622440.44999999995</v>
      </c>
      <c r="F26" s="202">
        <f t="shared" si="19"/>
        <v>207601.52000000002</v>
      </c>
      <c r="G26" s="202">
        <f t="shared" si="19"/>
        <v>1477489.2500000002</v>
      </c>
      <c r="H26" s="206">
        <f t="shared" si="19"/>
        <v>2143</v>
      </c>
      <c r="I26" s="203">
        <f t="shared" si="14"/>
        <v>6.4684575913069725E-2</v>
      </c>
      <c r="J26" s="203">
        <f t="shared" si="15"/>
        <v>2.7804240791227497</v>
      </c>
      <c r="K26" s="204">
        <f t="shared" si="16"/>
        <v>1076.7761175921603</v>
      </c>
      <c r="L26" s="204">
        <f t="shared" si="17"/>
        <v>689.44902006532914</v>
      </c>
    </row>
    <row r="27" spans="1:12" ht="14.1" customHeight="1">
      <c r="A27" s="102"/>
      <c r="B27" s="102"/>
      <c r="C27" s="96"/>
      <c r="D27" s="97"/>
      <c r="E27" s="97"/>
      <c r="F27" s="97"/>
      <c r="G27" s="98"/>
      <c r="H27" s="99"/>
      <c r="I27" s="100"/>
      <c r="J27" s="100"/>
      <c r="K27" s="101"/>
      <c r="L27" s="101"/>
    </row>
    <row r="28" spans="1:12" ht="14.1" customHeight="1">
      <c r="A28" s="209" t="s">
        <v>80</v>
      </c>
      <c r="B28" s="209"/>
      <c r="C28" s="202"/>
      <c r="D28" s="202">
        <f>D19+D26</f>
        <v>8756825.4499999993</v>
      </c>
      <c r="E28" s="202">
        <f t="shared" ref="E28:H28" si="20">E19+E26</f>
        <v>3710912.2800000003</v>
      </c>
      <c r="F28" s="202">
        <f t="shared" si="20"/>
        <v>2937623.9000000008</v>
      </c>
      <c r="G28" s="206">
        <f t="shared" si="20"/>
        <v>2108289.2699999996</v>
      </c>
      <c r="H28" s="218">
        <f t="shared" si="20"/>
        <v>33130</v>
      </c>
      <c r="I28" s="203">
        <f>H28/H$28</f>
        <v>1</v>
      </c>
      <c r="J28" s="203">
        <f>D28/(E28/0.75)</f>
        <v>1.7698125398695761</v>
      </c>
      <c r="K28" s="204">
        <f>D28/H28</f>
        <v>264.31709779655898</v>
      </c>
      <c r="L28" s="204">
        <f>G28/H28</f>
        <v>63.636862964080883</v>
      </c>
    </row>
    <row r="29" spans="1:12" ht="14.1" customHeight="1">
      <c r="A29" s="209" t="s">
        <v>81</v>
      </c>
      <c r="B29" s="209"/>
      <c r="C29" s="202"/>
      <c r="D29" s="202">
        <f>D12+D21</f>
        <v>4836192.5999999996</v>
      </c>
      <c r="E29" s="202">
        <f t="shared" ref="E29:H29" si="21">E12+E21</f>
        <v>2628337.19</v>
      </c>
      <c r="F29" s="202">
        <f t="shared" si="21"/>
        <v>2185547.7600000007</v>
      </c>
      <c r="G29" s="206">
        <f t="shared" si="21"/>
        <v>22307.649999999176</v>
      </c>
      <c r="H29" s="218">
        <f t="shared" si="21"/>
        <v>26144</v>
      </c>
      <c r="I29" s="203">
        <f>H29/H$28</f>
        <v>0.7891337156655599</v>
      </c>
      <c r="J29" s="203">
        <f>D29/(E29/0.75)</f>
        <v>1.380014886902696</v>
      </c>
      <c r="K29" s="204">
        <f>D29/H29</f>
        <v>184.9828870869033</v>
      </c>
      <c r="L29" s="204">
        <f>G29/H29</f>
        <v>0.8532607864136772</v>
      </c>
    </row>
    <row r="30" spans="1:12" ht="14.1" customHeight="1">
      <c r="A30" s="209" t="s">
        <v>82</v>
      </c>
      <c r="B30" s="209"/>
      <c r="C30" s="202"/>
      <c r="D30" s="202">
        <f>D19+D21</f>
        <v>6592793.2699999996</v>
      </c>
      <c r="E30" s="202">
        <f t="shared" ref="E30:H30" si="22">E19+E21</f>
        <v>3179680.12</v>
      </c>
      <c r="F30" s="202">
        <f t="shared" si="22"/>
        <v>2760017.830000001</v>
      </c>
      <c r="G30" s="206">
        <f t="shared" si="22"/>
        <v>653095.31999999937</v>
      </c>
      <c r="H30" s="218">
        <f t="shared" si="22"/>
        <v>31615</v>
      </c>
      <c r="I30" s="203">
        <f>H30/H$28</f>
        <v>0.95427105342589802</v>
      </c>
      <c r="J30" s="203">
        <f>D30/(E30/0.75)</f>
        <v>1.5550604985070007</v>
      </c>
      <c r="K30" s="204">
        <f>D30/H30</f>
        <v>208.53371089672623</v>
      </c>
      <c r="L30" s="204">
        <f>G30/H30</f>
        <v>20.657767515419877</v>
      </c>
    </row>
    <row r="31" spans="1:12" ht="14.1" customHeight="1">
      <c r="A31" s="209" t="s">
        <v>83</v>
      </c>
      <c r="B31" s="209"/>
      <c r="C31" s="202"/>
      <c r="D31" s="202">
        <f>D26-D21</f>
        <v>2164032.1799999997</v>
      </c>
      <c r="E31" s="202">
        <f t="shared" ref="E31:H31" si="23">E26-E21</f>
        <v>531232.15999999992</v>
      </c>
      <c r="F31" s="202">
        <f t="shared" si="23"/>
        <v>177606.07</v>
      </c>
      <c r="G31" s="206">
        <f t="shared" si="23"/>
        <v>1455193.9500000002</v>
      </c>
      <c r="H31" s="218">
        <f t="shared" si="23"/>
        <v>1515</v>
      </c>
      <c r="I31" s="203">
        <f>H31/H$28</f>
        <v>4.5728946574102022E-2</v>
      </c>
      <c r="J31" s="203">
        <f>D31/(E31/0.75)</f>
        <v>3.0552068515580837</v>
      </c>
      <c r="K31" s="204">
        <f>D31/H31</f>
        <v>1428.4040792079206</v>
      </c>
      <c r="L31" s="204">
        <f>G31/H31</f>
        <v>960.52405940594076</v>
      </c>
    </row>
  </sheetData>
  <mergeCells count="2">
    <mergeCell ref="A1:L1"/>
    <mergeCell ref="A2:L2"/>
  </mergeCells>
  <pageMargins left="0.70866141732283472" right="0.70866141732283472" top="0.74803149606299213" bottom="0.74803149606299213" header="0.31496062992125984" footer="0.31496062992125984"/>
  <pageSetup paperSize="9" scale="63" orientation="portrait" r:id="rId1"/>
  <headerFooter>
    <oddFooter>&amp;LAustralian Prudential Regulation Authority&amp;R&amp;P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4B771-A494-4ADC-92E9-D56A2F57DDA3}">
  <sheetPr>
    <pageSetUpPr fitToPage="1"/>
  </sheetPr>
  <dimension ref="A1:Q22"/>
  <sheetViews>
    <sheetView showGridLines="0" zoomScaleNormal="100" zoomScaleSheetLayoutView="100" workbookViewId="0">
      <selection activeCell="C13" sqref="C13"/>
    </sheetView>
  </sheetViews>
  <sheetFormatPr defaultColWidth="8.5625" defaultRowHeight="12.75"/>
  <cols>
    <col min="1" max="1" width="71.0625" style="113" customWidth="1"/>
    <col min="2" max="13" width="8.5625" style="113"/>
    <col min="14" max="14" width="3.375" style="113" customWidth="1"/>
    <col min="15" max="17" width="8.5625" style="113" hidden="1" customWidth="1"/>
    <col min="18" max="16384" width="8.5625" style="113"/>
  </cols>
  <sheetData>
    <row r="1" spans="1:10" ht="29.65">
      <c r="A1" s="232" t="s">
        <v>93</v>
      </c>
      <c r="B1" s="232"/>
      <c r="C1" s="2"/>
      <c r="D1" s="2"/>
      <c r="E1" s="2"/>
      <c r="F1" s="2"/>
      <c r="G1" s="2"/>
      <c r="H1" s="2"/>
      <c r="I1" s="2"/>
    </row>
    <row r="2" spans="1:10" ht="16.899999999999999" customHeight="1">
      <c r="A2" s="220"/>
      <c r="B2" s="220"/>
      <c r="C2" s="2"/>
      <c r="D2" s="2"/>
      <c r="E2" s="2"/>
      <c r="F2" s="2"/>
      <c r="G2" s="2"/>
      <c r="H2" s="2"/>
      <c r="I2" s="2"/>
    </row>
    <row r="3" spans="1:10" ht="27" customHeight="1">
      <c r="A3" s="152" t="s">
        <v>94</v>
      </c>
      <c r="B3" s="114"/>
      <c r="C3" s="114"/>
      <c r="D3" s="114"/>
      <c r="E3" s="114"/>
      <c r="F3" s="114"/>
      <c r="G3" s="114"/>
      <c r="H3" s="114"/>
      <c r="I3" s="114"/>
    </row>
    <row r="4" spans="1:10" ht="27.75" customHeight="1">
      <c r="A4" s="10" t="s">
        <v>95</v>
      </c>
      <c r="B4" s="219"/>
      <c r="C4" s="219"/>
      <c r="D4" s="219"/>
      <c r="E4" s="219"/>
      <c r="F4" s="219"/>
      <c r="G4" s="219"/>
      <c r="H4" s="219"/>
      <c r="I4" s="219"/>
    </row>
    <row r="5" spans="1:10">
      <c r="A5" s="219"/>
      <c r="B5" s="219"/>
      <c r="C5" s="219"/>
      <c r="D5" s="219"/>
      <c r="E5" s="219"/>
      <c r="F5" s="219"/>
      <c r="G5" s="219"/>
      <c r="H5" s="219"/>
      <c r="I5" s="219"/>
    </row>
    <row r="6" spans="1:10" ht="43.9" customHeight="1">
      <c r="A6" s="10" t="s">
        <v>96</v>
      </c>
      <c r="B6" s="219"/>
      <c r="C6" s="219"/>
      <c r="D6" s="219"/>
      <c r="E6" s="219"/>
      <c r="F6" s="219"/>
      <c r="G6" s="219"/>
      <c r="H6" s="219"/>
      <c r="I6" s="219"/>
    </row>
    <row r="7" spans="1:10" ht="13.5">
      <c r="A7" s="235"/>
      <c r="B7" s="235"/>
      <c r="C7" s="235"/>
      <c r="D7" s="235"/>
      <c r="E7" s="235"/>
      <c r="F7" s="235"/>
      <c r="G7" s="235"/>
      <c r="H7" s="235"/>
      <c r="I7" s="235"/>
    </row>
    <row r="8" spans="1:10" ht="20.65">
      <c r="A8" s="152" t="s">
        <v>97</v>
      </c>
    </row>
    <row r="9" spans="1:10" ht="13.5">
      <c r="B9" s="115"/>
    </row>
    <row r="10" spans="1:10" ht="48.75" customHeight="1">
      <c r="A10" s="10" t="s">
        <v>166</v>
      </c>
      <c r="B10" s="10"/>
      <c r="C10" s="10"/>
      <c r="D10" s="10"/>
      <c r="E10" s="10"/>
      <c r="F10" s="10"/>
      <c r="G10" s="10"/>
      <c r="H10" s="10"/>
      <c r="I10" s="10"/>
      <c r="J10" s="10"/>
    </row>
    <row r="11" spans="1:10" ht="57.4" customHeight="1">
      <c r="A11" s="10" t="s">
        <v>167</v>
      </c>
      <c r="B11" s="10"/>
      <c r="C11" s="10"/>
      <c r="D11" s="10"/>
      <c r="E11" s="10"/>
      <c r="F11" s="10"/>
      <c r="G11" s="10"/>
      <c r="H11" s="10"/>
      <c r="I11" s="10"/>
      <c r="J11" s="10"/>
    </row>
    <row r="12" spans="1:10" ht="29.25" customHeight="1">
      <c r="A12" s="10" t="s">
        <v>168</v>
      </c>
      <c r="B12" s="10"/>
      <c r="C12" s="10"/>
      <c r="D12" s="10"/>
      <c r="E12" s="10"/>
      <c r="F12" s="10"/>
      <c r="G12" s="10"/>
      <c r="H12" s="10"/>
      <c r="I12" s="10"/>
      <c r="J12" s="10"/>
    </row>
    <row r="14" spans="1:10">
      <c r="A14" s="22"/>
      <c r="B14" s="22"/>
      <c r="C14" s="22"/>
      <c r="D14" s="22"/>
      <c r="E14" s="22"/>
      <c r="F14" s="22"/>
      <c r="G14" s="22"/>
      <c r="H14" s="22"/>
      <c r="I14" s="22"/>
      <c r="J14" s="22"/>
    </row>
    <row r="15" spans="1:10" ht="81.75" customHeight="1">
      <c r="A15" s="22"/>
      <c r="B15" s="232"/>
      <c r="C15" s="232"/>
      <c r="D15" s="22"/>
      <c r="E15" s="22"/>
      <c r="F15" s="22"/>
      <c r="G15" s="22"/>
      <c r="H15" s="22"/>
      <c r="I15" s="22"/>
      <c r="J15" s="22"/>
    </row>
    <row r="16" spans="1:10" ht="51" customHeight="1">
      <c r="A16" s="22"/>
      <c r="B16" s="22"/>
      <c r="C16" s="22"/>
      <c r="D16" s="22"/>
      <c r="E16" s="22"/>
      <c r="F16" s="22"/>
      <c r="G16" s="22"/>
      <c r="H16" s="22"/>
      <c r="I16" s="22"/>
      <c r="J16" s="22"/>
    </row>
    <row r="17" spans="1:10" ht="63.75" customHeight="1">
      <c r="A17" s="22"/>
      <c r="B17" s="22"/>
      <c r="C17" s="22"/>
      <c r="D17" s="22"/>
      <c r="E17" s="22"/>
      <c r="F17" s="22"/>
      <c r="G17" s="22"/>
      <c r="H17" s="22"/>
      <c r="I17" s="22"/>
      <c r="J17" s="22"/>
    </row>
    <row r="18" spans="1:10" ht="20.25" customHeight="1">
      <c r="A18" s="22"/>
      <c r="B18" s="22"/>
      <c r="C18" s="22"/>
      <c r="D18" s="22"/>
      <c r="E18" s="22"/>
      <c r="F18" s="22"/>
      <c r="G18" s="22"/>
      <c r="H18" s="22"/>
      <c r="I18" s="22"/>
      <c r="J18" s="22"/>
    </row>
    <row r="19" spans="1:10" ht="34.5" customHeight="1">
      <c r="A19" s="22"/>
      <c r="B19" s="22"/>
      <c r="C19" s="22"/>
      <c r="D19" s="22"/>
      <c r="E19" s="22"/>
      <c r="F19" s="22"/>
      <c r="G19" s="22"/>
      <c r="H19" s="22"/>
      <c r="I19" s="22"/>
      <c r="J19" s="22"/>
    </row>
    <row r="20" spans="1:10" ht="34.5" customHeight="1">
      <c r="A20" s="22"/>
      <c r="B20" s="22"/>
      <c r="C20" s="22"/>
      <c r="D20" s="22"/>
      <c r="E20" s="22"/>
      <c r="F20" s="22"/>
      <c r="G20" s="22"/>
      <c r="H20" s="22"/>
      <c r="I20" s="22"/>
      <c r="J20" s="22"/>
    </row>
    <row r="21" spans="1:10" ht="33.75" customHeight="1">
      <c r="A21" s="22"/>
      <c r="B21" s="22"/>
      <c r="C21" s="22"/>
      <c r="D21" s="22"/>
      <c r="E21" s="22"/>
      <c r="F21" s="22"/>
      <c r="G21" s="22"/>
      <c r="H21" s="22"/>
      <c r="I21" s="22"/>
      <c r="J21" s="22"/>
    </row>
    <row r="22" spans="1:10" ht="62.25" customHeight="1">
      <c r="A22" s="22"/>
      <c r="B22" s="22"/>
      <c r="C22" s="22"/>
      <c r="D22" s="22"/>
      <c r="E22" s="22"/>
      <c r="F22" s="22"/>
      <c r="G22" s="22"/>
      <c r="H22" s="22"/>
      <c r="I22" s="22"/>
      <c r="J22" s="22"/>
    </row>
  </sheetData>
  <mergeCells count="3">
    <mergeCell ref="A1:B1"/>
    <mergeCell ref="B15:C15"/>
    <mergeCell ref="A7:I7"/>
  </mergeCells>
  <pageMargins left="0.70866141732283472" right="0.70866141732283472" top="0.74803149606299213" bottom="0.74803149606299213" header="0.31496062992125984" footer="0.31496062992125984"/>
  <pageSetup paperSize="9" scale="53" orientation="portrait" r:id="rId1"/>
  <headerFooter>
    <oddFooter>&amp;LAustralian Prudential Regulation Authority&amp;R&amp;P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C1ECE-DC27-4320-BA5F-B8665400BA11}">
  <sheetPr>
    <pageSetUpPr fitToPage="1"/>
  </sheetPr>
  <dimension ref="A1:J13"/>
  <sheetViews>
    <sheetView showGridLines="0" zoomScaleNormal="100" zoomScaleSheetLayoutView="100" workbookViewId="0">
      <selection activeCell="B13" sqref="B13"/>
    </sheetView>
  </sheetViews>
  <sheetFormatPr defaultColWidth="8.5625" defaultRowHeight="12.75"/>
  <cols>
    <col min="1" max="1" width="102.1875" style="113" customWidth="1"/>
    <col min="2" max="16384" width="8.5625" style="113"/>
  </cols>
  <sheetData>
    <row r="1" spans="1:10" ht="29.65">
      <c r="A1" s="232" t="s">
        <v>98</v>
      </c>
      <c r="B1" s="232"/>
      <c r="C1" s="2"/>
      <c r="D1" s="2"/>
      <c r="E1" s="2"/>
      <c r="F1" s="2"/>
      <c r="G1" s="2"/>
      <c r="H1" s="2"/>
      <c r="I1" s="2"/>
    </row>
    <row r="3" spans="1:10" ht="20.65">
      <c r="A3" s="152" t="s">
        <v>99</v>
      </c>
    </row>
    <row r="4" spans="1:10" ht="13.9">
      <c r="A4" s="116"/>
    </row>
    <row r="5" spans="1:10" ht="38.25">
      <c r="A5" s="10" t="s">
        <v>169</v>
      </c>
      <c r="B5" s="10"/>
      <c r="C5" s="10"/>
      <c r="D5" s="10"/>
      <c r="E5" s="10"/>
      <c r="F5" s="10"/>
      <c r="G5" s="10"/>
      <c r="H5" s="10"/>
      <c r="I5" s="10"/>
      <c r="J5" s="10"/>
    </row>
    <row r="6" spans="1:10" ht="56.65" customHeight="1">
      <c r="A6" s="10" t="s">
        <v>170</v>
      </c>
      <c r="B6" s="10"/>
      <c r="C6" s="10"/>
      <c r="D6" s="10"/>
      <c r="E6" s="10"/>
      <c r="F6" s="10"/>
      <c r="G6" s="10"/>
      <c r="H6" s="10"/>
      <c r="I6" s="10"/>
      <c r="J6" s="10"/>
    </row>
    <row r="7" spans="1:10" ht="25.5">
      <c r="A7" s="10" t="s">
        <v>171</v>
      </c>
      <c r="B7" s="10"/>
      <c r="C7" s="10"/>
      <c r="D7" s="10"/>
      <c r="E7" s="10"/>
      <c r="F7" s="10"/>
      <c r="G7" s="10"/>
      <c r="H7" s="10"/>
      <c r="I7" s="10"/>
      <c r="J7" s="10"/>
    </row>
    <row r="8" spans="1:10" ht="40.9" customHeight="1">
      <c r="A8" s="10" t="s">
        <v>172</v>
      </c>
      <c r="B8" s="10"/>
      <c r="C8" s="10"/>
      <c r="D8" s="10"/>
      <c r="E8" s="10"/>
      <c r="F8" s="10"/>
      <c r="G8" s="10"/>
      <c r="H8" s="10"/>
      <c r="I8" s="10"/>
      <c r="J8" s="10"/>
    </row>
    <row r="9" spans="1:10" ht="18.399999999999999" customHeight="1">
      <c r="A9" s="10" t="s">
        <v>173</v>
      </c>
      <c r="B9" s="10"/>
      <c r="C9" s="10"/>
      <c r="D9" s="10"/>
      <c r="E9" s="10"/>
      <c r="F9" s="10"/>
      <c r="G9" s="10"/>
      <c r="H9" s="10"/>
      <c r="I9" s="10"/>
      <c r="J9" s="10"/>
    </row>
    <row r="10" spans="1:10" ht="15" customHeight="1">
      <c r="A10" s="10" t="s">
        <v>174</v>
      </c>
      <c r="B10" s="10"/>
      <c r="C10" s="10"/>
      <c r="D10" s="10"/>
      <c r="E10" s="10"/>
      <c r="F10" s="10"/>
      <c r="G10" s="10"/>
      <c r="H10" s="10"/>
      <c r="I10" s="10"/>
      <c r="J10" s="10"/>
    </row>
    <row r="11" spans="1:10" ht="20.25" customHeight="1">
      <c r="A11" s="10" t="s">
        <v>175</v>
      </c>
      <c r="B11" s="10"/>
      <c r="C11" s="10"/>
      <c r="D11" s="10"/>
      <c r="E11" s="10"/>
      <c r="F11" s="10"/>
      <c r="G11" s="10"/>
      <c r="H11" s="10"/>
      <c r="I11" s="10"/>
      <c r="J11" s="10"/>
    </row>
    <row r="12" spans="1:10" ht="34.5" customHeight="1">
      <c r="A12" s="10" t="s">
        <v>176</v>
      </c>
      <c r="B12" s="10"/>
      <c r="C12" s="10"/>
      <c r="D12" s="10"/>
      <c r="E12" s="10"/>
      <c r="F12" s="10"/>
      <c r="G12" s="10"/>
      <c r="H12" s="10"/>
      <c r="I12" s="10"/>
      <c r="J12" s="10"/>
    </row>
    <row r="13" spans="1:10" ht="62.25" customHeight="1">
      <c r="A13" s="10" t="s">
        <v>177</v>
      </c>
      <c r="B13" s="10"/>
      <c r="C13" s="10"/>
      <c r="D13" s="10"/>
      <c r="E13" s="10"/>
      <c r="F13" s="10"/>
      <c r="G13" s="10"/>
      <c r="H13" s="10"/>
      <c r="I13" s="10"/>
      <c r="J13" s="10"/>
    </row>
  </sheetData>
  <mergeCells count="1">
    <mergeCell ref="A1:B1"/>
  </mergeCells>
  <pageMargins left="0.70866141732283472" right="0.70866141732283472" top="0.74803149606299213" bottom="0.74803149606299213" header="0.31496062992125984" footer="0.31496062992125984"/>
  <pageSetup paperSize="9" scale="51" orientation="portrait" r:id="rId1"/>
  <headerFooter>
    <oddFooter>&amp;LAustralian Prudential Regulation Authority&amp;R&amp;P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1A26-F060-4F03-BB92-CD4E964F9F86}">
  <sheetPr>
    <pageSetUpPr fitToPage="1"/>
  </sheetPr>
  <dimension ref="A1:N219"/>
  <sheetViews>
    <sheetView showGridLines="0" showWhiteSpace="0" zoomScaleNormal="100" zoomScaleSheetLayoutView="100" workbookViewId="0">
      <selection sqref="A1:N2"/>
    </sheetView>
  </sheetViews>
  <sheetFormatPr defaultColWidth="9.625" defaultRowHeight="13.5"/>
  <cols>
    <col min="1" max="14" width="8.4375" style="117" customWidth="1"/>
    <col min="15" max="16384" width="9.625" style="117"/>
  </cols>
  <sheetData>
    <row r="1" spans="1:14" ht="15" customHeight="1">
      <c r="A1" s="237" t="s">
        <v>100</v>
      </c>
      <c r="B1" s="237"/>
      <c r="C1" s="237"/>
      <c r="D1" s="237"/>
      <c r="E1" s="237"/>
      <c r="F1" s="237"/>
      <c r="G1" s="237"/>
      <c r="H1" s="237"/>
      <c r="I1" s="237"/>
      <c r="J1" s="238"/>
      <c r="K1" s="238"/>
      <c r="L1" s="238"/>
      <c r="M1" s="238"/>
      <c r="N1" s="238"/>
    </row>
    <row r="2" spans="1:14" ht="15" customHeight="1">
      <c r="A2" s="237"/>
      <c r="B2" s="237"/>
      <c r="C2" s="237"/>
      <c r="D2" s="237"/>
      <c r="E2" s="237"/>
      <c r="F2" s="237"/>
      <c r="G2" s="237"/>
      <c r="H2" s="237"/>
      <c r="I2" s="237"/>
      <c r="J2" s="238"/>
      <c r="K2" s="238"/>
      <c r="L2" s="238"/>
      <c r="M2" s="238"/>
      <c r="N2" s="238"/>
    </row>
    <row r="3" spans="1:14" ht="15" customHeight="1"/>
    <row r="4" spans="1:14" ht="15" customHeight="1">
      <c r="A4" s="118"/>
      <c r="B4" s="118"/>
      <c r="C4" s="118"/>
      <c r="D4" s="118"/>
      <c r="E4" s="118"/>
      <c r="F4" s="118"/>
      <c r="G4" s="118"/>
      <c r="H4" s="118"/>
      <c r="I4" s="118"/>
      <c r="J4" s="118"/>
      <c r="K4" s="118"/>
      <c r="L4" s="118"/>
      <c r="M4" s="118"/>
      <c r="N4" s="118"/>
    </row>
    <row r="5" spans="1:14" ht="15" customHeight="1">
      <c r="A5" s="118"/>
      <c r="B5" s="119" t="s">
        <v>101</v>
      </c>
      <c r="C5" s="118"/>
      <c r="D5" s="118"/>
      <c r="E5" s="118"/>
      <c r="F5" s="118"/>
      <c r="G5" s="118"/>
      <c r="H5" s="118"/>
      <c r="I5" s="118"/>
      <c r="J5" s="118"/>
      <c r="K5" s="118"/>
      <c r="L5" s="118"/>
      <c r="M5" s="118"/>
      <c r="N5" s="118"/>
    </row>
    <row r="6" spans="1:14" ht="15" customHeight="1">
      <c r="A6" s="118"/>
      <c r="B6" s="118"/>
      <c r="C6" s="120"/>
      <c r="D6" s="120"/>
      <c r="E6" s="120"/>
      <c r="F6" s="120"/>
      <c r="G6" s="120"/>
      <c r="H6" s="120"/>
      <c r="I6" s="120"/>
      <c r="J6" s="118"/>
      <c r="K6" s="118"/>
      <c r="L6" s="118"/>
      <c r="M6" s="118"/>
      <c r="N6" s="118"/>
    </row>
    <row r="7" spans="1:14" ht="15" customHeight="1">
      <c r="A7" s="118"/>
      <c r="B7" s="121" t="s">
        <v>102</v>
      </c>
      <c r="C7" s="120"/>
      <c r="D7" s="120"/>
      <c r="E7" s="120"/>
      <c r="F7" s="120"/>
      <c r="G7" s="120"/>
      <c r="H7" s="120"/>
      <c r="I7" s="120"/>
      <c r="J7" s="118"/>
      <c r="K7" s="118"/>
      <c r="L7" s="118"/>
      <c r="M7" s="118"/>
      <c r="N7" s="118"/>
    </row>
    <row r="8" spans="1:14" ht="15" customHeight="1">
      <c r="A8" s="118"/>
      <c r="B8" s="122" t="s">
        <v>103</v>
      </c>
      <c r="C8" s="120"/>
      <c r="D8" s="120"/>
      <c r="E8" s="120"/>
      <c r="F8" s="120"/>
      <c r="G8" s="120"/>
      <c r="H8" s="120"/>
      <c r="I8" s="120"/>
      <c r="J8" s="118"/>
      <c r="K8" s="118"/>
      <c r="L8" s="118"/>
      <c r="M8" s="118"/>
      <c r="N8" s="118"/>
    </row>
    <row r="9" spans="1:14" ht="15" customHeight="1">
      <c r="A9" s="118"/>
      <c r="B9" s="118"/>
      <c r="C9" s="120"/>
      <c r="D9" s="120"/>
      <c r="E9" s="120"/>
      <c r="F9" s="120"/>
      <c r="G9" s="120"/>
      <c r="H9" s="120"/>
      <c r="I9" s="120"/>
      <c r="J9" s="118"/>
      <c r="K9" s="118"/>
      <c r="L9" s="118"/>
      <c r="M9" s="118"/>
      <c r="N9" s="118"/>
    </row>
    <row r="10" spans="1:14" ht="15" customHeight="1">
      <c r="A10" s="118"/>
      <c r="B10" s="121" t="s">
        <v>104</v>
      </c>
      <c r="C10" s="120"/>
      <c r="D10" s="120"/>
      <c r="E10" s="120"/>
      <c r="F10" s="120"/>
      <c r="G10" s="120"/>
      <c r="H10" s="120"/>
      <c r="I10" s="120"/>
      <c r="J10" s="118"/>
      <c r="K10" s="118"/>
      <c r="L10" s="118"/>
      <c r="M10" s="118"/>
      <c r="N10" s="118"/>
    </row>
    <row r="11" spans="1:14" ht="15" customHeight="1">
      <c r="A11" s="118"/>
      <c r="B11" s="123"/>
      <c r="C11" s="120"/>
      <c r="D11" s="120"/>
      <c r="E11" s="120"/>
      <c r="F11" s="120"/>
      <c r="G11" s="120"/>
      <c r="H11" s="120"/>
      <c r="I11" s="120"/>
      <c r="J11" s="118"/>
      <c r="K11" s="118"/>
      <c r="L11" s="118"/>
      <c r="M11" s="118"/>
      <c r="N11" s="118"/>
    </row>
    <row r="12" spans="1:14" ht="15" customHeight="1">
      <c r="A12" s="118"/>
      <c r="B12" s="122" t="s">
        <v>105</v>
      </c>
      <c r="C12" s="120"/>
      <c r="D12" s="120"/>
      <c r="E12" s="120"/>
      <c r="F12" s="120"/>
      <c r="G12" s="120"/>
      <c r="H12" s="120"/>
      <c r="I12" s="120"/>
      <c r="J12" s="118"/>
      <c r="K12" s="118"/>
      <c r="L12" s="118"/>
      <c r="M12" s="118"/>
      <c r="N12" s="118"/>
    </row>
    <row r="13" spans="1:14" ht="15" customHeight="1">
      <c r="A13" s="118"/>
      <c r="B13" s="118"/>
      <c r="C13" s="120"/>
      <c r="D13" s="120"/>
      <c r="E13" s="120"/>
      <c r="F13" s="120"/>
      <c r="G13" s="120"/>
      <c r="H13" s="120"/>
      <c r="I13" s="120"/>
      <c r="J13" s="118"/>
      <c r="K13" s="118"/>
      <c r="L13" s="118"/>
      <c r="M13" s="118"/>
      <c r="N13" s="118"/>
    </row>
    <row r="14" spans="1:14" ht="15" customHeight="1">
      <c r="A14" s="118"/>
      <c r="B14" s="239" t="s">
        <v>106</v>
      </c>
      <c r="C14" s="239"/>
      <c r="D14" s="239"/>
      <c r="E14" s="239"/>
      <c r="F14" s="239"/>
      <c r="G14" s="239"/>
      <c r="H14" s="239"/>
      <c r="I14" s="239"/>
      <c r="J14" s="239"/>
      <c r="K14" s="239"/>
      <c r="L14" s="118"/>
      <c r="M14" s="118"/>
      <c r="N14" s="118"/>
    </row>
    <row r="15" spans="1:14" ht="15" customHeight="1">
      <c r="A15" s="118"/>
      <c r="B15" s="239"/>
      <c r="C15" s="239"/>
      <c r="D15" s="239"/>
      <c r="E15" s="239"/>
      <c r="F15" s="239"/>
      <c r="G15" s="239"/>
      <c r="H15" s="239"/>
      <c r="I15" s="239"/>
      <c r="J15" s="239"/>
      <c r="K15" s="239"/>
      <c r="L15" s="118"/>
      <c r="M15" s="118"/>
      <c r="N15" s="118"/>
    </row>
    <row r="16" spans="1:14" ht="15" customHeight="1">
      <c r="A16" s="118"/>
      <c r="B16" s="123"/>
      <c r="C16" s="120"/>
      <c r="D16" s="120"/>
      <c r="E16" s="120"/>
      <c r="F16" s="120"/>
      <c r="G16" s="120"/>
      <c r="H16" s="120"/>
      <c r="I16" s="120"/>
      <c r="J16" s="118"/>
      <c r="K16" s="118"/>
      <c r="L16" s="118"/>
      <c r="M16" s="118"/>
      <c r="N16" s="118"/>
    </row>
    <row r="17" spans="1:14" ht="15" customHeight="1">
      <c r="A17" s="118"/>
      <c r="B17" s="122" t="s">
        <v>107</v>
      </c>
      <c r="C17" s="120"/>
      <c r="D17" s="120"/>
      <c r="E17" s="120"/>
      <c r="F17" s="120"/>
      <c r="G17" s="120"/>
      <c r="H17" s="120"/>
      <c r="I17" s="120"/>
      <c r="J17" s="118"/>
      <c r="K17" s="118"/>
      <c r="L17" s="118"/>
      <c r="M17" s="118"/>
      <c r="N17" s="118"/>
    </row>
    <row r="18" spans="1:14" ht="15" customHeight="1">
      <c r="A18" s="118"/>
      <c r="B18" s="123"/>
      <c r="C18" s="120"/>
      <c r="D18" s="120"/>
      <c r="E18" s="120"/>
      <c r="F18" s="120"/>
      <c r="G18" s="120"/>
      <c r="H18" s="120"/>
      <c r="I18" s="120"/>
      <c r="J18" s="118"/>
      <c r="K18" s="118"/>
      <c r="L18" s="118"/>
      <c r="M18" s="118"/>
      <c r="N18" s="118"/>
    </row>
    <row r="19" spans="1:14" ht="15" customHeight="1">
      <c r="A19" s="118"/>
      <c r="B19" s="236" t="s">
        <v>108</v>
      </c>
      <c r="C19" s="236"/>
      <c r="D19" s="236"/>
      <c r="E19" s="236"/>
      <c r="F19" s="236"/>
      <c r="G19" s="236"/>
      <c r="H19" s="236"/>
      <c r="I19" s="236"/>
      <c r="J19" s="236"/>
      <c r="K19" s="236"/>
      <c r="L19" s="236"/>
      <c r="M19" s="118"/>
      <c r="N19" s="118"/>
    </row>
    <row r="20" spans="1:14" ht="15" customHeight="1">
      <c r="A20" s="118"/>
      <c r="B20" s="236"/>
      <c r="C20" s="236"/>
      <c r="D20" s="236"/>
      <c r="E20" s="236"/>
      <c r="F20" s="236"/>
      <c r="G20" s="236"/>
      <c r="H20" s="236"/>
      <c r="I20" s="236"/>
      <c r="J20" s="236"/>
      <c r="K20" s="236"/>
      <c r="L20" s="236"/>
      <c r="M20" s="118"/>
      <c r="N20" s="118"/>
    </row>
    <row r="21" spans="1:14" ht="15" customHeight="1">
      <c r="A21" s="118"/>
      <c r="B21" s="236"/>
      <c r="C21" s="236"/>
      <c r="D21" s="236"/>
      <c r="E21" s="236"/>
      <c r="F21" s="236"/>
      <c r="G21" s="236"/>
      <c r="H21" s="236"/>
      <c r="I21" s="236"/>
      <c r="J21" s="236"/>
      <c r="K21" s="236"/>
      <c r="L21" s="236"/>
      <c r="M21" s="118"/>
      <c r="N21" s="118"/>
    </row>
    <row r="22" spans="1:14" ht="15" customHeight="1">
      <c r="A22" s="118"/>
      <c r="B22" s="124"/>
      <c r="C22" s="124"/>
      <c r="D22" s="124"/>
      <c r="E22" s="124"/>
      <c r="F22" s="124"/>
      <c r="G22" s="124"/>
      <c r="H22" s="124"/>
      <c r="I22" s="124"/>
      <c r="J22" s="124"/>
      <c r="K22" s="124"/>
      <c r="L22" s="124"/>
      <c r="M22" s="118"/>
      <c r="N22" s="118"/>
    </row>
    <row r="23" spans="1:14" ht="15" customHeight="1">
      <c r="A23" s="118"/>
      <c r="B23" s="122" t="s">
        <v>109</v>
      </c>
      <c r="C23" s="120"/>
      <c r="D23" s="120"/>
      <c r="E23" s="120"/>
      <c r="F23" s="120"/>
      <c r="G23" s="120"/>
      <c r="H23" s="120"/>
      <c r="I23" s="120"/>
      <c r="J23" s="118"/>
      <c r="K23" s="118"/>
      <c r="L23" s="118"/>
      <c r="M23" s="118"/>
      <c r="N23" s="118"/>
    </row>
    <row r="24" spans="1:14" ht="15" customHeight="1">
      <c r="A24" s="118"/>
      <c r="B24" s="123"/>
      <c r="C24" s="120"/>
      <c r="D24" s="120"/>
      <c r="E24" s="120"/>
      <c r="F24" s="120"/>
      <c r="G24" s="120"/>
      <c r="H24" s="120"/>
      <c r="I24" s="120"/>
      <c r="J24" s="118"/>
      <c r="K24" s="118"/>
      <c r="L24" s="118"/>
      <c r="M24" s="118"/>
      <c r="N24" s="118"/>
    </row>
    <row r="25" spans="1:14" ht="15" customHeight="1">
      <c r="A25" s="118"/>
      <c r="B25" s="236" t="s">
        <v>110</v>
      </c>
      <c r="C25" s="236"/>
      <c r="D25" s="236"/>
      <c r="E25" s="236"/>
      <c r="F25" s="236"/>
      <c r="G25" s="236"/>
      <c r="H25" s="236"/>
      <c r="I25" s="236"/>
      <c r="J25" s="236"/>
      <c r="K25" s="236"/>
      <c r="L25" s="236"/>
      <c r="M25" s="118"/>
      <c r="N25" s="118"/>
    </row>
    <row r="26" spans="1:14" ht="15" customHeight="1">
      <c r="A26" s="118"/>
      <c r="B26" s="236"/>
      <c r="C26" s="236"/>
      <c r="D26" s="236"/>
      <c r="E26" s="236"/>
      <c r="F26" s="236"/>
      <c r="G26" s="236"/>
      <c r="H26" s="236"/>
      <c r="I26" s="236"/>
      <c r="J26" s="236"/>
      <c r="K26" s="236"/>
      <c r="L26" s="236"/>
      <c r="M26" s="118"/>
      <c r="N26" s="118"/>
    </row>
    <row r="27" spans="1:14" ht="15" customHeight="1">
      <c r="A27" s="118"/>
      <c r="B27" s="125"/>
      <c r="C27" s="125"/>
      <c r="D27" s="125"/>
      <c r="E27" s="125"/>
      <c r="F27" s="125"/>
      <c r="G27" s="125"/>
      <c r="H27" s="125"/>
      <c r="I27" s="125"/>
      <c r="J27" s="118"/>
      <c r="K27" s="118"/>
      <c r="L27" s="118"/>
      <c r="M27" s="118"/>
      <c r="N27" s="118"/>
    </row>
    <row r="28" spans="1:14" ht="15" customHeight="1">
      <c r="A28" s="118"/>
      <c r="B28" s="122" t="s">
        <v>111</v>
      </c>
      <c r="C28" s="120"/>
      <c r="D28" s="120"/>
      <c r="E28" s="120"/>
      <c r="F28" s="120"/>
      <c r="G28" s="120"/>
      <c r="H28" s="120"/>
      <c r="I28" s="120"/>
      <c r="J28" s="118"/>
      <c r="K28" s="118"/>
      <c r="L28" s="118"/>
      <c r="M28" s="118"/>
      <c r="N28" s="118"/>
    </row>
    <row r="29" spans="1:14" ht="15" customHeight="1">
      <c r="A29" s="118"/>
      <c r="B29" s="123"/>
      <c r="C29" s="120"/>
      <c r="D29" s="120"/>
      <c r="E29" s="120"/>
      <c r="F29" s="120"/>
      <c r="G29" s="120"/>
      <c r="H29" s="120"/>
      <c r="I29" s="120"/>
      <c r="J29" s="118"/>
      <c r="K29" s="118"/>
      <c r="L29" s="118"/>
      <c r="M29" s="118"/>
      <c r="N29" s="118"/>
    </row>
    <row r="30" spans="1:14" ht="15" customHeight="1">
      <c r="A30" s="118"/>
      <c r="B30" s="236" t="s">
        <v>112</v>
      </c>
      <c r="C30" s="236"/>
      <c r="D30" s="236"/>
      <c r="E30" s="236"/>
      <c r="F30" s="236"/>
      <c r="G30" s="236"/>
      <c r="H30" s="236"/>
      <c r="I30" s="236"/>
      <c r="J30" s="236"/>
      <c r="K30" s="236"/>
      <c r="L30" s="236"/>
      <c r="M30" s="118"/>
      <c r="N30" s="118"/>
    </row>
    <row r="31" spans="1:14" ht="15" customHeight="1">
      <c r="A31" s="118"/>
      <c r="B31" s="236"/>
      <c r="C31" s="236"/>
      <c r="D31" s="236"/>
      <c r="E31" s="236"/>
      <c r="F31" s="236"/>
      <c r="G31" s="236"/>
      <c r="H31" s="236"/>
      <c r="I31" s="236"/>
      <c r="J31" s="236"/>
      <c r="K31" s="236"/>
      <c r="L31" s="236"/>
      <c r="M31" s="118"/>
      <c r="N31" s="118"/>
    </row>
    <row r="32" spans="1:14" ht="15" customHeight="1">
      <c r="A32" s="118"/>
      <c r="B32" s="125"/>
      <c r="C32" s="125"/>
      <c r="D32" s="125"/>
      <c r="E32" s="125"/>
      <c r="F32" s="125"/>
      <c r="G32" s="125"/>
      <c r="H32" s="125"/>
      <c r="I32" s="125"/>
      <c r="J32" s="118"/>
      <c r="K32" s="118"/>
      <c r="L32" s="118"/>
      <c r="M32" s="118"/>
      <c r="N32" s="118"/>
    </row>
    <row r="33" spans="1:14" ht="15" customHeight="1">
      <c r="A33" s="118"/>
      <c r="B33" s="122" t="s">
        <v>113</v>
      </c>
      <c r="C33" s="120"/>
      <c r="D33" s="120"/>
      <c r="E33" s="120"/>
      <c r="F33" s="120"/>
      <c r="G33" s="120"/>
      <c r="H33" s="120"/>
      <c r="I33" s="120"/>
      <c r="J33" s="118"/>
      <c r="K33" s="118"/>
      <c r="L33" s="118"/>
      <c r="M33" s="118"/>
      <c r="N33" s="118"/>
    </row>
    <row r="34" spans="1:14" ht="15" customHeight="1">
      <c r="A34" s="118"/>
      <c r="B34" s="123"/>
      <c r="C34" s="120"/>
      <c r="D34" s="120"/>
      <c r="E34" s="120"/>
      <c r="F34" s="120"/>
      <c r="G34" s="120"/>
      <c r="H34" s="120"/>
      <c r="I34" s="120"/>
      <c r="J34" s="118"/>
      <c r="K34" s="118"/>
      <c r="L34" s="118"/>
      <c r="M34" s="118"/>
      <c r="N34" s="118"/>
    </row>
    <row r="35" spans="1:14" ht="15" customHeight="1">
      <c r="A35" s="118"/>
      <c r="B35" s="236" t="s">
        <v>114</v>
      </c>
      <c r="C35" s="236"/>
      <c r="D35" s="236"/>
      <c r="E35" s="236"/>
      <c r="F35" s="236"/>
      <c r="G35" s="236"/>
      <c r="H35" s="236"/>
      <c r="I35" s="236"/>
      <c r="J35" s="236"/>
      <c r="K35" s="236"/>
      <c r="L35" s="236"/>
      <c r="M35" s="118"/>
      <c r="N35" s="118"/>
    </row>
    <row r="36" spans="1:14" ht="15" customHeight="1">
      <c r="A36" s="118"/>
      <c r="B36" s="236"/>
      <c r="C36" s="236"/>
      <c r="D36" s="236"/>
      <c r="E36" s="236"/>
      <c r="F36" s="236"/>
      <c r="G36" s="236"/>
      <c r="H36" s="236"/>
      <c r="I36" s="236"/>
      <c r="J36" s="236"/>
      <c r="K36" s="236"/>
      <c r="L36" s="236"/>
      <c r="M36" s="118"/>
      <c r="N36" s="118"/>
    </row>
    <row r="37" spans="1:14" ht="15" customHeight="1">
      <c r="A37" s="118"/>
      <c r="B37" s="122" t="s">
        <v>115</v>
      </c>
      <c r="C37" s="120"/>
      <c r="D37" s="120"/>
      <c r="E37" s="120"/>
      <c r="F37" s="120"/>
      <c r="G37" s="120"/>
      <c r="H37" s="120"/>
      <c r="I37" s="120"/>
      <c r="J37" s="118"/>
      <c r="K37" s="118"/>
      <c r="L37" s="118"/>
      <c r="M37" s="118"/>
      <c r="N37" s="118"/>
    </row>
    <row r="38" spans="1:14" ht="15" customHeight="1">
      <c r="A38" s="118"/>
      <c r="B38" s="123"/>
      <c r="C38" s="120"/>
      <c r="D38" s="120"/>
      <c r="E38" s="120"/>
      <c r="F38" s="120"/>
      <c r="G38" s="120"/>
      <c r="H38" s="120"/>
      <c r="I38" s="120"/>
      <c r="J38" s="118"/>
      <c r="K38" s="118"/>
      <c r="L38" s="118"/>
      <c r="M38" s="118"/>
      <c r="N38" s="118"/>
    </row>
    <row r="39" spans="1:14" ht="15" customHeight="1">
      <c r="A39" s="118"/>
      <c r="B39" s="236" t="s">
        <v>116</v>
      </c>
      <c r="C39" s="236"/>
      <c r="D39" s="236"/>
      <c r="E39" s="236"/>
      <c r="F39" s="236"/>
      <c r="G39" s="236"/>
      <c r="H39" s="236"/>
      <c r="I39" s="236"/>
      <c r="J39" s="236"/>
      <c r="K39" s="236"/>
      <c r="L39" s="236"/>
      <c r="M39" s="118"/>
      <c r="N39" s="118"/>
    </row>
    <row r="40" spans="1:14" ht="15" customHeight="1">
      <c r="A40" s="118"/>
      <c r="B40" s="236"/>
      <c r="C40" s="236"/>
      <c r="D40" s="236"/>
      <c r="E40" s="236"/>
      <c r="F40" s="236"/>
      <c r="G40" s="236"/>
      <c r="H40" s="236"/>
      <c r="I40" s="236"/>
      <c r="J40" s="236"/>
      <c r="K40" s="236"/>
      <c r="L40" s="236"/>
      <c r="M40" s="118"/>
      <c r="N40" s="118"/>
    </row>
    <row r="41" spans="1:14" ht="15" customHeight="1">
      <c r="A41" s="118"/>
      <c r="B41" s="125"/>
      <c r="C41" s="125"/>
      <c r="D41" s="125"/>
      <c r="E41" s="125"/>
      <c r="F41" s="125"/>
      <c r="G41" s="125"/>
      <c r="H41" s="125"/>
      <c r="I41" s="125"/>
      <c r="J41" s="118"/>
      <c r="K41" s="118"/>
      <c r="L41" s="118"/>
      <c r="M41" s="118"/>
      <c r="N41" s="118"/>
    </row>
    <row r="42" spans="1:14" ht="15" customHeight="1">
      <c r="A42" s="118"/>
      <c r="B42" s="122" t="s">
        <v>117</v>
      </c>
      <c r="C42" s="120"/>
      <c r="D42" s="120"/>
      <c r="E42" s="120"/>
      <c r="F42" s="120"/>
      <c r="G42" s="120"/>
      <c r="H42" s="120"/>
      <c r="I42" s="120"/>
      <c r="J42" s="118"/>
      <c r="K42" s="118"/>
      <c r="L42" s="118"/>
      <c r="M42" s="118"/>
      <c r="N42" s="118"/>
    </row>
    <row r="43" spans="1:14" ht="15" customHeight="1">
      <c r="A43" s="118"/>
      <c r="B43" s="123"/>
      <c r="C43" s="120"/>
      <c r="D43" s="120"/>
      <c r="E43" s="120"/>
      <c r="F43" s="120"/>
      <c r="G43" s="120"/>
      <c r="H43" s="120"/>
      <c r="I43" s="120"/>
      <c r="J43" s="118"/>
      <c r="K43" s="118"/>
      <c r="L43" s="118"/>
      <c r="M43" s="118"/>
      <c r="N43" s="118"/>
    </row>
    <row r="44" spans="1:14" ht="15" customHeight="1">
      <c r="A44" s="118"/>
      <c r="B44" s="236" t="s">
        <v>118</v>
      </c>
      <c r="C44" s="236"/>
      <c r="D44" s="236"/>
      <c r="E44" s="236"/>
      <c r="F44" s="236"/>
      <c r="G44" s="236"/>
      <c r="H44" s="236"/>
      <c r="I44" s="236"/>
      <c r="J44" s="236"/>
      <c r="K44" s="236"/>
      <c r="L44" s="236"/>
      <c r="M44" s="118"/>
      <c r="N44" s="118"/>
    </row>
    <row r="45" spans="1:14" ht="15" customHeight="1">
      <c r="A45" s="118"/>
      <c r="B45" s="236"/>
      <c r="C45" s="236"/>
      <c r="D45" s="236"/>
      <c r="E45" s="236"/>
      <c r="F45" s="236"/>
      <c r="G45" s="236"/>
      <c r="H45" s="236"/>
      <c r="I45" s="236"/>
      <c r="J45" s="236"/>
      <c r="K45" s="236"/>
      <c r="L45" s="236"/>
      <c r="M45" s="118"/>
      <c r="N45" s="118"/>
    </row>
    <row r="46" spans="1:14" ht="15" customHeight="1">
      <c r="A46" s="118"/>
      <c r="B46" s="125"/>
      <c r="C46" s="125"/>
      <c r="D46" s="125"/>
      <c r="E46" s="125"/>
      <c r="F46" s="125"/>
      <c r="G46" s="125"/>
      <c r="H46" s="125"/>
      <c r="I46" s="125"/>
      <c r="J46" s="118"/>
      <c r="K46" s="118"/>
      <c r="L46" s="118"/>
      <c r="M46" s="118"/>
      <c r="N46" s="118"/>
    </row>
    <row r="47" spans="1:14" ht="15" customHeight="1">
      <c r="A47" s="118"/>
      <c r="B47" s="119" t="s">
        <v>119</v>
      </c>
      <c r="C47" s="120"/>
      <c r="D47" s="120"/>
      <c r="E47" s="120"/>
      <c r="F47" s="120"/>
      <c r="G47" s="120"/>
      <c r="H47" s="120"/>
      <c r="I47" s="120"/>
      <c r="J47" s="118"/>
      <c r="K47" s="118"/>
      <c r="L47" s="118"/>
      <c r="M47" s="118"/>
      <c r="N47" s="118"/>
    </row>
    <row r="48" spans="1:14" ht="15" customHeight="1">
      <c r="A48" s="118"/>
      <c r="B48" s="120"/>
      <c r="C48" s="120"/>
      <c r="D48" s="120"/>
      <c r="E48" s="120"/>
      <c r="F48" s="120"/>
      <c r="G48" s="120"/>
      <c r="H48" s="120"/>
      <c r="I48" s="120"/>
      <c r="J48" s="118"/>
      <c r="K48" s="118"/>
      <c r="L48" s="118"/>
      <c r="M48" s="118"/>
      <c r="N48" s="118"/>
    </row>
    <row r="49" spans="1:14" ht="15" customHeight="1">
      <c r="A49" s="118"/>
      <c r="B49" s="236" t="s">
        <v>120</v>
      </c>
      <c r="C49" s="236"/>
      <c r="D49" s="236"/>
      <c r="E49" s="236"/>
      <c r="F49" s="236"/>
      <c r="G49" s="236"/>
      <c r="H49" s="236"/>
      <c r="I49" s="236"/>
      <c r="J49" s="236"/>
      <c r="K49" s="236"/>
      <c r="L49" s="118"/>
      <c r="M49" s="118"/>
      <c r="N49" s="118"/>
    </row>
    <row r="50" spans="1:14" ht="15" customHeight="1">
      <c r="A50" s="118"/>
      <c r="B50" s="236"/>
      <c r="C50" s="236"/>
      <c r="D50" s="236"/>
      <c r="E50" s="236"/>
      <c r="F50" s="236"/>
      <c r="G50" s="236"/>
      <c r="H50" s="236"/>
      <c r="I50" s="236"/>
      <c r="J50" s="236"/>
      <c r="K50" s="236"/>
      <c r="L50" s="118"/>
      <c r="M50" s="118"/>
      <c r="N50" s="118"/>
    </row>
    <row r="51" spans="1:14" ht="15" customHeight="1">
      <c r="A51" s="118"/>
      <c r="B51" s="236"/>
      <c r="C51" s="236"/>
      <c r="D51" s="236"/>
      <c r="E51" s="236"/>
      <c r="F51" s="236"/>
      <c r="G51" s="236"/>
      <c r="H51" s="236"/>
      <c r="I51" s="236"/>
      <c r="J51" s="236"/>
      <c r="K51" s="236"/>
      <c r="L51" s="118"/>
      <c r="M51" s="118"/>
      <c r="N51" s="118"/>
    </row>
    <row r="52" spans="1:14" ht="15" customHeight="1">
      <c r="A52" s="118"/>
      <c r="B52" s="118"/>
      <c r="C52" s="118"/>
      <c r="D52" s="118"/>
      <c r="E52" s="118"/>
      <c r="F52" s="118"/>
      <c r="G52" s="118"/>
      <c r="H52" s="118"/>
      <c r="I52" s="118"/>
      <c r="J52" s="118"/>
      <c r="K52" s="118"/>
      <c r="L52" s="118"/>
      <c r="M52" s="118"/>
      <c r="N52" s="118"/>
    </row>
    <row r="53" spans="1:14" ht="15" customHeight="1">
      <c r="A53" s="118"/>
      <c r="B53" s="122" t="s">
        <v>121</v>
      </c>
      <c r="C53" s="118"/>
      <c r="D53" s="118"/>
      <c r="E53" s="118"/>
      <c r="F53" s="118"/>
      <c r="G53" s="118"/>
      <c r="H53" s="118"/>
      <c r="I53" s="118"/>
      <c r="J53" s="118"/>
      <c r="K53" s="118"/>
      <c r="L53" s="118"/>
      <c r="M53" s="118"/>
      <c r="N53" s="118"/>
    </row>
    <row r="54" spans="1:14" ht="15" customHeight="1">
      <c r="A54" s="118"/>
      <c r="B54" s="118"/>
      <c r="C54" s="118"/>
      <c r="D54" s="118"/>
      <c r="E54" s="118"/>
      <c r="F54" s="118"/>
      <c r="G54" s="118"/>
      <c r="H54" s="118"/>
      <c r="I54" s="118"/>
      <c r="J54" s="118"/>
      <c r="K54" s="118"/>
      <c r="L54" s="118"/>
      <c r="M54" s="118"/>
      <c r="N54" s="118"/>
    </row>
    <row r="55" spans="1:14" ht="15" customHeight="1">
      <c r="A55" s="118"/>
      <c r="B55" s="118"/>
      <c r="C55" s="118"/>
      <c r="D55" s="118"/>
      <c r="E55" s="118"/>
      <c r="F55" s="118"/>
      <c r="G55" s="118"/>
      <c r="H55" s="118"/>
      <c r="I55" s="118"/>
      <c r="J55" s="118"/>
      <c r="K55" s="118"/>
      <c r="L55" s="118"/>
      <c r="M55" s="118"/>
      <c r="N55" s="118"/>
    </row>
    <row r="56" spans="1:14" ht="15" customHeight="1">
      <c r="A56" s="118"/>
      <c r="B56" s="118"/>
      <c r="C56" s="118"/>
      <c r="D56" s="118"/>
      <c r="E56" s="118"/>
      <c r="F56" s="118"/>
      <c r="G56" s="118"/>
      <c r="H56" s="118"/>
      <c r="I56" s="118"/>
      <c r="J56" s="118"/>
      <c r="K56" s="118"/>
      <c r="L56" s="118"/>
      <c r="M56" s="118"/>
      <c r="N56" s="118"/>
    </row>
    <row r="57" spans="1:14" ht="15" customHeight="1">
      <c r="A57" s="118"/>
      <c r="B57" s="118"/>
      <c r="C57" s="118"/>
      <c r="D57" s="118"/>
      <c r="E57" s="118"/>
      <c r="F57" s="118"/>
      <c r="G57" s="118"/>
      <c r="H57" s="118"/>
      <c r="I57" s="118"/>
      <c r="J57" s="118"/>
      <c r="K57" s="118"/>
      <c r="L57" s="118"/>
      <c r="M57" s="118"/>
      <c r="N57" s="118"/>
    </row>
    <row r="58" spans="1:14" ht="15" customHeight="1">
      <c r="A58" s="118"/>
      <c r="B58" s="118"/>
      <c r="C58" s="118"/>
      <c r="D58" s="118"/>
      <c r="E58" s="118"/>
      <c r="F58" s="118"/>
      <c r="G58" s="118"/>
      <c r="H58" s="118"/>
      <c r="I58" s="118"/>
      <c r="J58" s="118"/>
      <c r="K58" s="118"/>
      <c r="L58" s="118"/>
      <c r="M58" s="118"/>
      <c r="N58" s="118"/>
    </row>
    <row r="59" spans="1:14" ht="15" customHeight="1">
      <c r="A59" s="118"/>
      <c r="B59" s="118"/>
      <c r="C59" s="118"/>
      <c r="D59" s="118"/>
      <c r="E59" s="118"/>
      <c r="F59" s="118"/>
      <c r="G59" s="118"/>
      <c r="H59" s="118"/>
      <c r="I59" s="118"/>
      <c r="J59" s="118"/>
      <c r="K59" s="118"/>
      <c r="L59" s="118"/>
      <c r="M59" s="118"/>
      <c r="N59" s="118"/>
    </row>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sheetData>
  <mergeCells count="9">
    <mergeCell ref="B39:L40"/>
    <mergeCell ref="B44:L45"/>
    <mergeCell ref="B49:K51"/>
    <mergeCell ref="A1:N2"/>
    <mergeCell ref="B14:K15"/>
    <mergeCell ref="B19:L21"/>
    <mergeCell ref="B25:L26"/>
    <mergeCell ref="B30:L31"/>
    <mergeCell ref="B35:L36"/>
  </mergeCells>
  <hyperlinks>
    <hyperlink ref="B23" r:id="rId1" xr:uid="{7E398B67-EE71-4069-B464-12935649735F}"/>
    <hyperlink ref="B28" r:id="rId2" xr:uid="{3F1072EA-C1E0-487F-86DB-CB848DAD77D8}"/>
    <hyperlink ref="B33" r:id="rId3" xr:uid="{AAB25F7C-CFE7-4E9C-95C6-E1EC13CD1114}"/>
    <hyperlink ref="B37" r:id="rId4" xr:uid="{A07BE406-2970-42A0-8AFF-83A2679207EF}"/>
    <hyperlink ref="B42" r:id="rId5" xr:uid="{EEB2A676-A876-48B6-8A4E-60A989EC83E1}"/>
    <hyperlink ref="B17" r:id="rId6" xr:uid="{62E72BEA-E08F-4F03-90A7-0BB6BC25655F}"/>
    <hyperlink ref="B53" r:id="rId7" xr:uid="{1D6712A2-7680-4921-BCCD-4A528E2F486E}"/>
    <hyperlink ref="B8" r:id="rId8" xr:uid="{690BE905-530B-4DA0-A702-832A83A0BD2F}"/>
    <hyperlink ref="B12" r:id="rId9" xr:uid="{C5C141B2-77F5-4306-8B43-BA01B5DDEDE8}"/>
  </hyperlinks>
  <pageMargins left="0.70866141732283472" right="0.70866141732283472" top="0.74803149606299213" bottom="0.74803149606299213" header="0.31496062992125984" footer="0.31496062992125984"/>
  <pageSetup paperSize="9" scale="68" orientation="portrait" r:id="rId10"/>
  <headerFooter>
    <oddFooter>&amp;LAustralian Prudential Regulation Authority&amp;R&amp;P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17206"/>
  <sheetViews>
    <sheetView workbookViewId="0">
      <selection activeCell="D1" sqref="D1"/>
    </sheetView>
  </sheetViews>
  <sheetFormatPr defaultColWidth="11.5" defaultRowHeight="12.75"/>
  <cols>
    <col min="1" max="3" width="11.5" style="22"/>
    <col min="4" max="4" width="29.1875" style="22" customWidth="1"/>
    <col min="5" max="5" width="27.6875" style="22" customWidth="1"/>
    <col min="6" max="16384" width="11.5" style="22"/>
  </cols>
  <sheetData>
    <row r="1" spans="1:9">
      <c r="A1" s="22" t="s">
        <v>122</v>
      </c>
      <c r="B1" s="22" t="s">
        <v>123</v>
      </c>
      <c r="C1" s="22" t="s">
        <v>124</v>
      </c>
      <c r="D1" s="22" t="s">
        <v>125</v>
      </c>
      <c r="E1" s="22" t="s">
        <v>126</v>
      </c>
      <c r="F1" s="22" t="s">
        <v>127</v>
      </c>
      <c r="G1" s="22" t="s">
        <v>128</v>
      </c>
      <c r="H1" s="22" t="s">
        <v>129</v>
      </c>
      <c r="I1" s="22" t="s">
        <v>130</v>
      </c>
    </row>
    <row r="2" spans="1:9">
      <c r="A2" s="126" t="s">
        <v>122</v>
      </c>
      <c r="B2" s="126" t="s">
        <v>123</v>
      </c>
      <c r="C2" s="126" t="s">
        <v>124</v>
      </c>
      <c r="D2" s="126" t="s">
        <v>125</v>
      </c>
      <c r="E2" s="126" t="s">
        <v>126</v>
      </c>
      <c r="F2" s="126" t="s">
        <v>127</v>
      </c>
      <c r="G2" s="126" t="s">
        <v>128</v>
      </c>
      <c r="H2" s="126" t="s">
        <v>129</v>
      </c>
      <c r="I2" s="126" t="s">
        <v>130</v>
      </c>
    </row>
    <row r="3" spans="1:9">
      <c r="A3" s="126">
        <v>1995</v>
      </c>
      <c r="B3" s="126" t="s">
        <v>131</v>
      </c>
      <c r="C3" s="126" t="s">
        <v>26</v>
      </c>
      <c r="D3" s="126" t="s">
        <v>77</v>
      </c>
      <c r="E3" s="126" t="s">
        <v>132</v>
      </c>
      <c r="F3" s="126">
        <v>0</v>
      </c>
      <c r="G3" s="126">
        <v>0</v>
      </c>
      <c r="H3" s="126">
        <v>0</v>
      </c>
      <c r="I3" s="126">
        <v>0</v>
      </c>
    </row>
    <row r="4" spans="1:9">
      <c r="A4" s="126">
        <v>1995</v>
      </c>
      <c r="B4" s="126" t="s">
        <v>131</v>
      </c>
      <c r="C4" s="126" t="s">
        <v>26</v>
      </c>
      <c r="D4" s="126" t="s">
        <v>77</v>
      </c>
      <c r="E4" s="126" t="s">
        <v>133</v>
      </c>
      <c r="F4" s="126">
        <v>0</v>
      </c>
      <c r="G4" s="126">
        <v>0</v>
      </c>
      <c r="H4" s="126">
        <v>0</v>
      </c>
      <c r="I4" s="126">
        <v>0</v>
      </c>
    </row>
    <row r="5" spans="1:9">
      <c r="A5" s="126">
        <v>1995</v>
      </c>
      <c r="B5" s="126" t="s">
        <v>131</v>
      </c>
      <c r="C5" s="126" t="s">
        <v>26</v>
      </c>
      <c r="D5" s="126" t="s">
        <v>77</v>
      </c>
      <c r="E5" s="126" t="s">
        <v>134</v>
      </c>
      <c r="F5" s="126">
        <v>0</v>
      </c>
      <c r="G5" s="126">
        <v>0</v>
      </c>
      <c r="H5" s="126">
        <v>0</v>
      </c>
      <c r="I5" s="126">
        <v>0</v>
      </c>
    </row>
    <row r="6" spans="1:9">
      <c r="A6" s="126">
        <v>1995</v>
      </c>
      <c r="B6" s="126" t="s">
        <v>131</v>
      </c>
      <c r="C6" s="126" t="s">
        <v>26</v>
      </c>
      <c r="D6" s="126" t="s">
        <v>77</v>
      </c>
      <c r="E6" s="126" t="s">
        <v>135</v>
      </c>
      <c r="F6" s="126">
        <v>0</v>
      </c>
      <c r="G6" s="126">
        <v>0</v>
      </c>
      <c r="H6" s="126">
        <v>0</v>
      </c>
      <c r="I6" s="126">
        <v>0</v>
      </c>
    </row>
    <row r="7" spans="1:9">
      <c r="A7" s="126">
        <v>1995</v>
      </c>
      <c r="B7" s="126" t="s">
        <v>131</v>
      </c>
      <c r="C7" s="126" t="s">
        <v>26</v>
      </c>
      <c r="D7" s="126" t="s">
        <v>79</v>
      </c>
      <c r="E7" s="126" t="s">
        <v>132</v>
      </c>
      <c r="F7" s="126">
        <v>0</v>
      </c>
      <c r="G7" s="126">
        <v>0</v>
      </c>
      <c r="H7" s="126">
        <v>0</v>
      </c>
      <c r="I7" s="126">
        <v>0</v>
      </c>
    </row>
    <row r="8" spans="1:9">
      <c r="A8" s="126">
        <v>1995</v>
      </c>
      <c r="B8" s="126" t="s">
        <v>131</v>
      </c>
      <c r="C8" s="126" t="s">
        <v>26</v>
      </c>
      <c r="D8" s="126" t="s">
        <v>79</v>
      </c>
      <c r="E8" s="126" t="s">
        <v>133</v>
      </c>
      <c r="F8" s="126">
        <v>0</v>
      </c>
      <c r="G8" s="126">
        <v>0</v>
      </c>
      <c r="H8" s="126">
        <v>0</v>
      </c>
      <c r="I8" s="126">
        <v>0</v>
      </c>
    </row>
    <row r="9" spans="1:9">
      <c r="A9" s="126">
        <v>1995</v>
      </c>
      <c r="B9" s="126" t="s">
        <v>131</v>
      </c>
      <c r="C9" s="126" t="s">
        <v>26</v>
      </c>
      <c r="D9" s="126" t="s">
        <v>79</v>
      </c>
      <c r="E9" s="126" t="s">
        <v>134</v>
      </c>
      <c r="F9" s="126">
        <v>0</v>
      </c>
      <c r="G9" s="126">
        <v>0</v>
      </c>
      <c r="H9" s="126">
        <v>0</v>
      </c>
      <c r="I9" s="126">
        <v>0</v>
      </c>
    </row>
    <row r="10" spans="1:9">
      <c r="A10" s="126">
        <v>1995</v>
      </c>
      <c r="B10" s="126" t="s">
        <v>131</v>
      </c>
      <c r="C10" s="126" t="s">
        <v>26</v>
      </c>
      <c r="D10" s="126" t="s">
        <v>79</v>
      </c>
      <c r="E10" s="126" t="s">
        <v>135</v>
      </c>
      <c r="F10" s="126">
        <v>0</v>
      </c>
      <c r="G10" s="126">
        <v>0</v>
      </c>
      <c r="H10" s="126">
        <v>0</v>
      </c>
      <c r="I10" s="126">
        <v>0</v>
      </c>
    </row>
    <row r="11" spans="1:9">
      <c r="A11" s="126">
        <v>1995</v>
      </c>
      <c r="B11" s="126" t="s">
        <v>131</v>
      </c>
      <c r="C11" s="126" t="s">
        <v>26</v>
      </c>
      <c r="D11" s="126" t="s">
        <v>79</v>
      </c>
      <c r="E11" s="126" t="s">
        <v>136</v>
      </c>
      <c r="F11" s="126">
        <v>0</v>
      </c>
      <c r="G11" s="126">
        <v>0</v>
      </c>
      <c r="H11" s="126">
        <v>0</v>
      </c>
      <c r="I11" s="126">
        <v>0</v>
      </c>
    </row>
    <row r="12" spans="1:9">
      <c r="A12" s="126">
        <v>1995</v>
      </c>
      <c r="B12" s="126" t="s">
        <v>131</v>
      </c>
      <c r="C12" s="126" t="s">
        <v>26</v>
      </c>
      <c r="D12" s="126" t="s">
        <v>76</v>
      </c>
      <c r="E12" s="126" t="s">
        <v>132</v>
      </c>
      <c r="F12" s="126">
        <v>0</v>
      </c>
      <c r="G12" s="126">
        <v>0</v>
      </c>
      <c r="H12" s="126">
        <v>0</v>
      </c>
      <c r="I12" s="126">
        <v>0</v>
      </c>
    </row>
    <row r="13" spans="1:9">
      <c r="A13" s="126">
        <v>1995</v>
      </c>
      <c r="B13" s="126" t="s">
        <v>131</v>
      </c>
      <c r="C13" s="126" t="s">
        <v>26</v>
      </c>
      <c r="D13" s="126" t="s">
        <v>76</v>
      </c>
      <c r="E13" s="126" t="s">
        <v>133</v>
      </c>
      <c r="F13" s="126">
        <v>0</v>
      </c>
      <c r="G13" s="126">
        <v>0</v>
      </c>
      <c r="H13" s="126">
        <v>0</v>
      </c>
      <c r="I13" s="126">
        <v>0</v>
      </c>
    </row>
    <row r="14" spans="1:9">
      <c r="A14" s="126">
        <v>1995</v>
      </c>
      <c r="B14" s="126" t="s">
        <v>131</v>
      </c>
      <c r="C14" s="126" t="s">
        <v>26</v>
      </c>
      <c r="D14" s="126" t="s">
        <v>76</v>
      </c>
      <c r="E14" s="126" t="s">
        <v>134</v>
      </c>
      <c r="F14" s="126">
        <v>0</v>
      </c>
      <c r="G14" s="126">
        <v>0</v>
      </c>
      <c r="H14" s="126">
        <v>0</v>
      </c>
      <c r="I14" s="126">
        <v>0</v>
      </c>
    </row>
    <row r="15" spans="1:9">
      <c r="A15" s="126">
        <v>1995</v>
      </c>
      <c r="B15" s="126" t="s">
        <v>131</v>
      </c>
      <c r="C15" s="126" t="s">
        <v>26</v>
      </c>
      <c r="D15" s="126" t="s">
        <v>76</v>
      </c>
      <c r="E15" s="126" t="s">
        <v>135</v>
      </c>
      <c r="F15" s="126">
        <v>0</v>
      </c>
      <c r="G15" s="126">
        <v>0</v>
      </c>
      <c r="H15" s="126">
        <v>0</v>
      </c>
      <c r="I15" s="126">
        <v>0</v>
      </c>
    </row>
    <row r="16" spans="1:9">
      <c r="A16" s="126">
        <v>1995</v>
      </c>
      <c r="B16" s="126" t="s">
        <v>131</v>
      </c>
      <c r="C16" s="126" t="s">
        <v>26</v>
      </c>
      <c r="D16" s="126" t="s">
        <v>76</v>
      </c>
      <c r="E16" s="126" t="s">
        <v>136</v>
      </c>
      <c r="F16" s="126">
        <v>0</v>
      </c>
      <c r="G16" s="126">
        <v>0</v>
      </c>
      <c r="H16" s="126">
        <v>0</v>
      </c>
      <c r="I16" s="126">
        <v>0</v>
      </c>
    </row>
    <row r="17" spans="1:11">
      <c r="A17" s="126">
        <v>1995</v>
      </c>
      <c r="B17" s="126" t="s">
        <v>131</v>
      </c>
      <c r="C17" s="126" t="s">
        <v>20</v>
      </c>
      <c r="D17" s="126" t="s">
        <v>77</v>
      </c>
      <c r="E17" s="126" t="s">
        <v>132</v>
      </c>
      <c r="F17" s="126">
        <v>0</v>
      </c>
      <c r="G17" s="126">
        <v>0</v>
      </c>
      <c r="H17" s="126">
        <v>0</v>
      </c>
      <c r="I17" s="126">
        <v>0</v>
      </c>
    </row>
    <row r="18" spans="1:11">
      <c r="A18" s="126">
        <v>1995</v>
      </c>
      <c r="B18" s="126" t="s">
        <v>131</v>
      </c>
      <c r="C18" s="126" t="s">
        <v>20</v>
      </c>
      <c r="D18" s="126" t="s">
        <v>77</v>
      </c>
      <c r="E18" s="126" t="s">
        <v>133</v>
      </c>
      <c r="F18" s="126">
        <v>0</v>
      </c>
      <c r="G18" s="126">
        <v>0</v>
      </c>
      <c r="H18" s="126">
        <v>0</v>
      </c>
      <c r="I18" s="126">
        <v>0</v>
      </c>
    </row>
    <row r="19" spans="1:11">
      <c r="A19" s="126">
        <v>1995</v>
      </c>
      <c r="B19" s="126" t="s">
        <v>131</v>
      </c>
      <c r="C19" s="126" t="s">
        <v>20</v>
      </c>
      <c r="D19" s="126" t="s">
        <v>77</v>
      </c>
      <c r="E19" s="126" t="s">
        <v>134</v>
      </c>
      <c r="F19" s="126">
        <v>0</v>
      </c>
      <c r="G19" s="126">
        <v>0</v>
      </c>
      <c r="H19" s="126">
        <v>0</v>
      </c>
      <c r="I19" s="126">
        <v>0</v>
      </c>
      <c r="K19" s="127"/>
    </row>
    <row r="20" spans="1:11">
      <c r="A20" s="126">
        <v>1995</v>
      </c>
      <c r="B20" s="126" t="s">
        <v>131</v>
      </c>
      <c r="C20" s="126" t="s">
        <v>20</v>
      </c>
      <c r="D20" s="126" t="s">
        <v>77</v>
      </c>
      <c r="E20" s="126" t="s">
        <v>135</v>
      </c>
      <c r="F20" s="126">
        <v>0</v>
      </c>
      <c r="G20" s="126">
        <v>0</v>
      </c>
      <c r="H20" s="126">
        <v>0</v>
      </c>
      <c r="I20" s="126">
        <v>0</v>
      </c>
    </row>
    <row r="21" spans="1:11">
      <c r="A21" s="126">
        <v>1995</v>
      </c>
      <c r="B21" s="126" t="s">
        <v>131</v>
      </c>
      <c r="C21" s="126" t="s">
        <v>20</v>
      </c>
      <c r="D21" s="126" t="s">
        <v>79</v>
      </c>
      <c r="E21" s="126" t="s">
        <v>132</v>
      </c>
      <c r="F21" s="126">
        <v>0</v>
      </c>
      <c r="G21" s="126">
        <v>0</v>
      </c>
      <c r="H21" s="126">
        <v>0</v>
      </c>
      <c r="I21" s="126">
        <v>0</v>
      </c>
    </row>
    <row r="22" spans="1:11">
      <c r="A22" s="126">
        <v>1995</v>
      </c>
      <c r="B22" s="126" t="s">
        <v>131</v>
      </c>
      <c r="C22" s="126" t="s">
        <v>20</v>
      </c>
      <c r="D22" s="126" t="s">
        <v>79</v>
      </c>
      <c r="E22" s="126" t="s">
        <v>133</v>
      </c>
      <c r="F22" s="126">
        <v>0</v>
      </c>
      <c r="G22" s="126">
        <v>0</v>
      </c>
      <c r="H22" s="126">
        <v>0</v>
      </c>
      <c r="I22" s="126">
        <v>0</v>
      </c>
    </row>
    <row r="23" spans="1:11">
      <c r="A23" s="126">
        <v>1995</v>
      </c>
      <c r="B23" s="126" t="s">
        <v>131</v>
      </c>
      <c r="C23" s="126" t="s">
        <v>20</v>
      </c>
      <c r="D23" s="126" t="s">
        <v>79</v>
      </c>
      <c r="E23" s="126" t="s">
        <v>134</v>
      </c>
      <c r="F23" s="126">
        <v>0</v>
      </c>
      <c r="G23" s="126">
        <v>0</v>
      </c>
      <c r="H23" s="126">
        <v>0</v>
      </c>
      <c r="I23" s="126">
        <v>0</v>
      </c>
    </row>
    <row r="24" spans="1:11">
      <c r="A24" s="126">
        <v>1995</v>
      </c>
      <c r="B24" s="126" t="s">
        <v>131</v>
      </c>
      <c r="C24" s="126" t="s">
        <v>20</v>
      </c>
      <c r="D24" s="126" t="s">
        <v>79</v>
      </c>
      <c r="E24" s="126" t="s">
        <v>135</v>
      </c>
      <c r="F24" s="126">
        <v>0</v>
      </c>
      <c r="G24" s="126">
        <v>0</v>
      </c>
      <c r="H24" s="126">
        <v>0</v>
      </c>
      <c r="I24" s="126">
        <v>0</v>
      </c>
    </row>
    <row r="25" spans="1:11">
      <c r="A25" s="126">
        <v>1995</v>
      </c>
      <c r="B25" s="126" t="s">
        <v>131</v>
      </c>
      <c r="C25" s="126" t="s">
        <v>20</v>
      </c>
      <c r="D25" s="126" t="s">
        <v>79</v>
      </c>
      <c r="E25" s="126" t="s">
        <v>136</v>
      </c>
      <c r="F25" s="126">
        <v>0</v>
      </c>
      <c r="G25" s="126">
        <v>0</v>
      </c>
      <c r="H25" s="126">
        <v>0</v>
      </c>
      <c r="I25" s="126">
        <v>0</v>
      </c>
    </row>
    <row r="26" spans="1:11">
      <c r="A26" s="126">
        <v>1995</v>
      </c>
      <c r="B26" s="126" t="s">
        <v>131</v>
      </c>
      <c r="C26" s="126" t="s">
        <v>20</v>
      </c>
      <c r="D26" s="126" t="s">
        <v>76</v>
      </c>
      <c r="E26" s="126" t="s">
        <v>132</v>
      </c>
      <c r="F26" s="126">
        <v>0</v>
      </c>
      <c r="G26" s="126">
        <v>0</v>
      </c>
      <c r="H26" s="126">
        <v>0</v>
      </c>
      <c r="I26" s="126">
        <v>0</v>
      </c>
    </row>
    <row r="27" spans="1:11">
      <c r="A27" s="126">
        <v>1995</v>
      </c>
      <c r="B27" s="126" t="s">
        <v>131</v>
      </c>
      <c r="C27" s="126" t="s">
        <v>20</v>
      </c>
      <c r="D27" s="126" t="s">
        <v>76</v>
      </c>
      <c r="E27" s="126" t="s">
        <v>133</v>
      </c>
      <c r="F27" s="126">
        <v>0</v>
      </c>
      <c r="G27" s="126">
        <v>0</v>
      </c>
      <c r="H27" s="126">
        <v>0</v>
      </c>
      <c r="I27" s="126">
        <v>0</v>
      </c>
    </row>
    <row r="28" spans="1:11">
      <c r="A28" s="126">
        <v>1995</v>
      </c>
      <c r="B28" s="126" t="s">
        <v>131</v>
      </c>
      <c r="C28" s="126" t="s">
        <v>20</v>
      </c>
      <c r="D28" s="126" t="s">
        <v>76</v>
      </c>
      <c r="E28" s="126" t="s">
        <v>134</v>
      </c>
      <c r="F28" s="126">
        <v>0</v>
      </c>
      <c r="G28" s="126">
        <v>0</v>
      </c>
      <c r="H28" s="126">
        <v>0</v>
      </c>
      <c r="I28" s="126">
        <v>0</v>
      </c>
    </row>
    <row r="29" spans="1:11">
      <c r="A29" s="126">
        <v>1995</v>
      </c>
      <c r="B29" s="126" t="s">
        <v>131</v>
      </c>
      <c r="C29" s="126" t="s">
        <v>20</v>
      </c>
      <c r="D29" s="126" t="s">
        <v>76</v>
      </c>
      <c r="E29" s="126" t="s">
        <v>135</v>
      </c>
      <c r="F29" s="126">
        <v>0</v>
      </c>
      <c r="G29" s="126">
        <v>0</v>
      </c>
      <c r="H29" s="126">
        <v>0</v>
      </c>
      <c r="I29" s="126">
        <v>0</v>
      </c>
    </row>
    <row r="30" spans="1:11">
      <c r="A30" s="126">
        <v>1995</v>
      </c>
      <c r="B30" s="126" t="s">
        <v>131</v>
      </c>
      <c r="C30" s="126" t="s">
        <v>20</v>
      </c>
      <c r="D30" s="126" t="s">
        <v>76</v>
      </c>
      <c r="E30" s="126" t="s">
        <v>136</v>
      </c>
      <c r="F30" s="126">
        <v>0</v>
      </c>
      <c r="G30" s="126">
        <v>0</v>
      </c>
      <c r="H30" s="126">
        <v>0</v>
      </c>
      <c r="I30" s="126">
        <v>0</v>
      </c>
    </row>
    <row r="31" spans="1:11">
      <c r="A31" s="126">
        <v>1995</v>
      </c>
      <c r="B31" s="126" t="s">
        <v>131</v>
      </c>
      <c r="C31" s="126" t="s">
        <v>27</v>
      </c>
      <c r="D31" s="126" t="s">
        <v>77</v>
      </c>
      <c r="E31" s="126" t="s">
        <v>132</v>
      </c>
      <c r="F31" s="126">
        <v>0</v>
      </c>
      <c r="G31" s="126">
        <v>0</v>
      </c>
      <c r="H31" s="126">
        <v>0</v>
      </c>
      <c r="I31" s="126">
        <v>0</v>
      </c>
    </row>
    <row r="32" spans="1:11">
      <c r="A32" s="126">
        <v>1995</v>
      </c>
      <c r="B32" s="126" t="s">
        <v>131</v>
      </c>
      <c r="C32" s="126" t="s">
        <v>27</v>
      </c>
      <c r="D32" s="126" t="s">
        <v>77</v>
      </c>
      <c r="E32" s="126" t="s">
        <v>133</v>
      </c>
      <c r="F32" s="126">
        <v>0</v>
      </c>
      <c r="G32" s="126">
        <v>0</v>
      </c>
      <c r="H32" s="126">
        <v>0</v>
      </c>
      <c r="I32" s="126">
        <v>0</v>
      </c>
    </row>
    <row r="33" spans="1:9">
      <c r="A33" s="126">
        <v>1995</v>
      </c>
      <c r="B33" s="126" t="s">
        <v>131</v>
      </c>
      <c r="C33" s="126" t="s">
        <v>27</v>
      </c>
      <c r="D33" s="126" t="s">
        <v>77</v>
      </c>
      <c r="E33" s="126" t="s">
        <v>134</v>
      </c>
      <c r="F33" s="126">
        <v>0</v>
      </c>
      <c r="G33" s="126">
        <v>0</v>
      </c>
      <c r="H33" s="126">
        <v>0</v>
      </c>
      <c r="I33" s="126">
        <v>0</v>
      </c>
    </row>
    <row r="34" spans="1:9">
      <c r="A34" s="126">
        <v>1995</v>
      </c>
      <c r="B34" s="126" t="s">
        <v>131</v>
      </c>
      <c r="C34" s="126" t="s">
        <v>27</v>
      </c>
      <c r="D34" s="126" t="s">
        <v>77</v>
      </c>
      <c r="E34" s="126" t="s">
        <v>135</v>
      </c>
      <c r="F34" s="126">
        <v>0</v>
      </c>
      <c r="G34" s="126">
        <v>0</v>
      </c>
      <c r="H34" s="126">
        <v>0</v>
      </c>
      <c r="I34" s="126">
        <v>0</v>
      </c>
    </row>
    <row r="35" spans="1:9">
      <c r="A35" s="126">
        <v>1995</v>
      </c>
      <c r="B35" s="126" t="s">
        <v>131</v>
      </c>
      <c r="C35" s="126" t="s">
        <v>27</v>
      </c>
      <c r="D35" s="126" t="s">
        <v>79</v>
      </c>
      <c r="E35" s="126" t="s">
        <v>132</v>
      </c>
      <c r="F35" s="126">
        <v>0</v>
      </c>
      <c r="G35" s="126">
        <v>0</v>
      </c>
      <c r="H35" s="126">
        <v>0</v>
      </c>
      <c r="I35" s="126">
        <v>0</v>
      </c>
    </row>
    <row r="36" spans="1:9">
      <c r="A36" s="126">
        <v>1995</v>
      </c>
      <c r="B36" s="126" t="s">
        <v>131</v>
      </c>
      <c r="C36" s="126" t="s">
        <v>27</v>
      </c>
      <c r="D36" s="126" t="s">
        <v>79</v>
      </c>
      <c r="E36" s="126" t="s">
        <v>133</v>
      </c>
      <c r="F36" s="126">
        <v>0</v>
      </c>
      <c r="G36" s="126">
        <v>0</v>
      </c>
      <c r="H36" s="126">
        <v>0</v>
      </c>
      <c r="I36" s="126">
        <v>0</v>
      </c>
    </row>
    <row r="37" spans="1:9">
      <c r="A37" s="126">
        <v>1995</v>
      </c>
      <c r="B37" s="126" t="s">
        <v>131</v>
      </c>
      <c r="C37" s="126" t="s">
        <v>27</v>
      </c>
      <c r="D37" s="126" t="s">
        <v>79</v>
      </c>
      <c r="E37" s="126" t="s">
        <v>134</v>
      </c>
      <c r="F37" s="126">
        <v>0</v>
      </c>
      <c r="G37" s="126">
        <v>0</v>
      </c>
      <c r="H37" s="126">
        <v>0</v>
      </c>
      <c r="I37" s="126">
        <v>0</v>
      </c>
    </row>
    <row r="38" spans="1:9">
      <c r="A38" s="126">
        <v>1995</v>
      </c>
      <c r="B38" s="126" t="s">
        <v>131</v>
      </c>
      <c r="C38" s="126" t="s">
        <v>27</v>
      </c>
      <c r="D38" s="126" t="s">
        <v>79</v>
      </c>
      <c r="E38" s="126" t="s">
        <v>135</v>
      </c>
      <c r="F38" s="126">
        <v>0</v>
      </c>
      <c r="G38" s="126">
        <v>0</v>
      </c>
      <c r="H38" s="126">
        <v>0</v>
      </c>
      <c r="I38" s="126">
        <v>0</v>
      </c>
    </row>
    <row r="39" spans="1:9">
      <c r="A39" s="126">
        <v>1995</v>
      </c>
      <c r="B39" s="126" t="s">
        <v>131</v>
      </c>
      <c r="C39" s="126" t="s">
        <v>27</v>
      </c>
      <c r="D39" s="126" t="s">
        <v>79</v>
      </c>
      <c r="E39" s="126" t="s">
        <v>136</v>
      </c>
      <c r="F39" s="126">
        <v>0</v>
      </c>
      <c r="G39" s="126">
        <v>0</v>
      </c>
      <c r="H39" s="126">
        <v>0</v>
      </c>
      <c r="I39" s="126">
        <v>0</v>
      </c>
    </row>
    <row r="40" spans="1:9">
      <c r="A40" s="126">
        <v>1995</v>
      </c>
      <c r="B40" s="126" t="s">
        <v>131</v>
      </c>
      <c r="C40" s="126" t="s">
        <v>27</v>
      </c>
      <c r="D40" s="126" t="s">
        <v>76</v>
      </c>
      <c r="E40" s="126" t="s">
        <v>132</v>
      </c>
      <c r="F40" s="126">
        <v>0</v>
      </c>
      <c r="G40" s="126">
        <v>0</v>
      </c>
      <c r="H40" s="126">
        <v>0</v>
      </c>
      <c r="I40" s="126">
        <v>0</v>
      </c>
    </row>
    <row r="41" spans="1:9">
      <c r="A41" s="126">
        <v>1995</v>
      </c>
      <c r="B41" s="126" t="s">
        <v>131</v>
      </c>
      <c r="C41" s="126" t="s">
        <v>27</v>
      </c>
      <c r="D41" s="126" t="s">
        <v>76</v>
      </c>
      <c r="E41" s="126" t="s">
        <v>133</v>
      </c>
      <c r="F41" s="126">
        <v>0</v>
      </c>
      <c r="G41" s="126">
        <v>0</v>
      </c>
      <c r="H41" s="126">
        <v>0</v>
      </c>
      <c r="I41" s="126">
        <v>0</v>
      </c>
    </row>
    <row r="42" spans="1:9">
      <c r="A42" s="126">
        <v>1995</v>
      </c>
      <c r="B42" s="126" t="s">
        <v>131</v>
      </c>
      <c r="C42" s="126" t="s">
        <v>27</v>
      </c>
      <c r="D42" s="126" t="s">
        <v>76</v>
      </c>
      <c r="E42" s="126" t="s">
        <v>134</v>
      </c>
      <c r="F42" s="126">
        <v>0</v>
      </c>
      <c r="G42" s="126">
        <v>0</v>
      </c>
      <c r="H42" s="126">
        <v>0</v>
      </c>
      <c r="I42" s="126">
        <v>0</v>
      </c>
    </row>
    <row r="43" spans="1:9">
      <c r="A43" s="126">
        <v>1995</v>
      </c>
      <c r="B43" s="126" t="s">
        <v>131</v>
      </c>
      <c r="C43" s="126" t="s">
        <v>27</v>
      </c>
      <c r="D43" s="126" t="s">
        <v>76</v>
      </c>
      <c r="E43" s="126" t="s">
        <v>135</v>
      </c>
      <c r="F43" s="126">
        <v>0</v>
      </c>
      <c r="G43" s="126">
        <v>0</v>
      </c>
      <c r="H43" s="126">
        <v>0</v>
      </c>
      <c r="I43" s="126">
        <v>0</v>
      </c>
    </row>
    <row r="44" spans="1:9">
      <c r="A44" s="126">
        <v>1995</v>
      </c>
      <c r="B44" s="126" t="s">
        <v>131</v>
      </c>
      <c r="C44" s="126" t="s">
        <v>27</v>
      </c>
      <c r="D44" s="126" t="s">
        <v>76</v>
      </c>
      <c r="E44" s="126" t="s">
        <v>136</v>
      </c>
      <c r="F44" s="126">
        <v>0</v>
      </c>
      <c r="G44" s="126">
        <v>0</v>
      </c>
      <c r="H44" s="126">
        <v>0</v>
      </c>
      <c r="I44" s="126">
        <v>0</v>
      </c>
    </row>
    <row r="45" spans="1:9">
      <c r="A45" s="126">
        <v>1995</v>
      </c>
      <c r="B45" s="126" t="s">
        <v>131</v>
      </c>
      <c r="C45" s="126" t="s">
        <v>22</v>
      </c>
      <c r="D45" s="126" t="s">
        <v>77</v>
      </c>
      <c r="E45" s="126" t="s">
        <v>132</v>
      </c>
      <c r="F45" s="126">
        <v>0</v>
      </c>
      <c r="G45" s="126">
        <v>0</v>
      </c>
      <c r="H45" s="126">
        <v>0</v>
      </c>
      <c r="I45" s="126">
        <v>0</v>
      </c>
    </row>
    <row r="46" spans="1:9">
      <c r="A46" s="126">
        <v>1995</v>
      </c>
      <c r="B46" s="126" t="s">
        <v>131</v>
      </c>
      <c r="C46" s="126" t="s">
        <v>22</v>
      </c>
      <c r="D46" s="126" t="s">
        <v>77</v>
      </c>
      <c r="E46" s="126" t="s">
        <v>133</v>
      </c>
      <c r="F46" s="126">
        <v>0</v>
      </c>
      <c r="G46" s="126">
        <v>0</v>
      </c>
      <c r="H46" s="126">
        <v>0</v>
      </c>
      <c r="I46" s="126">
        <v>0</v>
      </c>
    </row>
    <row r="47" spans="1:9">
      <c r="A47" s="126">
        <v>1995</v>
      </c>
      <c r="B47" s="126" t="s">
        <v>131</v>
      </c>
      <c r="C47" s="126" t="s">
        <v>22</v>
      </c>
      <c r="D47" s="126" t="s">
        <v>77</v>
      </c>
      <c r="E47" s="126" t="s">
        <v>134</v>
      </c>
      <c r="F47" s="126">
        <v>0</v>
      </c>
      <c r="G47" s="126">
        <v>0</v>
      </c>
      <c r="H47" s="126">
        <v>0</v>
      </c>
      <c r="I47" s="126">
        <v>0</v>
      </c>
    </row>
    <row r="48" spans="1:9">
      <c r="A48" s="126">
        <v>1995</v>
      </c>
      <c r="B48" s="126" t="s">
        <v>131</v>
      </c>
      <c r="C48" s="126" t="s">
        <v>22</v>
      </c>
      <c r="D48" s="126" t="s">
        <v>77</v>
      </c>
      <c r="E48" s="126" t="s">
        <v>135</v>
      </c>
      <c r="F48" s="126">
        <v>0</v>
      </c>
      <c r="G48" s="126">
        <v>0</v>
      </c>
      <c r="H48" s="126">
        <v>0</v>
      </c>
      <c r="I48" s="126">
        <v>0</v>
      </c>
    </row>
    <row r="49" spans="1:9">
      <c r="A49" s="126">
        <v>1995</v>
      </c>
      <c r="B49" s="126" t="s">
        <v>131</v>
      </c>
      <c r="C49" s="126" t="s">
        <v>22</v>
      </c>
      <c r="D49" s="126" t="s">
        <v>79</v>
      </c>
      <c r="E49" s="126" t="s">
        <v>132</v>
      </c>
      <c r="F49" s="126">
        <v>0</v>
      </c>
      <c r="G49" s="126">
        <v>0</v>
      </c>
      <c r="H49" s="126">
        <v>0</v>
      </c>
      <c r="I49" s="126">
        <v>0</v>
      </c>
    </row>
    <row r="50" spans="1:9">
      <c r="A50" s="126">
        <v>1995</v>
      </c>
      <c r="B50" s="126" t="s">
        <v>131</v>
      </c>
      <c r="C50" s="126" t="s">
        <v>22</v>
      </c>
      <c r="D50" s="126" t="s">
        <v>79</v>
      </c>
      <c r="E50" s="126" t="s">
        <v>133</v>
      </c>
      <c r="F50" s="126">
        <v>0</v>
      </c>
      <c r="G50" s="126">
        <v>0</v>
      </c>
      <c r="H50" s="126">
        <v>0</v>
      </c>
      <c r="I50" s="126">
        <v>0</v>
      </c>
    </row>
    <row r="51" spans="1:9">
      <c r="A51" s="126">
        <v>1995</v>
      </c>
      <c r="B51" s="126" t="s">
        <v>131</v>
      </c>
      <c r="C51" s="126" t="s">
        <v>22</v>
      </c>
      <c r="D51" s="126" t="s">
        <v>79</v>
      </c>
      <c r="E51" s="126" t="s">
        <v>134</v>
      </c>
      <c r="F51" s="126">
        <v>0</v>
      </c>
      <c r="G51" s="126">
        <v>0</v>
      </c>
      <c r="H51" s="126">
        <v>0</v>
      </c>
      <c r="I51" s="126">
        <v>0</v>
      </c>
    </row>
    <row r="52" spans="1:9">
      <c r="A52" s="126">
        <v>1995</v>
      </c>
      <c r="B52" s="126" t="s">
        <v>131</v>
      </c>
      <c r="C52" s="126" t="s">
        <v>22</v>
      </c>
      <c r="D52" s="126" t="s">
        <v>79</v>
      </c>
      <c r="E52" s="126" t="s">
        <v>135</v>
      </c>
      <c r="F52" s="126">
        <v>0</v>
      </c>
      <c r="G52" s="126">
        <v>0</v>
      </c>
      <c r="H52" s="126">
        <v>0</v>
      </c>
      <c r="I52" s="126">
        <v>0</v>
      </c>
    </row>
    <row r="53" spans="1:9">
      <c r="A53" s="126">
        <v>1995</v>
      </c>
      <c r="B53" s="126" t="s">
        <v>131</v>
      </c>
      <c r="C53" s="126" t="s">
        <v>22</v>
      </c>
      <c r="D53" s="126" t="s">
        <v>79</v>
      </c>
      <c r="E53" s="126" t="s">
        <v>136</v>
      </c>
      <c r="F53" s="126">
        <v>0</v>
      </c>
      <c r="G53" s="126">
        <v>0</v>
      </c>
      <c r="H53" s="126">
        <v>0</v>
      </c>
      <c r="I53" s="126">
        <v>0</v>
      </c>
    </row>
    <row r="54" spans="1:9">
      <c r="A54" s="126">
        <v>1995</v>
      </c>
      <c r="B54" s="126" t="s">
        <v>131</v>
      </c>
      <c r="C54" s="126" t="s">
        <v>22</v>
      </c>
      <c r="D54" s="126" t="s">
        <v>76</v>
      </c>
      <c r="E54" s="126" t="s">
        <v>132</v>
      </c>
      <c r="F54" s="126">
        <v>0</v>
      </c>
      <c r="G54" s="126">
        <v>0</v>
      </c>
      <c r="H54" s="126">
        <v>0</v>
      </c>
      <c r="I54" s="126">
        <v>0</v>
      </c>
    </row>
    <row r="55" spans="1:9">
      <c r="A55" s="126">
        <v>1995</v>
      </c>
      <c r="B55" s="126" t="s">
        <v>131</v>
      </c>
      <c r="C55" s="126" t="s">
        <v>22</v>
      </c>
      <c r="D55" s="126" t="s">
        <v>76</v>
      </c>
      <c r="E55" s="126" t="s">
        <v>133</v>
      </c>
      <c r="F55" s="126">
        <v>0</v>
      </c>
      <c r="G55" s="126">
        <v>0</v>
      </c>
      <c r="H55" s="126">
        <v>0</v>
      </c>
      <c r="I55" s="126">
        <v>0</v>
      </c>
    </row>
    <row r="56" spans="1:9">
      <c r="A56" s="126">
        <v>1995</v>
      </c>
      <c r="B56" s="126" t="s">
        <v>131</v>
      </c>
      <c r="C56" s="126" t="s">
        <v>22</v>
      </c>
      <c r="D56" s="126" t="s">
        <v>76</v>
      </c>
      <c r="E56" s="126" t="s">
        <v>134</v>
      </c>
      <c r="F56" s="126">
        <v>0</v>
      </c>
      <c r="G56" s="126">
        <v>0</v>
      </c>
      <c r="H56" s="126">
        <v>0</v>
      </c>
      <c r="I56" s="126">
        <v>0</v>
      </c>
    </row>
    <row r="57" spans="1:9">
      <c r="A57" s="126">
        <v>1995</v>
      </c>
      <c r="B57" s="126" t="s">
        <v>131</v>
      </c>
      <c r="C57" s="126" t="s">
        <v>22</v>
      </c>
      <c r="D57" s="126" t="s">
        <v>76</v>
      </c>
      <c r="E57" s="126" t="s">
        <v>135</v>
      </c>
      <c r="F57" s="126">
        <v>0</v>
      </c>
      <c r="G57" s="126">
        <v>0</v>
      </c>
      <c r="H57" s="126">
        <v>0</v>
      </c>
      <c r="I57" s="126">
        <v>0</v>
      </c>
    </row>
    <row r="58" spans="1:9">
      <c r="A58" s="126">
        <v>1995</v>
      </c>
      <c r="B58" s="126" t="s">
        <v>131</v>
      </c>
      <c r="C58" s="126" t="s">
        <v>22</v>
      </c>
      <c r="D58" s="126" t="s">
        <v>76</v>
      </c>
      <c r="E58" s="126" t="s">
        <v>136</v>
      </c>
      <c r="F58" s="126">
        <v>0</v>
      </c>
      <c r="G58" s="126">
        <v>0</v>
      </c>
      <c r="H58" s="126">
        <v>0</v>
      </c>
      <c r="I58" s="126">
        <v>0</v>
      </c>
    </row>
    <row r="59" spans="1:9">
      <c r="A59" s="126">
        <v>1995</v>
      </c>
      <c r="B59" s="126" t="s">
        <v>131</v>
      </c>
      <c r="C59" s="126" t="s">
        <v>23</v>
      </c>
      <c r="D59" s="126" t="s">
        <v>77</v>
      </c>
      <c r="E59" s="126" t="s">
        <v>132</v>
      </c>
      <c r="F59" s="126">
        <v>0</v>
      </c>
      <c r="G59" s="126">
        <v>0</v>
      </c>
      <c r="H59" s="126">
        <v>0</v>
      </c>
      <c r="I59" s="126">
        <v>0</v>
      </c>
    </row>
    <row r="60" spans="1:9">
      <c r="A60" s="126">
        <v>1995</v>
      </c>
      <c r="B60" s="126" t="s">
        <v>131</v>
      </c>
      <c r="C60" s="126" t="s">
        <v>23</v>
      </c>
      <c r="D60" s="126" t="s">
        <v>77</v>
      </c>
      <c r="E60" s="126" t="s">
        <v>133</v>
      </c>
      <c r="F60" s="126">
        <v>0</v>
      </c>
      <c r="G60" s="126">
        <v>0</v>
      </c>
      <c r="H60" s="126">
        <v>0</v>
      </c>
      <c r="I60" s="126">
        <v>0</v>
      </c>
    </row>
    <row r="61" spans="1:9">
      <c r="A61" s="126">
        <v>1995</v>
      </c>
      <c r="B61" s="126" t="s">
        <v>131</v>
      </c>
      <c r="C61" s="126" t="s">
        <v>23</v>
      </c>
      <c r="D61" s="126" t="s">
        <v>77</v>
      </c>
      <c r="E61" s="126" t="s">
        <v>134</v>
      </c>
      <c r="F61" s="126">
        <v>0</v>
      </c>
      <c r="G61" s="126">
        <v>0</v>
      </c>
      <c r="H61" s="126">
        <v>0</v>
      </c>
      <c r="I61" s="126">
        <v>0</v>
      </c>
    </row>
    <row r="62" spans="1:9">
      <c r="A62" s="126">
        <v>1995</v>
      </c>
      <c r="B62" s="126" t="s">
        <v>131</v>
      </c>
      <c r="C62" s="126" t="s">
        <v>23</v>
      </c>
      <c r="D62" s="126" t="s">
        <v>77</v>
      </c>
      <c r="E62" s="126" t="s">
        <v>135</v>
      </c>
      <c r="F62" s="126">
        <v>0</v>
      </c>
      <c r="G62" s="126">
        <v>0</v>
      </c>
      <c r="H62" s="126">
        <v>0</v>
      </c>
      <c r="I62" s="126">
        <v>0</v>
      </c>
    </row>
    <row r="63" spans="1:9">
      <c r="A63" s="126">
        <v>1995</v>
      </c>
      <c r="B63" s="126" t="s">
        <v>131</v>
      </c>
      <c r="C63" s="126" t="s">
        <v>23</v>
      </c>
      <c r="D63" s="126" t="s">
        <v>79</v>
      </c>
      <c r="E63" s="126" t="s">
        <v>132</v>
      </c>
      <c r="F63" s="126">
        <v>0</v>
      </c>
      <c r="G63" s="126">
        <v>0</v>
      </c>
      <c r="H63" s="126">
        <v>0</v>
      </c>
      <c r="I63" s="126">
        <v>0</v>
      </c>
    </row>
    <row r="64" spans="1:9">
      <c r="A64" s="126">
        <v>1995</v>
      </c>
      <c r="B64" s="126" t="s">
        <v>131</v>
      </c>
      <c r="C64" s="126" t="s">
        <v>23</v>
      </c>
      <c r="D64" s="126" t="s">
        <v>79</v>
      </c>
      <c r="E64" s="126" t="s">
        <v>133</v>
      </c>
      <c r="F64" s="126">
        <v>0</v>
      </c>
      <c r="G64" s="126">
        <v>0</v>
      </c>
      <c r="H64" s="126">
        <v>0</v>
      </c>
      <c r="I64" s="126">
        <v>0</v>
      </c>
    </row>
    <row r="65" spans="1:9">
      <c r="A65" s="126">
        <v>1995</v>
      </c>
      <c r="B65" s="126" t="s">
        <v>131</v>
      </c>
      <c r="C65" s="126" t="s">
        <v>23</v>
      </c>
      <c r="D65" s="126" t="s">
        <v>79</v>
      </c>
      <c r="E65" s="126" t="s">
        <v>134</v>
      </c>
      <c r="F65" s="126">
        <v>0</v>
      </c>
      <c r="G65" s="126">
        <v>0</v>
      </c>
      <c r="H65" s="126">
        <v>0</v>
      </c>
      <c r="I65" s="126">
        <v>0</v>
      </c>
    </row>
    <row r="66" spans="1:9">
      <c r="A66" s="126">
        <v>1995</v>
      </c>
      <c r="B66" s="126" t="s">
        <v>131</v>
      </c>
      <c r="C66" s="126" t="s">
        <v>23</v>
      </c>
      <c r="D66" s="126" t="s">
        <v>79</v>
      </c>
      <c r="E66" s="126" t="s">
        <v>135</v>
      </c>
      <c r="F66" s="126">
        <v>0</v>
      </c>
      <c r="G66" s="126">
        <v>0</v>
      </c>
      <c r="H66" s="126">
        <v>0</v>
      </c>
      <c r="I66" s="126">
        <v>0</v>
      </c>
    </row>
    <row r="67" spans="1:9">
      <c r="A67" s="126">
        <v>1995</v>
      </c>
      <c r="B67" s="126" t="s">
        <v>131</v>
      </c>
      <c r="C67" s="126" t="s">
        <v>23</v>
      </c>
      <c r="D67" s="126" t="s">
        <v>79</v>
      </c>
      <c r="E67" s="126" t="s">
        <v>136</v>
      </c>
      <c r="F67" s="126">
        <v>0</v>
      </c>
      <c r="G67" s="126">
        <v>0</v>
      </c>
      <c r="H67" s="126">
        <v>0</v>
      </c>
      <c r="I67" s="126">
        <v>0</v>
      </c>
    </row>
    <row r="68" spans="1:9">
      <c r="A68" s="126">
        <v>1995</v>
      </c>
      <c r="B68" s="126" t="s">
        <v>131</v>
      </c>
      <c r="C68" s="126" t="s">
        <v>23</v>
      </c>
      <c r="D68" s="126" t="s">
        <v>76</v>
      </c>
      <c r="E68" s="126" t="s">
        <v>132</v>
      </c>
      <c r="F68" s="126">
        <v>0</v>
      </c>
      <c r="G68" s="126">
        <v>0</v>
      </c>
      <c r="H68" s="126">
        <v>0</v>
      </c>
      <c r="I68" s="126">
        <v>0</v>
      </c>
    </row>
    <row r="69" spans="1:9">
      <c r="A69" s="126">
        <v>1995</v>
      </c>
      <c r="B69" s="126" t="s">
        <v>131</v>
      </c>
      <c r="C69" s="126" t="s">
        <v>23</v>
      </c>
      <c r="D69" s="126" t="s">
        <v>76</v>
      </c>
      <c r="E69" s="126" t="s">
        <v>133</v>
      </c>
      <c r="F69" s="126">
        <v>0</v>
      </c>
      <c r="G69" s="126">
        <v>0</v>
      </c>
      <c r="H69" s="126">
        <v>0</v>
      </c>
      <c r="I69" s="126">
        <v>0</v>
      </c>
    </row>
    <row r="70" spans="1:9">
      <c r="A70" s="126">
        <v>1995</v>
      </c>
      <c r="B70" s="126" t="s">
        <v>131</v>
      </c>
      <c r="C70" s="126" t="s">
        <v>23</v>
      </c>
      <c r="D70" s="126" t="s">
        <v>76</v>
      </c>
      <c r="E70" s="126" t="s">
        <v>134</v>
      </c>
      <c r="F70" s="126">
        <v>0</v>
      </c>
      <c r="G70" s="126">
        <v>0</v>
      </c>
      <c r="H70" s="126">
        <v>0</v>
      </c>
      <c r="I70" s="126">
        <v>0</v>
      </c>
    </row>
    <row r="71" spans="1:9">
      <c r="A71" s="126">
        <v>1995</v>
      </c>
      <c r="B71" s="126" t="s">
        <v>131</v>
      </c>
      <c r="C71" s="126" t="s">
        <v>23</v>
      </c>
      <c r="D71" s="126" t="s">
        <v>76</v>
      </c>
      <c r="E71" s="126" t="s">
        <v>135</v>
      </c>
      <c r="F71" s="126">
        <v>0</v>
      </c>
      <c r="G71" s="126">
        <v>0</v>
      </c>
      <c r="H71" s="126">
        <v>0</v>
      </c>
      <c r="I71" s="126">
        <v>0</v>
      </c>
    </row>
    <row r="72" spans="1:9">
      <c r="A72" s="126">
        <v>1995</v>
      </c>
      <c r="B72" s="126" t="s">
        <v>131</v>
      </c>
      <c r="C72" s="126" t="s">
        <v>23</v>
      </c>
      <c r="D72" s="126" t="s">
        <v>76</v>
      </c>
      <c r="E72" s="126" t="s">
        <v>136</v>
      </c>
      <c r="F72" s="126">
        <v>0</v>
      </c>
      <c r="G72" s="126">
        <v>0</v>
      </c>
      <c r="H72" s="126">
        <v>0</v>
      </c>
      <c r="I72" s="126">
        <v>0</v>
      </c>
    </row>
    <row r="73" spans="1:9">
      <c r="A73" s="126">
        <v>1995</v>
      </c>
      <c r="B73" s="126" t="s">
        <v>131</v>
      </c>
      <c r="C73" s="126" t="s">
        <v>25</v>
      </c>
      <c r="D73" s="126" t="s">
        <v>77</v>
      </c>
      <c r="E73" s="126" t="s">
        <v>132</v>
      </c>
      <c r="F73" s="126">
        <v>0</v>
      </c>
      <c r="G73" s="126">
        <v>0</v>
      </c>
      <c r="H73" s="126">
        <v>0</v>
      </c>
      <c r="I73" s="126">
        <v>0</v>
      </c>
    </row>
    <row r="74" spans="1:9">
      <c r="A74" s="126">
        <v>1995</v>
      </c>
      <c r="B74" s="126" t="s">
        <v>131</v>
      </c>
      <c r="C74" s="126" t="s">
        <v>25</v>
      </c>
      <c r="D74" s="126" t="s">
        <v>77</v>
      </c>
      <c r="E74" s="126" t="s">
        <v>133</v>
      </c>
      <c r="F74" s="126">
        <v>0</v>
      </c>
      <c r="G74" s="126">
        <v>0</v>
      </c>
      <c r="H74" s="126">
        <v>0</v>
      </c>
      <c r="I74" s="126">
        <v>0</v>
      </c>
    </row>
    <row r="75" spans="1:9">
      <c r="A75" s="126">
        <v>1995</v>
      </c>
      <c r="B75" s="126" t="s">
        <v>131</v>
      </c>
      <c r="C75" s="126" t="s">
        <v>25</v>
      </c>
      <c r="D75" s="126" t="s">
        <v>77</v>
      </c>
      <c r="E75" s="126" t="s">
        <v>134</v>
      </c>
      <c r="F75" s="126">
        <v>0</v>
      </c>
      <c r="G75" s="126">
        <v>0</v>
      </c>
      <c r="H75" s="126">
        <v>0</v>
      </c>
      <c r="I75" s="126">
        <v>0</v>
      </c>
    </row>
    <row r="76" spans="1:9">
      <c r="A76" s="126">
        <v>1995</v>
      </c>
      <c r="B76" s="126" t="s">
        <v>131</v>
      </c>
      <c r="C76" s="126" t="s">
        <v>25</v>
      </c>
      <c r="D76" s="126" t="s">
        <v>77</v>
      </c>
      <c r="E76" s="126" t="s">
        <v>135</v>
      </c>
      <c r="F76" s="126">
        <v>0</v>
      </c>
      <c r="G76" s="126">
        <v>0</v>
      </c>
      <c r="H76" s="126">
        <v>0</v>
      </c>
      <c r="I76" s="126">
        <v>0</v>
      </c>
    </row>
    <row r="77" spans="1:9">
      <c r="A77" s="126">
        <v>1995</v>
      </c>
      <c r="B77" s="126" t="s">
        <v>131</v>
      </c>
      <c r="C77" s="126" t="s">
        <v>25</v>
      </c>
      <c r="D77" s="126" t="s">
        <v>79</v>
      </c>
      <c r="E77" s="126" t="s">
        <v>132</v>
      </c>
      <c r="F77" s="126">
        <v>0</v>
      </c>
      <c r="G77" s="126">
        <v>0</v>
      </c>
      <c r="H77" s="126">
        <v>0</v>
      </c>
      <c r="I77" s="126">
        <v>0</v>
      </c>
    </row>
    <row r="78" spans="1:9">
      <c r="A78" s="126">
        <v>1995</v>
      </c>
      <c r="B78" s="126" t="s">
        <v>131</v>
      </c>
      <c r="C78" s="126" t="s">
        <v>25</v>
      </c>
      <c r="D78" s="126" t="s">
        <v>79</v>
      </c>
      <c r="E78" s="126" t="s">
        <v>133</v>
      </c>
      <c r="F78" s="126">
        <v>0</v>
      </c>
      <c r="G78" s="126">
        <v>0</v>
      </c>
      <c r="H78" s="126">
        <v>0</v>
      </c>
      <c r="I78" s="126">
        <v>0</v>
      </c>
    </row>
    <row r="79" spans="1:9">
      <c r="A79" s="126">
        <v>1995</v>
      </c>
      <c r="B79" s="126" t="s">
        <v>131</v>
      </c>
      <c r="C79" s="126" t="s">
        <v>25</v>
      </c>
      <c r="D79" s="126" t="s">
        <v>79</v>
      </c>
      <c r="E79" s="126" t="s">
        <v>134</v>
      </c>
      <c r="F79" s="126">
        <v>0</v>
      </c>
      <c r="G79" s="126">
        <v>0</v>
      </c>
      <c r="H79" s="126">
        <v>0</v>
      </c>
      <c r="I79" s="126">
        <v>0</v>
      </c>
    </row>
    <row r="80" spans="1:9">
      <c r="A80" s="126">
        <v>1995</v>
      </c>
      <c r="B80" s="126" t="s">
        <v>131</v>
      </c>
      <c r="C80" s="126" t="s">
        <v>25</v>
      </c>
      <c r="D80" s="126" t="s">
        <v>79</v>
      </c>
      <c r="E80" s="126" t="s">
        <v>135</v>
      </c>
      <c r="F80" s="126">
        <v>0</v>
      </c>
      <c r="G80" s="126">
        <v>0</v>
      </c>
      <c r="H80" s="126">
        <v>0</v>
      </c>
      <c r="I80" s="126">
        <v>0</v>
      </c>
    </row>
    <row r="81" spans="1:9">
      <c r="A81" s="126">
        <v>1995</v>
      </c>
      <c r="B81" s="126" t="s">
        <v>131</v>
      </c>
      <c r="C81" s="126" t="s">
        <v>25</v>
      </c>
      <c r="D81" s="126" t="s">
        <v>79</v>
      </c>
      <c r="E81" s="126" t="s">
        <v>136</v>
      </c>
      <c r="F81" s="126">
        <v>0</v>
      </c>
      <c r="G81" s="126">
        <v>0</v>
      </c>
      <c r="H81" s="126">
        <v>0</v>
      </c>
      <c r="I81" s="126">
        <v>0</v>
      </c>
    </row>
    <row r="82" spans="1:9">
      <c r="A82" s="126">
        <v>1995</v>
      </c>
      <c r="B82" s="126" t="s">
        <v>131</v>
      </c>
      <c r="C82" s="126" t="s">
        <v>25</v>
      </c>
      <c r="D82" s="126" t="s">
        <v>76</v>
      </c>
      <c r="E82" s="126" t="s">
        <v>132</v>
      </c>
      <c r="F82" s="126">
        <v>0</v>
      </c>
      <c r="G82" s="126">
        <v>0</v>
      </c>
      <c r="H82" s="126">
        <v>0</v>
      </c>
      <c r="I82" s="126">
        <v>0</v>
      </c>
    </row>
    <row r="83" spans="1:9">
      <c r="A83" s="126">
        <v>1995</v>
      </c>
      <c r="B83" s="126" t="s">
        <v>131</v>
      </c>
      <c r="C83" s="126" t="s">
        <v>25</v>
      </c>
      <c r="D83" s="126" t="s">
        <v>76</v>
      </c>
      <c r="E83" s="126" t="s">
        <v>133</v>
      </c>
      <c r="F83" s="126">
        <v>0</v>
      </c>
      <c r="G83" s="126">
        <v>0</v>
      </c>
      <c r="H83" s="126">
        <v>0</v>
      </c>
      <c r="I83" s="126">
        <v>0</v>
      </c>
    </row>
    <row r="84" spans="1:9">
      <c r="A84" s="126">
        <v>1995</v>
      </c>
      <c r="B84" s="126" t="s">
        <v>131</v>
      </c>
      <c r="C84" s="126" t="s">
        <v>25</v>
      </c>
      <c r="D84" s="126" t="s">
        <v>76</v>
      </c>
      <c r="E84" s="126" t="s">
        <v>134</v>
      </c>
      <c r="F84" s="126">
        <v>0</v>
      </c>
      <c r="G84" s="126">
        <v>0</v>
      </c>
      <c r="H84" s="126">
        <v>0</v>
      </c>
      <c r="I84" s="126">
        <v>0</v>
      </c>
    </row>
    <row r="85" spans="1:9">
      <c r="A85" s="126">
        <v>1995</v>
      </c>
      <c r="B85" s="126" t="s">
        <v>131</v>
      </c>
      <c r="C85" s="126" t="s">
        <v>25</v>
      </c>
      <c r="D85" s="126" t="s">
        <v>76</v>
      </c>
      <c r="E85" s="126" t="s">
        <v>135</v>
      </c>
      <c r="F85" s="126">
        <v>0</v>
      </c>
      <c r="G85" s="126">
        <v>0</v>
      </c>
      <c r="H85" s="126">
        <v>0</v>
      </c>
      <c r="I85" s="126">
        <v>0</v>
      </c>
    </row>
    <row r="86" spans="1:9">
      <c r="A86" s="126">
        <v>1995</v>
      </c>
      <c r="B86" s="126" t="s">
        <v>131</v>
      </c>
      <c r="C86" s="126" t="s">
        <v>25</v>
      </c>
      <c r="D86" s="126" t="s">
        <v>76</v>
      </c>
      <c r="E86" s="126" t="s">
        <v>136</v>
      </c>
      <c r="F86" s="126">
        <v>0</v>
      </c>
      <c r="G86" s="126">
        <v>0</v>
      </c>
      <c r="H86" s="126">
        <v>0</v>
      </c>
      <c r="I86" s="126">
        <v>0</v>
      </c>
    </row>
    <row r="87" spans="1:9">
      <c r="A87" s="126">
        <v>1995</v>
      </c>
      <c r="B87" s="126" t="s">
        <v>131</v>
      </c>
      <c r="C87" s="126" t="s">
        <v>21</v>
      </c>
      <c r="D87" s="126" t="s">
        <v>77</v>
      </c>
      <c r="E87" s="126" t="s">
        <v>132</v>
      </c>
      <c r="F87" s="126">
        <v>0</v>
      </c>
      <c r="G87" s="126">
        <v>0</v>
      </c>
      <c r="H87" s="126">
        <v>0</v>
      </c>
      <c r="I87" s="126">
        <v>0</v>
      </c>
    </row>
    <row r="88" spans="1:9">
      <c r="A88" s="126">
        <v>1995</v>
      </c>
      <c r="B88" s="126" t="s">
        <v>131</v>
      </c>
      <c r="C88" s="126" t="s">
        <v>21</v>
      </c>
      <c r="D88" s="126" t="s">
        <v>77</v>
      </c>
      <c r="E88" s="126" t="s">
        <v>133</v>
      </c>
      <c r="F88" s="126">
        <v>0</v>
      </c>
      <c r="G88" s="126">
        <v>0</v>
      </c>
      <c r="H88" s="126">
        <v>0</v>
      </c>
      <c r="I88" s="126">
        <v>0</v>
      </c>
    </row>
    <row r="89" spans="1:9">
      <c r="A89" s="126">
        <v>1995</v>
      </c>
      <c r="B89" s="126" t="s">
        <v>131</v>
      </c>
      <c r="C89" s="126" t="s">
        <v>21</v>
      </c>
      <c r="D89" s="126" t="s">
        <v>77</v>
      </c>
      <c r="E89" s="126" t="s">
        <v>134</v>
      </c>
      <c r="F89" s="126">
        <v>0</v>
      </c>
      <c r="G89" s="126">
        <v>0</v>
      </c>
      <c r="H89" s="126">
        <v>0</v>
      </c>
      <c r="I89" s="126">
        <v>0</v>
      </c>
    </row>
    <row r="90" spans="1:9">
      <c r="A90" s="126">
        <v>1995</v>
      </c>
      <c r="B90" s="126" t="s">
        <v>131</v>
      </c>
      <c r="C90" s="126" t="s">
        <v>21</v>
      </c>
      <c r="D90" s="126" t="s">
        <v>77</v>
      </c>
      <c r="E90" s="126" t="s">
        <v>135</v>
      </c>
      <c r="F90" s="126">
        <v>0</v>
      </c>
      <c r="G90" s="126">
        <v>0</v>
      </c>
      <c r="H90" s="126">
        <v>0</v>
      </c>
      <c r="I90" s="126">
        <v>0</v>
      </c>
    </row>
    <row r="91" spans="1:9">
      <c r="A91" s="126">
        <v>1995</v>
      </c>
      <c r="B91" s="126" t="s">
        <v>131</v>
      </c>
      <c r="C91" s="126" t="s">
        <v>21</v>
      </c>
      <c r="D91" s="126" t="s">
        <v>79</v>
      </c>
      <c r="E91" s="126" t="s">
        <v>132</v>
      </c>
      <c r="F91" s="126">
        <v>0</v>
      </c>
      <c r="G91" s="126">
        <v>0</v>
      </c>
      <c r="H91" s="126">
        <v>0</v>
      </c>
      <c r="I91" s="126">
        <v>0</v>
      </c>
    </row>
    <row r="92" spans="1:9">
      <c r="A92" s="126">
        <v>1995</v>
      </c>
      <c r="B92" s="126" t="s">
        <v>131</v>
      </c>
      <c r="C92" s="126" t="s">
        <v>21</v>
      </c>
      <c r="D92" s="126" t="s">
        <v>79</v>
      </c>
      <c r="E92" s="126" t="s">
        <v>133</v>
      </c>
      <c r="F92" s="126">
        <v>0</v>
      </c>
      <c r="G92" s="126">
        <v>0</v>
      </c>
      <c r="H92" s="126">
        <v>0</v>
      </c>
      <c r="I92" s="126">
        <v>0</v>
      </c>
    </row>
    <row r="93" spans="1:9">
      <c r="A93" s="126">
        <v>1995</v>
      </c>
      <c r="B93" s="126" t="s">
        <v>131</v>
      </c>
      <c r="C93" s="126" t="s">
        <v>21</v>
      </c>
      <c r="D93" s="126" t="s">
        <v>79</v>
      </c>
      <c r="E93" s="126" t="s">
        <v>134</v>
      </c>
      <c r="F93" s="126">
        <v>0</v>
      </c>
      <c r="G93" s="126">
        <v>0</v>
      </c>
      <c r="H93" s="126">
        <v>0</v>
      </c>
      <c r="I93" s="126">
        <v>0</v>
      </c>
    </row>
    <row r="94" spans="1:9">
      <c r="A94" s="126">
        <v>1995</v>
      </c>
      <c r="B94" s="126" t="s">
        <v>131</v>
      </c>
      <c r="C94" s="126" t="s">
        <v>21</v>
      </c>
      <c r="D94" s="126" t="s">
        <v>79</v>
      </c>
      <c r="E94" s="126" t="s">
        <v>135</v>
      </c>
      <c r="F94" s="126">
        <v>0</v>
      </c>
      <c r="G94" s="126">
        <v>0</v>
      </c>
      <c r="H94" s="126">
        <v>0</v>
      </c>
      <c r="I94" s="126">
        <v>0</v>
      </c>
    </row>
    <row r="95" spans="1:9">
      <c r="A95" s="126">
        <v>1995</v>
      </c>
      <c r="B95" s="126" t="s">
        <v>131</v>
      </c>
      <c r="C95" s="126" t="s">
        <v>21</v>
      </c>
      <c r="D95" s="126" t="s">
        <v>79</v>
      </c>
      <c r="E95" s="126" t="s">
        <v>136</v>
      </c>
      <c r="F95" s="126">
        <v>0</v>
      </c>
      <c r="G95" s="126">
        <v>0</v>
      </c>
      <c r="H95" s="126">
        <v>0</v>
      </c>
      <c r="I95" s="126">
        <v>0</v>
      </c>
    </row>
    <row r="96" spans="1:9">
      <c r="A96" s="126">
        <v>1995</v>
      </c>
      <c r="B96" s="126" t="s">
        <v>131</v>
      </c>
      <c r="C96" s="126" t="s">
        <v>21</v>
      </c>
      <c r="D96" s="126" t="s">
        <v>76</v>
      </c>
      <c r="E96" s="126" t="s">
        <v>132</v>
      </c>
      <c r="F96" s="126">
        <v>0</v>
      </c>
      <c r="G96" s="126">
        <v>0</v>
      </c>
      <c r="H96" s="126">
        <v>0</v>
      </c>
      <c r="I96" s="126">
        <v>0</v>
      </c>
    </row>
    <row r="97" spans="1:9">
      <c r="A97" s="126">
        <v>1995</v>
      </c>
      <c r="B97" s="126" t="s">
        <v>131</v>
      </c>
      <c r="C97" s="126" t="s">
        <v>21</v>
      </c>
      <c r="D97" s="126" t="s">
        <v>76</v>
      </c>
      <c r="E97" s="126" t="s">
        <v>133</v>
      </c>
      <c r="F97" s="126">
        <v>0</v>
      </c>
      <c r="G97" s="126">
        <v>0</v>
      </c>
      <c r="H97" s="126">
        <v>0</v>
      </c>
      <c r="I97" s="126">
        <v>0</v>
      </c>
    </row>
    <row r="98" spans="1:9">
      <c r="A98" s="126">
        <v>1995</v>
      </c>
      <c r="B98" s="126" t="s">
        <v>131</v>
      </c>
      <c r="C98" s="126" t="s">
        <v>21</v>
      </c>
      <c r="D98" s="126" t="s">
        <v>76</v>
      </c>
      <c r="E98" s="126" t="s">
        <v>134</v>
      </c>
      <c r="F98" s="126">
        <v>0</v>
      </c>
      <c r="G98" s="126">
        <v>0</v>
      </c>
      <c r="H98" s="126">
        <v>0</v>
      </c>
      <c r="I98" s="126">
        <v>0</v>
      </c>
    </row>
    <row r="99" spans="1:9">
      <c r="A99" s="126">
        <v>1995</v>
      </c>
      <c r="B99" s="126" t="s">
        <v>131</v>
      </c>
      <c r="C99" s="126" t="s">
        <v>21</v>
      </c>
      <c r="D99" s="126" t="s">
        <v>76</v>
      </c>
      <c r="E99" s="126" t="s">
        <v>135</v>
      </c>
      <c r="F99" s="126">
        <v>0</v>
      </c>
      <c r="G99" s="126">
        <v>0</v>
      </c>
      <c r="H99" s="126">
        <v>0</v>
      </c>
      <c r="I99" s="126">
        <v>0</v>
      </c>
    </row>
    <row r="100" spans="1:9">
      <c r="A100" s="126">
        <v>1995</v>
      </c>
      <c r="B100" s="126" t="s">
        <v>131</v>
      </c>
      <c r="C100" s="126" t="s">
        <v>21</v>
      </c>
      <c r="D100" s="126" t="s">
        <v>76</v>
      </c>
      <c r="E100" s="126" t="s">
        <v>136</v>
      </c>
      <c r="F100" s="126">
        <v>0</v>
      </c>
      <c r="G100" s="126">
        <v>0</v>
      </c>
      <c r="H100" s="126">
        <v>0</v>
      </c>
      <c r="I100" s="126">
        <v>0</v>
      </c>
    </row>
    <row r="101" spans="1:9">
      <c r="A101" s="126">
        <v>1995</v>
      </c>
      <c r="B101" s="126" t="s">
        <v>131</v>
      </c>
      <c r="C101" s="126" t="s">
        <v>24</v>
      </c>
      <c r="D101" s="126" t="s">
        <v>77</v>
      </c>
      <c r="E101" s="126" t="s">
        <v>132</v>
      </c>
      <c r="F101" s="126">
        <v>0</v>
      </c>
      <c r="G101" s="126">
        <v>0</v>
      </c>
      <c r="H101" s="126">
        <v>0</v>
      </c>
      <c r="I101" s="126">
        <v>0</v>
      </c>
    </row>
    <row r="102" spans="1:9">
      <c r="A102" s="126">
        <v>1995</v>
      </c>
      <c r="B102" s="126" t="s">
        <v>131</v>
      </c>
      <c r="C102" s="126" t="s">
        <v>24</v>
      </c>
      <c r="D102" s="126" t="s">
        <v>77</v>
      </c>
      <c r="E102" s="126" t="s">
        <v>133</v>
      </c>
      <c r="F102" s="126">
        <v>0</v>
      </c>
      <c r="G102" s="126">
        <v>0</v>
      </c>
      <c r="H102" s="126">
        <v>0</v>
      </c>
      <c r="I102" s="126">
        <v>0</v>
      </c>
    </row>
    <row r="103" spans="1:9">
      <c r="A103" s="126">
        <v>1995</v>
      </c>
      <c r="B103" s="126" t="s">
        <v>131</v>
      </c>
      <c r="C103" s="126" t="s">
        <v>24</v>
      </c>
      <c r="D103" s="126" t="s">
        <v>77</v>
      </c>
      <c r="E103" s="126" t="s">
        <v>134</v>
      </c>
      <c r="F103" s="126">
        <v>0</v>
      </c>
      <c r="G103" s="126">
        <v>0</v>
      </c>
      <c r="H103" s="126">
        <v>0</v>
      </c>
      <c r="I103" s="126">
        <v>0</v>
      </c>
    </row>
    <row r="104" spans="1:9">
      <c r="A104" s="126">
        <v>1995</v>
      </c>
      <c r="B104" s="126" t="s">
        <v>131</v>
      </c>
      <c r="C104" s="126" t="s">
        <v>24</v>
      </c>
      <c r="D104" s="126" t="s">
        <v>77</v>
      </c>
      <c r="E104" s="126" t="s">
        <v>135</v>
      </c>
      <c r="F104" s="126">
        <v>0</v>
      </c>
      <c r="G104" s="126">
        <v>0</v>
      </c>
      <c r="H104" s="126">
        <v>0</v>
      </c>
      <c r="I104" s="126">
        <v>0</v>
      </c>
    </row>
    <row r="105" spans="1:9">
      <c r="A105" s="126">
        <v>1995</v>
      </c>
      <c r="B105" s="126" t="s">
        <v>131</v>
      </c>
      <c r="C105" s="126" t="s">
        <v>24</v>
      </c>
      <c r="D105" s="126" t="s">
        <v>79</v>
      </c>
      <c r="E105" s="126" t="s">
        <v>132</v>
      </c>
      <c r="F105" s="126">
        <v>0</v>
      </c>
      <c r="G105" s="126">
        <v>0</v>
      </c>
      <c r="H105" s="126">
        <v>0</v>
      </c>
      <c r="I105" s="126">
        <v>0</v>
      </c>
    </row>
    <row r="106" spans="1:9">
      <c r="A106" s="126">
        <v>1995</v>
      </c>
      <c r="B106" s="126" t="s">
        <v>131</v>
      </c>
      <c r="C106" s="126" t="s">
        <v>24</v>
      </c>
      <c r="D106" s="126" t="s">
        <v>79</v>
      </c>
      <c r="E106" s="126" t="s">
        <v>133</v>
      </c>
      <c r="F106" s="126">
        <v>0</v>
      </c>
      <c r="G106" s="126">
        <v>0</v>
      </c>
      <c r="H106" s="126">
        <v>0</v>
      </c>
      <c r="I106" s="126">
        <v>0</v>
      </c>
    </row>
    <row r="107" spans="1:9">
      <c r="A107" s="126">
        <v>1995</v>
      </c>
      <c r="B107" s="126" t="s">
        <v>131</v>
      </c>
      <c r="C107" s="126" t="s">
        <v>24</v>
      </c>
      <c r="D107" s="126" t="s">
        <v>79</v>
      </c>
      <c r="E107" s="126" t="s">
        <v>134</v>
      </c>
      <c r="F107" s="126">
        <v>0</v>
      </c>
      <c r="G107" s="126">
        <v>0</v>
      </c>
      <c r="H107" s="126">
        <v>0</v>
      </c>
      <c r="I107" s="126">
        <v>0</v>
      </c>
    </row>
    <row r="108" spans="1:9">
      <c r="A108" s="126">
        <v>1995</v>
      </c>
      <c r="B108" s="126" t="s">
        <v>131</v>
      </c>
      <c r="C108" s="126" t="s">
        <v>24</v>
      </c>
      <c r="D108" s="126" t="s">
        <v>79</v>
      </c>
      <c r="E108" s="126" t="s">
        <v>135</v>
      </c>
      <c r="F108" s="126">
        <v>0</v>
      </c>
      <c r="G108" s="126">
        <v>0</v>
      </c>
      <c r="H108" s="126">
        <v>0</v>
      </c>
      <c r="I108" s="126">
        <v>0</v>
      </c>
    </row>
    <row r="109" spans="1:9">
      <c r="A109" s="126">
        <v>1995</v>
      </c>
      <c r="B109" s="126" t="s">
        <v>131</v>
      </c>
      <c r="C109" s="126" t="s">
        <v>24</v>
      </c>
      <c r="D109" s="126" t="s">
        <v>79</v>
      </c>
      <c r="E109" s="126" t="s">
        <v>136</v>
      </c>
      <c r="F109" s="126">
        <v>0</v>
      </c>
      <c r="G109" s="126">
        <v>0</v>
      </c>
      <c r="H109" s="126">
        <v>0</v>
      </c>
      <c r="I109" s="126">
        <v>0</v>
      </c>
    </row>
    <row r="110" spans="1:9">
      <c r="A110" s="126">
        <v>1995</v>
      </c>
      <c r="B110" s="126" t="s">
        <v>131</v>
      </c>
      <c r="C110" s="126" t="s">
        <v>24</v>
      </c>
      <c r="D110" s="126" t="s">
        <v>76</v>
      </c>
      <c r="E110" s="126" t="s">
        <v>132</v>
      </c>
      <c r="F110" s="126">
        <v>0</v>
      </c>
      <c r="G110" s="126">
        <v>0</v>
      </c>
      <c r="H110" s="126">
        <v>0</v>
      </c>
      <c r="I110" s="126">
        <v>0</v>
      </c>
    </row>
    <row r="111" spans="1:9">
      <c r="A111" s="126">
        <v>1995</v>
      </c>
      <c r="B111" s="126" t="s">
        <v>131</v>
      </c>
      <c r="C111" s="126" t="s">
        <v>24</v>
      </c>
      <c r="D111" s="126" t="s">
        <v>76</v>
      </c>
      <c r="E111" s="126" t="s">
        <v>133</v>
      </c>
      <c r="F111" s="126">
        <v>0</v>
      </c>
      <c r="G111" s="126">
        <v>0</v>
      </c>
      <c r="H111" s="126">
        <v>0</v>
      </c>
      <c r="I111" s="126">
        <v>0</v>
      </c>
    </row>
    <row r="112" spans="1:9">
      <c r="A112" s="126">
        <v>1995</v>
      </c>
      <c r="B112" s="126" t="s">
        <v>131</v>
      </c>
      <c r="C112" s="126" t="s">
        <v>24</v>
      </c>
      <c r="D112" s="126" t="s">
        <v>76</v>
      </c>
      <c r="E112" s="126" t="s">
        <v>134</v>
      </c>
      <c r="F112" s="126">
        <v>0</v>
      </c>
      <c r="G112" s="126">
        <v>0</v>
      </c>
      <c r="H112" s="126">
        <v>0</v>
      </c>
      <c r="I112" s="126">
        <v>0</v>
      </c>
    </row>
    <row r="113" spans="1:9">
      <c r="A113" s="126">
        <v>1995</v>
      </c>
      <c r="B113" s="126" t="s">
        <v>131</v>
      </c>
      <c r="C113" s="126" t="s">
        <v>24</v>
      </c>
      <c r="D113" s="126" t="s">
        <v>76</v>
      </c>
      <c r="E113" s="126" t="s">
        <v>135</v>
      </c>
      <c r="F113" s="126">
        <v>0</v>
      </c>
      <c r="G113" s="126">
        <v>0</v>
      </c>
      <c r="H113" s="126">
        <v>0</v>
      </c>
      <c r="I113" s="126">
        <v>0</v>
      </c>
    </row>
    <row r="114" spans="1:9">
      <c r="A114" s="126">
        <v>1995</v>
      </c>
      <c r="B114" s="126" t="s">
        <v>131</v>
      </c>
      <c r="C114" s="126" t="s">
        <v>24</v>
      </c>
      <c r="D114" s="126" t="s">
        <v>76</v>
      </c>
      <c r="E114" s="126" t="s">
        <v>136</v>
      </c>
      <c r="F114" s="126">
        <v>0</v>
      </c>
      <c r="G114" s="126">
        <v>0</v>
      </c>
      <c r="H114" s="126">
        <v>0</v>
      </c>
      <c r="I114" s="126">
        <v>0</v>
      </c>
    </row>
    <row r="115" spans="1:9">
      <c r="A115" s="126">
        <v>1995</v>
      </c>
      <c r="B115" s="126" t="s">
        <v>137</v>
      </c>
      <c r="C115" s="126" t="s">
        <v>26</v>
      </c>
      <c r="D115" s="126" t="s">
        <v>77</v>
      </c>
      <c r="E115" s="126" t="s">
        <v>132</v>
      </c>
      <c r="F115" s="126">
        <v>0</v>
      </c>
      <c r="G115" s="126">
        <v>0</v>
      </c>
      <c r="H115" s="126">
        <v>0</v>
      </c>
      <c r="I115" s="126">
        <v>0</v>
      </c>
    </row>
    <row r="116" spans="1:9">
      <c r="A116" s="126">
        <v>1995</v>
      </c>
      <c r="B116" s="126" t="s">
        <v>137</v>
      </c>
      <c r="C116" s="126" t="s">
        <v>26</v>
      </c>
      <c r="D116" s="126" t="s">
        <v>77</v>
      </c>
      <c r="E116" s="126" t="s">
        <v>133</v>
      </c>
      <c r="F116" s="126">
        <v>0</v>
      </c>
      <c r="G116" s="126">
        <v>0</v>
      </c>
      <c r="H116" s="126">
        <v>0</v>
      </c>
      <c r="I116" s="126">
        <v>0</v>
      </c>
    </row>
    <row r="117" spans="1:9">
      <c r="A117" s="126">
        <v>1995</v>
      </c>
      <c r="B117" s="126" t="s">
        <v>137</v>
      </c>
      <c r="C117" s="126" t="s">
        <v>26</v>
      </c>
      <c r="D117" s="126" t="s">
        <v>77</v>
      </c>
      <c r="E117" s="126" t="s">
        <v>134</v>
      </c>
      <c r="F117" s="126">
        <v>0</v>
      </c>
      <c r="G117" s="126">
        <v>0</v>
      </c>
      <c r="H117" s="126">
        <v>0</v>
      </c>
      <c r="I117" s="126">
        <v>0</v>
      </c>
    </row>
    <row r="118" spans="1:9">
      <c r="A118" s="126">
        <v>1995</v>
      </c>
      <c r="B118" s="126" t="s">
        <v>137</v>
      </c>
      <c r="C118" s="126" t="s">
        <v>26</v>
      </c>
      <c r="D118" s="126" t="s">
        <v>77</v>
      </c>
      <c r="E118" s="126" t="s">
        <v>135</v>
      </c>
      <c r="F118" s="126">
        <v>0</v>
      </c>
      <c r="G118" s="126">
        <v>0</v>
      </c>
      <c r="H118" s="126">
        <v>0</v>
      </c>
      <c r="I118" s="126">
        <v>0</v>
      </c>
    </row>
    <row r="119" spans="1:9">
      <c r="A119" s="126">
        <v>1995</v>
      </c>
      <c r="B119" s="126" t="s">
        <v>137</v>
      </c>
      <c r="C119" s="126" t="s">
        <v>26</v>
      </c>
      <c r="D119" s="126" t="s">
        <v>79</v>
      </c>
      <c r="E119" s="126" t="s">
        <v>132</v>
      </c>
      <c r="F119" s="126">
        <v>0</v>
      </c>
      <c r="G119" s="126">
        <v>0</v>
      </c>
      <c r="H119" s="126">
        <v>0</v>
      </c>
      <c r="I119" s="126">
        <v>0</v>
      </c>
    </row>
    <row r="120" spans="1:9">
      <c r="A120" s="126">
        <v>1995</v>
      </c>
      <c r="B120" s="126" t="s">
        <v>137</v>
      </c>
      <c r="C120" s="126" t="s">
        <v>26</v>
      </c>
      <c r="D120" s="126" t="s">
        <v>79</v>
      </c>
      <c r="E120" s="126" t="s">
        <v>133</v>
      </c>
      <c r="F120" s="126">
        <v>0</v>
      </c>
      <c r="G120" s="126">
        <v>0</v>
      </c>
      <c r="H120" s="126">
        <v>0</v>
      </c>
      <c r="I120" s="126">
        <v>0</v>
      </c>
    </row>
    <row r="121" spans="1:9">
      <c r="A121" s="126">
        <v>1995</v>
      </c>
      <c r="B121" s="126" t="s">
        <v>137</v>
      </c>
      <c r="C121" s="126" t="s">
        <v>26</v>
      </c>
      <c r="D121" s="126" t="s">
        <v>79</v>
      </c>
      <c r="E121" s="126" t="s">
        <v>134</v>
      </c>
      <c r="F121" s="126">
        <v>0</v>
      </c>
      <c r="G121" s="126">
        <v>0</v>
      </c>
      <c r="H121" s="126">
        <v>0</v>
      </c>
      <c r="I121" s="126">
        <v>0</v>
      </c>
    </row>
    <row r="122" spans="1:9">
      <c r="A122" s="126">
        <v>1995</v>
      </c>
      <c r="B122" s="126" t="s">
        <v>137</v>
      </c>
      <c r="C122" s="126" t="s">
        <v>26</v>
      </c>
      <c r="D122" s="126" t="s">
        <v>79</v>
      </c>
      <c r="E122" s="126" t="s">
        <v>135</v>
      </c>
      <c r="F122" s="126">
        <v>0</v>
      </c>
      <c r="G122" s="126">
        <v>0</v>
      </c>
      <c r="H122" s="126">
        <v>0</v>
      </c>
      <c r="I122" s="126">
        <v>0</v>
      </c>
    </row>
    <row r="123" spans="1:9">
      <c r="A123" s="126">
        <v>1995</v>
      </c>
      <c r="B123" s="126" t="s">
        <v>137</v>
      </c>
      <c r="C123" s="126" t="s">
        <v>26</v>
      </c>
      <c r="D123" s="126" t="s">
        <v>79</v>
      </c>
      <c r="E123" s="126" t="s">
        <v>136</v>
      </c>
      <c r="F123" s="126">
        <v>0</v>
      </c>
      <c r="G123" s="126">
        <v>0</v>
      </c>
      <c r="H123" s="126">
        <v>0</v>
      </c>
      <c r="I123" s="126">
        <v>0</v>
      </c>
    </row>
    <row r="124" spans="1:9">
      <c r="A124" s="126">
        <v>1995</v>
      </c>
      <c r="B124" s="126" t="s">
        <v>137</v>
      </c>
      <c r="C124" s="126" t="s">
        <v>26</v>
      </c>
      <c r="D124" s="126" t="s">
        <v>76</v>
      </c>
      <c r="E124" s="126" t="s">
        <v>132</v>
      </c>
      <c r="F124" s="126">
        <v>0</v>
      </c>
      <c r="G124" s="126">
        <v>0</v>
      </c>
      <c r="H124" s="126">
        <v>0</v>
      </c>
      <c r="I124" s="126">
        <v>0</v>
      </c>
    </row>
    <row r="125" spans="1:9">
      <c r="A125" s="126">
        <v>1995</v>
      </c>
      <c r="B125" s="126" t="s">
        <v>137</v>
      </c>
      <c r="C125" s="126" t="s">
        <v>26</v>
      </c>
      <c r="D125" s="126" t="s">
        <v>76</v>
      </c>
      <c r="E125" s="126" t="s">
        <v>133</v>
      </c>
      <c r="F125" s="126">
        <v>0</v>
      </c>
      <c r="G125" s="126">
        <v>0</v>
      </c>
      <c r="H125" s="126">
        <v>0</v>
      </c>
      <c r="I125" s="126">
        <v>0</v>
      </c>
    </row>
    <row r="126" spans="1:9">
      <c r="A126" s="126">
        <v>1995</v>
      </c>
      <c r="B126" s="126" t="s">
        <v>137</v>
      </c>
      <c r="C126" s="126" t="s">
        <v>26</v>
      </c>
      <c r="D126" s="126" t="s">
        <v>76</v>
      </c>
      <c r="E126" s="126" t="s">
        <v>134</v>
      </c>
      <c r="F126" s="126">
        <v>0</v>
      </c>
      <c r="G126" s="126">
        <v>0</v>
      </c>
      <c r="H126" s="126">
        <v>0</v>
      </c>
      <c r="I126" s="126">
        <v>0</v>
      </c>
    </row>
    <row r="127" spans="1:9">
      <c r="A127" s="126">
        <v>1995</v>
      </c>
      <c r="B127" s="126" t="s">
        <v>137</v>
      </c>
      <c r="C127" s="126" t="s">
        <v>26</v>
      </c>
      <c r="D127" s="126" t="s">
        <v>76</v>
      </c>
      <c r="E127" s="126" t="s">
        <v>135</v>
      </c>
      <c r="F127" s="126">
        <v>0</v>
      </c>
      <c r="G127" s="126">
        <v>0</v>
      </c>
      <c r="H127" s="126">
        <v>0</v>
      </c>
      <c r="I127" s="126">
        <v>0</v>
      </c>
    </row>
    <row r="128" spans="1:9">
      <c r="A128" s="126">
        <v>1995</v>
      </c>
      <c r="B128" s="126" t="s">
        <v>137</v>
      </c>
      <c r="C128" s="126" t="s">
        <v>26</v>
      </c>
      <c r="D128" s="126" t="s">
        <v>76</v>
      </c>
      <c r="E128" s="126" t="s">
        <v>136</v>
      </c>
      <c r="F128" s="126">
        <v>0</v>
      </c>
      <c r="G128" s="126">
        <v>0</v>
      </c>
      <c r="H128" s="126">
        <v>0</v>
      </c>
      <c r="I128" s="126">
        <v>0</v>
      </c>
    </row>
    <row r="129" spans="1:9">
      <c r="A129" s="126">
        <v>1995</v>
      </c>
      <c r="B129" s="126" t="s">
        <v>137</v>
      </c>
      <c r="C129" s="126" t="s">
        <v>20</v>
      </c>
      <c r="D129" s="126" t="s">
        <v>77</v>
      </c>
      <c r="E129" s="126" t="s">
        <v>132</v>
      </c>
      <c r="F129" s="126">
        <v>0</v>
      </c>
      <c r="G129" s="126">
        <v>0</v>
      </c>
      <c r="H129" s="126">
        <v>0</v>
      </c>
      <c r="I129" s="126">
        <v>0</v>
      </c>
    </row>
    <row r="130" spans="1:9">
      <c r="A130" s="126">
        <v>1995</v>
      </c>
      <c r="B130" s="126" t="s">
        <v>137</v>
      </c>
      <c r="C130" s="126" t="s">
        <v>20</v>
      </c>
      <c r="D130" s="126" t="s">
        <v>77</v>
      </c>
      <c r="E130" s="126" t="s">
        <v>133</v>
      </c>
      <c r="F130" s="126">
        <v>0</v>
      </c>
      <c r="G130" s="126">
        <v>0</v>
      </c>
      <c r="H130" s="126">
        <v>0</v>
      </c>
      <c r="I130" s="126">
        <v>0</v>
      </c>
    </row>
    <row r="131" spans="1:9">
      <c r="A131" s="126">
        <v>1995</v>
      </c>
      <c r="B131" s="126" t="s">
        <v>137</v>
      </c>
      <c r="C131" s="126" t="s">
        <v>20</v>
      </c>
      <c r="D131" s="126" t="s">
        <v>77</v>
      </c>
      <c r="E131" s="126" t="s">
        <v>134</v>
      </c>
      <c r="F131" s="126">
        <v>0</v>
      </c>
      <c r="G131" s="126">
        <v>0</v>
      </c>
      <c r="H131" s="126">
        <v>0</v>
      </c>
      <c r="I131" s="126">
        <v>0</v>
      </c>
    </row>
    <row r="132" spans="1:9">
      <c r="A132" s="126">
        <v>1995</v>
      </c>
      <c r="B132" s="126" t="s">
        <v>137</v>
      </c>
      <c r="C132" s="126" t="s">
        <v>20</v>
      </c>
      <c r="D132" s="126" t="s">
        <v>77</v>
      </c>
      <c r="E132" s="126" t="s">
        <v>135</v>
      </c>
      <c r="F132" s="126">
        <v>0</v>
      </c>
      <c r="G132" s="126">
        <v>0</v>
      </c>
      <c r="H132" s="126">
        <v>0</v>
      </c>
      <c r="I132" s="126">
        <v>0</v>
      </c>
    </row>
    <row r="133" spans="1:9">
      <c r="A133" s="126">
        <v>1995</v>
      </c>
      <c r="B133" s="126" t="s">
        <v>137</v>
      </c>
      <c r="C133" s="126" t="s">
        <v>20</v>
      </c>
      <c r="D133" s="126" t="s">
        <v>79</v>
      </c>
      <c r="E133" s="126" t="s">
        <v>132</v>
      </c>
      <c r="F133" s="126">
        <v>0</v>
      </c>
      <c r="G133" s="126">
        <v>0</v>
      </c>
      <c r="H133" s="126">
        <v>0</v>
      </c>
      <c r="I133" s="126">
        <v>0</v>
      </c>
    </row>
    <row r="134" spans="1:9">
      <c r="A134" s="126">
        <v>1995</v>
      </c>
      <c r="B134" s="126" t="s">
        <v>137</v>
      </c>
      <c r="C134" s="126" t="s">
        <v>20</v>
      </c>
      <c r="D134" s="126" t="s">
        <v>79</v>
      </c>
      <c r="E134" s="126" t="s">
        <v>133</v>
      </c>
      <c r="F134" s="126">
        <v>0</v>
      </c>
      <c r="G134" s="126">
        <v>0</v>
      </c>
      <c r="H134" s="126">
        <v>0</v>
      </c>
      <c r="I134" s="126">
        <v>0</v>
      </c>
    </row>
    <row r="135" spans="1:9">
      <c r="A135" s="126">
        <v>1995</v>
      </c>
      <c r="B135" s="126" t="s">
        <v>137</v>
      </c>
      <c r="C135" s="126" t="s">
        <v>20</v>
      </c>
      <c r="D135" s="126" t="s">
        <v>79</v>
      </c>
      <c r="E135" s="126" t="s">
        <v>134</v>
      </c>
      <c r="F135" s="126">
        <v>0</v>
      </c>
      <c r="G135" s="126">
        <v>0</v>
      </c>
      <c r="H135" s="126">
        <v>0</v>
      </c>
      <c r="I135" s="126">
        <v>0</v>
      </c>
    </row>
    <row r="136" spans="1:9">
      <c r="A136" s="126">
        <v>1995</v>
      </c>
      <c r="B136" s="126" t="s">
        <v>137</v>
      </c>
      <c r="C136" s="126" t="s">
        <v>20</v>
      </c>
      <c r="D136" s="126" t="s">
        <v>79</v>
      </c>
      <c r="E136" s="126" t="s">
        <v>135</v>
      </c>
      <c r="F136" s="126">
        <v>0</v>
      </c>
      <c r="G136" s="126">
        <v>0</v>
      </c>
      <c r="H136" s="126">
        <v>0</v>
      </c>
      <c r="I136" s="126">
        <v>0</v>
      </c>
    </row>
    <row r="137" spans="1:9">
      <c r="A137" s="126">
        <v>1995</v>
      </c>
      <c r="B137" s="126" t="s">
        <v>137</v>
      </c>
      <c r="C137" s="126" t="s">
        <v>20</v>
      </c>
      <c r="D137" s="126" t="s">
        <v>79</v>
      </c>
      <c r="E137" s="126" t="s">
        <v>136</v>
      </c>
      <c r="F137" s="126">
        <v>0</v>
      </c>
      <c r="G137" s="126">
        <v>0</v>
      </c>
      <c r="H137" s="126">
        <v>0</v>
      </c>
      <c r="I137" s="126">
        <v>0</v>
      </c>
    </row>
    <row r="138" spans="1:9">
      <c r="A138" s="126">
        <v>1995</v>
      </c>
      <c r="B138" s="126" t="s">
        <v>137</v>
      </c>
      <c r="C138" s="126" t="s">
        <v>20</v>
      </c>
      <c r="D138" s="126" t="s">
        <v>76</v>
      </c>
      <c r="E138" s="126" t="s">
        <v>132</v>
      </c>
      <c r="F138" s="126">
        <v>0</v>
      </c>
      <c r="G138" s="126">
        <v>0</v>
      </c>
      <c r="H138" s="126">
        <v>0</v>
      </c>
      <c r="I138" s="126">
        <v>0</v>
      </c>
    </row>
    <row r="139" spans="1:9">
      <c r="A139" s="126">
        <v>1995</v>
      </c>
      <c r="B139" s="126" t="s">
        <v>137</v>
      </c>
      <c r="C139" s="126" t="s">
        <v>20</v>
      </c>
      <c r="D139" s="126" t="s">
        <v>76</v>
      </c>
      <c r="E139" s="126" t="s">
        <v>133</v>
      </c>
      <c r="F139" s="126">
        <v>0</v>
      </c>
      <c r="G139" s="126">
        <v>0</v>
      </c>
      <c r="H139" s="126">
        <v>0</v>
      </c>
      <c r="I139" s="126">
        <v>0</v>
      </c>
    </row>
    <row r="140" spans="1:9">
      <c r="A140" s="126">
        <v>1995</v>
      </c>
      <c r="B140" s="126" t="s">
        <v>137</v>
      </c>
      <c r="C140" s="126" t="s">
        <v>20</v>
      </c>
      <c r="D140" s="126" t="s">
        <v>76</v>
      </c>
      <c r="E140" s="126" t="s">
        <v>134</v>
      </c>
      <c r="F140" s="126">
        <v>0</v>
      </c>
      <c r="G140" s="126">
        <v>0</v>
      </c>
      <c r="H140" s="126">
        <v>0</v>
      </c>
      <c r="I140" s="126">
        <v>0</v>
      </c>
    </row>
    <row r="141" spans="1:9">
      <c r="A141" s="126">
        <v>1995</v>
      </c>
      <c r="B141" s="126" t="s">
        <v>137</v>
      </c>
      <c r="C141" s="126" t="s">
        <v>20</v>
      </c>
      <c r="D141" s="126" t="s">
        <v>76</v>
      </c>
      <c r="E141" s="126" t="s">
        <v>135</v>
      </c>
      <c r="F141" s="126">
        <v>0</v>
      </c>
      <c r="G141" s="126">
        <v>0</v>
      </c>
      <c r="H141" s="126">
        <v>0</v>
      </c>
      <c r="I141" s="126">
        <v>0</v>
      </c>
    </row>
    <row r="142" spans="1:9">
      <c r="A142" s="126">
        <v>1995</v>
      </c>
      <c r="B142" s="126" t="s">
        <v>137</v>
      </c>
      <c r="C142" s="126" t="s">
        <v>20</v>
      </c>
      <c r="D142" s="126" t="s">
        <v>76</v>
      </c>
      <c r="E142" s="126" t="s">
        <v>136</v>
      </c>
      <c r="F142" s="126">
        <v>0</v>
      </c>
      <c r="G142" s="126">
        <v>0</v>
      </c>
      <c r="H142" s="126">
        <v>0</v>
      </c>
      <c r="I142" s="126">
        <v>0</v>
      </c>
    </row>
    <row r="143" spans="1:9">
      <c r="A143" s="126">
        <v>1995</v>
      </c>
      <c r="B143" s="126" t="s">
        <v>137</v>
      </c>
      <c r="C143" s="126" t="s">
        <v>27</v>
      </c>
      <c r="D143" s="126" t="s">
        <v>77</v>
      </c>
      <c r="E143" s="126" t="s">
        <v>132</v>
      </c>
      <c r="F143" s="126">
        <v>0</v>
      </c>
      <c r="G143" s="126">
        <v>0</v>
      </c>
      <c r="H143" s="126">
        <v>0</v>
      </c>
      <c r="I143" s="126">
        <v>0</v>
      </c>
    </row>
    <row r="144" spans="1:9">
      <c r="A144" s="126">
        <v>1995</v>
      </c>
      <c r="B144" s="126" t="s">
        <v>137</v>
      </c>
      <c r="C144" s="126" t="s">
        <v>27</v>
      </c>
      <c r="D144" s="126" t="s">
        <v>77</v>
      </c>
      <c r="E144" s="126" t="s">
        <v>133</v>
      </c>
      <c r="F144" s="126">
        <v>0</v>
      </c>
      <c r="G144" s="126">
        <v>0</v>
      </c>
      <c r="H144" s="126">
        <v>0</v>
      </c>
      <c r="I144" s="126">
        <v>0</v>
      </c>
    </row>
    <row r="145" spans="1:9">
      <c r="A145" s="126">
        <v>1995</v>
      </c>
      <c r="B145" s="126" t="s">
        <v>137</v>
      </c>
      <c r="C145" s="126" t="s">
        <v>27</v>
      </c>
      <c r="D145" s="126" t="s">
        <v>77</v>
      </c>
      <c r="E145" s="126" t="s">
        <v>134</v>
      </c>
      <c r="F145" s="126">
        <v>0</v>
      </c>
      <c r="G145" s="126">
        <v>0</v>
      </c>
      <c r="H145" s="126">
        <v>0</v>
      </c>
      <c r="I145" s="126">
        <v>0</v>
      </c>
    </row>
    <row r="146" spans="1:9">
      <c r="A146" s="126">
        <v>1995</v>
      </c>
      <c r="B146" s="126" t="s">
        <v>137</v>
      </c>
      <c r="C146" s="126" t="s">
        <v>27</v>
      </c>
      <c r="D146" s="126" t="s">
        <v>77</v>
      </c>
      <c r="E146" s="126" t="s">
        <v>135</v>
      </c>
      <c r="F146" s="126">
        <v>0</v>
      </c>
      <c r="G146" s="126">
        <v>0</v>
      </c>
      <c r="H146" s="126">
        <v>0</v>
      </c>
      <c r="I146" s="126">
        <v>0</v>
      </c>
    </row>
    <row r="147" spans="1:9">
      <c r="A147" s="126">
        <v>1995</v>
      </c>
      <c r="B147" s="126" t="s">
        <v>137</v>
      </c>
      <c r="C147" s="126" t="s">
        <v>27</v>
      </c>
      <c r="D147" s="126" t="s">
        <v>79</v>
      </c>
      <c r="E147" s="126" t="s">
        <v>132</v>
      </c>
      <c r="F147" s="126">
        <v>0</v>
      </c>
      <c r="G147" s="126">
        <v>0</v>
      </c>
      <c r="H147" s="126">
        <v>0</v>
      </c>
      <c r="I147" s="126">
        <v>0</v>
      </c>
    </row>
    <row r="148" spans="1:9">
      <c r="A148" s="126">
        <v>1995</v>
      </c>
      <c r="B148" s="126" t="s">
        <v>137</v>
      </c>
      <c r="C148" s="126" t="s">
        <v>27</v>
      </c>
      <c r="D148" s="126" t="s">
        <v>79</v>
      </c>
      <c r="E148" s="126" t="s">
        <v>133</v>
      </c>
      <c r="F148" s="126">
        <v>0</v>
      </c>
      <c r="G148" s="126">
        <v>0</v>
      </c>
      <c r="H148" s="126">
        <v>0</v>
      </c>
      <c r="I148" s="126">
        <v>0</v>
      </c>
    </row>
    <row r="149" spans="1:9">
      <c r="A149" s="126">
        <v>1995</v>
      </c>
      <c r="B149" s="126" t="s">
        <v>137</v>
      </c>
      <c r="C149" s="126" t="s">
        <v>27</v>
      </c>
      <c r="D149" s="126" t="s">
        <v>79</v>
      </c>
      <c r="E149" s="126" t="s">
        <v>134</v>
      </c>
      <c r="F149" s="126">
        <v>0</v>
      </c>
      <c r="G149" s="126">
        <v>0</v>
      </c>
      <c r="H149" s="126">
        <v>0</v>
      </c>
      <c r="I149" s="126">
        <v>0</v>
      </c>
    </row>
    <row r="150" spans="1:9">
      <c r="A150" s="126">
        <v>1995</v>
      </c>
      <c r="B150" s="126" t="s">
        <v>137</v>
      </c>
      <c r="C150" s="126" t="s">
        <v>27</v>
      </c>
      <c r="D150" s="126" t="s">
        <v>79</v>
      </c>
      <c r="E150" s="126" t="s">
        <v>135</v>
      </c>
      <c r="F150" s="126">
        <v>0</v>
      </c>
      <c r="G150" s="126">
        <v>0</v>
      </c>
      <c r="H150" s="126">
        <v>0</v>
      </c>
      <c r="I150" s="126">
        <v>0</v>
      </c>
    </row>
    <row r="151" spans="1:9">
      <c r="A151" s="126">
        <v>1995</v>
      </c>
      <c r="B151" s="126" t="s">
        <v>137</v>
      </c>
      <c r="C151" s="126" t="s">
        <v>27</v>
      </c>
      <c r="D151" s="126" t="s">
        <v>79</v>
      </c>
      <c r="E151" s="126" t="s">
        <v>136</v>
      </c>
      <c r="F151" s="126">
        <v>0</v>
      </c>
      <c r="G151" s="126">
        <v>0</v>
      </c>
      <c r="H151" s="126">
        <v>0</v>
      </c>
      <c r="I151" s="126">
        <v>0</v>
      </c>
    </row>
    <row r="152" spans="1:9">
      <c r="A152" s="126">
        <v>1995</v>
      </c>
      <c r="B152" s="126" t="s">
        <v>137</v>
      </c>
      <c r="C152" s="126" t="s">
        <v>27</v>
      </c>
      <c r="D152" s="126" t="s">
        <v>76</v>
      </c>
      <c r="E152" s="126" t="s">
        <v>132</v>
      </c>
      <c r="F152" s="126">
        <v>0</v>
      </c>
      <c r="G152" s="126">
        <v>0</v>
      </c>
      <c r="H152" s="126">
        <v>0</v>
      </c>
      <c r="I152" s="126">
        <v>0</v>
      </c>
    </row>
    <row r="153" spans="1:9">
      <c r="A153" s="126">
        <v>1995</v>
      </c>
      <c r="B153" s="126" t="s">
        <v>137</v>
      </c>
      <c r="C153" s="126" t="s">
        <v>27</v>
      </c>
      <c r="D153" s="126" t="s">
        <v>76</v>
      </c>
      <c r="E153" s="126" t="s">
        <v>133</v>
      </c>
      <c r="F153" s="126">
        <v>0</v>
      </c>
      <c r="G153" s="126">
        <v>0</v>
      </c>
      <c r="H153" s="126">
        <v>0</v>
      </c>
      <c r="I153" s="126">
        <v>0</v>
      </c>
    </row>
    <row r="154" spans="1:9">
      <c r="A154" s="126">
        <v>1995</v>
      </c>
      <c r="B154" s="126" t="s">
        <v>137</v>
      </c>
      <c r="C154" s="126" t="s">
        <v>27</v>
      </c>
      <c r="D154" s="126" t="s">
        <v>76</v>
      </c>
      <c r="E154" s="126" t="s">
        <v>134</v>
      </c>
      <c r="F154" s="126">
        <v>0</v>
      </c>
      <c r="G154" s="126">
        <v>0</v>
      </c>
      <c r="H154" s="126">
        <v>0</v>
      </c>
      <c r="I154" s="126">
        <v>0</v>
      </c>
    </row>
    <row r="155" spans="1:9">
      <c r="A155" s="126">
        <v>1995</v>
      </c>
      <c r="B155" s="126" t="s">
        <v>137</v>
      </c>
      <c r="C155" s="126" t="s">
        <v>27</v>
      </c>
      <c r="D155" s="126" t="s">
        <v>76</v>
      </c>
      <c r="E155" s="126" t="s">
        <v>135</v>
      </c>
      <c r="F155" s="126">
        <v>0</v>
      </c>
      <c r="G155" s="126">
        <v>0</v>
      </c>
      <c r="H155" s="126">
        <v>0</v>
      </c>
      <c r="I155" s="126">
        <v>0</v>
      </c>
    </row>
    <row r="156" spans="1:9">
      <c r="A156" s="126">
        <v>1995</v>
      </c>
      <c r="B156" s="126" t="s">
        <v>137</v>
      </c>
      <c r="C156" s="126" t="s">
        <v>27</v>
      </c>
      <c r="D156" s="126" t="s">
        <v>76</v>
      </c>
      <c r="E156" s="126" t="s">
        <v>136</v>
      </c>
      <c r="F156" s="126">
        <v>0</v>
      </c>
      <c r="G156" s="126">
        <v>0</v>
      </c>
      <c r="H156" s="126">
        <v>0</v>
      </c>
      <c r="I156" s="126">
        <v>0</v>
      </c>
    </row>
    <row r="157" spans="1:9">
      <c r="A157" s="126">
        <v>1995</v>
      </c>
      <c r="B157" s="126" t="s">
        <v>137</v>
      </c>
      <c r="C157" s="126" t="s">
        <v>22</v>
      </c>
      <c r="D157" s="126" t="s">
        <v>77</v>
      </c>
      <c r="E157" s="126" t="s">
        <v>132</v>
      </c>
      <c r="F157" s="126">
        <v>0</v>
      </c>
      <c r="G157" s="126">
        <v>0</v>
      </c>
      <c r="H157" s="126">
        <v>0</v>
      </c>
      <c r="I157" s="126">
        <v>0</v>
      </c>
    </row>
    <row r="158" spans="1:9">
      <c r="A158" s="126">
        <v>1995</v>
      </c>
      <c r="B158" s="126" t="s">
        <v>137</v>
      </c>
      <c r="C158" s="126" t="s">
        <v>22</v>
      </c>
      <c r="D158" s="126" t="s">
        <v>77</v>
      </c>
      <c r="E158" s="126" t="s">
        <v>133</v>
      </c>
      <c r="F158" s="126">
        <v>0</v>
      </c>
      <c r="G158" s="126">
        <v>0</v>
      </c>
      <c r="H158" s="126">
        <v>0</v>
      </c>
      <c r="I158" s="126">
        <v>0</v>
      </c>
    </row>
    <row r="159" spans="1:9">
      <c r="A159" s="126">
        <v>1995</v>
      </c>
      <c r="B159" s="126" t="s">
        <v>137</v>
      </c>
      <c r="C159" s="126" t="s">
        <v>22</v>
      </c>
      <c r="D159" s="126" t="s">
        <v>77</v>
      </c>
      <c r="E159" s="126" t="s">
        <v>134</v>
      </c>
      <c r="F159" s="126">
        <v>0</v>
      </c>
      <c r="G159" s="126">
        <v>0</v>
      </c>
      <c r="H159" s="126">
        <v>0</v>
      </c>
      <c r="I159" s="126">
        <v>0</v>
      </c>
    </row>
    <row r="160" spans="1:9">
      <c r="A160" s="126">
        <v>1995</v>
      </c>
      <c r="B160" s="126" t="s">
        <v>137</v>
      </c>
      <c r="C160" s="126" t="s">
        <v>22</v>
      </c>
      <c r="D160" s="126" t="s">
        <v>77</v>
      </c>
      <c r="E160" s="126" t="s">
        <v>135</v>
      </c>
      <c r="F160" s="126">
        <v>0</v>
      </c>
      <c r="G160" s="126">
        <v>0</v>
      </c>
      <c r="H160" s="126">
        <v>0</v>
      </c>
      <c r="I160" s="126">
        <v>0</v>
      </c>
    </row>
    <row r="161" spans="1:9">
      <c r="A161" s="126">
        <v>1995</v>
      </c>
      <c r="B161" s="126" t="s">
        <v>137</v>
      </c>
      <c r="C161" s="126" t="s">
        <v>22</v>
      </c>
      <c r="D161" s="126" t="s">
        <v>79</v>
      </c>
      <c r="E161" s="126" t="s">
        <v>132</v>
      </c>
      <c r="F161" s="126">
        <v>0</v>
      </c>
      <c r="G161" s="126">
        <v>0</v>
      </c>
      <c r="H161" s="126">
        <v>0</v>
      </c>
      <c r="I161" s="126">
        <v>0</v>
      </c>
    </row>
    <row r="162" spans="1:9">
      <c r="A162" s="126">
        <v>1995</v>
      </c>
      <c r="B162" s="126" t="s">
        <v>137</v>
      </c>
      <c r="C162" s="126" t="s">
        <v>22</v>
      </c>
      <c r="D162" s="126" t="s">
        <v>79</v>
      </c>
      <c r="E162" s="126" t="s">
        <v>133</v>
      </c>
      <c r="F162" s="126">
        <v>0</v>
      </c>
      <c r="G162" s="126">
        <v>0</v>
      </c>
      <c r="H162" s="126">
        <v>0</v>
      </c>
      <c r="I162" s="126">
        <v>0</v>
      </c>
    </row>
    <row r="163" spans="1:9">
      <c r="A163" s="126">
        <v>1995</v>
      </c>
      <c r="B163" s="126" t="s">
        <v>137</v>
      </c>
      <c r="C163" s="126" t="s">
        <v>22</v>
      </c>
      <c r="D163" s="126" t="s">
        <v>79</v>
      </c>
      <c r="E163" s="126" t="s">
        <v>134</v>
      </c>
      <c r="F163" s="126">
        <v>0</v>
      </c>
      <c r="G163" s="126">
        <v>0</v>
      </c>
      <c r="H163" s="126">
        <v>0</v>
      </c>
      <c r="I163" s="126">
        <v>0</v>
      </c>
    </row>
    <row r="164" spans="1:9">
      <c r="A164" s="126">
        <v>1995</v>
      </c>
      <c r="B164" s="126" t="s">
        <v>137</v>
      </c>
      <c r="C164" s="126" t="s">
        <v>22</v>
      </c>
      <c r="D164" s="126" t="s">
        <v>79</v>
      </c>
      <c r="E164" s="126" t="s">
        <v>135</v>
      </c>
      <c r="F164" s="126">
        <v>0</v>
      </c>
      <c r="G164" s="126">
        <v>0</v>
      </c>
      <c r="H164" s="126">
        <v>0</v>
      </c>
      <c r="I164" s="126">
        <v>0</v>
      </c>
    </row>
    <row r="165" spans="1:9">
      <c r="A165" s="126">
        <v>1995</v>
      </c>
      <c r="B165" s="126" t="s">
        <v>137</v>
      </c>
      <c r="C165" s="126" t="s">
        <v>22</v>
      </c>
      <c r="D165" s="126" t="s">
        <v>79</v>
      </c>
      <c r="E165" s="126" t="s">
        <v>136</v>
      </c>
      <c r="F165" s="126">
        <v>0</v>
      </c>
      <c r="G165" s="126">
        <v>0</v>
      </c>
      <c r="H165" s="126">
        <v>0</v>
      </c>
      <c r="I165" s="126">
        <v>0</v>
      </c>
    </row>
    <row r="166" spans="1:9">
      <c r="A166" s="126">
        <v>1995</v>
      </c>
      <c r="B166" s="126" t="s">
        <v>137</v>
      </c>
      <c r="C166" s="126" t="s">
        <v>22</v>
      </c>
      <c r="D166" s="126" t="s">
        <v>76</v>
      </c>
      <c r="E166" s="126" t="s">
        <v>132</v>
      </c>
      <c r="F166" s="126">
        <v>0</v>
      </c>
      <c r="G166" s="126">
        <v>0</v>
      </c>
      <c r="H166" s="126">
        <v>0</v>
      </c>
      <c r="I166" s="126">
        <v>0</v>
      </c>
    </row>
    <row r="167" spans="1:9">
      <c r="A167" s="126">
        <v>1995</v>
      </c>
      <c r="B167" s="126" t="s">
        <v>137</v>
      </c>
      <c r="C167" s="126" t="s">
        <v>22</v>
      </c>
      <c r="D167" s="126" t="s">
        <v>76</v>
      </c>
      <c r="E167" s="126" t="s">
        <v>133</v>
      </c>
      <c r="F167" s="126">
        <v>0</v>
      </c>
      <c r="G167" s="126">
        <v>0</v>
      </c>
      <c r="H167" s="126">
        <v>0</v>
      </c>
      <c r="I167" s="126">
        <v>0</v>
      </c>
    </row>
    <row r="168" spans="1:9">
      <c r="A168" s="126">
        <v>1995</v>
      </c>
      <c r="B168" s="126" t="s">
        <v>137</v>
      </c>
      <c r="C168" s="126" t="s">
        <v>22</v>
      </c>
      <c r="D168" s="126" t="s">
        <v>76</v>
      </c>
      <c r="E168" s="126" t="s">
        <v>134</v>
      </c>
      <c r="F168" s="126">
        <v>0</v>
      </c>
      <c r="G168" s="126">
        <v>0</v>
      </c>
      <c r="H168" s="126">
        <v>0</v>
      </c>
      <c r="I168" s="126">
        <v>0</v>
      </c>
    </row>
    <row r="169" spans="1:9">
      <c r="A169" s="126">
        <v>1995</v>
      </c>
      <c r="B169" s="126" t="s">
        <v>137</v>
      </c>
      <c r="C169" s="126" t="s">
        <v>22</v>
      </c>
      <c r="D169" s="126" t="s">
        <v>76</v>
      </c>
      <c r="E169" s="126" t="s">
        <v>135</v>
      </c>
      <c r="F169" s="126">
        <v>0</v>
      </c>
      <c r="G169" s="126">
        <v>0</v>
      </c>
      <c r="H169" s="126">
        <v>0</v>
      </c>
      <c r="I169" s="126">
        <v>0</v>
      </c>
    </row>
    <row r="170" spans="1:9">
      <c r="A170" s="126">
        <v>1995</v>
      </c>
      <c r="B170" s="126" t="s">
        <v>137</v>
      </c>
      <c r="C170" s="126" t="s">
        <v>22</v>
      </c>
      <c r="D170" s="126" t="s">
        <v>76</v>
      </c>
      <c r="E170" s="126" t="s">
        <v>136</v>
      </c>
      <c r="F170" s="126">
        <v>0</v>
      </c>
      <c r="G170" s="126">
        <v>0</v>
      </c>
      <c r="H170" s="126">
        <v>0</v>
      </c>
      <c r="I170" s="126">
        <v>0</v>
      </c>
    </row>
    <row r="171" spans="1:9">
      <c r="A171" s="126">
        <v>1995</v>
      </c>
      <c r="B171" s="126" t="s">
        <v>137</v>
      </c>
      <c r="C171" s="126" t="s">
        <v>23</v>
      </c>
      <c r="D171" s="126" t="s">
        <v>77</v>
      </c>
      <c r="E171" s="126" t="s">
        <v>132</v>
      </c>
      <c r="F171" s="126">
        <v>0</v>
      </c>
      <c r="G171" s="126">
        <v>0</v>
      </c>
      <c r="H171" s="126">
        <v>0</v>
      </c>
      <c r="I171" s="126">
        <v>0</v>
      </c>
    </row>
    <row r="172" spans="1:9">
      <c r="A172" s="126">
        <v>1995</v>
      </c>
      <c r="B172" s="126" t="s">
        <v>137</v>
      </c>
      <c r="C172" s="126" t="s">
        <v>23</v>
      </c>
      <c r="D172" s="126" t="s">
        <v>77</v>
      </c>
      <c r="E172" s="126" t="s">
        <v>133</v>
      </c>
      <c r="F172" s="126">
        <v>0</v>
      </c>
      <c r="G172" s="126">
        <v>0</v>
      </c>
      <c r="H172" s="126">
        <v>0</v>
      </c>
      <c r="I172" s="126">
        <v>0</v>
      </c>
    </row>
    <row r="173" spans="1:9">
      <c r="A173" s="126">
        <v>1995</v>
      </c>
      <c r="B173" s="126" t="s">
        <v>137</v>
      </c>
      <c r="C173" s="126" t="s">
        <v>23</v>
      </c>
      <c r="D173" s="126" t="s">
        <v>77</v>
      </c>
      <c r="E173" s="126" t="s">
        <v>134</v>
      </c>
      <c r="F173" s="126">
        <v>0</v>
      </c>
      <c r="G173" s="126">
        <v>0</v>
      </c>
      <c r="H173" s="126">
        <v>0</v>
      </c>
      <c r="I173" s="126">
        <v>0</v>
      </c>
    </row>
    <row r="174" spans="1:9">
      <c r="A174" s="126">
        <v>1995</v>
      </c>
      <c r="B174" s="126" t="s">
        <v>137</v>
      </c>
      <c r="C174" s="126" t="s">
        <v>23</v>
      </c>
      <c r="D174" s="126" t="s">
        <v>77</v>
      </c>
      <c r="E174" s="126" t="s">
        <v>135</v>
      </c>
      <c r="F174" s="126">
        <v>0</v>
      </c>
      <c r="G174" s="126">
        <v>0</v>
      </c>
      <c r="H174" s="126">
        <v>0</v>
      </c>
      <c r="I174" s="126">
        <v>0</v>
      </c>
    </row>
    <row r="175" spans="1:9">
      <c r="A175" s="126">
        <v>1995</v>
      </c>
      <c r="B175" s="126" t="s">
        <v>137</v>
      </c>
      <c r="C175" s="126" t="s">
        <v>23</v>
      </c>
      <c r="D175" s="126" t="s">
        <v>79</v>
      </c>
      <c r="E175" s="126" t="s">
        <v>132</v>
      </c>
      <c r="F175" s="126">
        <v>0</v>
      </c>
      <c r="G175" s="126">
        <v>0</v>
      </c>
      <c r="H175" s="126">
        <v>0</v>
      </c>
      <c r="I175" s="126">
        <v>0</v>
      </c>
    </row>
    <row r="176" spans="1:9">
      <c r="A176" s="126">
        <v>1995</v>
      </c>
      <c r="B176" s="126" t="s">
        <v>137</v>
      </c>
      <c r="C176" s="126" t="s">
        <v>23</v>
      </c>
      <c r="D176" s="126" t="s">
        <v>79</v>
      </c>
      <c r="E176" s="126" t="s">
        <v>133</v>
      </c>
      <c r="F176" s="126">
        <v>0</v>
      </c>
      <c r="G176" s="126">
        <v>0</v>
      </c>
      <c r="H176" s="126">
        <v>0</v>
      </c>
      <c r="I176" s="126">
        <v>0</v>
      </c>
    </row>
    <row r="177" spans="1:9">
      <c r="A177" s="126">
        <v>1995</v>
      </c>
      <c r="B177" s="126" t="s">
        <v>137</v>
      </c>
      <c r="C177" s="126" t="s">
        <v>23</v>
      </c>
      <c r="D177" s="126" t="s">
        <v>79</v>
      </c>
      <c r="E177" s="126" t="s">
        <v>134</v>
      </c>
      <c r="F177" s="126">
        <v>0</v>
      </c>
      <c r="G177" s="126">
        <v>0</v>
      </c>
      <c r="H177" s="126">
        <v>0</v>
      </c>
      <c r="I177" s="126">
        <v>0</v>
      </c>
    </row>
    <row r="178" spans="1:9">
      <c r="A178" s="126">
        <v>1995</v>
      </c>
      <c r="B178" s="126" t="s">
        <v>137</v>
      </c>
      <c r="C178" s="126" t="s">
        <v>23</v>
      </c>
      <c r="D178" s="126" t="s">
        <v>79</v>
      </c>
      <c r="E178" s="126" t="s">
        <v>135</v>
      </c>
      <c r="F178" s="126">
        <v>0</v>
      </c>
      <c r="G178" s="126">
        <v>0</v>
      </c>
      <c r="H178" s="126">
        <v>0</v>
      </c>
      <c r="I178" s="126">
        <v>0</v>
      </c>
    </row>
    <row r="179" spans="1:9">
      <c r="A179" s="126">
        <v>1995</v>
      </c>
      <c r="B179" s="126" t="s">
        <v>137</v>
      </c>
      <c r="C179" s="126" t="s">
        <v>23</v>
      </c>
      <c r="D179" s="126" t="s">
        <v>79</v>
      </c>
      <c r="E179" s="126" t="s">
        <v>136</v>
      </c>
      <c r="F179" s="126">
        <v>0</v>
      </c>
      <c r="G179" s="126">
        <v>0</v>
      </c>
      <c r="H179" s="126">
        <v>0</v>
      </c>
      <c r="I179" s="126">
        <v>0</v>
      </c>
    </row>
    <row r="180" spans="1:9">
      <c r="A180" s="126">
        <v>1995</v>
      </c>
      <c r="B180" s="126" t="s">
        <v>137</v>
      </c>
      <c r="C180" s="126" t="s">
        <v>23</v>
      </c>
      <c r="D180" s="126" t="s">
        <v>76</v>
      </c>
      <c r="E180" s="126" t="s">
        <v>132</v>
      </c>
      <c r="F180" s="126">
        <v>0</v>
      </c>
      <c r="G180" s="126">
        <v>0</v>
      </c>
      <c r="H180" s="126">
        <v>0</v>
      </c>
      <c r="I180" s="126">
        <v>0</v>
      </c>
    </row>
    <row r="181" spans="1:9">
      <c r="A181" s="126">
        <v>1995</v>
      </c>
      <c r="B181" s="126" t="s">
        <v>137</v>
      </c>
      <c r="C181" s="126" t="s">
        <v>23</v>
      </c>
      <c r="D181" s="126" t="s">
        <v>76</v>
      </c>
      <c r="E181" s="126" t="s">
        <v>133</v>
      </c>
      <c r="F181" s="126">
        <v>0</v>
      </c>
      <c r="G181" s="126">
        <v>0</v>
      </c>
      <c r="H181" s="126">
        <v>0</v>
      </c>
      <c r="I181" s="126">
        <v>0</v>
      </c>
    </row>
    <row r="182" spans="1:9">
      <c r="A182" s="126">
        <v>1995</v>
      </c>
      <c r="B182" s="126" t="s">
        <v>137</v>
      </c>
      <c r="C182" s="126" t="s">
        <v>23</v>
      </c>
      <c r="D182" s="126" t="s">
        <v>76</v>
      </c>
      <c r="E182" s="126" t="s">
        <v>134</v>
      </c>
      <c r="F182" s="126">
        <v>0</v>
      </c>
      <c r="G182" s="126">
        <v>0</v>
      </c>
      <c r="H182" s="126">
        <v>0</v>
      </c>
      <c r="I182" s="126">
        <v>0</v>
      </c>
    </row>
    <row r="183" spans="1:9">
      <c r="A183" s="126">
        <v>1995</v>
      </c>
      <c r="B183" s="126" t="s">
        <v>137</v>
      </c>
      <c r="C183" s="126" t="s">
        <v>23</v>
      </c>
      <c r="D183" s="126" t="s">
        <v>76</v>
      </c>
      <c r="E183" s="126" t="s">
        <v>135</v>
      </c>
      <c r="F183" s="126">
        <v>0</v>
      </c>
      <c r="G183" s="126">
        <v>0</v>
      </c>
      <c r="H183" s="126">
        <v>0</v>
      </c>
      <c r="I183" s="126">
        <v>0</v>
      </c>
    </row>
    <row r="184" spans="1:9">
      <c r="A184" s="126">
        <v>1995</v>
      </c>
      <c r="B184" s="126" t="s">
        <v>137</v>
      </c>
      <c r="C184" s="126" t="s">
        <v>23</v>
      </c>
      <c r="D184" s="126" t="s">
        <v>76</v>
      </c>
      <c r="E184" s="126" t="s">
        <v>136</v>
      </c>
      <c r="F184" s="126">
        <v>0</v>
      </c>
      <c r="G184" s="126">
        <v>0</v>
      </c>
      <c r="H184" s="126">
        <v>0</v>
      </c>
      <c r="I184" s="126">
        <v>0</v>
      </c>
    </row>
    <row r="185" spans="1:9">
      <c r="A185" s="126">
        <v>1995</v>
      </c>
      <c r="B185" s="126" t="s">
        <v>137</v>
      </c>
      <c r="C185" s="126" t="s">
        <v>25</v>
      </c>
      <c r="D185" s="126" t="s">
        <v>77</v>
      </c>
      <c r="E185" s="126" t="s">
        <v>132</v>
      </c>
      <c r="F185" s="126">
        <v>0</v>
      </c>
      <c r="G185" s="126">
        <v>0</v>
      </c>
      <c r="H185" s="126">
        <v>0</v>
      </c>
      <c r="I185" s="126">
        <v>0</v>
      </c>
    </row>
    <row r="186" spans="1:9">
      <c r="A186" s="126">
        <v>1995</v>
      </c>
      <c r="B186" s="126" t="s">
        <v>137</v>
      </c>
      <c r="C186" s="126" t="s">
        <v>25</v>
      </c>
      <c r="D186" s="126" t="s">
        <v>77</v>
      </c>
      <c r="E186" s="126" t="s">
        <v>133</v>
      </c>
      <c r="F186" s="126">
        <v>0</v>
      </c>
      <c r="G186" s="126">
        <v>0</v>
      </c>
      <c r="H186" s="126">
        <v>0</v>
      </c>
      <c r="I186" s="126">
        <v>0</v>
      </c>
    </row>
    <row r="187" spans="1:9">
      <c r="A187" s="126">
        <v>1995</v>
      </c>
      <c r="B187" s="126" t="s">
        <v>137</v>
      </c>
      <c r="C187" s="126" t="s">
        <v>25</v>
      </c>
      <c r="D187" s="126" t="s">
        <v>77</v>
      </c>
      <c r="E187" s="126" t="s">
        <v>134</v>
      </c>
      <c r="F187" s="126">
        <v>0</v>
      </c>
      <c r="G187" s="126">
        <v>0</v>
      </c>
      <c r="H187" s="126">
        <v>0</v>
      </c>
      <c r="I187" s="126">
        <v>0</v>
      </c>
    </row>
    <row r="188" spans="1:9">
      <c r="A188" s="126">
        <v>1995</v>
      </c>
      <c r="B188" s="126" t="s">
        <v>137</v>
      </c>
      <c r="C188" s="126" t="s">
        <v>25</v>
      </c>
      <c r="D188" s="126" t="s">
        <v>77</v>
      </c>
      <c r="E188" s="126" t="s">
        <v>135</v>
      </c>
      <c r="F188" s="126">
        <v>0</v>
      </c>
      <c r="G188" s="126">
        <v>0</v>
      </c>
      <c r="H188" s="126">
        <v>0</v>
      </c>
      <c r="I188" s="126">
        <v>0</v>
      </c>
    </row>
    <row r="189" spans="1:9">
      <c r="A189" s="126">
        <v>1995</v>
      </c>
      <c r="B189" s="126" t="s">
        <v>137</v>
      </c>
      <c r="C189" s="126" t="s">
        <v>25</v>
      </c>
      <c r="D189" s="126" t="s">
        <v>79</v>
      </c>
      <c r="E189" s="126" t="s">
        <v>132</v>
      </c>
      <c r="F189" s="126">
        <v>0</v>
      </c>
      <c r="G189" s="126">
        <v>0</v>
      </c>
      <c r="H189" s="126">
        <v>0</v>
      </c>
      <c r="I189" s="126">
        <v>0</v>
      </c>
    </row>
    <row r="190" spans="1:9">
      <c r="A190" s="126">
        <v>1995</v>
      </c>
      <c r="B190" s="126" t="s">
        <v>137</v>
      </c>
      <c r="C190" s="126" t="s">
        <v>25</v>
      </c>
      <c r="D190" s="126" t="s">
        <v>79</v>
      </c>
      <c r="E190" s="126" t="s">
        <v>133</v>
      </c>
      <c r="F190" s="126">
        <v>0</v>
      </c>
      <c r="G190" s="126">
        <v>0</v>
      </c>
      <c r="H190" s="126">
        <v>0</v>
      </c>
      <c r="I190" s="126">
        <v>0</v>
      </c>
    </row>
    <row r="191" spans="1:9">
      <c r="A191" s="126">
        <v>1995</v>
      </c>
      <c r="B191" s="126" t="s">
        <v>137</v>
      </c>
      <c r="C191" s="126" t="s">
        <v>25</v>
      </c>
      <c r="D191" s="126" t="s">
        <v>79</v>
      </c>
      <c r="E191" s="126" t="s">
        <v>134</v>
      </c>
      <c r="F191" s="126">
        <v>0</v>
      </c>
      <c r="G191" s="126">
        <v>0</v>
      </c>
      <c r="H191" s="126">
        <v>0</v>
      </c>
      <c r="I191" s="126">
        <v>0</v>
      </c>
    </row>
    <row r="192" spans="1:9">
      <c r="A192" s="126">
        <v>1995</v>
      </c>
      <c r="B192" s="126" t="s">
        <v>137</v>
      </c>
      <c r="C192" s="126" t="s">
        <v>25</v>
      </c>
      <c r="D192" s="126" t="s">
        <v>79</v>
      </c>
      <c r="E192" s="126" t="s">
        <v>135</v>
      </c>
      <c r="F192" s="126">
        <v>0</v>
      </c>
      <c r="G192" s="126">
        <v>0</v>
      </c>
      <c r="H192" s="126">
        <v>0</v>
      </c>
      <c r="I192" s="126">
        <v>0</v>
      </c>
    </row>
    <row r="193" spans="1:9">
      <c r="A193" s="126">
        <v>1995</v>
      </c>
      <c r="B193" s="126" t="s">
        <v>137</v>
      </c>
      <c r="C193" s="126" t="s">
        <v>25</v>
      </c>
      <c r="D193" s="126" t="s">
        <v>79</v>
      </c>
      <c r="E193" s="126" t="s">
        <v>136</v>
      </c>
      <c r="F193" s="126">
        <v>0</v>
      </c>
      <c r="G193" s="126">
        <v>0</v>
      </c>
      <c r="H193" s="126">
        <v>0</v>
      </c>
      <c r="I193" s="126">
        <v>0</v>
      </c>
    </row>
    <row r="194" spans="1:9">
      <c r="A194" s="126">
        <v>1995</v>
      </c>
      <c r="B194" s="126" t="s">
        <v>137</v>
      </c>
      <c r="C194" s="126" t="s">
        <v>25</v>
      </c>
      <c r="D194" s="126" t="s">
        <v>76</v>
      </c>
      <c r="E194" s="126" t="s">
        <v>132</v>
      </c>
      <c r="F194" s="126">
        <v>0</v>
      </c>
      <c r="G194" s="126">
        <v>0</v>
      </c>
      <c r="H194" s="126">
        <v>0</v>
      </c>
      <c r="I194" s="126">
        <v>0</v>
      </c>
    </row>
    <row r="195" spans="1:9">
      <c r="A195" s="126">
        <v>1995</v>
      </c>
      <c r="B195" s="126" t="s">
        <v>137</v>
      </c>
      <c r="C195" s="126" t="s">
        <v>25</v>
      </c>
      <c r="D195" s="126" t="s">
        <v>76</v>
      </c>
      <c r="E195" s="126" t="s">
        <v>133</v>
      </c>
      <c r="F195" s="126">
        <v>0</v>
      </c>
      <c r="G195" s="126">
        <v>0</v>
      </c>
      <c r="H195" s="126">
        <v>0</v>
      </c>
      <c r="I195" s="126">
        <v>0</v>
      </c>
    </row>
    <row r="196" spans="1:9">
      <c r="A196" s="126">
        <v>1995</v>
      </c>
      <c r="B196" s="126" t="s">
        <v>137</v>
      </c>
      <c r="C196" s="126" t="s">
        <v>25</v>
      </c>
      <c r="D196" s="126" t="s">
        <v>76</v>
      </c>
      <c r="E196" s="126" t="s">
        <v>134</v>
      </c>
      <c r="F196" s="126">
        <v>0</v>
      </c>
      <c r="G196" s="126">
        <v>0</v>
      </c>
      <c r="H196" s="126">
        <v>0</v>
      </c>
      <c r="I196" s="126">
        <v>0</v>
      </c>
    </row>
    <row r="197" spans="1:9">
      <c r="A197" s="126">
        <v>1995</v>
      </c>
      <c r="B197" s="126" t="s">
        <v>137</v>
      </c>
      <c r="C197" s="126" t="s">
        <v>25</v>
      </c>
      <c r="D197" s="126" t="s">
        <v>76</v>
      </c>
      <c r="E197" s="126" t="s">
        <v>135</v>
      </c>
      <c r="F197" s="126">
        <v>0</v>
      </c>
      <c r="G197" s="126">
        <v>0</v>
      </c>
      <c r="H197" s="126">
        <v>0</v>
      </c>
      <c r="I197" s="126">
        <v>0</v>
      </c>
    </row>
    <row r="198" spans="1:9">
      <c r="A198" s="126">
        <v>1995</v>
      </c>
      <c r="B198" s="126" t="s">
        <v>137</v>
      </c>
      <c r="C198" s="126" t="s">
        <v>25</v>
      </c>
      <c r="D198" s="126" t="s">
        <v>76</v>
      </c>
      <c r="E198" s="126" t="s">
        <v>136</v>
      </c>
      <c r="F198" s="126">
        <v>0</v>
      </c>
      <c r="G198" s="126">
        <v>0</v>
      </c>
      <c r="H198" s="126">
        <v>0</v>
      </c>
      <c r="I198" s="126">
        <v>0</v>
      </c>
    </row>
    <row r="199" spans="1:9">
      <c r="A199" s="126">
        <v>1995</v>
      </c>
      <c r="B199" s="126" t="s">
        <v>137</v>
      </c>
      <c r="C199" s="126" t="s">
        <v>21</v>
      </c>
      <c r="D199" s="126" t="s">
        <v>77</v>
      </c>
      <c r="E199" s="126" t="s">
        <v>132</v>
      </c>
      <c r="F199" s="126">
        <v>0</v>
      </c>
      <c r="G199" s="126">
        <v>0</v>
      </c>
      <c r="H199" s="126">
        <v>0</v>
      </c>
      <c r="I199" s="126">
        <v>0</v>
      </c>
    </row>
    <row r="200" spans="1:9">
      <c r="A200" s="126">
        <v>1995</v>
      </c>
      <c r="B200" s="126" t="s">
        <v>137</v>
      </c>
      <c r="C200" s="126" t="s">
        <v>21</v>
      </c>
      <c r="D200" s="126" t="s">
        <v>77</v>
      </c>
      <c r="E200" s="126" t="s">
        <v>133</v>
      </c>
      <c r="F200" s="126">
        <v>0</v>
      </c>
      <c r="G200" s="126">
        <v>0</v>
      </c>
      <c r="H200" s="126">
        <v>0</v>
      </c>
      <c r="I200" s="126">
        <v>0</v>
      </c>
    </row>
    <row r="201" spans="1:9">
      <c r="A201" s="126">
        <v>1995</v>
      </c>
      <c r="B201" s="126" t="s">
        <v>137</v>
      </c>
      <c r="C201" s="126" t="s">
        <v>21</v>
      </c>
      <c r="D201" s="126" t="s">
        <v>77</v>
      </c>
      <c r="E201" s="126" t="s">
        <v>134</v>
      </c>
      <c r="F201" s="126">
        <v>0</v>
      </c>
      <c r="G201" s="126">
        <v>0</v>
      </c>
      <c r="H201" s="126">
        <v>0</v>
      </c>
      <c r="I201" s="126">
        <v>0</v>
      </c>
    </row>
    <row r="202" spans="1:9">
      <c r="A202" s="126">
        <v>1995</v>
      </c>
      <c r="B202" s="126" t="s">
        <v>137</v>
      </c>
      <c r="C202" s="126" t="s">
        <v>21</v>
      </c>
      <c r="D202" s="126" t="s">
        <v>77</v>
      </c>
      <c r="E202" s="126" t="s">
        <v>135</v>
      </c>
      <c r="F202" s="126">
        <v>0</v>
      </c>
      <c r="G202" s="126">
        <v>0</v>
      </c>
      <c r="H202" s="126">
        <v>0</v>
      </c>
      <c r="I202" s="126">
        <v>0</v>
      </c>
    </row>
    <row r="203" spans="1:9">
      <c r="A203" s="126">
        <v>1995</v>
      </c>
      <c r="B203" s="126" t="s">
        <v>137</v>
      </c>
      <c r="C203" s="126" t="s">
        <v>21</v>
      </c>
      <c r="D203" s="126" t="s">
        <v>79</v>
      </c>
      <c r="E203" s="126" t="s">
        <v>132</v>
      </c>
      <c r="F203" s="126">
        <v>0</v>
      </c>
      <c r="G203" s="126">
        <v>0</v>
      </c>
      <c r="H203" s="126">
        <v>0</v>
      </c>
      <c r="I203" s="126">
        <v>0</v>
      </c>
    </row>
    <row r="204" spans="1:9">
      <c r="A204" s="126">
        <v>1995</v>
      </c>
      <c r="B204" s="126" t="s">
        <v>137</v>
      </c>
      <c r="C204" s="126" t="s">
        <v>21</v>
      </c>
      <c r="D204" s="126" t="s">
        <v>79</v>
      </c>
      <c r="E204" s="126" t="s">
        <v>133</v>
      </c>
      <c r="F204" s="126">
        <v>0</v>
      </c>
      <c r="G204" s="126">
        <v>0</v>
      </c>
      <c r="H204" s="126">
        <v>0</v>
      </c>
      <c r="I204" s="126">
        <v>0</v>
      </c>
    </row>
    <row r="205" spans="1:9">
      <c r="A205" s="126">
        <v>1995</v>
      </c>
      <c r="B205" s="126" t="s">
        <v>137</v>
      </c>
      <c r="C205" s="126" t="s">
        <v>21</v>
      </c>
      <c r="D205" s="126" t="s">
        <v>79</v>
      </c>
      <c r="E205" s="126" t="s">
        <v>134</v>
      </c>
      <c r="F205" s="126">
        <v>0</v>
      </c>
      <c r="G205" s="126">
        <v>0</v>
      </c>
      <c r="H205" s="126">
        <v>0</v>
      </c>
      <c r="I205" s="126">
        <v>0</v>
      </c>
    </row>
    <row r="206" spans="1:9">
      <c r="A206" s="126">
        <v>1995</v>
      </c>
      <c r="B206" s="126" t="s">
        <v>137</v>
      </c>
      <c r="C206" s="126" t="s">
        <v>21</v>
      </c>
      <c r="D206" s="126" t="s">
        <v>79</v>
      </c>
      <c r="E206" s="126" t="s">
        <v>135</v>
      </c>
      <c r="F206" s="126">
        <v>0</v>
      </c>
      <c r="G206" s="126">
        <v>0</v>
      </c>
      <c r="H206" s="126">
        <v>0</v>
      </c>
      <c r="I206" s="126">
        <v>0</v>
      </c>
    </row>
    <row r="207" spans="1:9">
      <c r="A207" s="126">
        <v>1995</v>
      </c>
      <c r="B207" s="126" t="s">
        <v>137</v>
      </c>
      <c r="C207" s="126" t="s">
        <v>21</v>
      </c>
      <c r="D207" s="126" t="s">
        <v>79</v>
      </c>
      <c r="E207" s="126" t="s">
        <v>136</v>
      </c>
      <c r="F207" s="126">
        <v>0</v>
      </c>
      <c r="G207" s="126">
        <v>0</v>
      </c>
      <c r="H207" s="126">
        <v>0</v>
      </c>
      <c r="I207" s="126">
        <v>0</v>
      </c>
    </row>
    <row r="208" spans="1:9">
      <c r="A208" s="126">
        <v>1995</v>
      </c>
      <c r="B208" s="126" t="s">
        <v>137</v>
      </c>
      <c r="C208" s="126" t="s">
        <v>21</v>
      </c>
      <c r="D208" s="126" t="s">
        <v>76</v>
      </c>
      <c r="E208" s="126" t="s">
        <v>132</v>
      </c>
      <c r="F208" s="126">
        <v>0</v>
      </c>
      <c r="G208" s="126">
        <v>0</v>
      </c>
      <c r="H208" s="126">
        <v>0</v>
      </c>
      <c r="I208" s="126">
        <v>0</v>
      </c>
    </row>
    <row r="209" spans="1:9">
      <c r="A209" s="126">
        <v>1995</v>
      </c>
      <c r="B209" s="126" t="s">
        <v>137</v>
      </c>
      <c r="C209" s="126" t="s">
        <v>21</v>
      </c>
      <c r="D209" s="126" t="s">
        <v>76</v>
      </c>
      <c r="E209" s="126" t="s">
        <v>133</v>
      </c>
      <c r="F209" s="126">
        <v>0</v>
      </c>
      <c r="G209" s="126">
        <v>0</v>
      </c>
      <c r="H209" s="126">
        <v>0</v>
      </c>
      <c r="I209" s="126">
        <v>0</v>
      </c>
    </row>
    <row r="210" spans="1:9">
      <c r="A210" s="126">
        <v>1995</v>
      </c>
      <c r="B210" s="126" t="s">
        <v>137</v>
      </c>
      <c r="C210" s="126" t="s">
        <v>21</v>
      </c>
      <c r="D210" s="126" t="s">
        <v>76</v>
      </c>
      <c r="E210" s="126" t="s">
        <v>134</v>
      </c>
      <c r="F210" s="126">
        <v>0</v>
      </c>
      <c r="G210" s="126">
        <v>0</v>
      </c>
      <c r="H210" s="126">
        <v>0</v>
      </c>
      <c r="I210" s="126">
        <v>0</v>
      </c>
    </row>
    <row r="211" spans="1:9">
      <c r="A211" s="126">
        <v>1995</v>
      </c>
      <c r="B211" s="126" t="s">
        <v>137</v>
      </c>
      <c r="C211" s="126" t="s">
        <v>21</v>
      </c>
      <c r="D211" s="126" t="s">
        <v>76</v>
      </c>
      <c r="E211" s="126" t="s">
        <v>135</v>
      </c>
      <c r="F211" s="126">
        <v>0</v>
      </c>
      <c r="G211" s="126">
        <v>0</v>
      </c>
      <c r="H211" s="126">
        <v>0</v>
      </c>
      <c r="I211" s="126">
        <v>0</v>
      </c>
    </row>
    <row r="212" spans="1:9">
      <c r="A212" s="126">
        <v>1995</v>
      </c>
      <c r="B212" s="126" t="s">
        <v>137</v>
      </c>
      <c r="C212" s="126" t="s">
        <v>21</v>
      </c>
      <c r="D212" s="126" t="s">
        <v>76</v>
      </c>
      <c r="E212" s="126" t="s">
        <v>136</v>
      </c>
      <c r="F212" s="126">
        <v>0</v>
      </c>
      <c r="G212" s="126">
        <v>0</v>
      </c>
      <c r="H212" s="126">
        <v>0</v>
      </c>
      <c r="I212" s="126">
        <v>0</v>
      </c>
    </row>
    <row r="213" spans="1:9">
      <c r="A213" s="126">
        <v>1995</v>
      </c>
      <c r="B213" s="126" t="s">
        <v>137</v>
      </c>
      <c r="C213" s="126" t="s">
        <v>24</v>
      </c>
      <c r="D213" s="126" t="s">
        <v>77</v>
      </c>
      <c r="E213" s="126" t="s">
        <v>132</v>
      </c>
      <c r="F213" s="126">
        <v>0</v>
      </c>
      <c r="G213" s="126">
        <v>0</v>
      </c>
      <c r="H213" s="126">
        <v>0</v>
      </c>
      <c r="I213" s="126">
        <v>0</v>
      </c>
    </row>
    <row r="214" spans="1:9">
      <c r="A214" s="126">
        <v>1995</v>
      </c>
      <c r="B214" s="126" t="s">
        <v>137</v>
      </c>
      <c r="C214" s="126" t="s">
        <v>24</v>
      </c>
      <c r="D214" s="126" t="s">
        <v>77</v>
      </c>
      <c r="E214" s="126" t="s">
        <v>133</v>
      </c>
      <c r="F214" s="126">
        <v>0</v>
      </c>
      <c r="G214" s="126">
        <v>0</v>
      </c>
      <c r="H214" s="126">
        <v>0</v>
      </c>
      <c r="I214" s="126">
        <v>0</v>
      </c>
    </row>
    <row r="215" spans="1:9">
      <c r="A215" s="126">
        <v>1995</v>
      </c>
      <c r="B215" s="126" t="s">
        <v>137</v>
      </c>
      <c r="C215" s="126" t="s">
        <v>24</v>
      </c>
      <c r="D215" s="126" t="s">
        <v>77</v>
      </c>
      <c r="E215" s="126" t="s">
        <v>134</v>
      </c>
      <c r="F215" s="126">
        <v>0</v>
      </c>
      <c r="G215" s="126">
        <v>0</v>
      </c>
      <c r="H215" s="126">
        <v>0</v>
      </c>
      <c r="I215" s="126">
        <v>0</v>
      </c>
    </row>
    <row r="216" spans="1:9">
      <c r="A216" s="126">
        <v>1995</v>
      </c>
      <c r="B216" s="126" t="s">
        <v>137</v>
      </c>
      <c r="C216" s="126" t="s">
        <v>24</v>
      </c>
      <c r="D216" s="126" t="s">
        <v>77</v>
      </c>
      <c r="E216" s="126" t="s">
        <v>135</v>
      </c>
      <c r="F216" s="126">
        <v>0</v>
      </c>
      <c r="G216" s="126">
        <v>0</v>
      </c>
      <c r="H216" s="126">
        <v>0</v>
      </c>
      <c r="I216" s="126">
        <v>0</v>
      </c>
    </row>
    <row r="217" spans="1:9">
      <c r="A217" s="126">
        <v>1995</v>
      </c>
      <c r="B217" s="126" t="s">
        <v>137</v>
      </c>
      <c r="C217" s="126" t="s">
        <v>24</v>
      </c>
      <c r="D217" s="126" t="s">
        <v>79</v>
      </c>
      <c r="E217" s="126" t="s">
        <v>132</v>
      </c>
      <c r="F217" s="126">
        <v>0</v>
      </c>
      <c r="G217" s="126">
        <v>0</v>
      </c>
      <c r="H217" s="126">
        <v>0</v>
      </c>
      <c r="I217" s="126">
        <v>0</v>
      </c>
    </row>
    <row r="218" spans="1:9">
      <c r="A218" s="126">
        <v>1995</v>
      </c>
      <c r="B218" s="126" t="s">
        <v>137</v>
      </c>
      <c r="C218" s="126" t="s">
        <v>24</v>
      </c>
      <c r="D218" s="126" t="s">
        <v>79</v>
      </c>
      <c r="E218" s="126" t="s">
        <v>133</v>
      </c>
      <c r="F218" s="126">
        <v>0</v>
      </c>
      <c r="G218" s="126">
        <v>0</v>
      </c>
      <c r="H218" s="126">
        <v>0</v>
      </c>
      <c r="I218" s="126">
        <v>0</v>
      </c>
    </row>
    <row r="219" spans="1:9">
      <c r="A219" s="126">
        <v>1995</v>
      </c>
      <c r="B219" s="126" t="s">
        <v>137</v>
      </c>
      <c r="C219" s="126" t="s">
        <v>24</v>
      </c>
      <c r="D219" s="126" t="s">
        <v>79</v>
      </c>
      <c r="E219" s="126" t="s">
        <v>134</v>
      </c>
      <c r="F219" s="126">
        <v>0</v>
      </c>
      <c r="G219" s="126">
        <v>0</v>
      </c>
      <c r="H219" s="126">
        <v>0</v>
      </c>
      <c r="I219" s="126">
        <v>0</v>
      </c>
    </row>
    <row r="220" spans="1:9">
      <c r="A220" s="126">
        <v>1995</v>
      </c>
      <c r="B220" s="126" t="s">
        <v>137</v>
      </c>
      <c r="C220" s="126" t="s">
        <v>24</v>
      </c>
      <c r="D220" s="126" t="s">
        <v>79</v>
      </c>
      <c r="E220" s="126" t="s">
        <v>135</v>
      </c>
      <c r="F220" s="126">
        <v>0</v>
      </c>
      <c r="G220" s="126">
        <v>0</v>
      </c>
      <c r="H220" s="126">
        <v>0</v>
      </c>
      <c r="I220" s="126">
        <v>0</v>
      </c>
    </row>
    <row r="221" spans="1:9">
      <c r="A221" s="126">
        <v>1995</v>
      </c>
      <c r="B221" s="126" t="s">
        <v>137</v>
      </c>
      <c r="C221" s="126" t="s">
        <v>24</v>
      </c>
      <c r="D221" s="126" t="s">
        <v>79</v>
      </c>
      <c r="E221" s="126" t="s">
        <v>136</v>
      </c>
      <c r="F221" s="126">
        <v>0</v>
      </c>
      <c r="G221" s="126">
        <v>0</v>
      </c>
      <c r="H221" s="126">
        <v>0</v>
      </c>
      <c r="I221" s="126">
        <v>0</v>
      </c>
    </row>
    <row r="222" spans="1:9">
      <c r="A222" s="126">
        <v>1995</v>
      </c>
      <c r="B222" s="126" t="s">
        <v>137</v>
      </c>
      <c r="C222" s="126" t="s">
        <v>24</v>
      </c>
      <c r="D222" s="126" t="s">
        <v>76</v>
      </c>
      <c r="E222" s="126" t="s">
        <v>132</v>
      </c>
      <c r="F222" s="126">
        <v>0</v>
      </c>
      <c r="G222" s="126">
        <v>0</v>
      </c>
      <c r="H222" s="126">
        <v>0</v>
      </c>
      <c r="I222" s="126">
        <v>0</v>
      </c>
    </row>
    <row r="223" spans="1:9">
      <c r="A223" s="126">
        <v>1995</v>
      </c>
      <c r="B223" s="126" t="s">
        <v>137</v>
      </c>
      <c r="C223" s="126" t="s">
        <v>24</v>
      </c>
      <c r="D223" s="126" t="s">
        <v>76</v>
      </c>
      <c r="E223" s="126" t="s">
        <v>133</v>
      </c>
      <c r="F223" s="126">
        <v>0</v>
      </c>
      <c r="G223" s="126">
        <v>0</v>
      </c>
      <c r="H223" s="126">
        <v>0</v>
      </c>
      <c r="I223" s="126">
        <v>0</v>
      </c>
    </row>
    <row r="224" spans="1:9">
      <c r="A224" s="126">
        <v>1995</v>
      </c>
      <c r="B224" s="126" t="s">
        <v>137</v>
      </c>
      <c r="C224" s="126" t="s">
        <v>24</v>
      </c>
      <c r="D224" s="126" t="s">
        <v>76</v>
      </c>
      <c r="E224" s="126" t="s">
        <v>134</v>
      </c>
      <c r="F224" s="126">
        <v>0</v>
      </c>
      <c r="G224" s="126">
        <v>0</v>
      </c>
      <c r="H224" s="126">
        <v>0</v>
      </c>
      <c r="I224" s="126">
        <v>0</v>
      </c>
    </row>
    <row r="225" spans="1:9">
      <c r="A225" s="126">
        <v>1995</v>
      </c>
      <c r="B225" s="126" t="s">
        <v>137</v>
      </c>
      <c r="C225" s="126" t="s">
        <v>24</v>
      </c>
      <c r="D225" s="126" t="s">
        <v>76</v>
      </c>
      <c r="E225" s="126" t="s">
        <v>135</v>
      </c>
      <c r="F225" s="126">
        <v>0</v>
      </c>
      <c r="G225" s="126">
        <v>0</v>
      </c>
      <c r="H225" s="126">
        <v>0</v>
      </c>
      <c r="I225" s="126">
        <v>0</v>
      </c>
    </row>
    <row r="226" spans="1:9">
      <c r="A226" s="126">
        <v>1995</v>
      </c>
      <c r="B226" s="126" t="s">
        <v>137</v>
      </c>
      <c r="C226" s="126" t="s">
        <v>24</v>
      </c>
      <c r="D226" s="126" t="s">
        <v>76</v>
      </c>
      <c r="E226" s="126" t="s">
        <v>136</v>
      </c>
      <c r="F226" s="126">
        <v>0</v>
      </c>
      <c r="G226" s="126">
        <v>0</v>
      </c>
      <c r="H226" s="126">
        <v>0</v>
      </c>
      <c r="I226" s="126">
        <v>0</v>
      </c>
    </row>
    <row r="227" spans="1:9">
      <c r="A227" s="126">
        <v>1996</v>
      </c>
      <c r="B227" s="126" t="s">
        <v>131</v>
      </c>
      <c r="C227" s="126" t="s">
        <v>26</v>
      </c>
      <c r="D227" s="126" t="s">
        <v>77</v>
      </c>
      <c r="E227" s="126" t="s">
        <v>132</v>
      </c>
      <c r="F227" s="126">
        <v>0</v>
      </c>
      <c r="G227" s="126">
        <v>0</v>
      </c>
      <c r="H227" s="126">
        <v>0</v>
      </c>
      <c r="I227" s="126">
        <v>0</v>
      </c>
    </row>
    <row r="228" spans="1:9">
      <c r="A228" s="126">
        <v>1996</v>
      </c>
      <c r="B228" s="126" t="s">
        <v>131</v>
      </c>
      <c r="C228" s="126" t="s">
        <v>26</v>
      </c>
      <c r="D228" s="126" t="s">
        <v>77</v>
      </c>
      <c r="E228" s="126" t="s">
        <v>133</v>
      </c>
      <c r="F228" s="126">
        <v>0</v>
      </c>
      <c r="G228" s="126">
        <v>0</v>
      </c>
      <c r="H228" s="126">
        <v>0</v>
      </c>
      <c r="I228" s="126">
        <v>0</v>
      </c>
    </row>
    <row r="229" spans="1:9">
      <c r="A229" s="126">
        <v>1996</v>
      </c>
      <c r="B229" s="126" t="s">
        <v>131</v>
      </c>
      <c r="C229" s="126" t="s">
        <v>26</v>
      </c>
      <c r="D229" s="126" t="s">
        <v>77</v>
      </c>
      <c r="E229" s="126" t="s">
        <v>134</v>
      </c>
      <c r="F229" s="126">
        <v>0</v>
      </c>
      <c r="G229" s="126">
        <v>0</v>
      </c>
      <c r="H229" s="126">
        <v>0</v>
      </c>
      <c r="I229" s="126">
        <v>0</v>
      </c>
    </row>
    <row r="230" spans="1:9">
      <c r="A230" s="126">
        <v>1996</v>
      </c>
      <c r="B230" s="126" t="s">
        <v>131</v>
      </c>
      <c r="C230" s="126" t="s">
        <v>26</v>
      </c>
      <c r="D230" s="126" t="s">
        <v>77</v>
      </c>
      <c r="E230" s="126" t="s">
        <v>135</v>
      </c>
      <c r="F230" s="126">
        <v>0</v>
      </c>
      <c r="G230" s="126">
        <v>0</v>
      </c>
      <c r="H230" s="126">
        <v>0</v>
      </c>
      <c r="I230" s="126">
        <v>0</v>
      </c>
    </row>
    <row r="231" spans="1:9">
      <c r="A231" s="126">
        <v>1996</v>
      </c>
      <c r="B231" s="126" t="s">
        <v>131</v>
      </c>
      <c r="C231" s="126" t="s">
        <v>26</v>
      </c>
      <c r="D231" s="126" t="s">
        <v>79</v>
      </c>
      <c r="E231" s="126" t="s">
        <v>132</v>
      </c>
      <c r="F231" s="126">
        <v>0</v>
      </c>
      <c r="G231" s="126">
        <v>0</v>
      </c>
      <c r="H231" s="126">
        <v>0</v>
      </c>
      <c r="I231" s="126">
        <v>0</v>
      </c>
    </row>
    <row r="232" spans="1:9">
      <c r="A232" s="126">
        <v>1996</v>
      </c>
      <c r="B232" s="126" t="s">
        <v>131</v>
      </c>
      <c r="C232" s="126" t="s">
        <v>26</v>
      </c>
      <c r="D232" s="126" t="s">
        <v>79</v>
      </c>
      <c r="E232" s="126" t="s">
        <v>133</v>
      </c>
      <c r="F232" s="126">
        <v>0</v>
      </c>
      <c r="G232" s="126">
        <v>0</v>
      </c>
      <c r="H232" s="126">
        <v>0</v>
      </c>
      <c r="I232" s="126">
        <v>0</v>
      </c>
    </row>
    <row r="233" spans="1:9">
      <c r="A233" s="126">
        <v>1996</v>
      </c>
      <c r="B233" s="126" t="s">
        <v>131</v>
      </c>
      <c r="C233" s="126" t="s">
        <v>26</v>
      </c>
      <c r="D233" s="126" t="s">
        <v>79</v>
      </c>
      <c r="E233" s="126" t="s">
        <v>134</v>
      </c>
      <c r="F233" s="126">
        <v>0</v>
      </c>
      <c r="G233" s="126">
        <v>0</v>
      </c>
      <c r="H233" s="126">
        <v>0</v>
      </c>
      <c r="I233" s="126">
        <v>0</v>
      </c>
    </row>
    <row r="234" spans="1:9">
      <c r="A234" s="126">
        <v>1996</v>
      </c>
      <c r="B234" s="126" t="s">
        <v>131</v>
      </c>
      <c r="C234" s="126" t="s">
        <v>26</v>
      </c>
      <c r="D234" s="126" t="s">
        <v>79</v>
      </c>
      <c r="E234" s="126" t="s">
        <v>135</v>
      </c>
      <c r="F234" s="126">
        <v>0</v>
      </c>
      <c r="G234" s="126">
        <v>0</v>
      </c>
      <c r="H234" s="126">
        <v>0</v>
      </c>
      <c r="I234" s="126">
        <v>0</v>
      </c>
    </row>
    <row r="235" spans="1:9">
      <c r="A235" s="126">
        <v>1996</v>
      </c>
      <c r="B235" s="126" t="s">
        <v>131</v>
      </c>
      <c r="C235" s="126" t="s">
        <v>26</v>
      </c>
      <c r="D235" s="126" t="s">
        <v>79</v>
      </c>
      <c r="E235" s="126" t="s">
        <v>136</v>
      </c>
      <c r="F235" s="126">
        <v>0</v>
      </c>
      <c r="G235" s="126">
        <v>0</v>
      </c>
      <c r="H235" s="126">
        <v>0</v>
      </c>
      <c r="I235" s="126">
        <v>0</v>
      </c>
    </row>
    <row r="236" spans="1:9">
      <c r="A236" s="126">
        <v>1996</v>
      </c>
      <c r="B236" s="126" t="s">
        <v>131</v>
      </c>
      <c r="C236" s="126" t="s">
        <v>26</v>
      </c>
      <c r="D236" s="126" t="s">
        <v>76</v>
      </c>
      <c r="E236" s="126" t="s">
        <v>132</v>
      </c>
      <c r="F236" s="126">
        <v>0</v>
      </c>
      <c r="G236" s="126">
        <v>0</v>
      </c>
      <c r="H236" s="126">
        <v>0</v>
      </c>
      <c r="I236" s="126">
        <v>0</v>
      </c>
    </row>
    <row r="237" spans="1:9">
      <c r="A237" s="126">
        <v>1996</v>
      </c>
      <c r="B237" s="126" t="s">
        <v>131</v>
      </c>
      <c r="C237" s="126" t="s">
        <v>26</v>
      </c>
      <c r="D237" s="126" t="s">
        <v>76</v>
      </c>
      <c r="E237" s="126" t="s">
        <v>133</v>
      </c>
      <c r="F237" s="126">
        <v>0</v>
      </c>
      <c r="G237" s="126">
        <v>0</v>
      </c>
      <c r="H237" s="126">
        <v>0</v>
      </c>
      <c r="I237" s="126">
        <v>0</v>
      </c>
    </row>
    <row r="238" spans="1:9">
      <c r="A238" s="126">
        <v>1996</v>
      </c>
      <c r="B238" s="126" t="s">
        <v>131</v>
      </c>
      <c r="C238" s="126" t="s">
        <v>26</v>
      </c>
      <c r="D238" s="126" t="s">
        <v>76</v>
      </c>
      <c r="E238" s="126" t="s">
        <v>134</v>
      </c>
      <c r="F238" s="126">
        <v>0</v>
      </c>
      <c r="G238" s="126">
        <v>0</v>
      </c>
      <c r="H238" s="126">
        <v>0</v>
      </c>
      <c r="I238" s="126">
        <v>0</v>
      </c>
    </row>
    <row r="239" spans="1:9">
      <c r="A239" s="126">
        <v>1996</v>
      </c>
      <c r="B239" s="126" t="s">
        <v>131</v>
      </c>
      <c r="C239" s="126" t="s">
        <v>26</v>
      </c>
      <c r="D239" s="126" t="s">
        <v>76</v>
      </c>
      <c r="E239" s="126" t="s">
        <v>135</v>
      </c>
      <c r="F239" s="126">
        <v>0</v>
      </c>
      <c r="G239" s="126">
        <v>0</v>
      </c>
      <c r="H239" s="126">
        <v>0</v>
      </c>
      <c r="I239" s="126">
        <v>0</v>
      </c>
    </row>
    <row r="240" spans="1:9">
      <c r="A240" s="126">
        <v>1996</v>
      </c>
      <c r="B240" s="126" t="s">
        <v>131</v>
      </c>
      <c r="C240" s="126" t="s">
        <v>26</v>
      </c>
      <c r="D240" s="126" t="s">
        <v>76</v>
      </c>
      <c r="E240" s="126" t="s">
        <v>136</v>
      </c>
      <c r="F240" s="126">
        <v>0</v>
      </c>
      <c r="G240" s="126">
        <v>0</v>
      </c>
      <c r="H240" s="126">
        <v>0</v>
      </c>
      <c r="I240" s="126">
        <v>0</v>
      </c>
    </row>
    <row r="241" spans="1:9">
      <c r="A241" s="126">
        <v>1996</v>
      </c>
      <c r="B241" s="126" t="s">
        <v>131</v>
      </c>
      <c r="C241" s="126" t="s">
        <v>20</v>
      </c>
      <c r="D241" s="126" t="s">
        <v>77</v>
      </c>
      <c r="E241" s="126" t="s">
        <v>132</v>
      </c>
      <c r="F241" s="126">
        <v>0</v>
      </c>
      <c r="G241" s="126">
        <v>0</v>
      </c>
      <c r="H241" s="126">
        <v>0</v>
      </c>
      <c r="I241" s="126">
        <v>0</v>
      </c>
    </row>
    <row r="242" spans="1:9">
      <c r="A242" s="126">
        <v>1996</v>
      </c>
      <c r="B242" s="126" t="s">
        <v>131</v>
      </c>
      <c r="C242" s="126" t="s">
        <v>20</v>
      </c>
      <c r="D242" s="126" t="s">
        <v>77</v>
      </c>
      <c r="E242" s="126" t="s">
        <v>133</v>
      </c>
      <c r="F242" s="126">
        <v>0</v>
      </c>
      <c r="G242" s="126">
        <v>0</v>
      </c>
      <c r="H242" s="126">
        <v>0</v>
      </c>
      <c r="I242" s="126">
        <v>0</v>
      </c>
    </row>
    <row r="243" spans="1:9">
      <c r="A243" s="126">
        <v>1996</v>
      </c>
      <c r="B243" s="126" t="s">
        <v>131</v>
      </c>
      <c r="C243" s="126" t="s">
        <v>20</v>
      </c>
      <c r="D243" s="126" t="s">
        <v>77</v>
      </c>
      <c r="E243" s="126" t="s">
        <v>134</v>
      </c>
      <c r="F243" s="126">
        <v>0</v>
      </c>
      <c r="G243" s="126">
        <v>0</v>
      </c>
      <c r="H243" s="126">
        <v>0</v>
      </c>
      <c r="I243" s="126">
        <v>0</v>
      </c>
    </row>
    <row r="244" spans="1:9">
      <c r="A244" s="126">
        <v>1996</v>
      </c>
      <c r="B244" s="126" t="s">
        <v>131</v>
      </c>
      <c r="C244" s="126" t="s">
        <v>20</v>
      </c>
      <c r="D244" s="126" t="s">
        <v>77</v>
      </c>
      <c r="E244" s="126" t="s">
        <v>135</v>
      </c>
      <c r="F244" s="126">
        <v>0</v>
      </c>
      <c r="G244" s="126">
        <v>0</v>
      </c>
      <c r="H244" s="126">
        <v>0</v>
      </c>
      <c r="I244" s="126">
        <v>0</v>
      </c>
    </row>
    <row r="245" spans="1:9">
      <c r="A245" s="126">
        <v>1996</v>
      </c>
      <c r="B245" s="126" t="s">
        <v>131</v>
      </c>
      <c r="C245" s="126" t="s">
        <v>20</v>
      </c>
      <c r="D245" s="126" t="s">
        <v>79</v>
      </c>
      <c r="E245" s="126" t="s">
        <v>132</v>
      </c>
      <c r="F245" s="126">
        <v>0</v>
      </c>
      <c r="G245" s="126">
        <v>0</v>
      </c>
      <c r="H245" s="126">
        <v>0</v>
      </c>
      <c r="I245" s="126">
        <v>0</v>
      </c>
    </row>
    <row r="246" spans="1:9">
      <c r="A246" s="126">
        <v>1996</v>
      </c>
      <c r="B246" s="126" t="s">
        <v>131</v>
      </c>
      <c r="C246" s="126" t="s">
        <v>20</v>
      </c>
      <c r="D246" s="126" t="s">
        <v>79</v>
      </c>
      <c r="E246" s="126" t="s">
        <v>133</v>
      </c>
      <c r="F246" s="126">
        <v>0</v>
      </c>
      <c r="G246" s="126">
        <v>0</v>
      </c>
      <c r="H246" s="126">
        <v>0</v>
      </c>
      <c r="I246" s="126">
        <v>0</v>
      </c>
    </row>
    <row r="247" spans="1:9">
      <c r="A247" s="126">
        <v>1996</v>
      </c>
      <c r="B247" s="126" t="s">
        <v>131</v>
      </c>
      <c r="C247" s="126" t="s">
        <v>20</v>
      </c>
      <c r="D247" s="126" t="s">
        <v>79</v>
      </c>
      <c r="E247" s="126" t="s">
        <v>134</v>
      </c>
      <c r="F247" s="126">
        <v>0</v>
      </c>
      <c r="G247" s="126">
        <v>0</v>
      </c>
      <c r="H247" s="126">
        <v>0</v>
      </c>
      <c r="I247" s="126">
        <v>0</v>
      </c>
    </row>
    <row r="248" spans="1:9">
      <c r="A248" s="126">
        <v>1996</v>
      </c>
      <c r="B248" s="126" t="s">
        <v>131</v>
      </c>
      <c r="C248" s="126" t="s">
        <v>20</v>
      </c>
      <c r="D248" s="126" t="s">
        <v>79</v>
      </c>
      <c r="E248" s="126" t="s">
        <v>135</v>
      </c>
      <c r="F248" s="126">
        <v>0</v>
      </c>
      <c r="G248" s="126">
        <v>0</v>
      </c>
      <c r="H248" s="126">
        <v>0</v>
      </c>
      <c r="I248" s="126">
        <v>0</v>
      </c>
    </row>
    <row r="249" spans="1:9">
      <c r="A249" s="126">
        <v>1996</v>
      </c>
      <c r="B249" s="126" t="s">
        <v>131</v>
      </c>
      <c r="C249" s="126" t="s">
        <v>20</v>
      </c>
      <c r="D249" s="126" t="s">
        <v>79</v>
      </c>
      <c r="E249" s="126" t="s">
        <v>136</v>
      </c>
      <c r="F249" s="126">
        <v>0</v>
      </c>
      <c r="G249" s="126">
        <v>0</v>
      </c>
      <c r="H249" s="126">
        <v>0</v>
      </c>
      <c r="I249" s="126">
        <v>0</v>
      </c>
    </row>
    <row r="250" spans="1:9">
      <c r="A250" s="126">
        <v>1996</v>
      </c>
      <c r="B250" s="126" t="s">
        <v>131</v>
      </c>
      <c r="C250" s="126" t="s">
        <v>20</v>
      </c>
      <c r="D250" s="126" t="s">
        <v>76</v>
      </c>
      <c r="E250" s="126" t="s">
        <v>132</v>
      </c>
      <c r="F250" s="126">
        <v>0</v>
      </c>
      <c r="G250" s="126">
        <v>0</v>
      </c>
      <c r="H250" s="126">
        <v>0</v>
      </c>
      <c r="I250" s="126">
        <v>0</v>
      </c>
    </row>
    <row r="251" spans="1:9">
      <c r="A251" s="126">
        <v>1996</v>
      </c>
      <c r="B251" s="126" t="s">
        <v>131</v>
      </c>
      <c r="C251" s="126" t="s">
        <v>20</v>
      </c>
      <c r="D251" s="126" t="s">
        <v>76</v>
      </c>
      <c r="E251" s="126" t="s">
        <v>133</v>
      </c>
      <c r="F251" s="126">
        <v>0</v>
      </c>
      <c r="G251" s="126">
        <v>0</v>
      </c>
      <c r="H251" s="126">
        <v>0</v>
      </c>
      <c r="I251" s="126">
        <v>0</v>
      </c>
    </row>
    <row r="252" spans="1:9">
      <c r="A252" s="126">
        <v>1996</v>
      </c>
      <c r="B252" s="126" t="s">
        <v>131</v>
      </c>
      <c r="C252" s="126" t="s">
        <v>20</v>
      </c>
      <c r="D252" s="126" t="s">
        <v>76</v>
      </c>
      <c r="E252" s="126" t="s">
        <v>134</v>
      </c>
      <c r="F252" s="126">
        <v>0</v>
      </c>
      <c r="G252" s="126">
        <v>0</v>
      </c>
      <c r="H252" s="126">
        <v>0</v>
      </c>
      <c r="I252" s="126">
        <v>0</v>
      </c>
    </row>
    <row r="253" spans="1:9">
      <c r="A253" s="126">
        <v>1996</v>
      </c>
      <c r="B253" s="126" t="s">
        <v>131</v>
      </c>
      <c r="C253" s="126" t="s">
        <v>20</v>
      </c>
      <c r="D253" s="126" t="s">
        <v>76</v>
      </c>
      <c r="E253" s="126" t="s">
        <v>135</v>
      </c>
      <c r="F253" s="126">
        <v>0</v>
      </c>
      <c r="G253" s="126">
        <v>0</v>
      </c>
      <c r="H253" s="126">
        <v>0</v>
      </c>
      <c r="I253" s="126">
        <v>0</v>
      </c>
    </row>
    <row r="254" spans="1:9">
      <c r="A254" s="126">
        <v>1996</v>
      </c>
      <c r="B254" s="126" t="s">
        <v>131</v>
      </c>
      <c r="C254" s="126" t="s">
        <v>20</v>
      </c>
      <c r="D254" s="126" t="s">
        <v>76</v>
      </c>
      <c r="E254" s="126" t="s">
        <v>136</v>
      </c>
      <c r="F254" s="126">
        <v>0</v>
      </c>
      <c r="G254" s="126">
        <v>0</v>
      </c>
      <c r="H254" s="126">
        <v>0</v>
      </c>
      <c r="I254" s="126">
        <v>0</v>
      </c>
    </row>
    <row r="255" spans="1:9">
      <c r="A255" s="126">
        <v>1996</v>
      </c>
      <c r="B255" s="126" t="s">
        <v>131</v>
      </c>
      <c r="C255" s="126" t="s">
        <v>27</v>
      </c>
      <c r="D255" s="126" t="s">
        <v>77</v>
      </c>
      <c r="E255" s="126" t="s">
        <v>132</v>
      </c>
      <c r="F255" s="126">
        <v>0</v>
      </c>
      <c r="G255" s="126">
        <v>0</v>
      </c>
      <c r="H255" s="126">
        <v>0</v>
      </c>
      <c r="I255" s="126">
        <v>0</v>
      </c>
    </row>
    <row r="256" spans="1:9">
      <c r="A256" s="126">
        <v>1996</v>
      </c>
      <c r="B256" s="126" t="s">
        <v>131</v>
      </c>
      <c r="C256" s="126" t="s">
        <v>27</v>
      </c>
      <c r="D256" s="126" t="s">
        <v>77</v>
      </c>
      <c r="E256" s="126" t="s">
        <v>133</v>
      </c>
      <c r="F256" s="126">
        <v>0</v>
      </c>
      <c r="G256" s="126">
        <v>0</v>
      </c>
      <c r="H256" s="126">
        <v>0</v>
      </c>
      <c r="I256" s="126">
        <v>0</v>
      </c>
    </row>
    <row r="257" spans="1:9">
      <c r="A257" s="126">
        <v>1996</v>
      </c>
      <c r="B257" s="126" t="s">
        <v>131</v>
      </c>
      <c r="C257" s="126" t="s">
        <v>27</v>
      </c>
      <c r="D257" s="126" t="s">
        <v>77</v>
      </c>
      <c r="E257" s="126" t="s">
        <v>134</v>
      </c>
      <c r="F257" s="126">
        <v>0</v>
      </c>
      <c r="G257" s="126">
        <v>0</v>
      </c>
      <c r="H257" s="126">
        <v>0</v>
      </c>
      <c r="I257" s="126">
        <v>0</v>
      </c>
    </row>
    <row r="258" spans="1:9">
      <c r="A258" s="126">
        <v>1996</v>
      </c>
      <c r="B258" s="126" t="s">
        <v>131</v>
      </c>
      <c r="C258" s="126" t="s">
        <v>27</v>
      </c>
      <c r="D258" s="126" t="s">
        <v>77</v>
      </c>
      <c r="E258" s="126" t="s">
        <v>135</v>
      </c>
      <c r="F258" s="126">
        <v>0</v>
      </c>
      <c r="G258" s="126">
        <v>0</v>
      </c>
      <c r="H258" s="126">
        <v>0</v>
      </c>
      <c r="I258" s="126">
        <v>0</v>
      </c>
    </row>
    <row r="259" spans="1:9">
      <c r="A259" s="126">
        <v>1996</v>
      </c>
      <c r="B259" s="126" t="s">
        <v>131</v>
      </c>
      <c r="C259" s="126" t="s">
        <v>27</v>
      </c>
      <c r="D259" s="126" t="s">
        <v>79</v>
      </c>
      <c r="E259" s="126" t="s">
        <v>132</v>
      </c>
      <c r="F259" s="126">
        <v>0</v>
      </c>
      <c r="G259" s="126">
        <v>0</v>
      </c>
      <c r="H259" s="126">
        <v>0</v>
      </c>
      <c r="I259" s="126">
        <v>0</v>
      </c>
    </row>
    <row r="260" spans="1:9">
      <c r="A260" s="126">
        <v>1996</v>
      </c>
      <c r="B260" s="126" t="s">
        <v>131</v>
      </c>
      <c r="C260" s="126" t="s">
        <v>27</v>
      </c>
      <c r="D260" s="126" t="s">
        <v>79</v>
      </c>
      <c r="E260" s="126" t="s">
        <v>133</v>
      </c>
      <c r="F260" s="126">
        <v>0</v>
      </c>
      <c r="G260" s="126">
        <v>0</v>
      </c>
      <c r="H260" s="126">
        <v>0</v>
      </c>
      <c r="I260" s="126">
        <v>0</v>
      </c>
    </row>
    <row r="261" spans="1:9">
      <c r="A261" s="126">
        <v>1996</v>
      </c>
      <c r="B261" s="126" t="s">
        <v>131</v>
      </c>
      <c r="C261" s="126" t="s">
        <v>27</v>
      </c>
      <c r="D261" s="126" t="s">
        <v>79</v>
      </c>
      <c r="E261" s="126" t="s">
        <v>134</v>
      </c>
      <c r="F261" s="126">
        <v>0</v>
      </c>
      <c r="G261" s="126">
        <v>0</v>
      </c>
      <c r="H261" s="126">
        <v>0</v>
      </c>
      <c r="I261" s="126">
        <v>0</v>
      </c>
    </row>
    <row r="262" spans="1:9">
      <c r="A262" s="126">
        <v>1996</v>
      </c>
      <c r="B262" s="126" t="s">
        <v>131</v>
      </c>
      <c r="C262" s="126" t="s">
        <v>27</v>
      </c>
      <c r="D262" s="126" t="s">
        <v>79</v>
      </c>
      <c r="E262" s="126" t="s">
        <v>135</v>
      </c>
      <c r="F262" s="126">
        <v>0</v>
      </c>
      <c r="G262" s="126">
        <v>0</v>
      </c>
      <c r="H262" s="126">
        <v>0</v>
      </c>
      <c r="I262" s="126">
        <v>0</v>
      </c>
    </row>
    <row r="263" spans="1:9">
      <c r="A263" s="126">
        <v>1996</v>
      </c>
      <c r="B263" s="126" t="s">
        <v>131</v>
      </c>
      <c r="C263" s="126" t="s">
        <v>27</v>
      </c>
      <c r="D263" s="126" t="s">
        <v>79</v>
      </c>
      <c r="E263" s="126" t="s">
        <v>136</v>
      </c>
      <c r="F263" s="126">
        <v>0</v>
      </c>
      <c r="G263" s="126">
        <v>0</v>
      </c>
      <c r="H263" s="126">
        <v>0</v>
      </c>
      <c r="I263" s="126">
        <v>0</v>
      </c>
    </row>
    <row r="264" spans="1:9">
      <c r="A264" s="126">
        <v>1996</v>
      </c>
      <c r="B264" s="126" t="s">
        <v>131</v>
      </c>
      <c r="C264" s="126" t="s">
        <v>27</v>
      </c>
      <c r="D264" s="126" t="s">
        <v>76</v>
      </c>
      <c r="E264" s="126" t="s">
        <v>132</v>
      </c>
      <c r="F264" s="126">
        <v>0</v>
      </c>
      <c r="G264" s="126">
        <v>0</v>
      </c>
      <c r="H264" s="126">
        <v>0</v>
      </c>
      <c r="I264" s="126">
        <v>0</v>
      </c>
    </row>
    <row r="265" spans="1:9">
      <c r="A265" s="126">
        <v>1996</v>
      </c>
      <c r="B265" s="126" t="s">
        <v>131</v>
      </c>
      <c r="C265" s="126" t="s">
        <v>27</v>
      </c>
      <c r="D265" s="126" t="s">
        <v>76</v>
      </c>
      <c r="E265" s="126" t="s">
        <v>133</v>
      </c>
      <c r="F265" s="126">
        <v>0</v>
      </c>
      <c r="G265" s="126">
        <v>0</v>
      </c>
      <c r="H265" s="126">
        <v>0</v>
      </c>
      <c r="I265" s="126">
        <v>0</v>
      </c>
    </row>
    <row r="266" spans="1:9">
      <c r="A266" s="126">
        <v>1996</v>
      </c>
      <c r="B266" s="126" t="s">
        <v>131</v>
      </c>
      <c r="C266" s="126" t="s">
        <v>27</v>
      </c>
      <c r="D266" s="126" t="s">
        <v>76</v>
      </c>
      <c r="E266" s="126" t="s">
        <v>134</v>
      </c>
      <c r="F266" s="126">
        <v>0</v>
      </c>
      <c r="G266" s="126">
        <v>0</v>
      </c>
      <c r="H266" s="126">
        <v>0</v>
      </c>
      <c r="I266" s="126">
        <v>0</v>
      </c>
    </row>
    <row r="267" spans="1:9">
      <c r="A267" s="126">
        <v>1996</v>
      </c>
      <c r="B267" s="126" t="s">
        <v>131</v>
      </c>
      <c r="C267" s="126" t="s">
        <v>27</v>
      </c>
      <c r="D267" s="126" t="s">
        <v>76</v>
      </c>
      <c r="E267" s="126" t="s">
        <v>135</v>
      </c>
      <c r="F267" s="126">
        <v>0</v>
      </c>
      <c r="G267" s="126">
        <v>0</v>
      </c>
      <c r="H267" s="126">
        <v>0</v>
      </c>
      <c r="I267" s="126">
        <v>0</v>
      </c>
    </row>
    <row r="268" spans="1:9">
      <c r="A268" s="126">
        <v>1996</v>
      </c>
      <c r="B268" s="126" t="s">
        <v>131</v>
      </c>
      <c r="C268" s="126" t="s">
        <v>27</v>
      </c>
      <c r="D268" s="126" t="s">
        <v>76</v>
      </c>
      <c r="E268" s="126" t="s">
        <v>136</v>
      </c>
      <c r="F268" s="126">
        <v>0</v>
      </c>
      <c r="G268" s="126">
        <v>0</v>
      </c>
      <c r="H268" s="126">
        <v>0</v>
      </c>
      <c r="I268" s="126">
        <v>0</v>
      </c>
    </row>
    <row r="269" spans="1:9">
      <c r="A269" s="126">
        <v>1996</v>
      </c>
      <c r="B269" s="126" t="s">
        <v>131</v>
      </c>
      <c r="C269" s="126" t="s">
        <v>22</v>
      </c>
      <c r="D269" s="126" t="s">
        <v>77</v>
      </c>
      <c r="E269" s="126" t="s">
        <v>132</v>
      </c>
      <c r="F269" s="126">
        <v>0</v>
      </c>
      <c r="G269" s="126">
        <v>0</v>
      </c>
      <c r="H269" s="126">
        <v>0</v>
      </c>
      <c r="I269" s="126">
        <v>0</v>
      </c>
    </row>
    <row r="270" spans="1:9">
      <c r="A270" s="126">
        <v>1996</v>
      </c>
      <c r="B270" s="126" t="s">
        <v>131</v>
      </c>
      <c r="C270" s="126" t="s">
        <v>22</v>
      </c>
      <c r="D270" s="126" t="s">
        <v>77</v>
      </c>
      <c r="E270" s="126" t="s">
        <v>133</v>
      </c>
      <c r="F270" s="126">
        <v>0</v>
      </c>
      <c r="G270" s="126">
        <v>0</v>
      </c>
      <c r="H270" s="126">
        <v>0</v>
      </c>
      <c r="I270" s="126">
        <v>0</v>
      </c>
    </row>
    <row r="271" spans="1:9">
      <c r="A271" s="126">
        <v>1996</v>
      </c>
      <c r="B271" s="126" t="s">
        <v>131</v>
      </c>
      <c r="C271" s="126" t="s">
        <v>22</v>
      </c>
      <c r="D271" s="126" t="s">
        <v>77</v>
      </c>
      <c r="E271" s="126" t="s">
        <v>134</v>
      </c>
      <c r="F271" s="126">
        <v>0</v>
      </c>
      <c r="G271" s="126">
        <v>0</v>
      </c>
      <c r="H271" s="126">
        <v>0</v>
      </c>
      <c r="I271" s="126">
        <v>0</v>
      </c>
    </row>
    <row r="272" spans="1:9">
      <c r="A272" s="126">
        <v>1996</v>
      </c>
      <c r="B272" s="126" t="s">
        <v>131</v>
      </c>
      <c r="C272" s="126" t="s">
        <v>22</v>
      </c>
      <c r="D272" s="126" t="s">
        <v>77</v>
      </c>
      <c r="E272" s="126" t="s">
        <v>135</v>
      </c>
      <c r="F272" s="126">
        <v>0</v>
      </c>
      <c r="G272" s="126">
        <v>0</v>
      </c>
      <c r="H272" s="126">
        <v>0</v>
      </c>
      <c r="I272" s="126">
        <v>0</v>
      </c>
    </row>
    <row r="273" spans="1:9">
      <c r="A273" s="126">
        <v>1996</v>
      </c>
      <c r="B273" s="126" t="s">
        <v>131</v>
      </c>
      <c r="C273" s="126" t="s">
        <v>22</v>
      </c>
      <c r="D273" s="126" t="s">
        <v>79</v>
      </c>
      <c r="E273" s="126" t="s">
        <v>132</v>
      </c>
      <c r="F273" s="126">
        <v>0</v>
      </c>
      <c r="G273" s="126">
        <v>0</v>
      </c>
      <c r="H273" s="126">
        <v>0</v>
      </c>
      <c r="I273" s="126">
        <v>0</v>
      </c>
    </row>
    <row r="274" spans="1:9">
      <c r="A274" s="126">
        <v>1996</v>
      </c>
      <c r="B274" s="126" t="s">
        <v>131</v>
      </c>
      <c r="C274" s="126" t="s">
        <v>22</v>
      </c>
      <c r="D274" s="126" t="s">
        <v>79</v>
      </c>
      <c r="E274" s="126" t="s">
        <v>133</v>
      </c>
      <c r="F274" s="126">
        <v>0</v>
      </c>
      <c r="G274" s="126">
        <v>0</v>
      </c>
      <c r="H274" s="126">
        <v>0</v>
      </c>
      <c r="I274" s="126">
        <v>0</v>
      </c>
    </row>
    <row r="275" spans="1:9">
      <c r="A275" s="126">
        <v>1996</v>
      </c>
      <c r="B275" s="126" t="s">
        <v>131</v>
      </c>
      <c r="C275" s="126" t="s">
        <v>22</v>
      </c>
      <c r="D275" s="126" t="s">
        <v>79</v>
      </c>
      <c r="E275" s="126" t="s">
        <v>134</v>
      </c>
      <c r="F275" s="126">
        <v>0</v>
      </c>
      <c r="G275" s="126">
        <v>0</v>
      </c>
      <c r="H275" s="126">
        <v>0</v>
      </c>
      <c r="I275" s="126">
        <v>0</v>
      </c>
    </row>
    <row r="276" spans="1:9">
      <c r="A276" s="126">
        <v>1996</v>
      </c>
      <c r="B276" s="126" t="s">
        <v>131</v>
      </c>
      <c r="C276" s="126" t="s">
        <v>22</v>
      </c>
      <c r="D276" s="126" t="s">
        <v>79</v>
      </c>
      <c r="E276" s="126" t="s">
        <v>135</v>
      </c>
      <c r="F276" s="126">
        <v>0</v>
      </c>
      <c r="G276" s="126">
        <v>0</v>
      </c>
      <c r="H276" s="126">
        <v>0</v>
      </c>
      <c r="I276" s="126">
        <v>0</v>
      </c>
    </row>
    <row r="277" spans="1:9">
      <c r="A277" s="126">
        <v>1996</v>
      </c>
      <c r="B277" s="126" t="s">
        <v>131</v>
      </c>
      <c r="C277" s="126" t="s">
        <v>22</v>
      </c>
      <c r="D277" s="126" t="s">
        <v>79</v>
      </c>
      <c r="E277" s="126" t="s">
        <v>136</v>
      </c>
      <c r="F277" s="126">
        <v>0</v>
      </c>
      <c r="G277" s="126">
        <v>0</v>
      </c>
      <c r="H277" s="126">
        <v>0</v>
      </c>
      <c r="I277" s="126">
        <v>0</v>
      </c>
    </row>
    <row r="278" spans="1:9">
      <c r="A278" s="126">
        <v>1996</v>
      </c>
      <c r="B278" s="126" t="s">
        <v>131</v>
      </c>
      <c r="C278" s="126" t="s">
        <v>22</v>
      </c>
      <c r="D278" s="126" t="s">
        <v>76</v>
      </c>
      <c r="E278" s="126" t="s">
        <v>132</v>
      </c>
      <c r="F278" s="126">
        <v>0</v>
      </c>
      <c r="G278" s="126">
        <v>0</v>
      </c>
      <c r="H278" s="126">
        <v>0</v>
      </c>
      <c r="I278" s="126">
        <v>0</v>
      </c>
    </row>
    <row r="279" spans="1:9">
      <c r="A279" s="126">
        <v>1996</v>
      </c>
      <c r="B279" s="126" t="s">
        <v>131</v>
      </c>
      <c r="C279" s="126" t="s">
        <v>22</v>
      </c>
      <c r="D279" s="126" t="s">
        <v>76</v>
      </c>
      <c r="E279" s="126" t="s">
        <v>133</v>
      </c>
      <c r="F279" s="126">
        <v>0</v>
      </c>
      <c r="G279" s="126">
        <v>0</v>
      </c>
      <c r="H279" s="126">
        <v>0</v>
      </c>
      <c r="I279" s="126">
        <v>0</v>
      </c>
    </row>
    <row r="280" spans="1:9">
      <c r="A280" s="126">
        <v>1996</v>
      </c>
      <c r="B280" s="126" t="s">
        <v>131</v>
      </c>
      <c r="C280" s="126" t="s">
        <v>22</v>
      </c>
      <c r="D280" s="126" t="s">
        <v>76</v>
      </c>
      <c r="E280" s="126" t="s">
        <v>134</v>
      </c>
      <c r="F280" s="126">
        <v>0</v>
      </c>
      <c r="G280" s="126">
        <v>0</v>
      </c>
      <c r="H280" s="126">
        <v>0</v>
      </c>
      <c r="I280" s="126">
        <v>0</v>
      </c>
    </row>
    <row r="281" spans="1:9">
      <c r="A281" s="126">
        <v>1996</v>
      </c>
      <c r="B281" s="126" t="s">
        <v>131</v>
      </c>
      <c r="C281" s="126" t="s">
        <v>22</v>
      </c>
      <c r="D281" s="126" t="s">
        <v>76</v>
      </c>
      <c r="E281" s="126" t="s">
        <v>135</v>
      </c>
      <c r="F281" s="126">
        <v>0</v>
      </c>
      <c r="G281" s="126">
        <v>0</v>
      </c>
      <c r="H281" s="126">
        <v>0</v>
      </c>
      <c r="I281" s="126">
        <v>0</v>
      </c>
    </row>
    <row r="282" spans="1:9">
      <c r="A282" s="126">
        <v>1996</v>
      </c>
      <c r="B282" s="126" t="s">
        <v>131</v>
      </c>
      <c r="C282" s="126" t="s">
        <v>22</v>
      </c>
      <c r="D282" s="126" t="s">
        <v>76</v>
      </c>
      <c r="E282" s="126" t="s">
        <v>136</v>
      </c>
      <c r="F282" s="126">
        <v>0</v>
      </c>
      <c r="G282" s="126">
        <v>0</v>
      </c>
      <c r="H282" s="126">
        <v>0</v>
      </c>
      <c r="I282" s="126">
        <v>0</v>
      </c>
    </row>
    <row r="283" spans="1:9">
      <c r="A283" s="126">
        <v>1996</v>
      </c>
      <c r="B283" s="126" t="s">
        <v>131</v>
      </c>
      <c r="C283" s="126" t="s">
        <v>23</v>
      </c>
      <c r="D283" s="126" t="s">
        <v>77</v>
      </c>
      <c r="E283" s="126" t="s">
        <v>132</v>
      </c>
      <c r="F283" s="126">
        <v>0</v>
      </c>
      <c r="G283" s="126">
        <v>0</v>
      </c>
      <c r="H283" s="126">
        <v>0</v>
      </c>
      <c r="I283" s="126">
        <v>0</v>
      </c>
    </row>
    <row r="284" spans="1:9">
      <c r="A284" s="126">
        <v>1996</v>
      </c>
      <c r="B284" s="126" t="s">
        <v>131</v>
      </c>
      <c r="C284" s="126" t="s">
        <v>23</v>
      </c>
      <c r="D284" s="126" t="s">
        <v>77</v>
      </c>
      <c r="E284" s="126" t="s">
        <v>133</v>
      </c>
      <c r="F284" s="126">
        <v>0</v>
      </c>
      <c r="G284" s="126">
        <v>0</v>
      </c>
      <c r="H284" s="126">
        <v>0</v>
      </c>
      <c r="I284" s="126">
        <v>0</v>
      </c>
    </row>
    <row r="285" spans="1:9">
      <c r="A285" s="126">
        <v>1996</v>
      </c>
      <c r="B285" s="126" t="s">
        <v>131</v>
      </c>
      <c r="C285" s="126" t="s">
        <v>23</v>
      </c>
      <c r="D285" s="126" t="s">
        <v>77</v>
      </c>
      <c r="E285" s="126" t="s">
        <v>134</v>
      </c>
      <c r="F285" s="126">
        <v>0</v>
      </c>
      <c r="G285" s="126">
        <v>0</v>
      </c>
      <c r="H285" s="126">
        <v>0</v>
      </c>
      <c r="I285" s="126">
        <v>0</v>
      </c>
    </row>
    <row r="286" spans="1:9">
      <c r="A286" s="126">
        <v>1996</v>
      </c>
      <c r="B286" s="126" t="s">
        <v>131</v>
      </c>
      <c r="C286" s="126" t="s">
        <v>23</v>
      </c>
      <c r="D286" s="126" t="s">
        <v>77</v>
      </c>
      <c r="E286" s="126" t="s">
        <v>135</v>
      </c>
      <c r="F286" s="126">
        <v>0</v>
      </c>
      <c r="G286" s="126">
        <v>0</v>
      </c>
      <c r="H286" s="126">
        <v>0</v>
      </c>
      <c r="I286" s="126">
        <v>0</v>
      </c>
    </row>
    <row r="287" spans="1:9">
      <c r="A287" s="126">
        <v>1996</v>
      </c>
      <c r="B287" s="126" t="s">
        <v>131</v>
      </c>
      <c r="C287" s="126" t="s">
        <v>23</v>
      </c>
      <c r="D287" s="126" t="s">
        <v>79</v>
      </c>
      <c r="E287" s="126" t="s">
        <v>132</v>
      </c>
      <c r="F287" s="126">
        <v>0</v>
      </c>
      <c r="G287" s="126">
        <v>0</v>
      </c>
      <c r="H287" s="126">
        <v>0</v>
      </c>
      <c r="I287" s="126">
        <v>0</v>
      </c>
    </row>
    <row r="288" spans="1:9">
      <c r="A288" s="126">
        <v>1996</v>
      </c>
      <c r="B288" s="126" t="s">
        <v>131</v>
      </c>
      <c r="C288" s="126" t="s">
        <v>23</v>
      </c>
      <c r="D288" s="126" t="s">
        <v>79</v>
      </c>
      <c r="E288" s="126" t="s">
        <v>133</v>
      </c>
      <c r="F288" s="126">
        <v>0</v>
      </c>
      <c r="G288" s="126">
        <v>0</v>
      </c>
      <c r="H288" s="126">
        <v>0</v>
      </c>
      <c r="I288" s="126">
        <v>0</v>
      </c>
    </row>
    <row r="289" spans="1:9">
      <c r="A289" s="126">
        <v>1996</v>
      </c>
      <c r="B289" s="126" t="s">
        <v>131</v>
      </c>
      <c r="C289" s="126" t="s">
        <v>23</v>
      </c>
      <c r="D289" s="126" t="s">
        <v>79</v>
      </c>
      <c r="E289" s="126" t="s">
        <v>134</v>
      </c>
      <c r="F289" s="126">
        <v>0</v>
      </c>
      <c r="G289" s="126">
        <v>0</v>
      </c>
      <c r="H289" s="126">
        <v>0</v>
      </c>
      <c r="I289" s="126">
        <v>0</v>
      </c>
    </row>
    <row r="290" spans="1:9">
      <c r="A290" s="126">
        <v>1996</v>
      </c>
      <c r="B290" s="126" t="s">
        <v>131</v>
      </c>
      <c r="C290" s="126" t="s">
        <v>23</v>
      </c>
      <c r="D290" s="126" t="s">
        <v>79</v>
      </c>
      <c r="E290" s="126" t="s">
        <v>135</v>
      </c>
      <c r="F290" s="126">
        <v>0</v>
      </c>
      <c r="G290" s="126">
        <v>0</v>
      </c>
      <c r="H290" s="126">
        <v>0</v>
      </c>
      <c r="I290" s="126">
        <v>0</v>
      </c>
    </row>
    <row r="291" spans="1:9">
      <c r="A291" s="126">
        <v>1996</v>
      </c>
      <c r="B291" s="126" t="s">
        <v>131</v>
      </c>
      <c r="C291" s="126" t="s">
        <v>23</v>
      </c>
      <c r="D291" s="126" t="s">
        <v>79</v>
      </c>
      <c r="E291" s="126" t="s">
        <v>136</v>
      </c>
      <c r="F291" s="126">
        <v>0</v>
      </c>
      <c r="G291" s="126">
        <v>0</v>
      </c>
      <c r="H291" s="126">
        <v>0</v>
      </c>
      <c r="I291" s="126">
        <v>0</v>
      </c>
    </row>
    <row r="292" spans="1:9">
      <c r="A292" s="126">
        <v>1996</v>
      </c>
      <c r="B292" s="126" t="s">
        <v>131</v>
      </c>
      <c r="C292" s="126" t="s">
        <v>23</v>
      </c>
      <c r="D292" s="126" t="s">
        <v>76</v>
      </c>
      <c r="E292" s="126" t="s">
        <v>132</v>
      </c>
      <c r="F292" s="126">
        <v>0</v>
      </c>
      <c r="G292" s="126">
        <v>0</v>
      </c>
      <c r="H292" s="126">
        <v>0</v>
      </c>
      <c r="I292" s="126">
        <v>0</v>
      </c>
    </row>
    <row r="293" spans="1:9">
      <c r="A293" s="126">
        <v>1996</v>
      </c>
      <c r="B293" s="126" t="s">
        <v>131</v>
      </c>
      <c r="C293" s="126" t="s">
        <v>23</v>
      </c>
      <c r="D293" s="126" t="s">
        <v>76</v>
      </c>
      <c r="E293" s="126" t="s">
        <v>133</v>
      </c>
      <c r="F293" s="126">
        <v>0</v>
      </c>
      <c r="G293" s="126">
        <v>0</v>
      </c>
      <c r="H293" s="126">
        <v>0</v>
      </c>
      <c r="I293" s="126">
        <v>0</v>
      </c>
    </row>
    <row r="294" spans="1:9">
      <c r="A294" s="126">
        <v>1996</v>
      </c>
      <c r="B294" s="126" t="s">
        <v>131</v>
      </c>
      <c r="C294" s="126" t="s">
        <v>23</v>
      </c>
      <c r="D294" s="126" t="s">
        <v>76</v>
      </c>
      <c r="E294" s="126" t="s">
        <v>134</v>
      </c>
      <c r="F294" s="126">
        <v>0</v>
      </c>
      <c r="G294" s="126">
        <v>0</v>
      </c>
      <c r="H294" s="126">
        <v>0</v>
      </c>
      <c r="I294" s="126">
        <v>0</v>
      </c>
    </row>
    <row r="295" spans="1:9">
      <c r="A295" s="126">
        <v>1996</v>
      </c>
      <c r="B295" s="126" t="s">
        <v>131</v>
      </c>
      <c r="C295" s="126" t="s">
        <v>23</v>
      </c>
      <c r="D295" s="126" t="s">
        <v>76</v>
      </c>
      <c r="E295" s="126" t="s">
        <v>135</v>
      </c>
      <c r="F295" s="126">
        <v>0</v>
      </c>
      <c r="G295" s="126">
        <v>0</v>
      </c>
      <c r="H295" s="126">
        <v>0</v>
      </c>
      <c r="I295" s="126">
        <v>0</v>
      </c>
    </row>
    <row r="296" spans="1:9">
      <c r="A296" s="126">
        <v>1996</v>
      </c>
      <c r="B296" s="126" t="s">
        <v>131</v>
      </c>
      <c r="C296" s="126" t="s">
        <v>23</v>
      </c>
      <c r="D296" s="126" t="s">
        <v>76</v>
      </c>
      <c r="E296" s="126" t="s">
        <v>136</v>
      </c>
      <c r="F296" s="126">
        <v>0</v>
      </c>
      <c r="G296" s="126">
        <v>0</v>
      </c>
      <c r="H296" s="126">
        <v>0</v>
      </c>
      <c r="I296" s="126">
        <v>0</v>
      </c>
    </row>
    <row r="297" spans="1:9">
      <c r="A297" s="126">
        <v>1996</v>
      </c>
      <c r="B297" s="126" t="s">
        <v>131</v>
      </c>
      <c r="C297" s="126" t="s">
        <v>25</v>
      </c>
      <c r="D297" s="126" t="s">
        <v>77</v>
      </c>
      <c r="E297" s="126" t="s">
        <v>132</v>
      </c>
      <c r="F297" s="126">
        <v>0</v>
      </c>
      <c r="G297" s="126">
        <v>0</v>
      </c>
      <c r="H297" s="126">
        <v>0</v>
      </c>
      <c r="I297" s="126">
        <v>0</v>
      </c>
    </row>
    <row r="298" spans="1:9">
      <c r="A298" s="126">
        <v>1996</v>
      </c>
      <c r="B298" s="126" t="s">
        <v>131</v>
      </c>
      <c r="C298" s="126" t="s">
        <v>25</v>
      </c>
      <c r="D298" s="126" t="s">
        <v>77</v>
      </c>
      <c r="E298" s="126" t="s">
        <v>133</v>
      </c>
      <c r="F298" s="126">
        <v>0</v>
      </c>
      <c r="G298" s="126">
        <v>0</v>
      </c>
      <c r="H298" s="126">
        <v>0</v>
      </c>
      <c r="I298" s="126">
        <v>0</v>
      </c>
    </row>
    <row r="299" spans="1:9">
      <c r="A299" s="126">
        <v>1996</v>
      </c>
      <c r="B299" s="126" t="s">
        <v>131</v>
      </c>
      <c r="C299" s="126" t="s">
        <v>25</v>
      </c>
      <c r="D299" s="126" t="s">
        <v>77</v>
      </c>
      <c r="E299" s="126" t="s">
        <v>134</v>
      </c>
      <c r="F299" s="126">
        <v>0</v>
      </c>
      <c r="G299" s="126">
        <v>0</v>
      </c>
      <c r="H299" s="126">
        <v>0</v>
      </c>
      <c r="I299" s="126">
        <v>0</v>
      </c>
    </row>
    <row r="300" spans="1:9">
      <c r="A300" s="126">
        <v>1996</v>
      </c>
      <c r="B300" s="126" t="s">
        <v>131</v>
      </c>
      <c r="C300" s="126" t="s">
        <v>25</v>
      </c>
      <c r="D300" s="126" t="s">
        <v>77</v>
      </c>
      <c r="E300" s="126" t="s">
        <v>135</v>
      </c>
      <c r="F300" s="126">
        <v>0</v>
      </c>
      <c r="G300" s="126">
        <v>0</v>
      </c>
      <c r="H300" s="126">
        <v>0</v>
      </c>
      <c r="I300" s="126">
        <v>0</v>
      </c>
    </row>
    <row r="301" spans="1:9">
      <c r="A301" s="126">
        <v>1996</v>
      </c>
      <c r="B301" s="126" t="s">
        <v>131</v>
      </c>
      <c r="C301" s="126" t="s">
        <v>25</v>
      </c>
      <c r="D301" s="126" t="s">
        <v>79</v>
      </c>
      <c r="E301" s="126" t="s">
        <v>132</v>
      </c>
      <c r="F301" s="126">
        <v>0</v>
      </c>
      <c r="G301" s="126">
        <v>0</v>
      </c>
      <c r="H301" s="126">
        <v>0</v>
      </c>
      <c r="I301" s="126">
        <v>0</v>
      </c>
    </row>
    <row r="302" spans="1:9">
      <c r="A302" s="126">
        <v>1996</v>
      </c>
      <c r="B302" s="126" t="s">
        <v>131</v>
      </c>
      <c r="C302" s="126" t="s">
        <v>25</v>
      </c>
      <c r="D302" s="126" t="s">
        <v>79</v>
      </c>
      <c r="E302" s="126" t="s">
        <v>133</v>
      </c>
      <c r="F302" s="126">
        <v>0</v>
      </c>
      <c r="G302" s="126">
        <v>0</v>
      </c>
      <c r="H302" s="126">
        <v>0</v>
      </c>
      <c r="I302" s="126">
        <v>0</v>
      </c>
    </row>
    <row r="303" spans="1:9">
      <c r="A303" s="126">
        <v>1996</v>
      </c>
      <c r="B303" s="126" t="s">
        <v>131</v>
      </c>
      <c r="C303" s="126" t="s">
        <v>25</v>
      </c>
      <c r="D303" s="126" t="s">
        <v>79</v>
      </c>
      <c r="E303" s="126" t="s">
        <v>134</v>
      </c>
      <c r="F303" s="126">
        <v>0</v>
      </c>
      <c r="G303" s="126">
        <v>0</v>
      </c>
      <c r="H303" s="126">
        <v>0</v>
      </c>
      <c r="I303" s="126">
        <v>0</v>
      </c>
    </row>
    <row r="304" spans="1:9">
      <c r="A304" s="126">
        <v>1996</v>
      </c>
      <c r="B304" s="126" t="s">
        <v>131</v>
      </c>
      <c r="C304" s="126" t="s">
        <v>25</v>
      </c>
      <c r="D304" s="126" t="s">
        <v>79</v>
      </c>
      <c r="E304" s="126" t="s">
        <v>135</v>
      </c>
      <c r="F304" s="126">
        <v>0</v>
      </c>
      <c r="G304" s="126">
        <v>0</v>
      </c>
      <c r="H304" s="126">
        <v>0</v>
      </c>
      <c r="I304" s="126">
        <v>0</v>
      </c>
    </row>
    <row r="305" spans="1:9">
      <c r="A305" s="126">
        <v>1996</v>
      </c>
      <c r="B305" s="126" t="s">
        <v>131</v>
      </c>
      <c r="C305" s="126" t="s">
        <v>25</v>
      </c>
      <c r="D305" s="126" t="s">
        <v>79</v>
      </c>
      <c r="E305" s="126" t="s">
        <v>136</v>
      </c>
      <c r="F305" s="126">
        <v>0</v>
      </c>
      <c r="G305" s="126">
        <v>0</v>
      </c>
      <c r="H305" s="126">
        <v>0</v>
      </c>
      <c r="I305" s="126">
        <v>0</v>
      </c>
    </row>
    <row r="306" spans="1:9">
      <c r="A306" s="126">
        <v>1996</v>
      </c>
      <c r="B306" s="126" t="s">
        <v>131</v>
      </c>
      <c r="C306" s="126" t="s">
        <v>25</v>
      </c>
      <c r="D306" s="126" t="s">
        <v>76</v>
      </c>
      <c r="E306" s="126" t="s">
        <v>132</v>
      </c>
      <c r="F306" s="126">
        <v>0</v>
      </c>
      <c r="G306" s="126">
        <v>0</v>
      </c>
      <c r="H306" s="126">
        <v>0</v>
      </c>
      <c r="I306" s="126">
        <v>0</v>
      </c>
    </row>
    <row r="307" spans="1:9">
      <c r="A307" s="126">
        <v>1996</v>
      </c>
      <c r="B307" s="126" t="s">
        <v>131</v>
      </c>
      <c r="C307" s="126" t="s">
        <v>25</v>
      </c>
      <c r="D307" s="126" t="s">
        <v>76</v>
      </c>
      <c r="E307" s="126" t="s">
        <v>133</v>
      </c>
      <c r="F307" s="126">
        <v>0</v>
      </c>
      <c r="G307" s="126">
        <v>0</v>
      </c>
      <c r="H307" s="126">
        <v>0</v>
      </c>
      <c r="I307" s="126">
        <v>0</v>
      </c>
    </row>
    <row r="308" spans="1:9">
      <c r="A308" s="126">
        <v>1996</v>
      </c>
      <c r="B308" s="126" t="s">
        <v>131</v>
      </c>
      <c r="C308" s="126" t="s">
        <v>25</v>
      </c>
      <c r="D308" s="126" t="s">
        <v>76</v>
      </c>
      <c r="E308" s="126" t="s">
        <v>134</v>
      </c>
      <c r="F308" s="126">
        <v>0</v>
      </c>
      <c r="G308" s="126">
        <v>0</v>
      </c>
      <c r="H308" s="126">
        <v>0</v>
      </c>
      <c r="I308" s="126">
        <v>0</v>
      </c>
    </row>
    <row r="309" spans="1:9">
      <c r="A309" s="126">
        <v>1996</v>
      </c>
      <c r="B309" s="126" t="s">
        <v>131</v>
      </c>
      <c r="C309" s="126" t="s">
        <v>25</v>
      </c>
      <c r="D309" s="126" t="s">
        <v>76</v>
      </c>
      <c r="E309" s="126" t="s">
        <v>135</v>
      </c>
      <c r="F309" s="126">
        <v>0</v>
      </c>
      <c r="G309" s="126">
        <v>0</v>
      </c>
      <c r="H309" s="126">
        <v>0</v>
      </c>
      <c r="I309" s="126">
        <v>0</v>
      </c>
    </row>
    <row r="310" spans="1:9">
      <c r="A310" s="126">
        <v>1996</v>
      </c>
      <c r="B310" s="126" t="s">
        <v>131</v>
      </c>
      <c r="C310" s="126" t="s">
        <v>25</v>
      </c>
      <c r="D310" s="126" t="s">
        <v>76</v>
      </c>
      <c r="E310" s="126" t="s">
        <v>136</v>
      </c>
      <c r="F310" s="126">
        <v>0</v>
      </c>
      <c r="G310" s="126">
        <v>0</v>
      </c>
      <c r="H310" s="126">
        <v>0</v>
      </c>
      <c r="I310" s="126">
        <v>0</v>
      </c>
    </row>
    <row r="311" spans="1:9">
      <c r="A311" s="126">
        <v>1996</v>
      </c>
      <c r="B311" s="126" t="s">
        <v>131</v>
      </c>
      <c r="C311" s="126" t="s">
        <v>21</v>
      </c>
      <c r="D311" s="126" t="s">
        <v>77</v>
      </c>
      <c r="E311" s="126" t="s">
        <v>132</v>
      </c>
      <c r="F311" s="126">
        <v>0</v>
      </c>
      <c r="G311" s="126">
        <v>0</v>
      </c>
      <c r="H311" s="126">
        <v>0</v>
      </c>
      <c r="I311" s="126">
        <v>0</v>
      </c>
    </row>
    <row r="312" spans="1:9">
      <c r="A312" s="126">
        <v>1996</v>
      </c>
      <c r="B312" s="126" t="s">
        <v>131</v>
      </c>
      <c r="C312" s="126" t="s">
        <v>21</v>
      </c>
      <c r="D312" s="126" t="s">
        <v>77</v>
      </c>
      <c r="E312" s="126" t="s">
        <v>133</v>
      </c>
      <c r="F312" s="126">
        <v>0</v>
      </c>
      <c r="G312" s="126">
        <v>0</v>
      </c>
      <c r="H312" s="126">
        <v>0</v>
      </c>
      <c r="I312" s="126">
        <v>0</v>
      </c>
    </row>
    <row r="313" spans="1:9">
      <c r="A313" s="126">
        <v>1996</v>
      </c>
      <c r="B313" s="126" t="s">
        <v>131</v>
      </c>
      <c r="C313" s="126" t="s">
        <v>21</v>
      </c>
      <c r="D313" s="126" t="s">
        <v>77</v>
      </c>
      <c r="E313" s="126" t="s">
        <v>134</v>
      </c>
      <c r="F313" s="126">
        <v>0</v>
      </c>
      <c r="G313" s="126">
        <v>0</v>
      </c>
      <c r="H313" s="126">
        <v>0</v>
      </c>
      <c r="I313" s="126">
        <v>0</v>
      </c>
    </row>
    <row r="314" spans="1:9">
      <c r="A314" s="126">
        <v>1996</v>
      </c>
      <c r="B314" s="126" t="s">
        <v>131</v>
      </c>
      <c r="C314" s="126" t="s">
        <v>21</v>
      </c>
      <c r="D314" s="126" t="s">
        <v>77</v>
      </c>
      <c r="E314" s="126" t="s">
        <v>135</v>
      </c>
      <c r="F314" s="126">
        <v>0</v>
      </c>
      <c r="G314" s="126">
        <v>0</v>
      </c>
      <c r="H314" s="126">
        <v>0</v>
      </c>
      <c r="I314" s="126">
        <v>0</v>
      </c>
    </row>
    <row r="315" spans="1:9">
      <c r="A315" s="126">
        <v>1996</v>
      </c>
      <c r="B315" s="126" t="s">
        <v>131</v>
      </c>
      <c r="C315" s="126" t="s">
        <v>21</v>
      </c>
      <c r="D315" s="126" t="s">
        <v>79</v>
      </c>
      <c r="E315" s="126" t="s">
        <v>132</v>
      </c>
      <c r="F315" s="126">
        <v>0</v>
      </c>
      <c r="G315" s="126">
        <v>0</v>
      </c>
      <c r="H315" s="126">
        <v>0</v>
      </c>
      <c r="I315" s="126">
        <v>0</v>
      </c>
    </row>
    <row r="316" spans="1:9">
      <c r="A316" s="126">
        <v>1996</v>
      </c>
      <c r="B316" s="126" t="s">
        <v>131</v>
      </c>
      <c r="C316" s="126" t="s">
        <v>21</v>
      </c>
      <c r="D316" s="126" t="s">
        <v>79</v>
      </c>
      <c r="E316" s="126" t="s">
        <v>133</v>
      </c>
      <c r="F316" s="126">
        <v>0</v>
      </c>
      <c r="G316" s="126">
        <v>0</v>
      </c>
      <c r="H316" s="126">
        <v>0</v>
      </c>
      <c r="I316" s="126">
        <v>0</v>
      </c>
    </row>
    <row r="317" spans="1:9">
      <c r="A317" s="126">
        <v>1996</v>
      </c>
      <c r="B317" s="126" t="s">
        <v>131</v>
      </c>
      <c r="C317" s="126" t="s">
        <v>21</v>
      </c>
      <c r="D317" s="126" t="s">
        <v>79</v>
      </c>
      <c r="E317" s="126" t="s">
        <v>134</v>
      </c>
      <c r="F317" s="126">
        <v>0</v>
      </c>
      <c r="G317" s="126">
        <v>0</v>
      </c>
      <c r="H317" s="126">
        <v>0</v>
      </c>
      <c r="I317" s="126">
        <v>0</v>
      </c>
    </row>
    <row r="318" spans="1:9">
      <c r="A318" s="126">
        <v>1996</v>
      </c>
      <c r="B318" s="126" t="s">
        <v>131</v>
      </c>
      <c r="C318" s="126" t="s">
        <v>21</v>
      </c>
      <c r="D318" s="126" t="s">
        <v>79</v>
      </c>
      <c r="E318" s="126" t="s">
        <v>135</v>
      </c>
      <c r="F318" s="126">
        <v>0</v>
      </c>
      <c r="G318" s="126">
        <v>0</v>
      </c>
      <c r="H318" s="126">
        <v>0</v>
      </c>
      <c r="I318" s="126">
        <v>0</v>
      </c>
    </row>
    <row r="319" spans="1:9">
      <c r="A319" s="126">
        <v>1996</v>
      </c>
      <c r="B319" s="126" t="s">
        <v>131</v>
      </c>
      <c r="C319" s="126" t="s">
        <v>21</v>
      </c>
      <c r="D319" s="126" t="s">
        <v>79</v>
      </c>
      <c r="E319" s="126" t="s">
        <v>136</v>
      </c>
      <c r="F319" s="126">
        <v>0</v>
      </c>
      <c r="G319" s="126">
        <v>0</v>
      </c>
      <c r="H319" s="126">
        <v>0</v>
      </c>
      <c r="I319" s="126">
        <v>0</v>
      </c>
    </row>
    <row r="320" spans="1:9">
      <c r="A320" s="126">
        <v>1996</v>
      </c>
      <c r="B320" s="126" t="s">
        <v>131</v>
      </c>
      <c r="C320" s="126" t="s">
        <v>21</v>
      </c>
      <c r="D320" s="126" t="s">
        <v>76</v>
      </c>
      <c r="E320" s="126" t="s">
        <v>132</v>
      </c>
      <c r="F320" s="126">
        <v>0</v>
      </c>
      <c r="G320" s="126">
        <v>0</v>
      </c>
      <c r="H320" s="126">
        <v>0</v>
      </c>
      <c r="I320" s="126">
        <v>0</v>
      </c>
    </row>
    <row r="321" spans="1:9">
      <c r="A321" s="126">
        <v>1996</v>
      </c>
      <c r="B321" s="126" t="s">
        <v>131</v>
      </c>
      <c r="C321" s="126" t="s">
        <v>21</v>
      </c>
      <c r="D321" s="126" t="s">
        <v>76</v>
      </c>
      <c r="E321" s="126" t="s">
        <v>133</v>
      </c>
      <c r="F321" s="126">
        <v>0</v>
      </c>
      <c r="G321" s="126">
        <v>0</v>
      </c>
      <c r="H321" s="126">
        <v>0</v>
      </c>
      <c r="I321" s="126">
        <v>0</v>
      </c>
    </row>
    <row r="322" spans="1:9">
      <c r="A322" s="126">
        <v>1996</v>
      </c>
      <c r="B322" s="126" t="s">
        <v>131</v>
      </c>
      <c r="C322" s="126" t="s">
        <v>21</v>
      </c>
      <c r="D322" s="126" t="s">
        <v>76</v>
      </c>
      <c r="E322" s="126" t="s">
        <v>134</v>
      </c>
      <c r="F322" s="126">
        <v>0</v>
      </c>
      <c r="G322" s="126">
        <v>0</v>
      </c>
      <c r="H322" s="126">
        <v>0</v>
      </c>
      <c r="I322" s="126">
        <v>0</v>
      </c>
    </row>
    <row r="323" spans="1:9">
      <c r="A323" s="126">
        <v>1996</v>
      </c>
      <c r="B323" s="126" t="s">
        <v>131</v>
      </c>
      <c r="C323" s="126" t="s">
        <v>21</v>
      </c>
      <c r="D323" s="126" t="s">
        <v>76</v>
      </c>
      <c r="E323" s="126" t="s">
        <v>135</v>
      </c>
      <c r="F323" s="126">
        <v>0</v>
      </c>
      <c r="G323" s="126">
        <v>0</v>
      </c>
      <c r="H323" s="126">
        <v>0</v>
      </c>
      <c r="I323" s="126">
        <v>0</v>
      </c>
    </row>
    <row r="324" spans="1:9">
      <c r="A324" s="126">
        <v>1996</v>
      </c>
      <c r="B324" s="126" t="s">
        <v>131</v>
      </c>
      <c r="C324" s="126" t="s">
        <v>21</v>
      </c>
      <c r="D324" s="126" t="s">
        <v>76</v>
      </c>
      <c r="E324" s="126" t="s">
        <v>136</v>
      </c>
      <c r="F324" s="126">
        <v>0</v>
      </c>
      <c r="G324" s="126">
        <v>0</v>
      </c>
      <c r="H324" s="126">
        <v>0</v>
      </c>
      <c r="I324" s="126">
        <v>0</v>
      </c>
    </row>
    <row r="325" spans="1:9">
      <c r="A325" s="126">
        <v>1996</v>
      </c>
      <c r="B325" s="126" t="s">
        <v>131</v>
      </c>
      <c r="C325" s="126" t="s">
        <v>24</v>
      </c>
      <c r="D325" s="126" t="s">
        <v>77</v>
      </c>
      <c r="E325" s="126" t="s">
        <v>132</v>
      </c>
      <c r="F325" s="126">
        <v>0</v>
      </c>
      <c r="G325" s="126">
        <v>0</v>
      </c>
      <c r="H325" s="126">
        <v>0</v>
      </c>
      <c r="I325" s="126">
        <v>0</v>
      </c>
    </row>
    <row r="326" spans="1:9">
      <c r="A326" s="126">
        <v>1996</v>
      </c>
      <c r="B326" s="126" t="s">
        <v>131</v>
      </c>
      <c r="C326" s="126" t="s">
        <v>24</v>
      </c>
      <c r="D326" s="126" t="s">
        <v>77</v>
      </c>
      <c r="E326" s="126" t="s">
        <v>133</v>
      </c>
      <c r="F326" s="126">
        <v>0</v>
      </c>
      <c r="G326" s="126">
        <v>0</v>
      </c>
      <c r="H326" s="126">
        <v>0</v>
      </c>
      <c r="I326" s="126">
        <v>0</v>
      </c>
    </row>
    <row r="327" spans="1:9">
      <c r="A327" s="126">
        <v>1996</v>
      </c>
      <c r="B327" s="126" t="s">
        <v>131</v>
      </c>
      <c r="C327" s="126" t="s">
        <v>24</v>
      </c>
      <c r="D327" s="126" t="s">
        <v>77</v>
      </c>
      <c r="E327" s="126" t="s">
        <v>134</v>
      </c>
      <c r="F327" s="126">
        <v>0</v>
      </c>
      <c r="G327" s="126">
        <v>0</v>
      </c>
      <c r="H327" s="126">
        <v>0</v>
      </c>
      <c r="I327" s="126">
        <v>0</v>
      </c>
    </row>
    <row r="328" spans="1:9">
      <c r="A328" s="126">
        <v>1996</v>
      </c>
      <c r="B328" s="126" t="s">
        <v>131</v>
      </c>
      <c r="C328" s="126" t="s">
        <v>24</v>
      </c>
      <c r="D328" s="126" t="s">
        <v>77</v>
      </c>
      <c r="E328" s="126" t="s">
        <v>135</v>
      </c>
      <c r="F328" s="126">
        <v>0</v>
      </c>
      <c r="G328" s="126">
        <v>0</v>
      </c>
      <c r="H328" s="126">
        <v>0</v>
      </c>
      <c r="I328" s="126">
        <v>0</v>
      </c>
    </row>
    <row r="329" spans="1:9">
      <c r="A329" s="126">
        <v>1996</v>
      </c>
      <c r="B329" s="126" t="s">
        <v>131</v>
      </c>
      <c r="C329" s="126" t="s">
        <v>24</v>
      </c>
      <c r="D329" s="126" t="s">
        <v>79</v>
      </c>
      <c r="E329" s="126" t="s">
        <v>132</v>
      </c>
      <c r="F329" s="126">
        <v>0</v>
      </c>
      <c r="G329" s="126">
        <v>0</v>
      </c>
      <c r="H329" s="126">
        <v>0</v>
      </c>
      <c r="I329" s="126">
        <v>0</v>
      </c>
    </row>
    <row r="330" spans="1:9">
      <c r="A330" s="126">
        <v>1996</v>
      </c>
      <c r="B330" s="126" t="s">
        <v>131</v>
      </c>
      <c r="C330" s="126" t="s">
        <v>24</v>
      </c>
      <c r="D330" s="126" t="s">
        <v>79</v>
      </c>
      <c r="E330" s="126" t="s">
        <v>133</v>
      </c>
      <c r="F330" s="126">
        <v>0</v>
      </c>
      <c r="G330" s="126">
        <v>0</v>
      </c>
      <c r="H330" s="126">
        <v>0</v>
      </c>
      <c r="I330" s="126">
        <v>0</v>
      </c>
    </row>
    <row r="331" spans="1:9">
      <c r="A331" s="126">
        <v>1996</v>
      </c>
      <c r="B331" s="126" t="s">
        <v>131</v>
      </c>
      <c r="C331" s="126" t="s">
        <v>24</v>
      </c>
      <c r="D331" s="126" t="s">
        <v>79</v>
      </c>
      <c r="E331" s="126" t="s">
        <v>134</v>
      </c>
      <c r="F331" s="126">
        <v>0</v>
      </c>
      <c r="G331" s="126">
        <v>0</v>
      </c>
      <c r="H331" s="126">
        <v>0</v>
      </c>
      <c r="I331" s="126">
        <v>0</v>
      </c>
    </row>
    <row r="332" spans="1:9">
      <c r="A332" s="126">
        <v>1996</v>
      </c>
      <c r="B332" s="126" t="s">
        <v>131</v>
      </c>
      <c r="C332" s="126" t="s">
        <v>24</v>
      </c>
      <c r="D332" s="126" t="s">
        <v>79</v>
      </c>
      <c r="E332" s="126" t="s">
        <v>135</v>
      </c>
      <c r="F332" s="126">
        <v>0</v>
      </c>
      <c r="G332" s="126">
        <v>0</v>
      </c>
      <c r="H332" s="126">
        <v>0</v>
      </c>
      <c r="I332" s="126">
        <v>0</v>
      </c>
    </row>
    <row r="333" spans="1:9">
      <c r="A333" s="126">
        <v>1996</v>
      </c>
      <c r="B333" s="126" t="s">
        <v>131</v>
      </c>
      <c r="C333" s="126" t="s">
        <v>24</v>
      </c>
      <c r="D333" s="126" t="s">
        <v>79</v>
      </c>
      <c r="E333" s="126" t="s">
        <v>136</v>
      </c>
      <c r="F333" s="126">
        <v>0</v>
      </c>
      <c r="G333" s="126">
        <v>0</v>
      </c>
      <c r="H333" s="126">
        <v>0</v>
      </c>
      <c r="I333" s="126">
        <v>0</v>
      </c>
    </row>
    <row r="334" spans="1:9">
      <c r="A334" s="126">
        <v>1996</v>
      </c>
      <c r="B334" s="126" t="s">
        <v>131</v>
      </c>
      <c r="C334" s="126" t="s">
        <v>24</v>
      </c>
      <c r="D334" s="126" t="s">
        <v>76</v>
      </c>
      <c r="E334" s="126" t="s">
        <v>132</v>
      </c>
      <c r="F334" s="126">
        <v>0</v>
      </c>
      <c r="G334" s="126">
        <v>0</v>
      </c>
      <c r="H334" s="126">
        <v>0</v>
      </c>
      <c r="I334" s="126">
        <v>0</v>
      </c>
    </row>
    <row r="335" spans="1:9">
      <c r="A335" s="126">
        <v>1996</v>
      </c>
      <c r="B335" s="126" t="s">
        <v>131</v>
      </c>
      <c r="C335" s="126" t="s">
        <v>24</v>
      </c>
      <c r="D335" s="126" t="s">
        <v>76</v>
      </c>
      <c r="E335" s="126" t="s">
        <v>133</v>
      </c>
      <c r="F335" s="126">
        <v>0</v>
      </c>
      <c r="G335" s="126">
        <v>0</v>
      </c>
      <c r="H335" s="126">
        <v>0</v>
      </c>
      <c r="I335" s="126">
        <v>0</v>
      </c>
    </row>
    <row r="336" spans="1:9">
      <c r="A336" s="126">
        <v>1996</v>
      </c>
      <c r="B336" s="126" t="s">
        <v>131</v>
      </c>
      <c r="C336" s="126" t="s">
        <v>24</v>
      </c>
      <c r="D336" s="126" t="s">
        <v>76</v>
      </c>
      <c r="E336" s="126" t="s">
        <v>134</v>
      </c>
      <c r="F336" s="126">
        <v>0</v>
      </c>
      <c r="G336" s="126">
        <v>0</v>
      </c>
      <c r="H336" s="126">
        <v>0</v>
      </c>
      <c r="I336" s="126">
        <v>0</v>
      </c>
    </row>
    <row r="337" spans="1:9">
      <c r="A337" s="126">
        <v>1996</v>
      </c>
      <c r="B337" s="126" t="s">
        <v>131</v>
      </c>
      <c r="C337" s="126" t="s">
        <v>24</v>
      </c>
      <c r="D337" s="126" t="s">
        <v>76</v>
      </c>
      <c r="E337" s="126" t="s">
        <v>135</v>
      </c>
      <c r="F337" s="126">
        <v>0</v>
      </c>
      <c r="G337" s="126">
        <v>0</v>
      </c>
      <c r="H337" s="126">
        <v>0</v>
      </c>
      <c r="I337" s="126">
        <v>0</v>
      </c>
    </row>
    <row r="338" spans="1:9">
      <c r="A338" s="126">
        <v>1996</v>
      </c>
      <c r="B338" s="126" t="s">
        <v>131</v>
      </c>
      <c r="C338" s="126" t="s">
        <v>24</v>
      </c>
      <c r="D338" s="126" t="s">
        <v>76</v>
      </c>
      <c r="E338" s="126" t="s">
        <v>136</v>
      </c>
      <c r="F338" s="126">
        <v>0</v>
      </c>
      <c r="G338" s="126">
        <v>0</v>
      </c>
      <c r="H338" s="126">
        <v>0</v>
      </c>
      <c r="I338" s="126">
        <v>0</v>
      </c>
    </row>
    <row r="339" spans="1:9">
      <c r="A339" s="126">
        <v>1996</v>
      </c>
      <c r="B339" s="126" t="s">
        <v>138</v>
      </c>
      <c r="C339" s="126" t="s">
        <v>26</v>
      </c>
      <c r="D339" s="126" t="s">
        <v>77</v>
      </c>
      <c r="E339" s="126" t="s">
        <v>132</v>
      </c>
      <c r="F339" s="126">
        <v>0</v>
      </c>
      <c r="G339" s="126">
        <v>0</v>
      </c>
      <c r="H339" s="126">
        <v>0</v>
      </c>
      <c r="I339" s="126">
        <v>0</v>
      </c>
    </row>
    <row r="340" spans="1:9">
      <c r="A340" s="126">
        <v>1996</v>
      </c>
      <c r="B340" s="126" t="s">
        <v>138</v>
      </c>
      <c r="C340" s="126" t="s">
        <v>26</v>
      </c>
      <c r="D340" s="126" t="s">
        <v>77</v>
      </c>
      <c r="E340" s="126" t="s">
        <v>133</v>
      </c>
      <c r="F340" s="126">
        <v>0</v>
      </c>
      <c r="G340" s="126">
        <v>0</v>
      </c>
      <c r="H340" s="126">
        <v>0</v>
      </c>
      <c r="I340" s="126">
        <v>0</v>
      </c>
    </row>
    <row r="341" spans="1:9">
      <c r="A341" s="126">
        <v>1996</v>
      </c>
      <c r="B341" s="126" t="s">
        <v>138</v>
      </c>
      <c r="C341" s="126" t="s">
        <v>26</v>
      </c>
      <c r="D341" s="126" t="s">
        <v>77</v>
      </c>
      <c r="E341" s="126" t="s">
        <v>134</v>
      </c>
      <c r="F341" s="126">
        <v>0</v>
      </c>
      <c r="G341" s="126">
        <v>0</v>
      </c>
      <c r="H341" s="126">
        <v>0</v>
      </c>
      <c r="I341" s="126">
        <v>0</v>
      </c>
    </row>
    <row r="342" spans="1:9">
      <c r="A342" s="126">
        <v>1996</v>
      </c>
      <c r="B342" s="126" t="s">
        <v>138</v>
      </c>
      <c r="C342" s="126" t="s">
        <v>26</v>
      </c>
      <c r="D342" s="126" t="s">
        <v>77</v>
      </c>
      <c r="E342" s="126" t="s">
        <v>135</v>
      </c>
      <c r="F342" s="126">
        <v>0</v>
      </c>
      <c r="G342" s="126">
        <v>0</v>
      </c>
      <c r="H342" s="126">
        <v>0</v>
      </c>
      <c r="I342" s="126">
        <v>0</v>
      </c>
    </row>
    <row r="343" spans="1:9">
      <c r="A343" s="126">
        <v>1996</v>
      </c>
      <c r="B343" s="126" t="s">
        <v>138</v>
      </c>
      <c r="C343" s="126" t="s">
        <v>26</v>
      </c>
      <c r="D343" s="126" t="s">
        <v>79</v>
      </c>
      <c r="E343" s="126" t="s">
        <v>132</v>
      </c>
      <c r="F343" s="126">
        <v>0</v>
      </c>
      <c r="G343" s="126">
        <v>0</v>
      </c>
      <c r="H343" s="126">
        <v>0</v>
      </c>
      <c r="I343" s="126">
        <v>0</v>
      </c>
    </row>
    <row r="344" spans="1:9">
      <c r="A344" s="126">
        <v>1996</v>
      </c>
      <c r="B344" s="126" t="s">
        <v>138</v>
      </c>
      <c r="C344" s="126" t="s">
        <v>26</v>
      </c>
      <c r="D344" s="126" t="s">
        <v>79</v>
      </c>
      <c r="E344" s="126" t="s">
        <v>133</v>
      </c>
      <c r="F344" s="126">
        <v>0</v>
      </c>
      <c r="G344" s="126">
        <v>0</v>
      </c>
      <c r="H344" s="126">
        <v>0</v>
      </c>
      <c r="I344" s="126">
        <v>0</v>
      </c>
    </row>
    <row r="345" spans="1:9">
      <c r="A345" s="126">
        <v>1996</v>
      </c>
      <c r="B345" s="126" t="s">
        <v>138</v>
      </c>
      <c r="C345" s="126" t="s">
        <v>26</v>
      </c>
      <c r="D345" s="126" t="s">
        <v>79</v>
      </c>
      <c r="E345" s="126" t="s">
        <v>134</v>
      </c>
      <c r="F345" s="126">
        <v>0</v>
      </c>
      <c r="G345" s="126">
        <v>0</v>
      </c>
      <c r="H345" s="126">
        <v>0</v>
      </c>
      <c r="I345" s="126">
        <v>0</v>
      </c>
    </row>
    <row r="346" spans="1:9">
      <c r="A346" s="126">
        <v>1996</v>
      </c>
      <c r="B346" s="126" t="s">
        <v>138</v>
      </c>
      <c r="C346" s="126" t="s">
        <v>26</v>
      </c>
      <c r="D346" s="126" t="s">
        <v>79</v>
      </c>
      <c r="E346" s="126" t="s">
        <v>135</v>
      </c>
      <c r="F346" s="126">
        <v>0</v>
      </c>
      <c r="G346" s="126">
        <v>0</v>
      </c>
      <c r="H346" s="126">
        <v>0</v>
      </c>
      <c r="I346" s="126">
        <v>0</v>
      </c>
    </row>
    <row r="347" spans="1:9">
      <c r="A347" s="126">
        <v>1996</v>
      </c>
      <c r="B347" s="126" t="s">
        <v>138</v>
      </c>
      <c r="C347" s="126" t="s">
        <v>26</v>
      </c>
      <c r="D347" s="126" t="s">
        <v>79</v>
      </c>
      <c r="E347" s="126" t="s">
        <v>136</v>
      </c>
      <c r="F347" s="126">
        <v>0</v>
      </c>
      <c r="G347" s="126">
        <v>0</v>
      </c>
      <c r="H347" s="126">
        <v>0</v>
      </c>
      <c r="I347" s="126">
        <v>0</v>
      </c>
    </row>
    <row r="348" spans="1:9">
      <c r="A348" s="126">
        <v>1996</v>
      </c>
      <c r="B348" s="126" t="s">
        <v>138</v>
      </c>
      <c r="C348" s="126" t="s">
        <v>26</v>
      </c>
      <c r="D348" s="126" t="s">
        <v>76</v>
      </c>
      <c r="E348" s="126" t="s">
        <v>132</v>
      </c>
      <c r="F348" s="126">
        <v>0</v>
      </c>
      <c r="G348" s="126">
        <v>0</v>
      </c>
      <c r="H348" s="126">
        <v>0</v>
      </c>
      <c r="I348" s="126">
        <v>0</v>
      </c>
    </row>
    <row r="349" spans="1:9">
      <c r="A349" s="126">
        <v>1996</v>
      </c>
      <c r="B349" s="126" t="s">
        <v>138</v>
      </c>
      <c r="C349" s="126" t="s">
        <v>26</v>
      </c>
      <c r="D349" s="126" t="s">
        <v>76</v>
      </c>
      <c r="E349" s="126" t="s">
        <v>133</v>
      </c>
      <c r="F349" s="126">
        <v>0</v>
      </c>
      <c r="G349" s="126">
        <v>0</v>
      </c>
      <c r="H349" s="126">
        <v>0</v>
      </c>
      <c r="I349" s="126">
        <v>0</v>
      </c>
    </row>
    <row r="350" spans="1:9">
      <c r="A350" s="126">
        <v>1996</v>
      </c>
      <c r="B350" s="126" t="s">
        <v>138</v>
      </c>
      <c r="C350" s="126" t="s">
        <v>26</v>
      </c>
      <c r="D350" s="126" t="s">
        <v>76</v>
      </c>
      <c r="E350" s="126" t="s">
        <v>134</v>
      </c>
      <c r="F350" s="126">
        <v>0</v>
      </c>
      <c r="G350" s="126">
        <v>0</v>
      </c>
      <c r="H350" s="126">
        <v>0</v>
      </c>
      <c r="I350" s="126">
        <v>0</v>
      </c>
    </row>
    <row r="351" spans="1:9">
      <c r="A351" s="126">
        <v>1996</v>
      </c>
      <c r="B351" s="126" t="s">
        <v>138</v>
      </c>
      <c r="C351" s="126" t="s">
        <v>26</v>
      </c>
      <c r="D351" s="126" t="s">
        <v>76</v>
      </c>
      <c r="E351" s="126" t="s">
        <v>135</v>
      </c>
      <c r="F351" s="126">
        <v>0</v>
      </c>
      <c r="G351" s="126">
        <v>0</v>
      </c>
      <c r="H351" s="126">
        <v>0</v>
      </c>
      <c r="I351" s="126">
        <v>0</v>
      </c>
    </row>
    <row r="352" spans="1:9">
      <c r="A352" s="126">
        <v>1996</v>
      </c>
      <c r="B352" s="126" t="s">
        <v>138</v>
      </c>
      <c r="C352" s="126" t="s">
        <v>26</v>
      </c>
      <c r="D352" s="126" t="s">
        <v>76</v>
      </c>
      <c r="E352" s="126" t="s">
        <v>136</v>
      </c>
      <c r="F352" s="126">
        <v>0</v>
      </c>
      <c r="G352" s="126">
        <v>0</v>
      </c>
      <c r="H352" s="126">
        <v>0</v>
      </c>
      <c r="I352" s="126">
        <v>0</v>
      </c>
    </row>
    <row r="353" spans="1:9">
      <c r="A353" s="126">
        <v>1996</v>
      </c>
      <c r="B353" s="126" t="s">
        <v>138</v>
      </c>
      <c r="C353" s="126" t="s">
        <v>20</v>
      </c>
      <c r="D353" s="126" t="s">
        <v>77</v>
      </c>
      <c r="E353" s="126" t="s">
        <v>132</v>
      </c>
      <c r="F353" s="126">
        <v>0</v>
      </c>
      <c r="G353" s="126">
        <v>0</v>
      </c>
      <c r="H353" s="126">
        <v>0</v>
      </c>
      <c r="I353" s="126">
        <v>0</v>
      </c>
    </row>
    <row r="354" spans="1:9">
      <c r="A354" s="126">
        <v>1996</v>
      </c>
      <c r="B354" s="126" t="s">
        <v>138</v>
      </c>
      <c r="C354" s="126" t="s">
        <v>20</v>
      </c>
      <c r="D354" s="126" t="s">
        <v>77</v>
      </c>
      <c r="E354" s="126" t="s">
        <v>133</v>
      </c>
      <c r="F354" s="126">
        <v>0</v>
      </c>
      <c r="G354" s="126">
        <v>0</v>
      </c>
      <c r="H354" s="126">
        <v>0</v>
      </c>
      <c r="I354" s="126">
        <v>0</v>
      </c>
    </row>
    <row r="355" spans="1:9">
      <c r="A355" s="126">
        <v>1996</v>
      </c>
      <c r="B355" s="126" t="s">
        <v>138</v>
      </c>
      <c r="C355" s="126" t="s">
        <v>20</v>
      </c>
      <c r="D355" s="126" t="s">
        <v>77</v>
      </c>
      <c r="E355" s="126" t="s">
        <v>134</v>
      </c>
      <c r="F355" s="126">
        <v>0</v>
      </c>
      <c r="G355" s="126">
        <v>0</v>
      </c>
      <c r="H355" s="126">
        <v>0</v>
      </c>
      <c r="I355" s="126">
        <v>0</v>
      </c>
    </row>
    <row r="356" spans="1:9">
      <c r="A356" s="126">
        <v>1996</v>
      </c>
      <c r="B356" s="126" t="s">
        <v>138</v>
      </c>
      <c r="C356" s="126" t="s">
        <v>20</v>
      </c>
      <c r="D356" s="126" t="s">
        <v>77</v>
      </c>
      <c r="E356" s="126" t="s">
        <v>135</v>
      </c>
      <c r="F356" s="126">
        <v>0</v>
      </c>
      <c r="G356" s="126">
        <v>0</v>
      </c>
      <c r="H356" s="126">
        <v>0</v>
      </c>
      <c r="I356" s="126">
        <v>0</v>
      </c>
    </row>
    <row r="357" spans="1:9">
      <c r="A357" s="126">
        <v>1996</v>
      </c>
      <c r="B357" s="126" t="s">
        <v>138</v>
      </c>
      <c r="C357" s="126" t="s">
        <v>20</v>
      </c>
      <c r="D357" s="126" t="s">
        <v>79</v>
      </c>
      <c r="E357" s="126" t="s">
        <v>132</v>
      </c>
      <c r="F357" s="126">
        <v>0</v>
      </c>
      <c r="G357" s="126">
        <v>0</v>
      </c>
      <c r="H357" s="126">
        <v>0</v>
      </c>
      <c r="I357" s="126">
        <v>0</v>
      </c>
    </row>
    <row r="358" spans="1:9">
      <c r="A358" s="126">
        <v>1996</v>
      </c>
      <c r="B358" s="126" t="s">
        <v>138</v>
      </c>
      <c r="C358" s="126" t="s">
        <v>20</v>
      </c>
      <c r="D358" s="126" t="s">
        <v>79</v>
      </c>
      <c r="E358" s="126" t="s">
        <v>133</v>
      </c>
      <c r="F358" s="126">
        <v>0</v>
      </c>
      <c r="G358" s="126">
        <v>0</v>
      </c>
      <c r="H358" s="126">
        <v>0</v>
      </c>
      <c r="I358" s="126">
        <v>0</v>
      </c>
    </row>
    <row r="359" spans="1:9">
      <c r="A359" s="126">
        <v>1996</v>
      </c>
      <c r="B359" s="126" t="s">
        <v>138</v>
      </c>
      <c r="C359" s="126" t="s">
        <v>20</v>
      </c>
      <c r="D359" s="126" t="s">
        <v>79</v>
      </c>
      <c r="E359" s="126" t="s">
        <v>134</v>
      </c>
      <c r="F359" s="126">
        <v>0</v>
      </c>
      <c r="G359" s="126">
        <v>0</v>
      </c>
      <c r="H359" s="126">
        <v>0</v>
      </c>
      <c r="I359" s="126">
        <v>0</v>
      </c>
    </row>
    <row r="360" spans="1:9">
      <c r="A360" s="126">
        <v>1996</v>
      </c>
      <c r="B360" s="126" t="s">
        <v>138</v>
      </c>
      <c r="C360" s="126" t="s">
        <v>20</v>
      </c>
      <c r="D360" s="126" t="s">
        <v>79</v>
      </c>
      <c r="E360" s="126" t="s">
        <v>135</v>
      </c>
      <c r="F360" s="126">
        <v>0</v>
      </c>
      <c r="G360" s="126">
        <v>0</v>
      </c>
      <c r="H360" s="126">
        <v>0</v>
      </c>
      <c r="I360" s="126">
        <v>0</v>
      </c>
    </row>
    <row r="361" spans="1:9">
      <c r="A361" s="126">
        <v>1996</v>
      </c>
      <c r="B361" s="126" t="s">
        <v>138</v>
      </c>
      <c r="C361" s="126" t="s">
        <v>20</v>
      </c>
      <c r="D361" s="126" t="s">
        <v>79</v>
      </c>
      <c r="E361" s="126" t="s">
        <v>136</v>
      </c>
      <c r="F361" s="126">
        <v>0</v>
      </c>
      <c r="G361" s="126">
        <v>0</v>
      </c>
      <c r="H361" s="126">
        <v>0</v>
      </c>
      <c r="I361" s="126">
        <v>0</v>
      </c>
    </row>
    <row r="362" spans="1:9">
      <c r="A362" s="126">
        <v>1996</v>
      </c>
      <c r="B362" s="126" t="s">
        <v>138</v>
      </c>
      <c r="C362" s="126" t="s">
        <v>20</v>
      </c>
      <c r="D362" s="126" t="s">
        <v>76</v>
      </c>
      <c r="E362" s="126" t="s">
        <v>132</v>
      </c>
      <c r="F362" s="126">
        <v>0</v>
      </c>
      <c r="G362" s="126">
        <v>0</v>
      </c>
      <c r="H362" s="126">
        <v>0</v>
      </c>
      <c r="I362" s="126">
        <v>0</v>
      </c>
    </row>
    <row r="363" spans="1:9">
      <c r="A363" s="126">
        <v>1996</v>
      </c>
      <c r="B363" s="126" t="s">
        <v>138</v>
      </c>
      <c r="C363" s="126" t="s">
        <v>20</v>
      </c>
      <c r="D363" s="126" t="s">
        <v>76</v>
      </c>
      <c r="E363" s="126" t="s">
        <v>133</v>
      </c>
      <c r="F363" s="126">
        <v>0</v>
      </c>
      <c r="G363" s="126">
        <v>0</v>
      </c>
      <c r="H363" s="126">
        <v>0</v>
      </c>
      <c r="I363" s="126">
        <v>0</v>
      </c>
    </row>
    <row r="364" spans="1:9">
      <c r="A364" s="126">
        <v>1996</v>
      </c>
      <c r="B364" s="126" t="s">
        <v>138</v>
      </c>
      <c r="C364" s="126" t="s">
        <v>20</v>
      </c>
      <c r="D364" s="126" t="s">
        <v>76</v>
      </c>
      <c r="E364" s="126" t="s">
        <v>134</v>
      </c>
      <c r="F364" s="126">
        <v>0</v>
      </c>
      <c r="G364" s="126">
        <v>0</v>
      </c>
      <c r="H364" s="126">
        <v>0</v>
      </c>
      <c r="I364" s="126">
        <v>0</v>
      </c>
    </row>
    <row r="365" spans="1:9">
      <c r="A365" s="126">
        <v>1996</v>
      </c>
      <c r="B365" s="126" t="s">
        <v>138</v>
      </c>
      <c r="C365" s="126" t="s">
        <v>20</v>
      </c>
      <c r="D365" s="126" t="s">
        <v>76</v>
      </c>
      <c r="E365" s="126" t="s">
        <v>135</v>
      </c>
      <c r="F365" s="126">
        <v>0</v>
      </c>
      <c r="G365" s="126">
        <v>0</v>
      </c>
      <c r="H365" s="126">
        <v>0</v>
      </c>
      <c r="I365" s="126">
        <v>0</v>
      </c>
    </row>
    <row r="366" spans="1:9">
      <c r="A366" s="126">
        <v>1996</v>
      </c>
      <c r="B366" s="126" t="s">
        <v>138</v>
      </c>
      <c r="C366" s="126" t="s">
        <v>20</v>
      </c>
      <c r="D366" s="126" t="s">
        <v>76</v>
      </c>
      <c r="E366" s="126" t="s">
        <v>136</v>
      </c>
      <c r="F366" s="126">
        <v>0</v>
      </c>
      <c r="G366" s="126">
        <v>0</v>
      </c>
      <c r="H366" s="126">
        <v>0</v>
      </c>
      <c r="I366" s="126">
        <v>0</v>
      </c>
    </row>
    <row r="367" spans="1:9">
      <c r="A367" s="126">
        <v>1996</v>
      </c>
      <c r="B367" s="126" t="s">
        <v>138</v>
      </c>
      <c r="C367" s="126" t="s">
        <v>27</v>
      </c>
      <c r="D367" s="126" t="s">
        <v>77</v>
      </c>
      <c r="E367" s="126" t="s">
        <v>132</v>
      </c>
      <c r="F367" s="126">
        <v>0</v>
      </c>
      <c r="G367" s="126">
        <v>0</v>
      </c>
      <c r="H367" s="126">
        <v>0</v>
      </c>
      <c r="I367" s="126">
        <v>0</v>
      </c>
    </row>
    <row r="368" spans="1:9">
      <c r="A368" s="126">
        <v>1996</v>
      </c>
      <c r="B368" s="126" t="s">
        <v>138</v>
      </c>
      <c r="C368" s="126" t="s">
        <v>27</v>
      </c>
      <c r="D368" s="126" t="s">
        <v>77</v>
      </c>
      <c r="E368" s="126" t="s">
        <v>133</v>
      </c>
      <c r="F368" s="126">
        <v>0</v>
      </c>
      <c r="G368" s="126">
        <v>0</v>
      </c>
      <c r="H368" s="126">
        <v>0</v>
      </c>
      <c r="I368" s="126">
        <v>0</v>
      </c>
    </row>
    <row r="369" spans="1:9">
      <c r="A369" s="126">
        <v>1996</v>
      </c>
      <c r="B369" s="126" t="s">
        <v>138</v>
      </c>
      <c r="C369" s="126" t="s">
        <v>27</v>
      </c>
      <c r="D369" s="126" t="s">
        <v>77</v>
      </c>
      <c r="E369" s="126" t="s">
        <v>134</v>
      </c>
      <c r="F369" s="126">
        <v>0</v>
      </c>
      <c r="G369" s="126">
        <v>0</v>
      </c>
      <c r="H369" s="126">
        <v>0</v>
      </c>
      <c r="I369" s="126">
        <v>0</v>
      </c>
    </row>
    <row r="370" spans="1:9">
      <c r="A370" s="126">
        <v>1996</v>
      </c>
      <c r="B370" s="126" t="s">
        <v>138</v>
      </c>
      <c r="C370" s="126" t="s">
        <v>27</v>
      </c>
      <c r="D370" s="126" t="s">
        <v>77</v>
      </c>
      <c r="E370" s="126" t="s">
        <v>135</v>
      </c>
      <c r="F370" s="126">
        <v>0</v>
      </c>
      <c r="G370" s="126">
        <v>0</v>
      </c>
      <c r="H370" s="126">
        <v>0</v>
      </c>
      <c r="I370" s="126">
        <v>0</v>
      </c>
    </row>
    <row r="371" spans="1:9">
      <c r="A371" s="126">
        <v>1996</v>
      </c>
      <c r="B371" s="126" t="s">
        <v>138</v>
      </c>
      <c r="C371" s="126" t="s">
        <v>27</v>
      </c>
      <c r="D371" s="126" t="s">
        <v>79</v>
      </c>
      <c r="E371" s="126" t="s">
        <v>132</v>
      </c>
      <c r="F371" s="126">
        <v>0</v>
      </c>
      <c r="G371" s="126">
        <v>0</v>
      </c>
      <c r="H371" s="126">
        <v>0</v>
      </c>
      <c r="I371" s="126">
        <v>0</v>
      </c>
    </row>
    <row r="372" spans="1:9">
      <c r="A372" s="126">
        <v>1996</v>
      </c>
      <c r="B372" s="126" t="s">
        <v>138</v>
      </c>
      <c r="C372" s="126" t="s">
        <v>27</v>
      </c>
      <c r="D372" s="126" t="s">
        <v>79</v>
      </c>
      <c r="E372" s="126" t="s">
        <v>133</v>
      </c>
      <c r="F372" s="126">
        <v>0</v>
      </c>
      <c r="G372" s="126">
        <v>0</v>
      </c>
      <c r="H372" s="126">
        <v>0</v>
      </c>
      <c r="I372" s="126">
        <v>0</v>
      </c>
    </row>
    <row r="373" spans="1:9">
      <c r="A373" s="126">
        <v>1996</v>
      </c>
      <c r="B373" s="126" t="s">
        <v>138</v>
      </c>
      <c r="C373" s="126" t="s">
        <v>27</v>
      </c>
      <c r="D373" s="126" t="s">
        <v>79</v>
      </c>
      <c r="E373" s="126" t="s">
        <v>134</v>
      </c>
      <c r="F373" s="126">
        <v>0</v>
      </c>
      <c r="G373" s="126">
        <v>0</v>
      </c>
      <c r="H373" s="126">
        <v>0</v>
      </c>
      <c r="I373" s="126">
        <v>0</v>
      </c>
    </row>
    <row r="374" spans="1:9">
      <c r="A374" s="126">
        <v>1996</v>
      </c>
      <c r="B374" s="126" t="s">
        <v>138</v>
      </c>
      <c r="C374" s="126" t="s">
        <v>27</v>
      </c>
      <c r="D374" s="126" t="s">
        <v>79</v>
      </c>
      <c r="E374" s="126" t="s">
        <v>135</v>
      </c>
      <c r="F374" s="126">
        <v>0</v>
      </c>
      <c r="G374" s="126">
        <v>0</v>
      </c>
      <c r="H374" s="126">
        <v>0</v>
      </c>
      <c r="I374" s="126">
        <v>0</v>
      </c>
    </row>
    <row r="375" spans="1:9">
      <c r="A375" s="126">
        <v>1996</v>
      </c>
      <c r="B375" s="126" t="s">
        <v>138</v>
      </c>
      <c r="C375" s="126" t="s">
        <v>27</v>
      </c>
      <c r="D375" s="126" t="s">
        <v>79</v>
      </c>
      <c r="E375" s="126" t="s">
        <v>136</v>
      </c>
      <c r="F375" s="126">
        <v>0</v>
      </c>
      <c r="G375" s="126">
        <v>0</v>
      </c>
      <c r="H375" s="126">
        <v>0</v>
      </c>
      <c r="I375" s="126">
        <v>0</v>
      </c>
    </row>
    <row r="376" spans="1:9">
      <c r="A376" s="126">
        <v>1996</v>
      </c>
      <c r="B376" s="126" t="s">
        <v>138</v>
      </c>
      <c r="C376" s="126" t="s">
        <v>27</v>
      </c>
      <c r="D376" s="126" t="s">
        <v>76</v>
      </c>
      <c r="E376" s="126" t="s">
        <v>132</v>
      </c>
      <c r="F376" s="126">
        <v>0</v>
      </c>
      <c r="G376" s="126">
        <v>0</v>
      </c>
      <c r="H376" s="126">
        <v>0</v>
      </c>
      <c r="I376" s="126">
        <v>0</v>
      </c>
    </row>
    <row r="377" spans="1:9">
      <c r="A377" s="126">
        <v>1996</v>
      </c>
      <c r="B377" s="126" t="s">
        <v>138</v>
      </c>
      <c r="C377" s="126" t="s">
        <v>27</v>
      </c>
      <c r="D377" s="126" t="s">
        <v>76</v>
      </c>
      <c r="E377" s="126" t="s">
        <v>133</v>
      </c>
      <c r="F377" s="126">
        <v>0</v>
      </c>
      <c r="G377" s="126">
        <v>0</v>
      </c>
      <c r="H377" s="126">
        <v>0</v>
      </c>
      <c r="I377" s="126">
        <v>0</v>
      </c>
    </row>
    <row r="378" spans="1:9">
      <c r="A378" s="126">
        <v>1996</v>
      </c>
      <c r="B378" s="126" t="s">
        <v>138</v>
      </c>
      <c r="C378" s="126" t="s">
        <v>27</v>
      </c>
      <c r="D378" s="126" t="s">
        <v>76</v>
      </c>
      <c r="E378" s="126" t="s">
        <v>134</v>
      </c>
      <c r="F378" s="126">
        <v>0</v>
      </c>
      <c r="G378" s="126">
        <v>0</v>
      </c>
      <c r="H378" s="126">
        <v>0</v>
      </c>
      <c r="I378" s="126">
        <v>0</v>
      </c>
    </row>
    <row r="379" spans="1:9">
      <c r="A379" s="126">
        <v>1996</v>
      </c>
      <c r="B379" s="126" t="s">
        <v>138</v>
      </c>
      <c r="C379" s="126" t="s">
        <v>27</v>
      </c>
      <c r="D379" s="126" t="s">
        <v>76</v>
      </c>
      <c r="E379" s="126" t="s">
        <v>135</v>
      </c>
      <c r="F379" s="126">
        <v>0</v>
      </c>
      <c r="G379" s="126">
        <v>0</v>
      </c>
      <c r="H379" s="126">
        <v>0</v>
      </c>
      <c r="I379" s="126">
        <v>0</v>
      </c>
    </row>
    <row r="380" spans="1:9">
      <c r="A380" s="126">
        <v>1996</v>
      </c>
      <c r="B380" s="126" t="s">
        <v>138</v>
      </c>
      <c r="C380" s="126" t="s">
        <v>27</v>
      </c>
      <c r="D380" s="126" t="s">
        <v>76</v>
      </c>
      <c r="E380" s="126" t="s">
        <v>136</v>
      </c>
      <c r="F380" s="126">
        <v>0</v>
      </c>
      <c r="G380" s="126">
        <v>0</v>
      </c>
      <c r="H380" s="126">
        <v>0</v>
      </c>
      <c r="I380" s="126">
        <v>0</v>
      </c>
    </row>
    <row r="381" spans="1:9">
      <c r="A381" s="126">
        <v>1996</v>
      </c>
      <c r="B381" s="126" t="s">
        <v>138</v>
      </c>
      <c r="C381" s="126" t="s">
        <v>22</v>
      </c>
      <c r="D381" s="126" t="s">
        <v>77</v>
      </c>
      <c r="E381" s="126" t="s">
        <v>132</v>
      </c>
      <c r="F381" s="126">
        <v>0</v>
      </c>
      <c r="G381" s="126">
        <v>0</v>
      </c>
      <c r="H381" s="126">
        <v>0</v>
      </c>
      <c r="I381" s="126">
        <v>0</v>
      </c>
    </row>
    <row r="382" spans="1:9">
      <c r="A382" s="126">
        <v>1996</v>
      </c>
      <c r="B382" s="126" t="s">
        <v>138</v>
      </c>
      <c r="C382" s="126" t="s">
        <v>22</v>
      </c>
      <c r="D382" s="126" t="s">
        <v>77</v>
      </c>
      <c r="E382" s="126" t="s">
        <v>133</v>
      </c>
      <c r="F382" s="126">
        <v>0</v>
      </c>
      <c r="G382" s="126">
        <v>0</v>
      </c>
      <c r="H382" s="126">
        <v>0</v>
      </c>
      <c r="I382" s="126">
        <v>0</v>
      </c>
    </row>
    <row r="383" spans="1:9">
      <c r="A383" s="126">
        <v>1996</v>
      </c>
      <c r="B383" s="126" t="s">
        <v>138</v>
      </c>
      <c r="C383" s="126" t="s">
        <v>22</v>
      </c>
      <c r="D383" s="126" t="s">
        <v>77</v>
      </c>
      <c r="E383" s="126" t="s">
        <v>134</v>
      </c>
      <c r="F383" s="126">
        <v>0</v>
      </c>
      <c r="G383" s="126">
        <v>0</v>
      </c>
      <c r="H383" s="126">
        <v>0</v>
      </c>
      <c r="I383" s="126">
        <v>0</v>
      </c>
    </row>
    <row r="384" spans="1:9">
      <c r="A384" s="126">
        <v>1996</v>
      </c>
      <c r="B384" s="126" t="s">
        <v>138</v>
      </c>
      <c r="C384" s="126" t="s">
        <v>22</v>
      </c>
      <c r="D384" s="126" t="s">
        <v>77</v>
      </c>
      <c r="E384" s="126" t="s">
        <v>135</v>
      </c>
      <c r="F384" s="126">
        <v>0</v>
      </c>
      <c r="G384" s="126">
        <v>0</v>
      </c>
      <c r="H384" s="126">
        <v>0</v>
      </c>
      <c r="I384" s="126">
        <v>0</v>
      </c>
    </row>
    <row r="385" spans="1:9">
      <c r="A385" s="126">
        <v>1996</v>
      </c>
      <c r="B385" s="126" t="s">
        <v>138</v>
      </c>
      <c r="C385" s="126" t="s">
        <v>22</v>
      </c>
      <c r="D385" s="126" t="s">
        <v>79</v>
      </c>
      <c r="E385" s="126" t="s">
        <v>132</v>
      </c>
      <c r="F385" s="126">
        <v>0</v>
      </c>
      <c r="G385" s="126">
        <v>0</v>
      </c>
      <c r="H385" s="126">
        <v>0</v>
      </c>
      <c r="I385" s="126">
        <v>0</v>
      </c>
    </row>
    <row r="386" spans="1:9">
      <c r="A386" s="126">
        <v>1996</v>
      </c>
      <c r="B386" s="126" t="s">
        <v>138</v>
      </c>
      <c r="C386" s="126" t="s">
        <v>22</v>
      </c>
      <c r="D386" s="126" t="s">
        <v>79</v>
      </c>
      <c r="E386" s="126" t="s">
        <v>133</v>
      </c>
      <c r="F386" s="126">
        <v>0</v>
      </c>
      <c r="G386" s="126">
        <v>0</v>
      </c>
      <c r="H386" s="126">
        <v>0</v>
      </c>
      <c r="I386" s="126">
        <v>0</v>
      </c>
    </row>
    <row r="387" spans="1:9">
      <c r="A387" s="126">
        <v>1996</v>
      </c>
      <c r="B387" s="126" t="s">
        <v>138</v>
      </c>
      <c r="C387" s="126" t="s">
        <v>22</v>
      </c>
      <c r="D387" s="126" t="s">
        <v>79</v>
      </c>
      <c r="E387" s="126" t="s">
        <v>134</v>
      </c>
      <c r="F387" s="126">
        <v>0</v>
      </c>
      <c r="G387" s="126">
        <v>0</v>
      </c>
      <c r="H387" s="126">
        <v>0</v>
      </c>
      <c r="I387" s="126">
        <v>0</v>
      </c>
    </row>
    <row r="388" spans="1:9">
      <c r="A388" s="126">
        <v>1996</v>
      </c>
      <c r="B388" s="126" t="s">
        <v>138</v>
      </c>
      <c r="C388" s="126" t="s">
        <v>22</v>
      </c>
      <c r="D388" s="126" t="s">
        <v>79</v>
      </c>
      <c r="E388" s="126" t="s">
        <v>135</v>
      </c>
      <c r="F388" s="126">
        <v>0</v>
      </c>
      <c r="G388" s="126">
        <v>0</v>
      </c>
      <c r="H388" s="126">
        <v>0</v>
      </c>
      <c r="I388" s="126">
        <v>0</v>
      </c>
    </row>
    <row r="389" spans="1:9">
      <c r="A389" s="126">
        <v>1996</v>
      </c>
      <c r="B389" s="126" t="s">
        <v>138</v>
      </c>
      <c r="C389" s="126" t="s">
        <v>22</v>
      </c>
      <c r="D389" s="126" t="s">
        <v>79</v>
      </c>
      <c r="E389" s="126" t="s">
        <v>136</v>
      </c>
      <c r="F389" s="126">
        <v>0</v>
      </c>
      <c r="G389" s="126">
        <v>0</v>
      </c>
      <c r="H389" s="126">
        <v>0</v>
      </c>
      <c r="I389" s="126">
        <v>0</v>
      </c>
    </row>
    <row r="390" spans="1:9">
      <c r="A390" s="126">
        <v>1996</v>
      </c>
      <c r="B390" s="126" t="s">
        <v>138</v>
      </c>
      <c r="C390" s="126" t="s">
        <v>22</v>
      </c>
      <c r="D390" s="126" t="s">
        <v>76</v>
      </c>
      <c r="E390" s="126" t="s">
        <v>132</v>
      </c>
      <c r="F390" s="126">
        <v>0</v>
      </c>
      <c r="G390" s="126">
        <v>0</v>
      </c>
      <c r="H390" s="126">
        <v>0</v>
      </c>
      <c r="I390" s="126">
        <v>0</v>
      </c>
    </row>
    <row r="391" spans="1:9">
      <c r="A391" s="126">
        <v>1996</v>
      </c>
      <c r="B391" s="126" t="s">
        <v>138</v>
      </c>
      <c r="C391" s="126" t="s">
        <v>22</v>
      </c>
      <c r="D391" s="126" t="s">
        <v>76</v>
      </c>
      <c r="E391" s="126" t="s">
        <v>133</v>
      </c>
      <c r="F391" s="126">
        <v>0</v>
      </c>
      <c r="G391" s="126">
        <v>0</v>
      </c>
      <c r="H391" s="126">
        <v>0</v>
      </c>
      <c r="I391" s="126">
        <v>0</v>
      </c>
    </row>
    <row r="392" spans="1:9">
      <c r="A392" s="126">
        <v>1996</v>
      </c>
      <c r="B392" s="126" t="s">
        <v>138</v>
      </c>
      <c r="C392" s="126" t="s">
        <v>22</v>
      </c>
      <c r="D392" s="126" t="s">
        <v>76</v>
      </c>
      <c r="E392" s="126" t="s">
        <v>134</v>
      </c>
      <c r="F392" s="126">
        <v>0</v>
      </c>
      <c r="G392" s="126">
        <v>0</v>
      </c>
      <c r="H392" s="126">
        <v>0</v>
      </c>
      <c r="I392" s="126">
        <v>0</v>
      </c>
    </row>
    <row r="393" spans="1:9">
      <c r="A393" s="126">
        <v>1996</v>
      </c>
      <c r="B393" s="126" t="s">
        <v>138</v>
      </c>
      <c r="C393" s="126" t="s">
        <v>22</v>
      </c>
      <c r="D393" s="126" t="s">
        <v>76</v>
      </c>
      <c r="E393" s="126" t="s">
        <v>135</v>
      </c>
      <c r="F393" s="126">
        <v>0</v>
      </c>
      <c r="G393" s="126">
        <v>0</v>
      </c>
      <c r="H393" s="126">
        <v>0</v>
      </c>
      <c r="I393" s="126">
        <v>0</v>
      </c>
    </row>
    <row r="394" spans="1:9">
      <c r="A394" s="126">
        <v>1996</v>
      </c>
      <c r="B394" s="126" t="s">
        <v>138</v>
      </c>
      <c r="C394" s="126" t="s">
        <v>22</v>
      </c>
      <c r="D394" s="126" t="s">
        <v>76</v>
      </c>
      <c r="E394" s="126" t="s">
        <v>136</v>
      </c>
      <c r="F394" s="126">
        <v>0</v>
      </c>
      <c r="G394" s="126">
        <v>0</v>
      </c>
      <c r="H394" s="126">
        <v>0</v>
      </c>
      <c r="I394" s="126">
        <v>0</v>
      </c>
    </row>
    <row r="395" spans="1:9">
      <c r="A395" s="126">
        <v>1996</v>
      </c>
      <c r="B395" s="126" t="s">
        <v>138</v>
      </c>
      <c r="C395" s="126" t="s">
        <v>23</v>
      </c>
      <c r="D395" s="126" t="s">
        <v>77</v>
      </c>
      <c r="E395" s="126" t="s">
        <v>132</v>
      </c>
      <c r="F395" s="126">
        <v>0</v>
      </c>
      <c r="G395" s="126">
        <v>0</v>
      </c>
      <c r="H395" s="126">
        <v>0</v>
      </c>
      <c r="I395" s="126">
        <v>0</v>
      </c>
    </row>
    <row r="396" spans="1:9">
      <c r="A396" s="126">
        <v>1996</v>
      </c>
      <c r="B396" s="126" t="s">
        <v>138</v>
      </c>
      <c r="C396" s="126" t="s">
        <v>23</v>
      </c>
      <c r="D396" s="126" t="s">
        <v>77</v>
      </c>
      <c r="E396" s="126" t="s">
        <v>133</v>
      </c>
      <c r="F396" s="126">
        <v>0</v>
      </c>
      <c r="G396" s="126">
        <v>0</v>
      </c>
      <c r="H396" s="126">
        <v>0</v>
      </c>
      <c r="I396" s="126">
        <v>0</v>
      </c>
    </row>
    <row r="397" spans="1:9">
      <c r="A397" s="126">
        <v>1996</v>
      </c>
      <c r="B397" s="126" t="s">
        <v>138</v>
      </c>
      <c r="C397" s="126" t="s">
        <v>23</v>
      </c>
      <c r="D397" s="126" t="s">
        <v>77</v>
      </c>
      <c r="E397" s="126" t="s">
        <v>134</v>
      </c>
      <c r="F397" s="126">
        <v>0</v>
      </c>
      <c r="G397" s="126">
        <v>0</v>
      </c>
      <c r="H397" s="126">
        <v>0</v>
      </c>
      <c r="I397" s="126">
        <v>0</v>
      </c>
    </row>
    <row r="398" spans="1:9">
      <c r="A398" s="126">
        <v>1996</v>
      </c>
      <c r="B398" s="126" t="s">
        <v>138</v>
      </c>
      <c r="C398" s="126" t="s">
        <v>23</v>
      </c>
      <c r="D398" s="126" t="s">
        <v>77</v>
      </c>
      <c r="E398" s="126" t="s">
        <v>135</v>
      </c>
      <c r="F398" s="126">
        <v>0</v>
      </c>
      <c r="G398" s="126">
        <v>0</v>
      </c>
      <c r="H398" s="126">
        <v>0</v>
      </c>
      <c r="I398" s="126">
        <v>0</v>
      </c>
    </row>
    <row r="399" spans="1:9">
      <c r="A399" s="126">
        <v>1996</v>
      </c>
      <c r="B399" s="126" t="s">
        <v>138</v>
      </c>
      <c r="C399" s="126" t="s">
        <v>23</v>
      </c>
      <c r="D399" s="126" t="s">
        <v>79</v>
      </c>
      <c r="E399" s="126" t="s">
        <v>132</v>
      </c>
      <c r="F399" s="126">
        <v>0</v>
      </c>
      <c r="G399" s="126">
        <v>0</v>
      </c>
      <c r="H399" s="126">
        <v>0</v>
      </c>
      <c r="I399" s="126">
        <v>0</v>
      </c>
    </row>
    <row r="400" spans="1:9">
      <c r="A400" s="126">
        <v>1996</v>
      </c>
      <c r="B400" s="126" t="s">
        <v>138</v>
      </c>
      <c r="C400" s="126" t="s">
        <v>23</v>
      </c>
      <c r="D400" s="126" t="s">
        <v>79</v>
      </c>
      <c r="E400" s="126" t="s">
        <v>133</v>
      </c>
      <c r="F400" s="126">
        <v>0</v>
      </c>
      <c r="G400" s="126">
        <v>0</v>
      </c>
      <c r="H400" s="126">
        <v>0</v>
      </c>
      <c r="I400" s="126">
        <v>0</v>
      </c>
    </row>
    <row r="401" spans="1:9">
      <c r="A401" s="126">
        <v>1996</v>
      </c>
      <c r="B401" s="126" t="s">
        <v>138</v>
      </c>
      <c r="C401" s="126" t="s">
        <v>23</v>
      </c>
      <c r="D401" s="126" t="s">
        <v>79</v>
      </c>
      <c r="E401" s="126" t="s">
        <v>134</v>
      </c>
      <c r="F401" s="126">
        <v>0</v>
      </c>
      <c r="G401" s="126">
        <v>0</v>
      </c>
      <c r="H401" s="126">
        <v>0</v>
      </c>
      <c r="I401" s="126">
        <v>0</v>
      </c>
    </row>
    <row r="402" spans="1:9">
      <c r="A402" s="126">
        <v>1996</v>
      </c>
      <c r="B402" s="126" t="s">
        <v>138</v>
      </c>
      <c r="C402" s="126" t="s">
        <v>23</v>
      </c>
      <c r="D402" s="126" t="s">
        <v>79</v>
      </c>
      <c r="E402" s="126" t="s">
        <v>135</v>
      </c>
      <c r="F402" s="126">
        <v>0</v>
      </c>
      <c r="G402" s="126">
        <v>0</v>
      </c>
      <c r="H402" s="126">
        <v>0</v>
      </c>
      <c r="I402" s="126">
        <v>0</v>
      </c>
    </row>
    <row r="403" spans="1:9">
      <c r="A403" s="126">
        <v>1996</v>
      </c>
      <c r="B403" s="126" t="s">
        <v>138</v>
      </c>
      <c r="C403" s="126" t="s">
        <v>23</v>
      </c>
      <c r="D403" s="126" t="s">
        <v>79</v>
      </c>
      <c r="E403" s="126" t="s">
        <v>136</v>
      </c>
      <c r="F403" s="126">
        <v>0</v>
      </c>
      <c r="G403" s="126">
        <v>0</v>
      </c>
      <c r="H403" s="126">
        <v>0</v>
      </c>
      <c r="I403" s="126">
        <v>0</v>
      </c>
    </row>
    <row r="404" spans="1:9">
      <c r="A404" s="126">
        <v>1996</v>
      </c>
      <c r="B404" s="126" t="s">
        <v>138</v>
      </c>
      <c r="C404" s="126" t="s">
        <v>23</v>
      </c>
      <c r="D404" s="126" t="s">
        <v>76</v>
      </c>
      <c r="E404" s="126" t="s">
        <v>132</v>
      </c>
      <c r="F404" s="126">
        <v>0</v>
      </c>
      <c r="G404" s="126">
        <v>0</v>
      </c>
      <c r="H404" s="126">
        <v>0</v>
      </c>
      <c r="I404" s="126">
        <v>0</v>
      </c>
    </row>
    <row r="405" spans="1:9">
      <c r="A405" s="126">
        <v>1996</v>
      </c>
      <c r="B405" s="126" t="s">
        <v>138</v>
      </c>
      <c r="C405" s="126" t="s">
        <v>23</v>
      </c>
      <c r="D405" s="126" t="s">
        <v>76</v>
      </c>
      <c r="E405" s="126" t="s">
        <v>133</v>
      </c>
      <c r="F405" s="126">
        <v>0</v>
      </c>
      <c r="G405" s="126">
        <v>0</v>
      </c>
      <c r="H405" s="126">
        <v>0</v>
      </c>
      <c r="I405" s="126">
        <v>0</v>
      </c>
    </row>
    <row r="406" spans="1:9">
      <c r="A406" s="126">
        <v>1996</v>
      </c>
      <c r="B406" s="126" t="s">
        <v>138</v>
      </c>
      <c r="C406" s="126" t="s">
        <v>23</v>
      </c>
      <c r="D406" s="126" t="s">
        <v>76</v>
      </c>
      <c r="E406" s="126" t="s">
        <v>134</v>
      </c>
      <c r="F406" s="126">
        <v>0</v>
      </c>
      <c r="G406" s="126">
        <v>0</v>
      </c>
      <c r="H406" s="126">
        <v>0</v>
      </c>
      <c r="I406" s="126">
        <v>0</v>
      </c>
    </row>
    <row r="407" spans="1:9">
      <c r="A407" s="126">
        <v>1996</v>
      </c>
      <c r="B407" s="126" t="s">
        <v>138</v>
      </c>
      <c r="C407" s="126" t="s">
        <v>23</v>
      </c>
      <c r="D407" s="126" t="s">
        <v>76</v>
      </c>
      <c r="E407" s="126" t="s">
        <v>135</v>
      </c>
      <c r="F407" s="126">
        <v>0</v>
      </c>
      <c r="G407" s="126">
        <v>0</v>
      </c>
      <c r="H407" s="126">
        <v>0</v>
      </c>
      <c r="I407" s="126">
        <v>0</v>
      </c>
    </row>
    <row r="408" spans="1:9">
      <c r="A408" s="126">
        <v>1996</v>
      </c>
      <c r="B408" s="126" t="s">
        <v>138</v>
      </c>
      <c r="C408" s="126" t="s">
        <v>23</v>
      </c>
      <c r="D408" s="126" t="s">
        <v>76</v>
      </c>
      <c r="E408" s="126" t="s">
        <v>136</v>
      </c>
      <c r="F408" s="126">
        <v>0</v>
      </c>
      <c r="G408" s="126">
        <v>0</v>
      </c>
      <c r="H408" s="126">
        <v>0</v>
      </c>
      <c r="I408" s="126">
        <v>0</v>
      </c>
    </row>
    <row r="409" spans="1:9">
      <c r="A409" s="126">
        <v>1996</v>
      </c>
      <c r="B409" s="126" t="s">
        <v>138</v>
      </c>
      <c r="C409" s="126" t="s">
        <v>25</v>
      </c>
      <c r="D409" s="126" t="s">
        <v>77</v>
      </c>
      <c r="E409" s="126" t="s">
        <v>132</v>
      </c>
      <c r="F409" s="126">
        <v>0</v>
      </c>
      <c r="G409" s="126">
        <v>0</v>
      </c>
      <c r="H409" s="126">
        <v>0</v>
      </c>
      <c r="I409" s="126">
        <v>0</v>
      </c>
    </row>
    <row r="410" spans="1:9">
      <c r="A410" s="126">
        <v>1996</v>
      </c>
      <c r="B410" s="126" t="s">
        <v>138</v>
      </c>
      <c r="C410" s="126" t="s">
        <v>25</v>
      </c>
      <c r="D410" s="126" t="s">
        <v>77</v>
      </c>
      <c r="E410" s="126" t="s">
        <v>133</v>
      </c>
      <c r="F410" s="126">
        <v>0</v>
      </c>
      <c r="G410" s="126">
        <v>0</v>
      </c>
      <c r="H410" s="126">
        <v>0</v>
      </c>
      <c r="I410" s="126">
        <v>0</v>
      </c>
    </row>
    <row r="411" spans="1:9">
      <c r="A411" s="126">
        <v>1996</v>
      </c>
      <c r="B411" s="126" t="s">
        <v>138</v>
      </c>
      <c r="C411" s="126" t="s">
        <v>25</v>
      </c>
      <c r="D411" s="126" t="s">
        <v>77</v>
      </c>
      <c r="E411" s="126" t="s">
        <v>134</v>
      </c>
      <c r="F411" s="126">
        <v>0</v>
      </c>
      <c r="G411" s="126">
        <v>0</v>
      </c>
      <c r="H411" s="126">
        <v>0</v>
      </c>
      <c r="I411" s="126">
        <v>0</v>
      </c>
    </row>
    <row r="412" spans="1:9">
      <c r="A412" s="126">
        <v>1996</v>
      </c>
      <c r="B412" s="126" t="s">
        <v>138</v>
      </c>
      <c r="C412" s="126" t="s">
        <v>25</v>
      </c>
      <c r="D412" s="126" t="s">
        <v>77</v>
      </c>
      <c r="E412" s="126" t="s">
        <v>135</v>
      </c>
      <c r="F412" s="126">
        <v>0</v>
      </c>
      <c r="G412" s="126">
        <v>0</v>
      </c>
      <c r="H412" s="126">
        <v>0</v>
      </c>
      <c r="I412" s="126">
        <v>0</v>
      </c>
    </row>
    <row r="413" spans="1:9">
      <c r="A413" s="126">
        <v>1996</v>
      </c>
      <c r="B413" s="126" t="s">
        <v>138</v>
      </c>
      <c r="C413" s="126" t="s">
        <v>25</v>
      </c>
      <c r="D413" s="126" t="s">
        <v>79</v>
      </c>
      <c r="E413" s="126" t="s">
        <v>132</v>
      </c>
      <c r="F413" s="126">
        <v>0</v>
      </c>
      <c r="G413" s="126">
        <v>0</v>
      </c>
      <c r="H413" s="126">
        <v>0</v>
      </c>
      <c r="I413" s="126">
        <v>0</v>
      </c>
    </row>
    <row r="414" spans="1:9">
      <c r="A414" s="126">
        <v>1996</v>
      </c>
      <c r="B414" s="126" t="s">
        <v>138</v>
      </c>
      <c r="C414" s="126" t="s">
        <v>25</v>
      </c>
      <c r="D414" s="126" t="s">
        <v>79</v>
      </c>
      <c r="E414" s="126" t="s">
        <v>133</v>
      </c>
      <c r="F414" s="126">
        <v>0</v>
      </c>
      <c r="G414" s="126">
        <v>0</v>
      </c>
      <c r="H414" s="126">
        <v>0</v>
      </c>
      <c r="I414" s="126">
        <v>0</v>
      </c>
    </row>
    <row r="415" spans="1:9">
      <c r="A415" s="126">
        <v>1996</v>
      </c>
      <c r="B415" s="126" t="s">
        <v>138</v>
      </c>
      <c r="C415" s="126" t="s">
        <v>25</v>
      </c>
      <c r="D415" s="126" t="s">
        <v>79</v>
      </c>
      <c r="E415" s="126" t="s">
        <v>134</v>
      </c>
      <c r="F415" s="126">
        <v>0</v>
      </c>
      <c r="G415" s="126">
        <v>0</v>
      </c>
      <c r="H415" s="126">
        <v>0</v>
      </c>
      <c r="I415" s="126">
        <v>0</v>
      </c>
    </row>
    <row r="416" spans="1:9">
      <c r="A416" s="126">
        <v>1996</v>
      </c>
      <c r="B416" s="126" t="s">
        <v>138</v>
      </c>
      <c r="C416" s="126" t="s">
        <v>25</v>
      </c>
      <c r="D416" s="126" t="s">
        <v>79</v>
      </c>
      <c r="E416" s="126" t="s">
        <v>135</v>
      </c>
      <c r="F416" s="126">
        <v>0</v>
      </c>
      <c r="G416" s="126">
        <v>0</v>
      </c>
      <c r="H416" s="126">
        <v>0</v>
      </c>
      <c r="I416" s="126">
        <v>0</v>
      </c>
    </row>
    <row r="417" spans="1:9">
      <c r="A417" s="126">
        <v>1996</v>
      </c>
      <c r="B417" s="126" t="s">
        <v>138</v>
      </c>
      <c r="C417" s="126" t="s">
        <v>25</v>
      </c>
      <c r="D417" s="126" t="s">
        <v>79</v>
      </c>
      <c r="E417" s="126" t="s">
        <v>136</v>
      </c>
      <c r="F417" s="126">
        <v>0</v>
      </c>
      <c r="G417" s="126">
        <v>0</v>
      </c>
      <c r="H417" s="126">
        <v>0</v>
      </c>
      <c r="I417" s="126">
        <v>0</v>
      </c>
    </row>
    <row r="418" spans="1:9">
      <c r="A418" s="126">
        <v>1996</v>
      </c>
      <c r="B418" s="126" t="s">
        <v>138</v>
      </c>
      <c r="C418" s="126" t="s">
        <v>25</v>
      </c>
      <c r="D418" s="126" t="s">
        <v>76</v>
      </c>
      <c r="E418" s="126" t="s">
        <v>132</v>
      </c>
      <c r="F418" s="126">
        <v>0</v>
      </c>
      <c r="G418" s="126">
        <v>0</v>
      </c>
      <c r="H418" s="126">
        <v>0</v>
      </c>
      <c r="I418" s="126">
        <v>0</v>
      </c>
    </row>
    <row r="419" spans="1:9">
      <c r="A419" s="126">
        <v>1996</v>
      </c>
      <c r="B419" s="126" t="s">
        <v>138</v>
      </c>
      <c r="C419" s="126" t="s">
        <v>25</v>
      </c>
      <c r="D419" s="126" t="s">
        <v>76</v>
      </c>
      <c r="E419" s="126" t="s">
        <v>133</v>
      </c>
      <c r="F419" s="126">
        <v>0</v>
      </c>
      <c r="G419" s="126">
        <v>0</v>
      </c>
      <c r="H419" s="126">
        <v>0</v>
      </c>
      <c r="I419" s="126">
        <v>0</v>
      </c>
    </row>
    <row r="420" spans="1:9">
      <c r="A420" s="126">
        <v>1996</v>
      </c>
      <c r="B420" s="126" t="s">
        <v>138</v>
      </c>
      <c r="C420" s="126" t="s">
        <v>25</v>
      </c>
      <c r="D420" s="126" t="s">
        <v>76</v>
      </c>
      <c r="E420" s="126" t="s">
        <v>134</v>
      </c>
      <c r="F420" s="126">
        <v>0</v>
      </c>
      <c r="G420" s="126">
        <v>0</v>
      </c>
      <c r="H420" s="126">
        <v>0</v>
      </c>
      <c r="I420" s="126">
        <v>0</v>
      </c>
    </row>
    <row r="421" spans="1:9">
      <c r="A421" s="126">
        <v>1996</v>
      </c>
      <c r="B421" s="126" t="s">
        <v>138</v>
      </c>
      <c r="C421" s="126" t="s">
        <v>25</v>
      </c>
      <c r="D421" s="126" t="s">
        <v>76</v>
      </c>
      <c r="E421" s="126" t="s">
        <v>135</v>
      </c>
      <c r="F421" s="126">
        <v>0</v>
      </c>
      <c r="G421" s="126">
        <v>0</v>
      </c>
      <c r="H421" s="126">
        <v>0</v>
      </c>
      <c r="I421" s="126">
        <v>0</v>
      </c>
    </row>
    <row r="422" spans="1:9">
      <c r="A422" s="126">
        <v>1996</v>
      </c>
      <c r="B422" s="126" t="s">
        <v>138</v>
      </c>
      <c r="C422" s="126" t="s">
        <v>25</v>
      </c>
      <c r="D422" s="126" t="s">
        <v>76</v>
      </c>
      <c r="E422" s="126" t="s">
        <v>136</v>
      </c>
      <c r="F422" s="126">
        <v>0</v>
      </c>
      <c r="G422" s="126">
        <v>0</v>
      </c>
      <c r="H422" s="126">
        <v>0</v>
      </c>
      <c r="I422" s="126">
        <v>0</v>
      </c>
    </row>
    <row r="423" spans="1:9">
      <c r="A423" s="126">
        <v>1996</v>
      </c>
      <c r="B423" s="126" t="s">
        <v>138</v>
      </c>
      <c r="C423" s="126" t="s">
        <v>21</v>
      </c>
      <c r="D423" s="126" t="s">
        <v>77</v>
      </c>
      <c r="E423" s="126" t="s">
        <v>132</v>
      </c>
      <c r="F423" s="126">
        <v>0</v>
      </c>
      <c r="G423" s="126">
        <v>0</v>
      </c>
      <c r="H423" s="126">
        <v>0</v>
      </c>
      <c r="I423" s="126">
        <v>0</v>
      </c>
    </row>
    <row r="424" spans="1:9">
      <c r="A424" s="126">
        <v>1996</v>
      </c>
      <c r="B424" s="126" t="s">
        <v>138</v>
      </c>
      <c r="C424" s="126" t="s">
        <v>21</v>
      </c>
      <c r="D424" s="126" t="s">
        <v>77</v>
      </c>
      <c r="E424" s="126" t="s">
        <v>133</v>
      </c>
      <c r="F424" s="126">
        <v>0</v>
      </c>
      <c r="G424" s="126">
        <v>0</v>
      </c>
      <c r="H424" s="126">
        <v>0</v>
      </c>
      <c r="I424" s="126">
        <v>0</v>
      </c>
    </row>
    <row r="425" spans="1:9">
      <c r="A425" s="126">
        <v>1996</v>
      </c>
      <c r="B425" s="126" t="s">
        <v>138</v>
      </c>
      <c r="C425" s="126" t="s">
        <v>21</v>
      </c>
      <c r="D425" s="126" t="s">
        <v>77</v>
      </c>
      <c r="E425" s="126" t="s">
        <v>134</v>
      </c>
      <c r="F425" s="126">
        <v>0</v>
      </c>
      <c r="G425" s="126">
        <v>0</v>
      </c>
      <c r="H425" s="126">
        <v>0</v>
      </c>
      <c r="I425" s="126">
        <v>0</v>
      </c>
    </row>
    <row r="426" spans="1:9">
      <c r="A426" s="126">
        <v>1996</v>
      </c>
      <c r="B426" s="126" t="s">
        <v>138</v>
      </c>
      <c r="C426" s="126" t="s">
        <v>21</v>
      </c>
      <c r="D426" s="126" t="s">
        <v>77</v>
      </c>
      <c r="E426" s="126" t="s">
        <v>135</v>
      </c>
      <c r="F426" s="126">
        <v>0</v>
      </c>
      <c r="G426" s="126">
        <v>0</v>
      </c>
      <c r="H426" s="126">
        <v>0</v>
      </c>
      <c r="I426" s="126">
        <v>0</v>
      </c>
    </row>
    <row r="427" spans="1:9">
      <c r="A427" s="126">
        <v>1996</v>
      </c>
      <c r="B427" s="126" t="s">
        <v>138</v>
      </c>
      <c r="C427" s="126" t="s">
        <v>21</v>
      </c>
      <c r="D427" s="126" t="s">
        <v>79</v>
      </c>
      <c r="E427" s="126" t="s">
        <v>132</v>
      </c>
      <c r="F427" s="126">
        <v>0</v>
      </c>
      <c r="G427" s="126">
        <v>0</v>
      </c>
      <c r="H427" s="126">
        <v>0</v>
      </c>
      <c r="I427" s="126">
        <v>0</v>
      </c>
    </row>
    <row r="428" spans="1:9">
      <c r="A428" s="126">
        <v>1996</v>
      </c>
      <c r="B428" s="126" t="s">
        <v>138</v>
      </c>
      <c r="C428" s="126" t="s">
        <v>21</v>
      </c>
      <c r="D428" s="126" t="s">
        <v>79</v>
      </c>
      <c r="E428" s="126" t="s">
        <v>133</v>
      </c>
      <c r="F428" s="126">
        <v>0</v>
      </c>
      <c r="G428" s="126">
        <v>0</v>
      </c>
      <c r="H428" s="126">
        <v>0</v>
      </c>
      <c r="I428" s="126">
        <v>0</v>
      </c>
    </row>
    <row r="429" spans="1:9">
      <c r="A429" s="126">
        <v>1996</v>
      </c>
      <c r="B429" s="126" t="s">
        <v>138</v>
      </c>
      <c r="C429" s="126" t="s">
        <v>21</v>
      </c>
      <c r="D429" s="126" t="s">
        <v>79</v>
      </c>
      <c r="E429" s="126" t="s">
        <v>134</v>
      </c>
      <c r="F429" s="126">
        <v>0</v>
      </c>
      <c r="G429" s="126">
        <v>0</v>
      </c>
      <c r="H429" s="126">
        <v>0</v>
      </c>
      <c r="I429" s="126">
        <v>0</v>
      </c>
    </row>
    <row r="430" spans="1:9">
      <c r="A430" s="126">
        <v>1996</v>
      </c>
      <c r="B430" s="126" t="s">
        <v>138</v>
      </c>
      <c r="C430" s="126" t="s">
        <v>21</v>
      </c>
      <c r="D430" s="126" t="s">
        <v>79</v>
      </c>
      <c r="E430" s="126" t="s">
        <v>135</v>
      </c>
      <c r="F430" s="126">
        <v>0</v>
      </c>
      <c r="G430" s="126">
        <v>0</v>
      </c>
      <c r="H430" s="126">
        <v>0</v>
      </c>
      <c r="I430" s="126">
        <v>0</v>
      </c>
    </row>
    <row r="431" spans="1:9">
      <c r="A431" s="126">
        <v>1996</v>
      </c>
      <c r="B431" s="126" t="s">
        <v>138</v>
      </c>
      <c r="C431" s="126" t="s">
        <v>21</v>
      </c>
      <c r="D431" s="126" t="s">
        <v>79</v>
      </c>
      <c r="E431" s="126" t="s">
        <v>136</v>
      </c>
      <c r="F431" s="126">
        <v>0</v>
      </c>
      <c r="G431" s="126">
        <v>0</v>
      </c>
      <c r="H431" s="126">
        <v>0</v>
      </c>
      <c r="I431" s="126">
        <v>0</v>
      </c>
    </row>
    <row r="432" spans="1:9">
      <c r="A432" s="126">
        <v>1996</v>
      </c>
      <c r="B432" s="126" t="s">
        <v>138</v>
      </c>
      <c r="C432" s="126" t="s">
        <v>21</v>
      </c>
      <c r="D432" s="126" t="s">
        <v>76</v>
      </c>
      <c r="E432" s="126" t="s">
        <v>132</v>
      </c>
      <c r="F432" s="126">
        <v>0</v>
      </c>
      <c r="G432" s="126">
        <v>0</v>
      </c>
      <c r="H432" s="126">
        <v>0</v>
      </c>
      <c r="I432" s="126">
        <v>0</v>
      </c>
    </row>
    <row r="433" spans="1:9">
      <c r="A433" s="126">
        <v>1996</v>
      </c>
      <c r="B433" s="126" t="s">
        <v>138</v>
      </c>
      <c r="C433" s="126" t="s">
        <v>21</v>
      </c>
      <c r="D433" s="126" t="s">
        <v>76</v>
      </c>
      <c r="E433" s="126" t="s">
        <v>133</v>
      </c>
      <c r="F433" s="126">
        <v>0</v>
      </c>
      <c r="G433" s="126">
        <v>0</v>
      </c>
      <c r="H433" s="126">
        <v>0</v>
      </c>
      <c r="I433" s="126">
        <v>0</v>
      </c>
    </row>
    <row r="434" spans="1:9">
      <c r="A434" s="126">
        <v>1996</v>
      </c>
      <c r="B434" s="126" t="s">
        <v>138</v>
      </c>
      <c r="C434" s="126" t="s">
        <v>21</v>
      </c>
      <c r="D434" s="126" t="s">
        <v>76</v>
      </c>
      <c r="E434" s="126" t="s">
        <v>134</v>
      </c>
      <c r="F434" s="126">
        <v>0</v>
      </c>
      <c r="G434" s="126">
        <v>0</v>
      </c>
      <c r="H434" s="126">
        <v>0</v>
      </c>
      <c r="I434" s="126">
        <v>0</v>
      </c>
    </row>
    <row r="435" spans="1:9">
      <c r="A435" s="126">
        <v>1996</v>
      </c>
      <c r="B435" s="126" t="s">
        <v>138</v>
      </c>
      <c r="C435" s="126" t="s">
        <v>21</v>
      </c>
      <c r="D435" s="126" t="s">
        <v>76</v>
      </c>
      <c r="E435" s="126" t="s">
        <v>135</v>
      </c>
      <c r="F435" s="126">
        <v>0</v>
      </c>
      <c r="G435" s="126">
        <v>0</v>
      </c>
      <c r="H435" s="126">
        <v>0</v>
      </c>
      <c r="I435" s="126">
        <v>0</v>
      </c>
    </row>
    <row r="436" spans="1:9">
      <c r="A436" s="126">
        <v>1996</v>
      </c>
      <c r="B436" s="126" t="s">
        <v>138</v>
      </c>
      <c r="C436" s="126" t="s">
        <v>21</v>
      </c>
      <c r="D436" s="126" t="s">
        <v>76</v>
      </c>
      <c r="E436" s="126" t="s">
        <v>136</v>
      </c>
      <c r="F436" s="126">
        <v>0</v>
      </c>
      <c r="G436" s="126">
        <v>0</v>
      </c>
      <c r="H436" s="126">
        <v>0</v>
      </c>
      <c r="I436" s="126">
        <v>0</v>
      </c>
    </row>
    <row r="437" spans="1:9">
      <c r="A437" s="126">
        <v>1996</v>
      </c>
      <c r="B437" s="126" t="s">
        <v>138</v>
      </c>
      <c r="C437" s="126" t="s">
        <v>24</v>
      </c>
      <c r="D437" s="126" t="s">
        <v>77</v>
      </c>
      <c r="E437" s="126" t="s">
        <v>132</v>
      </c>
      <c r="F437" s="126">
        <v>0</v>
      </c>
      <c r="G437" s="126">
        <v>0</v>
      </c>
      <c r="H437" s="126">
        <v>0</v>
      </c>
      <c r="I437" s="126">
        <v>0</v>
      </c>
    </row>
    <row r="438" spans="1:9">
      <c r="A438" s="126">
        <v>1996</v>
      </c>
      <c r="B438" s="126" t="s">
        <v>138</v>
      </c>
      <c r="C438" s="126" t="s">
        <v>24</v>
      </c>
      <c r="D438" s="126" t="s">
        <v>77</v>
      </c>
      <c r="E438" s="126" t="s">
        <v>133</v>
      </c>
      <c r="F438" s="126">
        <v>0</v>
      </c>
      <c r="G438" s="126">
        <v>0</v>
      </c>
      <c r="H438" s="126">
        <v>0</v>
      </c>
      <c r="I438" s="126">
        <v>0</v>
      </c>
    </row>
    <row r="439" spans="1:9">
      <c r="A439" s="126">
        <v>1996</v>
      </c>
      <c r="B439" s="126" t="s">
        <v>138</v>
      </c>
      <c r="C439" s="126" t="s">
        <v>24</v>
      </c>
      <c r="D439" s="126" t="s">
        <v>77</v>
      </c>
      <c r="E439" s="126" t="s">
        <v>134</v>
      </c>
      <c r="F439" s="126">
        <v>0</v>
      </c>
      <c r="G439" s="126">
        <v>0</v>
      </c>
      <c r="H439" s="126">
        <v>0</v>
      </c>
      <c r="I439" s="126">
        <v>0</v>
      </c>
    </row>
    <row r="440" spans="1:9">
      <c r="A440" s="126">
        <v>1996</v>
      </c>
      <c r="B440" s="126" t="s">
        <v>138</v>
      </c>
      <c r="C440" s="126" t="s">
        <v>24</v>
      </c>
      <c r="D440" s="126" t="s">
        <v>77</v>
      </c>
      <c r="E440" s="126" t="s">
        <v>135</v>
      </c>
      <c r="F440" s="126">
        <v>0</v>
      </c>
      <c r="G440" s="126">
        <v>0</v>
      </c>
      <c r="H440" s="126">
        <v>0</v>
      </c>
      <c r="I440" s="126">
        <v>0</v>
      </c>
    </row>
    <row r="441" spans="1:9">
      <c r="A441" s="126">
        <v>1996</v>
      </c>
      <c r="B441" s="126" t="s">
        <v>138</v>
      </c>
      <c r="C441" s="126" t="s">
        <v>24</v>
      </c>
      <c r="D441" s="126" t="s">
        <v>79</v>
      </c>
      <c r="E441" s="126" t="s">
        <v>132</v>
      </c>
      <c r="F441" s="126">
        <v>0</v>
      </c>
      <c r="G441" s="126">
        <v>0</v>
      </c>
      <c r="H441" s="126">
        <v>0</v>
      </c>
      <c r="I441" s="126">
        <v>0</v>
      </c>
    </row>
    <row r="442" spans="1:9">
      <c r="A442" s="126">
        <v>1996</v>
      </c>
      <c r="B442" s="126" t="s">
        <v>138</v>
      </c>
      <c r="C442" s="126" t="s">
        <v>24</v>
      </c>
      <c r="D442" s="126" t="s">
        <v>79</v>
      </c>
      <c r="E442" s="126" t="s">
        <v>133</v>
      </c>
      <c r="F442" s="126">
        <v>0</v>
      </c>
      <c r="G442" s="126">
        <v>0</v>
      </c>
      <c r="H442" s="126">
        <v>0</v>
      </c>
      <c r="I442" s="126">
        <v>0</v>
      </c>
    </row>
    <row r="443" spans="1:9">
      <c r="A443" s="126">
        <v>1996</v>
      </c>
      <c r="B443" s="126" t="s">
        <v>138</v>
      </c>
      <c r="C443" s="126" t="s">
        <v>24</v>
      </c>
      <c r="D443" s="126" t="s">
        <v>79</v>
      </c>
      <c r="E443" s="126" t="s">
        <v>134</v>
      </c>
      <c r="F443" s="126">
        <v>0</v>
      </c>
      <c r="G443" s="126">
        <v>0</v>
      </c>
      <c r="H443" s="126">
        <v>0</v>
      </c>
      <c r="I443" s="126">
        <v>0</v>
      </c>
    </row>
    <row r="444" spans="1:9">
      <c r="A444" s="126">
        <v>1996</v>
      </c>
      <c r="B444" s="126" t="s">
        <v>138</v>
      </c>
      <c r="C444" s="126" t="s">
        <v>24</v>
      </c>
      <c r="D444" s="126" t="s">
        <v>79</v>
      </c>
      <c r="E444" s="126" t="s">
        <v>135</v>
      </c>
      <c r="F444" s="126">
        <v>0</v>
      </c>
      <c r="G444" s="126">
        <v>0</v>
      </c>
      <c r="H444" s="126">
        <v>0</v>
      </c>
      <c r="I444" s="126">
        <v>0</v>
      </c>
    </row>
    <row r="445" spans="1:9">
      <c r="A445" s="126">
        <v>1996</v>
      </c>
      <c r="B445" s="126" t="s">
        <v>138</v>
      </c>
      <c r="C445" s="126" t="s">
        <v>24</v>
      </c>
      <c r="D445" s="126" t="s">
        <v>79</v>
      </c>
      <c r="E445" s="126" t="s">
        <v>136</v>
      </c>
      <c r="F445" s="126">
        <v>0</v>
      </c>
      <c r="G445" s="126">
        <v>0</v>
      </c>
      <c r="H445" s="126">
        <v>0</v>
      </c>
      <c r="I445" s="126">
        <v>0</v>
      </c>
    </row>
    <row r="446" spans="1:9">
      <c r="A446" s="126">
        <v>1996</v>
      </c>
      <c r="B446" s="126" t="s">
        <v>138</v>
      </c>
      <c r="C446" s="126" t="s">
        <v>24</v>
      </c>
      <c r="D446" s="126" t="s">
        <v>76</v>
      </c>
      <c r="E446" s="126" t="s">
        <v>132</v>
      </c>
      <c r="F446" s="126">
        <v>0</v>
      </c>
      <c r="G446" s="126">
        <v>0</v>
      </c>
      <c r="H446" s="126">
        <v>0</v>
      </c>
      <c r="I446" s="126">
        <v>0</v>
      </c>
    </row>
    <row r="447" spans="1:9">
      <c r="A447" s="126">
        <v>1996</v>
      </c>
      <c r="B447" s="126" t="s">
        <v>138</v>
      </c>
      <c r="C447" s="126" t="s">
        <v>24</v>
      </c>
      <c r="D447" s="126" t="s">
        <v>76</v>
      </c>
      <c r="E447" s="126" t="s">
        <v>133</v>
      </c>
      <c r="F447" s="126">
        <v>0</v>
      </c>
      <c r="G447" s="126">
        <v>0</v>
      </c>
      <c r="H447" s="126">
        <v>0</v>
      </c>
      <c r="I447" s="126">
        <v>0</v>
      </c>
    </row>
    <row r="448" spans="1:9">
      <c r="A448" s="126">
        <v>1996</v>
      </c>
      <c r="B448" s="126" t="s">
        <v>138</v>
      </c>
      <c r="C448" s="126" t="s">
        <v>24</v>
      </c>
      <c r="D448" s="126" t="s">
        <v>76</v>
      </c>
      <c r="E448" s="126" t="s">
        <v>134</v>
      </c>
      <c r="F448" s="126">
        <v>0</v>
      </c>
      <c r="G448" s="126">
        <v>0</v>
      </c>
      <c r="H448" s="126">
        <v>0</v>
      </c>
      <c r="I448" s="126">
        <v>0</v>
      </c>
    </row>
    <row r="449" spans="1:9">
      <c r="A449" s="126">
        <v>1996</v>
      </c>
      <c r="B449" s="126" t="s">
        <v>138</v>
      </c>
      <c r="C449" s="126" t="s">
        <v>24</v>
      </c>
      <c r="D449" s="126" t="s">
        <v>76</v>
      </c>
      <c r="E449" s="126" t="s">
        <v>135</v>
      </c>
      <c r="F449" s="126">
        <v>0</v>
      </c>
      <c r="G449" s="126">
        <v>0</v>
      </c>
      <c r="H449" s="126">
        <v>0</v>
      </c>
      <c r="I449" s="126">
        <v>0</v>
      </c>
    </row>
    <row r="450" spans="1:9">
      <c r="A450" s="126">
        <v>1996</v>
      </c>
      <c r="B450" s="126" t="s">
        <v>138</v>
      </c>
      <c r="C450" s="126" t="s">
        <v>24</v>
      </c>
      <c r="D450" s="126" t="s">
        <v>76</v>
      </c>
      <c r="E450" s="126" t="s">
        <v>136</v>
      </c>
      <c r="F450" s="126">
        <v>0</v>
      </c>
      <c r="G450" s="126">
        <v>0</v>
      </c>
      <c r="H450" s="126">
        <v>0</v>
      </c>
      <c r="I450" s="126">
        <v>0</v>
      </c>
    </row>
    <row r="451" spans="1:9">
      <c r="A451" s="126">
        <v>1996</v>
      </c>
      <c r="B451" s="126" t="s">
        <v>139</v>
      </c>
      <c r="C451" s="126" t="s">
        <v>26</v>
      </c>
      <c r="D451" s="126" t="s">
        <v>77</v>
      </c>
      <c r="E451" s="126" t="s">
        <v>132</v>
      </c>
      <c r="F451" s="126">
        <v>0</v>
      </c>
      <c r="G451" s="126">
        <v>0</v>
      </c>
      <c r="H451" s="126">
        <v>0</v>
      </c>
      <c r="I451" s="126">
        <v>0</v>
      </c>
    </row>
    <row r="452" spans="1:9">
      <c r="A452" s="126">
        <v>1996</v>
      </c>
      <c r="B452" s="126" t="s">
        <v>139</v>
      </c>
      <c r="C452" s="126" t="s">
        <v>26</v>
      </c>
      <c r="D452" s="126" t="s">
        <v>77</v>
      </c>
      <c r="E452" s="126" t="s">
        <v>133</v>
      </c>
      <c r="F452" s="126">
        <v>0</v>
      </c>
      <c r="G452" s="126">
        <v>0</v>
      </c>
      <c r="H452" s="126">
        <v>0</v>
      </c>
      <c r="I452" s="126">
        <v>0</v>
      </c>
    </row>
    <row r="453" spans="1:9">
      <c r="A453" s="126">
        <v>1996</v>
      </c>
      <c r="B453" s="126" t="s">
        <v>139</v>
      </c>
      <c r="C453" s="126" t="s">
        <v>26</v>
      </c>
      <c r="D453" s="126" t="s">
        <v>77</v>
      </c>
      <c r="E453" s="126" t="s">
        <v>134</v>
      </c>
      <c r="F453" s="126">
        <v>0</v>
      </c>
      <c r="G453" s="126">
        <v>0</v>
      </c>
      <c r="H453" s="126">
        <v>0</v>
      </c>
      <c r="I453" s="126">
        <v>0</v>
      </c>
    </row>
    <row r="454" spans="1:9">
      <c r="A454" s="126">
        <v>1996</v>
      </c>
      <c r="B454" s="126" t="s">
        <v>139</v>
      </c>
      <c r="C454" s="126" t="s">
        <v>26</v>
      </c>
      <c r="D454" s="126" t="s">
        <v>77</v>
      </c>
      <c r="E454" s="126" t="s">
        <v>135</v>
      </c>
      <c r="F454" s="126">
        <v>0</v>
      </c>
      <c r="G454" s="126">
        <v>0</v>
      </c>
      <c r="H454" s="126">
        <v>0</v>
      </c>
      <c r="I454" s="126">
        <v>0</v>
      </c>
    </row>
    <row r="455" spans="1:9">
      <c r="A455" s="126">
        <v>1996</v>
      </c>
      <c r="B455" s="126" t="s">
        <v>139</v>
      </c>
      <c r="C455" s="126" t="s">
        <v>26</v>
      </c>
      <c r="D455" s="126" t="s">
        <v>79</v>
      </c>
      <c r="E455" s="126" t="s">
        <v>132</v>
      </c>
      <c r="F455" s="126">
        <v>0</v>
      </c>
      <c r="G455" s="126">
        <v>0</v>
      </c>
      <c r="H455" s="126">
        <v>0</v>
      </c>
      <c r="I455" s="126">
        <v>0</v>
      </c>
    </row>
    <row r="456" spans="1:9">
      <c r="A456" s="126">
        <v>1996</v>
      </c>
      <c r="B456" s="126" t="s">
        <v>139</v>
      </c>
      <c r="C456" s="126" t="s">
        <v>26</v>
      </c>
      <c r="D456" s="126" t="s">
        <v>79</v>
      </c>
      <c r="E456" s="126" t="s">
        <v>133</v>
      </c>
      <c r="F456" s="126">
        <v>0</v>
      </c>
      <c r="G456" s="126">
        <v>0</v>
      </c>
      <c r="H456" s="126">
        <v>0</v>
      </c>
      <c r="I456" s="126">
        <v>0</v>
      </c>
    </row>
    <row r="457" spans="1:9">
      <c r="A457" s="126">
        <v>1996</v>
      </c>
      <c r="B457" s="126" t="s">
        <v>139</v>
      </c>
      <c r="C457" s="126" t="s">
        <v>26</v>
      </c>
      <c r="D457" s="126" t="s">
        <v>79</v>
      </c>
      <c r="E457" s="126" t="s">
        <v>134</v>
      </c>
      <c r="F457" s="126">
        <v>0</v>
      </c>
      <c r="G457" s="126">
        <v>0</v>
      </c>
      <c r="H457" s="126">
        <v>0</v>
      </c>
      <c r="I457" s="126">
        <v>0</v>
      </c>
    </row>
    <row r="458" spans="1:9">
      <c r="A458" s="126">
        <v>1996</v>
      </c>
      <c r="B458" s="126" t="s">
        <v>139</v>
      </c>
      <c r="C458" s="126" t="s">
        <v>26</v>
      </c>
      <c r="D458" s="126" t="s">
        <v>79</v>
      </c>
      <c r="E458" s="126" t="s">
        <v>135</v>
      </c>
      <c r="F458" s="126">
        <v>0</v>
      </c>
      <c r="G458" s="126">
        <v>0</v>
      </c>
      <c r="H458" s="126">
        <v>0</v>
      </c>
      <c r="I458" s="126">
        <v>0</v>
      </c>
    </row>
    <row r="459" spans="1:9">
      <c r="A459" s="126">
        <v>1996</v>
      </c>
      <c r="B459" s="126" t="s">
        <v>139</v>
      </c>
      <c r="C459" s="126" t="s">
        <v>26</v>
      </c>
      <c r="D459" s="126" t="s">
        <v>79</v>
      </c>
      <c r="E459" s="126" t="s">
        <v>136</v>
      </c>
      <c r="F459" s="126">
        <v>0</v>
      </c>
      <c r="G459" s="126">
        <v>0</v>
      </c>
      <c r="H459" s="126">
        <v>0</v>
      </c>
      <c r="I459" s="126">
        <v>0</v>
      </c>
    </row>
    <row r="460" spans="1:9">
      <c r="A460" s="126">
        <v>1996</v>
      </c>
      <c r="B460" s="126" t="s">
        <v>139</v>
      </c>
      <c r="C460" s="126" t="s">
        <v>26</v>
      </c>
      <c r="D460" s="126" t="s">
        <v>76</v>
      </c>
      <c r="E460" s="126" t="s">
        <v>132</v>
      </c>
      <c r="F460" s="126">
        <v>0</v>
      </c>
      <c r="G460" s="126">
        <v>0</v>
      </c>
      <c r="H460" s="126">
        <v>0</v>
      </c>
      <c r="I460" s="126">
        <v>0</v>
      </c>
    </row>
    <row r="461" spans="1:9">
      <c r="A461" s="126">
        <v>1996</v>
      </c>
      <c r="B461" s="126" t="s">
        <v>139</v>
      </c>
      <c r="C461" s="126" t="s">
        <v>26</v>
      </c>
      <c r="D461" s="126" t="s">
        <v>76</v>
      </c>
      <c r="E461" s="126" t="s">
        <v>133</v>
      </c>
      <c r="F461" s="126">
        <v>0</v>
      </c>
      <c r="G461" s="126">
        <v>0</v>
      </c>
      <c r="H461" s="126">
        <v>0</v>
      </c>
      <c r="I461" s="126">
        <v>0</v>
      </c>
    </row>
    <row r="462" spans="1:9">
      <c r="A462" s="126">
        <v>1996</v>
      </c>
      <c r="B462" s="126" t="s">
        <v>139</v>
      </c>
      <c r="C462" s="126" t="s">
        <v>26</v>
      </c>
      <c r="D462" s="126" t="s">
        <v>76</v>
      </c>
      <c r="E462" s="126" t="s">
        <v>134</v>
      </c>
      <c r="F462" s="126">
        <v>0</v>
      </c>
      <c r="G462" s="126">
        <v>0</v>
      </c>
      <c r="H462" s="126">
        <v>0</v>
      </c>
      <c r="I462" s="126">
        <v>0</v>
      </c>
    </row>
    <row r="463" spans="1:9">
      <c r="A463" s="126">
        <v>1996</v>
      </c>
      <c r="B463" s="126" t="s">
        <v>139</v>
      </c>
      <c r="C463" s="126" t="s">
        <v>26</v>
      </c>
      <c r="D463" s="126" t="s">
        <v>76</v>
      </c>
      <c r="E463" s="126" t="s">
        <v>135</v>
      </c>
      <c r="F463" s="126">
        <v>0</v>
      </c>
      <c r="G463" s="126">
        <v>0</v>
      </c>
      <c r="H463" s="126">
        <v>0</v>
      </c>
      <c r="I463" s="126">
        <v>0</v>
      </c>
    </row>
    <row r="464" spans="1:9">
      <c r="A464" s="126">
        <v>1996</v>
      </c>
      <c r="B464" s="126" t="s">
        <v>139</v>
      </c>
      <c r="C464" s="126" t="s">
        <v>26</v>
      </c>
      <c r="D464" s="126" t="s">
        <v>76</v>
      </c>
      <c r="E464" s="126" t="s">
        <v>136</v>
      </c>
      <c r="F464" s="126">
        <v>0</v>
      </c>
      <c r="G464" s="126">
        <v>0</v>
      </c>
      <c r="H464" s="126">
        <v>0</v>
      </c>
      <c r="I464" s="126">
        <v>0</v>
      </c>
    </row>
    <row r="465" spans="1:9">
      <c r="A465" s="126">
        <v>1996</v>
      </c>
      <c r="B465" s="126" t="s">
        <v>139</v>
      </c>
      <c r="C465" s="126" t="s">
        <v>20</v>
      </c>
      <c r="D465" s="126" t="s">
        <v>77</v>
      </c>
      <c r="E465" s="126" t="s">
        <v>132</v>
      </c>
      <c r="F465" s="126">
        <v>0</v>
      </c>
      <c r="G465" s="126">
        <v>0</v>
      </c>
      <c r="H465" s="126">
        <v>0</v>
      </c>
      <c r="I465" s="126">
        <v>0</v>
      </c>
    </row>
    <row r="466" spans="1:9">
      <c r="A466" s="126">
        <v>1996</v>
      </c>
      <c r="B466" s="126" t="s">
        <v>139</v>
      </c>
      <c r="C466" s="126" t="s">
        <v>20</v>
      </c>
      <c r="D466" s="126" t="s">
        <v>77</v>
      </c>
      <c r="E466" s="126" t="s">
        <v>133</v>
      </c>
      <c r="F466" s="126">
        <v>0</v>
      </c>
      <c r="G466" s="126">
        <v>0</v>
      </c>
      <c r="H466" s="126">
        <v>0</v>
      </c>
      <c r="I466" s="126">
        <v>0</v>
      </c>
    </row>
    <row r="467" spans="1:9">
      <c r="A467" s="126">
        <v>1996</v>
      </c>
      <c r="B467" s="126" t="s">
        <v>139</v>
      </c>
      <c r="C467" s="126" t="s">
        <v>20</v>
      </c>
      <c r="D467" s="126" t="s">
        <v>77</v>
      </c>
      <c r="E467" s="126" t="s">
        <v>134</v>
      </c>
      <c r="F467" s="126">
        <v>0</v>
      </c>
      <c r="G467" s="126">
        <v>0</v>
      </c>
      <c r="H467" s="126">
        <v>0</v>
      </c>
      <c r="I467" s="126">
        <v>0</v>
      </c>
    </row>
    <row r="468" spans="1:9">
      <c r="A468" s="126">
        <v>1996</v>
      </c>
      <c r="B468" s="126" t="s">
        <v>139</v>
      </c>
      <c r="C468" s="126" t="s">
        <v>20</v>
      </c>
      <c r="D468" s="126" t="s">
        <v>77</v>
      </c>
      <c r="E468" s="126" t="s">
        <v>135</v>
      </c>
      <c r="F468" s="126">
        <v>0</v>
      </c>
      <c r="G468" s="126">
        <v>0</v>
      </c>
      <c r="H468" s="126">
        <v>0</v>
      </c>
      <c r="I468" s="126">
        <v>0</v>
      </c>
    </row>
    <row r="469" spans="1:9">
      <c r="A469" s="126">
        <v>1996</v>
      </c>
      <c r="B469" s="126" t="s">
        <v>139</v>
      </c>
      <c r="C469" s="126" t="s">
        <v>20</v>
      </c>
      <c r="D469" s="126" t="s">
        <v>79</v>
      </c>
      <c r="E469" s="126" t="s">
        <v>132</v>
      </c>
      <c r="F469" s="126">
        <v>0</v>
      </c>
      <c r="G469" s="126">
        <v>0</v>
      </c>
      <c r="H469" s="126">
        <v>0</v>
      </c>
      <c r="I469" s="126">
        <v>0</v>
      </c>
    </row>
    <row r="470" spans="1:9">
      <c r="A470" s="126">
        <v>1996</v>
      </c>
      <c r="B470" s="126" t="s">
        <v>139</v>
      </c>
      <c r="C470" s="126" t="s">
        <v>20</v>
      </c>
      <c r="D470" s="126" t="s">
        <v>79</v>
      </c>
      <c r="E470" s="126" t="s">
        <v>133</v>
      </c>
      <c r="F470" s="126">
        <v>0</v>
      </c>
      <c r="G470" s="126">
        <v>0</v>
      </c>
      <c r="H470" s="126">
        <v>0</v>
      </c>
      <c r="I470" s="126">
        <v>0</v>
      </c>
    </row>
    <row r="471" spans="1:9">
      <c r="A471" s="126">
        <v>1996</v>
      </c>
      <c r="B471" s="126" t="s">
        <v>139</v>
      </c>
      <c r="C471" s="126" t="s">
        <v>20</v>
      </c>
      <c r="D471" s="126" t="s">
        <v>79</v>
      </c>
      <c r="E471" s="126" t="s">
        <v>134</v>
      </c>
      <c r="F471" s="126">
        <v>0</v>
      </c>
      <c r="G471" s="126">
        <v>0</v>
      </c>
      <c r="H471" s="126">
        <v>0</v>
      </c>
      <c r="I471" s="126">
        <v>0</v>
      </c>
    </row>
    <row r="472" spans="1:9">
      <c r="A472" s="126">
        <v>1996</v>
      </c>
      <c r="B472" s="126" t="s">
        <v>139</v>
      </c>
      <c r="C472" s="126" t="s">
        <v>20</v>
      </c>
      <c r="D472" s="126" t="s">
        <v>79</v>
      </c>
      <c r="E472" s="126" t="s">
        <v>135</v>
      </c>
      <c r="F472" s="126">
        <v>0</v>
      </c>
      <c r="G472" s="126">
        <v>0</v>
      </c>
      <c r="H472" s="126">
        <v>0</v>
      </c>
      <c r="I472" s="126">
        <v>0</v>
      </c>
    </row>
    <row r="473" spans="1:9">
      <c r="A473" s="126">
        <v>1996</v>
      </c>
      <c r="B473" s="126" t="s">
        <v>139</v>
      </c>
      <c r="C473" s="126" t="s">
        <v>20</v>
      </c>
      <c r="D473" s="126" t="s">
        <v>79</v>
      </c>
      <c r="E473" s="126" t="s">
        <v>136</v>
      </c>
      <c r="F473" s="126">
        <v>0</v>
      </c>
      <c r="G473" s="126">
        <v>0</v>
      </c>
      <c r="H473" s="126">
        <v>0</v>
      </c>
      <c r="I473" s="126">
        <v>0</v>
      </c>
    </row>
    <row r="474" spans="1:9">
      <c r="A474" s="126">
        <v>1996</v>
      </c>
      <c r="B474" s="126" t="s">
        <v>139</v>
      </c>
      <c r="C474" s="126" t="s">
        <v>20</v>
      </c>
      <c r="D474" s="126" t="s">
        <v>76</v>
      </c>
      <c r="E474" s="126" t="s">
        <v>132</v>
      </c>
      <c r="F474" s="126">
        <v>0</v>
      </c>
      <c r="G474" s="126">
        <v>0</v>
      </c>
      <c r="H474" s="126">
        <v>0</v>
      </c>
      <c r="I474" s="126">
        <v>0</v>
      </c>
    </row>
    <row r="475" spans="1:9">
      <c r="A475" s="126">
        <v>1996</v>
      </c>
      <c r="B475" s="126" t="s">
        <v>139</v>
      </c>
      <c r="C475" s="126" t="s">
        <v>20</v>
      </c>
      <c r="D475" s="126" t="s">
        <v>76</v>
      </c>
      <c r="E475" s="126" t="s">
        <v>133</v>
      </c>
      <c r="F475" s="126">
        <v>0</v>
      </c>
      <c r="G475" s="126">
        <v>0</v>
      </c>
      <c r="H475" s="126">
        <v>0</v>
      </c>
      <c r="I475" s="126">
        <v>0</v>
      </c>
    </row>
    <row r="476" spans="1:9">
      <c r="A476" s="126">
        <v>1996</v>
      </c>
      <c r="B476" s="126" t="s">
        <v>139</v>
      </c>
      <c r="C476" s="126" t="s">
        <v>20</v>
      </c>
      <c r="D476" s="126" t="s">
        <v>76</v>
      </c>
      <c r="E476" s="126" t="s">
        <v>134</v>
      </c>
      <c r="F476" s="126">
        <v>0</v>
      </c>
      <c r="G476" s="126">
        <v>0</v>
      </c>
      <c r="H476" s="126">
        <v>0</v>
      </c>
      <c r="I476" s="126">
        <v>0</v>
      </c>
    </row>
    <row r="477" spans="1:9">
      <c r="A477" s="126">
        <v>1996</v>
      </c>
      <c r="B477" s="126" t="s">
        <v>139</v>
      </c>
      <c r="C477" s="126" t="s">
        <v>20</v>
      </c>
      <c r="D477" s="126" t="s">
        <v>76</v>
      </c>
      <c r="E477" s="126" t="s">
        <v>135</v>
      </c>
      <c r="F477" s="126">
        <v>0</v>
      </c>
      <c r="G477" s="126">
        <v>0</v>
      </c>
      <c r="H477" s="126">
        <v>0</v>
      </c>
      <c r="I477" s="126">
        <v>0</v>
      </c>
    </row>
    <row r="478" spans="1:9">
      <c r="A478" s="126">
        <v>1996</v>
      </c>
      <c r="B478" s="126" t="s">
        <v>139</v>
      </c>
      <c r="C478" s="126" t="s">
        <v>20</v>
      </c>
      <c r="D478" s="126" t="s">
        <v>76</v>
      </c>
      <c r="E478" s="126" t="s">
        <v>136</v>
      </c>
      <c r="F478" s="126">
        <v>0</v>
      </c>
      <c r="G478" s="126">
        <v>0</v>
      </c>
      <c r="H478" s="126">
        <v>0</v>
      </c>
      <c r="I478" s="126">
        <v>0</v>
      </c>
    </row>
    <row r="479" spans="1:9">
      <c r="A479" s="126">
        <v>1996</v>
      </c>
      <c r="B479" s="126" t="s">
        <v>139</v>
      </c>
      <c r="C479" s="126" t="s">
        <v>27</v>
      </c>
      <c r="D479" s="126" t="s">
        <v>77</v>
      </c>
      <c r="E479" s="126" t="s">
        <v>132</v>
      </c>
      <c r="F479" s="126">
        <v>0</v>
      </c>
      <c r="G479" s="126">
        <v>0</v>
      </c>
      <c r="H479" s="126">
        <v>0</v>
      </c>
      <c r="I479" s="126">
        <v>0</v>
      </c>
    </row>
    <row r="480" spans="1:9">
      <c r="A480" s="126">
        <v>1996</v>
      </c>
      <c r="B480" s="126" t="s">
        <v>139</v>
      </c>
      <c r="C480" s="126" t="s">
        <v>27</v>
      </c>
      <c r="D480" s="126" t="s">
        <v>77</v>
      </c>
      <c r="E480" s="126" t="s">
        <v>133</v>
      </c>
      <c r="F480" s="126">
        <v>0</v>
      </c>
      <c r="G480" s="126">
        <v>0</v>
      </c>
      <c r="H480" s="126">
        <v>0</v>
      </c>
      <c r="I480" s="126">
        <v>0</v>
      </c>
    </row>
    <row r="481" spans="1:9">
      <c r="A481" s="126">
        <v>1996</v>
      </c>
      <c r="B481" s="126" t="s">
        <v>139</v>
      </c>
      <c r="C481" s="126" t="s">
        <v>27</v>
      </c>
      <c r="D481" s="126" t="s">
        <v>77</v>
      </c>
      <c r="E481" s="126" t="s">
        <v>134</v>
      </c>
      <c r="F481" s="126">
        <v>0</v>
      </c>
      <c r="G481" s="126">
        <v>0</v>
      </c>
      <c r="H481" s="126">
        <v>0</v>
      </c>
      <c r="I481" s="126">
        <v>0</v>
      </c>
    </row>
    <row r="482" spans="1:9">
      <c r="A482" s="126">
        <v>1996</v>
      </c>
      <c r="B482" s="126" t="s">
        <v>139</v>
      </c>
      <c r="C482" s="126" t="s">
        <v>27</v>
      </c>
      <c r="D482" s="126" t="s">
        <v>77</v>
      </c>
      <c r="E482" s="126" t="s">
        <v>135</v>
      </c>
      <c r="F482" s="126">
        <v>0</v>
      </c>
      <c r="G482" s="126">
        <v>0</v>
      </c>
      <c r="H482" s="126">
        <v>0</v>
      </c>
      <c r="I482" s="126">
        <v>0</v>
      </c>
    </row>
    <row r="483" spans="1:9">
      <c r="A483" s="126">
        <v>1996</v>
      </c>
      <c r="B483" s="126" t="s">
        <v>139</v>
      </c>
      <c r="C483" s="126" t="s">
        <v>27</v>
      </c>
      <c r="D483" s="126" t="s">
        <v>79</v>
      </c>
      <c r="E483" s="126" t="s">
        <v>132</v>
      </c>
      <c r="F483" s="126">
        <v>0</v>
      </c>
      <c r="G483" s="126">
        <v>0</v>
      </c>
      <c r="H483" s="126">
        <v>0</v>
      </c>
      <c r="I483" s="126">
        <v>0</v>
      </c>
    </row>
    <row r="484" spans="1:9">
      <c r="A484" s="126">
        <v>1996</v>
      </c>
      <c r="B484" s="126" t="s">
        <v>139</v>
      </c>
      <c r="C484" s="126" t="s">
        <v>27</v>
      </c>
      <c r="D484" s="126" t="s">
        <v>79</v>
      </c>
      <c r="E484" s="126" t="s">
        <v>133</v>
      </c>
      <c r="F484" s="126">
        <v>0</v>
      </c>
      <c r="G484" s="126">
        <v>0</v>
      </c>
      <c r="H484" s="126">
        <v>0</v>
      </c>
      <c r="I484" s="126">
        <v>0</v>
      </c>
    </row>
    <row r="485" spans="1:9">
      <c r="A485" s="126">
        <v>1996</v>
      </c>
      <c r="B485" s="126" t="s">
        <v>139</v>
      </c>
      <c r="C485" s="126" t="s">
        <v>27</v>
      </c>
      <c r="D485" s="126" t="s">
        <v>79</v>
      </c>
      <c r="E485" s="126" t="s">
        <v>134</v>
      </c>
      <c r="F485" s="126">
        <v>0</v>
      </c>
      <c r="G485" s="126">
        <v>0</v>
      </c>
      <c r="H485" s="126">
        <v>0</v>
      </c>
      <c r="I485" s="126">
        <v>0</v>
      </c>
    </row>
    <row r="486" spans="1:9">
      <c r="A486" s="126">
        <v>1996</v>
      </c>
      <c r="B486" s="126" t="s">
        <v>139</v>
      </c>
      <c r="C486" s="126" t="s">
        <v>27</v>
      </c>
      <c r="D486" s="126" t="s">
        <v>79</v>
      </c>
      <c r="E486" s="126" t="s">
        <v>135</v>
      </c>
      <c r="F486" s="126">
        <v>0</v>
      </c>
      <c r="G486" s="126">
        <v>0</v>
      </c>
      <c r="H486" s="126">
        <v>0</v>
      </c>
      <c r="I486" s="126">
        <v>0</v>
      </c>
    </row>
    <row r="487" spans="1:9">
      <c r="A487" s="126">
        <v>1996</v>
      </c>
      <c r="B487" s="126" t="s">
        <v>139</v>
      </c>
      <c r="C487" s="126" t="s">
        <v>27</v>
      </c>
      <c r="D487" s="126" t="s">
        <v>79</v>
      </c>
      <c r="E487" s="126" t="s">
        <v>136</v>
      </c>
      <c r="F487" s="126">
        <v>0</v>
      </c>
      <c r="G487" s="126">
        <v>0</v>
      </c>
      <c r="H487" s="126">
        <v>0</v>
      </c>
      <c r="I487" s="126">
        <v>0</v>
      </c>
    </row>
    <row r="488" spans="1:9">
      <c r="A488" s="126">
        <v>1996</v>
      </c>
      <c r="B488" s="126" t="s">
        <v>139</v>
      </c>
      <c r="C488" s="126" t="s">
        <v>27</v>
      </c>
      <c r="D488" s="126" t="s">
        <v>76</v>
      </c>
      <c r="E488" s="126" t="s">
        <v>132</v>
      </c>
      <c r="F488" s="126">
        <v>0</v>
      </c>
      <c r="G488" s="126">
        <v>0</v>
      </c>
      <c r="H488" s="126">
        <v>0</v>
      </c>
      <c r="I488" s="126">
        <v>0</v>
      </c>
    </row>
    <row r="489" spans="1:9">
      <c r="A489" s="126">
        <v>1996</v>
      </c>
      <c r="B489" s="126" t="s">
        <v>139</v>
      </c>
      <c r="C489" s="126" t="s">
        <v>27</v>
      </c>
      <c r="D489" s="126" t="s">
        <v>76</v>
      </c>
      <c r="E489" s="126" t="s">
        <v>133</v>
      </c>
      <c r="F489" s="126">
        <v>0</v>
      </c>
      <c r="G489" s="126">
        <v>0</v>
      </c>
      <c r="H489" s="126">
        <v>0</v>
      </c>
      <c r="I489" s="126">
        <v>0</v>
      </c>
    </row>
    <row r="490" spans="1:9">
      <c r="A490" s="126">
        <v>1996</v>
      </c>
      <c r="B490" s="126" t="s">
        <v>139</v>
      </c>
      <c r="C490" s="126" t="s">
        <v>27</v>
      </c>
      <c r="D490" s="126" t="s">
        <v>76</v>
      </c>
      <c r="E490" s="126" t="s">
        <v>134</v>
      </c>
      <c r="F490" s="126">
        <v>0</v>
      </c>
      <c r="G490" s="126">
        <v>0</v>
      </c>
      <c r="H490" s="126">
        <v>0</v>
      </c>
      <c r="I490" s="126">
        <v>0</v>
      </c>
    </row>
    <row r="491" spans="1:9">
      <c r="A491" s="126">
        <v>1996</v>
      </c>
      <c r="B491" s="126" t="s">
        <v>139</v>
      </c>
      <c r="C491" s="126" t="s">
        <v>27</v>
      </c>
      <c r="D491" s="126" t="s">
        <v>76</v>
      </c>
      <c r="E491" s="126" t="s">
        <v>135</v>
      </c>
      <c r="F491" s="126">
        <v>0</v>
      </c>
      <c r="G491" s="126">
        <v>0</v>
      </c>
      <c r="H491" s="126">
        <v>0</v>
      </c>
      <c r="I491" s="126">
        <v>0</v>
      </c>
    </row>
    <row r="492" spans="1:9">
      <c r="A492" s="126">
        <v>1996</v>
      </c>
      <c r="B492" s="126" t="s">
        <v>139</v>
      </c>
      <c r="C492" s="126" t="s">
        <v>27</v>
      </c>
      <c r="D492" s="126" t="s">
        <v>76</v>
      </c>
      <c r="E492" s="126" t="s">
        <v>136</v>
      </c>
      <c r="F492" s="126">
        <v>0</v>
      </c>
      <c r="G492" s="126">
        <v>0</v>
      </c>
      <c r="H492" s="126">
        <v>0</v>
      </c>
      <c r="I492" s="126">
        <v>0</v>
      </c>
    </row>
    <row r="493" spans="1:9">
      <c r="A493" s="126">
        <v>1996</v>
      </c>
      <c r="B493" s="126" t="s">
        <v>139</v>
      </c>
      <c r="C493" s="126" t="s">
        <v>22</v>
      </c>
      <c r="D493" s="126" t="s">
        <v>77</v>
      </c>
      <c r="E493" s="126" t="s">
        <v>132</v>
      </c>
      <c r="F493" s="126">
        <v>0</v>
      </c>
      <c r="G493" s="126">
        <v>0</v>
      </c>
      <c r="H493" s="126">
        <v>0</v>
      </c>
      <c r="I493" s="126">
        <v>0</v>
      </c>
    </row>
    <row r="494" spans="1:9">
      <c r="A494" s="126">
        <v>1996</v>
      </c>
      <c r="B494" s="126" t="s">
        <v>139</v>
      </c>
      <c r="C494" s="126" t="s">
        <v>22</v>
      </c>
      <c r="D494" s="126" t="s">
        <v>77</v>
      </c>
      <c r="E494" s="126" t="s">
        <v>133</v>
      </c>
      <c r="F494" s="126">
        <v>0</v>
      </c>
      <c r="G494" s="126">
        <v>0</v>
      </c>
      <c r="H494" s="126">
        <v>0</v>
      </c>
      <c r="I494" s="126">
        <v>0</v>
      </c>
    </row>
    <row r="495" spans="1:9">
      <c r="A495" s="126">
        <v>1996</v>
      </c>
      <c r="B495" s="126" t="s">
        <v>139</v>
      </c>
      <c r="C495" s="126" t="s">
        <v>22</v>
      </c>
      <c r="D495" s="126" t="s">
        <v>77</v>
      </c>
      <c r="E495" s="126" t="s">
        <v>134</v>
      </c>
      <c r="F495" s="126">
        <v>0</v>
      </c>
      <c r="G495" s="126">
        <v>0</v>
      </c>
      <c r="H495" s="126">
        <v>0</v>
      </c>
      <c r="I495" s="126">
        <v>0</v>
      </c>
    </row>
    <row r="496" spans="1:9">
      <c r="A496" s="126">
        <v>1996</v>
      </c>
      <c r="B496" s="126" t="s">
        <v>139</v>
      </c>
      <c r="C496" s="126" t="s">
        <v>22</v>
      </c>
      <c r="D496" s="126" t="s">
        <v>77</v>
      </c>
      <c r="E496" s="126" t="s">
        <v>135</v>
      </c>
      <c r="F496" s="126">
        <v>0</v>
      </c>
      <c r="G496" s="126">
        <v>0</v>
      </c>
      <c r="H496" s="126">
        <v>0</v>
      </c>
      <c r="I496" s="126">
        <v>0</v>
      </c>
    </row>
    <row r="497" spans="1:9">
      <c r="A497" s="126">
        <v>1996</v>
      </c>
      <c r="B497" s="126" t="s">
        <v>139</v>
      </c>
      <c r="C497" s="126" t="s">
        <v>22</v>
      </c>
      <c r="D497" s="126" t="s">
        <v>79</v>
      </c>
      <c r="E497" s="126" t="s">
        <v>132</v>
      </c>
      <c r="F497" s="126">
        <v>0</v>
      </c>
      <c r="G497" s="126">
        <v>0</v>
      </c>
      <c r="H497" s="126">
        <v>0</v>
      </c>
      <c r="I497" s="126">
        <v>0</v>
      </c>
    </row>
    <row r="498" spans="1:9">
      <c r="A498" s="126">
        <v>1996</v>
      </c>
      <c r="B498" s="126" t="s">
        <v>139</v>
      </c>
      <c r="C498" s="126" t="s">
        <v>22</v>
      </c>
      <c r="D498" s="126" t="s">
        <v>79</v>
      </c>
      <c r="E498" s="126" t="s">
        <v>133</v>
      </c>
      <c r="F498" s="126">
        <v>0</v>
      </c>
      <c r="G498" s="126">
        <v>0</v>
      </c>
      <c r="H498" s="126">
        <v>0</v>
      </c>
      <c r="I498" s="126">
        <v>0</v>
      </c>
    </row>
    <row r="499" spans="1:9">
      <c r="A499" s="126">
        <v>1996</v>
      </c>
      <c r="B499" s="126" t="s">
        <v>139</v>
      </c>
      <c r="C499" s="126" t="s">
        <v>22</v>
      </c>
      <c r="D499" s="126" t="s">
        <v>79</v>
      </c>
      <c r="E499" s="126" t="s">
        <v>134</v>
      </c>
      <c r="F499" s="126">
        <v>0</v>
      </c>
      <c r="G499" s="126">
        <v>0</v>
      </c>
      <c r="H499" s="126">
        <v>0</v>
      </c>
      <c r="I499" s="126">
        <v>0</v>
      </c>
    </row>
    <row r="500" spans="1:9">
      <c r="A500" s="126">
        <v>1996</v>
      </c>
      <c r="B500" s="126" t="s">
        <v>139</v>
      </c>
      <c r="C500" s="126" t="s">
        <v>22</v>
      </c>
      <c r="D500" s="126" t="s">
        <v>79</v>
      </c>
      <c r="E500" s="126" t="s">
        <v>135</v>
      </c>
      <c r="F500" s="126">
        <v>0</v>
      </c>
      <c r="G500" s="126">
        <v>0</v>
      </c>
      <c r="H500" s="126">
        <v>0</v>
      </c>
      <c r="I500" s="126">
        <v>0</v>
      </c>
    </row>
    <row r="501" spans="1:9">
      <c r="A501" s="126">
        <v>1996</v>
      </c>
      <c r="B501" s="126" t="s">
        <v>139</v>
      </c>
      <c r="C501" s="126" t="s">
        <v>22</v>
      </c>
      <c r="D501" s="126" t="s">
        <v>79</v>
      </c>
      <c r="E501" s="126" t="s">
        <v>136</v>
      </c>
      <c r="F501" s="126">
        <v>0</v>
      </c>
      <c r="G501" s="126">
        <v>0</v>
      </c>
      <c r="H501" s="126">
        <v>0</v>
      </c>
      <c r="I501" s="126">
        <v>0</v>
      </c>
    </row>
    <row r="502" spans="1:9">
      <c r="A502" s="126">
        <v>1996</v>
      </c>
      <c r="B502" s="126" t="s">
        <v>139</v>
      </c>
      <c r="C502" s="126" t="s">
        <v>22</v>
      </c>
      <c r="D502" s="126" t="s">
        <v>76</v>
      </c>
      <c r="E502" s="126" t="s">
        <v>132</v>
      </c>
      <c r="F502" s="126">
        <v>0</v>
      </c>
      <c r="G502" s="126">
        <v>0</v>
      </c>
      <c r="H502" s="126">
        <v>0</v>
      </c>
      <c r="I502" s="126">
        <v>0</v>
      </c>
    </row>
    <row r="503" spans="1:9">
      <c r="A503" s="126">
        <v>1996</v>
      </c>
      <c r="B503" s="126" t="s">
        <v>139</v>
      </c>
      <c r="C503" s="126" t="s">
        <v>22</v>
      </c>
      <c r="D503" s="126" t="s">
        <v>76</v>
      </c>
      <c r="E503" s="126" t="s">
        <v>133</v>
      </c>
      <c r="F503" s="126">
        <v>0</v>
      </c>
      <c r="G503" s="126">
        <v>0</v>
      </c>
      <c r="H503" s="126">
        <v>0</v>
      </c>
      <c r="I503" s="126">
        <v>0</v>
      </c>
    </row>
    <row r="504" spans="1:9">
      <c r="A504" s="126">
        <v>1996</v>
      </c>
      <c r="B504" s="126" t="s">
        <v>139</v>
      </c>
      <c r="C504" s="126" t="s">
        <v>22</v>
      </c>
      <c r="D504" s="126" t="s">
        <v>76</v>
      </c>
      <c r="E504" s="126" t="s">
        <v>134</v>
      </c>
      <c r="F504" s="126">
        <v>0</v>
      </c>
      <c r="G504" s="126">
        <v>0</v>
      </c>
      <c r="H504" s="126">
        <v>0</v>
      </c>
      <c r="I504" s="126">
        <v>0</v>
      </c>
    </row>
    <row r="505" spans="1:9">
      <c r="A505" s="126">
        <v>1996</v>
      </c>
      <c r="B505" s="126" t="s">
        <v>139</v>
      </c>
      <c r="C505" s="126" t="s">
        <v>22</v>
      </c>
      <c r="D505" s="126" t="s">
        <v>76</v>
      </c>
      <c r="E505" s="126" t="s">
        <v>135</v>
      </c>
      <c r="F505" s="126">
        <v>0</v>
      </c>
      <c r="G505" s="126">
        <v>0</v>
      </c>
      <c r="H505" s="126">
        <v>0</v>
      </c>
      <c r="I505" s="126">
        <v>0</v>
      </c>
    </row>
    <row r="506" spans="1:9">
      <c r="A506" s="126">
        <v>1996</v>
      </c>
      <c r="B506" s="126" t="s">
        <v>139</v>
      </c>
      <c r="C506" s="126" t="s">
        <v>22</v>
      </c>
      <c r="D506" s="126" t="s">
        <v>76</v>
      </c>
      <c r="E506" s="126" t="s">
        <v>136</v>
      </c>
      <c r="F506" s="126">
        <v>0</v>
      </c>
      <c r="G506" s="126">
        <v>0</v>
      </c>
      <c r="H506" s="126">
        <v>0</v>
      </c>
      <c r="I506" s="126">
        <v>0</v>
      </c>
    </row>
    <row r="507" spans="1:9">
      <c r="A507" s="126">
        <v>1996</v>
      </c>
      <c r="B507" s="126" t="s">
        <v>139</v>
      </c>
      <c r="C507" s="126" t="s">
        <v>23</v>
      </c>
      <c r="D507" s="126" t="s">
        <v>77</v>
      </c>
      <c r="E507" s="126" t="s">
        <v>132</v>
      </c>
      <c r="F507" s="126">
        <v>0</v>
      </c>
      <c r="G507" s="126">
        <v>0</v>
      </c>
      <c r="H507" s="126">
        <v>0</v>
      </c>
      <c r="I507" s="126">
        <v>0</v>
      </c>
    </row>
    <row r="508" spans="1:9">
      <c r="A508" s="126">
        <v>1996</v>
      </c>
      <c r="B508" s="126" t="s">
        <v>139</v>
      </c>
      <c r="C508" s="126" t="s">
        <v>23</v>
      </c>
      <c r="D508" s="126" t="s">
        <v>77</v>
      </c>
      <c r="E508" s="126" t="s">
        <v>133</v>
      </c>
      <c r="F508" s="126">
        <v>0</v>
      </c>
      <c r="G508" s="126">
        <v>0</v>
      </c>
      <c r="H508" s="126">
        <v>0</v>
      </c>
      <c r="I508" s="126">
        <v>0</v>
      </c>
    </row>
    <row r="509" spans="1:9">
      <c r="A509" s="126">
        <v>1996</v>
      </c>
      <c r="B509" s="126" t="s">
        <v>139</v>
      </c>
      <c r="C509" s="126" t="s">
        <v>23</v>
      </c>
      <c r="D509" s="126" t="s">
        <v>77</v>
      </c>
      <c r="E509" s="126" t="s">
        <v>134</v>
      </c>
      <c r="F509" s="126">
        <v>0</v>
      </c>
      <c r="G509" s="126">
        <v>0</v>
      </c>
      <c r="H509" s="126">
        <v>0</v>
      </c>
      <c r="I509" s="126">
        <v>0</v>
      </c>
    </row>
    <row r="510" spans="1:9">
      <c r="A510" s="126">
        <v>1996</v>
      </c>
      <c r="B510" s="126" t="s">
        <v>139</v>
      </c>
      <c r="C510" s="126" t="s">
        <v>23</v>
      </c>
      <c r="D510" s="126" t="s">
        <v>77</v>
      </c>
      <c r="E510" s="126" t="s">
        <v>135</v>
      </c>
      <c r="F510" s="126">
        <v>0</v>
      </c>
      <c r="G510" s="126">
        <v>0</v>
      </c>
      <c r="H510" s="126">
        <v>0</v>
      </c>
      <c r="I510" s="126">
        <v>0</v>
      </c>
    </row>
    <row r="511" spans="1:9">
      <c r="A511" s="126">
        <v>1996</v>
      </c>
      <c r="B511" s="126" t="s">
        <v>139</v>
      </c>
      <c r="C511" s="126" t="s">
        <v>23</v>
      </c>
      <c r="D511" s="126" t="s">
        <v>79</v>
      </c>
      <c r="E511" s="126" t="s">
        <v>132</v>
      </c>
      <c r="F511" s="126">
        <v>0</v>
      </c>
      <c r="G511" s="126">
        <v>0</v>
      </c>
      <c r="H511" s="126">
        <v>0</v>
      </c>
      <c r="I511" s="126">
        <v>0</v>
      </c>
    </row>
    <row r="512" spans="1:9">
      <c r="A512" s="126">
        <v>1996</v>
      </c>
      <c r="B512" s="126" t="s">
        <v>139</v>
      </c>
      <c r="C512" s="126" t="s">
        <v>23</v>
      </c>
      <c r="D512" s="126" t="s">
        <v>79</v>
      </c>
      <c r="E512" s="126" t="s">
        <v>133</v>
      </c>
      <c r="F512" s="126">
        <v>0</v>
      </c>
      <c r="G512" s="126">
        <v>0</v>
      </c>
      <c r="H512" s="126">
        <v>0</v>
      </c>
      <c r="I512" s="126">
        <v>0</v>
      </c>
    </row>
    <row r="513" spans="1:9">
      <c r="A513" s="126">
        <v>1996</v>
      </c>
      <c r="B513" s="126" t="s">
        <v>139</v>
      </c>
      <c r="C513" s="126" t="s">
        <v>23</v>
      </c>
      <c r="D513" s="126" t="s">
        <v>79</v>
      </c>
      <c r="E513" s="126" t="s">
        <v>134</v>
      </c>
      <c r="F513" s="126">
        <v>0</v>
      </c>
      <c r="G513" s="126">
        <v>0</v>
      </c>
      <c r="H513" s="126">
        <v>0</v>
      </c>
      <c r="I513" s="126">
        <v>0</v>
      </c>
    </row>
    <row r="514" spans="1:9">
      <c r="A514" s="126">
        <v>1996</v>
      </c>
      <c r="B514" s="126" t="s">
        <v>139</v>
      </c>
      <c r="C514" s="126" t="s">
        <v>23</v>
      </c>
      <c r="D514" s="126" t="s">
        <v>79</v>
      </c>
      <c r="E514" s="126" t="s">
        <v>135</v>
      </c>
      <c r="F514" s="126">
        <v>0</v>
      </c>
      <c r="G514" s="126">
        <v>0</v>
      </c>
      <c r="H514" s="126">
        <v>0</v>
      </c>
      <c r="I514" s="126">
        <v>0</v>
      </c>
    </row>
    <row r="515" spans="1:9">
      <c r="A515" s="126">
        <v>1996</v>
      </c>
      <c r="B515" s="126" t="s">
        <v>139</v>
      </c>
      <c r="C515" s="126" t="s">
        <v>23</v>
      </c>
      <c r="D515" s="126" t="s">
        <v>79</v>
      </c>
      <c r="E515" s="126" t="s">
        <v>136</v>
      </c>
      <c r="F515" s="126">
        <v>0</v>
      </c>
      <c r="G515" s="126">
        <v>0</v>
      </c>
      <c r="H515" s="126">
        <v>0</v>
      </c>
      <c r="I515" s="126">
        <v>0</v>
      </c>
    </row>
    <row r="516" spans="1:9">
      <c r="A516" s="126">
        <v>1996</v>
      </c>
      <c r="B516" s="126" t="s">
        <v>139</v>
      </c>
      <c r="C516" s="126" t="s">
        <v>23</v>
      </c>
      <c r="D516" s="126" t="s">
        <v>76</v>
      </c>
      <c r="E516" s="126" t="s">
        <v>132</v>
      </c>
      <c r="F516" s="126">
        <v>0</v>
      </c>
      <c r="G516" s="126">
        <v>0</v>
      </c>
      <c r="H516" s="126">
        <v>0</v>
      </c>
      <c r="I516" s="126">
        <v>0</v>
      </c>
    </row>
    <row r="517" spans="1:9">
      <c r="A517" s="126">
        <v>1996</v>
      </c>
      <c r="B517" s="126" t="s">
        <v>139</v>
      </c>
      <c r="C517" s="126" t="s">
        <v>23</v>
      </c>
      <c r="D517" s="126" t="s">
        <v>76</v>
      </c>
      <c r="E517" s="126" t="s">
        <v>133</v>
      </c>
      <c r="F517" s="126">
        <v>0</v>
      </c>
      <c r="G517" s="126">
        <v>0</v>
      </c>
      <c r="H517" s="126">
        <v>0</v>
      </c>
      <c r="I517" s="126">
        <v>0</v>
      </c>
    </row>
    <row r="518" spans="1:9">
      <c r="A518" s="126">
        <v>1996</v>
      </c>
      <c r="B518" s="126" t="s">
        <v>139</v>
      </c>
      <c r="C518" s="126" t="s">
        <v>23</v>
      </c>
      <c r="D518" s="126" t="s">
        <v>76</v>
      </c>
      <c r="E518" s="126" t="s">
        <v>134</v>
      </c>
      <c r="F518" s="126">
        <v>0</v>
      </c>
      <c r="G518" s="126">
        <v>0</v>
      </c>
      <c r="H518" s="126">
        <v>0</v>
      </c>
      <c r="I518" s="126">
        <v>0</v>
      </c>
    </row>
    <row r="519" spans="1:9">
      <c r="A519" s="126">
        <v>1996</v>
      </c>
      <c r="B519" s="126" t="s">
        <v>139</v>
      </c>
      <c r="C519" s="126" t="s">
        <v>23</v>
      </c>
      <c r="D519" s="126" t="s">
        <v>76</v>
      </c>
      <c r="E519" s="126" t="s">
        <v>135</v>
      </c>
      <c r="F519" s="126">
        <v>0</v>
      </c>
      <c r="G519" s="126">
        <v>0</v>
      </c>
      <c r="H519" s="126">
        <v>0</v>
      </c>
      <c r="I519" s="126">
        <v>0</v>
      </c>
    </row>
    <row r="520" spans="1:9">
      <c r="A520" s="126">
        <v>1996</v>
      </c>
      <c r="B520" s="126" t="s">
        <v>139</v>
      </c>
      <c r="C520" s="126" t="s">
        <v>23</v>
      </c>
      <c r="D520" s="126" t="s">
        <v>76</v>
      </c>
      <c r="E520" s="126" t="s">
        <v>136</v>
      </c>
      <c r="F520" s="126">
        <v>0</v>
      </c>
      <c r="G520" s="126">
        <v>0</v>
      </c>
      <c r="H520" s="126">
        <v>0</v>
      </c>
      <c r="I520" s="126">
        <v>0</v>
      </c>
    </row>
    <row r="521" spans="1:9">
      <c r="A521" s="126">
        <v>1996</v>
      </c>
      <c r="B521" s="126" t="s">
        <v>139</v>
      </c>
      <c r="C521" s="126" t="s">
        <v>25</v>
      </c>
      <c r="D521" s="126" t="s">
        <v>77</v>
      </c>
      <c r="E521" s="126" t="s">
        <v>132</v>
      </c>
      <c r="F521" s="126">
        <v>0</v>
      </c>
      <c r="G521" s="126">
        <v>0</v>
      </c>
      <c r="H521" s="126">
        <v>0</v>
      </c>
      <c r="I521" s="126">
        <v>0</v>
      </c>
    </row>
    <row r="522" spans="1:9">
      <c r="A522" s="126">
        <v>1996</v>
      </c>
      <c r="B522" s="126" t="s">
        <v>139</v>
      </c>
      <c r="C522" s="126" t="s">
        <v>25</v>
      </c>
      <c r="D522" s="126" t="s">
        <v>77</v>
      </c>
      <c r="E522" s="126" t="s">
        <v>133</v>
      </c>
      <c r="F522" s="126">
        <v>0</v>
      </c>
      <c r="G522" s="126">
        <v>0</v>
      </c>
      <c r="H522" s="126">
        <v>0</v>
      </c>
      <c r="I522" s="126">
        <v>0</v>
      </c>
    </row>
    <row r="523" spans="1:9">
      <c r="A523" s="126">
        <v>1996</v>
      </c>
      <c r="B523" s="126" t="s">
        <v>139</v>
      </c>
      <c r="C523" s="126" t="s">
        <v>25</v>
      </c>
      <c r="D523" s="126" t="s">
        <v>77</v>
      </c>
      <c r="E523" s="126" t="s">
        <v>134</v>
      </c>
      <c r="F523" s="126">
        <v>0</v>
      </c>
      <c r="G523" s="126">
        <v>0</v>
      </c>
      <c r="H523" s="126">
        <v>0</v>
      </c>
      <c r="I523" s="126">
        <v>0</v>
      </c>
    </row>
    <row r="524" spans="1:9">
      <c r="A524" s="126">
        <v>1996</v>
      </c>
      <c r="B524" s="126" t="s">
        <v>139</v>
      </c>
      <c r="C524" s="126" t="s">
        <v>25</v>
      </c>
      <c r="D524" s="126" t="s">
        <v>77</v>
      </c>
      <c r="E524" s="126" t="s">
        <v>135</v>
      </c>
      <c r="F524" s="126">
        <v>0</v>
      </c>
      <c r="G524" s="126">
        <v>0</v>
      </c>
      <c r="H524" s="126">
        <v>0</v>
      </c>
      <c r="I524" s="126">
        <v>0</v>
      </c>
    </row>
    <row r="525" spans="1:9">
      <c r="A525" s="126">
        <v>1996</v>
      </c>
      <c r="B525" s="126" t="s">
        <v>139</v>
      </c>
      <c r="C525" s="126" t="s">
        <v>25</v>
      </c>
      <c r="D525" s="126" t="s">
        <v>79</v>
      </c>
      <c r="E525" s="126" t="s">
        <v>132</v>
      </c>
      <c r="F525" s="126">
        <v>0</v>
      </c>
      <c r="G525" s="126">
        <v>0</v>
      </c>
      <c r="H525" s="126">
        <v>0</v>
      </c>
      <c r="I525" s="126">
        <v>0</v>
      </c>
    </row>
    <row r="526" spans="1:9">
      <c r="A526" s="126">
        <v>1996</v>
      </c>
      <c r="B526" s="126" t="s">
        <v>139</v>
      </c>
      <c r="C526" s="126" t="s">
        <v>25</v>
      </c>
      <c r="D526" s="126" t="s">
        <v>79</v>
      </c>
      <c r="E526" s="126" t="s">
        <v>133</v>
      </c>
      <c r="F526" s="126">
        <v>0</v>
      </c>
      <c r="G526" s="126">
        <v>0</v>
      </c>
      <c r="H526" s="126">
        <v>0</v>
      </c>
      <c r="I526" s="126">
        <v>0</v>
      </c>
    </row>
    <row r="527" spans="1:9">
      <c r="A527" s="126">
        <v>1996</v>
      </c>
      <c r="B527" s="126" t="s">
        <v>139</v>
      </c>
      <c r="C527" s="126" t="s">
        <v>25</v>
      </c>
      <c r="D527" s="126" t="s">
        <v>79</v>
      </c>
      <c r="E527" s="126" t="s">
        <v>134</v>
      </c>
      <c r="F527" s="126">
        <v>0</v>
      </c>
      <c r="G527" s="126">
        <v>0</v>
      </c>
      <c r="H527" s="126">
        <v>0</v>
      </c>
      <c r="I527" s="126">
        <v>0</v>
      </c>
    </row>
    <row r="528" spans="1:9">
      <c r="A528" s="126">
        <v>1996</v>
      </c>
      <c r="B528" s="126" t="s">
        <v>139</v>
      </c>
      <c r="C528" s="126" t="s">
        <v>25</v>
      </c>
      <c r="D528" s="126" t="s">
        <v>79</v>
      </c>
      <c r="E528" s="126" t="s">
        <v>135</v>
      </c>
      <c r="F528" s="126">
        <v>0</v>
      </c>
      <c r="G528" s="126">
        <v>0</v>
      </c>
      <c r="H528" s="126">
        <v>0</v>
      </c>
      <c r="I528" s="126">
        <v>0</v>
      </c>
    </row>
    <row r="529" spans="1:9">
      <c r="A529" s="126">
        <v>1996</v>
      </c>
      <c r="B529" s="126" t="s">
        <v>139</v>
      </c>
      <c r="C529" s="126" t="s">
        <v>25</v>
      </c>
      <c r="D529" s="126" t="s">
        <v>79</v>
      </c>
      <c r="E529" s="126" t="s">
        <v>136</v>
      </c>
      <c r="F529" s="126">
        <v>0</v>
      </c>
      <c r="G529" s="126">
        <v>0</v>
      </c>
      <c r="H529" s="126">
        <v>0</v>
      </c>
      <c r="I529" s="126">
        <v>0</v>
      </c>
    </row>
    <row r="530" spans="1:9">
      <c r="A530" s="126">
        <v>1996</v>
      </c>
      <c r="B530" s="126" t="s">
        <v>139</v>
      </c>
      <c r="C530" s="126" t="s">
        <v>25</v>
      </c>
      <c r="D530" s="126" t="s">
        <v>76</v>
      </c>
      <c r="E530" s="126" t="s">
        <v>132</v>
      </c>
      <c r="F530" s="126">
        <v>0</v>
      </c>
      <c r="G530" s="126">
        <v>0</v>
      </c>
      <c r="H530" s="126">
        <v>0</v>
      </c>
      <c r="I530" s="126">
        <v>0</v>
      </c>
    </row>
    <row r="531" spans="1:9">
      <c r="A531" s="126">
        <v>1996</v>
      </c>
      <c r="B531" s="126" t="s">
        <v>139</v>
      </c>
      <c r="C531" s="126" t="s">
        <v>25</v>
      </c>
      <c r="D531" s="126" t="s">
        <v>76</v>
      </c>
      <c r="E531" s="126" t="s">
        <v>133</v>
      </c>
      <c r="F531" s="126">
        <v>0</v>
      </c>
      <c r="G531" s="126">
        <v>0</v>
      </c>
      <c r="H531" s="126">
        <v>0</v>
      </c>
      <c r="I531" s="126">
        <v>0</v>
      </c>
    </row>
    <row r="532" spans="1:9">
      <c r="A532" s="126">
        <v>1996</v>
      </c>
      <c r="B532" s="126" t="s">
        <v>139</v>
      </c>
      <c r="C532" s="126" t="s">
        <v>25</v>
      </c>
      <c r="D532" s="126" t="s">
        <v>76</v>
      </c>
      <c r="E532" s="126" t="s">
        <v>134</v>
      </c>
      <c r="F532" s="126">
        <v>0</v>
      </c>
      <c r="G532" s="126">
        <v>0</v>
      </c>
      <c r="H532" s="126">
        <v>0</v>
      </c>
      <c r="I532" s="126">
        <v>0</v>
      </c>
    </row>
    <row r="533" spans="1:9">
      <c r="A533" s="126">
        <v>1996</v>
      </c>
      <c r="B533" s="126" t="s">
        <v>139</v>
      </c>
      <c r="C533" s="126" t="s">
        <v>25</v>
      </c>
      <c r="D533" s="126" t="s">
        <v>76</v>
      </c>
      <c r="E533" s="126" t="s">
        <v>135</v>
      </c>
      <c r="F533" s="126">
        <v>0</v>
      </c>
      <c r="G533" s="126">
        <v>0</v>
      </c>
      <c r="H533" s="126">
        <v>0</v>
      </c>
      <c r="I533" s="126">
        <v>0</v>
      </c>
    </row>
    <row r="534" spans="1:9">
      <c r="A534" s="126">
        <v>1996</v>
      </c>
      <c r="B534" s="126" t="s">
        <v>139</v>
      </c>
      <c r="C534" s="126" t="s">
        <v>25</v>
      </c>
      <c r="D534" s="126" t="s">
        <v>76</v>
      </c>
      <c r="E534" s="126" t="s">
        <v>136</v>
      </c>
      <c r="F534" s="126">
        <v>0</v>
      </c>
      <c r="G534" s="126">
        <v>0</v>
      </c>
      <c r="H534" s="126">
        <v>0</v>
      </c>
      <c r="I534" s="126">
        <v>0</v>
      </c>
    </row>
    <row r="535" spans="1:9">
      <c r="A535" s="126">
        <v>1996</v>
      </c>
      <c r="B535" s="126" t="s">
        <v>139</v>
      </c>
      <c r="C535" s="126" t="s">
        <v>21</v>
      </c>
      <c r="D535" s="126" t="s">
        <v>77</v>
      </c>
      <c r="E535" s="126" t="s">
        <v>132</v>
      </c>
      <c r="F535" s="126">
        <v>0</v>
      </c>
      <c r="G535" s="126">
        <v>0</v>
      </c>
      <c r="H535" s="126">
        <v>0</v>
      </c>
      <c r="I535" s="126">
        <v>0</v>
      </c>
    </row>
    <row r="536" spans="1:9">
      <c r="A536" s="126">
        <v>1996</v>
      </c>
      <c r="B536" s="126" t="s">
        <v>139</v>
      </c>
      <c r="C536" s="126" t="s">
        <v>21</v>
      </c>
      <c r="D536" s="126" t="s">
        <v>77</v>
      </c>
      <c r="E536" s="126" t="s">
        <v>133</v>
      </c>
      <c r="F536" s="126">
        <v>0</v>
      </c>
      <c r="G536" s="126">
        <v>0</v>
      </c>
      <c r="H536" s="126">
        <v>0</v>
      </c>
      <c r="I536" s="126">
        <v>0</v>
      </c>
    </row>
    <row r="537" spans="1:9">
      <c r="A537" s="126">
        <v>1996</v>
      </c>
      <c r="B537" s="126" t="s">
        <v>139</v>
      </c>
      <c r="C537" s="126" t="s">
        <v>21</v>
      </c>
      <c r="D537" s="126" t="s">
        <v>77</v>
      </c>
      <c r="E537" s="126" t="s">
        <v>134</v>
      </c>
      <c r="F537" s="126">
        <v>0</v>
      </c>
      <c r="G537" s="126">
        <v>0</v>
      </c>
      <c r="H537" s="126">
        <v>0</v>
      </c>
      <c r="I537" s="126">
        <v>0</v>
      </c>
    </row>
    <row r="538" spans="1:9">
      <c r="A538" s="126">
        <v>1996</v>
      </c>
      <c r="B538" s="126" t="s">
        <v>139</v>
      </c>
      <c r="C538" s="126" t="s">
        <v>21</v>
      </c>
      <c r="D538" s="126" t="s">
        <v>77</v>
      </c>
      <c r="E538" s="126" t="s">
        <v>135</v>
      </c>
      <c r="F538" s="126">
        <v>0</v>
      </c>
      <c r="G538" s="126">
        <v>0</v>
      </c>
      <c r="H538" s="126">
        <v>0</v>
      </c>
      <c r="I538" s="126">
        <v>0</v>
      </c>
    </row>
    <row r="539" spans="1:9">
      <c r="A539" s="126">
        <v>1996</v>
      </c>
      <c r="B539" s="126" t="s">
        <v>139</v>
      </c>
      <c r="C539" s="126" t="s">
        <v>21</v>
      </c>
      <c r="D539" s="126" t="s">
        <v>79</v>
      </c>
      <c r="E539" s="126" t="s">
        <v>132</v>
      </c>
      <c r="F539" s="126">
        <v>0</v>
      </c>
      <c r="G539" s="126">
        <v>0</v>
      </c>
      <c r="H539" s="126">
        <v>0</v>
      </c>
      <c r="I539" s="126">
        <v>0</v>
      </c>
    </row>
    <row r="540" spans="1:9">
      <c r="A540" s="126">
        <v>1996</v>
      </c>
      <c r="B540" s="126" t="s">
        <v>139</v>
      </c>
      <c r="C540" s="126" t="s">
        <v>21</v>
      </c>
      <c r="D540" s="126" t="s">
        <v>79</v>
      </c>
      <c r="E540" s="126" t="s">
        <v>133</v>
      </c>
      <c r="F540" s="126">
        <v>0</v>
      </c>
      <c r="G540" s="126">
        <v>0</v>
      </c>
      <c r="H540" s="126">
        <v>0</v>
      </c>
      <c r="I540" s="126">
        <v>0</v>
      </c>
    </row>
    <row r="541" spans="1:9">
      <c r="A541" s="126">
        <v>1996</v>
      </c>
      <c r="B541" s="126" t="s">
        <v>139</v>
      </c>
      <c r="C541" s="126" t="s">
        <v>21</v>
      </c>
      <c r="D541" s="126" t="s">
        <v>79</v>
      </c>
      <c r="E541" s="126" t="s">
        <v>134</v>
      </c>
      <c r="F541" s="126">
        <v>0</v>
      </c>
      <c r="G541" s="126">
        <v>0</v>
      </c>
      <c r="H541" s="126">
        <v>0</v>
      </c>
      <c r="I541" s="126">
        <v>0</v>
      </c>
    </row>
    <row r="542" spans="1:9">
      <c r="A542" s="126">
        <v>1996</v>
      </c>
      <c r="B542" s="126" t="s">
        <v>139</v>
      </c>
      <c r="C542" s="126" t="s">
        <v>21</v>
      </c>
      <c r="D542" s="126" t="s">
        <v>79</v>
      </c>
      <c r="E542" s="126" t="s">
        <v>135</v>
      </c>
      <c r="F542" s="126">
        <v>0</v>
      </c>
      <c r="G542" s="126">
        <v>0</v>
      </c>
      <c r="H542" s="126">
        <v>0</v>
      </c>
      <c r="I542" s="126">
        <v>0</v>
      </c>
    </row>
    <row r="543" spans="1:9">
      <c r="A543" s="126">
        <v>1996</v>
      </c>
      <c r="B543" s="126" t="s">
        <v>139</v>
      </c>
      <c r="C543" s="126" t="s">
        <v>21</v>
      </c>
      <c r="D543" s="126" t="s">
        <v>79</v>
      </c>
      <c r="E543" s="126" t="s">
        <v>136</v>
      </c>
      <c r="F543" s="126">
        <v>0</v>
      </c>
      <c r="G543" s="126">
        <v>0</v>
      </c>
      <c r="H543" s="126">
        <v>0</v>
      </c>
      <c r="I543" s="126">
        <v>0</v>
      </c>
    </row>
    <row r="544" spans="1:9">
      <c r="A544" s="126">
        <v>1996</v>
      </c>
      <c r="B544" s="126" t="s">
        <v>139</v>
      </c>
      <c r="C544" s="126" t="s">
        <v>21</v>
      </c>
      <c r="D544" s="126" t="s">
        <v>76</v>
      </c>
      <c r="E544" s="126" t="s">
        <v>132</v>
      </c>
      <c r="F544" s="126">
        <v>0</v>
      </c>
      <c r="G544" s="126">
        <v>0</v>
      </c>
      <c r="H544" s="126">
        <v>0</v>
      </c>
      <c r="I544" s="126">
        <v>0</v>
      </c>
    </row>
    <row r="545" spans="1:9">
      <c r="A545" s="126">
        <v>1996</v>
      </c>
      <c r="B545" s="126" t="s">
        <v>139</v>
      </c>
      <c r="C545" s="126" t="s">
        <v>21</v>
      </c>
      <c r="D545" s="126" t="s">
        <v>76</v>
      </c>
      <c r="E545" s="126" t="s">
        <v>133</v>
      </c>
      <c r="F545" s="126">
        <v>0</v>
      </c>
      <c r="G545" s="126">
        <v>0</v>
      </c>
      <c r="H545" s="126">
        <v>0</v>
      </c>
      <c r="I545" s="126">
        <v>0</v>
      </c>
    </row>
    <row r="546" spans="1:9">
      <c r="A546" s="126">
        <v>1996</v>
      </c>
      <c r="B546" s="126" t="s">
        <v>139</v>
      </c>
      <c r="C546" s="126" t="s">
        <v>21</v>
      </c>
      <c r="D546" s="126" t="s">
        <v>76</v>
      </c>
      <c r="E546" s="126" t="s">
        <v>134</v>
      </c>
      <c r="F546" s="126">
        <v>0</v>
      </c>
      <c r="G546" s="126">
        <v>0</v>
      </c>
      <c r="H546" s="126">
        <v>0</v>
      </c>
      <c r="I546" s="126">
        <v>0</v>
      </c>
    </row>
    <row r="547" spans="1:9">
      <c r="A547" s="126">
        <v>1996</v>
      </c>
      <c r="B547" s="126" t="s">
        <v>139</v>
      </c>
      <c r="C547" s="126" t="s">
        <v>21</v>
      </c>
      <c r="D547" s="126" t="s">
        <v>76</v>
      </c>
      <c r="E547" s="126" t="s">
        <v>135</v>
      </c>
      <c r="F547" s="126">
        <v>0</v>
      </c>
      <c r="G547" s="126">
        <v>0</v>
      </c>
      <c r="H547" s="126">
        <v>0</v>
      </c>
      <c r="I547" s="126">
        <v>0</v>
      </c>
    </row>
    <row r="548" spans="1:9">
      <c r="A548" s="126">
        <v>1996</v>
      </c>
      <c r="B548" s="126" t="s">
        <v>139</v>
      </c>
      <c r="C548" s="126" t="s">
        <v>21</v>
      </c>
      <c r="D548" s="126" t="s">
        <v>76</v>
      </c>
      <c r="E548" s="126" t="s">
        <v>136</v>
      </c>
      <c r="F548" s="126">
        <v>0</v>
      </c>
      <c r="G548" s="126">
        <v>0</v>
      </c>
      <c r="H548" s="126">
        <v>0</v>
      </c>
      <c r="I548" s="126">
        <v>0</v>
      </c>
    </row>
    <row r="549" spans="1:9">
      <c r="A549" s="126">
        <v>1996</v>
      </c>
      <c r="B549" s="126" t="s">
        <v>139</v>
      </c>
      <c r="C549" s="126" t="s">
        <v>24</v>
      </c>
      <c r="D549" s="126" t="s">
        <v>77</v>
      </c>
      <c r="E549" s="126" t="s">
        <v>132</v>
      </c>
      <c r="F549" s="126">
        <v>0</v>
      </c>
      <c r="G549" s="126">
        <v>0</v>
      </c>
      <c r="H549" s="126">
        <v>0</v>
      </c>
      <c r="I549" s="126">
        <v>0</v>
      </c>
    </row>
    <row r="550" spans="1:9">
      <c r="A550" s="126">
        <v>1996</v>
      </c>
      <c r="B550" s="126" t="s">
        <v>139</v>
      </c>
      <c r="C550" s="126" t="s">
        <v>24</v>
      </c>
      <c r="D550" s="126" t="s">
        <v>77</v>
      </c>
      <c r="E550" s="126" t="s">
        <v>133</v>
      </c>
      <c r="F550" s="126">
        <v>0</v>
      </c>
      <c r="G550" s="126">
        <v>0</v>
      </c>
      <c r="H550" s="126">
        <v>0</v>
      </c>
      <c r="I550" s="126">
        <v>0</v>
      </c>
    </row>
    <row r="551" spans="1:9">
      <c r="A551" s="126">
        <v>1996</v>
      </c>
      <c r="B551" s="126" t="s">
        <v>139</v>
      </c>
      <c r="C551" s="126" t="s">
        <v>24</v>
      </c>
      <c r="D551" s="126" t="s">
        <v>77</v>
      </c>
      <c r="E551" s="126" t="s">
        <v>134</v>
      </c>
      <c r="F551" s="126">
        <v>0</v>
      </c>
      <c r="G551" s="126">
        <v>0</v>
      </c>
      <c r="H551" s="126">
        <v>0</v>
      </c>
      <c r="I551" s="126">
        <v>0</v>
      </c>
    </row>
    <row r="552" spans="1:9">
      <c r="A552" s="126">
        <v>1996</v>
      </c>
      <c r="B552" s="126" t="s">
        <v>139</v>
      </c>
      <c r="C552" s="126" t="s">
        <v>24</v>
      </c>
      <c r="D552" s="126" t="s">
        <v>77</v>
      </c>
      <c r="E552" s="126" t="s">
        <v>135</v>
      </c>
      <c r="F552" s="126">
        <v>0</v>
      </c>
      <c r="G552" s="126">
        <v>0</v>
      </c>
      <c r="H552" s="126">
        <v>0</v>
      </c>
      <c r="I552" s="126">
        <v>0</v>
      </c>
    </row>
    <row r="553" spans="1:9">
      <c r="A553" s="126">
        <v>1996</v>
      </c>
      <c r="B553" s="126" t="s">
        <v>139</v>
      </c>
      <c r="C553" s="126" t="s">
        <v>24</v>
      </c>
      <c r="D553" s="126" t="s">
        <v>79</v>
      </c>
      <c r="E553" s="126" t="s">
        <v>132</v>
      </c>
      <c r="F553" s="126">
        <v>0</v>
      </c>
      <c r="G553" s="126">
        <v>0</v>
      </c>
      <c r="H553" s="126">
        <v>0</v>
      </c>
      <c r="I553" s="126">
        <v>0</v>
      </c>
    </row>
    <row r="554" spans="1:9">
      <c r="A554" s="126">
        <v>1996</v>
      </c>
      <c r="B554" s="126" t="s">
        <v>139</v>
      </c>
      <c r="C554" s="126" t="s">
        <v>24</v>
      </c>
      <c r="D554" s="126" t="s">
        <v>79</v>
      </c>
      <c r="E554" s="126" t="s">
        <v>133</v>
      </c>
      <c r="F554" s="126">
        <v>0</v>
      </c>
      <c r="G554" s="126">
        <v>0</v>
      </c>
      <c r="H554" s="126">
        <v>0</v>
      </c>
      <c r="I554" s="126">
        <v>0</v>
      </c>
    </row>
    <row r="555" spans="1:9">
      <c r="A555" s="126">
        <v>1996</v>
      </c>
      <c r="B555" s="126" t="s">
        <v>139</v>
      </c>
      <c r="C555" s="126" t="s">
        <v>24</v>
      </c>
      <c r="D555" s="126" t="s">
        <v>79</v>
      </c>
      <c r="E555" s="126" t="s">
        <v>134</v>
      </c>
      <c r="F555" s="126">
        <v>0</v>
      </c>
      <c r="G555" s="126">
        <v>0</v>
      </c>
      <c r="H555" s="126">
        <v>0</v>
      </c>
      <c r="I555" s="126">
        <v>0</v>
      </c>
    </row>
    <row r="556" spans="1:9">
      <c r="A556" s="126">
        <v>1996</v>
      </c>
      <c r="B556" s="126" t="s">
        <v>139</v>
      </c>
      <c r="C556" s="126" t="s">
        <v>24</v>
      </c>
      <c r="D556" s="126" t="s">
        <v>79</v>
      </c>
      <c r="E556" s="126" t="s">
        <v>135</v>
      </c>
      <c r="F556" s="126">
        <v>0</v>
      </c>
      <c r="G556" s="126">
        <v>0</v>
      </c>
      <c r="H556" s="126">
        <v>0</v>
      </c>
      <c r="I556" s="126">
        <v>0</v>
      </c>
    </row>
    <row r="557" spans="1:9">
      <c r="A557" s="126">
        <v>1996</v>
      </c>
      <c r="B557" s="126" t="s">
        <v>139</v>
      </c>
      <c r="C557" s="126" t="s">
        <v>24</v>
      </c>
      <c r="D557" s="126" t="s">
        <v>79</v>
      </c>
      <c r="E557" s="126" t="s">
        <v>136</v>
      </c>
      <c r="F557" s="126">
        <v>0</v>
      </c>
      <c r="G557" s="126">
        <v>0</v>
      </c>
      <c r="H557" s="126">
        <v>0</v>
      </c>
      <c r="I557" s="126">
        <v>0</v>
      </c>
    </row>
    <row r="558" spans="1:9">
      <c r="A558" s="126">
        <v>1996</v>
      </c>
      <c r="B558" s="126" t="s">
        <v>139</v>
      </c>
      <c r="C558" s="126" t="s">
        <v>24</v>
      </c>
      <c r="D558" s="126" t="s">
        <v>76</v>
      </c>
      <c r="E558" s="126" t="s">
        <v>132</v>
      </c>
      <c r="F558" s="126">
        <v>0</v>
      </c>
      <c r="G558" s="126">
        <v>0</v>
      </c>
      <c r="H558" s="126">
        <v>0</v>
      </c>
      <c r="I558" s="126">
        <v>0</v>
      </c>
    </row>
    <row r="559" spans="1:9">
      <c r="A559" s="126">
        <v>1996</v>
      </c>
      <c r="B559" s="126" t="s">
        <v>139</v>
      </c>
      <c r="C559" s="126" t="s">
        <v>24</v>
      </c>
      <c r="D559" s="126" t="s">
        <v>76</v>
      </c>
      <c r="E559" s="126" t="s">
        <v>133</v>
      </c>
      <c r="F559" s="126">
        <v>0</v>
      </c>
      <c r="G559" s="126">
        <v>0</v>
      </c>
      <c r="H559" s="126">
        <v>0</v>
      </c>
      <c r="I559" s="126">
        <v>0</v>
      </c>
    </row>
    <row r="560" spans="1:9">
      <c r="A560" s="126">
        <v>1996</v>
      </c>
      <c r="B560" s="126" t="s">
        <v>139</v>
      </c>
      <c r="C560" s="126" t="s">
        <v>24</v>
      </c>
      <c r="D560" s="126" t="s">
        <v>76</v>
      </c>
      <c r="E560" s="126" t="s">
        <v>134</v>
      </c>
      <c r="F560" s="126">
        <v>0</v>
      </c>
      <c r="G560" s="126">
        <v>0</v>
      </c>
      <c r="H560" s="126">
        <v>0</v>
      </c>
      <c r="I560" s="126">
        <v>0</v>
      </c>
    </row>
    <row r="561" spans="1:9">
      <c r="A561" s="126">
        <v>1996</v>
      </c>
      <c r="B561" s="126" t="s">
        <v>139</v>
      </c>
      <c r="C561" s="126" t="s">
        <v>24</v>
      </c>
      <c r="D561" s="126" t="s">
        <v>76</v>
      </c>
      <c r="E561" s="126" t="s">
        <v>135</v>
      </c>
      <c r="F561" s="126">
        <v>0</v>
      </c>
      <c r="G561" s="126">
        <v>0</v>
      </c>
      <c r="H561" s="126">
        <v>0</v>
      </c>
      <c r="I561" s="126">
        <v>0</v>
      </c>
    </row>
    <row r="562" spans="1:9">
      <c r="A562" s="126">
        <v>1996</v>
      </c>
      <c r="B562" s="126" t="s">
        <v>139</v>
      </c>
      <c r="C562" s="126" t="s">
        <v>24</v>
      </c>
      <c r="D562" s="126" t="s">
        <v>76</v>
      </c>
      <c r="E562" s="126" t="s">
        <v>136</v>
      </c>
      <c r="F562" s="126">
        <v>0</v>
      </c>
      <c r="G562" s="126">
        <v>0</v>
      </c>
      <c r="H562" s="126">
        <v>0</v>
      </c>
      <c r="I562" s="126">
        <v>0</v>
      </c>
    </row>
    <row r="563" spans="1:9">
      <c r="A563" s="126">
        <v>1996</v>
      </c>
      <c r="B563" s="126" t="s">
        <v>137</v>
      </c>
      <c r="C563" s="126" t="s">
        <v>26</v>
      </c>
      <c r="D563" s="126" t="s">
        <v>77</v>
      </c>
      <c r="E563" s="126" t="s">
        <v>132</v>
      </c>
      <c r="F563" s="126">
        <v>0</v>
      </c>
      <c r="G563" s="126">
        <v>0</v>
      </c>
      <c r="H563" s="126">
        <v>0</v>
      </c>
      <c r="I563" s="126">
        <v>0</v>
      </c>
    </row>
    <row r="564" spans="1:9">
      <c r="A564" s="126">
        <v>1996</v>
      </c>
      <c r="B564" s="126" t="s">
        <v>137</v>
      </c>
      <c r="C564" s="126" t="s">
        <v>26</v>
      </c>
      <c r="D564" s="126" t="s">
        <v>77</v>
      </c>
      <c r="E564" s="126" t="s">
        <v>133</v>
      </c>
      <c r="F564" s="126">
        <v>0</v>
      </c>
      <c r="G564" s="126">
        <v>0</v>
      </c>
      <c r="H564" s="126">
        <v>0</v>
      </c>
      <c r="I564" s="126">
        <v>0</v>
      </c>
    </row>
    <row r="565" spans="1:9">
      <c r="A565" s="126">
        <v>1996</v>
      </c>
      <c r="B565" s="126" t="s">
        <v>137</v>
      </c>
      <c r="C565" s="126" t="s">
        <v>26</v>
      </c>
      <c r="D565" s="126" t="s">
        <v>77</v>
      </c>
      <c r="E565" s="126" t="s">
        <v>134</v>
      </c>
      <c r="F565" s="126">
        <v>0</v>
      </c>
      <c r="G565" s="126">
        <v>0</v>
      </c>
      <c r="H565" s="126">
        <v>0</v>
      </c>
      <c r="I565" s="126">
        <v>0</v>
      </c>
    </row>
    <row r="566" spans="1:9">
      <c r="A566" s="126">
        <v>1996</v>
      </c>
      <c r="B566" s="126" t="s">
        <v>137</v>
      </c>
      <c r="C566" s="126" t="s">
        <v>26</v>
      </c>
      <c r="D566" s="126" t="s">
        <v>77</v>
      </c>
      <c r="E566" s="126" t="s">
        <v>135</v>
      </c>
      <c r="F566" s="126">
        <v>0</v>
      </c>
      <c r="G566" s="126">
        <v>0</v>
      </c>
      <c r="H566" s="126">
        <v>0</v>
      </c>
      <c r="I566" s="126">
        <v>0</v>
      </c>
    </row>
    <row r="567" spans="1:9">
      <c r="A567" s="126">
        <v>1996</v>
      </c>
      <c r="B567" s="126" t="s">
        <v>137</v>
      </c>
      <c r="C567" s="126" t="s">
        <v>26</v>
      </c>
      <c r="D567" s="126" t="s">
        <v>79</v>
      </c>
      <c r="E567" s="126" t="s">
        <v>132</v>
      </c>
      <c r="F567" s="126">
        <v>0</v>
      </c>
      <c r="G567" s="126">
        <v>0</v>
      </c>
      <c r="H567" s="126">
        <v>0</v>
      </c>
      <c r="I567" s="126">
        <v>0</v>
      </c>
    </row>
    <row r="568" spans="1:9">
      <c r="A568" s="126">
        <v>1996</v>
      </c>
      <c r="B568" s="126" t="s">
        <v>137</v>
      </c>
      <c r="C568" s="126" t="s">
        <v>26</v>
      </c>
      <c r="D568" s="126" t="s">
        <v>79</v>
      </c>
      <c r="E568" s="126" t="s">
        <v>133</v>
      </c>
      <c r="F568" s="126">
        <v>0</v>
      </c>
      <c r="G568" s="126">
        <v>0</v>
      </c>
      <c r="H568" s="126">
        <v>0</v>
      </c>
      <c r="I568" s="126">
        <v>0</v>
      </c>
    </row>
    <row r="569" spans="1:9">
      <c r="A569" s="126">
        <v>1996</v>
      </c>
      <c r="B569" s="126" t="s">
        <v>137</v>
      </c>
      <c r="C569" s="126" t="s">
        <v>26</v>
      </c>
      <c r="D569" s="126" t="s">
        <v>79</v>
      </c>
      <c r="E569" s="126" t="s">
        <v>134</v>
      </c>
      <c r="F569" s="126">
        <v>0</v>
      </c>
      <c r="G569" s="126">
        <v>0</v>
      </c>
      <c r="H569" s="126">
        <v>0</v>
      </c>
      <c r="I569" s="126">
        <v>0</v>
      </c>
    </row>
    <row r="570" spans="1:9">
      <c r="A570" s="126">
        <v>1996</v>
      </c>
      <c r="B570" s="126" t="s">
        <v>137</v>
      </c>
      <c r="C570" s="126" t="s">
        <v>26</v>
      </c>
      <c r="D570" s="126" t="s">
        <v>79</v>
      </c>
      <c r="E570" s="126" t="s">
        <v>135</v>
      </c>
      <c r="F570" s="126">
        <v>0</v>
      </c>
      <c r="G570" s="126">
        <v>0</v>
      </c>
      <c r="H570" s="126">
        <v>0</v>
      </c>
      <c r="I570" s="126">
        <v>0</v>
      </c>
    </row>
    <row r="571" spans="1:9">
      <c r="A571" s="126">
        <v>1996</v>
      </c>
      <c r="B571" s="126" t="s">
        <v>137</v>
      </c>
      <c r="C571" s="126" t="s">
        <v>26</v>
      </c>
      <c r="D571" s="126" t="s">
        <v>79</v>
      </c>
      <c r="E571" s="126" t="s">
        <v>136</v>
      </c>
      <c r="F571" s="126">
        <v>0</v>
      </c>
      <c r="G571" s="126">
        <v>0</v>
      </c>
      <c r="H571" s="126">
        <v>0</v>
      </c>
      <c r="I571" s="126">
        <v>0</v>
      </c>
    </row>
    <row r="572" spans="1:9">
      <c r="A572" s="126">
        <v>1996</v>
      </c>
      <c r="B572" s="126" t="s">
        <v>137</v>
      </c>
      <c r="C572" s="126" t="s">
        <v>26</v>
      </c>
      <c r="D572" s="126" t="s">
        <v>76</v>
      </c>
      <c r="E572" s="126" t="s">
        <v>132</v>
      </c>
      <c r="F572" s="126">
        <v>0</v>
      </c>
      <c r="G572" s="126">
        <v>0</v>
      </c>
      <c r="H572" s="126">
        <v>0</v>
      </c>
      <c r="I572" s="126">
        <v>0</v>
      </c>
    </row>
    <row r="573" spans="1:9">
      <c r="A573" s="126">
        <v>1996</v>
      </c>
      <c r="B573" s="126" t="s">
        <v>137</v>
      </c>
      <c r="C573" s="126" t="s">
        <v>26</v>
      </c>
      <c r="D573" s="126" t="s">
        <v>76</v>
      </c>
      <c r="E573" s="126" t="s">
        <v>133</v>
      </c>
      <c r="F573" s="126">
        <v>0</v>
      </c>
      <c r="G573" s="126">
        <v>0</v>
      </c>
      <c r="H573" s="126">
        <v>0</v>
      </c>
      <c r="I573" s="126">
        <v>0</v>
      </c>
    </row>
    <row r="574" spans="1:9">
      <c r="A574" s="126">
        <v>1996</v>
      </c>
      <c r="B574" s="126" t="s">
        <v>137</v>
      </c>
      <c r="C574" s="126" t="s">
        <v>26</v>
      </c>
      <c r="D574" s="126" t="s">
        <v>76</v>
      </c>
      <c r="E574" s="126" t="s">
        <v>134</v>
      </c>
      <c r="F574" s="126">
        <v>0</v>
      </c>
      <c r="G574" s="126">
        <v>0</v>
      </c>
      <c r="H574" s="126">
        <v>0</v>
      </c>
      <c r="I574" s="126">
        <v>0</v>
      </c>
    </row>
    <row r="575" spans="1:9">
      <c r="A575" s="126">
        <v>1996</v>
      </c>
      <c r="B575" s="126" t="s">
        <v>137</v>
      </c>
      <c r="C575" s="126" t="s">
        <v>26</v>
      </c>
      <c r="D575" s="126" t="s">
        <v>76</v>
      </c>
      <c r="E575" s="126" t="s">
        <v>135</v>
      </c>
      <c r="F575" s="126">
        <v>0</v>
      </c>
      <c r="G575" s="126">
        <v>0</v>
      </c>
      <c r="H575" s="126">
        <v>0</v>
      </c>
      <c r="I575" s="126">
        <v>0</v>
      </c>
    </row>
    <row r="576" spans="1:9">
      <c r="A576" s="126">
        <v>1996</v>
      </c>
      <c r="B576" s="126" t="s">
        <v>137</v>
      </c>
      <c r="C576" s="126" t="s">
        <v>26</v>
      </c>
      <c r="D576" s="126" t="s">
        <v>76</v>
      </c>
      <c r="E576" s="126" t="s">
        <v>136</v>
      </c>
      <c r="F576" s="126">
        <v>0</v>
      </c>
      <c r="G576" s="126">
        <v>0</v>
      </c>
      <c r="H576" s="126">
        <v>0</v>
      </c>
      <c r="I576" s="126">
        <v>0</v>
      </c>
    </row>
    <row r="577" spans="1:9">
      <c r="A577" s="126">
        <v>1996</v>
      </c>
      <c r="B577" s="126" t="s">
        <v>137</v>
      </c>
      <c r="C577" s="126" t="s">
        <v>20</v>
      </c>
      <c r="D577" s="126" t="s">
        <v>77</v>
      </c>
      <c r="E577" s="126" t="s">
        <v>132</v>
      </c>
      <c r="F577" s="126">
        <v>0</v>
      </c>
      <c r="G577" s="126">
        <v>0</v>
      </c>
      <c r="H577" s="126">
        <v>0</v>
      </c>
      <c r="I577" s="126">
        <v>0</v>
      </c>
    </row>
    <row r="578" spans="1:9">
      <c r="A578" s="126">
        <v>1996</v>
      </c>
      <c r="B578" s="126" t="s">
        <v>137</v>
      </c>
      <c r="C578" s="126" t="s">
        <v>20</v>
      </c>
      <c r="D578" s="126" t="s">
        <v>77</v>
      </c>
      <c r="E578" s="126" t="s">
        <v>133</v>
      </c>
      <c r="F578" s="126">
        <v>0</v>
      </c>
      <c r="G578" s="126">
        <v>0</v>
      </c>
      <c r="H578" s="126">
        <v>0</v>
      </c>
      <c r="I578" s="126">
        <v>0</v>
      </c>
    </row>
    <row r="579" spans="1:9">
      <c r="A579" s="126">
        <v>1996</v>
      </c>
      <c r="B579" s="126" t="s">
        <v>137</v>
      </c>
      <c r="C579" s="126" t="s">
        <v>20</v>
      </c>
      <c r="D579" s="126" t="s">
        <v>77</v>
      </c>
      <c r="E579" s="126" t="s">
        <v>134</v>
      </c>
      <c r="F579" s="126">
        <v>0</v>
      </c>
      <c r="G579" s="126">
        <v>0</v>
      </c>
      <c r="H579" s="126">
        <v>0</v>
      </c>
      <c r="I579" s="126">
        <v>0</v>
      </c>
    </row>
    <row r="580" spans="1:9">
      <c r="A580" s="126">
        <v>1996</v>
      </c>
      <c r="B580" s="126" t="s">
        <v>137</v>
      </c>
      <c r="C580" s="126" t="s">
        <v>20</v>
      </c>
      <c r="D580" s="126" t="s">
        <v>77</v>
      </c>
      <c r="E580" s="126" t="s">
        <v>135</v>
      </c>
      <c r="F580" s="126">
        <v>0</v>
      </c>
      <c r="G580" s="126">
        <v>0</v>
      </c>
      <c r="H580" s="126">
        <v>0</v>
      </c>
      <c r="I580" s="126">
        <v>0</v>
      </c>
    </row>
    <row r="581" spans="1:9">
      <c r="A581" s="126">
        <v>1996</v>
      </c>
      <c r="B581" s="126" t="s">
        <v>137</v>
      </c>
      <c r="C581" s="126" t="s">
        <v>20</v>
      </c>
      <c r="D581" s="126" t="s">
        <v>79</v>
      </c>
      <c r="E581" s="126" t="s">
        <v>132</v>
      </c>
      <c r="F581" s="126">
        <v>0</v>
      </c>
      <c r="G581" s="126">
        <v>0</v>
      </c>
      <c r="H581" s="126">
        <v>0</v>
      </c>
      <c r="I581" s="126">
        <v>0</v>
      </c>
    </row>
    <row r="582" spans="1:9">
      <c r="A582" s="126">
        <v>1996</v>
      </c>
      <c r="B582" s="126" t="s">
        <v>137</v>
      </c>
      <c r="C582" s="126" t="s">
        <v>20</v>
      </c>
      <c r="D582" s="126" t="s">
        <v>79</v>
      </c>
      <c r="E582" s="126" t="s">
        <v>133</v>
      </c>
      <c r="F582" s="126">
        <v>0</v>
      </c>
      <c r="G582" s="126">
        <v>0</v>
      </c>
      <c r="H582" s="126">
        <v>0</v>
      </c>
      <c r="I582" s="126">
        <v>0</v>
      </c>
    </row>
    <row r="583" spans="1:9">
      <c r="A583" s="126">
        <v>1996</v>
      </c>
      <c r="B583" s="126" t="s">
        <v>137</v>
      </c>
      <c r="C583" s="126" t="s">
        <v>20</v>
      </c>
      <c r="D583" s="126" t="s">
        <v>79</v>
      </c>
      <c r="E583" s="126" t="s">
        <v>134</v>
      </c>
      <c r="F583" s="126">
        <v>0</v>
      </c>
      <c r="G583" s="126">
        <v>0</v>
      </c>
      <c r="H583" s="126">
        <v>0</v>
      </c>
      <c r="I583" s="126">
        <v>0</v>
      </c>
    </row>
    <row r="584" spans="1:9">
      <c r="A584" s="126">
        <v>1996</v>
      </c>
      <c r="B584" s="126" t="s">
        <v>137</v>
      </c>
      <c r="C584" s="126" t="s">
        <v>20</v>
      </c>
      <c r="D584" s="126" t="s">
        <v>79</v>
      </c>
      <c r="E584" s="126" t="s">
        <v>135</v>
      </c>
      <c r="F584" s="126">
        <v>0</v>
      </c>
      <c r="G584" s="126">
        <v>0</v>
      </c>
      <c r="H584" s="126">
        <v>0</v>
      </c>
      <c r="I584" s="126">
        <v>0</v>
      </c>
    </row>
    <row r="585" spans="1:9">
      <c r="A585" s="126">
        <v>1996</v>
      </c>
      <c r="B585" s="126" t="s">
        <v>137</v>
      </c>
      <c r="C585" s="126" t="s">
        <v>20</v>
      </c>
      <c r="D585" s="126" t="s">
        <v>79</v>
      </c>
      <c r="E585" s="126" t="s">
        <v>136</v>
      </c>
      <c r="F585" s="126">
        <v>0</v>
      </c>
      <c r="G585" s="126">
        <v>0</v>
      </c>
      <c r="H585" s="126">
        <v>0</v>
      </c>
      <c r="I585" s="126">
        <v>0</v>
      </c>
    </row>
    <row r="586" spans="1:9">
      <c r="A586" s="126">
        <v>1996</v>
      </c>
      <c r="B586" s="126" t="s">
        <v>137</v>
      </c>
      <c r="C586" s="126" t="s">
        <v>20</v>
      </c>
      <c r="D586" s="126" t="s">
        <v>76</v>
      </c>
      <c r="E586" s="126" t="s">
        <v>132</v>
      </c>
      <c r="F586" s="126">
        <v>0</v>
      </c>
      <c r="G586" s="126">
        <v>0</v>
      </c>
      <c r="H586" s="126">
        <v>0</v>
      </c>
      <c r="I586" s="126">
        <v>0</v>
      </c>
    </row>
    <row r="587" spans="1:9">
      <c r="A587" s="126">
        <v>1996</v>
      </c>
      <c r="B587" s="126" t="s">
        <v>137</v>
      </c>
      <c r="C587" s="126" t="s">
        <v>20</v>
      </c>
      <c r="D587" s="126" t="s">
        <v>76</v>
      </c>
      <c r="E587" s="126" t="s">
        <v>133</v>
      </c>
      <c r="F587" s="126">
        <v>0</v>
      </c>
      <c r="G587" s="126">
        <v>0</v>
      </c>
      <c r="H587" s="126">
        <v>0</v>
      </c>
      <c r="I587" s="126">
        <v>0</v>
      </c>
    </row>
    <row r="588" spans="1:9">
      <c r="A588" s="126">
        <v>1996</v>
      </c>
      <c r="B588" s="126" t="s">
        <v>137</v>
      </c>
      <c r="C588" s="126" t="s">
        <v>20</v>
      </c>
      <c r="D588" s="126" t="s">
        <v>76</v>
      </c>
      <c r="E588" s="126" t="s">
        <v>134</v>
      </c>
      <c r="F588" s="126">
        <v>0</v>
      </c>
      <c r="G588" s="126">
        <v>0</v>
      </c>
      <c r="H588" s="126">
        <v>0</v>
      </c>
      <c r="I588" s="126">
        <v>0</v>
      </c>
    </row>
    <row r="589" spans="1:9">
      <c r="A589" s="126">
        <v>1996</v>
      </c>
      <c r="B589" s="126" t="s">
        <v>137</v>
      </c>
      <c r="C589" s="126" t="s">
        <v>20</v>
      </c>
      <c r="D589" s="126" t="s">
        <v>76</v>
      </c>
      <c r="E589" s="126" t="s">
        <v>135</v>
      </c>
      <c r="F589" s="126">
        <v>0</v>
      </c>
      <c r="G589" s="126">
        <v>0</v>
      </c>
      <c r="H589" s="126">
        <v>0</v>
      </c>
      <c r="I589" s="126">
        <v>0</v>
      </c>
    </row>
    <row r="590" spans="1:9">
      <c r="A590" s="126">
        <v>1996</v>
      </c>
      <c r="B590" s="126" t="s">
        <v>137</v>
      </c>
      <c r="C590" s="126" t="s">
        <v>20</v>
      </c>
      <c r="D590" s="126" t="s">
        <v>76</v>
      </c>
      <c r="E590" s="126" t="s">
        <v>136</v>
      </c>
      <c r="F590" s="126">
        <v>0</v>
      </c>
      <c r="G590" s="126">
        <v>0</v>
      </c>
      <c r="H590" s="126">
        <v>0</v>
      </c>
      <c r="I590" s="126">
        <v>0</v>
      </c>
    </row>
    <row r="591" spans="1:9">
      <c r="A591" s="126">
        <v>1996</v>
      </c>
      <c r="B591" s="126" t="s">
        <v>137</v>
      </c>
      <c r="C591" s="126" t="s">
        <v>27</v>
      </c>
      <c r="D591" s="126" t="s">
        <v>77</v>
      </c>
      <c r="E591" s="126" t="s">
        <v>132</v>
      </c>
      <c r="F591" s="126">
        <v>0</v>
      </c>
      <c r="G591" s="126">
        <v>0</v>
      </c>
      <c r="H591" s="126">
        <v>0</v>
      </c>
      <c r="I591" s="126">
        <v>0</v>
      </c>
    </row>
    <row r="592" spans="1:9">
      <c r="A592" s="126">
        <v>1996</v>
      </c>
      <c r="B592" s="126" t="s">
        <v>137</v>
      </c>
      <c r="C592" s="126" t="s">
        <v>27</v>
      </c>
      <c r="D592" s="126" t="s">
        <v>77</v>
      </c>
      <c r="E592" s="126" t="s">
        <v>133</v>
      </c>
      <c r="F592" s="126">
        <v>0</v>
      </c>
      <c r="G592" s="126">
        <v>0</v>
      </c>
      <c r="H592" s="126">
        <v>0</v>
      </c>
      <c r="I592" s="126">
        <v>0</v>
      </c>
    </row>
    <row r="593" spans="1:9">
      <c r="A593" s="126">
        <v>1996</v>
      </c>
      <c r="B593" s="126" t="s">
        <v>137</v>
      </c>
      <c r="C593" s="126" t="s">
        <v>27</v>
      </c>
      <c r="D593" s="126" t="s">
        <v>77</v>
      </c>
      <c r="E593" s="126" t="s">
        <v>134</v>
      </c>
      <c r="F593" s="126">
        <v>0</v>
      </c>
      <c r="G593" s="126">
        <v>0</v>
      </c>
      <c r="H593" s="126">
        <v>0</v>
      </c>
      <c r="I593" s="126">
        <v>0</v>
      </c>
    </row>
    <row r="594" spans="1:9">
      <c r="A594" s="126">
        <v>1996</v>
      </c>
      <c r="B594" s="126" t="s">
        <v>137</v>
      </c>
      <c r="C594" s="126" t="s">
        <v>27</v>
      </c>
      <c r="D594" s="126" t="s">
        <v>77</v>
      </c>
      <c r="E594" s="126" t="s">
        <v>135</v>
      </c>
      <c r="F594" s="126">
        <v>0</v>
      </c>
      <c r="G594" s="126">
        <v>0</v>
      </c>
      <c r="H594" s="126">
        <v>0</v>
      </c>
      <c r="I594" s="126">
        <v>0</v>
      </c>
    </row>
    <row r="595" spans="1:9">
      <c r="A595" s="126">
        <v>1996</v>
      </c>
      <c r="B595" s="126" t="s">
        <v>137</v>
      </c>
      <c r="C595" s="126" t="s">
        <v>27</v>
      </c>
      <c r="D595" s="126" t="s">
        <v>79</v>
      </c>
      <c r="E595" s="126" t="s">
        <v>132</v>
      </c>
      <c r="F595" s="126">
        <v>0</v>
      </c>
      <c r="G595" s="126">
        <v>0</v>
      </c>
      <c r="H595" s="126">
        <v>0</v>
      </c>
      <c r="I595" s="126">
        <v>0</v>
      </c>
    </row>
    <row r="596" spans="1:9">
      <c r="A596" s="126">
        <v>1996</v>
      </c>
      <c r="B596" s="126" t="s">
        <v>137</v>
      </c>
      <c r="C596" s="126" t="s">
        <v>27</v>
      </c>
      <c r="D596" s="126" t="s">
        <v>79</v>
      </c>
      <c r="E596" s="126" t="s">
        <v>133</v>
      </c>
      <c r="F596" s="126">
        <v>0</v>
      </c>
      <c r="G596" s="126">
        <v>0</v>
      </c>
      <c r="H596" s="126">
        <v>0</v>
      </c>
      <c r="I596" s="126">
        <v>0</v>
      </c>
    </row>
    <row r="597" spans="1:9">
      <c r="A597" s="126">
        <v>1996</v>
      </c>
      <c r="B597" s="126" t="s">
        <v>137</v>
      </c>
      <c r="C597" s="126" t="s">
        <v>27</v>
      </c>
      <c r="D597" s="126" t="s">
        <v>79</v>
      </c>
      <c r="E597" s="126" t="s">
        <v>134</v>
      </c>
      <c r="F597" s="126">
        <v>0</v>
      </c>
      <c r="G597" s="126">
        <v>0</v>
      </c>
      <c r="H597" s="126">
        <v>0</v>
      </c>
      <c r="I597" s="126">
        <v>0</v>
      </c>
    </row>
    <row r="598" spans="1:9">
      <c r="A598" s="126">
        <v>1996</v>
      </c>
      <c r="B598" s="126" t="s">
        <v>137</v>
      </c>
      <c r="C598" s="126" t="s">
        <v>27</v>
      </c>
      <c r="D598" s="126" t="s">
        <v>79</v>
      </c>
      <c r="E598" s="126" t="s">
        <v>135</v>
      </c>
      <c r="F598" s="126">
        <v>0</v>
      </c>
      <c r="G598" s="126">
        <v>0</v>
      </c>
      <c r="H598" s="126">
        <v>0</v>
      </c>
      <c r="I598" s="126">
        <v>0</v>
      </c>
    </row>
    <row r="599" spans="1:9">
      <c r="A599" s="126">
        <v>1996</v>
      </c>
      <c r="B599" s="126" t="s">
        <v>137</v>
      </c>
      <c r="C599" s="126" t="s">
        <v>27</v>
      </c>
      <c r="D599" s="126" t="s">
        <v>79</v>
      </c>
      <c r="E599" s="126" t="s">
        <v>136</v>
      </c>
      <c r="F599" s="126">
        <v>0</v>
      </c>
      <c r="G599" s="126">
        <v>0</v>
      </c>
      <c r="H599" s="126">
        <v>0</v>
      </c>
      <c r="I599" s="126">
        <v>0</v>
      </c>
    </row>
    <row r="600" spans="1:9">
      <c r="A600" s="126">
        <v>1996</v>
      </c>
      <c r="B600" s="126" t="s">
        <v>137</v>
      </c>
      <c r="C600" s="126" t="s">
        <v>27</v>
      </c>
      <c r="D600" s="126" t="s">
        <v>76</v>
      </c>
      <c r="E600" s="126" t="s">
        <v>132</v>
      </c>
      <c r="F600" s="126">
        <v>0</v>
      </c>
      <c r="G600" s="126">
        <v>0</v>
      </c>
      <c r="H600" s="126">
        <v>0</v>
      </c>
      <c r="I600" s="126">
        <v>0</v>
      </c>
    </row>
    <row r="601" spans="1:9">
      <c r="A601" s="126">
        <v>1996</v>
      </c>
      <c r="B601" s="126" t="s">
        <v>137</v>
      </c>
      <c r="C601" s="126" t="s">
        <v>27</v>
      </c>
      <c r="D601" s="126" t="s">
        <v>76</v>
      </c>
      <c r="E601" s="126" t="s">
        <v>133</v>
      </c>
      <c r="F601" s="126">
        <v>0</v>
      </c>
      <c r="G601" s="126">
        <v>0</v>
      </c>
      <c r="H601" s="126">
        <v>0</v>
      </c>
      <c r="I601" s="126">
        <v>0</v>
      </c>
    </row>
    <row r="602" spans="1:9">
      <c r="A602" s="126">
        <v>1996</v>
      </c>
      <c r="B602" s="126" t="s">
        <v>137</v>
      </c>
      <c r="C602" s="126" t="s">
        <v>27</v>
      </c>
      <c r="D602" s="126" t="s">
        <v>76</v>
      </c>
      <c r="E602" s="126" t="s">
        <v>134</v>
      </c>
      <c r="F602" s="126">
        <v>0</v>
      </c>
      <c r="G602" s="126">
        <v>0</v>
      </c>
      <c r="H602" s="126">
        <v>0</v>
      </c>
      <c r="I602" s="126">
        <v>0</v>
      </c>
    </row>
    <row r="603" spans="1:9">
      <c r="A603" s="126">
        <v>1996</v>
      </c>
      <c r="B603" s="126" t="s">
        <v>137</v>
      </c>
      <c r="C603" s="126" t="s">
        <v>27</v>
      </c>
      <c r="D603" s="126" t="s">
        <v>76</v>
      </c>
      <c r="E603" s="126" t="s">
        <v>135</v>
      </c>
      <c r="F603" s="126">
        <v>0</v>
      </c>
      <c r="G603" s="126">
        <v>0</v>
      </c>
      <c r="H603" s="126">
        <v>0</v>
      </c>
      <c r="I603" s="126">
        <v>0</v>
      </c>
    </row>
    <row r="604" spans="1:9">
      <c r="A604" s="126">
        <v>1996</v>
      </c>
      <c r="B604" s="126" t="s">
        <v>137</v>
      </c>
      <c r="C604" s="126" t="s">
        <v>27</v>
      </c>
      <c r="D604" s="126" t="s">
        <v>76</v>
      </c>
      <c r="E604" s="126" t="s">
        <v>136</v>
      </c>
      <c r="F604" s="126">
        <v>0</v>
      </c>
      <c r="G604" s="126">
        <v>0</v>
      </c>
      <c r="H604" s="126">
        <v>0</v>
      </c>
      <c r="I604" s="126">
        <v>0</v>
      </c>
    </row>
    <row r="605" spans="1:9">
      <c r="A605" s="126">
        <v>1996</v>
      </c>
      <c r="B605" s="126" t="s">
        <v>137</v>
      </c>
      <c r="C605" s="126" t="s">
        <v>22</v>
      </c>
      <c r="D605" s="126" t="s">
        <v>77</v>
      </c>
      <c r="E605" s="126" t="s">
        <v>132</v>
      </c>
      <c r="F605" s="126">
        <v>0</v>
      </c>
      <c r="G605" s="126">
        <v>0</v>
      </c>
      <c r="H605" s="126">
        <v>0</v>
      </c>
      <c r="I605" s="126">
        <v>0</v>
      </c>
    </row>
    <row r="606" spans="1:9">
      <c r="A606" s="126">
        <v>1996</v>
      </c>
      <c r="B606" s="126" t="s">
        <v>137</v>
      </c>
      <c r="C606" s="126" t="s">
        <v>22</v>
      </c>
      <c r="D606" s="126" t="s">
        <v>77</v>
      </c>
      <c r="E606" s="126" t="s">
        <v>133</v>
      </c>
      <c r="F606" s="126">
        <v>0</v>
      </c>
      <c r="G606" s="126">
        <v>0</v>
      </c>
      <c r="H606" s="126">
        <v>0</v>
      </c>
      <c r="I606" s="126">
        <v>0</v>
      </c>
    </row>
    <row r="607" spans="1:9">
      <c r="A607" s="126">
        <v>1996</v>
      </c>
      <c r="B607" s="126" t="s">
        <v>137</v>
      </c>
      <c r="C607" s="126" t="s">
        <v>22</v>
      </c>
      <c r="D607" s="126" t="s">
        <v>77</v>
      </c>
      <c r="E607" s="126" t="s">
        <v>134</v>
      </c>
      <c r="F607" s="126">
        <v>0</v>
      </c>
      <c r="G607" s="126">
        <v>0</v>
      </c>
      <c r="H607" s="126">
        <v>0</v>
      </c>
      <c r="I607" s="126">
        <v>0</v>
      </c>
    </row>
    <row r="608" spans="1:9">
      <c r="A608" s="126">
        <v>1996</v>
      </c>
      <c r="B608" s="126" t="s">
        <v>137</v>
      </c>
      <c r="C608" s="126" t="s">
        <v>22</v>
      </c>
      <c r="D608" s="126" t="s">
        <v>77</v>
      </c>
      <c r="E608" s="126" t="s">
        <v>135</v>
      </c>
      <c r="F608" s="126">
        <v>0</v>
      </c>
      <c r="G608" s="126">
        <v>0</v>
      </c>
      <c r="H608" s="126">
        <v>0</v>
      </c>
      <c r="I608" s="126">
        <v>0</v>
      </c>
    </row>
    <row r="609" spans="1:9">
      <c r="A609" s="126">
        <v>1996</v>
      </c>
      <c r="B609" s="126" t="s">
        <v>137</v>
      </c>
      <c r="C609" s="126" t="s">
        <v>22</v>
      </c>
      <c r="D609" s="126" t="s">
        <v>79</v>
      </c>
      <c r="E609" s="126" t="s">
        <v>132</v>
      </c>
      <c r="F609" s="126">
        <v>0</v>
      </c>
      <c r="G609" s="126">
        <v>0</v>
      </c>
      <c r="H609" s="126">
        <v>0</v>
      </c>
      <c r="I609" s="126">
        <v>0</v>
      </c>
    </row>
    <row r="610" spans="1:9">
      <c r="A610" s="126">
        <v>1996</v>
      </c>
      <c r="B610" s="126" t="s">
        <v>137</v>
      </c>
      <c r="C610" s="126" t="s">
        <v>22</v>
      </c>
      <c r="D610" s="126" t="s">
        <v>79</v>
      </c>
      <c r="E610" s="126" t="s">
        <v>133</v>
      </c>
      <c r="F610" s="126">
        <v>0</v>
      </c>
      <c r="G610" s="126">
        <v>0</v>
      </c>
      <c r="H610" s="126">
        <v>0</v>
      </c>
      <c r="I610" s="126">
        <v>0</v>
      </c>
    </row>
    <row r="611" spans="1:9">
      <c r="A611" s="126">
        <v>1996</v>
      </c>
      <c r="B611" s="126" t="s">
        <v>137</v>
      </c>
      <c r="C611" s="126" t="s">
        <v>22</v>
      </c>
      <c r="D611" s="126" t="s">
        <v>79</v>
      </c>
      <c r="E611" s="126" t="s">
        <v>134</v>
      </c>
      <c r="F611" s="126">
        <v>0</v>
      </c>
      <c r="G611" s="126">
        <v>0</v>
      </c>
      <c r="H611" s="126">
        <v>0</v>
      </c>
      <c r="I611" s="126">
        <v>0</v>
      </c>
    </row>
    <row r="612" spans="1:9">
      <c r="A612" s="126">
        <v>1996</v>
      </c>
      <c r="B612" s="126" t="s">
        <v>137</v>
      </c>
      <c r="C612" s="126" t="s">
        <v>22</v>
      </c>
      <c r="D612" s="126" t="s">
        <v>79</v>
      </c>
      <c r="E612" s="126" t="s">
        <v>135</v>
      </c>
      <c r="F612" s="126">
        <v>0</v>
      </c>
      <c r="G612" s="126">
        <v>0</v>
      </c>
      <c r="H612" s="126">
        <v>0</v>
      </c>
      <c r="I612" s="126">
        <v>0</v>
      </c>
    </row>
    <row r="613" spans="1:9">
      <c r="A613" s="126">
        <v>1996</v>
      </c>
      <c r="B613" s="126" t="s">
        <v>137</v>
      </c>
      <c r="C613" s="126" t="s">
        <v>22</v>
      </c>
      <c r="D613" s="126" t="s">
        <v>79</v>
      </c>
      <c r="E613" s="126" t="s">
        <v>136</v>
      </c>
      <c r="F613" s="126">
        <v>0</v>
      </c>
      <c r="G613" s="126">
        <v>0</v>
      </c>
      <c r="H613" s="126">
        <v>0</v>
      </c>
      <c r="I613" s="126">
        <v>0</v>
      </c>
    </row>
    <row r="614" spans="1:9">
      <c r="A614" s="126">
        <v>1996</v>
      </c>
      <c r="B614" s="126" t="s">
        <v>137</v>
      </c>
      <c r="C614" s="126" t="s">
        <v>22</v>
      </c>
      <c r="D614" s="126" t="s">
        <v>76</v>
      </c>
      <c r="E614" s="126" t="s">
        <v>132</v>
      </c>
      <c r="F614" s="126">
        <v>0</v>
      </c>
      <c r="G614" s="126">
        <v>0</v>
      </c>
      <c r="H614" s="126">
        <v>0</v>
      </c>
      <c r="I614" s="126">
        <v>0</v>
      </c>
    </row>
    <row r="615" spans="1:9">
      <c r="A615" s="126">
        <v>1996</v>
      </c>
      <c r="B615" s="126" t="s">
        <v>137</v>
      </c>
      <c r="C615" s="126" t="s">
        <v>22</v>
      </c>
      <c r="D615" s="126" t="s">
        <v>76</v>
      </c>
      <c r="E615" s="126" t="s">
        <v>133</v>
      </c>
      <c r="F615" s="126">
        <v>0</v>
      </c>
      <c r="G615" s="126">
        <v>0</v>
      </c>
      <c r="H615" s="126">
        <v>0</v>
      </c>
      <c r="I615" s="126">
        <v>0</v>
      </c>
    </row>
    <row r="616" spans="1:9">
      <c r="A616" s="126">
        <v>1996</v>
      </c>
      <c r="B616" s="126" t="s">
        <v>137</v>
      </c>
      <c r="C616" s="126" t="s">
        <v>22</v>
      </c>
      <c r="D616" s="126" t="s">
        <v>76</v>
      </c>
      <c r="E616" s="126" t="s">
        <v>134</v>
      </c>
      <c r="F616" s="126">
        <v>0</v>
      </c>
      <c r="G616" s="126">
        <v>0</v>
      </c>
      <c r="H616" s="126">
        <v>0</v>
      </c>
      <c r="I616" s="126">
        <v>0</v>
      </c>
    </row>
    <row r="617" spans="1:9">
      <c r="A617" s="126">
        <v>1996</v>
      </c>
      <c r="B617" s="126" t="s">
        <v>137</v>
      </c>
      <c r="C617" s="126" t="s">
        <v>22</v>
      </c>
      <c r="D617" s="126" t="s">
        <v>76</v>
      </c>
      <c r="E617" s="126" t="s">
        <v>135</v>
      </c>
      <c r="F617" s="126">
        <v>0</v>
      </c>
      <c r="G617" s="126">
        <v>0</v>
      </c>
      <c r="H617" s="126">
        <v>0</v>
      </c>
      <c r="I617" s="126">
        <v>0</v>
      </c>
    </row>
    <row r="618" spans="1:9">
      <c r="A618" s="126">
        <v>1996</v>
      </c>
      <c r="B618" s="126" t="s">
        <v>137</v>
      </c>
      <c r="C618" s="126" t="s">
        <v>22</v>
      </c>
      <c r="D618" s="126" t="s">
        <v>76</v>
      </c>
      <c r="E618" s="126" t="s">
        <v>136</v>
      </c>
      <c r="F618" s="126">
        <v>0</v>
      </c>
      <c r="G618" s="126">
        <v>0</v>
      </c>
      <c r="H618" s="126">
        <v>0</v>
      </c>
      <c r="I618" s="126">
        <v>0</v>
      </c>
    </row>
    <row r="619" spans="1:9">
      <c r="A619" s="126">
        <v>1996</v>
      </c>
      <c r="B619" s="126" t="s">
        <v>137</v>
      </c>
      <c r="C619" s="126" t="s">
        <v>23</v>
      </c>
      <c r="D619" s="126" t="s">
        <v>77</v>
      </c>
      <c r="E619" s="126" t="s">
        <v>132</v>
      </c>
      <c r="F619" s="126">
        <v>0</v>
      </c>
      <c r="G619" s="126">
        <v>0</v>
      </c>
      <c r="H619" s="126">
        <v>0</v>
      </c>
      <c r="I619" s="126">
        <v>0</v>
      </c>
    </row>
    <row r="620" spans="1:9">
      <c r="A620" s="126">
        <v>1996</v>
      </c>
      <c r="B620" s="126" t="s">
        <v>137</v>
      </c>
      <c r="C620" s="126" t="s">
        <v>23</v>
      </c>
      <c r="D620" s="126" t="s">
        <v>77</v>
      </c>
      <c r="E620" s="126" t="s">
        <v>133</v>
      </c>
      <c r="F620" s="126">
        <v>0</v>
      </c>
      <c r="G620" s="126">
        <v>0</v>
      </c>
      <c r="H620" s="126">
        <v>0</v>
      </c>
      <c r="I620" s="126">
        <v>0</v>
      </c>
    </row>
    <row r="621" spans="1:9">
      <c r="A621" s="126">
        <v>1996</v>
      </c>
      <c r="B621" s="126" t="s">
        <v>137</v>
      </c>
      <c r="C621" s="126" t="s">
        <v>23</v>
      </c>
      <c r="D621" s="126" t="s">
        <v>77</v>
      </c>
      <c r="E621" s="126" t="s">
        <v>134</v>
      </c>
      <c r="F621" s="126">
        <v>0</v>
      </c>
      <c r="G621" s="126">
        <v>0</v>
      </c>
      <c r="H621" s="126">
        <v>0</v>
      </c>
      <c r="I621" s="126">
        <v>0</v>
      </c>
    </row>
    <row r="622" spans="1:9">
      <c r="A622" s="126">
        <v>1996</v>
      </c>
      <c r="B622" s="126" t="s">
        <v>137</v>
      </c>
      <c r="C622" s="126" t="s">
        <v>23</v>
      </c>
      <c r="D622" s="126" t="s">
        <v>77</v>
      </c>
      <c r="E622" s="126" t="s">
        <v>135</v>
      </c>
      <c r="F622" s="126">
        <v>0</v>
      </c>
      <c r="G622" s="126">
        <v>0</v>
      </c>
      <c r="H622" s="126">
        <v>0</v>
      </c>
      <c r="I622" s="126">
        <v>0</v>
      </c>
    </row>
    <row r="623" spans="1:9">
      <c r="A623" s="126">
        <v>1996</v>
      </c>
      <c r="B623" s="126" t="s">
        <v>137</v>
      </c>
      <c r="C623" s="126" t="s">
        <v>23</v>
      </c>
      <c r="D623" s="126" t="s">
        <v>79</v>
      </c>
      <c r="E623" s="126" t="s">
        <v>132</v>
      </c>
      <c r="F623" s="126">
        <v>0</v>
      </c>
      <c r="G623" s="126">
        <v>0</v>
      </c>
      <c r="H623" s="126">
        <v>0</v>
      </c>
      <c r="I623" s="126">
        <v>0</v>
      </c>
    </row>
    <row r="624" spans="1:9">
      <c r="A624" s="126">
        <v>1996</v>
      </c>
      <c r="B624" s="126" t="s">
        <v>137</v>
      </c>
      <c r="C624" s="126" t="s">
        <v>23</v>
      </c>
      <c r="D624" s="126" t="s">
        <v>79</v>
      </c>
      <c r="E624" s="126" t="s">
        <v>133</v>
      </c>
      <c r="F624" s="126">
        <v>0</v>
      </c>
      <c r="G624" s="126">
        <v>0</v>
      </c>
      <c r="H624" s="126">
        <v>0</v>
      </c>
      <c r="I624" s="126">
        <v>0</v>
      </c>
    </row>
    <row r="625" spans="1:9">
      <c r="A625" s="126">
        <v>1996</v>
      </c>
      <c r="B625" s="126" t="s">
        <v>137</v>
      </c>
      <c r="C625" s="126" t="s">
        <v>23</v>
      </c>
      <c r="D625" s="126" t="s">
        <v>79</v>
      </c>
      <c r="E625" s="126" t="s">
        <v>134</v>
      </c>
      <c r="F625" s="126">
        <v>0</v>
      </c>
      <c r="G625" s="126">
        <v>0</v>
      </c>
      <c r="H625" s="126">
        <v>0</v>
      </c>
      <c r="I625" s="126">
        <v>0</v>
      </c>
    </row>
    <row r="626" spans="1:9">
      <c r="A626" s="126">
        <v>1996</v>
      </c>
      <c r="B626" s="126" t="s">
        <v>137</v>
      </c>
      <c r="C626" s="126" t="s">
        <v>23</v>
      </c>
      <c r="D626" s="126" t="s">
        <v>79</v>
      </c>
      <c r="E626" s="126" t="s">
        <v>135</v>
      </c>
      <c r="F626" s="126">
        <v>0</v>
      </c>
      <c r="G626" s="126">
        <v>0</v>
      </c>
      <c r="H626" s="126">
        <v>0</v>
      </c>
      <c r="I626" s="126">
        <v>0</v>
      </c>
    </row>
    <row r="627" spans="1:9">
      <c r="A627" s="126">
        <v>1996</v>
      </c>
      <c r="B627" s="126" t="s">
        <v>137</v>
      </c>
      <c r="C627" s="126" t="s">
        <v>23</v>
      </c>
      <c r="D627" s="126" t="s">
        <v>79</v>
      </c>
      <c r="E627" s="126" t="s">
        <v>136</v>
      </c>
      <c r="F627" s="126">
        <v>0</v>
      </c>
      <c r="G627" s="126">
        <v>0</v>
      </c>
      <c r="H627" s="126">
        <v>0</v>
      </c>
      <c r="I627" s="126">
        <v>0</v>
      </c>
    </row>
    <row r="628" spans="1:9">
      <c r="A628" s="126">
        <v>1996</v>
      </c>
      <c r="B628" s="126" t="s">
        <v>137</v>
      </c>
      <c r="C628" s="126" t="s">
        <v>23</v>
      </c>
      <c r="D628" s="126" t="s">
        <v>76</v>
      </c>
      <c r="E628" s="126" t="s">
        <v>132</v>
      </c>
      <c r="F628" s="126">
        <v>0</v>
      </c>
      <c r="G628" s="126">
        <v>0</v>
      </c>
      <c r="H628" s="126">
        <v>0</v>
      </c>
      <c r="I628" s="126">
        <v>0</v>
      </c>
    </row>
    <row r="629" spans="1:9">
      <c r="A629" s="126">
        <v>1996</v>
      </c>
      <c r="B629" s="126" t="s">
        <v>137</v>
      </c>
      <c r="C629" s="126" t="s">
        <v>23</v>
      </c>
      <c r="D629" s="126" t="s">
        <v>76</v>
      </c>
      <c r="E629" s="126" t="s">
        <v>133</v>
      </c>
      <c r="F629" s="126">
        <v>0</v>
      </c>
      <c r="G629" s="126">
        <v>0</v>
      </c>
      <c r="H629" s="126">
        <v>0</v>
      </c>
      <c r="I629" s="126">
        <v>0</v>
      </c>
    </row>
    <row r="630" spans="1:9">
      <c r="A630" s="126">
        <v>1996</v>
      </c>
      <c r="B630" s="126" t="s">
        <v>137</v>
      </c>
      <c r="C630" s="126" t="s">
        <v>23</v>
      </c>
      <c r="D630" s="126" t="s">
        <v>76</v>
      </c>
      <c r="E630" s="126" t="s">
        <v>134</v>
      </c>
      <c r="F630" s="126">
        <v>0</v>
      </c>
      <c r="G630" s="126">
        <v>0</v>
      </c>
      <c r="H630" s="126">
        <v>0</v>
      </c>
      <c r="I630" s="126">
        <v>0</v>
      </c>
    </row>
    <row r="631" spans="1:9">
      <c r="A631" s="126">
        <v>1996</v>
      </c>
      <c r="B631" s="126" t="s">
        <v>137</v>
      </c>
      <c r="C631" s="126" t="s">
        <v>23</v>
      </c>
      <c r="D631" s="126" t="s">
        <v>76</v>
      </c>
      <c r="E631" s="126" t="s">
        <v>135</v>
      </c>
      <c r="F631" s="126">
        <v>0</v>
      </c>
      <c r="G631" s="126">
        <v>0</v>
      </c>
      <c r="H631" s="126">
        <v>0</v>
      </c>
      <c r="I631" s="126">
        <v>0</v>
      </c>
    </row>
    <row r="632" spans="1:9">
      <c r="A632" s="126">
        <v>1996</v>
      </c>
      <c r="B632" s="126" t="s">
        <v>137</v>
      </c>
      <c r="C632" s="126" t="s">
        <v>23</v>
      </c>
      <c r="D632" s="126" t="s">
        <v>76</v>
      </c>
      <c r="E632" s="126" t="s">
        <v>136</v>
      </c>
      <c r="F632" s="126">
        <v>0</v>
      </c>
      <c r="G632" s="126">
        <v>0</v>
      </c>
      <c r="H632" s="126">
        <v>0</v>
      </c>
      <c r="I632" s="126">
        <v>0</v>
      </c>
    </row>
    <row r="633" spans="1:9">
      <c r="A633" s="126">
        <v>1996</v>
      </c>
      <c r="B633" s="126" t="s">
        <v>137</v>
      </c>
      <c r="C633" s="126" t="s">
        <v>25</v>
      </c>
      <c r="D633" s="126" t="s">
        <v>77</v>
      </c>
      <c r="E633" s="126" t="s">
        <v>132</v>
      </c>
      <c r="F633" s="126">
        <v>0</v>
      </c>
      <c r="G633" s="126">
        <v>0</v>
      </c>
      <c r="H633" s="126">
        <v>0</v>
      </c>
      <c r="I633" s="126">
        <v>0</v>
      </c>
    </row>
    <row r="634" spans="1:9">
      <c r="A634" s="126">
        <v>1996</v>
      </c>
      <c r="B634" s="126" t="s">
        <v>137</v>
      </c>
      <c r="C634" s="126" t="s">
        <v>25</v>
      </c>
      <c r="D634" s="126" t="s">
        <v>77</v>
      </c>
      <c r="E634" s="126" t="s">
        <v>133</v>
      </c>
      <c r="F634" s="126">
        <v>0</v>
      </c>
      <c r="G634" s="126">
        <v>0</v>
      </c>
      <c r="H634" s="126">
        <v>0</v>
      </c>
      <c r="I634" s="126">
        <v>0</v>
      </c>
    </row>
    <row r="635" spans="1:9">
      <c r="A635" s="126">
        <v>1996</v>
      </c>
      <c r="B635" s="126" t="s">
        <v>137</v>
      </c>
      <c r="C635" s="126" t="s">
        <v>25</v>
      </c>
      <c r="D635" s="126" t="s">
        <v>77</v>
      </c>
      <c r="E635" s="126" t="s">
        <v>134</v>
      </c>
      <c r="F635" s="126">
        <v>0</v>
      </c>
      <c r="G635" s="126">
        <v>0</v>
      </c>
      <c r="H635" s="126">
        <v>0</v>
      </c>
      <c r="I635" s="126">
        <v>0</v>
      </c>
    </row>
    <row r="636" spans="1:9">
      <c r="A636" s="126">
        <v>1996</v>
      </c>
      <c r="B636" s="126" t="s">
        <v>137</v>
      </c>
      <c r="C636" s="126" t="s">
        <v>25</v>
      </c>
      <c r="D636" s="126" t="s">
        <v>77</v>
      </c>
      <c r="E636" s="126" t="s">
        <v>135</v>
      </c>
      <c r="F636" s="126">
        <v>0</v>
      </c>
      <c r="G636" s="126">
        <v>0</v>
      </c>
      <c r="H636" s="126">
        <v>0</v>
      </c>
      <c r="I636" s="126">
        <v>0</v>
      </c>
    </row>
    <row r="637" spans="1:9">
      <c r="A637" s="126">
        <v>1996</v>
      </c>
      <c r="B637" s="126" t="s">
        <v>137</v>
      </c>
      <c r="C637" s="126" t="s">
        <v>25</v>
      </c>
      <c r="D637" s="126" t="s">
        <v>79</v>
      </c>
      <c r="E637" s="126" t="s">
        <v>132</v>
      </c>
      <c r="F637" s="126">
        <v>0</v>
      </c>
      <c r="G637" s="126">
        <v>0</v>
      </c>
      <c r="H637" s="126">
        <v>0</v>
      </c>
      <c r="I637" s="126">
        <v>0</v>
      </c>
    </row>
    <row r="638" spans="1:9">
      <c r="A638" s="126">
        <v>1996</v>
      </c>
      <c r="B638" s="126" t="s">
        <v>137</v>
      </c>
      <c r="C638" s="126" t="s">
        <v>25</v>
      </c>
      <c r="D638" s="126" t="s">
        <v>79</v>
      </c>
      <c r="E638" s="126" t="s">
        <v>133</v>
      </c>
      <c r="F638" s="126">
        <v>0</v>
      </c>
      <c r="G638" s="126">
        <v>0</v>
      </c>
      <c r="H638" s="126">
        <v>0</v>
      </c>
      <c r="I638" s="126">
        <v>0</v>
      </c>
    </row>
    <row r="639" spans="1:9">
      <c r="A639" s="126">
        <v>1996</v>
      </c>
      <c r="B639" s="126" t="s">
        <v>137</v>
      </c>
      <c r="C639" s="126" t="s">
        <v>25</v>
      </c>
      <c r="D639" s="126" t="s">
        <v>79</v>
      </c>
      <c r="E639" s="126" t="s">
        <v>134</v>
      </c>
      <c r="F639" s="126">
        <v>0</v>
      </c>
      <c r="G639" s="126">
        <v>0</v>
      </c>
      <c r="H639" s="126">
        <v>0</v>
      </c>
      <c r="I639" s="126">
        <v>0</v>
      </c>
    </row>
    <row r="640" spans="1:9">
      <c r="A640" s="126">
        <v>1996</v>
      </c>
      <c r="B640" s="126" t="s">
        <v>137</v>
      </c>
      <c r="C640" s="126" t="s">
        <v>25</v>
      </c>
      <c r="D640" s="126" t="s">
        <v>79</v>
      </c>
      <c r="E640" s="126" t="s">
        <v>135</v>
      </c>
      <c r="F640" s="126">
        <v>0</v>
      </c>
      <c r="G640" s="126">
        <v>0</v>
      </c>
      <c r="H640" s="126">
        <v>0</v>
      </c>
      <c r="I640" s="126">
        <v>0</v>
      </c>
    </row>
    <row r="641" spans="1:9">
      <c r="A641" s="126">
        <v>1996</v>
      </c>
      <c r="B641" s="126" t="s">
        <v>137</v>
      </c>
      <c r="C641" s="126" t="s">
        <v>25</v>
      </c>
      <c r="D641" s="126" t="s">
        <v>79</v>
      </c>
      <c r="E641" s="126" t="s">
        <v>136</v>
      </c>
      <c r="F641" s="126">
        <v>0</v>
      </c>
      <c r="G641" s="126">
        <v>0</v>
      </c>
      <c r="H641" s="126">
        <v>0</v>
      </c>
      <c r="I641" s="126">
        <v>0</v>
      </c>
    </row>
    <row r="642" spans="1:9">
      <c r="A642" s="126">
        <v>1996</v>
      </c>
      <c r="B642" s="126" t="s">
        <v>137</v>
      </c>
      <c r="C642" s="126" t="s">
        <v>25</v>
      </c>
      <c r="D642" s="126" t="s">
        <v>76</v>
      </c>
      <c r="E642" s="126" t="s">
        <v>132</v>
      </c>
      <c r="F642" s="126">
        <v>0</v>
      </c>
      <c r="G642" s="126">
        <v>0</v>
      </c>
      <c r="H642" s="126">
        <v>0</v>
      </c>
      <c r="I642" s="126">
        <v>0</v>
      </c>
    </row>
    <row r="643" spans="1:9">
      <c r="A643" s="126">
        <v>1996</v>
      </c>
      <c r="B643" s="126" t="s">
        <v>137</v>
      </c>
      <c r="C643" s="126" t="s">
        <v>25</v>
      </c>
      <c r="D643" s="126" t="s">
        <v>76</v>
      </c>
      <c r="E643" s="126" t="s">
        <v>133</v>
      </c>
      <c r="F643" s="126">
        <v>0</v>
      </c>
      <c r="G643" s="126">
        <v>0</v>
      </c>
      <c r="H643" s="126">
        <v>0</v>
      </c>
      <c r="I643" s="126">
        <v>0</v>
      </c>
    </row>
    <row r="644" spans="1:9">
      <c r="A644" s="126">
        <v>1996</v>
      </c>
      <c r="B644" s="126" t="s">
        <v>137</v>
      </c>
      <c r="C644" s="126" t="s">
        <v>25</v>
      </c>
      <c r="D644" s="126" t="s">
        <v>76</v>
      </c>
      <c r="E644" s="126" t="s">
        <v>134</v>
      </c>
      <c r="F644" s="126">
        <v>0</v>
      </c>
      <c r="G644" s="126">
        <v>0</v>
      </c>
      <c r="H644" s="126">
        <v>0</v>
      </c>
      <c r="I644" s="126">
        <v>0</v>
      </c>
    </row>
    <row r="645" spans="1:9">
      <c r="A645" s="126">
        <v>1996</v>
      </c>
      <c r="B645" s="126" t="s">
        <v>137</v>
      </c>
      <c r="C645" s="126" t="s">
        <v>25</v>
      </c>
      <c r="D645" s="126" t="s">
        <v>76</v>
      </c>
      <c r="E645" s="126" t="s">
        <v>135</v>
      </c>
      <c r="F645" s="126">
        <v>0</v>
      </c>
      <c r="G645" s="126">
        <v>0</v>
      </c>
      <c r="H645" s="126">
        <v>0</v>
      </c>
      <c r="I645" s="126">
        <v>0</v>
      </c>
    </row>
    <row r="646" spans="1:9">
      <c r="A646" s="126">
        <v>1996</v>
      </c>
      <c r="B646" s="126" t="s">
        <v>137</v>
      </c>
      <c r="C646" s="126" t="s">
        <v>25</v>
      </c>
      <c r="D646" s="126" t="s">
        <v>76</v>
      </c>
      <c r="E646" s="126" t="s">
        <v>136</v>
      </c>
      <c r="F646" s="126">
        <v>0</v>
      </c>
      <c r="G646" s="126">
        <v>0</v>
      </c>
      <c r="H646" s="126">
        <v>0</v>
      </c>
      <c r="I646" s="126">
        <v>0</v>
      </c>
    </row>
    <row r="647" spans="1:9">
      <c r="A647" s="126">
        <v>1996</v>
      </c>
      <c r="B647" s="126" t="s">
        <v>137</v>
      </c>
      <c r="C647" s="126" t="s">
        <v>21</v>
      </c>
      <c r="D647" s="126" t="s">
        <v>77</v>
      </c>
      <c r="E647" s="126" t="s">
        <v>132</v>
      </c>
      <c r="F647" s="126">
        <v>0</v>
      </c>
      <c r="G647" s="126">
        <v>0</v>
      </c>
      <c r="H647" s="126">
        <v>0</v>
      </c>
      <c r="I647" s="126">
        <v>0</v>
      </c>
    </row>
    <row r="648" spans="1:9">
      <c r="A648" s="126">
        <v>1996</v>
      </c>
      <c r="B648" s="126" t="s">
        <v>137</v>
      </c>
      <c r="C648" s="126" t="s">
        <v>21</v>
      </c>
      <c r="D648" s="126" t="s">
        <v>77</v>
      </c>
      <c r="E648" s="126" t="s">
        <v>133</v>
      </c>
      <c r="F648" s="126">
        <v>0</v>
      </c>
      <c r="G648" s="126">
        <v>0</v>
      </c>
      <c r="H648" s="126">
        <v>0</v>
      </c>
      <c r="I648" s="126">
        <v>0</v>
      </c>
    </row>
    <row r="649" spans="1:9">
      <c r="A649" s="126">
        <v>1996</v>
      </c>
      <c r="B649" s="126" t="s">
        <v>137</v>
      </c>
      <c r="C649" s="126" t="s">
        <v>21</v>
      </c>
      <c r="D649" s="126" t="s">
        <v>77</v>
      </c>
      <c r="E649" s="126" t="s">
        <v>134</v>
      </c>
      <c r="F649" s="126">
        <v>0</v>
      </c>
      <c r="G649" s="126">
        <v>0</v>
      </c>
      <c r="H649" s="126">
        <v>0</v>
      </c>
      <c r="I649" s="126">
        <v>0</v>
      </c>
    </row>
    <row r="650" spans="1:9">
      <c r="A650" s="126">
        <v>1996</v>
      </c>
      <c r="B650" s="126" t="s">
        <v>137</v>
      </c>
      <c r="C650" s="126" t="s">
        <v>21</v>
      </c>
      <c r="D650" s="126" t="s">
        <v>77</v>
      </c>
      <c r="E650" s="126" t="s">
        <v>135</v>
      </c>
      <c r="F650" s="126">
        <v>0</v>
      </c>
      <c r="G650" s="126">
        <v>0</v>
      </c>
      <c r="H650" s="126">
        <v>0</v>
      </c>
      <c r="I650" s="126">
        <v>0</v>
      </c>
    </row>
    <row r="651" spans="1:9">
      <c r="A651" s="126">
        <v>1996</v>
      </c>
      <c r="B651" s="126" t="s">
        <v>137</v>
      </c>
      <c r="C651" s="126" t="s">
        <v>21</v>
      </c>
      <c r="D651" s="126" t="s">
        <v>79</v>
      </c>
      <c r="E651" s="126" t="s">
        <v>132</v>
      </c>
      <c r="F651" s="126">
        <v>0</v>
      </c>
      <c r="G651" s="126">
        <v>0</v>
      </c>
      <c r="H651" s="126">
        <v>0</v>
      </c>
      <c r="I651" s="126">
        <v>0</v>
      </c>
    </row>
    <row r="652" spans="1:9">
      <c r="A652" s="126">
        <v>1996</v>
      </c>
      <c r="B652" s="126" t="s">
        <v>137</v>
      </c>
      <c r="C652" s="126" t="s">
        <v>21</v>
      </c>
      <c r="D652" s="126" t="s">
        <v>79</v>
      </c>
      <c r="E652" s="126" t="s">
        <v>133</v>
      </c>
      <c r="F652" s="126">
        <v>0</v>
      </c>
      <c r="G652" s="126">
        <v>0</v>
      </c>
      <c r="H652" s="126">
        <v>0</v>
      </c>
      <c r="I652" s="126">
        <v>0</v>
      </c>
    </row>
    <row r="653" spans="1:9">
      <c r="A653" s="126">
        <v>1996</v>
      </c>
      <c r="B653" s="126" t="s">
        <v>137</v>
      </c>
      <c r="C653" s="126" t="s">
        <v>21</v>
      </c>
      <c r="D653" s="126" t="s">
        <v>79</v>
      </c>
      <c r="E653" s="126" t="s">
        <v>134</v>
      </c>
      <c r="F653" s="126">
        <v>0</v>
      </c>
      <c r="G653" s="126">
        <v>0</v>
      </c>
      <c r="H653" s="126">
        <v>0</v>
      </c>
      <c r="I653" s="126">
        <v>0</v>
      </c>
    </row>
    <row r="654" spans="1:9">
      <c r="A654" s="126">
        <v>1996</v>
      </c>
      <c r="B654" s="126" t="s">
        <v>137</v>
      </c>
      <c r="C654" s="126" t="s">
        <v>21</v>
      </c>
      <c r="D654" s="126" t="s">
        <v>79</v>
      </c>
      <c r="E654" s="126" t="s">
        <v>135</v>
      </c>
      <c r="F654" s="126">
        <v>0</v>
      </c>
      <c r="G654" s="126">
        <v>0</v>
      </c>
      <c r="H654" s="126">
        <v>0</v>
      </c>
      <c r="I654" s="126">
        <v>0</v>
      </c>
    </row>
    <row r="655" spans="1:9">
      <c r="A655" s="126">
        <v>1996</v>
      </c>
      <c r="B655" s="126" t="s">
        <v>137</v>
      </c>
      <c r="C655" s="126" t="s">
        <v>21</v>
      </c>
      <c r="D655" s="126" t="s">
        <v>79</v>
      </c>
      <c r="E655" s="126" t="s">
        <v>136</v>
      </c>
      <c r="F655" s="126">
        <v>0</v>
      </c>
      <c r="G655" s="126">
        <v>0</v>
      </c>
      <c r="H655" s="126">
        <v>0</v>
      </c>
      <c r="I655" s="126">
        <v>0</v>
      </c>
    </row>
    <row r="656" spans="1:9">
      <c r="A656" s="126">
        <v>1996</v>
      </c>
      <c r="B656" s="126" t="s">
        <v>137</v>
      </c>
      <c r="C656" s="126" t="s">
        <v>21</v>
      </c>
      <c r="D656" s="126" t="s">
        <v>76</v>
      </c>
      <c r="E656" s="126" t="s">
        <v>132</v>
      </c>
      <c r="F656" s="126">
        <v>0</v>
      </c>
      <c r="G656" s="126">
        <v>0</v>
      </c>
      <c r="H656" s="126">
        <v>0</v>
      </c>
      <c r="I656" s="126">
        <v>0</v>
      </c>
    </row>
    <row r="657" spans="1:9">
      <c r="A657" s="126">
        <v>1996</v>
      </c>
      <c r="B657" s="126" t="s">
        <v>137</v>
      </c>
      <c r="C657" s="126" t="s">
        <v>21</v>
      </c>
      <c r="D657" s="126" t="s">
        <v>76</v>
      </c>
      <c r="E657" s="126" t="s">
        <v>133</v>
      </c>
      <c r="F657" s="126">
        <v>0</v>
      </c>
      <c r="G657" s="126">
        <v>0</v>
      </c>
      <c r="H657" s="126">
        <v>0</v>
      </c>
      <c r="I657" s="126">
        <v>0</v>
      </c>
    </row>
    <row r="658" spans="1:9">
      <c r="A658" s="126">
        <v>1996</v>
      </c>
      <c r="B658" s="126" t="s">
        <v>137</v>
      </c>
      <c r="C658" s="126" t="s">
        <v>21</v>
      </c>
      <c r="D658" s="126" t="s">
        <v>76</v>
      </c>
      <c r="E658" s="126" t="s">
        <v>134</v>
      </c>
      <c r="F658" s="126">
        <v>0</v>
      </c>
      <c r="G658" s="126">
        <v>0</v>
      </c>
      <c r="H658" s="126">
        <v>0</v>
      </c>
      <c r="I658" s="126">
        <v>0</v>
      </c>
    </row>
    <row r="659" spans="1:9">
      <c r="A659" s="126">
        <v>1996</v>
      </c>
      <c r="B659" s="126" t="s">
        <v>137</v>
      </c>
      <c r="C659" s="126" t="s">
        <v>21</v>
      </c>
      <c r="D659" s="126" t="s">
        <v>76</v>
      </c>
      <c r="E659" s="126" t="s">
        <v>135</v>
      </c>
      <c r="F659" s="126">
        <v>0</v>
      </c>
      <c r="G659" s="126">
        <v>0</v>
      </c>
      <c r="H659" s="126">
        <v>0</v>
      </c>
      <c r="I659" s="126">
        <v>0</v>
      </c>
    </row>
    <row r="660" spans="1:9">
      <c r="A660" s="126">
        <v>1996</v>
      </c>
      <c r="B660" s="126" t="s">
        <v>137</v>
      </c>
      <c r="C660" s="126" t="s">
        <v>21</v>
      </c>
      <c r="D660" s="126" t="s">
        <v>76</v>
      </c>
      <c r="E660" s="126" t="s">
        <v>136</v>
      </c>
      <c r="F660" s="126">
        <v>0</v>
      </c>
      <c r="G660" s="126">
        <v>0</v>
      </c>
      <c r="H660" s="126">
        <v>0</v>
      </c>
      <c r="I660" s="126">
        <v>0</v>
      </c>
    </row>
    <row r="661" spans="1:9">
      <c r="A661" s="126">
        <v>1996</v>
      </c>
      <c r="B661" s="126" t="s">
        <v>137</v>
      </c>
      <c r="C661" s="126" t="s">
        <v>24</v>
      </c>
      <c r="D661" s="126" t="s">
        <v>77</v>
      </c>
      <c r="E661" s="126" t="s">
        <v>132</v>
      </c>
      <c r="F661" s="126">
        <v>0</v>
      </c>
      <c r="G661" s="126">
        <v>0</v>
      </c>
      <c r="H661" s="126">
        <v>0</v>
      </c>
      <c r="I661" s="126">
        <v>0</v>
      </c>
    </row>
    <row r="662" spans="1:9">
      <c r="A662" s="126">
        <v>1996</v>
      </c>
      <c r="B662" s="126" t="s">
        <v>137</v>
      </c>
      <c r="C662" s="126" t="s">
        <v>24</v>
      </c>
      <c r="D662" s="126" t="s">
        <v>77</v>
      </c>
      <c r="E662" s="126" t="s">
        <v>133</v>
      </c>
      <c r="F662" s="126">
        <v>0</v>
      </c>
      <c r="G662" s="126">
        <v>0</v>
      </c>
      <c r="H662" s="126">
        <v>0</v>
      </c>
      <c r="I662" s="126">
        <v>0</v>
      </c>
    </row>
    <row r="663" spans="1:9">
      <c r="A663" s="126">
        <v>1996</v>
      </c>
      <c r="B663" s="126" t="s">
        <v>137</v>
      </c>
      <c r="C663" s="126" t="s">
        <v>24</v>
      </c>
      <c r="D663" s="126" t="s">
        <v>77</v>
      </c>
      <c r="E663" s="126" t="s">
        <v>134</v>
      </c>
      <c r="F663" s="126">
        <v>0</v>
      </c>
      <c r="G663" s="126">
        <v>0</v>
      </c>
      <c r="H663" s="126">
        <v>0</v>
      </c>
      <c r="I663" s="126">
        <v>0</v>
      </c>
    </row>
    <row r="664" spans="1:9">
      <c r="A664" s="126">
        <v>1996</v>
      </c>
      <c r="B664" s="126" t="s">
        <v>137</v>
      </c>
      <c r="C664" s="126" t="s">
        <v>24</v>
      </c>
      <c r="D664" s="126" t="s">
        <v>77</v>
      </c>
      <c r="E664" s="126" t="s">
        <v>135</v>
      </c>
      <c r="F664" s="126">
        <v>0</v>
      </c>
      <c r="G664" s="126">
        <v>0</v>
      </c>
      <c r="H664" s="126">
        <v>0</v>
      </c>
      <c r="I664" s="126">
        <v>0</v>
      </c>
    </row>
    <row r="665" spans="1:9">
      <c r="A665" s="126">
        <v>1996</v>
      </c>
      <c r="B665" s="126" t="s">
        <v>137</v>
      </c>
      <c r="C665" s="126" t="s">
        <v>24</v>
      </c>
      <c r="D665" s="126" t="s">
        <v>79</v>
      </c>
      <c r="E665" s="126" t="s">
        <v>132</v>
      </c>
      <c r="F665" s="126">
        <v>0</v>
      </c>
      <c r="G665" s="126">
        <v>0</v>
      </c>
      <c r="H665" s="126">
        <v>0</v>
      </c>
      <c r="I665" s="126">
        <v>0</v>
      </c>
    </row>
    <row r="666" spans="1:9">
      <c r="A666" s="126">
        <v>1996</v>
      </c>
      <c r="B666" s="126" t="s">
        <v>137</v>
      </c>
      <c r="C666" s="126" t="s">
        <v>24</v>
      </c>
      <c r="D666" s="126" t="s">
        <v>79</v>
      </c>
      <c r="E666" s="126" t="s">
        <v>133</v>
      </c>
      <c r="F666" s="126">
        <v>0</v>
      </c>
      <c r="G666" s="126">
        <v>0</v>
      </c>
      <c r="H666" s="126">
        <v>0</v>
      </c>
      <c r="I666" s="126">
        <v>0</v>
      </c>
    </row>
    <row r="667" spans="1:9">
      <c r="A667" s="126">
        <v>1996</v>
      </c>
      <c r="B667" s="126" t="s">
        <v>137</v>
      </c>
      <c r="C667" s="126" t="s">
        <v>24</v>
      </c>
      <c r="D667" s="126" t="s">
        <v>79</v>
      </c>
      <c r="E667" s="126" t="s">
        <v>134</v>
      </c>
      <c r="F667" s="126">
        <v>0</v>
      </c>
      <c r="G667" s="126">
        <v>0</v>
      </c>
      <c r="H667" s="126">
        <v>0</v>
      </c>
      <c r="I667" s="126">
        <v>0</v>
      </c>
    </row>
    <row r="668" spans="1:9">
      <c r="A668" s="126">
        <v>1996</v>
      </c>
      <c r="B668" s="126" t="s">
        <v>137</v>
      </c>
      <c r="C668" s="126" t="s">
        <v>24</v>
      </c>
      <c r="D668" s="126" t="s">
        <v>79</v>
      </c>
      <c r="E668" s="126" t="s">
        <v>135</v>
      </c>
      <c r="F668" s="126">
        <v>0</v>
      </c>
      <c r="G668" s="126">
        <v>0</v>
      </c>
      <c r="H668" s="126">
        <v>0</v>
      </c>
      <c r="I668" s="126">
        <v>0</v>
      </c>
    </row>
    <row r="669" spans="1:9">
      <c r="A669" s="126">
        <v>1996</v>
      </c>
      <c r="B669" s="126" t="s">
        <v>137</v>
      </c>
      <c r="C669" s="126" t="s">
        <v>24</v>
      </c>
      <c r="D669" s="126" t="s">
        <v>79</v>
      </c>
      <c r="E669" s="126" t="s">
        <v>136</v>
      </c>
      <c r="F669" s="126">
        <v>0</v>
      </c>
      <c r="G669" s="126">
        <v>0</v>
      </c>
      <c r="H669" s="126">
        <v>0</v>
      </c>
      <c r="I669" s="126">
        <v>0</v>
      </c>
    </row>
    <row r="670" spans="1:9">
      <c r="A670" s="126">
        <v>1996</v>
      </c>
      <c r="B670" s="126" t="s">
        <v>137</v>
      </c>
      <c r="C670" s="126" t="s">
        <v>24</v>
      </c>
      <c r="D670" s="126" t="s">
        <v>76</v>
      </c>
      <c r="E670" s="126" t="s">
        <v>132</v>
      </c>
      <c r="F670" s="126">
        <v>0</v>
      </c>
      <c r="G670" s="126">
        <v>0</v>
      </c>
      <c r="H670" s="126">
        <v>0</v>
      </c>
      <c r="I670" s="126">
        <v>0</v>
      </c>
    </row>
    <row r="671" spans="1:9">
      <c r="A671" s="126">
        <v>1996</v>
      </c>
      <c r="B671" s="126" t="s">
        <v>137</v>
      </c>
      <c r="C671" s="126" t="s">
        <v>24</v>
      </c>
      <c r="D671" s="126" t="s">
        <v>76</v>
      </c>
      <c r="E671" s="126" t="s">
        <v>133</v>
      </c>
      <c r="F671" s="126">
        <v>0</v>
      </c>
      <c r="G671" s="126">
        <v>0</v>
      </c>
      <c r="H671" s="126">
        <v>0</v>
      </c>
      <c r="I671" s="126">
        <v>0</v>
      </c>
    </row>
    <row r="672" spans="1:9" ht="13.5">
      <c r="A672" s="128">
        <v>1996</v>
      </c>
      <c r="B672" s="128" t="s">
        <v>137</v>
      </c>
      <c r="C672" s="128" t="s">
        <v>24</v>
      </c>
      <c r="D672" s="128" t="s">
        <v>76</v>
      </c>
      <c r="E672" s="128" t="s">
        <v>134</v>
      </c>
      <c r="F672" s="128">
        <v>0</v>
      </c>
      <c r="G672" s="128">
        <v>0</v>
      </c>
      <c r="H672" s="128">
        <v>0</v>
      </c>
      <c r="I672" s="128">
        <v>0</v>
      </c>
    </row>
    <row r="673" spans="1:9" ht="13.5">
      <c r="A673" s="128">
        <v>1996</v>
      </c>
      <c r="B673" s="128" t="s">
        <v>137</v>
      </c>
      <c r="C673" s="128" t="s">
        <v>24</v>
      </c>
      <c r="D673" s="128" t="s">
        <v>76</v>
      </c>
      <c r="E673" s="128" t="s">
        <v>135</v>
      </c>
      <c r="F673" s="128">
        <v>0</v>
      </c>
      <c r="G673" s="128">
        <v>0</v>
      </c>
      <c r="H673" s="128">
        <v>0</v>
      </c>
      <c r="I673" s="128">
        <v>0</v>
      </c>
    </row>
    <row r="674" spans="1:9" ht="13.5">
      <c r="A674" s="128">
        <v>1996</v>
      </c>
      <c r="B674" s="128" t="s">
        <v>137</v>
      </c>
      <c r="C674" s="128" t="s">
        <v>24</v>
      </c>
      <c r="D674" s="128" t="s">
        <v>76</v>
      </c>
      <c r="E674" s="128" t="s">
        <v>136</v>
      </c>
      <c r="F674" s="128">
        <v>0</v>
      </c>
      <c r="G674" s="128">
        <v>0</v>
      </c>
      <c r="H674" s="128">
        <v>0</v>
      </c>
      <c r="I674" s="128">
        <v>0</v>
      </c>
    </row>
    <row r="675" spans="1:9" ht="13.5">
      <c r="A675" s="128">
        <v>1997</v>
      </c>
      <c r="B675" s="128" t="s">
        <v>131</v>
      </c>
      <c r="C675" s="128" t="s">
        <v>26</v>
      </c>
      <c r="D675" s="128" t="s">
        <v>77</v>
      </c>
      <c r="E675" s="128" t="s">
        <v>132</v>
      </c>
      <c r="F675" s="128">
        <v>0</v>
      </c>
      <c r="G675" s="128">
        <v>0</v>
      </c>
      <c r="H675" s="128">
        <v>0</v>
      </c>
      <c r="I675" s="128">
        <v>0</v>
      </c>
    </row>
    <row r="676" spans="1:9" ht="13.5">
      <c r="A676" s="128">
        <v>1997</v>
      </c>
      <c r="B676" s="128" t="s">
        <v>131</v>
      </c>
      <c r="C676" s="128" t="s">
        <v>26</v>
      </c>
      <c r="D676" s="128" t="s">
        <v>77</v>
      </c>
      <c r="E676" s="128" t="s">
        <v>133</v>
      </c>
      <c r="F676" s="128">
        <v>0</v>
      </c>
      <c r="G676" s="128">
        <v>0</v>
      </c>
      <c r="H676" s="128">
        <v>0</v>
      </c>
      <c r="I676" s="128">
        <v>0</v>
      </c>
    </row>
    <row r="677" spans="1:9" ht="13.5">
      <c r="A677" s="128">
        <v>1997</v>
      </c>
      <c r="B677" s="128" t="s">
        <v>131</v>
      </c>
      <c r="C677" s="128" t="s">
        <v>26</v>
      </c>
      <c r="D677" s="128" t="s">
        <v>77</v>
      </c>
      <c r="E677" s="128" t="s">
        <v>134</v>
      </c>
      <c r="F677" s="128">
        <v>0</v>
      </c>
      <c r="G677" s="128">
        <v>0</v>
      </c>
      <c r="H677" s="128">
        <v>0</v>
      </c>
      <c r="I677" s="128">
        <v>0</v>
      </c>
    </row>
    <row r="678" spans="1:9" ht="13.5">
      <c r="A678" s="128">
        <v>1997</v>
      </c>
      <c r="B678" s="128" t="s">
        <v>131</v>
      </c>
      <c r="C678" s="128" t="s">
        <v>26</v>
      </c>
      <c r="D678" s="128" t="s">
        <v>77</v>
      </c>
      <c r="E678" s="128" t="s">
        <v>135</v>
      </c>
      <c r="F678" s="128">
        <v>0</v>
      </c>
      <c r="G678" s="128">
        <v>0</v>
      </c>
      <c r="H678" s="128">
        <v>0</v>
      </c>
      <c r="I678" s="128">
        <v>0</v>
      </c>
    </row>
    <row r="679" spans="1:9" ht="13.5">
      <c r="A679" s="128">
        <v>1997</v>
      </c>
      <c r="B679" s="128" t="s">
        <v>131</v>
      </c>
      <c r="C679" s="128" t="s">
        <v>26</v>
      </c>
      <c r="D679" s="128" t="s">
        <v>79</v>
      </c>
      <c r="E679" s="128" t="s">
        <v>132</v>
      </c>
      <c r="F679" s="128">
        <v>0</v>
      </c>
      <c r="G679" s="128">
        <v>0</v>
      </c>
      <c r="H679" s="128">
        <v>0</v>
      </c>
      <c r="I679" s="128">
        <v>0</v>
      </c>
    </row>
    <row r="680" spans="1:9" ht="13.5">
      <c r="A680" s="128">
        <v>1997</v>
      </c>
      <c r="B680" s="128" t="s">
        <v>131</v>
      </c>
      <c r="C680" s="128" t="s">
        <v>26</v>
      </c>
      <c r="D680" s="128" t="s">
        <v>79</v>
      </c>
      <c r="E680" s="128" t="s">
        <v>133</v>
      </c>
      <c r="F680" s="128">
        <v>0</v>
      </c>
      <c r="G680" s="128">
        <v>0</v>
      </c>
      <c r="H680" s="128">
        <v>0</v>
      </c>
      <c r="I680" s="128">
        <v>0</v>
      </c>
    </row>
    <row r="681" spans="1:9" ht="13.5">
      <c r="A681" s="128">
        <v>1997</v>
      </c>
      <c r="B681" s="128" t="s">
        <v>131</v>
      </c>
      <c r="C681" s="128" t="s">
        <v>26</v>
      </c>
      <c r="D681" s="128" t="s">
        <v>79</v>
      </c>
      <c r="E681" s="128" t="s">
        <v>134</v>
      </c>
      <c r="F681" s="128">
        <v>0</v>
      </c>
      <c r="G681" s="128">
        <v>0</v>
      </c>
      <c r="H681" s="128">
        <v>0</v>
      </c>
      <c r="I681" s="128">
        <v>0</v>
      </c>
    </row>
    <row r="682" spans="1:9" ht="13.5">
      <c r="A682" s="128">
        <v>1997</v>
      </c>
      <c r="B682" s="128" t="s">
        <v>131</v>
      </c>
      <c r="C682" s="128" t="s">
        <v>26</v>
      </c>
      <c r="D682" s="128" t="s">
        <v>79</v>
      </c>
      <c r="E682" s="128" t="s">
        <v>135</v>
      </c>
      <c r="F682" s="128">
        <v>0</v>
      </c>
      <c r="G682" s="128">
        <v>0</v>
      </c>
      <c r="H682" s="128">
        <v>0</v>
      </c>
      <c r="I682" s="128">
        <v>0</v>
      </c>
    </row>
    <row r="683" spans="1:9" ht="13.5">
      <c r="A683" s="128">
        <v>1997</v>
      </c>
      <c r="B683" s="128" t="s">
        <v>131</v>
      </c>
      <c r="C683" s="128" t="s">
        <v>26</v>
      </c>
      <c r="D683" s="128" t="s">
        <v>79</v>
      </c>
      <c r="E683" s="128" t="s">
        <v>136</v>
      </c>
      <c r="F683" s="128">
        <v>0</v>
      </c>
      <c r="G683" s="128">
        <v>0</v>
      </c>
      <c r="H683" s="128">
        <v>0</v>
      </c>
      <c r="I683" s="128">
        <v>0</v>
      </c>
    </row>
    <row r="684" spans="1:9" ht="13.5">
      <c r="A684" s="128">
        <v>1997</v>
      </c>
      <c r="B684" s="128" t="s">
        <v>131</v>
      </c>
      <c r="C684" s="128" t="s">
        <v>26</v>
      </c>
      <c r="D684" s="128" t="s">
        <v>76</v>
      </c>
      <c r="E684" s="128" t="s">
        <v>132</v>
      </c>
      <c r="F684" s="128">
        <v>0</v>
      </c>
      <c r="G684" s="128">
        <v>0</v>
      </c>
      <c r="H684" s="128">
        <v>0</v>
      </c>
      <c r="I684" s="128">
        <v>0</v>
      </c>
    </row>
    <row r="685" spans="1:9" ht="13.5">
      <c r="A685" s="128">
        <v>1997</v>
      </c>
      <c r="B685" s="128" t="s">
        <v>131</v>
      </c>
      <c r="C685" s="128" t="s">
        <v>26</v>
      </c>
      <c r="D685" s="128" t="s">
        <v>76</v>
      </c>
      <c r="E685" s="128" t="s">
        <v>133</v>
      </c>
      <c r="F685" s="128">
        <v>0</v>
      </c>
      <c r="G685" s="128">
        <v>0</v>
      </c>
      <c r="H685" s="128">
        <v>0</v>
      </c>
      <c r="I685" s="128">
        <v>0</v>
      </c>
    </row>
    <row r="686" spans="1:9" ht="13.5">
      <c r="A686" s="128">
        <v>1997</v>
      </c>
      <c r="B686" s="128" t="s">
        <v>131</v>
      </c>
      <c r="C686" s="128" t="s">
        <v>26</v>
      </c>
      <c r="D686" s="128" t="s">
        <v>76</v>
      </c>
      <c r="E686" s="128" t="s">
        <v>134</v>
      </c>
      <c r="F686" s="128">
        <v>0</v>
      </c>
      <c r="G686" s="128">
        <v>0</v>
      </c>
      <c r="H686" s="128">
        <v>0</v>
      </c>
      <c r="I686" s="128">
        <v>0</v>
      </c>
    </row>
    <row r="687" spans="1:9" ht="13.5">
      <c r="A687" s="128">
        <v>1997</v>
      </c>
      <c r="B687" s="128" t="s">
        <v>131</v>
      </c>
      <c r="C687" s="128" t="s">
        <v>26</v>
      </c>
      <c r="D687" s="128" t="s">
        <v>76</v>
      </c>
      <c r="E687" s="128" t="s">
        <v>135</v>
      </c>
      <c r="F687" s="128">
        <v>0</v>
      </c>
      <c r="G687" s="128">
        <v>0</v>
      </c>
      <c r="H687" s="128">
        <v>0</v>
      </c>
      <c r="I687" s="128">
        <v>0</v>
      </c>
    </row>
    <row r="688" spans="1:9" ht="13.5">
      <c r="A688" s="128">
        <v>1997</v>
      </c>
      <c r="B688" s="128" t="s">
        <v>131</v>
      </c>
      <c r="C688" s="128" t="s">
        <v>26</v>
      </c>
      <c r="D688" s="128" t="s">
        <v>76</v>
      </c>
      <c r="E688" s="128" t="s">
        <v>136</v>
      </c>
      <c r="F688" s="128">
        <v>0</v>
      </c>
      <c r="G688" s="128">
        <v>0</v>
      </c>
      <c r="H688" s="128">
        <v>0</v>
      </c>
      <c r="I688" s="128">
        <v>0</v>
      </c>
    </row>
    <row r="689" spans="1:9" ht="13.5">
      <c r="A689" s="128">
        <v>1997</v>
      </c>
      <c r="B689" s="128" t="s">
        <v>131</v>
      </c>
      <c r="C689" s="128" t="s">
        <v>20</v>
      </c>
      <c r="D689" s="128" t="s">
        <v>77</v>
      </c>
      <c r="E689" s="128" t="s">
        <v>132</v>
      </c>
      <c r="F689" s="128">
        <v>0</v>
      </c>
      <c r="G689" s="128">
        <v>0</v>
      </c>
      <c r="H689" s="128">
        <v>0</v>
      </c>
      <c r="I689" s="128">
        <v>0</v>
      </c>
    </row>
    <row r="690" spans="1:9" ht="13.5">
      <c r="A690" s="128">
        <v>1997</v>
      </c>
      <c r="B690" s="128" t="s">
        <v>131</v>
      </c>
      <c r="C690" s="128" t="s">
        <v>20</v>
      </c>
      <c r="D690" s="128" t="s">
        <v>77</v>
      </c>
      <c r="E690" s="128" t="s">
        <v>133</v>
      </c>
      <c r="F690" s="128">
        <v>0</v>
      </c>
      <c r="G690" s="128">
        <v>0</v>
      </c>
      <c r="H690" s="128">
        <v>0</v>
      </c>
      <c r="I690" s="128">
        <v>0</v>
      </c>
    </row>
    <row r="691" spans="1:9" ht="13.5">
      <c r="A691" s="128">
        <v>1997</v>
      </c>
      <c r="B691" s="128" t="s">
        <v>131</v>
      </c>
      <c r="C691" s="128" t="s">
        <v>20</v>
      </c>
      <c r="D691" s="128" t="s">
        <v>77</v>
      </c>
      <c r="E691" s="128" t="s">
        <v>134</v>
      </c>
      <c r="F691" s="128">
        <v>0</v>
      </c>
      <c r="G691" s="128">
        <v>0</v>
      </c>
      <c r="H691" s="128">
        <v>0</v>
      </c>
      <c r="I691" s="128">
        <v>0</v>
      </c>
    </row>
    <row r="692" spans="1:9" ht="13.5">
      <c r="A692" s="128">
        <v>1997</v>
      </c>
      <c r="B692" s="128" t="s">
        <v>131</v>
      </c>
      <c r="C692" s="128" t="s">
        <v>20</v>
      </c>
      <c r="D692" s="128" t="s">
        <v>77</v>
      </c>
      <c r="E692" s="128" t="s">
        <v>135</v>
      </c>
      <c r="F692" s="128">
        <v>0</v>
      </c>
      <c r="G692" s="128">
        <v>0</v>
      </c>
      <c r="H692" s="128">
        <v>0</v>
      </c>
      <c r="I692" s="128">
        <v>0</v>
      </c>
    </row>
    <row r="693" spans="1:9" ht="13.5">
      <c r="A693" s="128">
        <v>1997</v>
      </c>
      <c r="B693" s="128" t="s">
        <v>131</v>
      </c>
      <c r="C693" s="128" t="s">
        <v>20</v>
      </c>
      <c r="D693" s="128" t="s">
        <v>79</v>
      </c>
      <c r="E693" s="128" t="s">
        <v>132</v>
      </c>
      <c r="F693" s="128">
        <v>0</v>
      </c>
      <c r="G693" s="128">
        <v>0</v>
      </c>
      <c r="H693" s="128">
        <v>0</v>
      </c>
      <c r="I693" s="128">
        <v>0</v>
      </c>
    </row>
    <row r="694" spans="1:9" ht="13.5">
      <c r="A694" s="128">
        <v>1997</v>
      </c>
      <c r="B694" s="128" t="s">
        <v>131</v>
      </c>
      <c r="C694" s="128" t="s">
        <v>20</v>
      </c>
      <c r="D694" s="128" t="s">
        <v>79</v>
      </c>
      <c r="E694" s="128" t="s">
        <v>133</v>
      </c>
      <c r="F694" s="128">
        <v>0</v>
      </c>
      <c r="G694" s="128">
        <v>0</v>
      </c>
      <c r="H694" s="128">
        <v>0</v>
      </c>
      <c r="I694" s="128">
        <v>0</v>
      </c>
    </row>
    <row r="695" spans="1:9" ht="13.5">
      <c r="A695" s="128">
        <v>1997</v>
      </c>
      <c r="B695" s="128" t="s">
        <v>131</v>
      </c>
      <c r="C695" s="128" t="s">
        <v>20</v>
      </c>
      <c r="D695" s="128" t="s">
        <v>79</v>
      </c>
      <c r="E695" s="128" t="s">
        <v>134</v>
      </c>
      <c r="F695" s="128">
        <v>0</v>
      </c>
      <c r="G695" s="128">
        <v>0</v>
      </c>
      <c r="H695" s="128">
        <v>0</v>
      </c>
      <c r="I695" s="128">
        <v>0</v>
      </c>
    </row>
    <row r="696" spans="1:9" ht="13.5">
      <c r="A696" s="128">
        <v>1997</v>
      </c>
      <c r="B696" s="128" t="s">
        <v>131</v>
      </c>
      <c r="C696" s="128" t="s">
        <v>20</v>
      </c>
      <c r="D696" s="128" t="s">
        <v>79</v>
      </c>
      <c r="E696" s="128" t="s">
        <v>135</v>
      </c>
      <c r="F696" s="128">
        <v>0</v>
      </c>
      <c r="G696" s="128">
        <v>0</v>
      </c>
      <c r="H696" s="128">
        <v>0</v>
      </c>
      <c r="I696" s="128">
        <v>0</v>
      </c>
    </row>
    <row r="697" spans="1:9" ht="13.5">
      <c r="A697" s="128">
        <v>1997</v>
      </c>
      <c r="B697" s="128" t="s">
        <v>131</v>
      </c>
      <c r="C697" s="128" t="s">
        <v>20</v>
      </c>
      <c r="D697" s="128" t="s">
        <v>79</v>
      </c>
      <c r="E697" s="128" t="s">
        <v>136</v>
      </c>
      <c r="F697" s="128">
        <v>0</v>
      </c>
      <c r="G697" s="128">
        <v>0</v>
      </c>
      <c r="H697" s="128">
        <v>0</v>
      </c>
      <c r="I697" s="128">
        <v>0</v>
      </c>
    </row>
    <row r="698" spans="1:9" ht="13.5">
      <c r="A698" s="128">
        <v>1997</v>
      </c>
      <c r="B698" s="128" t="s">
        <v>131</v>
      </c>
      <c r="C698" s="128" t="s">
        <v>20</v>
      </c>
      <c r="D698" s="128" t="s">
        <v>76</v>
      </c>
      <c r="E698" s="128" t="s">
        <v>132</v>
      </c>
      <c r="F698" s="128">
        <v>0</v>
      </c>
      <c r="G698" s="128">
        <v>0</v>
      </c>
      <c r="H698" s="128">
        <v>0</v>
      </c>
      <c r="I698" s="128">
        <v>0</v>
      </c>
    </row>
    <row r="699" spans="1:9" ht="13.5">
      <c r="A699" s="128">
        <v>1997</v>
      </c>
      <c r="B699" s="128" t="s">
        <v>131</v>
      </c>
      <c r="C699" s="128" t="s">
        <v>20</v>
      </c>
      <c r="D699" s="128" t="s">
        <v>76</v>
      </c>
      <c r="E699" s="128" t="s">
        <v>133</v>
      </c>
      <c r="F699" s="128">
        <v>0</v>
      </c>
      <c r="G699" s="128">
        <v>0</v>
      </c>
      <c r="H699" s="128">
        <v>0</v>
      </c>
      <c r="I699" s="128">
        <v>0</v>
      </c>
    </row>
    <row r="700" spans="1:9" ht="13.5">
      <c r="A700" s="128">
        <v>1997</v>
      </c>
      <c r="B700" s="128" t="s">
        <v>131</v>
      </c>
      <c r="C700" s="128" t="s">
        <v>20</v>
      </c>
      <c r="D700" s="128" t="s">
        <v>76</v>
      </c>
      <c r="E700" s="128" t="s">
        <v>134</v>
      </c>
      <c r="F700" s="128">
        <v>0</v>
      </c>
      <c r="G700" s="128">
        <v>0</v>
      </c>
      <c r="H700" s="128">
        <v>0</v>
      </c>
      <c r="I700" s="128">
        <v>0</v>
      </c>
    </row>
    <row r="701" spans="1:9" ht="13.5">
      <c r="A701" s="128">
        <v>1997</v>
      </c>
      <c r="B701" s="128" t="s">
        <v>131</v>
      </c>
      <c r="C701" s="128" t="s">
        <v>20</v>
      </c>
      <c r="D701" s="128" t="s">
        <v>76</v>
      </c>
      <c r="E701" s="128" t="s">
        <v>135</v>
      </c>
      <c r="F701" s="128">
        <v>0</v>
      </c>
      <c r="G701" s="128">
        <v>0</v>
      </c>
      <c r="H701" s="128">
        <v>0</v>
      </c>
      <c r="I701" s="128">
        <v>0</v>
      </c>
    </row>
    <row r="702" spans="1:9" ht="13.5">
      <c r="A702" s="128">
        <v>1997</v>
      </c>
      <c r="B702" s="128" t="s">
        <v>131</v>
      </c>
      <c r="C702" s="128" t="s">
        <v>20</v>
      </c>
      <c r="D702" s="128" t="s">
        <v>76</v>
      </c>
      <c r="E702" s="128" t="s">
        <v>136</v>
      </c>
      <c r="F702" s="128">
        <v>0</v>
      </c>
      <c r="G702" s="128">
        <v>0</v>
      </c>
      <c r="H702" s="128">
        <v>0</v>
      </c>
      <c r="I702" s="128">
        <v>0</v>
      </c>
    </row>
    <row r="703" spans="1:9" ht="13.5">
      <c r="A703" s="128">
        <v>1997</v>
      </c>
      <c r="B703" s="128" t="s">
        <v>131</v>
      </c>
      <c r="C703" s="128" t="s">
        <v>27</v>
      </c>
      <c r="D703" s="128" t="s">
        <v>77</v>
      </c>
      <c r="E703" s="128" t="s">
        <v>132</v>
      </c>
      <c r="F703" s="128">
        <v>0</v>
      </c>
      <c r="G703" s="128">
        <v>0</v>
      </c>
      <c r="H703" s="128">
        <v>0</v>
      </c>
      <c r="I703" s="128">
        <v>0</v>
      </c>
    </row>
    <row r="704" spans="1:9" ht="13.5">
      <c r="A704" s="128">
        <v>1997</v>
      </c>
      <c r="B704" s="128" t="s">
        <v>131</v>
      </c>
      <c r="C704" s="128" t="s">
        <v>27</v>
      </c>
      <c r="D704" s="128" t="s">
        <v>77</v>
      </c>
      <c r="E704" s="128" t="s">
        <v>133</v>
      </c>
      <c r="F704" s="128">
        <v>0</v>
      </c>
      <c r="G704" s="128">
        <v>0</v>
      </c>
      <c r="H704" s="128">
        <v>0</v>
      </c>
      <c r="I704" s="128">
        <v>0</v>
      </c>
    </row>
    <row r="705" spans="1:9" ht="13.5">
      <c r="A705" s="128">
        <v>1997</v>
      </c>
      <c r="B705" s="128" t="s">
        <v>131</v>
      </c>
      <c r="C705" s="128" t="s">
        <v>27</v>
      </c>
      <c r="D705" s="128" t="s">
        <v>77</v>
      </c>
      <c r="E705" s="128" t="s">
        <v>134</v>
      </c>
      <c r="F705" s="128">
        <v>0</v>
      </c>
      <c r="G705" s="128">
        <v>0</v>
      </c>
      <c r="H705" s="128">
        <v>0</v>
      </c>
      <c r="I705" s="128">
        <v>0</v>
      </c>
    </row>
    <row r="706" spans="1:9" ht="13.5">
      <c r="A706" s="128">
        <v>1997</v>
      </c>
      <c r="B706" s="128" t="s">
        <v>131</v>
      </c>
      <c r="C706" s="128" t="s">
        <v>27</v>
      </c>
      <c r="D706" s="128" t="s">
        <v>77</v>
      </c>
      <c r="E706" s="128" t="s">
        <v>135</v>
      </c>
      <c r="F706" s="128">
        <v>0</v>
      </c>
      <c r="G706" s="128">
        <v>0</v>
      </c>
      <c r="H706" s="128">
        <v>0</v>
      </c>
      <c r="I706" s="128">
        <v>0</v>
      </c>
    </row>
    <row r="707" spans="1:9" ht="13.5">
      <c r="A707" s="128">
        <v>1997</v>
      </c>
      <c r="B707" s="128" t="s">
        <v>131</v>
      </c>
      <c r="C707" s="128" t="s">
        <v>27</v>
      </c>
      <c r="D707" s="128" t="s">
        <v>79</v>
      </c>
      <c r="E707" s="128" t="s">
        <v>132</v>
      </c>
      <c r="F707" s="128">
        <v>0</v>
      </c>
      <c r="G707" s="128">
        <v>0</v>
      </c>
      <c r="H707" s="128">
        <v>0</v>
      </c>
      <c r="I707" s="128">
        <v>0</v>
      </c>
    </row>
    <row r="708" spans="1:9" ht="13.5">
      <c r="A708" s="128">
        <v>1997</v>
      </c>
      <c r="B708" s="128" t="s">
        <v>131</v>
      </c>
      <c r="C708" s="128" t="s">
        <v>27</v>
      </c>
      <c r="D708" s="128" t="s">
        <v>79</v>
      </c>
      <c r="E708" s="128" t="s">
        <v>133</v>
      </c>
      <c r="F708" s="128">
        <v>0</v>
      </c>
      <c r="G708" s="128">
        <v>0</v>
      </c>
      <c r="H708" s="128">
        <v>0</v>
      </c>
      <c r="I708" s="128">
        <v>0</v>
      </c>
    </row>
    <row r="709" spans="1:9" ht="13.5">
      <c r="A709" s="128">
        <v>1997</v>
      </c>
      <c r="B709" s="128" t="s">
        <v>131</v>
      </c>
      <c r="C709" s="128" t="s">
        <v>27</v>
      </c>
      <c r="D709" s="128" t="s">
        <v>79</v>
      </c>
      <c r="E709" s="128" t="s">
        <v>134</v>
      </c>
      <c r="F709" s="128">
        <v>0</v>
      </c>
      <c r="G709" s="128">
        <v>0</v>
      </c>
      <c r="H709" s="128">
        <v>0</v>
      </c>
      <c r="I709" s="128">
        <v>0</v>
      </c>
    </row>
    <row r="710" spans="1:9" ht="13.5">
      <c r="A710" s="128">
        <v>1997</v>
      </c>
      <c r="B710" s="128" t="s">
        <v>131</v>
      </c>
      <c r="C710" s="128" t="s">
        <v>27</v>
      </c>
      <c r="D710" s="128" t="s">
        <v>79</v>
      </c>
      <c r="E710" s="128" t="s">
        <v>135</v>
      </c>
      <c r="F710" s="128">
        <v>0</v>
      </c>
      <c r="G710" s="128">
        <v>0</v>
      </c>
      <c r="H710" s="128">
        <v>0</v>
      </c>
      <c r="I710" s="128">
        <v>0</v>
      </c>
    </row>
    <row r="711" spans="1:9" ht="13.5">
      <c r="A711" s="128">
        <v>1997</v>
      </c>
      <c r="B711" s="128" t="s">
        <v>131</v>
      </c>
      <c r="C711" s="128" t="s">
        <v>27</v>
      </c>
      <c r="D711" s="128" t="s">
        <v>79</v>
      </c>
      <c r="E711" s="128" t="s">
        <v>136</v>
      </c>
      <c r="F711" s="128">
        <v>0</v>
      </c>
      <c r="G711" s="128">
        <v>0</v>
      </c>
      <c r="H711" s="128">
        <v>0</v>
      </c>
      <c r="I711" s="128">
        <v>0</v>
      </c>
    </row>
    <row r="712" spans="1:9" ht="13.5">
      <c r="A712" s="128">
        <v>1997</v>
      </c>
      <c r="B712" s="128" t="s">
        <v>131</v>
      </c>
      <c r="C712" s="128" t="s">
        <v>27</v>
      </c>
      <c r="D712" s="128" t="s">
        <v>76</v>
      </c>
      <c r="E712" s="128" t="s">
        <v>132</v>
      </c>
      <c r="F712" s="128">
        <v>0</v>
      </c>
      <c r="G712" s="128">
        <v>0</v>
      </c>
      <c r="H712" s="128">
        <v>0</v>
      </c>
      <c r="I712" s="128">
        <v>0</v>
      </c>
    </row>
    <row r="713" spans="1:9" ht="13.5">
      <c r="A713" s="128">
        <v>1997</v>
      </c>
      <c r="B713" s="128" t="s">
        <v>131</v>
      </c>
      <c r="C713" s="128" t="s">
        <v>27</v>
      </c>
      <c r="D713" s="128" t="s">
        <v>76</v>
      </c>
      <c r="E713" s="128" t="s">
        <v>133</v>
      </c>
      <c r="F713" s="128">
        <v>0</v>
      </c>
      <c r="G713" s="128">
        <v>0</v>
      </c>
      <c r="H713" s="128">
        <v>0</v>
      </c>
      <c r="I713" s="128">
        <v>0</v>
      </c>
    </row>
    <row r="714" spans="1:9" ht="13.5">
      <c r="A714" s="128">
        <v>1997</v>
      </c>
      <c r="B714" s="128" t="s">
        <v>131</v>
      </c>
      <c r="C714" s="128" t="s">
        <v>27</v>
      </c>
      <c r="D714" s="128" t="s">
        <v>76</v>
      </c>
      <c r="E714" s="128" t="s">
        <v>134</v>
      </c>
      <c r="F714" s="128">
        <v>0</v>
      </c>
      <c r="G714" s="128">
        <v>0</v>
      </c>
      <c r="H714" s="128">
        <v>0</v>
      </c>
      <c r="I714" s="128">
        <v>0</v>
      </c>
    </row>
    <row r="715" spans="1:9" ht="13.5">
      <c r="A715" s="128">
        <v>1997</v>
      </c>
      <c r="B715" s="128" t="s">
        <v>131</v>
      </c>
      <c r="C715" s="128" t="s">
        <v>27</v>
      </c>
      <c r="D715" s="128" t="s">
        <v>76</v>
      </c>
      <c r="E715" s="128" t="s">
        <v>135</v>
      </c>
      <c r="F715" s="128">
        <v>0</v>
      </c>
      <c r="G715" s="128">
        <v>0</v>
      </c>
      <c r="H715" s="128">
        <v>0</v>
      </c>
      <c r="I715" s="128">
        <v>0</v>
      </c>
    </row>
    <row r="716" spans="1:9" ht="13.5">
      <c r="A716" s="128">
        <v>1997</v>
      </c>
      <c r="B716" s="128" t="s">
        <v>131</v>
      </c>
      <c r="C716" s="128" t="s">
        <v>27</v>
      </c>
      <c r="D716" s="128" t="s">
        <v>76</v>
      </c>
      <c r="E716" s="128" t="s">
        <v>136</v>
      </c>
      <c r="F716" s="128">
        <v>0</v>
      </c>
      <c r="G716" s="128">
        <v>0</v>
      </c>
      <c r="H716" s="128">
        <v>0</v>
      </c>
      <c r="I716" s="128">
        <v>0</v>
      </c>
    </row>
    <row r="717" spans="1:9" ht="13.5">
      <c r="A717" s="128">
        <v>1997</v>
      </c>
      <c r="B717" s="128" t="s">
        <v>131</v>
      </c>
      <c r="C717" s="128" t="s">
        <v>22</v>
      </c>
      <c r="D717" s="128" t="s">
        <v>77</v>
      </c>
      <c r="E717" s="128" t="s">
        <v>132</v>
      </c>
      <c r="F717" s="128">
        <v>0</v>
      </c>
      <c r="G717" s="128">
        <v>0</v>
      </c>
      <c r="H717" s="128">
        <v>0</v>
      </c>
      <c r="I717" s="128">
        <v>0</v>
      </c>
    </row>
    <row r="718" spans="1:9" ht="13.5">
      <c r="A718" s="128">
        <v>1997</v>
      </c>
      <c r="B718" s="128" t="s">
        <v>131</v>
      </c>
      <c r="C718" s="128" t="s">
        <v>22</v>
      </c>
      <c r="D718" s="128" t="s">
        <v>77</v>
      </c>
      <c r="E718" s="128" t="s">
        <v>133</v>
      </c>
      <c r="F718" s="128">
        <v>0</v>
      </c>
      <c r="G718" s="128">
        <v>0</v>
      </c>
      <c r="H718" s="128">
        <v>0</v>
      </c>
      <c r="I718" s="128">
        <v>0</v>
      </c>
    </row>
    <row r="719" spans="1:9" ht="13.5">
      <c r="A719" s="128">
        <v>1997</v>
      </c>
      <c r="B719" s="128" t="s">
        <v>131</v>
      </c>
      <c r="C719" s="128" t="s">
        <v>22</v>
      </c>
      <c r="D719" s="128" t="s">
        <v>77</v>
      </c>
      <c r="E719" s="128" t="s">
        <v>134</v>
      </c>
      <c r="F719" s="128">
        <v>0</v>
      </c>
      <c r="G719" s="128">
        <v>0</v>
      </c>
      <c r="H719" s="128">
        <v>0</v>
      </c>
      <c r="I719" s="128">
        <v>0</v>
      </c>
    </row>
    <row r="720" spans="1:9" ht="13.5">
      <c r="A720" s="128">
        <v>1997</v>
      </c>
      <c r="B720" s="128" t="s">
        <v>131</v>
      </c>
      <c r="C720" s="128" t="s">
        <v>22</v>
      </c>
      <c r="D720" s="128" t="s">
        <v>77</v>
      </c>
      <c r="E720" s="128" t="s">
        <v>135</v>
      </c>
      <c r="F720" s="128">
        <v>0</v>
      </c>
      <c r="G720" s="128">
        <v>0</v>
      </c>
      <c r="H720" s="128">
        <v>0</v>
      </c>
      <c r="I720" s="128">
        <v>0</v>
      </c>
    </row>
    <row r="721" spans="1:9" ht="13.5">
      <c r="A721" s="128">
        <v>1997</v>
      </c>
      <c r="B721" s="128" t="s">
        <v>131</v>
      </c>
      <c r="C721" s="128" t="s">
        <v>22</v>
      </c>
      <c r="D721" s="128" t="s">
        <v>79</v>
      </c>
      <c r="E721" s="128" t="s">
        <v>132</v>
      </c>
      <c r="F721" s="128">
        <v>0</v>
      </c>
      <c r="G721" s="128">
        <v>0</v>
      </c>
      <c r="H721" s="128">
        <v>0</v>
      </c>
      <c r="I721" s="128">
        <v>0</v>
      </c>
    </row>
    <row r="722" spans="1:9" ht="13.5">
      <c r="A722" s="128">
        <v>1997</v>
      </c>
      <c r="B722" s="128" t="s">
        <v>131</v>
      </c>
      <c r="C722" s="128" t="s">
        <v>22</v>
      </c>
      <c r="D722" s="128" t="s">
        <v>79</v>
      </c>
      <c r="E722" s="128" t="s">
        <v>133</v>
      </c>
      <c r="F722" s="128">
        <v>0</v>
      </c>
      <c r="G722" s="128">
        <v>0</v>
      </c>
      <c r="H722" s="128">
        <v>0</v>
      </c>
      <c r="I722" s="128">
        <v>0</v>
      </c>
    </row>
    <row r="723" spans="1:9" ht="13.5">
      <c r="A723" s="128">
        <v>1997</v>
      </c>
      <c r="B723" s="128" t="s">
        <v>131</v>
      </c>
      <c r="C723" s="128" t="s">
        <v>22</v>
      </c>
      <c r="D723" s="128" t="s">
        <v>79</v>
      </c>
      <c r="E723" s="128" t="s">
        <v>134</v>
      </c>
      <c r="F723" s="128">
        <v>0</v>
      </c>
      <c r="G723" s="128">
        <v>0</v>
      </c>
      <c r="H723" s="128">
        <v>0</v>
      </c>
      <c r="I723" s="128">
        <v>0</v>
      </c>
    </row>
    <row r="724" spans="1:9" ht="13.5">
      <c r="A724" s="128">
        <v>1997</v>
      </c>
      <c r="B724" s="128" t="s">
        <v>131</v>
      </c>
      <c r="C724" s="128" t="s">
        <v>22</v>
      </c>
      <c r="D724" s="128" t="s">
        <v>79</v>
      </c>
      <c r="E724" s="128" t="s">
        <v>135</v>
      </c>
      <c r="F724" s="128">
        <v>0</v>
      </c>
      <c r="G724" s="128">
        <v>0</v>
      </c>
      <c r="H724" s="128">
        <v>0</v>
      </c>
      <c r="I724" s="128">
        <v>0</v>
      </c>
    </row>
    <row r="725" spans="1:9" ht="13.5">
      <c r="A725" s="128">
        <v>1997</v>
      </c>
      <c r="B725" s="128" t="s">
        <v>131</v>
      </c>
      <c r="C725" s="128" t="s">
        <v>22</v>
      </c>
      <c r="D725" s="128" t="s">
        <v>79</v>
      </c>
      <c r="E725" s="128" t="s">
        <v>136</v>
      </c>
      <c r="F725" s="128">
        <v>0</v>
      </c>
      <c r="G725" s="128">
        <v>0</v>
      </c>
      <c r="H725" s="128">
        <v>0</v>
      </c>
      <c r="I725" s="128">
        <v>0</v>
      </c>
    </row>
    <row r="726" spans="1:9" ht="13.5">
      <c r="A726" s="128">
        <v>1997</v>
      </c>
      <c r="B726" s="128" t="s">
        <v>131</v>
      </c>
      <c r="C726" s="128" t="s">
        <v>22</v>
      </c>
      <c r="D726" s="128" t="s">
        <v>76</v>
      </c>
      <c r="E726" s="128" t="s">
        <v>132</v>
      </c>
      <c r="F726" s="128">
        <v>0</v>
      </c>
      <c r="G726" s="128">
        <v>0</v>
      </c>
      <c r="H726" s="128">
        <v>0</v>
      </c>
      <c r="I726" s="128">
        <v>0</v>
      </c>
    </row>
    <row r="727" spans="1:9" ht="13.5">
      <c r="A727" s="128">
        <v>1997</v>
      </c>
      <c r="B727" s="128" t="s">
        <v>131</v>
      </c>
      <c r="C727" s="128" t="s">
        <v>22</v>
      </c>
      <c r="D727" s="128" t="s">
        <v>76</v>
      </c>
      <c r="E727" s="128" t="s">
        <v>133</v>
      </c>
      <c r="F727" s="128">
        <v>0</v>
      </c>
      <c r="G727" s="128">
        <v>0</v>
      </c>
      <c r="H727" s="128">
        <v>0</v>
      </c>
      <c r="I727" s="128">
        <v>0</v>
      </c>
    </row>
    <row r="728" spans="1:9" ht="13.5">
      <c r="A728" s="128">
        <v>1997</v>
      </c>
      <c r="B728" s="128" t="s">
        <v>131</v>
      </c>
      <c r="C728" s="128" t="s">
        <v>22</v>
      </c>
      <c r="D728" s="128" t="s">
        <v>76</v>
      </c>
      <c r="E728" s="128" t="s">
        <v>134</v>
      </c>
      <c r="F728" s="128">
        <v>0</v>
      </c>
      <c r="G728" s="128">
        <v>0</v>
      </c>
      <c r="H728" s="128">
        <v>0</v>
      </c>
      <c r="I728" s="128">
        <v>0</v>
      </c>
    </row>
    <row r="729" spans="1:9" ht="13.5">
      <c r="A729" s="128">
        <v>1997</v>
      </c>
      <c r="B729" s="128" t="s">
        <v>131</v>
      </c>
      <c r="C729" s="128" t="s">
        <v>22</v>
      </c>
      <c r="D729" s="128" t="s">
        <v>76</v>
      </c>
      <c r="E729" s="128" t="s">
        <v>135</v>
      </c>
      <c r="F729" s="128">
        <v>0</v>
      </c>
      <c r="G729" s="128">
        <v>0</v>
      </c>
      <c r="H729" s="128">
        <v>0</v>
      </c>
      <c r="I729" s="128">
        <v>0</v>
      </c>
    </row>
    <row r="730" spans="1:9" ht="13.5">
      <c r="A730" s="128">
        <v>1997</v>
      </c>
      <c r="B730" s="128" t="s">
        <v>131</v>
      </c>
      <c r="C730" s="128" t="s">
        <v>22</v>
      </c>
      <c r="D730" s="128" t="s">
        <v>76</v>
      </c>
      <c r="E730" s="128" t="s">
        <v>136</v>
      </c>
      <c r="F730" s="128">
        <v>0</v>
      </c>
      <c r="G730" s="128">
        <v>0</v>
      </c>
      <c r="H730" s="128">
        <v>0</v>
      </c>
      <c r="I730" s="128">
        <v>0</v>
      </c>
    </row>
    <row r="731" spans="1:9" ht="13.5">
      <c r="A731" s="128">
        <v>1997</v>
      </c>
      <c r="B731" s="128" t="s">
        <v>131</v>
      </c>
      <c r="C731" s="128" t="s">
        <v>23</v>
      </c>
      <c r="D731" s="128" t="s">
        <v>77</v>
      </c>
      <c r="E731" s="128" t="s">
        <v>132</v>
      </c>
      <c r="F731" s="128">
        <v>0</v>
      </c>
      <c r="G731" s="128">
        <v>0</v>
      </c>
      <c r="H731" s="128">
        <v>0</v>
      </c>
      <c r="I731" s="128">
        <v>0</v>
      </c>
    </row>
    <row r="732" spans="1:9" ht="13.5">
      <c r="A732" s="128">
        <v>1997</v>
      </c>
      <c r="B732" s="128" t="s">
        <v>131</v>
      </c>
      <c r="C732" s="128" t="s">
        <v>23</v>
      </c>
      <c r="D732" s="128" t="s">
        <v>77</v>
      </c>
      <c r="E732" s="128" t="s">
        <v>133</v>
      </c>
      <c r="F732" s="128">
        <v>0</v>
      </c>
      <c r="G732" s="128">
        <v>0</v>
      </c>
      <c r="H732" s="128">
        <v>0</v>
      </c>
      <c r="I732" s="128">
        <v>0</v>
      </c>
    </row>
    <row r="733" spans="1:9" ht="13.5">
      <c r="A733" s="128">
        <v>1997</v>
      </c>
      <c r="B733" s="128" t="s">
        <v>131</v>
      </c>
      <c r="C733" s="128" t="s">
        <v>23</v>
      </c>
      <c r="D733" s="128" t="s">
        <v>77</v>
      </c>
      <c r="E733" s="128" t="s">
        <v>134</v>
      </c>
      <c r="F733" s="128">
        <v>0</v>
      </c>
      <c r="G733" s="128">
        <v>0</v>
      </c>
      <c r="H733" s="128">
        <v>0</v>
      </c>
      <c r="I733" s="128">
        <v>0</v>
      </c>
    </row>
    <row r="734" spans="1:9" ht="13.5">
      <c r="A734" s="128">
        <v>1997</v>
      </c>
      <c r="B734" s="128" t="s">
        <v>131</v>
      </c>
      <c r="C734" s="128" t="s">
        <v>23</v>
      </c>
      <c r="D734" s="128" t="s">
        <v>77</v>
      </c>
      <c r="E734" s="128" t="s">
        <v>135</v>
      </c>
      <c r="F734" s="128">
        <v>0</v>
      </c>
      <c r="G734" s="128">
        <v>0</v>
      </c>
      <c r="H734" s="128">
        <v>0</v>
      </c>
      <c r="I734" s="128">
        <v>0</v>
      </c>
    </row>
    <row r="735" spans="1:9" ht="13.5">
      <c r="A735" s="128">
        <v>1997</v>
      </c>
      <c r="B735" s="128" t="s">
        <v>131</v>
      </c>
      <c r="C735" s="128" t="s">
        <v>23</v>
      </c>
      <c r="D735" s="128" t="s">
        <v>79</v>
      </c>
      <c r="E735" s="128" t="s">
        <v>132</v>
      </c>
      <c r="F735" s="128">
        <v>0</v>
      </c>
      <c r="G735" s="128">
        <v>0</v>
      </c>
      <c r="H735" s="128">
        <v>0</v>
      </c>
      <c r="I735" s="128">
        <v>0</v>
      </c>
    </row>
    <row r="736" spans="1:9" ht="13.5">
      <c r="A736" s="128">
        <v>1997</v>
      </c>
      <c r="B736" s="128" t="s">
        <v>131</v>
      </c>
      <c r="C736" s="128" t="s">
        <v>23</v>
      </c>
      <c r="D736" s="128" t="s">
        <v>79</v>
      </c>
      <c r="E736" s="128" t="s">
        <v>133</v>
      </c>
      <c r="F736" s="128">
        <v>0</v>
      </c>
      <c r="G736" s="128">
        <v>0</v>
      </c>
      <c r="H736" s="128">
        <v>0</v>
      </c>
      <c r="I736" s="128">
        <v>0</v>
      </c>
    </row>
    <row r="737" spans="1:9" ht="13.5">
      <c r="A737" s="128">
        <v>1997</v>
      </c>
      <c r="B737" s="128" t="s">
        <v>131</v>
      </c>
      <c r="C737" s="128" t="s">
        <v>23</v>
      </c>
      <c r="D737" s="128" t="s">
        <v>79</v>
      </c>
      <c r="E737" s="128" t="s">
        <v>134</v>
      </c>
      <c r="F737" s="128">
        <v>0</v>
      </c>
      <c r="G737" s="128">
        <v>0</v>
      </c>
      <c r="H737" s="128">
        <v>0</v>
      </c>
      <c r="I737" s="128">
        <v>0</v>
      </c>
    </row>
    <row r="738" spans="1:9" ht="13.5">
      <c r="A738" s="128">
        <v>1997</v>
      </c>
      <c r="B738" s="128" t="s">
        <v>131</v>
      </c>
      <c r="C738" s="128" t="s">
        <v>23</v>
      </c>
      <c r="D738" s="128" t="s">
        <v>79</v>
      </c>
      <c r="E738" s="128" t="s">
        <v>135</v>
      </c>
      <c r="F738" s="128">
        <v>0</v>
      </c>
      <c r="G738" s="128">
        <v>0</v>
      </c>
      <c r="H738" s="128">
        <v>0</v>
      </c>
      <c r="I738" s="128">
        <v>0</v>
      </c>
    </row>
    <row r="739" spans="1:9" ht="13.5">
      <c r="A739" s="128">
        <v>1997</v>
      </c>
      <c r="B739" s="128" t="s">
        <v>131</v>
      </c>
      <c r="C739" s="128" t="s">
        <v>23</v>
      </c>
      <c r="D739" s="128" t="s">
        <v>79</v>
      </c>
      <c r="E739" s="128" t="s">
        <v>136</v>
      </c>
      <c r="F739" s="128">
        <v>0</v>
      </c>
      <c r="G739" s="128">
        <v>0</v>
      </c>
      <c r="H739" s="128">
        <v>0</v>
      </c>
      <c r="I739" s="128">
        <v>0</v>
      </c>
    </row>
    <row r="740" spans="1:9" ht="13.5">
      <c r="A740" s="128">
        <v>1997</v>
      </c>
      <c r="B740" s="128" t="s">
        <v>131</v>
      </c>
      <c r="C740" s="128" t="s">
        <v>23</v>
      </c>
      <c r="D740" s="128" t="s">
        <v>76</v>
      </c>
      <c r="E740" s="128" t="s">
        <v>132</v>
      </c>
      <c r="F740" s="128">
        <v>0</v>
      </c>
      <c r="G740" s="128">
        <v>0</v>
      </c>
      <c r="H740" s="128">
        <v>0</v>
      </c>
      <c r="I740" s="128">
        <v>0</v>
      </c>
    </row>
    <row r="741" spans="1:9" ht="13.5">
      <c r="A741" s="128">
        <v>1997</v>
      </c>
      <c r="B741" s="128" t="s">
        <v>131</v>
      </c>
      <c r="C741" s="128" t="s">
        <v>23</v>
      </c>
      <c r="D741" s="128" t="s">
        <v>76</v>
      </c>
      <c r="E741" s="128" t="s">
        <v>133</v>
      </c>
      <c r="F741" s="128">
        <v>0</v>
      </c>
      <c r="G741" s="128">
        <v>0</v>
      </c>
      <c r="H741" s="128">
        <v>0</v>
      </c>
      <c r="I741" s="128">
        <v>0</v>
      </c>
    </row>
    <row r="742" spans="1:9" ht="13.5">
      <c r="A742" s="128">
        <v>1997</v>
      </c>
      <c r="B742" s="128" t="s">
        <v>131</v>
      </c>
      <c r="C742" s="128" t="s">
        <v>23</v>
      </c>
      <c r="D742" s="128" t="s">
        <v>76</v>
      </c>
      <c r="E742" s="128" t="s">
        <v>134</v>
      </c>
      <c r="F742" s="128">
        <v>0</v>
      </c>
      <c r="G742" s="128">
        <v>0</v>
      </c>
      <c r="H742" s="128">
        <v>0</v>
      </c>
      <c r="I742" s="128">
        <v>0</v>
      </c>
    </row>
    <row r="743" spans="1:9" ht="13.5">
      <c r="A743" s="128">
        <v>1997</v>
      </c>
      <c r="B743" s="128" t="s">
        <v>131</v>
      </c>
      <c r="C743" s="128" t="s">
        <v>23</v>
      </c>
      <c r="D743" s="128" t="s">
        <v>76</v>
      </c>
      <c r="E743" s="128" t="s">
        <v>135</v>
      </c>
      <c r="F743" s="128">
        <v>0</v>
      </c>
      <c r="G743" s="128">
        <v>0</v>
      </c>
      <c r="H743" s="128">
        <v>0</v>
      </c>
      <c r="I743" s="128">
        <v>0</v>
      </c>
    </row>
    <row r="744" spans="1:9" ht="13.5">
      <c r="A744" s="128">
        <v>1997</v>
      </c>
      <c r="B744" s="128" t="s">
        <v>131</v>
      </c>
      <c r="C744" s="128" t="s">
        <v>23</v>
      </c>
      <c r="D744" s="128" t="s">
        <v>76</v>
      </c>
      <c r="E744" s="128" t="s">
        <v>136</v>
      </c>
      <c r="F744" s="128">
        <v>0</v>
      </c>
      <c r="G744" s="128">
        <v>0</v>
      </c>
      <c r="H744" s="128">
        <v>0</v>
      </c>
      <c r="I744" s="128">
        <v>0</v>
      </c>
    </row>
    <row r="745" spans="1:9" ht="13.5">
      <c r="A745" s="128">
        <v>1997</v>
      </c>
      <c r="B745" s="128" t="s">
        <v>131</v>
      </c>
      <c r="C745" s="128" t="s">
        <v>25</v>
      </c>
      <c r="D745" s="128" t="s">
        <v>77</v>
      </c>
      <c r="E745" s="128" t="s">
        <v>132</v>
      </c>
      <c r="F745" s="128">
        <v>0</v>
      </c>
      <c r="G745" s="128">
        <v>0</v>
      </c>
      <c r="H745" s="128">
        <v>0</v>
      </c>
      <c r="I745" s="128">
        <v>0</v>
      </c>
    </row>
    <row r="746" spans="1:9" ht="13.5">
      <c r="A746" s="128">
        <v>1997</v>
      </c>
      <c r="B746" s="128" t="s">
        <v>131</v>
      </c>
      <c r="C746" s="128" t="s">
        <v>25</v>
      </c>
      <c r="D746" s="128" t="s">
        <v>77</v>
      </c>
      <c r="E746" s="128" t="s">
        <v>133</v>
      </c>
      <c r="F746" s="128">
        <v>0</v>
      </c>
      <c r="G746" s="128">
        <v>0</v>
      </c>
      <c r="H746" s="128">
        <v>0</v>
      </c>
      <c r="I746" s="128">
        <v>0</v>
      </c>
    </row>
    <row r="747" spans="1:9" ht="13.5">
      <c r="A747" s="128">
        <v>1997</v>
      </c>
      <c r="B747" s="128" t="s">
        <v>131</v>
      </c>
      <c r="C747" s="128" t="s">
        <v>25</v>
      </c>
      <c r="D747" s="128" t="s">
        <v>77</v>
      </c>
      <c r="E747" s="128" t="s">
        <v>134</v>
      </c>
      <c r="F747" s="128">
        <v>0</v>
      </c>
      <c r="G747" s="128">
        <v>0</v>
      </c>
      <c r="H747" s="128">
        <v>0</v>
      </c>
      <c r="I747" s="128">
        <v>0</v>
      </c>
    </row>
    <row r="748" spans="1:9" ht="13.5">
      <c r="A748" s="128">
        <v>1997</v>
      </c>
      <c r="B748" s="128" t="s">
        <v>131</v>
      </c>
      <c r="C748" s="128" t="s">
        <v>25</v>
      </c>
      <c r="D748" s="128" t="s">
        <v>77</v>
      </c>
      <c r="E748" s="128" t="s">
        <v>135</v>
      </c>
      <c r="F748" s="128">
        <v>0</v>
      </c>
      <c r="G748" s="128">
        <v>0</v>
      </c>
      <c r="H748" s="128">
        <v>0</v>
      </c>
      <c r="I748" s="128">
        <v>0</v>
      </c>
    </row>
    <row r="749" spans="1:9" ht="13.5">
      <c r="A749" s="128">
        <v>1997</v>
      </c>
      <c r="B749" s="128" t="s">
        <v>131</v>
      </c>
      <c r="C749" s="128" t="s">
        <v>25</v>
      </c>
      <c r="D749" s="128" t="s">
        <v>79</v>
      </c>
      <c r="E749" s="128" t="s">
        <v>132</v>
      </c>
      <c r="F749" s="128">
        <v>0</v>
      </c>
      <c r="G749" s="128">
        <v>0</v>
      </c>
      <c r="H749" s="128">
        <v>0</v>
      </c>
      <c r="I749" s="128">
        <v>0</v>
      </c>
    </row>
    <row r="750" spans="1:9" ht="13.5">
      <c r="A750" s="128">
        <v>1997</v>
      </c>
      <c r="B750" s="128" t="s">
        <v>131</v>
      </c>
      <c r="C750" s="128" t="s">
        <v>25</v>
      </c>
      <c r="D750" s="128" t="s">
        <v>79</v>
      </c>
      <c r="E750" s="128" t="s">
        <v>133</v>
      </c>
      <c r="F750" s="128">
        <v>0</v>
      </c>
      <c r="G750" s="128">
        <v>0</v>
      </c>
      <c r="H750" s="128">
        <v>0</v>
      </c>
      <c r="I750" s="128">
        <v>0</v>
      </c>
    </row>
    <row r="751" spans="1:9" ht="13.5">
      <c r="A751" s="128">
        <v>1997</v>
      </c>
      <c r="B751" s="128" t="s">
        <v>131</v>
      </c>
      <c r="C751" s="128" t="s">
        <v>25</v>
      </c>
      <c r="D751" s="128" t="s">
        <v>79</v>
      </c>
      <c r="E751" s="128" t="s">
        <v>134</v>
      </c>
      <c r="F751" s="128">
        <v>0</v>
      </c>
      <c r="G751" s="128">
        <v>0</v>
      </c>
      <c r="H751" s="128">
        <v>0</v>
      </c>
      <c r="I751" s="128">
        <v>0</v>
      </c>
    </row>
    <row r="752" spans="1:9" ht="13.5">
      <c r="A752" s="128">
        <v>1997</v>
      </c>
      <c r="B752" s="128" t="s">
        <v>131</v>
      </c>
      <c r="C752" s="128" t="s">
        <v>25</v>
      </c>
      <c r="D752" s="128" t="s">
        <v>79</v>
      </c>
      <c r="E752" s="128" t="s">
        <v>135</v>
      </c>
      <c r="F752" s="128">
        <v>0</v>
      </c>
      <c r="G752" s="128">
        <v>0</v>
      </c>
      <c r="H752" s="128">
        <v>0</v>
      </c>
      <c r="I752" s="128">
        <v>0</v>
      </c>
    </row>
    <row r="753" spans="1:9" ht="13.5">
      <c r="A753" s="128">
        <v>1997</v>
      </c>
      <c r="B753" s="128" t="s">
        <v>131</v>
      </c>
      <c r="C753" s="128" t="s">
        <v>25</v>
      </c>
      <c r="D753" s="128" t="s">
        <v>79</v>
      </c>
      <c r="E753" s="128" t="s">
        <v>136</v>
      </c>
      <c r="F753" s="128">
        <v>0</v>
      </c>
      <c r="G753" s="128">
        <v>0</v>
      </c>
      <c r="H753" s="128">
        <v>0</v>
      </c>
      <c r="I753" s="128">
        <v>0</v>
      </c>
    </row>
    <row r="754" spans="1:9" ht="13.5">
      <c r="A754" s="128">
        <v>1997</v>
      </c>
      <c r="B754" s="128" t="s">
        <v>131</v>
      </c>
      <c r="C754" s="128" t="s">
        <v>25</v>
      </c>
      <c r="D754" s="128" t="s">
        <v>76</v>
      </c>
      <c r="E754" s="128" t="s">
        <v>132</v>
      </c>
      <c r="F754" s="128">
        <v>0</v>
      </c>
      <c r="G754" s="128">
        <v>0</v>
      </c>
      <c r="H754" s="128">
        <v>0</v>
      </c>
      <c r="I754" s="128">
        <v>0</v>
      </c>
    </row>
    <row r="755" spans="1:9" ht="13.5">
      <c r="A755" s="128">
        <v>1997</v>
      </c>
      <c r="B755" s="128" t="s">
        <v>131</v>
      </c>
      <c r="C755" s="128" t="s">
        <v>25</v>
      </c>
      <c r="D755" s="128" t="s">
        <v>76</v>
      </c>
      <c r="E755" s="128" t="s">
        <v>133</v>
      </c>
      <c r="F755" s="128">
        <v>0</v>
      </c>
      <c r="G755" s="128">
        <v>0</v>
      </c>
      <c r="H755" s="128">
        <v>0</v>
      </c>
      <c r="I755" s="128">
        <v>0</v>
      </c>
    </row>
    <row r="756" spans="1:9" ht="13.5">
      <c r="A756" s="128">
        <v>1997</v>
      </c>
      <c r="B756" s="128" t="s">
        <v>131</v>
      </c>
      <c r="C756" s="128" t="s">
        <v>25</v>
      </c>
      <c r="D756" s="128" t="s">
        <v>76</v>
      </c>
      <c r="E756" s="128" t="s">
        <v>134</v>
      </c>
      <c r="F756" s="128">
        <v>0</v>
      </c>
      <c r="G756" s="128">
        <v>0</v>
      </c>
      <c r="H756" s="128">
        <v>0</v>
      </c>
      <c r="I756" s="128">
        <v>0</v>
      </c>
    </row>
    <row r="757" spans="1:9" ht="13.5">
      <c r="A757" s="128">
        <v>1997</v>
      </c>
      <c r="B757" s="128" t="s">
        <v>131</v>
      </c>
      <c r="C757" s="128" t="s">
        <v>25</v>
      </c>
      <c r="D757" s="128" t="s">
        <v>76</v>
      </c>
      <c r="E757" s="128" t="s">
        <v>135</v>
      </c>
      <c r="F757" s="128">
        <v>0</v>
      </c>
      <c r="G757" s="128">
        <v>0</v>
      </c>
      <c r="H757" s="128">
        <v>0</v>
      </c>
      <c r="I757" s="128">
        <v>0</v>
      </c>
    </row>
    <row r="758" spans="1:9" ht="13.5">
      <c r="A758" s="128">
        <v>1997</v>
      </c>
      <c r="B758" s="128" t="s">
        <v>131</v>
      </c>
      <c r="C758" s="128" t="s">
        <v>25</v>
      </c>
      <c r="D758" s="128" t="s">
        <v>76</v>
      </c>
      <c r="E758" s="128" t="s">
        <v>136</v>
      </c>
      <c r="F758" s="128">
        <v>0</v>
      </c>
      <c r="G758" s="128">
        <v>0</v>
      </c>
      <c r="H758" s="128">
        <v>0</v>
      </c>
      <c r="I758" s="128">
        <v>0</v>
      </c>
    </row>
    <row r="759" spans="1:9" ht="13.5">
      <c r="A759" s="128">
        <v>1997</v>
      </c>
      <c r="B759" s="128" t="s">
        <v>131</v>
      </c>
      <c r="C759" s="128" t="s">
        <v>21</v>
      </c>
      <c r="D759" s="128" t="s">
        <v>77</v>
      </c>
      <c r="E759" s="128" t="s">
        <v>132</v>
      </c>
      <c r="F759" s="128">
        <v>0</v>
      </c>
      <c r="G759" s="128">
        <v>0</v>
      </c>
      <c r="H759" s="128">
        <v>0</v>
      </c>
      <c r="I759" s="128">
        <v>0</v>
      </c>
    </row>
    <row r="760" spans="1:9" ht="13.5">
      <c r="A760" s="128">
        <v>1997</v>
      </c>
      <c r="B760" s="128" t="s">
        <v>131</v>
      </c>
      <c r="C760" s="128" t="s">
        <v>21</v>
      </c>
      <c r="D760" s="128" t="s">
        <v>77</v>
      </c>
      <c r="E760" s="128" t="s">
        <v>133</v>
      </c>
      <c r="F760" s="128">
        <v>0</v>
      </c>
      <c r="G760" s="128">
        <v>0</v>
      </c>
      <c r="H760" s="128">
        <v>0</v>
      </c>
      <c r="I760" s="128">
        <v>0</v>
      </c>
    </row>
    <row r="761" spans="1:9" ht="13.5">
      <c r="A761" s="128">
        <v>1997</v>
      </c>
      <c r="B761" s="128" t="s">
        <v>131</v>
      </c>
      <c r="C761" s="128" t="s">
        <v>21</v>
      </c>
      <c r="D761" s="128" t="s">
        <v>77</v>
      </c>
      <c r="E761" s="128" t="s">
        <v>134</v>
      </c>
      <c r="F761" s="128">
        <v>0</v>
      </c>
      <c r="G761" s="128">
        <v>0</v>
      </c>
      <c r="H761" s="128">
        <v>0</v>
      </c>
      <c r="I761" s="128">
        <v>0</v>
      </c>
    </row>
    <row r="762" spans="1:9" ht="13.5">
      <c r="A762" s="128">
        <v>1997</v>
      </c>
      <c r="B762" s="128" t="s">
        <v>131</v>
      </c>
      <c r="C762" s="128" t="s">
        <v>21</v>
      </c>
      <c r="D762" s="128" t="s">
        <v>77</v>
      </c>
      <c r="E762" s="128" t="s">
        <v>135</v>
      </c>
      <c r="F762" s="128">
        <v>0</v>
      </c>
      <c r="G762" s="128">
        <v>0</v>
      </c>
      <c r="H762" s="128">
        <v>0</v>
      </c>
      <c r="I762" s="128">
        <v>0</v>
      </c>
    </row>
    <row r="763" spans="1:9" ht="13.5">
      <c r="A763" s="128">
        <v>1997</v>
      </c>
      <c r="B763" s="128" t="s">
        <v>131</v>
      </c>
      <c r="C763" s="128" t="s">
        <v>21</v>
      </c>
      <c r="D763" s="128" t="s">
        <v>79</v>
      </c>
      <c r="E763" s="128" t="s">
        <v>132</v>
      </c>
      <c r="F763" s="128">
        <v>0</v>
      </c>
      <c r="G763" s="128">
        <v>0</v>
      </c>
      <c r="H763" s="128">
        <v>0</v>
      </c>
      <c r="I763" s="128">
        <v>0</v>
      </c>
    </row>
    <row r="764" spans="1:9" ht="13.5">
      <c r="A764" s="128">
        <v>1997</v>
      </c>
      <c r="B764" s="128" t="s">
        <v>131</v>
      </c>
      <c r="C764" s="128" t="s">
        <v>21</v>
      </c>
      <c r="D764" s="128" t="s">
        <v>79</v>
      </c>
      <c r="E764" s="128" t="s">
        <v>133</v>
      </c>
      <c r="F764" s="128">
        <v>0</v>
      </c>
      <c r="G764" s="128">
        <v>0</v>
      </c>
      <c r="H764" s="128">
        <v>0</v>
      </c>
      <c r="I764" s="128">
        <v>0</v>
      </c>
    </row>
    <row r="765" spans="1:9" ht="13.5">
      <c r="A765" s="128">
        <v>1997</v>
      </c>
      <c r="B765" s="128" t="s">
        <v>131</v>
      </c>
      <c r="C765" s="128" t="s">
        <v>21</v>
      </c>
      <c r="D765" s="128" t="s">
        <v>79</v>
      </c>
      <c r="E765" s="128" t="s">
        <v>134</v>
      </c>
      <c r="F765" s="128">
        <v>0</v>
      </c>
      <c r="G765" s="128">
        <v>0</v>
      </c>
      <c r="H765" s="128">
        <v>0</v>
      </c>
      <c r="I765" s="128">
        <v>0</v>
      </c>
    </row>
    <row r="766" spans="1:9" ht="13.5">
      <c r="A766" s="128">
        <v>1997</v>
      </c>
      <c r="B766" s="128" t="s">
        <v>131</v>
      </c>
      <c r="C766" s="128" t="s">
        <v>21</v>
      </c>
      <c r="D766" s="128" t="s">
        <v>79</v>
      </c>
      <c r="E766" s="128" t="s">
        <v>135</v>
      </c>
      <c r="F766" s="128">
        <v>0</v>
      </c>
      <c r="G766" s="128">
        <v>0</v>
      </c>
      <c r="H766" s="128">
        <v>0</v>
      </c>
      <c r="I766" s="128">
        <v>0</v>
      </c>
    </row>
    <row r="767" spans="1:9" ht="13.5">
      <c r="A767" s="128">
        <v>1997</v>
      </c>
      <c r="B767" s="128" t="s">
        <v>131</v>
      </c>
      <c r="C767" s="128" t="s">
        <v>21</v>
      </c>
      <c r="D767" s="128" t="s">
        <v>79</v>
      </c>
      <c r="E767" s="128" t="s">
        <v>136</v>
      </c>
      <c r="F767" s="128">
        <v>0</v>
      </c>
      <c r="G767" s="128">
        <v>0</v>
      </c>
      <c r="H767" s="128">
        <v>0</v>
      </c>
      <c r="I767" s="128">
        <v>0</v>
      </c>
    </row>
    <row r="768" spans="1:9" ht="13.5">
      <c r="A768" s="128">
        <v>1997</v>
      </c>
      <c r="B768" s="128" t="s">
        <v>131</v>
      </c>
      <c r="C768" s="128" t="s">
        <v>21</v>
      </c>
      <c r="D768" s="128" t="s">
        <v>76</v>
      </c>
      <c r="E768" s="128" t="s">
        <v>132</v>
      </c>
      <c r="F768" s="128">
        <v>0</v>
      </c>
      <c r="G768" s="128">
        <v>0</v>
      </c>
      <c r="H768" s="128">
        <v>0</v>
      </c>
      <c r="I768" s="128">
        <v>0</v>
      </c>
    </row>
    <row r="769" spans="1:9" ht="13.5">
      <c r="A769" s="128">
        <v>1997</v>
      </c>
      <c r="B769" s="128" t="s">
        <v>131</v>
      </c>
      <c r="C769" s="128" t="s">
        <v>21</v>
      </c>
      <c r="D769" s="128" t="s">
        <v>76</v>
      </c>
      <c r="E769" s="128" t="s">
        <v>133</v>
      </c>
      <c r="F769" s="128">
        <v>0</v>
      </c>
      <c r="G769" s="128">
        <v>0</v>
      </c>
      <c r="H769" s="128">
        <v>0</v>
      </c>
      <c r="I769" s="128">
        <v>0</v>
      </c>
    </row>
    <row r="770" spans="1:9" ht="13.5">
      <c r="A770" s="128">
        <v>1997</v>
      </c>
      <c r="B770" s="128" t="s">
        <v>131</v>
      </c>
      <c r="C770" s="128" t="s">
        <v>21</v>
      </c>
      <c r="D770" s="128" t="s">
        <v>76</v>
      </c>
      <c r="E770" s="128" t="s">
        <v>134</v>
      </c>
      <c r="F770" s="128">
        <v>0</v>
      </c>
      <c r="G770" s="128">
        <v>0</v>
      </c>
      <c r="H770" s="128">
        <v>0</v>
      </c>
      <c r="I770" s="128">
        <v>0</v>
      </c>
    </row>
    <row r="771" spans="1:9" ht="13.5">
      <c r="A771" s="128">
        <v>1997</v>
      </c>
      <c r="B771" s="128" t="s">
        <v>131</v>
      </c>
      <c r="C771" s="128" t="s">
        <v>21</v>
      </c>
      <c r="D771" s="128" t="s">
        <v>76</v>
      </c>
      <c r="E771" s="128" t="s">
        <v>135</v>
      </c>
      <c r="F771" s="128">
        <v>0</v>
      </c>
      <c r="G771" s="128">
        <v>0</v>
      </c>
      <c r="H771" s="128">
        <v>0</v>
      </c>
      <c r="I771" s="128">
        <v>0</v>
      </c>
    </row>
    <row r="772" spans="1:9" ht="13.5">
      <c r="A772" s="128">
        <v>1997</v>
      </c>
      <c r="B772" s="128" t="s">
        <v>131</v>
      </c>
      <c r="C772" s="128" t="s">
        <v>21</v>
      </c>
      <c r="D772" s="128" t="s">
        <v>76</v>
      </c>
      <c r="E772" s="128" t="s">
        <v>136</v>
      </c>
      <c r="F772" s="128">
        <v>0</v>
      </c>
      <c r="G772" s="128">
        <v>0</v>
      </c>
      <c r="H772" s="128">
        <v>0</v>
      </c>
      <c r="I772" s="128">
        <v>0</v>
      </c>
    </row>
    <row r="773" spans="1:9" ht="13.5">
      <c r="A773" s="128">
        <v>1997</v>
      </c>
      <c r="B773" s="128" t="s">
        <v>131</v>
      </c>
      <c r="C773" s="128" t="s">
        <v>24</v>
      </c>
      <c r="D773" s="128" t="s">
        <v>77</v>
      </c>
      <c r="E773" s="128" t="s">
        <v>132</v>
      </c>
      <c r="F773" s="128">
        <v>0</v>
      </c>
      <c r="G773" s="128">
        <v>0</v>
      </c>
      <c r="H773" s="128">
        <v>0</v>
      </c>
      <c r="I773" s="128">
        <v>0</v>
      </c>
    </row>
    <row r="774" spans="1:9" ht="13.5">
      <c r="A774" s="128">
        <v>1997</v>
      </c>
      <c r="B774" s="128" t="s">
        <v>131</v>
      </c>
      <c r="C774" s="128" t="s">
        <v>24</v>
      </c>
      <c r="D774" s="128" t="s">
        <v>77</v>
      </c>
      <c r="E774" s="128" t="s">
        <v>133</v>
      </c>
      <c r="F774" s="128">
        <v>0</v>
      </c>
      <c r="G774" s="128">
        <v>0</v>
      </c>
      <c r="H774" s="128">
        <v>0</v>
      </c>
      <c r="I774" s="128">
        <v>0</v>
      </c>
    </row>
    <row r="775" spans="1:9" ht="13.5">
      <c r="A775" s="128">
        <v>1997</v>
      </c>
      <c r="B775" s="128" t="s">
        <v>131</v>
      </c>
      <c r="C775" s="128" t="s">
        <v>24</v>
      </c>
      <c r="D775" s="128" t="s">
        <v>77</v>
      </c>
      <c r="E775" s="128" t="s">
        <v>134</v>
      </c>
      <c r="F775" s="128">
        <v>0</v>
      </c>
      <c r="G775" s="128">
        <v>0</v>
      </c>
      <c r="H775" s="128">
        <v>0</v>
      </c>
      <c r="I775" s="128">
        <v>0</v>
      </c>
    </row>
    <row r="776" spans="1:9" ht="13.5">
      <c r="A776" s="128">
        <v>1997</v>
      </c>
      <c r="B776" s="128" t="s">
        <v>131</v>
      </c>
      <c r="C776" s="128" t="s">
        <v>24</v>
      </c>
      <c r="D776" s="128" t="s">
        <v>77</v>
      </c>
      <c r="E776" s="128" t="s">
        <v>135</v>
      </c>
      <c r="F776" s="128">
        <v>0</v>
      </c>
      <c r="G776" s="128">
        <v>0</v>
      </c>
      <c r="H776" s="128">
        <v>0</v>
      </c>
      <c r="I776" s="128">
        <v>0</v>
      </c>
    </row>
    <row r="777" spans="1:9">
      <c r="A777" s="126">
        <v>1997</v>
      </c>
      <c r="B777" s="126" t="s">
        <v>131</v>
      </c>
      <c r="C777" s="126" t="s">
        <v>24</v>
      </c>
      <c r="D777" s="126" t="s">
        <v>79</v>
      </c>
      <c r="E777" s="126" t="s">
        <v>132</v>
      </c>
      <c r="F777" s="126">
        <v>0</v>
      </c>
      <c r="G777" s="126">
        <v>0</v>
      </c>
      <c r="H777" s="126">
        <v>0</v>
      </c>
      <c r="I777" s="126">
        <v>0</v>
      </c>
    </row>
    <row r="778" spans="1:9">
      <c r="A778" s="126">
        <v>1997</v>
      </c>
      <c r="B778" s="126" t="s">
        <v>131</v>
      </c>
      <c r="C778" s="126" t="s">
        <v>24</v>
      </c>
      <c r="D778" s="126" t="s">
        <v>79</v>
      </c>
      <c r="E778" s="126" t="s">
        <v>133</v>
      </c>
      <c r="F778" s="126">
        <v>0</v>
      </c>
      <c r="G778" s="126">
        <v>0</v>
      </c>
      <c r="H778" s="126">
        <v>0</v>
      </c>
      <c r="I778" s="126">
        <v>0</v>
      </c>
    </row>
    <row r="779" spans="1:9">
      <c r="A779" s="126">
        <v>1997</v>
      </c>
      <c r="B779" s="126" t="s">
        <v>131</v>
      </c>
      <c r="C779" s="126" t="s">
        <v>24</v>
      </c>
      <c r="D779" s="126" t="s">
        <v>79</v>
      </c>
      <c r="E779" s="126" t="s">
        <v>134</v>
      </c>
      <c r="F779" s="126">
        <v>0</v>
      </c>
      <c r="G779" s="126">
        <v>0</v>
      </c>
      <c r="H779" s="126">
        <v>0</v>
      </c>
      <c r="I779" s="126">
        <v>0</v>
      </c>
    </row>
    <row r="780" spans="1:9">
      <c r="A780" s="126">
        <v>1997</v>
      </c>
      <c r="B780" s="126" t="s">
        <v>131</v>
      </c>
      <c r="C780" s="126" t="s">
        <v>24</v>
      </c>
      <c r="D780" s="126" t="s">
        <v>79</v>
      </c>
      <c r="E780" s="126" t="s">
        <v>135</v>
      </c>
      <c r="F780" s="126">
        <v>0</v>
      </c>
      <c r="G780" s="126">
        <v>0</v>
      </c>
      <c r="H780" s="126">
        <v>0</v>
      </c>
      <c r="I780" s="126">
        <v>0</v>
      </c>
    </row>
    <row r="781" spans="1:9">
      <c r="A781" s="126">
        <v>1997</v>
      </c>
      <c r="B781" s="126" t="s">
        <v>131</v>
      </c>
      <c r="C781" s="126" t="s">
        <v>24</v>
      </c>
      <c r="D781" s="126" t="s">
        <v>79</v>
      </c>
      <c r="E781" s="126" t="s">
        <v>136</v>
      </c>
      <c r="F781" s="126">
        <v>0</v>
      </c>
      <c r="G781" s="126">
        <v>0</v>
      </c>
      <c r="H781" s="126">
        <v>0</v>
      </c>
      <c r="I781" s="126">
        <v>0</v>
      </c>
    </row>
    <row r="782" spans="1:9">
      <c r="A782" s="126">
        <v>1997</v>
      </c>
      <c r="B782" s="126" t="s">
        <v>131</v>
      </c>
      <c r="C782" s="126" t="s">
        <v>24</v>
      </c>
      <c r="D782" s="126" t="s">
        <v>76</v>
      </c>
      <c r="E782" s="126" t="s">
        <v>132</v>
      </c>
      <c r="F782" s="126">
        <v>0</v>
      </c>
      <c r="G782" s="126">
        <v>0</v>
      </c>
      <c r="H782" s="126">
        <v>0</v>
      </c>
      <c r="I782" s="126">
        <v>0</v>
      </c>
    </row>
    <row r="783" spans="1:9">
      <c r="A783" s="126">
        <v>1997</v>
      </c>
      <c r="B783" s="126" t="s">
        <v>131</v>
      </c>
      <c r="C783" s="126" t="s">
        <v>24</v>
      </c>
      <c r="D783" s="126" t="s">
        <v>76</v>
      </c>
      <c r="E783" s="126" t="s">
        <v>133</v>
      </c>
      <c r="F783" s="126">
        <v>0</v>
      </c>
      <c r="G783" s="126">
        <v>0</v>
      </c>
      <c r="H783" s="126">
        <v>0</v>
      </c>
      <c r="I783" s="126">
        <v>0</v>
      </c>
    </row>
    <row r="784" spans="1:9">
      <c r="A784" s="126">
        <v>1997</v>
      </c>
      <c r="B784" s="126" t="s">
        <v>131</v>
      </c>
      <c r="C784" s="126" t="s">
        <v>24</v>
      </c>
      <c r="D784" s="126" t="s">
        <v>76</v>
      </c>
      <c r="E784" s="126" t="s">
        <v>134</v>
      </c>
      <c r="F784" s="126">
        <v>0</v>
      </c>
      <c r="G784" s="126">
        <v>0</v>
      </c>
      <c r="H784" s="126">
        <v>0</v>
      </c>
      <c r="I784" s="126">
        <v>0</v>
      </c>
    </row>
    <row r="785" spans="1:9">
      <c r="A785" s="126">
        <v>1997</v>
      </c>
      <c r="B785" s="126" t="s">
        <v>131</v>
      </c>
      <c r="C785" s="126" t="s">
        <v>24</v>
      </c>
      <c r="D785" s="126" t="s">
        <v>76</v>
      </c>
      <c r="E785" s="126" t="s">
        <v>135</v>
      </c>
      <c r="F785" s="126">
        <v>0</v>
      </c>
      <c r="G785" s="126">
        <v>0</v>
      </c>
      <c r="H785" s="126">
        <v>0</v>
      </c>
      <c r="I785" s="126">
        <v>0</v>
      </c>
    </row>
    <row r="786" spans="1:9">
      <c r="A786" s="126">
        <v>1997</v>
      </c>
      <c r="B786" s="126" t="s">
        <v>131</v>
      </c>
      <c r="C786" s="126" t="s">
        <v>24</v>
      </c>
      <c r="D786" s="126" t="s">
        <v>76</v>
      </c>
      <c r="E786" s="126" t="s">
        <v>136</v>
      </c>
      <c r="F786" s="126">
        <v>0</v>
      </c>
      <c r="G786" s="126">
        <v>0</v>
      </c>
      <c r="H786" s="126">
        <v>0</v>
      </c>
      <c r="I786" s="126">
        <v>0</v>
      </c>
    </row>
    <row r="787" spans="1:9">
      <c r="A787" s="126">
        <v>1997</v>
      </c>
      <c r="B787" s="126" t="s">
        <v>138</v>
      </c>
      <c r="C787" s="126" t="s">
        <v>26</v>
      </c>
      <c r="D787" s="126" t="s">
        <v>77</v>
      </c>
      <c r="E787" s="126" t="s">
        <v>132</v>
      </c>
      <c r="F787" s="126">
        <v>0</v>
      </c>
      <c r="G787" s="126">
        <v>0</v>
      </c>
      <c r="H787" s="126">
        <v>0</v>
      </c>
      <c r="I787" s="126">
        <v>0</v>
      </c>
    </row>
    <row r="788" spans="1:9">
      <c r="A788" s="126">
        <v>1997</v>
      </c>
      <c r="B788" s="126" t="s">
        <v>138</v>
      </c>
      <c r="C788" s="126" t="s">
        <v>26</v>
      </c>
      <c r="D788" s="126" t="s">
        <v>77</v>
      </c>
      <c r="E788" s="126" t="s">
        <v>133</v>
      </c>
      <c r="F788" s="126">
        <v>0</v>
      </c>
      <c r="G788" s="126">
        <v>0</v>
      </c>
      <c r="H788" s="126">
        <v>0</v>
      </c>
      <c r="I788" s="126">
        <v>0</v>
      </c>
    </row>
    <row r="789" spans="1:9">
      <c r="A789" s="126">
        <v>1997</v>
      </c>
      <c r="B789" s="126" t="s">
        <v>138</v>
      </c>
      <c r="C789" s="126" t="s">
        <v>26</v>
      </c>
      <c r="D789" s="126" t="s">
        <v>77</v>
      </c>
      <c r="E789" s="126" t="s">
        <v>134</v>
      </c>
      <c r="F789" s="126">
        <v>0</v>
      </c>
      <c r="G789" s="126">
        <v>0</v>
      </c>
      <c r="H789" s="126">
        <v>0</v>
      </c>
      <c r="I789" s="126">
        <v>0</v>
      </c>
    </row>
    <row r="790" spans="1:9">
      <c r="A790" s="126">
        <v>1997</v>
      </c>
      <c r="B790" s="126" t="s">
        <v>138</v>
      </c>
      <c r="C790" s="126" t="s">
        <v>26</v>
      </c>
      <c r="D790" s="126" t="s">
        <v>77</v>
      </c>
      <c r="E790" s="126" t="s">
        <v>135</v>
      </c>
      <c r="F790" s="126">
        <v>0</v>
      </c>
      <c r="G790" s="126">
        <v>0</v>
      </c>
      <c r="H790" s="126">
        <v>0</v>
      </c>
      <c r="I790" s="126">
        <v>0</v>
      </c>
    </row>
    <row r="791" spans="1:9">
      <c r="A791" s="126">
        <v>1997</v>
      </c>
      <c r="B791" s="126" t="s">
        <v>138</v>
      </c>
      <c r="C791" s="126" t="s">
        <v>26</v>
      </c>
      <c r="D791" s="126" t="s">
        <v>79</v>
      </c>
      <c r="E791" s="126" t="s">
        <v>132</v>
      </c>
      <c r="F791" s="126">
        <v>0</v>
      </c>
      <c r="G791" s="126">
        <v>0</v>
      </c>
      <c r="H791" s="126">
        <v>0</v>
      </c>
      <c r="I791" s="126">
        <v>0</v>
      </c>
    </row>
    <row r="792" spans="1:9">
      <c r="A792" s="126">
        <v>1997</v>
      </c>
      <c r="B792" s="126" t="s">
        <v>138</v>
      </c>
      <c r="C792" s="126" t="s">
        <v>26</v>
      </c>
      <c r="D792" s="126" t="s">
        <v>79</v>
      </c>
      <c r="E792" s="126" t="s">
        <v>133</v>
      </c>
      <c r="F792" s="126">
        <v>0</v>
      </c>
      <c r="G792" s="126">
        <v>0</v>
      </c>
      <c r="H792" s="126">
        <v>0</v>
      </c>
      <c r="I792" s="126">
        <v>0</v>
      </c>
    </row>
    <row r="793" spans="1:9">
      <c r="A793" s="126">
        <v>1997</v>
      </c>
      <c r="B793" s="126" t="s">
        <v>138</v>
      </c>
      <c r="C793" s="126" t="s">
        <v>26</v>
      </c>
      <c r="D793" s="126" t="s">
        <v>79</v>
      </c>
      <c r="E793" s="126" t="s">
        <v>134</v>
      </c>
      <c r="F793" s="126">
        <v>0</v>
      </c>
      <c r="G793" s="126">
        <v>0</v>
      </c>
      <c r="H793" s="126">
        <v>0</v>
      </c>
      <c r="I793" s="126">
        <v>0</v>
      </c>
    </row>
    <row r="794" spans="1:9">
      <c r="A794" s="126">
        <v>1997</v>
      </c>
      <c r="B794" s="126" t="s">
        <v>138</v>
      </c>
      <c r="C794" s="126" t="s">
        <v>26</v>
      </c>
      <c r="D794" s="126" t="s">
        <v>79</v>
      </c>
      <c r="E794" s="126" t="s">
        <v>135</v>
      </c>
      <c r="F794" s="126">
        <v>0</v>
      </c>
      <c r="G794" s="126">
        <v>0</v>
      </c>
      <c r="H794" s="126">
        <v>0</v>
      </c>
      <c r="I794" s="126">
        <v>0</v>
      </c>
    </row>
    <row r="795" spans="1:9">
      <c r="A795" s="126">
        <v>1997</v>
      </c>
      <c r="B795" s="126" t="s">
        <v>138</v>
      </c>
      <c r="C795" s="126" t="s">
        <v>26</v>
      </c>
      <c r="D795" s="126" t="s">
        <v>79</v>
      </c>
      <c r="E795" s="126" t="s">
        <v>136</v>
      </c>
      <c r="F795" s="126">
        <v>0</v>
      </c>
      <c r="G795" s="126">
        <v>0</v>
      </c>
      <c r="H795" s="126">
        <v>0</v>
      </c>
      <c r="I795" s="126">
        <v>0</v>
      </c>
    </row>
    <row r="796" spans="1:9">
      <c r="A796" s="126">
        <v>1997</v>
      </c>
      <c r="B796" s="126" t="s">
        <v>138</v>
      </c>
      <c r="C796" s="126" t="s">
        <v>26</v>
      </c>
      <c r="D796" s="126" t="s">
        <v>76</v>
      </c>
      <c r="E796" s="126" t="s">
        <v>132</v>
      </c>
      <c r="F796" s="126">
        <v>0</v>
      </c>
      <c r="G796" s="126">
        <v>0</v>
      </c>
      <c r="H796" s="126">
        <v>0</v>
      </c>
      <c r="I796" s="126">
        <v>0</v>
      </c>
    </row>
    <row r="797" spans="1:9">
      <c r="A797" s="126">
        <v>1997</v>
      </c>
      <c r="B797" s="126" t="s">
        <v>138</v>
      </c>
      <c r="C797" s="126" t="s">
        <v>26</v>
      </c>
      <c r="D797" s="126" t="s">
        <v>76</v>
      </c>
      <c r="E797" s="126" t="s">
        <v>133</v>
      </c>
      <c r="F797" s="126">
        <v>0</v>
      </c>
      <c r="G797" s="126">
        <v>0</v>
      </c>
      <c r="H797" s="126">
        <v>0</v>
      </c>
      <c r="I797" s="126">
        <v>0</v>
      </c>
    </row>
    <row r="798" spans="1:9">
      <c r="A798" s="126">
        <v>1997</v>
      </c>
      <c r="B798" s="126" t="s">
        <v>138</v>
      </c>
      <c r="C798" s="126" t="s">
        <v>26</v>
      </c>
      <c r="D798" s="126" t="s">
        <v>76</v>
      </c>
      <c r="E798" s="126" t="s">
        <v>134</v>
      </c>
      <c r="F798" s="126">
        <v>0</v>
      </c>
      <c r="G798" s="126">
        <v>0</v>
      </c>
      <c r="H798" s="126">
        <v>0</v>
      </c>
      <c r="I798" s="126">
        <v>0</v>
      </c>
    </row>
    <row r="799" spans="1:9">
      <c r="A799" s="126">
        <v>1997</v>
      </c>
      <c r="B799" s="126" t="s">
        <v>138</v>
      </c>
      <c r="C799" s="126" t="s">
        <v>26</v>
      </c>
      <c r="D799" s="126" t="s">
        <v>76</v>
      </c>
      <c r="E799" s="126" t="s">
        <v>135</v>
      </c>
      <c r="F799" s="126">
        <v>0</v>
      </c>
      <c r="G799" s="126">
        <v>0</v>
      </c>
      <c r="H799" s="126">
        <v>0</v>
      </c>
      <c r="I799" s="126">
        <v>0</v>
      </c>
    </row>
    <row r="800" spans="1:9">
      <c r="A800" s="126">
        <v>1997</v>
      </c>
      <c r="B800" s="126" t="s">
        <v>138</v>
      </c>
      <c r="C800" s="126" t="s">
        <v>26</v>
      </c>
      <c r="D800" s="126" t="s">
        <v>76</v>
      </c>
      <c r="E800" s="126" t="s">
        <v>136</v>
      </c>
      <c r="F800" s="126">
        <v>0</v>
      </c>
      <c r="G800" s="126">
        <v>0</v>
      </c>
      <c r="H800" s="126">
        <v>0</v>
      </c>
      <c r="I800" s="126">
        <v>0</v>
      </c>
    </row>
    <row r="801" spans="1:9">
      <c r="A801" s="126">
        <v>1997</v>
      </c>
      <c r="B801" s="126" t="s">
        <v>138</v>
      </c>
      <c r="C801" s="126" t="s">
        <v>20</v>
      </c>
      <c r="D801" s="126" t="s">
        <v>77</v>
      </c>
      <c r="E801" s="126" t="s">
        <v>132</v>
      </c>
      <c r="F801" s="126">
        <v>0</v>
      </c>
      <c r="G801" s="126">
        <v>0</v>
      </c>
      <c r="H801" s="126">
        <v>0</v>
      </c>
      <c r="I801" s="126">
        <v>0</v>
      </c>
    </row>
    <row r="802" spans="1:9">
      <c r="A802" s="126">
        <v>1997</v>
      </c>
      <c r="B802" s="126" t="s">
        <v>138</v>
      </c>
      <c r="C802" s="126" t="s">
        <v>20</v>
      </c>
      <c r="D802" s="126" t="s">
        <v>77</v>
      </c>
      <c r="E802" s="126" t="s">
        <v>133</v>
      </c>
      <c r="F802" s="126">
        <v>0</v>
      </c>
      <c r="G802" s="126">
        <v>0</v>
      </c>
      <c r="H802" s="126">
        <v>0</v>
      </c>
      <c r="I802" s="126">
        <v>0</v>
      </c>
    </row>
    <row r="803" spans="1:9">
      <c r="A803" s="126">
        <v>1997</v>
      </c>
      <c r="B803" s="126" t="s">
        <v>138</v>
      </c>
      <c r="C803" s="126" t="s">
        <v>20</v>
      </c>
      <c r="D803" s="126" t="s">
        <v>77</v>
      </c>
      <c r="E803" s="126" t="s">
        <v>134</v>
      </c>
      <c r="F803" s="126">
        <v>0</v>
      </c>
      <c r="G803" s="126">
        <v>0</v>
      </c>
      <c r="H803" s="126">
        <v>0</v>
      </c>
      <c r="I803" s="126">
        <v>0</v>
      </c>
    </row>
    <row r="804" spans="1:9">
      <c r="A804" s="126">
        <v>1997</v>
      </c>
      <c r="B804" s="126" t="s">
        <v>138</v>
      </c>
      <c r="C804" s="126" t="s">
        <v>20</v>
      </c>
      <c r="D804" s="126" t="s">
        <v>77</v>
      </c>
      <c r="E804" s="126" t="s">
        <v>135</v>
      </c>
      <c r="F804" s="126">
        <v>0</v>
      </c>
      <c r="G804" s="126">
        <v>0</v>
      </c>
      <c r="H804" s="126">
        <v>0</v>
      </c>
      <c r="I804" s="126">
        <v>0</v>
      </c>
    </row>
    <row r="805" spans="1:9">
      <c r="A805" s="126">
        <v>1997</v>
      </c>
      <c r="B805" s="126" t="s">
        <v>138</v>
      </c>
      <c r="C805" s="126" t="s">
        <v>20</v>
      </c>
      <c r="D805" s="126" t="s">
        <v>79</v>
      </c>
      <c r="E805" s="126" t="s">
        <v>132</v>
      </c>
      <c r="F805" s="126">
        <v>0</v>
      </c>
      <c r="G805" s="126">
        <v>0</v>
      </c>
      <c r="H805" s="126">
        <v>0</v>
      </c>
      <c r="I805" s="126">
        <v>0</v>
      </c>
    </row>
    <row r="806" spans="1:9">
      <c r="A806" s="126">
        <v>1997</v>
      </c>
      <c r="B806" s="126" t="s">
        <v>138</v>
      </c>
      <c r="C806" s="126" t="s">
        <v>20</v>
      </c>
      <c r="D806" s="126" t="s">
        <v>79</v>
      </c>
      <c r="E806" s="126" t="s">
        <v>133</v>
      </c>
      <c r="F806" s="126">
        <v>0</v>
      </c>
      <c r="G806" s="126">
        <v>0</v>
      </c>
      <c r="H806" s="126">
        <v>0</v>
      </c>
      <c r="I806" s="126">
        <v>0</v>
      </c>
    </row>
    <row r="807" spans="1:9">
      <c r="A807" s="126">
        <v>1997</v>
      </c>
      <c r="B807" s="126" t="s">
        <v>138</v>
      </c>
      <c r="C807" s="126" t="s">
        <v>20</v>
      </c>
      <c r="D807" s="126" t="s">
        <v>79</v>
      </c>
      <c r="E807" s="126" t="s">
        <v>134</v>
      </c>
      <c r="F807" s="126">
        <v>0</v>
      </c>
      <c r="G807" s="126">
        <v>0</v>
      </c>
      <c r="H807" s="126">
        <v>0</v>
      </c>
      <c r="I807" s="126">
        <v>0</v>
      </c>
    </row>
    <row r="808" spans="1:9">
      <c r="A808" s="126">
        <v>1997</v>
      </c>
      <c r="B808" s="126" t="s">
        <v>138</v>
      </c>
      <c r="C808" s="126" t="s">
        <v>20</v>
      </c>
      <c r="D808" s="126" t="s">
        <v>79</v>
      </c>
      <c r="E808" s="126" t="s">
        <v>135</v>
      </c>
      <c r="F808" s="126">
        <v>0</v>
      </c>
      <c r="G808" s="126">
        <v>0</v>
      </c>
      <c r="H808" s="126">
        <v>0</v>
      </c>
      <c r="I808" s="126">
        <v>0</v>
      </c>
    </row>
    <row r="809" spans="1:9">
      <c r="A809" s="126">
        <v>1997</v>
      </c>
      <c r="B809" s="126" t="s">
        <v>138</v>
      </c>
      <c r="C809" s="126" t="s">
        <v>20</v>
      </c>
      <c r="D809" s="126" t="s">
        <v>79</v>
      </c>
      <c r="E809" s="126" t="s">
        <v>136</v>
      </c>
      <c r="F809" s="126">
        <v>0</v>
      </c>
      <c r="G809" s="126">
        <v>0</v>
      </c>
      <c r="H809" s="126">
        <v>0</v>
      </c>
      <c r="I809" s="126">
        <v>0</v>
      </c>
    </row>
    <row r="810" spans="1:9">
      <c r="A810" s="126">
        <v>1997</v>
      </c>
      <c r="B810" s="126" t="s">
        <v>138</v>
      </c>
      <c r="C810" s="126" t="s">
        <v>20</v>
      </c>
      <c r="D810" s="126" t="s">
        <v>76</v>
      </c>
      <c r="E810" s="126" t="s">
        <v>132</v>
      </c>
      <c r="F810" s="126">
        <v>0</v>
      </c>
      <c r="G810" s="126">
        <v>0</v>
      </c>
      <c r="H810" s="126">
        <v>0</v>
      </c>
      <c r="I810" s="126">
        <v>0</v>
      </c>
    </row>
    <row r="811" spans="1:9">
      <c r="A811" s="126">
        <v>1997</v>
      </c>
      <c r="B811" s="126" t="s">
        <v>138</v>
      </c>
      <c r="C811" s="126" t="s">
        <v>20</v>
      </c>
      <c r="D811" s="126" t="s">
        <v>76</v>
      </c>
      <c r="E811" s="126" t="s">
        <v>133</v>
      </c>
      <c r="F811" s="126">
        <v>0</v>
      </c>
      <c r="G811" s="126">
        <v>0</v>
      </c>
      <c r="H811" s="126">
        <v>0</v>
      </c>
      <c r="I811" s="126">
        <v>0</v>
      </c>
    </row>
    <row r="812" spans="1:9">
      <c r="A812" s="126">
        <v>1997</v>
      </c>
      <c r="B812" s="126" t="s">
        <v>138</v>
      </c>
      <c r="C812" s="126" t="s">
        <v>20</v>
      </c>
      <c r="D812" s="126" t="s">
        <v>76</v>
      </c>
      <c r="E812" s="126" t="s">
        <v>134</v>
      </c>
      <c r="F812" s="126">
        <v>0</v>
      </c>
      <c r="G812" s="126">
        <v>0</v>
      </c>
      <c r="H812" s="126">
        <v>0</v>
      </c>
      <c r="I812" s="126">
        <v>0</v>
      </c>
    </row>
    <row r="813" spans="1:9">
      <c r="A813" s="126">
        <v>1997</v>
      </c>
      <c r="B813" s="126" t="s">
        <v>138</v>
      </c>
      <c r="C813" s="126" t="s">
        <v>20</v>
      </c>
      <c r="D813" s="126" t="s">
        <v>76</v>
      </c>
      <c r="E813" s="126" t="s">
        <v>135</v>
      </c>
      <c r="F813" s="126">
        <v>0</v>
      </c>
      <c r="G813" s="126">
        <v>0</v>
      </c>
      <c r="H813" s="126">
        <v>0</v>
      </c>
      <c r="I813" s="126">
        <v>0</v>
      </c>
    </row>
    <row r="814" spans="1:9">
      <c r="A814" s="126">
        <v>1997</v>
      </c>
      <c r="B814" s="126" t="s">
        <v>138</v>
      </c>
      <c r="C814" s="126" t="s">
        <v>20</v>
      </c>
      <c r="D814" s="126" t="s">
        <v>76</v>
      </c>
      <c r="E814" s="126" t="s">
        <v>136</v>
      </c>
      <c r="F814" s="126">
        <v>0</v>
      </c>
      <c r="G814" s="126">
        <v>0</v>
      </c>
      <c r="H814" s="126">
        <v>0</v>
      </c>
      <c r="I814" s="126">
        <v>0</v>
      </c>
    </row>
    <row r="815" spans="1:9">
      <c r="A815" s="126">
        <v>1997</v>
      </c>
      <c r="B815" s="126" t="s">
        <v>138</v>
      </c>
      <c r="C815" s="126" t="s">
        <v>27</v>
      </c>
      <c r="D815" s="126" t="s">
        <v>77</v>
      </c>
      <c r="E815" s="126" t="s">
        <v>132</v>
      </c>
      <c r="F815" s="126">
        <v>0</v>
      </c>
      <c r="G815" s="126">
        <v>0</v>
      </c>
      <c r="H815" s="126">
        <v>0</v>
      </c>
      <c r="I815" s="126">
        <v>0</v>
      </c>
    </row>
    <row r="816" spans="1:9">
      <c r="A816" s="126">
        <v>1997</v>
      </c>
      <c r="B816" s="126" t="s">
        <v>138</v>
      </c>
      <c r="C816" s="126" t="s">
        <v>27</v>
      </c>
      <c r="D816" s="126" t="s">
        <v>77</v>
      </c>
      <c r="E816" s="126" t="s">
        <v>133</v>
      </c>
      <c r="F816" s="126">
        <v>0</v>
      </c>
      <c r="G816" s="126">
        <v>0</v>
      </c>
      <c r="H816" s="126">
        <v>0</v>
      </c>
      <c r="I816" s="126">
        <v>0</v>
      </c>
    </row>
    <row r="817" spans="1:9">
      <c r="A817" s="126">
        <v>1997</v>
      </c>
      <c r="B817" s="126" t="s">
        <v>138</v>
      </c>
      <c r="C817" s="126" t="s">
        <v>27</v>
      </c>
      <c r="D817" s="126" t="s">
        <v>77</v>
      </c>
      <c r="E817" s="126" t="s">
        <v>134</v>
      </c>
      <c r="F817" s="126">
        <v>0</v>
      </c>
      <c r="G817" s="126">
        <v>0</v>
      </c>
      <c r="H817" s="126">
        <v>0</v>
      </c>
      <c r="I817" s="126">
        <v>0</v>
      </c>
    </row>
    <row r="818" spans="1:9">
      <c r="A818" s="126">
        <v>1997</v>
      </c>
      <c r="B818" s="126" t="s">
        <v>138</v>
      </c>
      <c r="C818" s="126" t="s">
        <v>27</v>
      </c>
      <c r="D818" s="126" t="s">
        <v>77</v>
      </c>
      <c r="E818" s="126" t="s">
        <v>135</v>
      </c>
      <c r="F818" s="126">
        <v>0</v>
      </c>
      <c r="G818" s="126">
        <v>0</v>
      </c>
      <c r="H818" s="126">
        <v>0</v>
      </c>
      <c r="I818" s="126">
        <v>0</v>
      </c>
    </row>
    <row r="819" spans="1:9">
      <c r="A819" s="126">
        <v>1997</v>
      </c>
      <c r="B819" s="126" t="s">
        <v>138</v>
      </c>
      <c r="C819" s="126" t="s">
        <v>27</v>
      </c>
      <c r="D819" s="126" t="s">
        <v>79</v>
      </c>
      <c r="E819" s="126" t="s">
        <v>132</v>
      </c>
      <c r="F819" s="126">
        <v>0</v>
      </c>
      <c r="G819" s="126">
        <v>0</v>
      </c>
      <c r="H819" s="126">
        <v>0</v>
      </c>
      <c r="I819" s="126">
        <v>0</v>
      </c>
    </row>
    <row r="820" spans="1:9">
      <c r="A820" s="126">
        <v>1997</v>
      </c>
      <c r="B820" s="126" t="s">
        <v>138</v>
      </c>
      <c r="C820" s="126" t="s">
        <v>27</v>
      </c>
      <c r="D820" s="126" t="s">
        <v>79</v>
      </c>
      <c r="E820" s="126" t="s">
        <v>133</v>
      </c>
      <c r="F820" s="126">
        <v>0</v>
      </c>
      <c r="G820" s="126">
        <v>0</v>
      </c>
      <c r="H820" s="126">
        <v>0</v>
      </c>
      <c r="I820" s="126">
        <v>0</v>
      </c>
    </row>
    <row r="821" spans="1:9">
      <c r="A821" s="126">
        <v>1997</v>
      </c>
      <c r="B821" s="126" t="s">
        <v>138</v>
      </c>
      <c r="C821" s="126" t="s">
        <v>27</v>
      </c>
      <c r="D821" s="126" t="s">
        <v>79</v>
      </c>
      <c r="E821" s="126" t="s">
        <v>134</v>
      </c>
      <c r="F821" s="126">
        <v>0</v>
      </c>
      <c r="G821" s="126">
        <v>0</v>
      </c>
      <c r="H821" s="126">
        <v>0</v>
      </c>
      <c r="I821" s="126">
        <v>0</v>
      </c>
    </row>
    <row r="822" spans="1:9">
      <c r="A822" s="126">
        <v>1997</v>
      </c>
      <c r="B822" s="126" t="s">
        <v>138</v>
      </c>
      <c r="C822" s="126" t="s">
        <v>27</v>
      </c>
      <c r="D822" s="126" t="s">
        <v>79</v>
      </c>
      <c r="E822" s="126" t="s">
        <v>135</v>
      </c>
      <c r="F822" s="126">
        <v>0</v>
      </c>
      <c r="G822" s="126">
        <v>0</v>
      </c>
      <c r="H822" s="126">
        <v>0</v>
      </c>
      <c r="I822" s="126">
        <v>0</v>
      </c>
    </row>
    <row r="823" spans="1:9">
      <c r="A823" s="126">
        <v>1997</v>
      </c>
      <c r="B823" s="126" t="s">
        <v>138</v>
      </c>
      <c r="C823" s="126" t="s">
        <v>27</v>
      </c>
      <c r="D823" s="126" t="s">
        <v>79</v>
      </c>
      <c r="E823" s="126" t="s">
        <v>136</v>
      </c>
      <c r="F823" s="126">
        <v>0</v>
      </c>
      <c r="G823" s="126">
        <v>0</v>
      </c>
      <c r="H823" s="126">
        <v>0</v>
      </c>
      <c r="I823" s="126">
        <v>0</v>
      </c>
    </row>
    <row r="824" spans="1:9">
      <c r="A824" s="126">
        <v>1997</v>
      </c>
      <c r="B824" s="126" t="s">
        <v>138</v>
      </c>
      <c r="C824" s="126" t="s">
        <v>27</v>
      </c>
      <c r="D824" s="126" t="s">
        <v>76</v>
      </c>
      <c r="E824" s="126" t="s">
        <v>132</v>
      </c>
      <c r="F824" s="126">
        <v>0</v>
      </c>
      <c r="G824" s="126">
        <v>0</v>
      </c>
      <c r="H824" s="126">
        <v>0</v>
      </c>
      <c r="I824" s="126">
        <v>0</v>
      </c>
    </row>
    <row r="825" spans="1:9">
      <c r="A825" s="126">
        <v>1997</v>
      </c>
      <c r="B825" s="126" t="s">
        <v>138</v>
      </c>
      <c r="C825" s="126" t="s">
        <v>27</v>
      </c>
      <c r="D825" s="126" t="s">
        <v>76</v>
      </c>
      <c r="E825" s="126" t="s">
        <v>133</v>
      </c>
      <c r="F825" s="126">
        <v>0</v>
      </c>
      <c r="G825" s="126">
        <v>0</v>
      </c>
      <c r="H825" s="126">
        <v>0</v>
      </c>
      <c r="I825" s="126">
        <v>0</v>
      </c>
    </row>
    <row r="826" spans="1:9">
      <c r="A826" s="126">
        <v>1997</v>
      </c>
      <c r="B826" s="126" t="s">
        <v>138</v>
      </c>
      <c r="C826" s="126" t="s">
        <v>27</v>
      </c>
      <c r="D826" s="126" t="s">
        <v>76</v>
      </c>
      <c r="E826" s="126" t="s">
        <v>134</v>
      </c>
      <c r="F826" s="126">
        <v>0</v>
      </c>
      <c r="G826" s="126">
        <v>0</v>
      </c>
      <c r="H826" s="126">
        <v>0</v>
      </c>
      <c r="I826" s="126">
        <v>0</v>
      </c>
    </row>
    <row r="827" spans="1:9">
      <c r="A827" s="126">
        <v>1997</v>
      </c>
      <c r="B827" s="126" t="s">
        <v>138</v>
      </c>
      <c r="C827" s="126" t="s">
        <v>27</v>
      </c>
      <c r="D827" s="126" t="s">
        <v>76</v>
      </c>
      <c r="E827" s="126" t="s">
        <v>135</v>
      </c>
      <c r="F827" s="126">
        <v>0</v>
      </c>
      <c r="G827" s="126">
        <v>0</v>
      </c>
      <c r="H827" s="126">
        <v>0</v>
      </c>
      <c r="I827" s="126">
        <v>0</v>
      </c>
    </row>
    <row r="828" spans="1:9">
      <c r="A828" s="126">
        <v>1997</v>
      </c>
      <c r="B828" s="126" t="s">
        <v>138</v>
      </c>
      <c r="C828" s="126" t="s">
        <v>27</v>
      </c>
      <c r="D828" s="126" t="s">
        <v>76</v>
      </c>
      <c r="E828" s="126" t="s">
        <v>136</v>
      </c>
      <c r="F828" s="126">
        <v>0</v>
      </c>
      <c r="G828" s="126">
        <v>0</v>
      </c>
      <c r="H828" s="126">
        <v>0</v>
      </c>
      <c r="I828" s="126">
        <v>0</v>
      </c>
    </row>
    <row r="829" spans="1:9">
      <c r="A829" s="126">
        <v>1997</v>
      </c>
      <c r="B829" s="126" t="s">
        <v>138</v>
      </c>
      <c r="C829" s="126" t="s">
        <v>22</v>
      </c>
      <c r="D829" s="126" t="s">
        <v>77</v>
      </c>
      <c r="E829" s="126" t="s">
        <v>132</v>
      </c>
      <c r="F829" s="126">
        <v>0</v>
      </c>
      <c r="G829" s="126">
        <v>0</v>
      </c>
      <c r="H829" s="126">
        <v>0</v>
      </c>
      <c r="I829" s="126">
        <v>0</v>
      </c>
    </row>
    <row r="830" spans="1:9">
      <c r="A830" s="126">
        <v>1997</v>
      </c>
      <c r="B830" s="126" t="s">
        <v>138</v>
      </c>
      <c r="C830" s="126" t="s">
        <v>22</v>
      </c>
      <c r="D830" s="126" t="s">
        <v>77</v>
      </c>
      <c r="E830" s="126" t="s">
        <v>133</v>
      </c>
      <c r="F830" s="126">
        <v>0</v>
      </c>
      <c r="G830" s="126">
        <v>0</v>
      </c>
      <c r="H830" s="126">
        <v>0</v>
      </c>
      <c r="I830" s="126">
        <v>0</v>
      </c>
    </row>
    <row r="831" spans="1:9">
      <c r="A831" s="126">
        <v>1997</v>
      </c>
      <c r="B831" s="126" t="s">
        <v>138</v>
      </c>
      <c r="C831" s="126" t="s">
        <v>22</v>
      </c>
      <c r="D831" s="126" t="s">
        <v>77</v>
      </c>
      <c r="E831" s="126" t="s">
        <v>134</v>
      </c>
      <c r="F831" s="126">
        <v>0</v>
      </c>
      <c r="G831" s="126">
        <v>0</v>
      </c>
      <c r="H831" s="126">
        <v>0</v>
      </c>
      <c r="I831" s="126">
        <v>0</v>
      </c>
    </row>
    <row r="832" spans="1:9">
      <c r="A832" s="126">
        <v>1997</v>
      </c>
      <c r="B832" s="126" t="s">
        <v>138</v>
      </c>
      <c r="C832" s="126" t="s">
        <v>22</v>
      </c>
      <c r="D832" s="126" t="s">
        <v>77</v>
      </c>
      <c r="E832" s="126" t="s">
        <v>135</v>
      </c>
      <c r="F832" s="126">
        <v>0</v>
      </c>
      <c r="G832" s="126">
        <v>0</v>
      </c>
      <c r="H832" s="126">
        <v>0</v>
      </c>
      <c r="I832" s="126">
        <v>0</v>
      </c>
    </row>
    <row r="833" spans="1:9">
      <c r="A833" s="126">
        <v>1997</v>
      </c>
      <c r="B833" s="126" t="s">
        <v>138</v>
      </c>
      <c r="C833" s="126" t="s">
        <v>22</v>
      </c>
      <c r="D833" s="126" t="s">
        <v>79</v>
      </c>
      <c r="E833" s="126" t="s">
        <v>132</v>
      </c>
      <c r="F833" s="126">
        <v>0</v>
      </c>
      <c r="G833" s="126">
        <v>0</v>
      </c>
      <c r="H833" s="126">
        <v>0</v>
      </c>
      <c r="I833" s="126">
        <v>0</v>
      </c>
    </row>
    <row r="834" spans="1:9">
      <c r="A834" s="126">
        <v>1997</v>
      </c>
      <c r="B834" s="126" t="s">
        <v>138</v>
      </c>
      <c r="C834" s="126" t="s">
        <v>22</v>
      </c>
      <c r="D834" s="126" t="s">
        <v>79</v>
      </c>
      <c r="E834" s="126" t="s">
        <v>133</v>
      </c>
      <c r="F834" s="126">
        <v>0</v>
      </c>
      <c r="G834" s="126">
        <v>0</v>
      </c>
      <c r="H834" s="126">
        <v>0</v>
      </c>
      <c r="I834" s="126">
        <v>0</v>
      </c>
    </row>
    <row r="835" spans="1:9">
      <c r="A835" s="126">
        <v>1997</v>
      </c>
      <c r="B835" s="126" t="s">
        <v>138</v>
      </c>
      <c r="C835" s="126" t="s">
        <v>22</v>
      </c>
      <c r="D835" s="126" t="s">
        <v>79</v>
      </c>
      <c r="E835" s="126" t="s">
        <v>134</v>
      </c>
      <c r="F835" s="126">
        <v>0</v>
      </c>
      <c r="G835" s="126">
        <v>0</v>
      </c>
      <c r="H835" s="126">
        <v>0</v>
      </c>
      <c r="I835" s="126">
        <v>0</v>
      </c>
    </row>
    <row r="836" spans="1:9">
      <c r="A836" s="126">
        <v>1997</v>
      </c>
      <c r="B836" s="126" t="s">
        <v>138</v>
      </c>
      <c r="C836" s="126" t="s">
        <v>22</v>
      </c>
      <c r="D836" s="126" t="s">
        <v>79</v>
      </c>
      <c r="E836" s="126" t="s">
        <v>135</v>
      </c>
      <c r="F836" s="126">
        <v>0</v>
      </c>
      <c r="G836" s="126">
        <v>0</v>
      </c>
      <c r="H836" s="126">
        <v>0</v>
      </c>
      <c r="I836" s="126">
        <v>0</v>
      </c>
    </row>
    <row r="837" spans="1:9">
      <c r="A837" s="126">
        <v>1997</v>
      </c>
      <c r="B837" s="126" t="s">
        <v>138</v>
      </c>
      <c r="C837" s="126" t="s">
        <v>22</v>
      </c>
      <c r="D837" s="126" t="s">
        <v>79</v>
      </c>
      <c r="E837" s="126" t="s">
        <v>136</v>
      </c>
      <c r="F837" s="126">
        <v>0</v>
      </c>
      <c r="G837" s="126">
        <v>0</v>
      </c>
      <c r="H837" s="126">
        <v>0</v>
      </c>
      <c r="I837" s="126">
        <v>0</v>
      </c>
    </row>
    <row r="838" spans="1:9">
      <c r="A838" s="126">
        <v>1997</v>
      </c>
      <c r="B838" s="126" t="s">
        <v>138</v>
      </c>
      <c r="C838" s="126" t="s">
        <v>22</v>
      </c>
      <c r="D838" s="126" t="s">
        <v>76</v>
      </c>
      <c r="E838" s="126" t="s">
        <v>132</v>
      </c>
      <c r="F838" s="126">
        <v>0</v>
      </c>
      <c r="G838" s="126">
        <v>0</v>
      </c>
      <c r="H838" s="126">
        <v>0</v>
      </c>
      <c r="I838" s="126">
        <v>0</v>
      </c>
    </row>
    <row r="839" spans="1:9">
      <c r="A839" s="126">
        <v>1997</v>
      </c>
      <c r="B839" s="126" t="s">
        <v>138</v>
      </c>
      <c r="C839" s="126" t="s">
        <v>22</v>
      </c>
      <c r="D839" s="126" t="s">
        <v>76</v>
      </c>
      <c r="E839" s="126" t="s">
        <v>133</v>
      </c>
      <c r="F839" s="126">
        <v>0</v>
      </c>
      <c r="G839" s="126">
        <v>0</v>
      </c>
      <c r="H839" s="126">
        <v>0</v>
      </c>
      <c r="I839" s="126">
        <v>0</v>
      </c>
    </row>
    <row r="840" spans="1:9">
      <c r="A840" s="126">
        <v>1997</v>
      </c>
      <c r="B840" s="126" t="s">
        <v>138</v>
      </c>
      <c r="C840" s="126" t="s">
        <v>22</v>
      </c>
      <c r="D840" s="126" t="s">
        <v>76</v>
      </c>
      <c r="E840" s="126" t="s">
        <v>134</v>
      </c>
      <c r="F840" s="126">
        <v>0</v>
      </c>
      <c r="G840" s="126">
        <v>0</v>
      </c>
      <c r="H840" s="126">
        <v>0</v>
      </c>
      <c r="I840" s="126">
        <v>0</v>
      </c>
    </row>
    <row r="841" spans="1:9">
      <c r="A841" s="126">
        <v>1997</v>
      </c>
      <c r="B841" s="126" t="s">
        <v>138</v>
      </c>
      <c r="C841" s="126" t="s">
        <v>22</v>
      </c>
      <c r="D841" s="126" t="s">
        <v>76</v>
      </c>
      <c r="E841" s="126" t="s">
        <v>135</v>
      </c>
      <c r="F841" s="126">
        <v>0</v>
      </c>
      <c r="G841" s="126">
        <v>0</v>
      </c>
      <c r="H841" s="126">
        <v>0</v>
      </c>
      <c r="I841" s="126">
        <v>0</v>
      </c>
    </row>
    <row r="842" spans="1:9">
      <c r="A842" s="126">
        <v>1997</v>
      </c>
      <c r="B842" s="126" t="s">
        <v>138</v>
      </c>
      <c r="C842" s="126" t="s">
        <v>22</v>
      </c>
      <c r="D842" s="126" t="s">
        <v>76</v>
      </c>
      <c r="E842" s="126" t="s">
        <v>136</v>
      </c>
      <c r="F842" s="126">
        <v>0</v>
      </c>
      <c r="G842" s="126">
        <v>0</v>
      </c>
      <c r="H842" s="126">
        <v>0</v>
      </c>
      <c r="I842" s="126">
        <v>0</v>
      </c>
    </row>
    <row r="843" spans="1:9">
      <c r="A843" s="126">
        <v>1997</v>
      </c>
      <c r="B843" s="126" t="s">
        <v>138</v>
      </c>
      <c r="C843" s="126" t="s">
        <v>23</v>
      </c>
      <c r="D843" s="126" t="s">
        <v>77</v>
      </c>
      <c r="E843" s="126" t="s">
        <v>132</v>
      </c>
      <c r="F843" s="126">
        <v>0</v>
      </c>
      <c r="G843" s="126">
        <v>0</v>
      </c>
      <c r="H843" s="126">
        <v>0</v>
      </c>
      <c r="I843" s="126">
        <v>0</v>
      </c>
    </row>
    <row r="844" spans="1:9">
      <c r="A844" s="126">
        <v>1997</v>
      </c>
      <c r="B844" s="126" t="s">
        <v>138</v>
      </c>
      <c r="C844" s="126" t="s">
        <v>23</v>
      </c>
      <c r="D844" s="126" t="s">
        <v>77</v>
      </c>
      <c r="E844" s="126" t="s">
        <v>133</v>
      </c>
      <c r="F844" s="126">
        <v>0</v>
      </c>
      <c r="G844" s="126">
        <v>0</v>
      </c>
      <c r="H844" s="126">
        <v>0</v>
      </c>
      <c r="I844" s="126">
        <v>0</v>
      </c>
    </row>
    <row r="845" spans="1:9">
      <c r="A845" s="126">
        <v>1997</v>
      </c>
      <c r="B845" s="126" t="s">
        <v>138</v>
      </c>
      <c r="C845" s="126" t="s">
        <v>23</v>
      </c>
      <c r="D845" s="126" t="s">
        <v>77</v>
      </c>
      <c r="E845" s="126" t="s">
        <v>134</v>
      </c>
      <c r="F845" s="126">
        <v>0</v>
      </c>
      <c r="G845" s="126">
        <v>0</v>
      </c>
      <c r="H845" s="126">
        <v>0</v>
      </c>
      <c r="I845" s="126">
        <v>0</v>
      </c>
    </row>
    <row r="846" spans="1:9">
      <c r="A846" s="126">
        <v>1997</v>
      </c>
      <c r="B846" s="126" t="s">
        <v>138</v>
      </c>
      <c r="C846" s="126" t="s">
        <v>23</v>
      </c>
      <c r="D846" s="126" t="s">
        <v>77</v>
      </c>
      <c r="E846" s="126" t="s">
        <v>135</v>
      </c>
      <c r="F846" s="126">
        <v>0</v>
      </c>
      <c r="G846" s="126">
        <v>0</v>
      </c>
      <c r="H846" s="126">
        <v>0</v>
      </c>
      <c r="I846" s="126">
        <v>0</v>
      </c>
    </row>
    <row r="847" spans="1:9">
      <c r="A847" s="126">
        <v>1997</v>
      </c>
      <c r="B847" s="126" t="s">
        <v>138</v>
      </c>
      <c r="C847" s="126" t="s">
        <v>23</v>
      </c>
      <c r="D847" s="126" t="s">
        <v>79</v>
      </c>
      <c r="E847" s="126" t="s">
        <v>132</v>
      </c>
      <c r="F847" s="126">
        <v>0</v>
      </c>
      <c r="G847" s="126">
        <v>0</v>
      </c>
      <c r="H847" s="126">
        <v>0</v>
      </c>
      <c r="I847" s="126">
        <v>0</v>
      </c>
    </row>
    <row r="848" spans="1:9">
      <c r="A848" s="126">
        <v>1997</v>
      </c>
      <c r="B848" s="126" t="s">
        <v>138</v>
      </c>
      <c r="C848" s="126" t="s">
        <v>23</v>
      </c>
      <c r="D848" s="126" t="s">
        <v>79</v>
      </c>
      <c r="E848" s="126" t="s">
        <v>133</v>
      </c>
      <c r="F848" s="126">
        <v>0</v>
      </c>
      <c r="G848" s="126">
        <v>0</v>
      </c>
      <c r="H848" s="126">
        <v>0</v>
      </c>
      <c r="I848" s="126">
        <v>0</v>
      </c>
    </row>
    <row r="849" spans="1:9">
      <c r="A849" s="126">
        <v>1997</v>
      </c>
      <c r="B849" s="126" t="s">
        <v>138</v>
      </c>
      <c r="C849" s="126" t="s">
        <v>23</v>
      </c>
      <c r="D849" s="126" t="s">
        <v>79</v>
      </c>
      <c r="E849" s="126" t="s">
        <v>134</v>
      </c>
      <c r="F849" s="126">
        <v>0</v>
      </c>
      <c r="G849" s="126">
        <v>0</v>
      </c>
      <c r="H849" s="126">
        <v>0</v>
      </c>
      <c r="I849" s="126">
        <v>0</v>
      </c>
    </row>
    <row r="850" spans="1:9">
      <c r="A850" s="126">
        <v>1997</v>
      </c>
      <c r="B850" s="126" t="s">
        <v>138</v>
      </c>
      <c r="C850" s="126" t="s">
        <v>23</v>
      </c>
      <c r="D850" s="126" t="s">
        <v>79</v>
      </c>
      <c r="E850" s="126" t="s">
        <v>135</v>
      </c>
      <c r="F850" s="126">
        <v>0</v>
      </c>
      <c r="G850" s="126">
        <v>0</v>
      </c>
      <c r="H850" s="126">
        <v>0</v>
      </c>
      <c r="I850" s="126">
        <v>0</v>
      </c>
    </row>
    <row r="851" spans="1:9">
      <c r="A851" s="126">
        <v>1997</v>
      </c>
      <c r="B851" s="126" t="s">
        <v>138</v>
      </c>
      <c r="C851" s="126" t="s">
        <v>23</v>
      </c>
      <c r="D851" s="126" t="s">
        <v>79</v>
      </c>
      <c r="E851" s="126" t="s">
        <v>136</v>
      </c>
      <c r="F851" s="126">
        <v>0</v>
      </c>
      <c r="G851" s="126">
        <v>0</v>
      </c>
      <c r="H851" s="126">
        <v>0</v>
      </c>
      <c r="I851" s="126">
        <v>0</v>
      </c>
    </row>
    <row r="852" spans="1:9">
      <c r="A852" s="126">
        <v>1997</v>
      </c>
      <c r="B852" s="126" t="s">
        <v>138</v>
      </c>
      <c r="C852" s="126" t="s">
        <v>23</v>
      </c>
      <c r="D852" s="126" t="s">
        <v>76</v>
      </c>
      <c r="E852" s="126" t="s">
        <v>132</v>
      </c>
      <c r="F852" s="126">
        <v>0</v>
      </c>
      <c r="G852" s="126">
        <v>0</v>
      </c>
      <c r="H852" s="126">
        <v>0</v>
      </c>
      <c r="I852" s="126">
        <v>0</v>
      </c>
    </row>
    <row r="853" spans="1:9">
      <c r="A853" s="126">
        <v>1997</v>
      </c>
      <c r="B853" s="126" t="s">
        <v>138</v>
      </c>
      <c r="C853" s="126" t="s">
        <v>23</v>
      </c>
      <c r="D853" s="126" t="s">
        <v>76</v>
      </c>
      <c r="E853" s="126" t="s">
        <v>133</v>
      </c>
      <c r="F853" s="126">
        <v>0</v>
      </c>
      <c r="G853" s="126">
        <v>0</v>
      </c>
      <c r="H853" s="126">
        <v>0</v>
      </c>
      <c r="I853" s="126">
        <v>0</v>
      </c>
    </row>
    <row r="854" spans="1:9">
      <c r="A854" s="126">
        <v>1997</v>
      </c>
      <c r="B854" s="126" t="s">
        <v>138</v>
      </c>
      <c r="C854" s="126" t="s">
        <v>23</v>
      </c>
      <c r="D854" s="126" t="s">
        <v>76</v>
      </c>
      <c r="E854" s="126" t="s">
        <v>134</v>
      </c>
      <c r="F854" s="126">
        <v>0</v>
      </c>
      <c r="G854" s="126">
        <v>0</v>
      </c>
      <c r="H854" s="126">
        <v>0</v>
      </c>
      <c r="I854" s="126">
        <v>0</v>
      </c>
    </row>
    <row r="855" spans="1:9">
      <c r="A855" s="126">
        <v>1997</v>
      </c>
      <c r="B855" s="126" t="s">
        <v>138</v>
      </c>
      <c r="C855" s="126" t="s">
        <v>23</v>
      </c>
      <c r="D855" s="126" t="s">
        <v>76</v>
      </c>
      <c r="E855" s="126" t="s">
        <v>135</v>
      </c>
      <c r="F855" s="126">
        <v>0</v>
      </c>
      <c r="G855" s="126">
        <v>0</v>
      </c>
      <c r="H855" s="126">
        <v>0</v>
      </c>
      <c r="I855" s="126">
        <v>0</v>
      </c>
    </row>
    <row r="856" spans="1:9">
      <c r="A856" s="126">
        <v>1997</v>
      </c>
      <c r="B856" s="126" t="s">
        <v>138</v>
      </c>
      <c r="C856" s="126" t="s">
        <v>23</v>
      </c>
      <c r="D856" s="126" t="s">
        <v>76</v>
      </c>
      <c r="E856" s="126" t="s">
        <v>136</v>
      </c>
      <c r="F856" s="126">
        <v>0</v>
      </c>
      <c r="G856" s="126">
        <v>0</v>
      </c>
      <c r="H856" s="126">
        <v>0</v>
      </c>
      <c r="I856" s="126">
        <v>0</v>
      </c>
    </row>
    <row r="857" spans="1:9">
      <c r="A857" s="126">
        <v>1997</v>
      </c>
      <c r="B857" s="126" t="s">
        <v>138</v>
      </c>
      <c r="C857" s="126" t="s">
        <v>25</v>
      </c>
      <c r="D857" s="126" t="s">
        <v>77</v>
      </c>
      <c r="E857" s="126" t="s">
        <v>132</v>
      </c>
      <c r="F857" s="126">
        <v>0</v>
      </c>
      <c r="G857" s="126">
        <v>0</v>
      </c>
      <c r="H857" s="126">
        <v>0</v>
      </c>
      <c r="I857" s="126">
        <v>0</v>
      </c>
    </row>
    <row r="858" spans="1:9">
      <c r="A858" s="126">
        <v>1997</v>
      </c>
      <c r="B858" s="126" t="s">
        <v>138</v>
      </c>
      <c r="C858" s="126" t="s">
        <v>25</v>
      </c>
      <c r="D858" s="126" t="s">
        <v>77</v>
      </c>
      <c r="E858" s="126" t="s">
        <v>133</v>
      </c>
      <c r="F858" s="126">
        <v>0</v>
      </c>
      <c r="G858" s="126">
        <v>0</v>
      </c>
      <c r="H858" s="126">
        <v>0</v>
      </c>
      <c r="I858" s="126">
        <v>0</v>
      </c>
    </row>
    <row r="859" spans="1:9">
      <c r="A859" s="126">
        <v>1997</v>
      </c>
      <c r="B859" s="126" t="s">
        <v>138</v>
      </c>
      <c r="C859" s="126" t="s">
        <v>25</v>
      </c>
      <c r="D859" s="126" t="s">
        <v>77</v>
      </c>
      <c r="E859" s="126" t="s">
        <v>134</v>
      </c>
      <c r="F859" s="126">
        <v>0</v>
      </c>
      <c r="G859" s="126">
        <v>0</v>
      </c>
      <c r="H859" s="126">
        <v>0</v>
      </c>
      <c r="I859" s="126">
        <v>0</v>
      </c>
    </row>
    <row r="860" spans="1:9">
      <c r="A860" s="126">
        <v>1997</v>
      </c>
      <c r="B860" s="126" t="s">
        <v>138</v>
      </c>
      <c r="C860" s="126" t="s">
        <v>25</v>
      </c>
      <c r="D860" s="126" t="s">
        <v>77</v>
      </c>
      <c r="E860" s="126" t="s">
        <v>135</v>
      </c>
      <c r="F860" s="126">
        <v>0</v>
      </c>
      <c r="G860" s="126">
        <v>0</v>
      </c>
      <c r="H860" s="126">
        <v>0</v>
      </c>
      <c r="I860" s="126">
        <v>0</v>
      </c>
    </row>
    <row r="861" spans="1:9">
      <c r="A861" s="126">
        <v>1997</v>
      </c>
      <c r="B861" s="126" t="s">
        <v>138</v>
      </c>
      <c r="C861" s="126" t="s">
        <v>25</v>
      </c>
      <c r="D861" s="126" t="s">
        <v>79</v>
      </c>
      <c r="E861" s="126" t="s">
        <v>132</v>
      </c>
      <c r="F861" s="126">
        <v>0</v>
      </c>
      <c r="G861" s="126">
        <v>0</v>
      </c>
      <c r="H861" s="126">
        <v>0</v>
      </c>
      <c r="I861" s="126">
        <v>0</v>
      </c>
    </row>
    <row r="862" spans="1:9">
      <c r="A862" s="126">
        <v>1997</v>
      </c>
      <c r="B862" s="126" t="s">
        <v>138</v>
      </c>
      <c r="C862" s="126" t="s">
        <v>25</v>
      </c>
      <c r="D862" s="126" t="s">
        <v>79</v>
      </c>
      <c r="E862" s="126" t="s">
        <v>133</v>
      </c>
      <c r="F862" s="126">
        <v>0</v>
      </c>
      <c r="G862" s="126">
        <v>0</v>
      </c>
      <c r="H862" s="126">
        <v>0</v>
      </c>
      <c r="I862" s="126">
        <v>0</v>
      </c>
    </row>
    <row r="863" spans="1:9">
      <c r="A863" s="126">
        <v>1997</v>
      </c>
      <c r="B863" s="126" t="s">
        <v>138</v>
      </c>
      <c r="C863" s="126" t="s">
        <v>25</v>
      </c>
      <c r="D863" s="126" t="s">
        <v>79</v>
      </c>
      <c r="E863" s="126" t="s">
        <v>134</v>
      </c>
      <c r="F863" s="126">
        <v>0</v>
      </c>
      <c r="G863" s="126">
        <v>0</v>
      </c>
      <c r="H863" s="126">
        <v>0</v>
      </c>
      <c r="I863" s="126">
        <v>0</v>
      </c>
    </row>
    <row r="864" spans="1:9">
      <c r="A864" s="126">
        <v>1997</v>
      </c>
      <c r="B864" s="126" t="s">
        <v>138</v>
      </c>
      <c r="C864" s="126" t="s">
        <v>25</v>
      </c>
      <c r="D864" s="126" t="s">
        <v>79</v>
      </c>
      <c r="E864" s="126" t="s">
        <v>135</v>
      </c>
      <c r="F864" s="126">
        <v>0</v>
      </c>
      <c r="G864" s="126">
        <v>0</v>
      </c>
      <c r="H864" s="126">
        <v>0</v>
      </c>
      <c r="I864" s="126">
        <v>0</v>
      </c>
    </row>
    <row r="865" spans="1:9">
      <c r="A865" s="126">
        <v>1997</v>
      </c>
      <c r="B865" s="126" t="s">
        <v>138</v>
      </c>
      <c r="C865" s="126" t="s">
        <v>25</v>
      </c>
      <c r="D865" s="126" t="s">
        <v>79</v>
      </c>
      <c r="E865" s="126" t="s">
        <v>136</v>
      </c>
      <c r="F865" s="126">
        <v>0</v>
      </c>
      <c r="G865" s="126">
        <v>0</v>
      </c>
      <c r="H865" s="126">
        <v>0</v>
      </c>
      <c r="I865" s="126">
        <v>0</v>
      </c>
    </row>
    <row r="866" spans="1:9">
      <c r="A866" s="126">
        <v>1997</v>
      </c>
      <c r="B866" s="126" t="s">
        <v>138</v>
      </c>
      <c r="C866" s="126" t="s">
        <v>25</v>
      </c>
      <c r="D866" s="126" t="s">
        <v>76</v>
      </c>
      <c r="E866" s="126" t="s">
        <v>132</v>
      </c>
      <c r="F866" s="126">
        <v>0</v>
      </c>
      <c r="G866" s="126">
        <v>0</v>
      </c>
      <c r="H866" s="126">
        <v>0</v>
      </c>
      <c r="I866" s="126">
        <v>0</v>
      </c>
    </row>
    <row r="867" spans="1:9">
      <c r="A867" s="126">
        <v>1997</v>
      </c>
      <c r="B867" s="126" t="s">
        <v>138</v>
      </c>
      <c r="C867" s="126" t="s">
        <v>25</v>
      </c>
      <c r="D867" s="126" t="s">
        <v>76</v>
      </c>
      <c r="E867" s="126" t="s">
        <v>133</v>
      </c>
      <c r="F867" s="126">
        <v>0</v>
      </c>
      <c r="G867" s="126">
        <v>0</v>
      </c>
      <c r="H867" s="126">
        <v>0</v>
      </c>
      <c r="I867" s="126">
        <v>0</v>
      </c>
    </row>
    <row r="868" spans="1:9">
      <c r="A868" s="126">
        <v>1997</v>
      </c>
      <c r="B868" s="126" t="s">
        <v>138</v>
      </c>
      <c r="C868" s="126" t="s">
        <v>25</v>
      </c>
      <c r="D868" s="126" t="s">
        <v>76</v>
      </c>
      <c r="E868" s="126" t="s">
        <v>134</v>
      </c>
      <c r="F868" s="126">
        <v>0</v>
      </c>
      <c r="G868" s="126">
        <v>0</v>
      </c>
      <c r="H868" s="126">
        <v>0</v>
      </c>
      <c r="I868" s="126">
        <v>0</v>
      </c>
    </row>
    <row r="869" spans="1:9">
      <c r="A869" s="126">
        <v>1997</v>
      </c>
      <c r="B869" s="126" t="s">
        <v>138</v>
      </c>
      <c r="C869" s="126" t="s">
        <v>25</v>
      </c>
      <c r="D869" s="126" t="s">
        <v>76</v>
      </c>
      <c r="E869" s="126" t="s">
        <v>135</v>
      </c>
      <c r="F869" s="126">
        <v>0</v>
      </c>
      <c r="G869" s="126">
        <v>0</v>
      </c>
      <c r="H869" s="126">
        <v>0</v>
      </c>
      <c r="I869" s="126">
        <v>0</v>
      </c>
    </row>
    <row r="870" spans="1:9">
      <c r="A870" s="126">
        <v>1997</v>
      </c>
      <c r="B870" s="126" t="s">
        <v>138</v>
      </c>
      <c r="C870" s="126" t="s">
        <v>25</v>
      </c>
      <c r="D870" s="126" t="s">
        <v>76</v>
      </c>
      <c r="E870" s="126" t="s">
        <v>136</v>
      </c>
      <c r="F870" s="126">
        <v>0</v>
      </c>
      <c r="G870" s="126">
        <v>0</v>
      </c>
      <c r="H870" s="126">
        <v>0</v>
      </c>
      <c r="I870" s="126">
        <v>0</v>
      </c>
    </row>
    <row r="871" spans="1:9">
      <c r="A871" s="126">
        <v>1997</v>
      </c>
      <c r="B871" s="126" t="s">
        <v>138</v>
      </c>
      <c r="C871" s="126" t="s">
        <v>21</v>
      </c>
      <c r="D871" s="126" t="s">
        <v>77</v>
      </c>
      <c r="E871" s="126" t="s">
        <v>132</v>
      </c>
      <c r="F871" s="126">
        <v>0</v>
      </c>
      <c r="G871" s="126">
        <v>0</v>
      </c>
      <c r="H871" s="126">
        <v>0</v>
      </c>
      <c r="I871" s="126">
        <v>0</v>
      </c>
    </row>
    <row r="872" spans="1:9">
      <c r="A872" s="126">
        <v>1997</v>
      </c>
      <c r="B872" s="126" t="s">
        <v>138</v>
      </c>
      <c r="C872" s="126" t="s">
        <v>21</v>
      </c>
      <c r="D872" s="126" t="s">
        <v>77</v>
      </c>
      <c r="E872" s="126" t="s">
        <v>133</v>
      </c>
      <c r="F872" s="126">
        <v>0</v>
      </c>
      <c r="G872" s="126">
        <v>0</v>
      </c>
      <c r="H872" s="126">
        <v>0</v>
      </c>
      <c r="I872" s="126">
        <v>0</v>
      </c>
    </row>
    <row r="873" spans="1:9">
      <c r="A873" s="126">
        <v>1997</v>
      </c>
      <c r="B873" s="126" t="s">
        <v>138</v>
      </c>
      <c r="C873" s="126" t="s">
        <v>21</v>
      </c>
      <c r="D873" s="126" t="s">
        <v>77</v>
      </c>
      <c r="E873" s="126" t="s">
        <v>134</v>
      </c>
      <c r="F873" s="126">
        <v>0</v>
      </c>
      <c r="G873" s="126">
        <v>0</v>
      </c>
      <c r="H873" s="126">
        <v>0</v>
      </c>
      <c r="I873" s="126">
        <v>0</v>
      </c>
    </row>
    <row r="874" spans="1:9">
      <c r="A874" s="126">
        <v>1997</v>
      </c>
      <c r="B874" s="126" t="s">
        <v>138</v>
      </c>
      <c r="C874" s="126" t="s">
        <v>21</v>
      </c>
      <c r="D874" s="126" t="s">
        <v>77</v>
      </c>
      <c r="E874" s="126" t="s">
        <v>135</v>
      </c>
      <c r="F874" s="126">
        <v>0</v>
      </c>
      <c r="G874" s="126">
        <v>0</v>
      </c>
      <c r="H874" s="126">
        <v>0</v>
      </c>
      <c r="I874" s="126">
        <v>0</v>
      </c>
    </row>
    <row r="875" spans="1:9">
      <c r="A875" s="126">
        <v>1997</v>
      </c>
      <c r="B875" s="126" t="s">
        <v>138</v>
      </c>
      <c r="C875" s="126" t="s">
        <v>21</v>
      </c>
      <c r="D875" s="126" t="s">
        <v>79</v>
      </c>
      <c r="E875" s="126" t="s">
        <v>132</v>
      </c>
      <c r="F875" s="126">
        <v>0</v>
      </c>
      <c r="G875" s="126">
        <v>0</v>
      </c>
      <c r="H875" s="126">
        <v>0</v>
      </c>
      <c r="I875" s="126">
        <v>0</v>
      </c>
    </row>
    <row r="876" spans="1:9">
      <c r="A876" s="126">
        <v>1997</v>
      </c>
      <c r="B876" s="126" t="s">
        <v>138</v>
      </c>
      <c r="C876" s="126" t="s">
        <v>21</v>
      </c>
      <c r="D876" s="126" t="s">
        <v>79</v>
      </c>
      <c r="E876" s="126" t="s">
        <v>133</v>
      </c>
      <c r="F876" s="126">
        <v>0</v>
      </c>
      <c r="G876" s="126">
        <v>0</v>
      </c>
      <c r="H876" s="126">
        <v>0</v>
      </c>
      <c r="I876" s="126">
        <v>0</v>
      </c>
    </row>
    <row r="877" spans="1:9">
      <c r="A877" s="126">
        <v>1997</v>
      </c>
      <c r="B877" s="126" t="s">
        <v>138</v>
      </c>
      <c r="C877" s="126" t="s">
        <v>21</v>
      </c>
      <c r="D877" s="126" t="s">
        <v>79</v>
      </c>
      <c r="E877" s="126" t="s">
        <v>134</v>
      </c>
      <c r="F877" s="126">
        <v>0</v>
      </c>
      <c r="G877" s="126">
        <v>0</v>
      </c>
      <c r="H877" s="126">
        <v>0</v>
      </c>
      <c r="I877" s="126">
        <v>0</v>
      </c>
    </row>
    <row r="878" spans="1:9">
      <c r="A878" s="126">
        <v>1997</v>
      </c>
      <c r="B878" s="126" t="s">
        <v>138</v>
      </c>
      <c r="C878" s="126" t="s">
        <v>21</v>
      </c>
      <c r="D878" s="126" t="s">
        <v>79</v>
      </c>
      <c r="E878" s="126" t="s">
        <v>135</v>
      </c>
      <c r="F878" s="126">
        <v>0</v>
      </c>
      <c r="G878" s="126">
        <v>0</v>
      </c>
      <c r="H878" s="126">
        <v>0</v>
      </c>
      <c r="I878" s="126">
        <v>0</v>
      </c>
    </row>
    <row r="879" spans="1:9">
      <c r="A879" s="126">
        <v>1997</v>
      </c>
      <c r="B879" s="126" t="s">
        <v>138</v>
      </c>
      <c r="C879" s="126" t="s">
        <v>21</v>
      </c>
      <c r="D879" s="126" t="s">
        <v>79</v>
      </c>
      <c r="E879" s="126" t="s">
        <v>136</v>
      </c>
      <c r="F879" s="126">
        <v>0</v>
      </c>
      <c r="G879" s="126">
        <v>0</v>
      </c>
      <c r="H879" s="126">
        <v>0</v>
      </c>
      <c r="I879" s="126">
        <v>0</v>
      </c>
    </row>
    <row r="880" spans="1:9">
      <c r="A880" s="126">
        <v>1997</v>
      </c>
      <c r="B880" s="126" t="s">
        <v>138</v>
      </c>
      <c r="C880" s="126" t="s">
        <v>21</v>
      </c>
      <c r="D880" s="126" t="s">
        <v>76</v>
      </c>
      <c r="E880" s="126" t="s">
        <v>132</v>
      </c>
      <c r="F880" s="126">
        <v>0</v>
      </c>
      <c r="G880" s="126">
        <v>0</v>
      </c>
      <c r="H880" s="126">
        <v>0</v>
      </c>
      <c r="I880" s="126">
        <v>0</v>
      </c>
    </row>
    <row r="881" spans="1:9">
      <c r="A881" s="126">
        <v>1997</v>
      </c>
      <c r="B881" s="126" t="s">
        <v>138</v>
      </c>
      <c r="C881" s="126" t="s">
        <v>21</v>
      </c>
      <c r="D881" s="126" t="s">
        <v>76</v>
      </c>
      <c r="E881" s="126" t="s">
        <v>133</v>
      </c>
      <c r="F881" s="126">
        <v>0</v>
      </c>
      <c r="G881" s="126">
        <v>0</v>
      </c>
      <c r="H881" s="126">
        <v>0</v>
      </c>
      <c r="I881" s="126">
        <v>0</v>
      </c>
    </row>
    <row r="882" spans="1:9">
      <c r="A882" s="126">
        <v>1997</v>
      </c>
      <c r="B882" s="126" t="s">
        <v>138</v>
      </c>
      <c r="C882" s="126" t="s">
        <v>21</v>
      </c>
      <c r="D882" s="126" t="s">
        <v>76</v>
      </c>
      <c r="E882" s="126" t="s">
        <v>134</v>
      </c>
      <c r="F882" s="126">
        <v>0</v>
      </c>
      <c r="G882" s="126">
        <v>0</v>
      </c>
      <c r="H882" s="126">
        <v>0</v>
      </c>
      <c r="I882" s="126">
        <v>0</v>
      </c>
    </row>
    <row r="883" spans="1:9">
      <c r="A883" s="126">
        <v>1997</v>
      </c>
      <c r="B883" s="126" t="s">
        <v>138</v>
      </c>
      <c r="C883" s="126" t="s">
        <v>21</v>
      </c>
      <c r="D883" s="126" t="s">
        <v>76</v>
      </c>
      <c r="E883" s="126" t="s">
        <v>135</v>
      </c>
      <c r="F883" s="126">
        <v>0</v>
      </c>
      <c r="G883" s="126">
        <v>0</v>
      </c>
      <c r="H883" s="126">
        <v>0</v>
      </c>
      <c r="I883" s="126">
        <v>0</v>
      </c>
    </row>
    <row r="884" spans="1:9">
      <c r="A884" s="126">
        <v>1997</v>
      </c>
      <c r="B884" s="126" t="s">
        <v>138</v>
      </c>
      <c r="C884" s="126" t="s">
        <v>21</v>
      </c>
      <c r="D884" s="126" t="s">
        <v>76</v>
      </c>
      <c r="E884" s="126" t="s">
        <v>136</v>
      </c>
      <c r="F884" s="126">
        <v>0</v>
      </c>
      <c r="G884" s="126">
        <v>0</v>
      </c>
      <c r="H884" s="126">
        <v>0</v>
      </c>
      <c r="I884" s="126">
        <v>0</v>
      </c>
    </row>
    <row r="885" spans="1:9">
      <c r="A885" s="126">
        <v>1997</v>
      </c>
      <c r="B885" s="126" t="s">
        <v>138</v>
      </c>
      <c r="C885" s="126" t="s">
        <v>24</v>
      </c>
      <c r="D885" s="126" t="s">
        <v>77</v>
      </c>
      <c r="E885" s="126" t="s">
        <v>132</v>
      </c>
      <c r="F885" s="126">
        <v>0</v>
      </c>
      <c r="G885" s="126">
        <v>0</v>
      </c>
      <c r="H885" s="126">
        <v>0</v>
      </c>
      <c r="I885" s="126">
        <v>0</v>
      </c>
    </row>
    <row r="886" spans="1:9">
      <c r="A886" s="126">
        <v>1997</v>
      </c>
      <c r="B886" s="126" t="s">
        <v>138</v>
      </c>
      <c r="C886" s="126" t="s">
        <v>24</v>
      </c>
      <c r="D886" s="126" t="s">
        <v>77</v>
      </c>
      <c r="E886" s="126" t="s">
        <v>133</v>
      </c>
      <c r="F886" s="126">
        <v>0</v>
      </c>
      <c r="G886" s="126">
        <v>0</v>
      </c>
      <c r="H886" s="126">
        <v>0</v>
      </c>
      <c r="I886" s="126">
        <v>0</v>
      </c>
    </row>
    <row r="887" spans="1:9">
      <c r="A887" s="126">
        <v>1997</v>
      </c>
      <c r="B887" s="126" t="s">
        <v>138</v>
      </c>
      <c r="C887" s="126" t="s">
        <v>24</v>
      </c>
      <c r="D887" s="126" t="s">
        <v>77</v>
      </c>
      <c r="E887" s="126" t="s">
        <v>134</v>
      </c>
      <c r="F887" s="126">
        <v>0</v>
      </c>
      <c r="G887" s="126">
        <v>0</v>
      </c>
      <c r="H887" s="126">
        <v>0</v>
      </c>
      <c r="I887" s="126">
        <v>0</v>
      </c>
    </row>
    <row r="888" spans="1:9">
      <c r="A888" s="126">
        <v>1997</v>
      </c>
      <c r="B888" s="126" t="s">
        <v>138</v>
      </c>
      <c r="C888" s="126" t="s">
        <v>24</v>
      </c>
      <c r="D888" s="126" t="s">
        <v>77</v>
      </c>
      <c r="E888" s="126" t="s">
        <v>135</v>
      </c>
      <c r="F888" s="126">
        <v>0</v>
      </c>
      <c r="G888" s="126">
        <v>0</v>
      </c>
      <c r="H888" s="126">
        <v>0</v>
      </c>
      <c r="I888" s="126">
        <v>0</v>
      </c>
    </row>
    <row r="889" spans="1:9">
      <c r="A889" s="126">
        <v>1997</v>
      </c>
      <c r="B889" s="126" t="s">
        <v>138</v>
      </c>
      <c r="C889" s="126" t="s">
        <v>24</v>
      </c>
      <c r="D889" s="126" t="s">
        <v>79</v>
      </c>
      <c r="E889" s="126" t="s">
        <v>132</v>
      </c>
      <c r="F889" s="126">
        <v>0</v>
      </c>
      <c r="G889" s="126">
        <v>0</v>
      </c>
      <c r="H889" s="126">
        <v>0</v>
      </c>
      <c r="I889" s="126">
        <v>0</v>
      </c>
    </row>
    <row r="890" spans="1:9">
      <c r="A890" s="126">
        <v>1997</v>
      </c>
      <c r="B890" s="126" t="s">
        <v>138</v>
      </c>
      <c r="C890" s="126" t="s">
        <v>24</v>
      </c>
      <c r="D890" s="126" t="s">
        <v>79</v>
      </c>
      <c r="E890" s="126" t="s">
        <v>133</v>
      </c>
      <c r="F890" s="126">
        <v>0</v>
      </c>
      <c r="G890" s="126">
        <v>0</v>
      </c>
      <c r="H890" s="126">
        <v>0</v>
      </c>
      <c r="I890" s="126">
        <v>0</v>
      </c>
    </row>
    <row r="891" spans="1:9">
      <c r="A891" s="126">
        <v>1997</v>
      </c>
      <c r="B891" s="126" t="s">
        <v>138</v>
      </c>
      <c r="C891" s="126" t="s">
        <v>24</v>
      </c>
      <c r="D891" s="126" t="s">
        <v>79</v>
      </c>
      <c r="E891" s="126" t="s">
        <v>134</v>
      </c>
      <c r="F891" s="126">
        <v>0</v>
      </c>
      <c r="G891" s="126">
        <v>0</v>
      </c>
      <c r="H891" s="126">
        <v>0</v>
      </c>
      <c r="I891" s="126">
        <v>0</v>
      </c>
    </row>
    <row r="892" spans="1:9">
      <c r="A892" s="126">
        <v>1997</v>
      </c>
      <c r="B892" s="126" t="s">
        <v>138</v>
      </c>
      <c r="C892" s="126" t="s">
        <v>24</v>
      </c>
      <c r="D892" s="126" t="s">
        <v>79</v>
      </c>
      <c r="E892" s="126" t="s">
        <v>135</v>
      </c>
      <c r="F892" s="126">
        <v>0</v>
      </c>
      <c r="G892" s="126">
        <v>0</v>
      </c>
      <c r="H892" s="126">
        <v>0</v>
      </c>
      <c r="I892" s="126">
        <v>0</v>
      </c>
    </row>
    <row r="893" spans="1:9">
      <c r="A893" s="126">
        <v>1997</v>
      </c>
      <c r="B893" s="126" t="s">
        <v>138</v>
      </c>
      <c r="C893" s="126" t="s">
        <v>24</v>
      </c>
      <c r="D893" s="126" t="s">
        <v>79</v>
      </c>
      <c r="E893" s="126" t="s">
        <v>136</v>
      </c>
      <c r="F893" s="126">
        <v>0</v>
      </c>
      <c r="G893" s="126">
        <v>0</v>
      </c>
      <c r="H893" s="126">
        <v>0</v>
      </c>
      <c r="I893" s="126">
        <v>0</v>
      </c>
    </row>
    <row r="894" spans="1:9">
      <c r="A894" s="126">
        <v>1997</v>
      </c>
      <c r="B894" s="126" t="s">
        <v>138</v>
      </c>
      <c r="C894" s="126" t="s">
        <v>24</v>
      </c>
      <c r="D894" s="126" t="s">
        <v>76</v>
      </c>
      <c r="E894" s="126" t="s">
        <v>132</v>
      </c>
      <c r="F894" s="126">
        <v>0</v>
      </c>
      <c r="G894" s="126">
        <v>0</v>
      </c>
      <c r="H894" s="126">
        <v>0</v>
      </c>
      <c r="I894" s="126">
        <v>0</v>
      </c>
    </row>
    <row r="895" spans="1:9">
      <c r="A895" s="126">
        <v>1997</v>
      </c>
      <c r="B895" s="126" t="s">
        <v>138</v>
      </c>
      <c r="C895" s="126" t="s">
        <v>24</v>
      </c>
      <c r="D895" s="126" t="s">
        <v>76</v>
      </c>
      <c r="E895" s="126" t="s">
        <v>133</v>
      </c>
      <c r="F895" s="126">
        <v>0</v>
      </c>
      <c r="G895" s="126">
        <v>0</v>
      </c>
      <c r="H895" s="126">
        <v>0</v>
      </c>
      <c r="I895" s="126">
        <v>0</v>
      </c>
    </row>
    <row r="896" spans="1:9">
      <c r="A896" s="126">
        <v>1997</v>
      </c>
      <c r="B896" s="126" t="s">
        <v>138</v>
      </c>
      <c r="C896" s="126" t="s">
        <v>24</v>
      </c>
      <c r="D896" s="126" t="s">
        <v>76</v>
      </c>
      <c r="E896" s="126" t="s">
        <v>134</v>
      </c>
      <c r="F896" s="126">
        <v>0</v>
      </c>
      <c r="G896" s="126">
        <v>0</v>
      </c>
      <c r="H896" s="126">
        <v>0</v>
      </c>
      <c r="I896" s="126">
        <v>0</v>
      </c>
    </row>
    <row r="897" spans="1:9">
      <c r="A897" s="126">
        <v>1997</v>
      </c>
      <c r="B897" s="126" t="s">
        <v>138</v>
      </c>
      <c r="C897" s="126" t="s">
        <v>24</v>
      </c>
      <c r="D897" s="126" t="s">
        <v>76</v>
      </c>
      <c r="E897" s="126" t="s">
        <v>135</v>
      </c>
      <c r="F897" s="126">
        <v>0</v>
      </c>
      <c r="G897" s="126">
        <v>0</v>
      </c>
      <c r="H897" s="126">
        <v>0</v>
      </c>
      <c r="I897" s="126">
        <v>0</v>
      </c>
    </row>
    <row r="898" spans="1:9">
      <c r="A898" s="126">
        <v>1997</v>
      </c>
      <c r="B898" s="126" t="s">
        <v>138</v>
      </c>
      <c r="C898" s="126" t="s">
        <v>24</v>
      </c>
      <c r="D898" s="126" t="s">
        <v>76</v>
      </c>
      <c r="E898" s="126" t="s">
        <v>136</v>
      </c>
      <c r="F898" s="126">
        <v>0</v>
      </c>
      <c r="G898" s="126">
        <v>0</v>
      </c>
      <c r="H898" s="126">
        <v>0</v>
      </c>
      <c r="I898" s="126">
        <v>0</v>
      </c>
    </row>
    <row r="899" spans="1:9">
      <c r="A899" s="126">
        <v>1997</v>
      </c>
      <c r="B899" s="126" t="s">
        <v>139</v>
      </c>
      <c r="C899" s="126" t="s">
        <v>26</v>
      </c>
      <c r="D899" s="126" t="s">
        <v>77</v>
      </c>
      <c r="E899" s="126" t="s">
        <v>132</v>
      </c>
      <c r="F899" s="126">
        <v>0</v>
      </c>
      <c r="G899" s="126">
        <v>0</v>
      </c>
      <c r="H899" s="126">
        <v>0</v>
      </c>
      <c r="I899" s="126">
        <v>0</v>
      </c>
    </row>
    <row r="900" spans="1:9">
      <c r="A900" s="126">
        <v>1997</v>
      </c>
      <c r="B900" s="126" t="s">
        <v>139</v>
      </c>
      <c r="C900" s="126" t="s">
        <v>26</v>
      </c>
      <c r="D900" s="126" t="s">
        <v>77</v>
      </c>
      <c r="E900" s="126" t="s">
        <v>133</v>
      </c>
      <c r="F900" s="126">
        <v>0</v>
      </c>
      <c r="G900" s="126">
        <v>0</v>
      </c>
      <c r="H900" s="126">
        <v>0</v>
      </c>
      <c r="I900" s="126">
        <v>0</v>
      </c>
    </row>
    <row r="901" spans="1:9">
      <c r="A901" s="126">
        <v>1997</v>
      </c>
      <c r="B901" s="126" t="s">
        <v>139</v>
      </c>
      <c r="C901" s="126" t="s">
        <v>26</v>
      </c>
      <c r="D901" s="126" t="s">
        <v>77</v>
      </c>
      <c r="E901" s="126" t="s">
        <v>134</v>
      </c>
      <c r="F901" s="126">
        <v>0</v>
      </c>
      <c r="G901" s="126">
        <v>0</v>
      </c>
      <c r="H901" s="126">
        <v>0</v>
      </c>
      <c r="I901" s="126">
        <v>0</v>
      </c>
    </row>
    <row r="902" spans="1:9">
      <c r="A902" s="126">
        <v>1997</v>
      </c>
      <c r="B902" s="126" t="s">
        <v>139</v>
      </c>
      <c r="C902" s="126" t="s">
        <v>26</v>
      </c>
      <c r="D902" s="126" t="s">
        <v>77</v>
      </c>
      <c r="E902" s="126" t="s">
        <v>135</v>
      </c>
      <c r="F902" s="126">
        <v>0</v>
      </c>
      <c r="G902" s="126">
        <v>0</v>
      </c>
      <c r="H902" s="126">
        <v>0</v>
      </c>
      <c r="I902" s="126">
        <v>0</v>
      </c>
    </row>
    <row r="903" spans="1:9">
      <c r="A903" s="126">
        <v>1997</v>
      </c>
      <c r="B903" s="126" t="s">
        <v>139</v>
      </c>
      <c r="C903" s="126" t="s">
        <v>26</v>
      </c>
      <c r="D903" s="126" t="s">
        <v>79</v>
      </c>
      <c r="E903" s="126" t="s">
        <v>132</v>
      </c>
      <c r="F903" s="126">
        <v>0</v>
      </c>
      <c r="G903" s="126">
        <v>0</v>
      </c>
      <c r="H903" s="126">
        <v>0</v>
      </c>
      <c r="I903" s="126">
        <v>0</v>
      </c>
    </row>
    <row r="904" spans="1:9">
      <c r="A904" s="126">
        <v>1997</v>
      </c>
      <c r="B904" s="126" t="s">
        <v>139</v>
      </c>
      <c r="C904" s="126" t="s">
        <v>26</v>
      </c>
      <c r="D904" s="126" t="s">
        <v>79</v>
      </c>
      <c r="E904" s="126" t="s">
        <v>133</v>
      </c>
      <c r="F904" s="126">
        <v>0</v>
      </c>
      <c r="G904" s="126">
        <v>0</v>
      </c>
      <c r="H904" s="126">
        <v>0</v>
      </c>
      <c r="I904" s="126">
        <v>0</v>
      </c>
    </row>
    <row r="905" spans="1:9">
      <c r="A905" s="126">
        <v>1997</v>
      </c>
      <c r="B905" s="126" t="s">
        <v>139</v>
      </c>
      <c r="C905" s="126" t="s">
        <v>26</v>
      </c>
      <c r="D905" s="126" t="s">
        <v>79</v>
      </c>
      <c r="E905" s="126" t="s">
        <v>134</v>
      </c>
      <c r="F905" s="126">
        <v>0</v>
      </c>
      <c r="G905" s="126">
        <v>0</v>
      </c>
      <c r="H905" s="126">
        <v>0</v>
      </c>
      <c r="I905" s="126">
        <v>0</v>
      </c>
    </row>
    <row r="906" spans="1:9">
      <c r="A906" s="126">
        <v>1997</v>
      </c>
      <c r="B906" s="126" t="s">
        <v>139</v>
      </c>
      <c r="C906" s="126" t="s">
        <v>26</v>
      </c>
      <c r="D906" s="126" t="s">
        <v>79</v>
      </c>
      <c r="E906" s="126" t="s">
        <v>135</v>
      </c>
      <c r="F906" s="126">
        <v>0</v>
      </c>
      <c r="G906" s="126">
        <v>0</v>
      </c>
      <c r="H906" s="126">
        <v>0</v>
      </c>
      <c r="I906" s="126">
        <v>0</v>
      </c>
    </row>
    <row r="907" spans="1:9">
      <c r="A907" s="126">
        <v>1997</v>
      </c>
      <c r="B907" s="126" t="s">
        <v>139</v>
      </c>
      <c r="C907" s="126" t="s">
        <v>26</v>
      </c>
      <c r="D907" s="126" t="s">
        <v>79</v>
      </c>
      <c r="E907" s="126" t="s">
        <v>136</v>
      </c>
      <c r="F907" s="126">
        <v>0</v>
      </c>
      <c r="G907" s="126">
        <v>0</v>
      </c>
      <c r="H907" s="126">
        <v>0</v>
      </c>
      <c r="I907" s="126">
        <v>0</v>
      </c>
    </row>
    <row r="908" spans="1:9">
      <c r="A908" s="126">
        <v>1997</v>
      </c>
      <c r="B908" s="126" t="s">
        <v>139</v>
      </c>
      <c r="C908" s="126" t="s">
        <v>26</v>
      </c>
      <c r="D908" s="126" t="s">
        <v>76</v>
      </c>
      <c r="E908" s="126" t="s">
        <v>132</v>
      </c>
      <c r="F908" s="126">
        <v>0</v>
      </c>
      <c r="G908" s="126">
        <v>0</v>
      </c>
      <c r="H908" s="126">
        <v>0</v>
      </c>
      <c r="I908" s="126">
        <v>0</v>
      </c>
    </row>
    <row r="909" spans="1:9">
      <c r="A909" s="126">
        <v>1997</v>
      </c>
      <c r="B909" s="126" t="s">
        <v>139</v>
      </c>
      <c r="C909" s="126" t="s">
        <v>26</v>
      </c>
      <c r="D909" s="126" t="s">
        <v>76</v>
      </c>
      <c r="E909" s="126" t="s">
        <v>133</v>
      </c>
      <c r="F909" s="126">
        <v>0</v>
      </c>
      <c r="G909" s="126">
        <v>0</v>
      </c>
      <c r="H909" s="126">
        <v>0</v>
      </c>
      <c r="I909" s="126">
        <v>0</v>
      </c>
    </row>
    <row r="910" spans="1:9">
      <c r="A910" s="126">
        <v>1997</v>
      </c>
      <c r="B910" s="126" t="s">
        <v>139</v>
      </c>
      <c r="C910" s="126" t="s">
        <v>26</v>
      </c>
      <c r="D910" s="126" t="s">
        <v>76</v>
      </c>
      <c r="E910" s="126" t="s">
        <v>134</v>
      </c>
      <c r="F910" s="126">
        <v>0</v>
      </c>
      <c r="G910" s="126">
        <v>0</v>
      </c>
      <c r="H910" s="126">
        <v>0</v>
      </c>
      <c r="I910" s="126">
        <v>0</v>
      </c>
    </row>
    <row r="911" spans="1:9">
      <c r="A911" s="126">
        <v>1997</v>
      </c>
      <c r="B911" s="126" t="s">
        <v>139</v>
      </c>
      <c r="C911" s="126" t="s">
        <v>26</v>
      </c>
      <c r="D911" s="126" t="s">
        <v>76</v>
      </c>
      <c r="E911" s="126" t="s">
        <v>135</v>
      </c>
      <c r="F911" s="126">
        <v>0</v>
      </c>
      <c r="G911" s="126">
        <v>0</v>
      </c>
      <c r="H911" s="126">
        <v>0</v>
      </c>
      <c r="I911" s="126">
        <v>0</v>
      </c>
    </row>
    <row r="912" spans="1:9">
      <c r="A912" s="126">
        <v>1997</v>
      </c>
      <c r="B912" s="126" t="s">
        <v>139</v>
      </c>
      <c r="C912" s="126" t="s">
        <v>26</v>
      </c>
      <c r="D912" s="126" t="s">
        <v>76</v>
      </c>
      <c r="E912" s="126" t="s">
        <v>136</v>
      </c>
      <c r="F912" s="126">
        <v>0</v>
      </c>
      <c r="G912" s="126">
        <v>0</v>
      </c>
      <c r="H912" s="126">
        <v>0</v>
      </c>
      <c r="I912" s="126">
        <v>0</v>
      </c>
    </row>
    <row r="913" spans="1:9">
      <c r="A913" s="126">
        <v>1997</v>
      </c>
      <c r="B913" s="126" t="s">
        <v>139</v>
      </c>
      <c r="C913" s="126" t="s">
        <v>20</v>
      </c>
      <c r="D913" s="126" t="s">
        <v>77</v>
      </c>
      <c r="E913" s="126" t="s">
        <v>132</v>
      </c>
      <c r="F913" s="126">
        <v>0</v>
      </c>
      <c r="G913" s="126">
        <v>0</v>
      </c>
      <c r="H913" s="126">
        <v>0</v>
      </c>
      <c r="I913" s="126">
        <v>0</v>
      </c>
    </row>
    <row r="914" spans="1:9">
      <c r="A914" s="126">
        <v>1997</v>
      </c>
      <c r="B914" s="126" t="s">
        <v>139</v>
      </c>
      <c r="C914" s="126" t="s">
        <v>20</v>
      </c>
      <c r="D914" s="126" t="s">
        <v>77</v>
      </c>
      <c r="E914" s="126" t="s">
        <v>133</v>
      </c>
      <c r="F914" s="126">
        <v>0</v>
      </c>
      <c r="G914" s="126">
        <v>0</v>
      </c>
      <c r="H914" s="126">
        <v>0</v>
      </c>
      <c r="I914" s="126">
        <v>0</v>
      </c>
    </row>
    <row r="915" spans="1:9">
      <c r="A915" s="126">
        <v>1997</v>
      </c>
      <c r="B915" s="126" t="s">
        <v>139</v>
      </c>
      <c r="C915" s="126" t="s">
        <v>20</v>
      </c>
      <c r="D915" s="126" t="s">
        <v>77</v>
      </c>
      <c r="E915" s="126" t="s">
        <v>134</v>
      </c>
      <c r="F915" s="126">
        <v>0</v>
      </c>
      <c r="G915" s="126">
        <v>0</v>
      </c>
      <c r="H915" s="126">
        <v>0</v>
      </c>
      <c r="I915" s="126">
        <v>0</v>
      </c>
    </row>
    <row r="916" spans="1:9">
      <c r="A916" s="126">
        <v>1997</v>
      </c>
      <c r="B916" s="126" t="s">
        <v>139</v>
      </c>
      <c r="C916" s="126" t="s">
        <v>20</v>
      </c>
      <c r="D916" s="126" t="s">
        <v>77</v>
      </c>
      <c r="E916" s="126" t="s">
        <v>135</v>
      </c>
      <c r="F916" s="126">
        <v>0</v>
      </c>
      <c r="G916" s="126">
        <v>0</v>
      </c>
      <c r="H916" s="126">
        <v>0</v>
      </c>
      <c r="I916" s="126">
        <v>0</v>
      </c>
    </row>
    <row r="917" spans="1:9">
      <c r="A917" s="126">
        <v>1997</v>
      </c>
      <c r="B917" s="126" t="s">
        <v>139</v>
      </c>
      <c r="C917" s="126" t="s">
        <v>20</v>
      </c>
      <c r="D917" s="126" t="s">
        <v>79</v>
      </c>
      <c r="E917" s="126" t="s">
        <v>132</v>
      </c>
      <c r="F917" s="126">
        <v>0</v>
      </c>
      <c r="G917" s="126">
        <v>0</v>
      </c>
      <c r="H917" s="126">
        <v>0</v>
      </c>
      <c r="I917" s="126">
        <v>0</v>
      </c>
    </row>
    <row r="918" spans="1:9">
      <c r="A918" s="126">
        <v>1997</v>
      </c>
      <c r="B918" s="126" t="s">
        <v>139</v>
      </c>
      <c r="C918" s="126" t="s">
        <v>20</v>
      </c>
      <c r="D918" s="126" t="s">
        <v>79</v>
      </c>
      <c r="E918" s="126" t="s">
        <v>133</v>
      </c>
      <c r="F918" s="126">
        <v>0</v>
      </c>
      <c r="G918" s="126">
        <v>0</v>
      </c>
      <c r="H918" s="126">
        <v>0</v>
      </c>
      <c r="I918" s="126">
        <v>0</v>
      </c>
    </row>
    <row r="919" spans="1:9">
      <c r="A919" s="126">
        <v>1997</v>
      </c>
      <c r="B919" s="126" t="s">
        <v>139</v>
      </c>
      <c r="C919" s="126" t="s">
        <v>20</v>
      </c>
      <c r="D919" s="126" t="s">
        <v>79</v>
      </c>
      <c r="E919" s="126" t="s">
        <v>134</v>
      </c>
      <c r="F919" s="126">
        <v>0</v>
      </c>
      <c r="G919" s="126">
        <v>0</v>
      </c>
      <c r="H919" s="126">
        <v>0</v>
      </c>
      <c r="I919" s="126">
        <v>0</v>
      </c>
    </row>
    <row r="920" spans="1:9">
      <c r="A920" s="126">
        <v>1997</v>
      </c>
      <c r="B920" s="126" t="s">
        <v>139</v>
      </c>
      <c r="C920" s="126" t="s">
        <v>20</v>
      </c>
      <c r="D920" s="126" t="s">
        <v>79</v>
      </c>
      <c r="E920" s="126" t="s">
        <v>135</v>
      </c>
      <c r="F920" s="126">
        <v>0</v>
      </c>
      <c r="G920" s="126">
        <v>0</v>
      </c>
      <c r="H920" s="126">
        <v>0</v>
      </c>
      <c r="I920" s="126">
        <v>0</v>
      </c>
    </row>
    <row r="921" spans="1:9">
      <c r="A921" s="126">
        <v>1997</v>
      </c>
      <c r="B921" s="126" t="s">
        <v>139</v>
      </c>
      <c r="C921" s="126" t="s">
        <v>20</v>
      </c>
      <c r="D921" s="126" t="s">
        <v>79</v>
      </c>
      <c r="E921" s="126" t="s">
        <v>136</v>
      </c>
      <c r="F921" s="126">
        <v>0</v>
      </c>
      <c r="G921" s="126">
        <v>0</v>
      </c>
      <c r="H921" s="126">
        <v>0</v>
      </c>
      <c r="I921" s="126">
        <v>0</v>
      </c>
    </row>
    <row r="922" spans="1:9">
      <c r="A922" s="126">
        <v>1997</v>
      </c>
      <c r="B922" s="126" t="s">
        <v>139</v>
      </c>
      <c r="C922" s="126" t="s">
        <v>20</v>
      </c>
      <c r="D922" s="126" t="s">
        <v>76</v>
      </c>
      <c r="E922" s="126" t="s">
        <v>132</v>
      </c>
      <c r="F922" s="126">
        <v>0</v>
      </c>
      <c r="G922" s="126">
        <v>0</v>
      </c>
      <c r="H922" s="126">
        <v>0</v>
      </c>
      <c r="I922" s="126">
        <v>0</v>
      </c>
    </row>
    <row r="923" spans="1:9">
      <c r="A923" s="126">
        <v>1997</v>
      </c>
      <c r="B923" s="126" t="s">
        <v>139</v>
      </c>
      <c r="C923" s="126" t="s">
        <v>20</v>
      </c>
      <c r="D923" s="126" t="s">
        <v>76</v>
      </c>
      <c r="E923" s="126" t="s">
        <v>133</v>
      </c>
      <c r="F923" s="126">
        <v>0</v>
      </c>
      <c r="G923" s="126">
        <v>0</v>
      </c>
      <c r="H923" s="126">
        <v>0</v>
      </c>
      <c r="I923" s="126">
        <v>0</v>
      </c>
    </row>
    <row r="924" spans="1:9">
      <c r="A924" s="126">
        <v>1997</v>
      </c>
      <c r="B924" s="126" t="s">
        <v>139</v>
      </c>
      <c r="C924" s="126" t="s">
        <v>20</v>
      </c>
      <c r="D924" s="126" t="s">
        <v>76</v>
      </c>
      <c r="E924" s="126" t="s">
        <v>134</v>
      </c>
      <c r="F924" s="126">
        <v>0</v>
      </c>
      <c r="G924" s="126">
        <v>0</v>
      </c>
      <c r="H924" s="126">
        <v>0</v>
      </c>
      <c r="I924" s="126">
        <v>0</v>
      </c>
    </row>
    <row r="925" spans="1:9">
      <c r="A925" s="126">
        <v>1997</v>
      </c>
      <c r="B925" s="126" t="s">
        <v>139</v>
      </c>
      <c r="C925" s="126" t="s">
        <v>20</v>
      </c>
      <c r="D925" s="126" t="s">
        <v>76</v>
      </c>
      <c r="E925" s="126" t="s">
        <v>135</v>
      </c>
      <c r="F925" s="126">
        <v>0</v>
      </c>
      <c r="G925" s="126">
        <v>0</v>
      </c>
      <c r="H925" s="126">
        <v>0</v>
      </c>
      <c r="I925" s="126">
        <v>0</v>
      </c>
    </row>
    <row r="926" spans="1:9">
      <c r="A926" s="126">
        <v>1997</v>
      </c>
      <c r="B926" s="126" t="s">
        <v>139</v>
      </c>
      <c r="C926" s="126" t="s">
        <v>20</v>
      </c>
      <c r="D926" s="126" t="s">
        <v>76</v>
      </c>
      <c r="E926" s="126" t="s">
        <v>136</v>
      </c>
      <c r="F926" s="126">
        <v>0</v>
      </c>
      <c r="G926" s="126">
        <v>0</v>
      </c>
      <c r="H926" s="126">
        <v>0</v>
      </c>
      <c r="I926" s="126">
        <v>0</v>
      </c>
    </row>
    <row r="927" spans="1:9">
      <c r="A927" s="126">
        <v>1997</v>
      </c>
      <c r="B927" s="126" t="s">
        <v>139</v>
      </c>
      <c r="C927" s="126" t="s">
        <v>27</v>
      </c>
      <c r="D927" s="126" t="s">
        <v>77</v>
      </c>
      <c r="E927" s="126" t="s">
        <v>132</v>
      </c>
      <c r="F927" s="126">
        <v>0</v>
      </c>
      <c r="G927" s="126">
        <v>0</v>
      </c>
      <c r="H927" s="126">
        <v>0</v>
      </c>
      <c r="I927" s="126">
        <v>0</v>
      </c>
    </row>
    <row r="928" spans="1:9">
      <c r="A928" s="126">
        <v>1997</v>
      </c>
      <c r="B928" s="126" t="s">
        <v>139</v>
      </c>
      <c r="C928" s="126" t="s">
        <v>27</v>
      </c>
      <c r="D928" s="126" t="s">
        <v>77</v>
      </c>
      <c r="E928" s="126" t="s">
        <v>133</v>
      </c>
      <c r="F928" s="126">
        <v>0</v>
      </c>
      <c r="G928" s="126">
        <v>0</v>
      </c>
      <c r="H928" s="126">
        <v>0</v>
      </c>
      <c r="I928" s="126">
        <v>0</v>
      </c>
    </row>
    <row r="929" spans="1:9">
      <c r="A929" s="126">
        <v>1997</v>
      </c>
      <c r="B929" s="126" t="s">
        <v>139</v>
      </c>
      <c r="C929" s="126" t="s">
        <v>27</v>
      </c>
      <c r="D929" s="126" t="s">
        <v>77</v>
      </c>
      <c r="E929" s="126" t="s">
        <v>134</v>
      </c>
      <c r="F929" s="126">
        <v>0</v>
      </c>
      <c r="G929" s="126">
        <v>0</v>
      </c>
      <c r="H929" s="126">
        <v>0</v>
      </c>
      <c r="I929" s="126">
        <v>0</v>
      </c>
    </row>
    <row r="930" spans="1:9">
      <c r="A930" s="126">
        <v>1997</v>
      </c>
      <c r="B930" s="126" t="s">
        <v>139</v>
      </c>
      <c r="C930" s="126" t="s">
        <v>27</v>
      </c>
      <c r="D930" s="126" t="s">
        <v>77</v>
      </c>
      <c r="E930" s="126" t="s">
        <v>135</v>
      </c>
      <c r="F930" s="126">
        <v>0</v>
      </c>
      <c r="G930" s="126">
        <v>0</v>
      </c>
      <c r="H930" s="126">
        <v>0</v>
      </c>
      <c r="I930" s="126">
        <v>0</v>
      </c>
    </row>
    <row r="931" spans="1:9">
      <c r="A931" s="126">
        <v>1997</v>
      </c>
      <c r="B931" s="126" t="s">
        <v>139</v>
      </c>
      <c r="C931" s="126" t="s">
        <v>27</v>
      </c>
      <c r="D931" s="126" t="s">
        <v>79</v>
      </c>
      <c r="E931" s="126" t="s">
        <v>132</v>
      </c>
      <c r="F931" s="126">
        <v>0</v>
      </c>
      <c r="G931" s="126">
        <v>0</v>
      </c>
      <c r="H931" s="126">
        <v>0</v>
      </c>
      <c r="I931" s="126">
        <v>0</v>
      </c>
    </row>
    <row r="932" spans="1:9">
      <c r="A932" s="126">
        <v>1997</v>
      </c>
      <c r="B932" s="126" t="s">
        <v>139</v>
      </c>
      <c r="C932" s="126" t="s">
        <v>27</v>
      </c>
      <c r="D932" s="126" t="s">
        <v>79</v>
      </c>
      <c r="E932" s="126" t="s">
        <v>133</v>
      </c>
      <c r="F932" s="126">
        <v>0</v>
      </c>
      <c r="G932" s="126">
        <v>0</v>
      </c>
      <c r="H932" s="126">
        <v>0</v>
      </c>
      <c r="I932" s="126">
        <v>0</v>
      </c>
    </row>
    <row r="933" spans="1:9">
      <c r="A933" s="126">
        <v>1997</v>
      </c>
      <c r="B933" s="126" t="s">
        <v>139</v>
      </c>
      <c r="C933" s="126" t="s">
        <v>27</v>
      </c>
      <c r="D933" s="126" t="s">
        <v>79</v>
      </c>
      <c r="E933" s="126" t="s">
        <v>134</v>
      </c>
      <c r="F933" s="126">
        <v>0</v>
      </c>
      <c r="G933" s="126">
        <v>0</v>
      </c>
      <c r="H933" s="126">
        <v>0</v>
      </c>
      <c r="I933" s="126">
        <v>0</v>
      </c>
    </row>
    <row r="934" spans="1:9">
      <c r="A934" s="126">
        <v>1997</v>
      </c>
      <c r="B934" s="126" t="s">
        <v>139</v>
      </c>
      <c r="C934" s="126" t="s">
        <v>27</v>
      </c>
      <c r="D934" s="126" t="s">
        <v>79</v>
      </c>
      <c r="E934" s="126" t="s">
        <v>135</v>
      </c>
      <c r="F934" s="126">
        <v>0</v>
      </c>
      <c r="G934" s="126">
        <v>0</v>
      </c>
      <c r="H934" s="126">
        <v>0</v>
      </c>
      <c r="I934" s="126">
        <v>0</v>
      </c>
    </row>
    <row r="935" spans="1:9">
      <c r="A935" s="126">
        <v>1997</v>
      </c>
      <c r="B935" s="126" t="s">
        <v>139</v>
      </c>
      <c r="C935" s="126" t="s">
        <v>27</v>
      </c>
      <c r="D935" s="126" t="s">
        <v>79</v>
      </c>
      <c r="E935" s="126" t="s">
        <v>136</v>
      </c>
      <c r="F935" s="126">
        <v>0</v>
      </c>
      <c r="G935" s="126">
        <v>0</v>
      </c>
      <c r="H935" s="126">
        <v>0</v>
      </c>
      <c r="I935" s="126">
        <v>0</v>
      </c>
    </row>
    <row r="936" spans="1:9">
      <c r="A936" s="126">
        <v>1997</v>
      </c>
      <c r="B936" s="126" t="s">
        <v>139</v>
      </c>
      <c r="C936" s="126" t="s">
        <v>27</v>
      </c>
      <c r="D936" s="126" t="s">
        <v>76</v>
      </c>
      <c r="E936" s="126" t="s">
        <v>132</v>
      </c>
      <c r="F936" s="126">
        <v>0</v>
      </c>
      <c r="G936" s="126">
        <v>0</v>
      </c>
      <c r="H936" s="126">
        <v>0</v>
      </c>
      <c r="I936" s="126">
        <v>0</v>
      </c>
    </row>
    <row r="937" spans="1:9">
      <c r="A937" s="126">
        <v>1997</v>
      </c>
      <c r="B937" s="126" t="s">
        <v>139</v>
      </c>
      <c r="C937" s="126" t="s">
        <v>27</v>
      </c>
      <c r="D937" s="126" t="s">
        <v>76</v>
      </c>
      <c r="E937" s="126" t="s">
        <v>133</v>
      </c>
      <c r="F937" s="126">
        <v>0</v>
      </c>
      <c r="G937" s="126">
        <v>0</v>
      </c>
      <c r="H937" s="126">
        <v>0</v>
      </c>
      <c r="I937" s="126">
        <v>0</v>
      </c>
    </row>
    <row r="938" spans="1:9">
      <c r="A938" s="126">
        <v>1997</v>
      </c>
      <c r="B938" s="126" t="s">
        <v>139</v>
      </c>
      <c r="C938" s="126" t="s">
        <v>27</v>
      </c>
      <c r="D938" s="126" t="s">
        <v>76</v>
      </c>
      <c r="E938" s="126" t="s">
        <v>134</v>
      </c>
      <c r="F938" s="126">
        <v>0</v>
      </c>
      <c r="G938" s="126">
        <v>0</v>
      </c>
      <c r="H938" s="126">
        <v>0</v>
      </c>
      <c r="I938" s="126">
        <v>0</v>
      </c>
    </row>
    <row r="939" spans="1:9">
      <c r="A939" s="126">
        <v>1997</v>
      </c>
      <c r="B939" s="126" t="s">
        <v>139</v>
      </c>
      <c r="C939" s="126" t="s">
        <v>27</v>
      </c>
      <c r="D939" s="126" t="s">
        <v>76</v>
      </c>
      <c r="E939" s="126" t="s">
        <v>135</v>
      </c>
      <c r="F939" s="126">
        <v>0</v>
      </c>
      <c r="G939" s="126">
        <v>0</v>
      </c>
      <c r="H939" s="126">
        <v>0</v>
      </c>
      <c r="I939" s="126">
        <v>0</v>
      </c>
    </row>
    <row r="940" spans="1:9">
      <c r="A940" s="126">
        <v>1997</v>
      </c>
      <c r="B940" s="126" t="s">
        <v>139</v>
      </c>
      <c r="C940" s="126" t="s">
        <v>27</v>
      </c>
      <c r="D940" s="126" t="s">
        <v>76</v>
      </c>
      <c r="E940" s="126" t="s">
        <v>136</v>
      </c>
      <c r="F940" s="126">
        <v>0</v>
      </c>
      <c r="G940" s="126">
        <v>0</v>
      </c>
      <c r="H940" s="126">
        <v>0</v>
      </c>
      <c r="I940" s="126">
        <v>0</v>
      </c>
    </row>
    <row r="941" spans="1:9">
      <c r="A941" s="126">
        <v>1997</v>
      </c>
      <c r="B941" s="126" t="s">
        <v>139</v>
      </c>
      <c r="C941" s="126" t="s">
        <v>22</v>
      </c>
      <c r="D941" s="126" t="s">
        <v>77</v>
      </c>
      <c r="E941" s="126" t="s">
        <v>132</v>
      </c>
      <c r="F941" s="126">
        <v>0</v>
      </c>
      <c r="G941" s="126">
        <v>0</v>
      </c>
      <c r="H941" s="126">
        <v>0</v>
      </c>
      <c r="I941" s="126">
        <v>0</v>
      </c>
    </row>
    <row r="942" spans="1:9">
      <c r="A942" s="126">
        <v>1997</v>
      </c>
      <c r="B942" s="126" t="s">
        <v>139</v>
      </c>
      <c r="C942" s="126" t="s">
        <v>22</v>
      </c>
      <c r="D942" s="126" t="s">
        <v>77</v>
      </c>
      <c r="E942" s="126" t="s">
        <v>133</v>
      </c>
      <c r="F942" s="126">
        <v>0</v>
      </c>
      <c r="G942" s="126">
        <v>0</v>
      </c>
      <c r="H942" s="126">
        <v>0</v>
      </c>
      <c r="I942" s="126">
        <v>0</v>
      </c>
    </row>
    <row r="943" spans="1:9">
      <c r="A943" s="126">
        <v>1997</v>
      </c>
      <c r="B943" s="126" t="s">
        <v>139</v>
      </c>
      <c r="C943" s="126" t="s">
        <v>22</v>
      </c>
      <c r="D943" s="126" t="s">
        <v>77</v>
      </c>
      <c r="E943" s="126" t="s">
        <v>134</v>
      </c>
      <c r="F943" s="126">
        <v>0</v>
      </c>
      <c r="G943" s="126">
        <v>0</v>
      </c>
      <c r="H943" s="126">
        <v>0</v>
      </c>
      <c r="I943" s="126">
        <v>0</v>
      </c>
    </row>
    <row r="944" spans="1:9">
      <c r="A944" s="126">
        <v>1997</v>
      </c>
      <c r="B944" s="126" t="s">
        <v>139</v>
      </c>
      <c r="C944" s="126" t="s">
        <v>22</v>
      </c>
      <c r="D944" s="126" t="s">
        <v>77</v>
      </c>
      <c r="E944" s="126" t="s">
        <v>135</v>
      </c>
      <c r="F944" s="126">
        <v>0</v>
      </c>
      <c r="G944" s="126">
        <v>0</v>
      </c>
      <c r="H944" s="126">
        <v>0</v>
      </c>
      <c r="I944" s="126">
        <v>0</v>
      </c>
    </row>
    <row r="945" spans="1:9">
      <c r="A945" s="126">
        <v>1997</v>
      </c>
      <c r="B945" s="126" t="s">
        <v>139</v>
      </c>
      <c r="C945" s="126" t="s">
        <v>22</v>
      </c>
      <c r="D945" s="126" t="s">
        <v>79</v>
      </c>
      <c r="E945" s="126" t="s">
        <v>132</v>
      </c>
      <c r="F945" s="126">
        <v>0</v>
      </c>
      <c r="G945" s="126">
        <v>0</v>
      </c>
      <c r="H945" s="126">
        <v>0</v>
      </c>
      <c r="I945" s="126">
        <v>0</v>
      </c>
    </row>
    <row r="946" spans="1:9">
      <c r="A946" s="126">
        <v>1997</v>
      </c>
      <c r="B946" s="126" t="s">
        <v>139</v>
      </c>
      <c r="C946" s="126" t="s">
        <v>22</v>
      </c>
      <c r="D946" s="126" t="s">
        <v>79</v>
      </c>
      <c r="E946" s="126" t="s">
        <v>133</v>
      </c>
      <c r="F946" s="126">
        <v>0</v>
      </c>
      <c r="G946" s="126">
        <v>0</v>
      </c>
      <c r="H946" s="126">
        <v>0</v>
      </c>
      <c r="I946" s="126">
        <v>0</v>
      </c>
    </row>
    <row r="947" spans="1:9">
      <c r="A947" s="126">
        <v>1997</v>
      </c>
      <c r="B947" s="126" t="s">
        <v>139</v>
      </c>
      <c r="C947" s="126" t="s">
        <v>22</v>
      </c>
      <c r="D947" s="126" t="s">
        <v>79</v>
      </c>
      <c r="E947" s="126" t="s">
        <v>134</v>
      </c>
      <c r="F947" s="126">
        <v>0</v>
      </c>
      <c r="G947" s="126">
        <v>0</v>
      </c>
      <c r="H947" s="126">
        <v>0</v>
      </c>
      <c r="I947" s="126">
        <v>0</v>
      </c>
    </row>
    <row r="948" spans="1:9">
      <c r="A948" s="126">
        <v>1997</v>
      </c>
      <c r="B948" s="126" t="s">
        <v>139</v>
      </c>
      <c r="C948" s="126" t="s">
        <v>22</v>
      </c>
      <c r="D948" s="126" t="s">
        <v>79</v>
      </c>
      <c r="E948" s="126" t="s">
        <v>135</v>
      </c>
      <c r="F948" s="126">
        <v>0</v>
      </c>
      <c r="G948" s="126">
        <v>0</v>
      </c>
      <c r="H948" s="126">
        <v>0</v>
      </c>
      <c r="I948" s="126">
        <v>0</v>
      </c>
    </row>
    <row r="949" spans="1:9">
      <c r="A949" s="126">
        <v>1997</v>
      </c>
      <c r="B949" s="126" t="s">
        <v>139</v>
      </c>
      <c r="C949" s="126" t="s">
        <v>22</v>
      </c>
      <c r="D949" s="126" t="s">
        <v>79</v>
      </c>
      <c r="E949" s="126" t="s">
        <v>136</v>
      </c>
      <c r="F949" s="126">
        <v>0</v>
      </c>
      <c r="G949" s="126">
        <v>0</v>
      </c>
      <c r="H949" s="126">
        <v>0</v>
      </c>
      <c r="I949" s="126">
        <v>0</v>
      </c>
    </row>
    <row r="950" spans="1:9">
      <c r="A950" s="126">
        <v>1997</v>
      </c>
      <c r="B950" s="126" t="s">
        <v>139</v>
      </c>
      <c r="C950" s="126" t="s">
        <v>22</v>
      </c>
      <c r="D950" s="126" t="s">
        <v>76</v>
      </c>
      <c r="E950" s="126" t="s">
        <v>132</v>
      </c>
      <c r="F950" s="126">
        <v>0</v>
      </c>
      <c r="G950" s="126">
        <v>0</v>
      </c>
      <c r="H950" s="126">
        <v>0</v>
      </c>
      <c r="I950" s="126">
        <v>0</v>
      </c>
    </row>
    <row r="951" spans="1:9">
      <c r="A951" s="126">
        <v>1997</v>
      </c>
      <c r="B951" s="126" t="s">
        <v>139</v>
      </c>
      <c r="C951" s="126" t="s">
        <v>22</v>
      </c>
      <c r="D951" s="126" t="s">
        <v>76</v>
      </c>
      <c r="E951" s="126" t="s">
        <v>133</v>
      </c>
      <c r="F951" s="126">
        <v>0</v>
      </c>
      <c r="G951" s="126">
        <v>0</v>
      </c>
      <c r="H951" s="126">
        <v>0</v>
      </c>
      <c r="I951" s="126">
        <v>0</v>
      </c>
    </row>
    <row r="952" spans="1:9">
      <c r="A952" s="126">
        <v>1997</v>
      </c>
      <c r="B952" s="126" t="s">
        <v>139</v>
      </c>
      <c r="C952" s="126" t="s">
        <v>22</v>
      </c>
      <c r="D952" s="126" t="s">
        <v>76</v>
      </c>
      <c r="E952" s="126" t="s">
        <v>134</v>
      </c>
      <c r="F952" s="126">
        <v>0</v>
      </c>
      <c r="G952" s="126">
        <v>0</v>
      </c>
      <c r="H952" s="126">
        <v>0</v>
      </c>
      <c r="I952" s="126">
        <v>0</v>
      </c>
    </row>
    <row r="953" spans="1:9">
      <c r="A953" s="126">
        <v>1997</v>
      </c>
      <c r="B953" s="126" t="s">
        <v>139</v>
      </c>
      <c r="C953" s="126" t="s">
        <v>22</v>
      </c>
      <c r="D953" s="126" t="s">
        <v>76</v>
      </c>
      <c r="E953" s="126" t="s">
        <v>135</v>
      </c>
      <c r="F953" s="126">
        <v>0</v>
      </c>
      <c r="G953" s="126">
        <v>0</v>
      </c>
      <c r="H953" s="126">
        <v>0</v>
      </c>
      <c r="I953" s="126">
        <v>0</v>
      </c>
    </row>
    <row r="954" spans="1:9">
      <c r="A954" s="126">
        <v>1997</v>
      </c>
      <c r="B954" s="126" t="s">
        <v>139</v>
      </c>
      <c r="C954" s="126" t="s">
        <v>22</v>
      </c>
      <c r="D954" s="126" t="s">
        <v>76</v>
      </c>
      <c r="E954" s="126" t="s">
        <v>136</v>
      </c>
      <c r="F954" s="126">
        <v>0</v>
      </c>
      <c r="G954" s="126">
        <v>0</v>
      </c>
      <c r="H954" s="126">
        <v>0</v>
      </c>
      <c r="I954" s="126">
        <v>0</v>
      </c>
    </row>
    <row r="955" spans="1:9">
      <c r="A955" s="126">
        <v>1997</v>
      </c>
      <c r="B955" s="126" t="s">
        <v>139</v>
      </c>
      <c r="C955" s="126" t="s">
        <v>23</v>
      </c>
      <c r="D955" s="126" t="s">
        <v>77</v>
      </c>
      <c r="E955" s="126" t="s">
        <v>132</v>
      </c>
      <c r="F955" s="126">
        <v>0</v>
      </c>
      <c r="G955" s="126">
        <v>0</v>
      </c>
      <c r="H955" s="126">
        <v>0</v>
      </c>
      <c r="I955" s="126">
        <v>0</v>
      </c>
    </row>
    <row r="956" spans="1:9">
      <c r="A956" s="126">
        <v>1997</v>
      </c>
      <c r="B956" s="126" t="s">
        <v>139</v>
      </c>
      <c r="C956" s="126" t="s">
        <v>23</v>
      </c>
      <c r="D956" s="126" t="s">
        <v>77</v>
      </c>
      <c r="E956" s="126" t="s">
        <v>133</v>
      </c>
      <c r="F956" s="126">
        <v>0</v>
      </c>
      <c r="G956" s="126">
        <v>0</v>
      </c>
      <c r="H956" s="126">
        <v>0</v>
      </c>
      <c r="I956" s="126">
        <v>0</v>
      </c>
    </row>
    <row r="957" spans="1:9">
      <c r="A957" s="126">
        <v>1997</v>
      </c>
      <c r="B957" s="126" t="s">
        <v>139</v>
      </c>
      <c r="C957" s="126" t="s">
        <v>23</v>
      </c>
      <c r="D957" s="126" t="s">
        <v>77</v>
      </c>
      <c r="E957" s="126" t="s">
        <v>134</v>
      </c>
      <c r="F957" s="126">
        <v>0</v>
      </c>
      <c r="G957" s="126">
        <v>0</v>
      </c>
      <c r="H957" s="126">
        <v>0</v>
      </c>
      <c r="I957" s="126">
        <v>0</v>
      </c>
    </row>
    <row r="958" spans="1:9">
      <c r="A958" s="126">
        <v>1997</v>
      </c>
      <c r="B958" s="126" t="s">
        <v>139</v>
      </c>
      <c r="C958" s="126" t="s">
        <v>23</v>
      </c>
      <c r="D958" s="126" t="s">
        <v>77</v>
      </c>
      <c r="E958" s="126" t="s">
        <v>135</v>
      </c>
      <c r="F958" s="126">
        <v>0</v>
      </c>
      <c r="G958" s="126">
        <v>0</v>
      </c>
      <c r="H958" s="126">
        <v>0</v>
      </c>
      <c r="I958" s="126">
        <v>0</v>
      </c>
    </row>
    <row r="959" spans="1:9">
      <c r="A959" s="126">
        <v>1997</v>
      </c>
      <c r="B959" s="126" t="s">
        <v>139</v>
      </c>
      <c r="C959" s="126" t="s">
        <v>23</v>
      </c>
      <c r="D959" s="126" t="s">
        <v>79</v>
      </c>
      <c r="E959" s="126" t="s">
        <v>132</v>
      </c>
      <c r="F959" s="126">
        <v>0</v>
      </c>
      <c r="G959" s="126">
        <v>0</v>
      </c>
      <c r="H959" s="126">
        <v>0</v>
      </c>
      <c r="I959" s="126">
        <v>0</v>
      </c>
    </row>
    <row r="960" spans="1:9">
      <c r="A960" s="126">
        <v>1997</v>
      </c>
      <c r="B960" s="126" t="s">
        <v>139</v>
      </c>
      <c r="C960" s="126" t="s">
        <v>23</v>
      </c>
      <c r="D960" s="126" t="s">
        <v>79</v>
      </c>
      <c r="E960" s="126" t="s">
        <v>133</v>
      </c>
      <c r="F960" s="126">
        <v>0</v>
      </c>
      <c r="G960" s="126">
        <v>0</v>
      </c>
      <c r="H960" s="126">
        <v>0</v>
      </c>
      <c r="I960" s="126">
        <v>0</v>
      </c>
    </row>
    <row r="961" spans="1:9">
      <c r="A961" s="126">
        <v>1997</v>
      </c>
      <c r="B961" s="126" t="s">
        <v>139</v>
      </c>
      <c r="C961" s="126" t="s">
        <v>23</v>
      </c>
      <c r="D961" s="126" t="s">
        <v>79</v>
      </c>
      <c r="E961" s="126" t="s">
        <v>134</v>
      </c>
      <c r="F961" s="126">
        <v>0</v>
      </c>
      <c r="G961" s="126">
        <v>0</v>
      </c>
      <c r="H961" s="126">
        <v>0</v>
      </c>
      <c r="I961" s="126">
        <v>0</v>
      </c>
    </row>
    <row r="962" spans="1:9">
      <c r="A962" s="126">
        <v>1997</v>
      </c>
      <c r="B962" s="126" t="s">
        <v>139</v>
      </c>
      <c r="C962" s="126" t="s">
        <v>23</v>
      </c>
      <c r="D962" s="126" t="s">
        <v>79</v>
      </c>
      <c r="E962" s="126" t="s">
        <v>135</v>
      </c>
      <c r="F962" s="126">
        <v>0</v>
      </c>
      <c r="G962" s="126">
        <v>0</v>
      </c>
      <c r="H962" s="126">
        <v>0</v>
      </c>
      <c r="I962" s="126">
        <v>0</v>
      </c>
    </row>
    <row r="963" spans="1:9">
      <c r="A963" s="126">
        <v>1997</v>
      </c>
      <c r="B963" s="126" t="s">
        <v>139</v>
      </c>
      <c r="C963" s="126" t="s">
        <v>23</v>
      </c>
      <c r="D963" s="126" t="s">
        <v>79</v>
      </c>
      <c r="E963" s="126" t="s">
        <v>136</v>
      </c>
      <c r="F963" s="126">
        <v>0</v>
      </c>
      <c r="G963" s="126">
        <v>0</v>
      </c>
      <c r="H963" s="126">
        <v>0</v>
      </c>
      <c r="I963" s="126">
        <v>0</v>
      </c>
    </row>
    <row r="964" spans="1:9">
      <c r="A964" s="126">
        <v>1997</v>
      </c>
      <c r="B964" s="126" t="s">
        <v>139</v>
      </c>
      <c r="C964" s="126" t="s">
        <v>23</v>
      </c>
      <c r="D964" s="126" t="s">
        <v>76</v>
      </c>
      <c r="E964" s="126" t="s">
        <v>132</v>
      </c>
      <c r="F964" s="126">
        <v>0</v>
      </c>
      <c r="G964" s="126">
        <v>0</v>
      </c>
      <c r="H964" s="126">
        <v>0</v>
      </c>
      <c r="I964" s="126">
        <v>0</v>
      </c>
    </row>
    <row r="965" spans="1:9">
      <c r="A965" s="126">
        <v>1997</v>
      </c>
      <c r="B965" s="126" t="s">
        <v>139</v>
      </c>
      <c r="C965" s="126" t="s">
        <v>23</v>
      </c>
      <c r="D965" s="126" t="s">
        <v>76</v>
      </c>
      <c r="E965" s="126" t="s">
        <v>133</v>
      </c>
      <c r="F965" s="126">
        <v>0</v>
      </c>
      <c r="G965" s="126">
        <v>0</v>
      </c>
      <c r="H965" s="126">
        <v>0</v>
      </c>
      <c r="I965" s="126">
        <v>0</v>
      </c>
    </row>
    <row r="966" spans="1:9">
      <c r="A966" s="126">
        <v>1997</v>
      </c>
      <c r="B966" s="126" t="s">
        <v>139</v>
      </c>
      <c r="C966" s="126" t="s">
        <v>23</v>
      </c>
      <c r="D966" s="126" t="s">
        <v>76</v>
      </c>
      <c r="E966" s="126" t="s">
        <v>134</v>
      </c>
      <c r="F966" s="126">
        <v>0</v>
      </c>
      <c r="G966" s="126">
        <v>0</v>
      </c>
      <c r="H966" s="126">
        <v>0</v>
      </c>
      <c r="I966" s="126">
        <v>0</v>
      </c>
    </row>
    <row r="967" spans="1:9">
      <c r="A967" s="126">
        <v>1997</v>
      </c>
      <c r="B967" s="126" t="s">
        <v>139</v>
      </c>
      <c r="C967" s="126" t="s">
        <v>23</v>
      </c>
      <c r="D967" s="126" t="s">
        <v>76</v>
      </c>
      <c r="E967" s="126" t="s">
        <v>135</v>
      </c>
      <c r="F967" s="126">
        <v>0</v>
      </c>
      <c r="G967" s="126">
        <v>0</v>
      </c>
      <c r="H967" s="126">
        <v>0</v>
      </c>
      <c r="I967" s="126">
        <v>0</v>
      </c>
    </row>
    <row r="968" spans="1:9">
      <c r="A968" s="126">
        <v>1997</v>
      </c>
      <c r="B968" s="126" t="s">
        <v>139</v>
      </c>
      <c r="C968" s="126" t="s">
        <v>23</v>
      </c>
      <c r="D968" s="126" t="s">
        <v>76</v>
      </c>
      <c r="E968" s="126" t="s">
        <v>136</v>
      </c>
      <c r="F968" s="126">
        <v>0</v>
      </c>
      <c r="G968" s="126">
        <v>0</v>
      </c>
      <c r="H968" s="126">
        <v>0</v>
      </c>
      <c r="I968" s="126">
        <v>0</v>
      </c>
    </row>
    <row r="969" spans="1:9">
      <c r="A969" s="126">
        <v>1997</v>
      </c>
      <c r="B969" s="126" t="s">
        <v>139</v>
      </c>
      <c r="C969" s="126" t="s">
        <v>25</v>
      </c>
      <c r="D969" s="126" t="s">
        <v>77</v>
      </c>
      <c r="E969" s="126" t="s">
        <v>132</v>
      </c>
      <c r="F969" s="126">
        <v>0</v>
      </c>
      <c r="G969" s="126">
        <v>0</v>
      </c>
      <c r="H969" s="126">
        <v>0</v>
      </c>
      <c r="I969" s="126">
        <v>0</v>
      </c>
    </row>
    <row r="970" spans="1:9">
      <c r="A970" s="126">
        <v>1997</v>
      </c>
      <c r="B970" s="126" t="s">
        <v>139</v>
      </c>
      <c r="C970" s="126" t="s">
        <v>25</v>
      </c>
      <c r="D970" s="126" t="s">
        <v>77</v>
      </c>
      <c r="E970" s="126" t="s">
        <v>133</v>
      </c>
      <c r="F970" s="126">
        <v>0</v>
      </c>
      <c r="G970" s="126">
        <v>0</v>
      </c>
      <c r="H970" s="126">
        <v>0</v>
      </c>
      <c r="I970" s="126">
        <v>0</v>
      </c>
    </row>
    <row r="971" spans="1:9">
      <c r="A971" s="126">
        <v>1997</v>
      </c>
      <c r="B971" s="126" t="s">
        <v>139</v>
      </c>
      <c r="C971" s="126" t="s">
        <v>25</v>
      </c>
      <c r="D971" s="126" t="s">
        <v>77</v>
      </c>
      <c r="E971" s="126" t="s">
        <v>134</v>
      </c>
      <c r="F971" s="126">
        <v>0</v>
      </c>
      <c r="G971" s="126">
        <v>0</v>
      </c>
      <c r="H971" s="126">
        <v>0</v>
      </c>
      <c r="I971" s="126">
        <v>0</v>
      </c>
    </row>
    <row r="972" spans="1:9">
      <c r="A972" s="126">
        <v>1997</v>
      </c>
      <c r="B972" s="126" t="s">
        <v>139</v>
      </c>
      <c r="C972" s="126" t="s">
        <v>25</v>
      </c>
      <c r="D972" s="126" t="s">
        <v>77</v>
      </c>
      <c r="E972" s="126" t="s">
        <v>135</v>
      </c>
      <c r="F972" s="126">
        <v>0</v>
      </c>
      <c r="G972" s="126">
        <v>0</v>
      </c>
      <c r="H972" s="126">
        <v>0</v>
      </c>
      <c r="I972" s="126">
        <v>0</v>
      </c>
    </row>
    <row r="973" spans="1:9">
      <c r="A973" s="126">
        <v>1997</v>
      </c>
      <c r="B973" s="126" t="s">
        <v>139</v>
      </c>
      <c r="C973" s="126" t="s">
        <v>25</v>
      </c>
      <c r="D973" s="126" t="s">
        <v>79</v>
      </c>
      <c r="E973" s="126" t="s">
        <v>132</v>
      </c>
      <c r="F973" s="126">
        <v>0</v>
      </c>
      <c r="G973" s="126">
        <v>0</v>
      </c>
      <c r="H973" s="126">
        <v>0</v>
      </c>
      <c r="I973" s="126">
        <v>0</v>
      </c>
    </row>
    <row r="974" spans="1:9">
      <c r="A974" s="126">
        <v>1997</v>
      </c>
      <c r="B974" s="126" t="s">
        <v>139</v>
      </c>
      <c r="C974" s="126" t="s">
        <v>25</v>
      </c>
      <c r="D974" s="126" t="s">
        <v>79</v>
      </c>
      <c r="E974" s="126" t="s">
        <v>133</v>
      </c>
      <c r="F974" s="126">
        <v>0</v>
      </c>
      <c r="G974" s="126">
        <v>0</v>
      </c>
      <c r="H974" s="126">
        <v>0</v>
      </c>
      <c r="I974" s="126">
        <v>0</v>
      </c>
    </row>
    <row r="975" spans="1:9">
      <c r="A975" s="126">
        <v>1997</v>
      </c>
      <c r="B975" s="126" t="s">
        <v>139</v>
      </c>
      <c r="C975" s="126" t="s">
        <v>25</v>
      </c>
      <c r="D975" s="126" t="s">
        <v>79</v>
      </c>
      <c r="E975" s="126" t="s">
        <v>134</v>
      </c>
      <c r="F975" s="126">
        <v>0</v>
      </c>
      <c r="G975" s="126">
        <v>0</v>
      </c>
      <c r="H975" s="126">
        <v>0</v>
      </c>
      <c r="I975" s="126">
        <v>0</v>
      </c>
    </row>
    <row r="976" spans="1:9">
      <c r="A976" s="126">
        <v>1997</v>
      </c>
      <c r="B976" s="126" t="s">
        <v>139</v>
      </c>
      <c r="C976" s="126" t="s">
        <v>25</v>
      </c>
      <c r="D976" s="126" t="s">
        <v>79</v>
      </c>
      <c r="E976" s="126" t="s">
        <v>135</v>
      </c>
      <c r="F976" s="126">
        <v>0</v>
      </c>
      <c r="G976" s="126">
        <v>0</v>
      </c>
      <c r="H976" s="126">
        <v>0</v>
      </c>
      <c r="I976" s="126">
        <v>0</v>
      </c>
    </row>
    <row r="977" spans="1:9">
      <c r="A977" s="126">
        <v>1997</v>
      </c>
      <c r="B977" s="126" t="s">
        <v>139</v>
      </c>
      <c r="C977" s="126" t="s">
        <v>25</v>
      </c>
      <c r="D977" s="126" t="s">
        <v>79</v>
      </c>
      <c r="E977" s="126" t="s">
        <v>136</v>
      </c>
      <c r="F977" s="126">
        <v>0</v>
      </c>
      <c r="G977" s="126">
        <v>0</v>
      </c>
      <c r="H977" s="126">
        <v>0</v>
      </c>
      <c r="I977" s="126">
        <v>0</v>
      </c>
    </row>
    <row r="978" spans="1:9">
      <c r="A978" s="126">
        <v>1997</v>
      </c>
      <c r="B978" s="126" t="s">
        <v>139</v>
      </c>
      <c r="C978" s="126" t="s">
        <v>25</v>
      </c>
      <c r="D978" s="126" t="s">
        <v>76</v>
      </c>
      <c r="E978" s="126" t="s">
        <v>132</v>
      </c>
      <c r="F978" s="126">
        <v>0</v>
      </c>
      <c r="G978" s="126">
        <v>0</v>
      </c>
      <c r="H978" s="126">
        <v>0</v>
      </c>
      <c r="I978" s="126">
        <v>0</v>
      </c>
    </row>
    <row r="979" spans="1:9">
      <c r="A979" s="126">
        <v>1997</v>
      </c>
      <c r="B979" s="126" t="s">
        <v>139</v>
      </c>
      <c r="C979" s="126" t="s">
        <v>25</v>
      </c>
      <c r="D979" s="126" t="s">
        <v>76</v>
      </c>
      <c r="E979" s="126" t="s">
        <v>133</v>
      </c>
      <c r="F979" s="126">
        <v>0</v>
      </c>
      <c r="G979" s="126">
        <v>0</v>
      </c>
      <c r="H979" s="126">
        <v>0</v>
      </c>
      <c r="I979" s="126">
        <v>0</v>
      </c>
    </row>
    <row r="980" spans="1:9">
      <c r="A980" s="126">
        <v>1997</v>
      </c>
      <c r="B980" s="126" t="s">
        <v>139</v>
      </c>
      <c r="C980" s="126" t="s">
        <v>25</v>
      </c>
      <c r="D980" s="126" t="s">
        <v>76</v>
      </c>
      <c r="E980" s="126" t="s">
        <v>134</v>
      </c>
      <c r="F980" s="126">
        <v>0</v>
      </c>
      <c r="G980" s="126">
        <v>0</v>
      </c>
      <c r="H980" s="126">
        <v>0</v>
      </c>
      <c r="I980" s="126">
        <v>0</v>
      </c>
    </row>
    <row r="981" spans="1:9">
      <c r="A981" s="126">
        <v>1997</v>
      </c>
      <c r="B981" s="126" t="s">
        <v>139</v>
      </c>
      <c r="C981" s="126" t="s">
        <v>25</v>
      </c>
      <c r="D981" s="126" t="s">
        <v>76</v>
      </c>
      <c r="E981" s="126" t="s">
        <v>135</v>
      </c>
      <c r="F981" s="126">
        <v>0</v>
      </c>
      <c r="G981" s="126">
        <v>0</v>
      </c>
      <c r="H981" s="126">
        <v>0</v>
      </c>
      <c r="I981" s="126">
        <v>0</v>
      </c>
    </row>
    <row r="982" spans="1:9">
      <c r="A982" s="126">
        <v>1997</v>
      </c>
      <c r="B982" s="126" t="s">
        <v>139</v>
      </c>
      <c r="C982" s="126" t="s">
        <v>25</v>
      </c>
      <c r="D982" s="126" t="s">
        <v>76</v>
      </c>
      <c r="E982" s="126" t="s">
        <v>136</v>
      </c>
      <c r="F982" s="126">
        <v>0</v>
      </c>
      <c r="G982" s="126">
        <v>0</v>
      </c>
      <c r="H982" s="126">
        <v>0</v>
      </c>
      <c r="I982" s="126">
        <v>0</v>
      </c>
    </row>
    <row r="983" spans="1:9">
      <c r="A983" s="126">
        <v>1997</v>
      </c>
      <c r="B983" s="126" t="s">
        <v>139</v>
      </c>
      <c r="C983" s="126" t="s">
        <v>21</v>
      </c>
      <c r="D983" s="126" t="s">
        <v>77</v>
      </c>
      <c r="E983" s="126" t="s">
        <v>132</v>
      </c>
      <c r="F983" s="126">
        <v>0</v>
      </c>
      <c r="G983" s="126">
        <v>0</v>
      </c>
      <c r="H983" s="126">
        <v>0</v>
      </c>
      <c r="I983" s="126">
        <v>0</v>
      </c>
    </row>
    <row r="984" spans="1:9">
      <c r="A984" s="126">
        <v>1997</v>
      </c>
      <c r="B984" s="126" t="s">
        <v>139</v>
      </c>
      <c r="C984" s="126" t="s">
        <v>21</v>
      </c>
      <c r="D984" s="126" t="s">
        <v>77</v>
      </c>
      <c r="E984" s="126" t="s">
        <v>133</v>
      </c>
      <c r="F984" s="126">
        <v>0</v>
      </c>
      <c r="G984" s="126">
        <v>0</v>
      </c>
      <c r="H984" s="126">
        <v>0</v>
      </c>
      <c r="I984" s="126">
        <v>0</v>
      </c>
    </row>
    <row r="985" spans="1:9">
      <c r="A985" s="126">
        <v>1997</v>
      </c>
      <c r="B985" s="126" t="s">
        <v>139</v>
      </c>
      <c r="C985" s="126" t="s">
        <v>21</v>
      </c>
      <c r="D985" s="126" t="s">
        <v>77</v>
      </c>
      <c r="E985" s="126" t="s">
        <v>134</v>
      </c>
      <c r="F985" s="126">
        <v>0</v>
      </c>
      <c r="G985" s="126">
        <v>0</v>
      </c>
      <c r="H985" s="126">
        <v>0</v>
      </c>
      <c r="I985" s="126">
        <v>0</v>
      </c>
    </row>
    <row r="986" spans="1:9">
      <c r="A986" s="126">
        <v>1997</v>
      </c>
      <c r="B986" s="126" t="s">
        <v>139</v>
      </c>
      <c r="C986" s="126" t="s">
        <v>21</v>
      </c>
      <c r="D986" s="126" t="s">
        <v>77</v>
      </c>
      <c r="E986" s="126" t="s">
        <v>135</v>
      </c>
      <c r="F986" s="126">
        <v>0</v>
      </c>
      <c r="G986" s="126">
        <v>0</v>
      </c>
      <c r="H986" s="126">
        <v>0</v>
      </c>
      <c r="I986" s="126">
        <v>0</v>
      </c>
    </row>
    <row r="987" spans="1:9">
      <c r="A987" s="126">
        <v>1997</v>
      </c>
      <c r="B987" s="126" t="s">
        <v>139</v>
      </c>
      <c r="C987" s="126" t="s">
        <v>21</v>
      </c>
      <c r="D987" s="126" t="s">
        <v>79</v>
      </c>
      <c r="E987" s="126" t="s">
        <v>132</v>
      </c>
      <c r="F987" s="126">
        <v>0</v>
      </c>
      <c r="G987" s="126">
        <v>0</v>
      </c>
      <c r="H987" s="126">
        <v>0</v>
      </c>
      <c r="I987" s="126">
        <v>0</v>
      </c>
    </row>
    <row r="988" spans="1:9">
      <c r="A988" s="126">
        <v>1997</v>
      </c>
      <c r="B988" s="126" t="s">
        <v>139</v>
      </c>
      <c r="C988" s="126" t="s">
        <v>21</v>
      </c>
      <c r="D988" s="126" t="s">
        <v>79</v>
      </c>
      <c r="E988" s="126" t="s">
        <v>133</v>
      </c>
      <c r="F988" s="126">
        <v>0</v>
      </c>
      <c r="G988" s="126">
        <v>0</v>
      </c>
      <c r="H988" s="126">
        <v>0</v>
      </c>
      <c r="I988" s="126">
        <v>0</v>
      </c>
    </row>
    <row r="989" spans="1:9">
      <c r="A989" s="126">
        <v>1997</v>
      </c>
      <c r="B989" s="126" t="s">
        <v>139</v>
      </c>
      <c r="C989" s="126" t="s">
        <v>21</v>
      </c>
      <c r="D989" s="126" t="s">
        <v>79</v>
      </c>
      <c r="E989" s="126" t="s">
        <v>134</v>
      </c>
      <c r="F989" s="126">
        <v>0</v>
      </c>
      <c r="G989" s="126">
        <v>0</v>
      </c>
      <c r="H989" s="126">
        <v>0</v>
      </c>
      <c r="I989" s="126">
        <v>0</v>
      </c>
    </row>
    <row r="990" spans="1:9">
      <c r="A990" s="126">
        <v>1997</v>
      </c>
      <c r="B990" s="126" t="s">
        <v>139</v>
      </c>
      <c r="C990" s="126" t="s">
        <v>21</v>
      </c>
      <c r="D990" s="126" t="s">
        <v>79</v>
      </c>
      <c r="E990" s="126" t="s">
        <v>135</v>
      </c>
      <c r="F990" s="126">
        <v>0</v>
      </c>
      <c r="G990" s="126">
        <v>0</v>
      </c>
      <c r="H990" s="126">
        <v>0</v>
      </c>
      <c r="I990" s="126">
        <v>0</v>
      </c>
    </row>
    <row r="991" spans="1:9">
      <c r="A991" s="126">
        <v>1997</v>
      </c>
      <c r="B991" s="126" t="s">
        <v>139</v>
      </c>
      <c r="C991" s="126" t="s">
        <v>21</v>
      </c>
      <c r="D991" s="126" t="s">
        <v>79</v>
      </c>
      <c r="E991" s="126" t="s">
        <v>136</v>
      </c>
      <c r="F991" s="126">
        <v>0</v>
      </c>
      <c r="G991" s="126">
        <v>0</v>
      </c>
      <c r="H991" s="126">
        <v>0</v>
      </c>
      <c r="I991" s="126">
        <v>0</v>
      </c>
    </row>
    <row r="992" spans="1:9">
      <c r="A992" s="126">
        <v>1997</v>
      </c>
      <c r="B992" s="126" t="s">
        <v>139</v>
      </c>
      <c r="C992" s="126" t="s">
        <v>21</v>
      </c>
      <c r="D992" s="126" t="s">
        <v>76</v>
      </c>
      <c r="E992" s="126" t="s">
        <v>132</v>
      </c>
      <c r="F992" s="126">
        <v>0</v>
      </c>
      <c r="G992" s="126">
        <v>0</v>
      </c>
      <c r="H992" s="126">
        <v>0</v>
      </c>
      <c r="I992" s="126">
        <v>0</v>
      </c>
    </row>
    <row r="993" spans="1:9">
      <c r="A993" s="126">
        <v>1997</v>
      </c>
      <c r="B993" s="126" t="s">
        <v>139</v>
      </c>
      <c r="C993" s="126" t="s">
        <v>21</v>
      </c>
      <c r="D993" s="126" t="s">
        <v>76</v>
      </c>
      <c r="E993" s="126" t="s">
        <v>133</v>
      </c>
      <c r="F993" s="126">
        <v>0</v>
      </c>
      <c r="G993" s="126">
        <v>0</v>
      </c>
      <c r="H993" s="126">
        <v>0</v>
      </c>
      <c r="I993" s="126">
        <v>0</v>
      </c>
    </row>
    <row r="994" spans="1:9">
      <c r="A994" s="126">
        <v>1997</v>
      </c>
      <c r="B994" s="126" t="s">
        <v>139</v>
      </c>
      <c r="C994" s="126" t="s">
        <v>21</v>
      </c>
      <c r="D994" s="126" t="s">
        <v>76</v>
      </c>
      <c r="E994" s="126" t="s">
        <v>134</v>
      </c>
      <c r="F994" s="126">
        <v>0</v>
      </c>
      <c r="G994" s="126">
        <v>0</v>
      </c>
      <c r="H994" s="126">
        <v>0</v>
      </c>
      <c r="I994" s="126">
        <v>0</v>
      </c>
    </row>
    <row r="995" spans="1:9">
      <c r="A995" s="126">
        <v>1997</v>
      </c>
      <c r="B995" s="126" t="s">
        <v>139</v>
      </c>
      <c r="C995" s="126" t="s">
        <v>21</v>
      </c>
      <c r="D995" s="126" t="s">
        <v>76</v>
      </c>
      <c r="E995" s="126" t="s">
        <v>135</v>
      </c>
      <c r="F995" s="126">
        <v>0</v>
      </c>
      <c r="G995" s="126">
        <v>0</v>
      </c>
      <c r="H995" s="126">
        <v>0</v>
      </c>
      <c r="I995" s="126">
        <v>0</v>
      </c>
    </row>
    <row r="996" spans="1:9">
      <c r="A996" s="126">
        <v>1997</v>
      </c>
      <c r="B996" s="126" t="s">
        <v>139</v>
      </c>
      <c r="C996" s="126" t="s">
        <v>21</v>
      </c>
      <c r="D996" s="126" t="s">
        <v>76</v>
      </c>
      <c r="E996" s="126" t="s">
        <v>136</v>
      </c>
      <c r="F996" s="126">
        <v>0</v>
      </c>
      <c r="G996" s="126">
        <v>0</v>
      </c>
      <c r="H996" s="126">
        <v>0</v>
      </c>
      <c r="I996" s="126">
        <v>0</v>
      </c>
    </row>
    <row r="997" spans="1:9">
      <c r="A997" s="126">
        <v>1997</v>
      </c>
      <c r="B997" s="126" t="s">
        <v>139</v>
      </c>
      <c r="C997" s="126" t="s">
        <v>24</v>
      </c>
      <c r="D997" s="126" t="s">
        <v>77</v>
      </c>
      <c r="E997" s="126" t="s">
        <v>132</v>
      </c>
      <c r="F997" s="126">
        <v>0</v>
      </c>
      <c r="G997" s="126">
        <v>0</v>
      </c>
      <c r="H997" s="126">
        <v>0</v>
      </c>
      <c r="I997" s="126">
        <v>0</v>
      </c>
    </row>
    <row r="998" spans="1:9">
      <c r="A998" s="126">
        <v>1997</v>
      </c>
      <c r="B998" s="126" t="s">
        <v>139</v>
      </c>
      <c r="C998" s="126" t="s">
        <v>24</v>
      </c>
      <c r="D998" s="126" t="s">
        <v>77</v>
      </c>
      <c r="E998" s="126" t="s">
        <v>133</v>
      </c>
      <c r="F998" s="126">
        <v>0</v>
      </c>
      <c r="G998" s="126">
        <v>0</v>
      </c>
      <c r="H998" s="126">
        <v>0</v>
      </c>
      <c r="I998" s="126">
        <v>0</v>
      </c>
    </row>
    <row r="999" spans="1:9">
      <c r="A999" s="126">
        <v>1997</v>
      </c>
      <c r="B999" s="126" t="s">
        <v>139</v>
      </c>
      <c r="C999" s="126" t="s">
        <v>24</v>
      </c>
      <c r="D999" s="126" t="s">
        <v>77</v>
      </c>
      <c r="E999" s="126" t="s">
        <v>134</v>
      </c>
      <c r="F999" s="126">
        <v>0</v>
      </c>
      <c r="G999" s="126">
        <v>0</v>
      </c>
      <c r="H999" s="126">
        <v>0</v>
      </c>
      <c r="I999" s="126">
        <v>0</v>
      </c>
    </row>
    <row r="1000" spans="1:9">
      <c r="A1000" s="126">
        <v>1997</v>
      </c>
      <c r="B1000" s="126" t="s">
        <v>139</v>
      </c>
      <c r="C1000" s="126" t="s">
        <v>24</v>
      </c>
      <c r="D1000" s="126" t="s">
        <v>77</v>
      </c>
      <c r="E1000" s="126" t="s">
        <v>135</v>
      </c>
      <c r="F1000" s="126">
        <v>0</v>
      </c>
      <c r="G1000" s="126">
        <v>0</v>
      </c>
      <c r="H1000" s="126">
        <v>0</v>
      </c>
      <c r="I1000" s="126">
        <v>0</v>
      </c>
    </row>
    <row r="1001" spans="1:9">
      <c r="A1001" s="126">
        <v>1997</v>
      </c>
      <c r="B1001" s="126" t="s">
        <v>139</v>
      </c>
      <c r="C1001" s="126" t="s">
        <v>24</v>
      </c>
      <c r="D1001" s="126" t="s">
        <v>79</v>
      </c>
      <c r="E1001" s="126" t="s">
        <v>132</v>
      </c>
      <c r="F1001" s="126">
        <v>0</v>
      </c>
      <c r="G1001" s="126">
        <v>0</v>
      </c>
      <c r="H1001" s="126">
        <v>0</v>
      </c>
      <c r="I1001" s="126">
        <v>0</v>
      </c>
    </row>
    <row r="1002" spans="1:9">
      <c r="A1002" s="126">
        <v>1997</v>
      </c>
      <c r="B1002" s="126" t="s">
        <v>139</v>
      </c>
      <c r="C1002" s="126" t="s">
        <v>24</v>
      </c>
      <c r="D1002" s="126" t="s">
        <v>79</v>
      </c>
      <c r="E1002" s="126" t="s">
        <v>133</v>
      </c>
      <c r="F1002" s="126">
        <v>0</v>
      </c>
      <c r="G1002" s="126">
        <v>0</v>
      </c>
      <c r="H1002" s="126">
        <v>0</v>
      </c>
      <c r="I1002" s="126">
        <v>0</v>
      </c>
    </row>
    <row r="1003" spans="1:9">
      <c r="A1003" s="126">
        <v>1997</v>
      </c>
      <c r="B1003" s="126" t="s">
        <v>139</v>
      </c>
      <c r="C1003" s="126" t="s">
        <v>24</v>
      </c>
      <c r="D1003" s="126" t="s">
        <v>79</v>
      </c>
      <c r="E1003" s="126" t="s">
        <v>134</v>
      </c>
      <c r="F1003" s="126">
        <v>0</v>
      </c>
      <c r="G1003" s="126">
        <v>0</v>
      </c>
      <c r="H1003" s="126">
        <v>0</v>
      </c>
      <c r="I1003" s="126">
        <v>0</v>
      </c>
    </row>
    <row r="1004" spans="1:9">
      <c r="A1004" s="126">
        <v>1997</v>
      </c>
      <c r="B1004" s="126" t="s">
        <v>139</v>
      </c>
      <c r="C1004" s="126" t="s">
        <v>24</v>
      </c>
      <c r="D1004" s="126" t="s">
        <v>79</v>
      </c>
      <c r="E1004" s="126" t="s">
        <v>135</v>
      </c>
      <c r="F1004" s="126">
        <v>0</v>
      </c>
      <c r="G1004" s="126">
        <v>0</v>
      </c>
      <c r="H1004" s="126">
        <v>0</v>
      </c>
      <c r="I1004" s="126">
        <v>0</v>
      </c>
    </row>
    <row r="1005" spans="1:9">
      <c r="A1005" s="126">
        <v>1997</v>
      </c>
      <c r="B1005" s="126" t="s">
        <v>139</v>
      </c>
      <c r="C1005" s="126" t="s">
        <v>24</v>
      </c>
      <c r="D1005" s="126" t="s">
        <v>79</v>
      </c>
      <c r="E1005" s="126" t="s">
        <v>136</v>
      </c>
      <c r="F1005" s="126">
        <v>0</v>
      </c>
      <c r="G1005" s="126">
        <v>0</v>
      </c>
      <c r="H1005" s="126">
        <v>0</v>
      </c>
      <c r="I1005" s="126">
        <v>0</v>
      </c>
    </row>
    <row r="1006" spans="1:9">
      <c r="A1006" s="126">
        <v>1997</v>
      </c>
      <c r="B1006" s="126" t="s">
        <v>139</v>
      </c>
      <c r="C1006" s="126" t="s">
        <v>24</v>
      </c>
      <c r="D1006" s="126" t="s">
        <v>76</v>
      </c>
      <c r="E1006" s="126" t="s">
        <v>132</v>
      </c>
      <c r="F1006" s="126">
        <v>0</v>
      </c>
      <c r="G1006" s="126">
        <v>0</v>
      </c>
      <c r="H1006" s="126">
        <v>0</v>
      </c>
      <c r="I1006" s="126">
        <v>0</v>
      </c>
    </row>
    <row r="1007" spans="1:9">
      <c r="A1007" s="126">
        <v>1997</v>
      </c>
      <c r="B1007" s="126" t="s">
        <v>139</v>
      </c>
      <c r="C1007" s="126" t="s">
        <v>24</v>
      </c>
      <c r="D1007" s="126" t="s">
        <v>76</v>
      </c>
      <c r="E1007" s="126" t="s">
        <v>133</v>
      </c>
      <c r="F1007" s="126">
        <v>0</v>
      </c>
      <c r="G1007" s="126">
        <v>0</v>
      </c>
      <c r="H1007" s="126">
        <v>0</v>
      </c>
      <c r="I1007" s="126">
        <v>0</v>
      </c>
    </row>
    <row r="1008" spans="1:9">
      <c r="A1008" s="126">
        <v>1997</v>
      </c>
      <c r="B1008" s="126" t="s">
        <v>139</v>
      </c>
      <c r="C1008" s="126" t="s">
        <v>24</v>
      </c>
      <c r="D1008" s="126" t="s">
        <v>76</v>
      </c>
      <c r="E1008" s="126" t="s">
        <v>134</v>
      </c>
      <c r="F1008" s="126">
        <v>0</v>
      </c>
      <c r="G1008" s="126">
        <v>0</v>
      </c>
      <c r="H1008" s="126">
        <v>0</v>
      </c>
      <c r="I1008" s="126">
        <v>0</v>
      </c>
    </row>
    <row r="1009" spans="1:9">
      <c r="A1009" s="126">
        <v>1997</v>
      </c>
      <c r="B1009" s="126" t="s">
        <v>139</v>
      </c>
      <c r="C1009" s="126" t="s">
        <v>24</v>
      </c>
      <c r="D1009" s="126" t="s">
        <v>76</v>
      </c>
      <c r="E1009" s="126" t="s">
        <v>135</v>
      </c>
      <c r="F1009" s="126">
        <v>0</v>
      </c>
      <c r="G1009" s="126">
        <v>0</v>
      </c>
      <c r="H1009" s="126">
        <v>0</v>
      </c>
      <c r="I1009" s="126">
        <v>0</v>
      </c>
    </row>
    <row r="1010" spans="1:9">
      <c r="A1010" s="126">
        <v>1997</v>
      </c>
      <c r="B1010" s="126" t="s">
        <v>139</v>
      </c>
      <c r="C1010" s="126" t="s">
        <v>24</v>
      </c>
      <c r="D1010" s="126" t="s">
        <v>76</v>
      </c>
      <c r="E1010" s="126" t="s">
        <v>136</v>
      </c>
      <c r="F1010" s="126">
        <v>0</v>
      </c>
      <c r="G1010" s="126">
        <v>0</v>
      </c>
      <c r="H1010" s="126">
        <v>0</v>
      </c>
      <c r="I1010" s="126">
        <v>0</v>
      </c>
    </row>
    <row r="1011" spans="1:9">
      <c r="A1011" s="126">
        <v>1997</v>
      </c>
      <c r="B1011" s="126" t="s">
        <v>137</v>
      </c>
      <c r="C1011" s="126" t="s">
        <v>26</v>
      </c>
      <c r="D1011" s="126" t="s">
        <v>77</v>
      </c>
      <c r="E1011" s="126" t="s">
        <v>132</v>
      </c>
      <c r="F1011" s="126">
        <v>0</v>
      </c>
      <c r="G1011" s="126">
        <v>0</v>
      </c>
      <c r="H1011" s="126">
        <v>0</v>
      </c>
      <c r="I1011" s="126">
        <v>0</v>
      </c>
    </row>
    <row r="1012" spans="1:9">
      <c r="A1012" s="126">
        <v>1997</v>
      </c>
      <c r="B1012" s="126" t="s">
        <v>137</v>
      </c>
      <c r="C1012" s="126" t="s">
        <v>26</v>
      </c>
      <c r="D1012" s="126" t="s">
        <v>77</v>
      </c>
      <c r="E1012" s="126" t="s">
        <v>133</v>
      </c>
      <c r="F1012" s="126">
        <v>0</v>
      </c>
      <c r="G1012" s="126">
        <v>0</v>
      </c>
      <c r="H1012" s="126">
        <v>0</v>
      </c>
      <c r="I1012" s="126">
        <v>0</v>
      </c>
    </row>
    <row r="1013" spans="1:9">
      <c r="A1013" s="126">
        <v>1997</v>
      </c>
      <c r="B1013" s="126" t="s">
        <v>137</v>
      </c>
      <c r="C1013" s="126" t="s">
        <v>26</v>
      </c>
      <c r="D1013" s="126" t="s">
        <v>77</v>
      </c>
      <c r="E1013" s="126" t="s">
        <v>134</v>
      </c>
      <c r="F1013" s="126">
        <v>0</v>
      </c>
      <c r="G1013" s="126">
        <v>0</v>
      </c>
      <c r="H1013" s="126">
        <v>0</v>
      </c>
      <c r="I1013" s="126">
        <v>0</v>
      </c>
    </row>
    <row r="1014" spans="1:9">
      <c r="A1014" s="126">
        <v>1997</v>
      </c>
      <c r="B1014" s="126" t="s">
        <v>137</v>
      </c>
      <c r="C1014" s="126" t="s">
        <v>26</v>
      </c>
      <c r="D1014" s="126" t="s">
        <v>77</v>
      </c>
      <c r="E1014" s="126" t="s">
        <v>135</v>
      </c>
      <c r="F1014" s="126">
        <v>0</v>
      </c>
      <c r="G1014" s="126">
        <v>0</v>
      </c>
      <c r="H1014" s="126">
        <v>0</v>
      </c>
      <c r="I1014" s="126">
        <v>0</v>
      </c>
    </row>
    <row r="1015" spans="1:9">
      <c r="A1015" s="126">
        <v>1997</v>
      </c>
      <c r="B1015" s="126" t="s">
        <v>137</v>
      </c>
      <c r="C1015" s="126" t="s">
        <v>26</v>
      </c>
      <c r="D1015" s="126" t="s">
        <v>79</v>
      </c>
      <c r="E1015" s="126" t="s">
        <v>132</v>
      </c>
      <c r="F1015" s="126">
        <v>0</v>
      </c>
      <c r="G1015" s="126">
        <v>0</v>
      </c>
      <c r="H1015" s="126">
        <v>0</v>
      </c>
      <c r="I1015" s="126">
        <v>0</v>
      </c>
    </row>
    <row r="1016" spans="1:9">
      <c r="A1016" s="126">
        <v>1997</v>
      </c>
      <c r="B1016" s="126" t="s">
        <v>137</v>
      </c>
      <c r="C1016" s="126" t="s">
        <v>26</v>
      </c>
      <c r="D1016" s="126" t="s">
        <v>79</v>
      </c>
      <c r="E1016" s="126" t="s">
        <v>133</v>
      </c>
      <c r="F1016" s="126">
        <v>0</v>
      </c>
      <c r="G1016" s="126">
        <v>0</v>
      </c>
      <c r="H1016" s="126">
        <v>0</v>
      </c>
      <c r="I1016" s="126">
        <v>0</v>
      </c>
    </row>
    <row r="1017" spans="1:9">
      <c r="A1017" s="126">
        <v>1997</v>
      </c>
      <c r="B1017" s="126" t="s">
        <v>137</v>
      </c>
      <c r="C1017" s="126" t="s">
        <v>26</v>
      </c>
      <c r="D1017" s="126" t="s">
        <v>79</v>
      </c>
      <c r="E1017" s="126" t="s">
        <v>134</v>
      </c>
      <c r="F1017" s="126">
        <v>0</v>
      </c>
      <c r="G1017" s="126">
        <v>0</v>
      </c>
      <c r="H1017" s="126">
        <v>0</v>
      </c>
      <c r="I1017" s="126">
        <v>0</v>
      </c>
    </row>
    <row r="1018" spans="1:9">
      <c r="A1018" s="126">
        <v>1997</v>
      </c>
      <c r="B1018" s="126" t="s">
        <v>137</v>
      </c>
      <c r="C1018" s="126" t="s">
        <v>26</v>
      </c>
      <c r="D1018" s="126" t="s">
        <v>79</v>
      </c>
      <c r="E1018" s="126" t="s">
        <v>135</v>
      </c>
      <c r="F1018" s="126">
        <v>0</v>
      </c>
      <c r="G1018" s="126">
        <v>0</v>
      </c>
      <c r="H1018" s="126">
        <v>0</v>
      </c>
      <c r="I1018" s="126">
        <v>0</v>
      </c>
    </row>
    <row r="1019" spans="1:9">
      <c r="A1019" s="126">
        <v>1997</v>
      </c>
      <c r="B1019" s="126" t="s">
        <v>137</v>
      </c>
      <c r="C1019" s="126" t="s">
        <v>26</v>
      </c>
      <c r="D1019" s="126" t="s">
        <v>79</v>
      </c>
      <c r="E1019" s="126" t="s">
        <v>136</v>
      </c>
      <c r="F1019" s="126">
        <v>0</v>
      </c>
      <c r="G1019" s="126">
        <v>0</v>
      </c>
      <c r="H1019" s="126">
        <v>0</v>
      </c>
      <c r="I1019" s="126">
        <v>0</v>
      </c>
    </row>
    <row r="1020" spans="1:9">
      <c r="A1020" s="126">
        <v>1997</v>
      </c>
      <c r="B1020" s="126" t="s">
        <v>137</v>
      </c>
      <c r="C1020" s="126" t="s">
        <v>26</v>
      </c>
      <c r="D1020" s="126" t="s">
        <v>76</v>
      </c>
      <c r="E1020" s="126" t="s">
        <v>132</v>
      </c>
      <c r="F1020" s="126">
        <v>0</v>
      </c>
      <c r="G1020" s="126">
        <v>0</v>
      </c>
      <c r="H1020" s="126">
        <v>0</v>
      </c>
      <c r="I1020" s="126">
        <v>0</v>
      </c>
    </row>
    <row r="1021" spans="1:9">
      <c r="A1021" s="126">
        <v>1997</v>
      </c>
      <c r="B1021" s="126" t="s">
        <v>137</v>
      </c>
      <c r="C1021" s="126" t="s">
        <v>26</v>
      </c>
      <c r="D1021" s="126" t="s">
        <v>76</v>
      </c>
      <c r="E1021" s="126" t="s">
        <v>133</v>
      </c>
      <c r="F1021" s="126">
        <v>0</v>
      </c>
      <c r="G1021" s="126">
        <v>0</v>
      </c>
      <c r="H1021" s="126">
        <v>0</v>
      </c>
      <c r="I1021" s="126">
        <v>0</v>
      </c>
    </row>
    <row r="1022" spans="1:9">
      <c r="A1022" s="126">
        <v>1997</v>
      </c>
      <c r="B1022" s="126" t="s">
        <v>137</v>
      </c>
      <c r="C1022" s="126" t="s">
        <v>26</v>
      </c>
      <c r="D1022" s="126" t="s">
        <v>76</v>
      </c>
      <c r="E1022" s="126" t="s">
        <v>134</v>
      </c>
      <c r="F1022" s="126">
        <v>0</v>
      </c>
      <c r="G1022" s="126">
        <v>0</v>
      </c>
      <c r="H1022" s="126">
        <v>0</v>
      </c>
      <c r="I1022" s="126">
        <v>0</v>
      </c>
    </row>
    <row r="1023" spans="1:9">
      <c r="A1023" s="126">
        <v>1997</v>
      </c>
      <c r="B1023" s="126" t="s">
        <v>137</v>
      </c>
      <c r="C1023" s="126" t="s">
        <v>26</v>
      </c>
      <c r="D1023" s="126" t="s">
        <v>76</v>
      </c>
      <c r="E1023" s="126" t="s">
        <v>135</v>
      </c>
      <c r="F1023" s="126">
        <v>0</v>
      </c>
      <c r="G1023" s="126">
        <v>0</v>
      </c>
      <c r="H1023" s="126">
        <v>0</v>
      </c>
      <c r="I1023" s="126">
        <v>0</v>
      </c>
    </row>
    <row r="1024" spans="1:9">
      <c r="A1024" s="126">
        <v>1997</v>
      </c>
      <c r="B1024" s="126" t="s">
        <v>137</v>
      </c>
      <c r="C1024" s="126" t="s">
        <v>26</v>
      </c>
      <c r="D1024" s="126" t="s">
        <v>76</v>
      </c>
      <c r="E1024" s="126" t="s">
        <v>136</v>
      </c>
      <c r="F1024" s="126">
        <v>0</v>
      </c>
      <c r="G1024" s="126">
        <v>0</v>
      </c>
      <c r="H1024" s="126">
        <v>0</v>
      </c>
      <c r="I1024" s="126">
        <v>0</v>
      </c>
    </row>
    <row r="1025" spans="1:9">
      <c r="A1025" s="126">
        <v>1997</v>
      </c>
      <c r="B1025" s="126" t="s">
        <v>137</v>
      </c>
      <c r="C1025" s="126" t="s">
        <v>20</v>
      </c>
      <c r="D1025" s="126" t="s">
        <v>77</v>
      </c>
      <c r="E1025" s="126" t="s">
        <v>132</v>
      </c>
      <c r="F1025" s="126">
        <v>0</v>
      </c>
      <c r="G1025" s="126">
        <v>0</v>
      </c>
      <c r="H1025" s="126">
        <v>0</v>
      </c>
      <c r="I1025" s="126">
        <v>0</v>
      </c>
    </row>
    <row r="1026" spans="1:9">
      <c r="A1026" s="126">
        <v>1997</v>
      </c>
      <c r="B1026" s="126" t="s">
        <v>137</v>
      </c>
      <c r="C1026" s="126" t="s">
        <v>20</v>
      </c>
      <c r="D1026" s="126" t="s">
        <v>77</v>
      </c>
      <c r="E1026" s="126" t="s">
        <v>133</v>
      </c>
      <c r="F1026" s="126">
        <v>0</v>
      </c>
      <c r="G1026" s="126">
        <v>0</v>
      </c>
      <c r="H1026" s="126">
        <v>0</v>
      </c>
      <c r="I1026" s="126">
        <v>0</v>
      </c>
    </row>
    <row r="1027" spans="1:9">
      <c r="A1027" s="126">
        <v>1997</v>
      </c>
      <c r="B1027" s="126" t="s">
        <v>137</v>
      </c>
      <c r="C1027" s="126" t="s">
        <v>20</v>
      </c>
      <c r="D1027" s="126" t="s">
        <v>77</v>
      </c>
      <c r="E1027" s="126" t="s">
        <v>134</v>
      </c>
      <c r="F1027" s="126">
        <v>0</v>
      </c>
      <c r="G1027" s="126">
        <v>0</v>
      </c>
      <c r="H1027" s="126">
        <v>0</v>
      </c>
      <c r="I1027" s="126">
        <v>0</v>
      </c>
    </row>
    <row r="1028" spans="1:9">
      <c r="A1028" s="126">
        <v>1997</v>
      </c>
      <c r="B1028" s="126" t="s">
        <v>137</v>
      </c>
      <c r="C1028" s="126" t="s">
        <v>20</v>
      </c>
      <c r="D1028" s="126" t="s">
        <v>77</v>
      </c>
      <c r="E1028" s="126" t="s">
        <v>135</v>
      </c>
      <c r="F1028" s="126">
        <v>0</v>
      </c>
      <c r="G1028" s="126">
        <v>0</v>
      </c>
      <c r="H1028" s="126">
        <v>0</v>
      </c>
      <c r="I1028" s="126">
        <v>0</v>
      </c>
    </row>
    <row r="1029" spans="1:9">
      <c r="A1029" s="126">
        <v>1997</v>
      </c>
      <c r="B1029" s="126" t="s">
        <v>137</v>
      </c>
      <c r="C1029" s="126" t="s">
        <v>20</v>
      </c>
      <c r="D1029" s="126" t="s">
        <v>79</v>
      </c>
      <c r="E1029" s="126" t="s">
        <v>132</v>
      </c>
      <c r="F1029" s="126">
        <v>0</v>
      </c>
      <c r="G1029" s="126">
        <v>0</v>
      </c>
      <c r="H1029" s="126">
        <v>0</v>
      </c>
      <c r="I1029" s="126">
        <v>0</v>
      </c>
    </row>
    <row r="1030" spans="1:9">
      <c r="A1030" s="126">
        <v>1997</v>
      </c>
      <c r="B1030" s="126" t="s">
        <v>137</v>
      </c>
      <c r="C1030" s="126" t="s">
        <v>20</v>
      </c>
      <c r="D1030" s="126" t="s">
        <v>79</v>
      </c>
      <c r="E1030" s="126" t="s">
        <v>133</v>
      </c>
      <c r="F1030" s="126">
        <v>0</v>
      </c>
      <c r="G1030" s="126">
        <v>0</v>
      </c>
      <c r="H1030" s="126">
        <v>0</v>
      </c>
      <c r="I1030" s="126">
        <v>0</v>
      </c>
    </row>
    <row r="1031" spans="1:9">
      <c r="A1031" s="126">
        <v>1997</v>
      </c>
      <c r="B1031" s="126" t="s">
        <v>137</v>
      </c>
      <c r="C1031" s="126" t="s">
        <v>20</v>
      </c>
      <c r="D1031" s="126" t="s">
        <v>79</v>
      </c>
      <c r="E1031" s="126" t="s">
        <v>134</v>
      </c>
      <c r="F1031" s="126">
        <v>0</v>
      </c>
      <c r="G1031" s="126">
        <v>0</v>
      </c>
      <c r="H1031" s="126">
        <v>0</v>
      </c>
      <c r="I1031" s="126">
        <v>0</v>
      </c>
    </row>
    <row r="1032" spans="1:9">
      <c r="A1032" s="126">
        <v>1997</v>
      </c>
      <c r="B1032" s="126" t="s">
        <v>137</v>
      </c>
      <c r="C1032" s="126" t="s">
        <v>20</v>
      </c>
      <c r="D1032" s="126" t="s">
        <v>79</v>
      </c>
      <c r="E1032" s="126" t="s">
        <v>135</v>
      </c>
      <c r="F1032" s="126">
        <v>0</v>
      </c>
      <c r="G1032" s="126">
        <v>0</v>
      </c>
      <c r="H1032" s="126">
        <v>0</v>
      </c>
      <c r="I1032" s="126">
        <v>0</v>
      </c>
    </row>
    <row r="1033" spans="1:9">
      <c r="A1033" s="126">
        <v>1997</v>
      </c>
      <c r="B1033" s="126" t="s">
        <v>137</v>
      </c>
      <c r="C1033" s="126" t="s">
        <v>20</v>
      </c>
      <c r="D1033" s="126" t="s">
        <v>79</v>
      </c>
      <c r="E1033" s="126" t="s">
        <v>136</v>
      </c>
      <c r="F1033" s="126">
        <v>0</v>
      </c>
      <c r="G1033" s="126">
        <v>0</v>
      </c>
      <c r="H1033" s="126">
        <v>0</v>
      </c>
      <c r="I1033" s="126">
        <v>0</v>
      </c>
    </row>
    <row r="1034" spans="1:9">
      <c r="A1034" s="126">
        <v>1997</v>
      </c>
      <c r="B1034" s="126" t="s">
        <v>137</v>
      </c>
      <c r="C1034" s="126" t="s">
        <v>20</v>
      </c>
      <c r="D1034" s="126" t="s">
        <v>76</v>
      </c>
      <c r="E1034" s="126" t="s">
        <v>132</v>
      </c>
      <c r="F1034" s="126">
        <v>0</v>
      </c>
      <c r="G1034" s="126">
        <v>0</v>
      </c>
      <c r="H1034" s="126">
        <v>0</v>
      </c>
      <c r="I1034" s="126">
        <v>0</v>
      </c>
    </row>
    <row r="1035" spans="1:9">
      <c r="A1035" s="126">
        <v>1997</v>
      </c>
      <c r="B1035" s="126" t="s">
        <v>137</v>
      </c>
      <c r="C1035" s="126" t="s">
        <v>20</v>
      </c>
      <c r="D1035" s="126" t="s">
        <v>76</v>
      </c>
      <c r="E1035" s="126" t="s">
        <v>133</v>
      </c>
      <c r="F1035" s="126">
        <v>0</v>
      </c>
      <c r="G1035" s="126">
        <v>0</v>
      </c>
      <c r="H1035" s="126">
        <v>0</v>
      </c>
      <c r="I1035" s="126">
        <v>0</v>
      </c>
    </row>
    <row r="1036" spans="1:9">
      <c r="A1036" s="126">
        <v>1997</v>
      </c>
      <c r="B1036" s="126" t="s">
        <v>137</v>
      </c>
      <c r="C1036" s="126" t="s">
        <v>20</v>
      </c>
      <c r="D1036" s="126" t="s">
        <v>76</v>
      </c>
      <c r="E1036" s="126" t="s">
        <v>134</v>
      </c>
      <c r="F1036" s="126">
        <v>0</v>
      </c>
      <c r="G1036" s="126">
        <v>0</v>
      </c>
      <c r="H1036" s="126">
        <v>0</v>
      </c>
      <c r="I1036" s="126">
        <v>0</v>
      </c>
    </row>
    <row r="1037" spans="1:9">
      <c r="A1037" s="126">
        <v>1997</v>
      </c>
      <c r="B1037" s="126" t="s">
        <v>137</v>
      </c>
      <c r="C1037" s="126" t="s">
        <v>20</v>
      </c>
      <c r="D1037" s="126" t="s">
        <v>76</v>
      </c>
      <c r="E1037" s="126" t="s">
        <v>135</v>
      </c>
      <c r="F1037" s="126">
        <v>0</v>
      </c>
      <c r="G1037" s="126">
        <v>0</v>
      </c>
      <c r="H1037" s="126">
        <v>0</v>
      </c>
      <c r="I1037" s="126">
        <v>0</v>
      </c>
    </row>
    <row r="1038" spans="1:9">
      <c r="A1038" s="126">
        <v>1997</v>
      </c>
      <c r="B1038" s="126" t="s">
        <v>137</v>
      </c>
      <c r="C1038" s="126" t="s">
        <v>20</v>
      </c>
      <c r="D1038" s="126" t="s">
        <v>76</v>
      </c>
      <c r="E1038" s="126" t="s">
        <v>136</v>
      </c>
      <c r="F1038" s="126">
        <v>0</v>
      </c>
      <c r="G1038" s="126">
        <v>0</v>
      </c>
      <c r="H1038" s="126">
        <v>0</v>
      </c>
      <c r="I1038" s="126">
        <v>0</v>
      </c>
    </row>
    <row r="1039" spans="1:9">
      <c r="A1039" s="126">
        <v>1997</v>
      </c>
      <c r="B1039" s="126" t="s">
        <v>137</v>
      </c>
      <c r="C1039" s="126" t="s">
        <v>27</v>
      </c>
      <c r="D1039" s="126" t="s">
        <v>77</v>
      </c>
      <c r="E1039" s="126" t="s">
        <v>132</v>
      </c>
      <c r="F1039" s="126">
        <v>0</v>
      </c>
      <c r="G1039" s="126">
        <v>0</v>
      </c>
      <c r="H1039" s="126">
        <v>0</v>
      </c>
      <c r="I1039" s="126">
        <v>0</v>
      </c>
    </row>
    <row r="1040" spans="1:9">
      <c r="A1040" s="126">
        <v>1997</v>
      </c>
      <c r="B1040" s="126" t="s">
        <v>137</v>
      </c>
      <c r="C1040" s="126" t="s">
        <v>27</v>
      </c>
      <c r="D1040" s="126" t="s">
        <v>77</v>
      </c>
      <c r="E1040" s="126" t="s">
        <v>133</v>
      </c>
      <c r="F1040" s="126">
        <v>0</v>
      </c>
      <c r="G1040" s="126">
        <v>0</v>
      </c>
      <c r="H1040" s="126">
        <v>0</v>
      </c>
      <c r="I1040" s="126">
        <v>0</v>
      </c>
    </row>
    <row r="1041" spans="1:9">
      <c r="A1041" s="126">
        <v>1997</v>
      </c>
      <c r="B1041" s="126" t="s">
        <v>137</v>
      </c>
      <c r="C1041" s="126" t="s">
        <v>27</v>
      </c>
      <c r="D1041" s="126" t="s">
        <v>77</v>
      </c>
      <c r="E1041" s="126" t="s">
        <v>134</v>
      </c>
      <c r="F1041" s="126">
        <v>0</v>
      </c>
      <c r="G1041" s="126">
        <v>0</v>
      </c>
      <c r="H1041" s="126">
        <v>0</v>
      </c>
      <c r="I1041" s="126">
        <v>0</v>
      </c>
    </row>
    <row r="1042" spans="1:9">
      <c r="A1042" s="126">
        <v>1997</v>
      </c>
      <c r="B1042" s="126" t="s">
        <v>137</v>
      </c>
      <c r="C1042" s="126" t="s">
        <v>27</v>
      </c>
      <c r="D1042" s="126" t="s">
        <v>77</v>
      </c>
      <c r="E1042" s="126" t="s">
        <v>135</v>
      </c>
      <c r="F1042" s="126">
        <v>0</v>
      </c>
      <c r="G1042" s="126">
        <v>0</v>
      </c>
      <c r="H1042" s="126">
        <v>0</v>
      </c>
      <c r="I1042" s="126">
        <v>0</v>
      </c>
    </row>
    <row r="1043" spans="1:9">
      <c r="A1043" s="126">
        <v>1997</v>
      </c>
      <c r="B1043" s="126" t="s">
        <v>137</v>
      </c>
      <c r="C1043" s="126" t="s">
        <v>27</v>
      </c>
      <c r="D1043" s="126" t="s">
        <v>79</v>
      </c>
      <c r="E1043" s="126" t="s">
        <v>132</v>
      </c>
      <c r="F1043" s="126">
        <v>0</v>
      </c>
      <c r="G1043" s="126">
        <v>0</v>
      </c>
      <c r="H1043" s="126">
        <v>0</v>
      </c>
      <c r="I1043" s="126">
        <v>0</v>
      </c>
    </row>
    <row r="1044" spans="1:9">
      <c r="A1044" s="126">
        <v>1997</v>
      </c>
      <c r="B1044" s="126" t="s">
        <v>137</v>
      </c>
      <c r="C1044" s="126" t="s">
        <v>27</v>
      </c>
      <c r="D1044" s="126" t="s">
        <v>79</v>
      </c>
      <c r="E1044" s="126" t="s">
        <v>133</v>
      </c>
      <c r="F1044" s="126">
        <v>0</v>
      </c>
      <c r="G1044" s="126">
        <v>0</v>
      </c>
      <c r="H1044" s="126">
        <v>0</v>
      </c>
      <c r="I1044" s="126">
        <v>0</v>
      </c>
    </row>
    <row r="1045" spans="1:9">
      <c r="A1045" s="126">
        <v>1997</v>
      </c>
      <c r="B1045" s="126" t="s">
        <v>137</v>
      </c>
      <c r="C1045" s="126" t="s">
        <v>27</v>
      </c>
      <c r="D1045" s="126" t="s">
        <v>79</v>
      </c>
      <c r="E1045" s="126" t="s">
        <v>134</v>
      </c>
      <c r="F1045" s="126">
        <v>0</v>
      </c>
      <c r="G1045" s="126">
        <v>0</v>
      </c>
      <c r="H1045" s="126">
        <v>0</v>
      </c>
      <c r="I1045" s="126">
        <v>0</v>
      </c>
    </row>
    <row r="1046" spans="1:9">
      <c r="A1046" s="126">
        <v>1997</v>
      </c>
      <c r="B1046" s="126" t="s">
        <v>137</v>
      </c>
      <c r="C1046" s="126" t="s">
        <v>27</v>
      </c>
      <c r="D1046" s="126" t="s">
        <v>79</v>
      </c>
      <c r="E1046" s="126" t="s">
        <v>135</v>
      </c>
      <c r="F1046" s="126">
        <v>0</v>
      </c>
      <c r="G1046" s="126">
        <v>0</v>
      </c>
      <c r="H1046" s="126">
        <v>0</v>
      </c>
      <c r="I1046" s="126">
        <v>0</v>
      </c>
    </row>
    <row r="1047" spans="1:9">
      <c r="A1047" s="126">
        <v>1997</v>
      </c>
      <c r="B1047" s="126" t="s">
        <v>137</v>
      </c>
      <c r="C1047" s="126" t="s">
        <v>27</v>
      </c>
      <c r="D1047" s="126" t="s">
        <v>79</v>
      </c>
      <c r="E1047" s="126" t="s">
        <v>136</v>
      </c>
      <c r="F1047" s="126">
        <v>0</v>
      </c>
      <c r="G1047" s="126">
        <v>0</v>
      </c>
      <c r="H1047" s="126">
        <v>0</v>
      </c>
      <c r="I1047" s="126">
        <v>0</v>
      </c>
    </row>
    <row r="1048" spans="1:9">
      <c r="A1048" s="126">
        <v>1997</v>
      </c>
      <c r="B1048" s="126" t="s">
        <v>137</v>
      </c>
      <c r="C1048" s="126" t="s">
        <v>27</v>
      </c>
      <c r="D1048" s="126" t="s">
        <v>76</v>
      </c>
      <c r="E1048" s="126" t="s">
        <v>132</v>
      </c>
      <c r="F1048" s="126">
        <v>0</v>
      </c>
      <c r="G1048" s="126">
        <v>0</v>
      </c>
      <c r="H1048" s="126">
        <v>0</v>
      </c>
      <c r="I1048" s="126">
        <v>0</v>
      </c>
    </row>
    <row r="1049" spans="1:9">
      <c r="A1049" s="126">
        <v>1997</v>
      </c>
      <c r="B1049" s="126" t="s">
        <v>137</v>
      </c>
      <c r="C1049" s="126" t="s">
        <v>27</v>
      </c>
      <c r="D1049" s="126" t="s">
        <v>76</v>
      </c>
      <c r="E1049" s="126" t="s">
        <v>133</v>
      </c>
      <c r="F1049" s="126">
        <v>0</v>
      </c>
      <c r="G1049" s="126">
        <v>0</v>
      </c>
      <c r="H1049" s="126">
        <v>0</v>
      </c>
      <c r="I1049" s="126">
        <v>0</v>
      </c>
    </row>
    <row r="1050" spans="1:9">
      <c r="A1050" s="126">
        <v>1997</v>
      </c>
      <c r="B1050" s="126" t="s">
        <v>137</v>
      </c>
      <c r="C1050" s="126" t="s">
        <v>27</v>
      </c>
      <c r="D1050" s="126" t="s">
        <v>76</v>
      </c>
      <c r="E1050" s="126" t="s">
        <v>134</v>
      </c>
      <c r="F1050" s="126">
        <v>0</v>
      </c>
      <c r="G1050" s="126">
        <v>0</v>
      </c>
      <c r="H1050" s="126">
        <v>0</v>
      </c>
      <c r="I1050" s="126">
        <v>0</v>
      </c>
    </row>
    <row r="1051" spans="1:9">
      <c r="A1051" s="126">
        <v>1997</v>
      </c>
      <c r="B1051" s="126" t="s">
        <v>137</v>
      </c>
      <c r="C1051" s="126" t="s">
        <v>27</v>
      </c>
      <c r="D1051" s="126" t="s">
        <v>76</v>
      </c>
      <c r="E1051" s="126" t="s">
        <v>135</v>
      </c>
      <c r="F1051" s="126">
        <v>0</v>
      </c>
      <c r="G1051" s="126">
        <v>0</v>
      </c>
      <c r="H1051" s="126">
        <v>0</v>
      </c>
      <c r="I1051" s="126">
        <v>0</v>
      </c>
    </row>
    <row r="1052" spans="1:9">
      <c r="A1052" s="126">
        <v>1997</v>
      </c>
      <c r="B1052" s="126" t="s">
        <v>137</v>
      </c>
      <c r="C1052" s="126" t="s">
        <v>27</v>
      </c>
      <c r="D1052" s="126" t="s">
        <v>76</v>
      </c>
      <c r="E1052" s="126" t="s">
        <v>136</v>
      </c>
      <c r="F1052" s="126">
        <v>0</v>
      </c>
      <c r="G1052" s="126">
        <v>0</v>
      </c>
      <c r="H1052" s="126">
        <v>0</v>
      </c>
      <c r="I1052" s="126">
        <v>0</v>
      </c>
    </row>
    <row r="1053" spans="1:9">
      <c r="A1053" s="126">
        <v>1997</v>
      </c>
      <c r="B1053" s="126" t="s">
        <v>137</v>
      </c>
      <c r="C1053" s="126" t="s">
        <v>22</v>
      </c>
      <c r="D1053" s="126" t="s">
        <v>77</v>
      </c>
      <c r="E1053" s="126" t="s">
        <v>132</v>
      </c>
      <c r="F1053" s="126">
        <v>0</v>
      </c>
      <c r="G1053" s="126">
        <v>0</v>
      </c>
      <c r="H1053" s="126">
        <v>0</v>
      </c>
      <c r="I1053" s="126">
        <v>0</v>
      </c>
    </row>
    <row r="1054" spans="1:9">
      <c r="A1054" s="126">
        <v>1997</v>
      </c>
      <c r="B1054" s="126" t="s">
        <v>137</v>
      </c>
      <c r="C1054" s="126" t="s">
        <v>22</v>
      </c>
      <c r="D1054" s="126" t="s">
        <v>77</v>
      </c>
      <c r="E1054" s="126" t="s">
        <v>133</v>
      </c>
      <c r="F1054" s="126">
        <v>0</v>
      </c>
      <c r="G1054" s="126">
        <v>0</v>
      </c>
      <c r="H1054" s="126">
        <v>0</v>
      </c>
      <c r="I1054" s="126">
        <v>0</v>
      </c>
    </row>
    <row r="1055" spans="1:9">
      <c r="A1055" s="126">
        <v>1997</v>
      </c>
      <c r="B1055" s="126" t="s">
        <v>137</v>
      </c>
      <c r="C1055" s="126" t="s">
        <v>22</v>
      </c>
      <c r="D1055" s="126" t="s">
        <v>77</v>
      </c>
      <c r="E1055" s="126" t="s">
        <v>134</v>
      </c>
      <c r="F1055" s="126">
        <v>0</v>
      </c>
      <c r="G1055" s="126">
        <v>0</v>
      </c>
      <c r="H1055" s="126">
        <v>0</v>
      </c>
      <c r="I1055" s="126">
        <v>0</v>
      </c>
    </row>
    <row r="1056" spans="1:9">
      <c r="A1056" s="126">
        <v>1997</v>
      </c>
      <c r="B1056" s="126" t="s">
        <v>137</v>
      </c>
      <c r="C1056" s="126" t="s">
        <v>22</v>
      </c>
      <c r="D1056" s="126" t="s">
        <v>77</v>
      </c>
      <c r="E1056" s="126" t="s">
        <v>135</v>
      </c>
      <c r="F1056" s="126">
        <v>0</v>
      </c>
      <c r="G1056" s="126">
        <v>0</v>
      </c>
      <c r="H1056" s="126">
        <v>0</v>
      </c>
      <c r="I1056" s="126">
        <v>0</v>
      </c>
    </row>
    <row r="1057" spans="1:9">
      <c r="A1057" s="126">
        <v>1997</v>
      </c>
      <c r="B1057" s="126" t="s">
        <v>137</v>
      </c>
      <c r="C1057" s="126" t="s">
        <v>22</v>
      </c>
      <c r="D1057" s="126" t="s">
        <v>79</v>
      </c>
      <c r="E1057" s="126" t="s">
        <v>132</v>
      </c>
      <c r="F1057" s="126">
        <v>0</v>
      </c>
      <c r="G1057" s="126">
        <v>0</v>
      </c>
      <c r="H1057" s="126">
        <v>0</v>
      </c>
      <c r="I1057" s="126">
        <v>0</v>
      </c>
    </row>
    <row r="1058" spans="1:9">
      <c r="A1058" s="126">
        <v>1997</v>
      </c>
      <c r="B1058" s="126" t="s">
        <v>137</v>
      </c>
      <c r="C1058" s="126" t="s">
        <v>22</v>
      </c>
      <c r="D1058" s="126" t="s">
        <v>79</v>
      </c>
      <c r="E1058" s="126" t="s">
        <v>133</v>
      </c>
      <c r="F1058" s="126">
        <v>0</v>
      </c>
      <c r="G1058" s="126">
        <v>0</v>
      </c>
      <c r="H1058" s="126">
        <v>0</v>
      </c>
      <c r="I1058" s="126">
        <v>0</v>
      </c>
    </row>
    <row r="1059" spans="1:9">
      <c r="A1059" s="126">
        <v>1997</v>
      </c>
      <c r="B1059" s="126" t="s">
        <v>137</v>
      </c>
      <c r="C1059" s="126" t="s">
        <v>22</v>
      </c>
      <c r="D1059" s="126" t="s">
        <v>79</v>
      </c>
      <c r="E1059" s="126" t="s">
        <v>134</v>
      </c>
      <c r="F1059" s="126">
        <v>0</v>
      </c>
      <c r="G1059" s="126">
        <v>0</v>
      </c>
      <c r="H1059" s="126">
        <v>0</v>
      </c>
      <c r="I1059" s="126">
        <v>0</v>
      </c>
    </row>
    <row r="1060" spans="1:9">
      <c r="A1060" s="126">
        <v>1997</v>
      </c>
      <c r="B1060" s="126" t="s">
        <v>137</v>
      </c>
      <c r="C1060" s="126" t="s">
        <v>22</v>
      </c>
      <c r="D1060" s="126" t="s">
        <v>79</v>
      </c>
      <c r="E1060" s="126" t="s">
        <v>135</v>
      </c>
      <c r="F1060" s="126">
        <v>0</v>
      </c>
      <c r="G1060" s="126">
        <v>0</v>
      </c>
      <c r="H1060" s="126">
        <v>0</v>
      </c>
      <c r="I1060" s="126">
        <v>0</v>
      </c>
    </row>
    <row r="1061" spans="1:9">
      <c r="A1061" s="126">
        <v>1997</v>
      </c>
      <c r="B1061" s="126" t="s">
        <v>137</v>
      </c>
      <c r="C1061" s="126" t="s">
        <v>22</v>
      </c>
      <c r="D1061" s="126" t="s">
        <v>79</v>
      </c>
      <c r="E1061" s="126" t="s">
        <v>136</v>
      </c>
      <c r="F1061" s="126">
        <v>0</v>
      </c>
      <c r="G1061" s="126">
        <v>0</v>
      </c>
      <c r="H1061" s="126">
        <v>0</v>
      </c>
      <c r="I1061" s="126">
        <v>0</v>
      </c>
    </row>
    <row r="1062" spans="1:9">
      <c r="A1062" s="126">
        <v>1997</v>
      </c>
      <c r="B1062" s="126" t="s">
        <v>137</v>
      </c>
      <c r="C1062" s="126" t="s">
        <v>22</v>
      </c>
      <c r="D1062" s="126" t="s">
        <v>76</v>
      </c>
      <c r="E1062" s="126" t="s">
        <v>132</v>
      </c>
      <c r="F1062" s="126">
        <v>0</v>
      </c>
      <c r="G1062" s="126">
        <v>0</v>
      </c>
      <c r="H1062" s="126">
        <v>0</v>
      </c>
      <c r="I1062" s="126">
        <v>0</v>
      </c>
    </row>
    <row r="1063" spans="1:9">
      <c r="A1063" s="126">
        <v>1997</v>
      </c>
      <c r="B1063" s="126" t="s">
        <v>137</v>
      </c>
      <c r="C1063" s="126" t="s">
        <v>22</v>
      </c>
      <c r="D1063" s="126" t="s">
        <v>76</v>
      </c>
      <c r="E1063" s="126" t="s">
        <v>133</v>
      </c>
      <c r="F1063" s="126">
        <v>0</v>
      </c>
      <c r="G1063" s="126">
        <v>0</v>
      </c>
      <c r="H1063" s="126">
        <v>0</v>
      </c>
      <c r="I1063" s="126">
        <v>0</v>
      </c>
    </row>
    <row r="1064" spans="1:9">
      <c r="A1064" s="126">
        <v>1997</v>
      </c>
      <c r="B1064" s="126" t="s">
        <v>137</v>
      </c>
      <c r="C1064" s="126" t="s">
        <v>22</v>
      </c>
      <c r="D1064" s="126" t="s">
        <v>76</v>
      </c>
      <c r="E1064" s="126" t="s">
        <v>134</v>
      </c>
      <c r="F1064" s="126">
        <v>0</v>
      </c>
      <c r="G1064" s="126">
        <v>0</v>
      </c>
      <c r="H1064" s="126">
        <v>0</v>
      </c>
      <c r="I1064" s="126">
        <v>0</v>
      </c>
    </row>
    <row r="1065" spans="1:9">
      <c r="A1065" s="126">
        <v>1997</v>
      </c>
      <c r="B1065" s="126" t="s">
        <v>137</v>
      </c>
      <c r="C1065" s="126" t="s">
        <v>22</v>
      </c>
      <c r="D1065" s="126" t="s">
        <v>76</v>
      </c>
      <c r="E1065" s="126" t="s">
        <v>135</v>
      </c>
      <c r="F1065" s="126">
        <v>0</v>
      </c>
      <c r="G1065" s="126">
        <v>0</v>
      </c>
      <c r="H1065" s="126">
        <v>0</v>
      </c>
      <c r="I1065" s="126">
        <v>0</v>
      </c>
    </row>
    <row r="1066" spans="1:9">
      <c r="A1066" s="126">
        <v>1997</v>
      </c>
      <c r="B1066" s="126" t="s">
        <v>137</v>
      </c>
      <c r="C1066" s="126" t="s">
        <v>22</v>
      </c>
      <c r="D1066" s="126" t="s">
        <v>76</v>
      </c>
      <c r="E1066" s="126" t="s">
        <v>136</v>
      </c>
      <c r="F1066" s="126">
        <v>0</v>
      </c>
      <c r="G1066" s="126">
        <v>0</v>
      </c>
      <c r="H1066" s="126">
        <v>0</v>
      </c>
      <c r="I1066" s="126">
        <v>0</v>
      </c>
    </row>
    <row r="1067" spans="1:9">
      <c r="A1067" s="126">
        <v>1997</v>
      </c>
      <c r="B1067" s="126" t="s">
        <v>137</v>
      </c>
      <c r="C1067" s="126" t="s">
        <v>23</v>
      </c>
      <c r="D1067" s="126" t="s">
        <v>77</v>
      </c>
      <c r="E1067" s="126" t="s">
        <v>132</v>
      </c>
      <c r="F1067" s="126">
        <v>0</v>
      </c>
      <c r="G1067" s="126">
        <v>0</v>
      </c>
      <c r="H1067" s="126">
        <v>0</v>
      </c>
      <c r="I1067" s="126">
        <v>0</v>
      </c>
    </row>
    <row r="1068" spans="1:9">
      <c r="A1068" s="126">
        <v>1997</v>
      </c>
      <c r="B1068" s="126" t="s">
        <v>137</v>
      </c>
      <c r="C1068" s="126" t="s">
        <v>23</v>
      </c>
      <c r="D1068" s="126" t="s">
        <v>77</v>
      </c>
      <c r="E1068" s="126" t="s">
        <v>133</v>
      </c>
      <c r="F1068" s="126">
        <v>0</v>
      </c>
      <c r="G1068" s="126">
        <v>0</v>
      </c>
      <c r="H1068" s="126">
        <v>0</v>
      </c>
      <c r="I1068" s="126">
        <v>0</v>
      </c>
    </row>
    <row r="1069" spans="1:9">
      <c r="A1069" s="126">
        <v>1997</v>
      </c>
      <c r="B1069" s="126" t="s">
        <v>137</v>
      </c>
      <c r="C1069" s="126" t="s">
        <v>23</v>
      </c>
      <c r="D1069" s="126" t="s">
        <v>77</v>
      </c>
      <c r="E1069" s="126" t="s">
        <v>134</v>
      </c>
      <c r="F1069" s="126">
        <v>0</v>
      </c>
      <c r="G1069" s="126">
        <v>0</v>
      </c>
      <c r="H1069" s="126">
        <v>0</v>
      </c>
      <c r="I1069" s="126">
        <v>0</v>
      </c>
    </row>
    <row r="1070" spans="1:9">
      <c r="A1070" s="126">
        <v>1997</v>
      </c>
      <c r="B1070" s="126" t="s">
        <v>137</v>
      </c>
      <c r="C1070" s="126" t="s">
        <v>23</v>
      </c>
      <c r="D1070" s="126" t="s">
        <v>77</v>
      </c>
      <c r="E1070" s="126" t="s">
        <v>135</v>
      </c>
      <c r="F1070" s="126">
        <v>0</v>
      </c>
      <c r="G1070" s="126">
        <v>0</v>
      </c>
      <c r="H1070" s="126">
        <v>0</v>
      </c>
      <c r="I1070" s="126">
        <v>0</v>
      </c>
    </row>
    <row r="1071" spans="1:9">
      <c r="A1071" s="126">
        <v>1997</v>
      </c>
      <c r="B1071" s="126" t="s">
        <v>137</v>
      </c>
      <c r="C1071" s="126" t="s">
        <v>23</v>
      </c>
      <c r="D1071" s="126" t="s">
        <v>79</v>
      </c>
      <c r="E1071" s="126" t="s">
        <v>132</v>
      </c>
      <c r="F1071" s="126">
        <v>0</v>
      </c>
      <c r="G1071" s="126">
        <v>0</v>
      </c>
      <c r="H1071" s="126">
        <v>0</v>
      </c>
      <c r="I1071" s="126">
        <v>0</v>
      </c>
    </row>
    <row r="1072" spans="1:9">
      <c r="A1072" s="126">
        <v>1997</v>
      </c>
      <c r="B1072" s="126" t="s">
        <v>137</v>
      </c>
      <c r="C1072" s="126" t="s">
        <v>23</v>
      </c>
      <c r="D1072" s="126" t="s">
        <v>79</v>
      </c>
      <c r="E1072" s="126" t="s">
        <v>133</v>
      </c>
      <c r="F1072" s="126">
        <v>0</v>
      </c>
      <c r="G1072" s="126">
        <v>0</v>
      </c>
      <c r="H1072" s="126">
        <v>0</v>
      </c>
      <c r="I1072" s="126">
        <v>0</v>
      </c>
    </row>
    <row r="1073" spans="1:9">
      <c r="A1073" s="126">
        <v>1997</v>
      </c>
      <c r="B1073" s="126" t="s">
        <v>137</v>
      </c>
      <c r="C1073" s="126" t="s">
        <v>23</v>
      </c>
      <c r="D1073" s="126" t="s">
        <v>79</v>
      </c>
      <c r="E1073" s="126" t="s">
        <v>134</v>
      </c>
      <c r="F1073" s="126">
        <v>0</v>
      </c>
      <c r="G1073" s="126">
        <v>0</v>
      </c>
      <c r="H1073" s="126">
        <v>0</v>
      </c>
      <c r="I1073" s="126">
        <v>0</v>
      </c>
    </row>
    <row r="1074" spans="1:9">
      <c r="A1074" s="126">
        <v>1997</v>
      </c>
      <c r="B1074" s="126" t="s">
        <v>137</v>
      </c>
      <c r="C1074" s="126" t="s">
        <v>23</v>
      </c>
      <c r="D1074" s="126" t="s">
        <v>79</v>
      </c>
      <c r="E1074" s="126" t="s">
        <v>135</v>
      </c>
      <c r="F1074" s="126">
        <v>0</v>
      </c>
      <c r="G1074" s="126">
        <v>0</v>
      </c>
      <c r="H1074" s="126">
        <v>0</v>
      </c>
      <c r="I1074" s="126">
        <v>0</v>
      </c>
    </row>
    <row r="1075" spans="1:9">
      <c r="A1075" s="126">
        <v>1997</v>
      </c>
      <c r="B1075" s="126" t="s">
        <v>137</v>
      </c>
      <c r="C1075" s="126" t="s">
        <v>23</v>
      </c>
      <c r="D1075" s="126" t="s">
        <v>79</v>
      </c>
      <c r="E1075" s="126" t="s">
        <v>136</v>
      </c>
      <c r="F1075" s="126">
        <v>0</v>
      </c>
      <c r="G1075" s="126">
        <v>0</v>
      </c>
      <c r="H1075" s="126">
        <v>0</v>
      </c>
      <c r="I1075" s="126">
        <v>0</v>
      </c>
    </row>
    <row r="1076" spans="1:9">
      <c r="A1076" s="126">
        <v>1997</v>
      </c>
      <c r="B1076" s="126" t="s">
        <v>137</v>
      </c>
      <c r="C1076" s="126" t="s">
        <v>23</v>
      </c>
      <c r="D1076" s="126" t="s">
        <v>76</v>
      </c>
      <c r="E1076" s="126" t="s">
        <v>132</v>
      </c>
      <c r="F1076" s="126">
        <v>0</v>
      </c>
      <c r="G1076" s="126">
        <v>0</v>
      </c>
      <c r="H1076" s="126">
        <v>0</v>
      </c>
      <c r="I1076" s="126">
        <v>0</v>
      </c>
    </row>
    <row r="1077" spans="1:9">
      <c r="A1077" s="126">
        <v>1997</v>
      </c>
      <c r="B1077" s="126" t="s">
        <v>137</v>
      </c>
      <c r="C1077" s="126" t="s">
        <v>23</v>
      </c>
      <c r="D1077" s="126" t="s">
        <v>76</v>
      </c>
      <c r="E1077" s="126" t="s">
        <v>133</v>
      </c>
      <c r="F1077" s="126">
        <v>0</v>
      </c>
      <c r="G1077" s="126">
        <v>0</v>
      </c>
      <c r="H1077" s="126">
        <v>0</v>
      </c>
      <c r="I1077" s="126">
        <v>0</v>
      </c>
    </row>
    <row r="1078" spans="1:9">
      <c r="A1078" s="126">
        <v>1997</v>
      </c>
      <c r="B1078" s="126" t="s">
        <v>137</v>
      </c>
      <c r="C1078" s="126" t="s">
        <v>23</v>
      </c>
      <c r="D1078" s="126" t="s">
        <v>76</v>
      </c>
      <c r="E1078" s="126" t="s">
        <v>134</v>
      </c>
      <c r="F1078" s="126">
        <v>0</v>
      </c>
      <c r="G1078" s="126">
        <v>0</v>
      </c>
      <c r="H1078" s="126">
        <v>0</v>
      </c>
      <c r="I1078" s="126">
        <v>0</v>
      </c>
    </row>
    <row r="1079" spans="1:9">
      <c r="A1079" s="126">
        <v>1997</v>
      </c>
      <c r="B1079" s="126" t="s">
        <v>137</v>
      </c>
      <c r="C1079" s="126" t="s">
        <v>23</v>
      </c>
      <c r="D1079" s="126" t="s">
        <v>76</v>
      </c>
      <c r="E1079" s="126" t="s">
        <v>135</v>
      </c>
      <c r="F1079" s="126">
        <v>0</v>
      </c>
      <c r="G1079" s="126">
        <v>0</v>
      </c>
      <c r="H1079" s="126">
        <v>0</v>
      </c>
      <c r="I1079" s="126">
        <v>0</v>
      </c>
    </row>
    <row r="1080" spans="1:9">
      <c r="A1080" s="126">
        <v>1997</v>
      </c>
      <c r="B1080" s="126" t="s">
        <v>137</v>
      </c>
      <c r="C1080" s="126" t="s">
        <v>23</v>
      </c>
      <c r="D1080" s="126" t="s">
        <v>76</v>
      </c>
      <c r="E1080" s="126" t="s">
        <v>136</v>
      </c>
      <c r="F1080" s="126">
        <v>0</v>
      </c>
      <c r="G1080" s="126">
        <v>0</v>
      </c>
      <c r="H1080" s="126">
        <v>0</v>
      </c>
      <c r="I1080" s="126">
        <v>0</v>
      </c>
    </row>
    <row r="1081" spans="1:9">
      <c r="A1081" s="126">
        <v>1997</v>
      </c>
      <c r="B1081" s="126" t="s">
        <v>137</v>
      </c>
      <c r="C1081" s="126" t="s">
        <v>25</v>
      </c>
      <c r="D1081" s="126" t="s">
        <v>77</v>
      </c>
      <c r="E1081" s="126" t="s">
        <v>132</v>
      </c>
      <c r="F1081" s="126">
        <v>0</v>
      </c>
      <c r="G1081" s="126">
        <v>0</v>
      </c>
      <c r="H1081" s="126">
        <v>0</v>
      </c>
      <c r="I1081" s="126">
        <v>0</v>
      </c>
    </row>
    <row r="1082" spans="1:9">
      <c r="A1082" s="126">
        <v>1997</v>
      </c>
      <c r="B1082" s="126" t="s">
        <v>137</v>
      </c>
      <c r="C1082" s="126" t="s">
        <v>25</v>
      </c>
      <c r="D1082" s="126" t="s">
        <v>77</v>
      </c>
      <c r="E1082" s="126" t="s">
        <v>133</v>
      </c>
      <c r="F1082" s="126">
        <v>0</v>
      </c>
      <c r="G1082" s="126">
        <v>0</v>
      </c>
      <c r="H1082" s="126">
        <v>0</v>
      </c>
      <c r="I1082" s="126">
        <v>0</v>
      </c>
    </row>
    <row r="1083" spans="1:9">
      <c r="A1083" s="126">
        <v>1997</v>
      </c>
      <c r="B1083" s="126" t="s">
        <v>137</v>
      </c>
      <c r="C1083" s="126" t="s">
        <v>25</v>
      </c>
      <c r="D1083" s="126" t="s">
        <v>77</v>
      </c>
      <c r="E1083" s="126" t="s">
        <v>134</v>
      </c>
      <c r="F1083" s="126">
        <v>0</v>
      </c>
      <c r="G1083" s="126">
        <v>0</v>
      </c>
      <c r="H1083" s="126">
        <v>0</v>
      </c>
      <c r="I1083" s="126">
        <v>0</v>
      </c>
    </row>
    <row r="1084" spans="1:9">
      <c r="A1084" s="126">
        <v>1997</v>
      </c>
      <c r="B1084" s="126" t="s">
        <v>137</v>
      </c>
      <c r="C1084" s="126" t="s">
        <v>25</v>
      </c>
      <c r="D1084" s="126" t="s">
        <v>77</v>
      </c>
      <c r="E1084" s="126" t="s">
        <v>135</v>
      </c>
      <c r="F1084" s="126">
        <v>0</v>
      </c>
      <c r="G1084" s="126">
        <v>0</v>
      </c>
      <c r="H1084" s="126">
        <v>0</v>
      </c>
      <c r="I1084" s="126">
        <v>0</v>
      </c>
    </row>
    <row r="1085" spans="1:9">
      <c r="A1085" s="126">
        <v>1997</v>
      </c>
      <c r="B1085" s="126" t="s">
        <v>137</v>
      </c>
      <c r="C1085" s="126" t="s">
        <v>25</v>
      </c>
      <c r="D1085" s="126" t="s">
        <v>79</v>
      </c>
      <c r="E1085" s="126" t="s">
        <v>132</v>
      </c>
      <c r="F1085" s="126">
        <v>0</v>
      </c>
      <c r="G1085" s="126">
        <v>0</v>
      </c>
      <c r="H1085" s="126">
        <v>0</v>
      </c>
      <c r="I1085" s="126">
        <v>0</v>
      </c>
    </row>
    <row r="1086" spans="1:9">
      <c r="A1086" s="126">
        <v>1997</v>
      </c>
      <c r="B1086" s="126" t="s">
        <v>137</v>
      </c>
      <c r="C1086" s="126" t="s">
        <v>25</v>
      </c>
      <c r="D1086" s="126" t="s">
        <v>79</v>
      </c>
      <c r="E1086" s="126" t="s">
        <v>133</v>
      </c>
      <c r="F1086" s="126">
        <v>0</v>
      </c>
      <c r="G1086" s="126">
        <v>0</v>
      </c>
      <c r="H1086" s="126">
        <v>0</v>
      </c>
      <c r="I1086" s="126">
        <v>0</v>
      </c>
    </row>
    <row r="1087" spans="1:9">
      <c r="A1087" s="126">
        <v>1997</v>
      </c>
      <c r="B1087" s="126" t="s">
        <v>137</v>
      </c>
      <c r="C1087" s="126" t="s">
        <v>25</v>
      </c>
      <c r="D1087" s="126" t="s">
        <v>79</v>
      </c>
      <c r="E1087" s="126" t="s">
        <v>134</v>
      </c>
      <c r="F1087" s="126">
        <v>0</v>
      </c>
      <c r="G1087" s="126">
        <v>0</v>
      </c>
      <c r="H1087" s="126">
        <v>0</v>
      </c>
      <c r="I1087" s="126">
        <v>0</v>
      </c>
    </row>
    <row r="1088" spans="1:9">
      <c r="A1088" s="126">
        <v>1997</v>
      </c>
      <c r="B1088" s="126" t="s">
        <v>137</v>
      </c>
      <c r="C1088" s="126" t="s">
        <v>25</v>
      </c>
      <c r="D1088" s="126" t="s">
        <v>79</v>
      </c>
      <c r="E1088" s="126" t="s">
        <v>135</v>
      </c>
      <c r="F1088" s="126">
        <v>0</v>
      </c>
      <c r="G1088" s="126">
        <v>0</v>
      </c>
      <c r="H1088" s="126">
        <v>0</v>
      </c>
      <c r="I1088" s="126">
        <v>0</v>
      </c>
    </row>
    <row r="1089" spans="1:9">
      <c r="A1089" s="126">
        <v>1997</v>
      </c>
      <c r="B1089" s="126" t="s">
        <v>137</v>
      </c>
      <c r="C1089" s="126" t="s">
        <v>25</v>
      </c>
      <c r="D1089" s="126" t="s">
        <v>79</v>
      </c>
      <c r="E1089" s="126" t="s">
        <v>136</v>
      </c>
      <c r="F1089" s="126">
        <v>0</v>
      </c>
      <c r="G1089" s="126">
        <v>0</v>
      </c>
      <c r="H1089" s="126">
        <v>0</v>
      </c>
      <c r="I1089" s="126">
        <v>0</v>
      </c>
    </row>
    <row r="1090" spans="1:9">
      <c r="A1090" s="126">
        <v>1997</v>
      </c>
      <c r="B1090" s="126" t="s">
        <v>137</v>
      </c>
      <c r="C1090" s="126" t="s">
        <v>25</v>
      </c>
      <c r="D1090" s="126" t="s">
        <v>76</v>
      </c>
      <c r="E1090" s="126" t="s">
        <v>132</v>
      </c>
      <c r="F1090" s="126">
        <v>0</v>
      </c>
      <c r="G1090" s="126">
        <v>0</v>
      </c>
      <c r="H1090" s="126">
        <v>0</v>
      </c>
      <c r="I1090" s="126">
        <v>0</v>
      </c>
    </row>
    <row r="1091" spans="1:9">
      <c r="A1091" s="126">
        <v>1997</v>
      </c>
      <c r="B1091" s="126" t="s">
        <v>137</v>
      </c>
      <c r="C1091" s="126" t="s">
        <v>25</v>
      </c>
      <c r="D1091" s="126" t="s">
        <v>76</v>
      </c>
      <c r="E1091" s="126" t="s">
        <v>133</v>
      </c>
      <c r="F1091" s="126">
        <v>0</v>
      </c>
      <c r="G1091" s="126">
        <v>0</v>
      </c>
      <c r="H1091" s="126">
        <v>0</v>
      </c>
      <c r="I1091" s="126">
        <v>0</v>
      </c>
    </row>
    <row r="1092" spans="1:9">
      <c r="A1092" s="126">
        <v>1997</v>
      </c>
      <c r="B1092" s="126" t="s">
        <v>137</v>
      </c>
      <c r="C1092" s="126" t="s">
        <v>25</v>
      </c>
      <c r="D1092" s="126" t="s">
        <v>76</v>
      </c>
      <c r="E1092" s="126" t="s">
        <v>134</v>
      </c>
      <c r="F1092" s="126">
        <v>0</v>
      </c>
      <c r="G1092" s="126">
        <v>0</v>
      </c>
      <c r="H1092" s="126">
        <v>0</v>
      </c>
      <c r="I1092" s="126">
        <v>0</v>
      </c>
    </row>
    <row r="1093" spans="1:9">
      <c r="A1093" s="126">
        <v>1997</v>
      </c>
      <c r="B1093" s="126" t="s">
        <v>137</v>
      </c>
      <c r="C1093" s="126" t="s">
        <v>25</v>
      </c>
      <c r="D1093" s="126" t="s">
        <v>76</v>
      </c>
      <c r="E1093" s="126" t="s">
        <v>135</v>
      </c>
      <c r="F1093" s="126">
        <v>0</v>
      </c>
      <c r="G1093" s="126">
        <v>0</v>
      </c>
      <c r="H1093" s="126">
        <v>0</v>
      </c>
      <c r="I1093" s="126">
        <v>0</v>
      </c>
    </row>
    <row r="1094" spans="1:9">
      <c r="A1094" s="126">
        <v>1997</v>
      </c>
      <c r="B1094" s="126" t="s">
        <v>137</v>
      </c>
      <c r="C1094" s="126" t="s">
        <v>25</v>
      </c>
      <c r="D1094" s="126" t="s">
        <v>76</v>
      </c>
      <c r="E1094" s="126" t="s">
        <v>136</v>
      </c>
      <c r="F1094" s="126">
        <v>0</v>
      </c>
      <c r="G1094" s="126">
        <v>0</v>
      </c>
      <c r="H1094" s="126">
        <v>0</v>
      </c>
      <c r="I1094" s="126">
        <v>0</v>
      </c>
    </row>
    <row r="1095" spans="1:9">
      <c r="A1095" s="126">
        <v>1997</v>
      </c>
      <c r="B1095" s="126" t="s">
        <v>137</v>
      </c>
      <c r="C1095" s="126" t="s">
        <v>21</v>
      </c>
      <c r="D1095" s="126" t="s">
        <v>77</v>
      </c>
      <c r="E1095" s="126" t="s">
        <v>132</v>
      </c>
      <c r="F1095" s="126">
        <v>0</v>
      </c>
      <c r="G1095" s="126">
        <v>0</v>
      </c>
      <c r="H1095" s="126">
        <v>0</v>
      </c>
      <c r="I1095" s="126">
        <v>0</v>
      </c>
    </row>
    <row r="1096" spans="1:9">
      <c r="A1096" s="126">
        <v>1997</v>
      </c>
      <c r="B1096" s="126" t="s">
        <v>137</v>
      </c>
      <c r="C1096" s="126" t="s">
        <v>21</v>
      </c>
      <c r="D1096" s="126" t="s">
        <v>77</v>
      </c>
      <c r="E1096" s="126" t="s">
        <v>133</v>
      </c>
      <c r="F1096" s="126">
        <v>0</v>
      </c>
      <c r="G1096" s="126">
        <v>0</v>
      </c>
      <c r="H1096" s="126">
        <v>0</v>
      </c>
      <c r="I1096" s="126">
        <v>0</v>
      </c>
    </row>
    <row r="1097" spans="1:9">
      <c r="A1097" s="126">
        <v>1997</v>
      </c>
      <c r="B1097" s="126" t="s">
        <v>137</v>
      </c>
      <c r="C1097" s="126" t="s">
        <v>21</v>
      </c>
      <c r="D1097" s="126" t="s">
        <v>77</v>
      </c>
      <c r="E1097" s="126" t="s">
        <v>134</v>
      </c>
      <c r="F1097" s="126">
        <v>0</v>
      </c>
      <c r="G1097" s="126">
        <v>0</v>
      </c>
      <c r="H1097" s="126">
        <v>0</v>
      </c>
      <c r="I1097" s="126">
        <v>0</v>
      </c>
    </row>
    <row r="1098" spans="1:9">
      <c r="A1098" s="126">
        <v>1997</v>
      </c>
      <c r="B1098" s="126" t="s">
        <v>137</v>
      </c>
      <c r="C1098" s="126" t="s">
        <v>21</v>
      </c>
      <c r="D1098" s="126" t="s">
        <v>77</v>
      </c>
      <c r="E1098" s="126" t="s">
        <v>135</v>
      </c>
      <c r="F1098" s="126">
        <v>0</v>
      </c>
      <c r="G1098" s="126">
        <v>0</v>
      </c>
      <c r="H1098" s="126">
        <v>0</v>
      </c>
      <c r="I1098" s="126">
        <v>0</v>
      </c>
    </row>
    <row r="1099" spans="1:9">
      <c r="A1099" s="126">
        <v>1997</v>
      </c>
      <c r="B1099" s="126" t="s">
        <v>137</v>
      </c>
      <c r="C1099" s="126" t="s">
        <v>21</v>
      </c>
      <c r="D1099" s="126" t="s">
        <v>79</v>
      </c>
      <c r="E1099" s="126" t="s">
        <v>132</v>
      </c>
      <c r="F1099" s="126">
        <v>0</v>
      </c>
      <c r="G1099" s="126">
        <v>0</v>
      </c>
      <c r="H1099" s="126">
        <v>0</v>
      </c>
      <c r="I1099" s="126">
        <v>0</v>
      </c>
    </row>
    <row r="1100" spans="1:9">
      <c r="A1100" s="126">
        <v>1997</v>
      </c>
      <c r="B1100" s="126" t="s">
        <v>137</v>
      </c>
      <c r="C1100" s="126" t="s">
        <v>21</v>
      </c>
      <c r="D1100" s="126" t="s">
        <v>79</v>
      </c>
      <c r="E1100" s="126" t="s">
        <v>133</v>
      </c>
      <c r="F1100" s="126">
        <v>0</v>
      </c>
      <c r="G1100" s="126">
        <v>0</v>
      </c>
      <c r="H1100" s="126">
        <v>0</v>
      </c>
      <c r="I1100" s="126">
        <v>0</v>
      </c>
    </row>
    <row r="1101" spans="1:9">
      <c r="A1101" s="126">
        <v>1997</v>
      </c>
      <c r="B1101" s="126" t="s">
        <v>137</v>
      </c>
      <c r="C1101" s="126" t="s">
        <v>21</v>
      </c>
      <c r="D1101" s="126" t="s">
        <v>79</v>
      </c>
      <c r="E1101" s="126" t="s">
        <v>134</v>
      </c>
      <c r="F1101" s="126">
        <v>0</v>
      </c>
      <c r="G1101" s="126">
        <v>0</v>
      </c>
      <c r="H1101" s="126">
        <v>0</v>
      </c>
      <c r="I1101" s="126">
        <v>0</v>
      </c>
    </row>
    <row r="1102" spans="1:9">
      <c r="A1102" s="126">
        <v>1997</v>
      </c>
      <c r="B1102" s="126" t="s">
        <v>137</v>
      </c>
      <c r="C1102" s="126" t="s">
        <v>21</v>
      </c>
      <c r="D1102" s="126" t="s">
        <v>79</v>
      </c>
      <c r="E1102" s="126" t="s">
        <v>135</v>
      </c>
      <c r="F1102" s="126">
        <v>0</v>
      </c>
      <c r="G1102" s="126">
        <v>0</v>
      </c>
      <c r="H1102" s="126">
        <v>0</v>
      </c>
      <c r="I1102" s="126">
        <v>0</v>
      </c>
    </row>
    <row r="1103" spans="1:9">
      <c r="A1103" s="126">
        <v>1997</v>
      </c>
      <c r="B1103" s="126" t="s">
        <v>137</v>
      </c>
      <c r="C1103" s="126" t="s">
        <v>21</v>
      </c>
      <c r="D1103" s="126" t="s">
        <v>79</v>
      </c>
      <c r="E1103" s="126" t="s">
        <v>136</v>
      </c>
      <c r="F1103" s="126">
        <v>0</v>
      </c>
      <c r="G1103" s="126">
        <v>0</v>
      </c>
      <c r="H1103" s="126">
        <v>0</v>
      </c>
      <c r="I1103" s="126">
        <v>0</v>
      </c>
    </row>
    <row r="1104" spans="1:9">
      <c r="A1104" s="126">
        <v>1997</v>
      </c>
      <c r="B1104" s="126" t="s">
        <v>137</v>
      </c>
      <c r="C1104" s="126" t="s">
        <v>21</v>
      </c>
      <c r="D1104" s="126" t="s">
        <v>76</v>
      </c>
      <c r="E1104" s="126" t="s">
        <v>132</v>
      </c>
      <c r="F1104" s="126">
        <v>0</v>
      </c>
      <c r="G1104" s="126">
        <v>0</v>
      </c>
      <c r="H1104" s="126">
        <v>0</v>
      </c>
      <c r="I1104" s="126">
        <v>0</v>
      </c>
    </row>
    <row r="1105" spans="1:9">
      <c r="A1105" s="126">
        <v>1997</v>
      </c>
      <c r="B1105" s="126" t="s">
        <v>137</v>
      </c>
      <c r="C1105" s="126" t="s">
        <v>21</v>
      </c>
      <c r="D1105" s="126" t="s">
        <v>76</v>
      </c>
      <c r="E1105" s="126" t="s">
        <v>133</v>
      </c>
      <c r="F1105" s="126">
        <v>0</v>
      </c>
      <c r="G1105" s="126">
        <v>0</v>
      </c>
      <c r="H1105" s="126">
        <v>0</v>
      </c>
      <c r="I1105" s="126">
        <v>0</v>
      </c>
    </row>
    <row r="1106" spans="1:9">
      <c r="A1106" s="126">
        <v>1997</v>
      </c>
      <c r="B1106" s="126" t="s">
        <v>137</v>
      </c>
      <c r="C1106" s="126" t="s">
        <v>21</v>
      </c>
      <c r="D1106" s="126" t="s">
        <v>76</v>
      </c>
      <c r="E1106" s="126" t="s">
        <v>134</v>
      </c>
      <c r="F1106" s="126">
        <v>0</v>
      </c>
      <c r="G1106" s="126">
        <v>0</v>
      </c>
      <c r="H1106" s="126">
        <v>0</v>
      </c>
      <c r="I1106" s="126">
        <v>0</v>
      </c>
    </row>
    <row r="1107" spans="1:9">
      <c r="A1107" s="126">
        <v>1997</v>
      </c>
      <c r="B1107" s="126" t="s">
        <v>137</v>
      </c>
      <c r="C1107" s="126" t="s">
        <v>21</v>
      </c>
      <c r="D1107" s="126" t="s">
        <v>76</v>
      </c>
      <c r="E1107" s="126" t="s">
        <v>135</v>
      </c>
      <c r="F1107" s="126">
        <v>0</v>
      </c>
      <c r="G1107" s="126">
        <v>0</v>
      </c>
      <c r="H1107" s="126">
        <v>0</v>
      </c>
      <c r="I1107" s="126">
        <v>0</v>
      </c>
    </row>
    <row r="1108" spans="1:9">
      <c r="A1108" s="126">
        <v>1997</v>
      </c>
      <c r="B1108" s="126" t="s">
        <v>137</v>
      </c>
      <c r="C1108" s="126" t="s">
        <v>21</v>
      </c>
      <c r="D1108" s="126" t="s">
        <v>76</v>
      </c>
      <c r="E1108" s="126" t="s">
        <v>136</v>
      </c>
      <c r="F1108" s="126">
        <v>0</v>
      </c>
      <c r="G1108" s="126">
        <v>0</v>
      </c>
      <c r="H1108" s="126">
        <v>0</v>
      </c>
      <c r="I1108" s="126">
        <v>0</v>
      </c>
    </row>
    <row r="1109" spans="1:9">
      <c r="A1109" s="126">
        <v>1997</v>
      </c>
      <c r="B1109" s="126" t="s">
        <v>137</v>
      </c>
      <c r="C1109" s="126" t="s">
        <v>24</v>
      </c>
      <c r="D1109" s="126" t="s">
        <v>77</v>
      </c>
      <c r="E1109" s="126" t="s">
        <v>132</v>
      </c>
      <c r="F1109" s="126">
        <v>0</v>
      </c>
      <c r="G1109" s="126">
        <v>0</v>
      </c>
      <c r="H1109" s="126">
        <v>0</v>
      </c>
      <c r="I1109" s="126">
        <v>0</v>
      </c>
    </row>
    <row r="1110" spans="1:9">
      <c r="A1110" s="126">
        <v>1997</v>
      </c>
      <c r="B1110" s="126" t="s">
        <v>137</v>
      </c>
      <c r="C1110" s="126" t="s">
        <v>24</v>
      </c>
      <c r="D1110" s="126" t="s">
        <v>77</v>
      </c>
      <c r="E1110" s="126" t="s">
        <v>133</v>
      </c>
      <c r="F1110" s="126">
        <v>0</v>
      </c>
      <c r="G1110" s="126">
        <v>0</v>
      </c>
      <c r="H1110" s="126">
        <v>0</v>
      </c>
      <c r="I1110" s="126">
        <v>0</v>
      </c>
    </row>
    <row r="1111" spans="1:9">
      <c r="A1111" s="126">
        <v>1997</v>
      </c>
      <c r="B1111" s="126" t="s">
        <v>137</v>
      </c>
      <c r="C1111" s="126" t="s">
        <v>24</v>
      </c>
      <c r="D1111" s="126" t="s">
        <v>77</v>
      </c>
      <c r="E1111" s="126" t="s">
        <v>134</v>
      </c>
      <c r="F1111" s="126">
        <v>0</v>
      </c>
      <c r="G1111" s="126">
        <v>0</v>
      </c>
      <c r="H1111" s="126">
        <v>0</v>
      </c>
      <c r="I1111" s="126">
        <v>0</v>
      </c>
    </row>
    <row r="1112" spans="1:9">
      <c r="A1112" s="126">
        <v>1997</v>
      </c>
      <c r="B1112" s="126" t="s">
        <v>137</v>
      </c>
      <c r="C1112" s="126" t="s">
        <v>24</v>
      </c>
      <c r="D1112" s="126" t="s">
        <v>77</v>
      </c>
      <c r="E1112" s="126" t="s">
        <v>135</v>
      </c>
      <c r="F1112" s="126">
        <v>0</v>
      </c>
      <c r="G1112" s="126">
        <v>0</v>
      </c>
      <c r="H1112" s="126">
        <v>0</v>
      </c>
      <c r="I1112" s="126">
        <v>0</v>
      </c>
    </row>
    <row r="1113" spans="1:9">
      <c r="A1113" s="126">
        <v>1997</v>
      </c>
      <c r="B1113" s="126" t="s">
        <v>137</v>
      </c>
      <c r="C1113" s="126" t="s">
        <v>24</v>
      </c>
      <c r="D1113" s="126" t="s">
        <v>79</v>
      </c>
      <c r="E1113" s="126" t="s">
        <v>132</v>
      </c>
      <c r="F1113" s="126">
        <v>0</v>
      </c>
      <c r="G1113" s="126">
        <v>0</v>
      </c>
      <c r="H1113" s="126">
        <v>0</v>
      </c>
      <c r="I1113" s="126">
        <v>0</v>
      </c>
    </row>
    <row r="1114" spans="1:9">
      <c r="A1114" s="126">
        <v>1997</v>
      </c>
      <c r="B1114" s="126" t="s">
        <v>137</v>
      </c>
      <c r="C1114" s="126" t="s">
        <v>24</v>
      </c>
      <c r="D1114" s="126" t="s">
        <v>79</v>
      </c>
      <c r="E1114" s="126" t="s">
        <v>133</v>
      </c>
      <c r="F1114" s="126">
        <v>0</v>
      </c>
      <c r="G1114" s="126">
        <v>0</v>
      </c>
      <c r="H1114" s="126">
        <v>0</v>
      </c>
      <c r="I1114" s="126">
        <v>0</v>
      </c>
    </row>
    <row r="1115" spans="1:9">
      <c r="A1115" s="126">
        <v>1997</v>
      </c>
      <c r="B1115" s="126" t="s">
        <v>137</v>
      </c>
      <c r="C1115" s="126" t="s">
        <v>24</v>
      </c>
      <c r="D1115" s="126" t="s">
        <v>79</v>
      </c>
      <c r="E1115" s="126" t="s">
        <v>134</v>
      </c>
      <c r="F1115" s="126">
        <v>0</v>
      </c>
      <c r="G1115" s="126">
        <v>0</v>
      </c>
      <c r="H1115" s="126">
        <v>0</v>
      </c>
      <c r="I1115" s="126">
        <v>0</v>
      </c>
    </row>
    <row r="1116" spans="1:9">
      <c r="A1116" s="126">
        <v>1997</v>
      </c>
      <c r="B1116" s="126" t="s">
        <v>137</v>
      </c>
      <c r="C1116" s="126" t="s">
        <v>24</v>
      </c>
      <c r="D1116" s="126" t="s">
        <v>79</v>
      </c>
      <c r="E1116" s="126" t="s">
        <v>135</v>
      </c>
      <c r="F1116" s="126">
        <v>0</v>
      </c>
      <c r="G1116" s="126">
        <v>0</v>
      </c>
      <c r="H1116" s="126">
        <v>0</v>
      </c>
      <c r="I1116" s="126">
        <v>0</v>
      </c>
    </row>
    <row r="1117" spans="1:9">
      <c r="A1117" s="126">
        <v>1997</v>
      </c>
      <c r="B1117" s="126" t="s">
        <v>137</v>
      </c>
      <c r="C1117" s="126" t="s">
        <v>24</v>
      </c>
      <c r="D1117" s="126" t="s">
        <v>79</v>
      </c>
      <c r="E1117" s="126" t="s">
        <v>136</v>
      </c>
      <c r="F1117" s="126">
        <v>0</v>
      </c>
      <c r="G1117" s="126">
        <v>0</v>
      </c>
      <c r="H1117" s="126">
        <v>0</v>
      </c>
      <c r="I1117" s="126">
        <v>0</v>
      </c>
    </row>
    <row r="1118" spans="1:9">
      <c r="A1118" s="126">
        <v>1997</v>
      </c>
      <c r="B1118" s="126" t="s">
        <v>137</v>
      </c>
      <c r="C1118" s="126" t="s">
        <v>24</v>
      </c>
      <c r="D1118" s="126" t="s">
        <v>76</v>
      </c>
      <c r="E1118" s="126" t="s">
        <v>132</v>
      </c>
      <c r="F1118" s="126">
        <v>0</v>
      </c>
      <c r="G1118" s="126">
        <v>0</v>
      </c>
      <c r="H1118" s="126">
        <v>0</v>
      </c>
      <c r="I1118" s="126">
        <v>0</v>
      </c>
    </row>
    <row r="1119" spans="1:9">
      <c r="A1119" s="126">
        <v>1997</v>
      </c>
      <c r="B1119" s="126" t="s">
        <v>137</v>
      </c>
      <c r="C1119" s="126" t="s">
        <v>24</v>
      </c>
      <c r="D1119" s="126" t="s">
        <v>76</v>
      </c>
      <c r="E1119" s="126" t="s">
        <v>133</v>
      </c>
      <c r="F1119" s="126">
        <v>0</v>
      </c>
      <c r="G1119" s="126">
        <v>0</v>
      </c>
      <c r="H1119" s="126">
        <v>0</v>
      </c>
      <c r="I1119" s="126">
        <v>0</v>
      </c>
    </row>
    <row r="1120" spans="1:9" ht="13.5">
      <c r="A1120" s="128">
        <v>1997</v>
      </c>
      <c r="B1120" s="128" t="s">
        <v>137</v>
      </c>
      <c r="C1120" s="128" t="s">
        <v>24</v>
      </c>
      <c r="D1120" s="128" t="s">
        <v>76</v>
      </c>
      <c r="E1120" s="128" t="s">
        <v>134</v>
      </c>
      <c r="F1120" s="128">
        <v>0</v>
      </c>
      <c r="G1120" s="128">
        <v>0</v>
      </c>
      <c r="H1120" s="128">
        <v>0</v>
      </c>
      <c r="I1120" s="128">
        <v>0</v>
      </c>
    </row>
    <row r="1121" spans="1:9" ht="13.5">
      <c r="A1121" s="128">
        <v>1997</v>
      </c>
      <c r="B1121" s="128" t="s">
        <v>137</v>
      </c>
      <c r="C1121" s="128" t="s">
        <v>24</v>
      </c>
      <c r="D1121" s="128" t="s">
        <v>76</v>
      </c>
      <c r="E1121" s="128" t="s">
        <v>135</v>
      </c>
      <c r="F1121" s="128">
        <v>0</v>
      </c>
      <c r="G1121" s="128">
        <v>0</v>
      </c>
      <c r="H1121" s="128">
        <v>0</v>
      </c>
      <c r="I1121" s="128">
        <v>0</v>
      </c>
    </row>
    <row r="1122" spans="1:9" ht="13.5">
      <c r="A1122" s="128">
        <v>1997</v>
      </c>
      <c r="B1122" s="128" t="s">
        <v>137</v>
      </c>
      <c r="C1122" s="128" t="s">
        <v>24</v>
      </c>
      <c r="D1122" s="128" t="s">
        <v>76</v>
      </c>
      <c r="E1122" s="128" t="s">
        <v>136</v>
      </c>
      <c r="F1122" s="128">
        <v>0</v>
      </c>
      <c r="G1122" s="128">
        <v>0</v>
      </c>
      <c r="H1122" s="128">
        <v>0</v>
      </c>
      <c r="I1122" s="128">
        <v>0</v>
      </c>
    </row>
    <row r="1123" spans="1:9" ht="13.5">
      <c r="A1123" s="128">
        <v>1998</v>
      </c>
      <c r="B1123" s="128" t="s">
        <v>131</v>
      </c>
      <c r="C1123" s="128" t="s">
        <v>26</v>
      </c>
      <c r="D1123" s="128" t="s">
        <v>77</v>
      </c>
      <c r="E1123" s="128" t="s">
        <v>132</v>
      </c>
      <c r="F1123" s="128">
        <v>0</v>
      </c>
      <c r="G1123" s="128">
        <v>0</v>
      </c>
      <c r="H1123" s="128">
        <v>0</v>
      </c>
      <c r="I1123" s="128">
        <v>0</v>
      </c>
    </row>
    <row r="1124" spans="1:9" ht="13.5">
      <c r="A1124" s="128">
        <v>1998</v>
      </c>
      <c r="B1124" s="128" t="s">
        <v>131</v>
      </c>
      <c r="C1124" s="128" t="s">
        <v>26</v>
      </c>
      <c r="D1124" s="128" t="s">
        <v>77</v>
      </c>
      <c r="E1124" s="128" t="s">
        <v>133</v>
      </c>
      <c r="F1124" s="128">
        <v>0</v>
      </c>
      <c r="G1124" s="128">
        <v>0</v>
      </c>
      <c r="H1124" s="128">
        <v>0</v>
      </c>
      <c r="I1124" s="128">
        <v>0</v>
      </c>
    </row>
    <row r="1125" spans="1:9" ht="13.5">
      <c r="A1125" s="128">
        <v>1998</v>
      </c>
      <c r="B1125" s="128" t="s">
        <v>131</v>
      </c>
      <c r="C1125" s="128" t="s">
        <v>26</v>
      </c>
      <c r="D1125" s="128" t="s">
        <v>77</v>
      </c>
      <c r="E1125" s="128" t="s">
        <v>134</v>
      </c>
      <c r="F1125" s="128">
        <v>0</v>
      </c>
      <c r="G1125" s="128">
        <v>0</v>
      </c>
      <c r="H1125" s="128">
        <v>0</v>
      </c>
      <c r="I1125" s="128">
        <v>0</v>
      </c>
    </row>
    <row r="1126" spans="1:9" ht="13.5">
      <c r="A1126" s="128">
        <v>1998</v>
      </c>
      <c r="B1126" s="128" t="s">
        <v>131</v>
      </c>
      <c r="C1126" s="128" t="s">
        <v>26</v>
      </c>
      <c r="D1126" s="128" t="s">
        <v>77</v>
      </c>
      <c r="E1126" s="128" t="s">
        <v>135</v>
      </c>
      <c r="F1126" s="128">
        <v>0</v>
      </c>
      <c r="G1126" s="128">
        <v>0</v>
      </c>
      <c r="H1126" s="128">
        <v>0</v>
      </c>
      <c r="I1126" s="128">
        <v>0</v>
      </c>
    </row>
    <row r="1127" spans="1:9" ht="13.5">
      <c r="A1127" s="128">
        <v>1998</v>
      </c>
      <c r="B1127" s="128" t="s">
        <v>131</v>
      </c>
      <c r="C1127" s="128" t="s">
        <v>26</v>
      </c>
      <c r="D1127" s="128" t="s">
        <v>79</v>
      </c>
      <c r="E1127" s="128" t="s">
        <v>132</v>
      </c>
      <c r="F1127" s="128">
        <v>0</v>
      </c>
      <c r="G1127" s="128">
        <v>0</v>
      </c>
      <c r="H1127" s="128">
        <v>0</v>
      </c>
      <c r="I1127" s="128">
        <v>0</v>
      </c>
    </row>
    <row r="1128" spans="1:9" ht="13.5">
      <c r="A1128" s="128">
        <v>1998</v>
      </c>
      <c r="B1128" s="128" t="s">
        <v>131</v>
      </c>
      <c r="C1128" s="128" t="s">
        <v>26</v>
      </c>
      <c r="D1128" s="128" t="s">
        <v>79</v>
      </c>
      <c r="E1128" s="128" t="s">
        <v>133</v>
      </c>
      <c r="F1128" s="128">
        <v>0</v>
      </c>
      <c r="G1128" s="128">
        <v>0</v>
      </c>
      <c r="H1128" s="128">
        <v>0</v>
      </c>
      <c r="I1128" s="128">
        <v>0</v>
      </c>
    </row>
    <row r="1129" spans="1:9" ht="13.5">
      <c r="A1129" s="128">
        <v>1998</v>
      </c>
      <c r="B1129" s="128" t="s">
        <v>131</v>
      </c>
      <c r="C1129" s="128" t="s">
        <v>26</v>
      </c>
      <c r="D1129" s="128" t="s">
        <v>79</v>
      </c>
      <c r="E1129" s="128" t="s">
        <v>134</v>
      </c>
      <c r="F1129" s="128">
        <v>0</v>
      </c>
      <c r="G1129" s="128">
        <v>0</v>
      </c>
      <c r="H1129" s="128">
        <v>0</v>
      </c>
      <c r="I1129" s="128">
        <v>0</v>
      </c>
    </row>
    <row r="1130" spans="1:9" ht="13.5">
      <c r="A1130" s="128">
        <v>1998</v>
      </c>
      <c r="B1130" s="128" t="s">
        <v>131</v>
      </c>
      <c r="C1130" s="128" t="s">
        <v>26</v>
      </c>
      <c r="D1130" s="128" t="s">
        <v>79</v>
      </c>
      <c r="E1130" s="128" t="s">
        <v>135</v>
      </c>
      <c r="F1130" s="128">
        <v>0</v>
      </c>
      <c r="G1130" s="128">
        <v>0</v>
      </c>
      <c r="H1130" s="128">
        <v>0</v>
      </c>
      <c r="I1130" s="128">
        <v>0</v>
      </c>
    </row>
    <row r="1131" spans="1:9" ht="13.5">
      <c r="A1131" s="128">
        <v>1998</v>
      </c>
      <c r="B1131" s="128" t="s">
        <v>131</v>
      </c>
      <c r="C1131" s="128" t="s">
        <v>26</v>
      </c>
      <c r="D1131" s="128" t="s">
        <v>79</v>
      </c>
      <c r="E1131" s="128" t="s">
        <v>136</v>
      </c>
      <c r="F1131" s="128">
        <v>0</v>
      </c>
      <c r="G1131" s="128">
        <v>0</v>
      </c>
      <c r="H1131" s="128">
        <v>0</v>
      </c>
      <c r="I1131" s="128">
        <v>0</v>
      </c>
    </row>
    <row r="1132" spans="1:9" ht="13.5">
      <c r="A1132" s="128">
        <v>1998</v>
      </c>
      <c r="B1132" s="128" t="s">
        <v>131</v>
      </c>
      <c r="C1132" s="128" t="s">
        <v>26</v>
      </c>
      <c r="D1132" s="128" t="s">
        <v>76</v>
      </c>
      <c r="E1132" s="128" t="s">
        <v>132</v>
      </c>
      <c r="F1132" s="128">
        <v>0</v>
      </c>
      <c r="G1132" s="128">
        <v>0</v>
      </c>
      <c r="H1132" s="128">
        <v>0</v>
      </c>
      <c r="I1132" s="128">
        <v>0</v>
      </c>
    </row>
    <row r="1133" spans="1:9" ht="13.5">
      <c r="A1133" s="128">
        <v>1998</v>
      </c>
      <c r="B1133" s="128" t="s">
        <v>131</v>
      </c>
      <c r="C1133" s="128" t="s">
        <v>26</v>
      </c>
      <c r="D1133" s="128" t="s">
        <v>76</v>
      </c>
      <c r="E1133" s="128" t="s">
        <v>133</v>
      </c>
      <c r="F1133" s="128">
        <v>0</v>
      </c>
      <c r="G1133" s="128">
        <v>0</v>
      </c>
      <c r="H1133" s="128">
        <v>0</v>
      </c>
      <c r="I1133" s="128">
        <v>0</v>
      </c>
    </row>
    <row r="1134" spans="1:9" ht="13.5">
      <c r="A1134" s="128">
        <v>1998</v>
      </c>
      <c r="B1134" s="128" t="s">
        <v>131</v>
      </c>
      <c r="C1134" s="128" t="s">
        <v>26</v>
      </c>
      <c r="D1134" s="128" t="s">
        <v>76</v>
      </c>
      <c r="E1134" s="128" t="s">
        <v>134</v>
      </c>
      <c r="F1134" s="128">
        <v>0</v>
      </c>
      <c r="G1134" s="128">
        <v>0</v>
      </c>
      <c r="H1134" s="128">
        <v>0</v>
      </c>
      <c r="I1134" s="128">
        <v>0</v>
      </c>
    </row>
    <row r="1135" spans="1:9" ht="13.5">
      <c r="A1135" s="128">
        <v>1998</v>
      </c>
      <c r="B1135" s="128" t="s">
        <v>131</v>
      </c>
      <c r="C1135" s="128" t="s">
        <v>26</v>
      </c>
      <c r="D1135" s="128" t="s">
        <v>76</v>
      </c>
      <c r="E1135" s="128" t="s">
        <v>135</v>
      </c>
      <c r="F1135" s="128">
        <v>0</v>
      </c>
      <c r="G1135" s="128">
        <v>0</v>
      </c>
      <c r="H1135" s="128">
        <v>0</v>
      </c>
      <c r="I1135" s="128">
        <v>0</v>
      </c>
    </row>
    <row r="1136" spans="1:9" ht="13.5">
      <c r="A1136" s="128">
        <v>1998</v>
      </c>
      <c r="B1136" s="128" t="s">
        <v>131</v>
      </c>
      <c r="C1136" s="128" t="s">
        <v>26</v>
      </c>
      <c r="D1136" s="128" t="s">
        <v>76</v>
      </c>
      <c r="E1136" s="128" t="s">
        <v>136</v>
      </c>
      <c r="F1136" s="128">
        <v>0</v>
      </c>
      <c r="G1136" s="128">
        <v>0</v>
      </c>
      <c r="H1136" s="128">
        <v>0</v>
      </c>
      <c r="I1136" s="128">
        <v>0</v>
      </c>
    </row>
    <row r="1137" spans="1:9" ht="13.5">
      <c r="A1137" s="128">
        <v>1998</v>
      </c>
      <c r="B1137" s="128" t="s">
        <v>131</v>
      </c>
      <c r="C1137" s="128" t="s">
        <v>20</v>
      </c>
      <c r="D1137" s="128" t="s">
        <v>77</v>
      </c>
      <c r="E1137" s="128" t="s">
        <v>132</v>
      </c>
      <c r="F1137" s="128">
        <v>0</v>
      </c>
      <c r="G1137" s="128">
        <v>0</v>
      </c>
      <c r="H1137" s="128">
        <v>0</v>
      </c>
      <c r="I1137" s="128">
        <v>0</v>
      </c>
    </row>
    <row r="1138" spans="1:9" ht="13.5">
      <c r="A1138" s="128">
        <v>1998</v>
      </c>
      <c r="B1138" s="128" t="s">
        <v>131</v>
      </c>
      <c r="C1138" s="128" t="s">
        <v>20</v>
      </c>
      <c r="D1138" s="128" t="s">
        <v>77</v>
      </c>
      <c r="E1138" s="128" t="s">
        <v>133</v>
      </c>
      <c r="F1138" s="128">
        <v>0</v>
      </c>
      <c r="G1138" s="128">
        <v>0</v>
      </c>
      <c r="H1138" s="128">
        <v>0</v>
      </c>
      <c r="I1138" s="128">
        <v>0</v>
      </c>
    </row>
    <row r="1139" spans="1:9" ht="13.5">
      <c r="A1139" s="128">
        <v>1998</v>
      </c>
      <c r="B1139" s="128" t="s">
        <v>131</v>
      </c>
      <c r="C1139" s="128" t="s">
        <v>20</v>
      </c>
      <c r="D1139" s="128" t="s">
        <v>77</v>
      </c>
      <c r="E1139" s="128" t="s">
        <v>134</v>
      </c>
      <c r="F1139" s="128">
        <v>0</v>
      </c>
      <c r="G1139" s="128">
        <v>0</v>
      </c>
      <c r="H1139" s="128">
        <v>0</v>
      </c>
      <c r="I1139" s="128">
        <v>0</v>
      </c>
    </row>
    <row r="1140" spans="1:9" ht="13.5">
      <c r="A1140" s="128">
        <v>1998</v>
      </c>
      <c r="B1140" s="128" t="s">
        <v>131</v>
      </c>
      <c r="C1140" s="128" t="s">
        <v>20</v>
      </c>
      <c r="D1140" s="128" t="s">
        <v>77</v>
      </c>
      <c r="E1140" s="128" t="s">
        <v>135</v>
      </c>
      <c r="F1140" s="128">
        <v>0</v>
      </c>
      <c r="G1140" s="128">
        <v>0</v>
      </c>
      <c r="H1140" s="128">
        <v>0</v>
      </c>
      <c r="I1140" s="128">
        <v>0</v>
      </c>
    </row>
    <row r="1141" spans="1:9" ht="13.5">
      <c r="A1141" s="128">
        <v>1998</v>
      </c>
      <c r="B1141" s="128" t="s">
        <v>131</v>
      </c>
      <c r="C1141" s="128" t="s">
        <v>20</v>
      </c>
      <c r="D1141" s="128" t="s">
        <v>79</v>
      </c>
      <c r="E1141" s="128" t="s">
        <v>132</v>
      </c>
      <c r="F1141" s="128">
        <v>0</v>
      </c>
      <c r="G1141" s="128">
        <v>0</v>
      </c>
      <c r="H1141" s="128">
        <v>0</v>
      </c>
      <c r="I1141" s="128">
        <v>0</v>
      </c>
    </row>
    <row r="1142" spans="1:9" ht="13.5">
      <c r="A1142" s="128">
        <v>1998</v>
      </c>
      <c r="B1142" s="128" t="s">
        <v>131</v>
      </c>
      <c r="C1142" s="128" t="s">
        <v>20</v>
      </c>
      <c r="D1142" s="128" t="s">
        <v>79</v>
      </c>
      <c r="E1142" s="128" t="s">
        <v>133</v>
      </c>
      <c r="F1142" s="128">
        <v>0</v>
      </c>
      <c r="G1142" s="128">
        <v>0</v>
      </c>
      <c r="H1142" s="128">
        <v>0</v>
      </c>
      <c r="I1142" s="128">
        <v>0</v>
      </c>
    </row>
    <row r="1143" spans="1:9" ht="13.5">
      <c r="A1143" s="128">
        <v>1998</v>
      </c>
      <c r="B1143" s="128" t="s">
        <v>131</v>
      </c>
      <c r="C1143" s="128" t="s">
        <v>20</v>
      </c>
      <c r="D1143" s="128" t="s">
        <v>79</v>
      </c>
      <c r="E1143" s="128" t="s">
        <v>134</v>
      </c>
      <c r="F1143" s="128">
        <v>0</v>
      </c>
      <c r="G1143" s="128">
        <v>0</v>
      </c>
      <c r="H1143" s="128">
        <v>0</v>
      </c>
      <c r="I1143" s="128">
        <v>0</v>
      </c>
    </row>
    <row r="1144" spans="1:9" ht="13.5">
      <c r="A1144" s="128">
        <v>1998</v>
      </c>
      <c r="B1144" s="128" t="s">
        <v>131</v>
      </c>
      <c r="C1144" s="128" t="s">
        <v>20</v>
      </c>
      <c r="D1144" s="128" t="s">
        <v>79</v>
      </c>
      <c r="E1144" s="128" t="s">
        <v>135</v>
      </c>
      <c r="F1144" s="128">
        <v>0</v>
      </c>
      <c r="G1144" s="128">
        <v>0</v>
      </c>
      <c r="H1144" s="128">
        <v>0</v>
      </c>
      <c r="I1144" s="128">
        <v>0</v>
      </c>
    </row>
    <row r="1145" spans="1:9" ht="13.5">
      <c r="A1145" s="128">
        <v>1998</v>
      </c>
      <c r="B1145" s="128" t="s">
        <v>131</v>
      </c>
      <c r="C1145" s="128" t="s">
        <v>20</v>
      </c>
      <c r="D1145" s="128" t="s">
        <v>79</v>
      </c>
      <c r="E1145" s="128" t="s">
        <v>136</v>
      </c>
      <c r="F1145" s="128">
        <v>0</v>
      </c>
      <c r="G1145" s="128">
        <v>0</v>
      </c>
      <c r="H1145" s="128">
        <v>0</v>
      </c>
      <c r="I1145" s="128">
        <v>0</v>
      </c>
    </row>
    <row r="1146" spans="1:9" ht="13.5">
      <c r="A1146" s="128">
        <v>1998</v>
      </c>
      <c r="B1146" s="128" t="s">
        <v>131</v>
      </c>
      <c r="C1146" s="128" t="s">
        <v>20</v>
      </c>
      <c r="D1146" s="128" t="s">
        <v>76</v>
      </c>
      <c r="E1146" s="128" t="s">
        <v>132</v>
      </c>
      <c r="F1146" s="128">
        <v>0</v>
      </c>
      <c r="G1146" s="128">
        <v>0</v>
      </c>
      <c r="H1146" s="128">
        <v>0</v>
      </c>
      <c r="I1146" s="128">
        <v>0</v>
      </c>
    </row>
    <row r="1147" spans="1:9" ht="13.5">
      <c r="A1147" s="128">
        <v>1998</v>
      </c>
      <c r="B1147" s="128" t="s">
        <v>131</v>
      </c>
      <c r="C1147" s="128" t="s">
        <v>20</v>
      </c>
      <c r="D1147" s="128" t="s">
        <v>76</v>
      </c>
      <c r="E1147" s="128" t="s">
        <v>133</v>
      </c>
      <c r="F1147" s="128">
        <v>0</v>
      </c>
      <c r="G1147" s="128">
        <v>0</v>
      </c>
      <c r="H1147" s="128">
        <v>0</v>
      </c>
      <c r="I1147" s="128">
        <v>0</v>
      </c>
    </row>
    <row r="1148" spans="1:9" ht="13.5">
      <c r="A1148" s="128">
        <v>1998</v>
      </c>
      <c r="B1148" s="128" t="s">
        <v>131</v>
      </c>
      <c r="C1148" s="128" t="s">
        <v>20</v>
      </c>
      <c r="D1148" s="128" t="s">
        <v>76</v>
      </c>
      <c r="E1148" s="128" t="s">
        <v>134</v>
      </c>
      <c r="F1148" s="128">
        <v>0</v>
      </c>
      <c r="G1148" s="128">
        <v>0</v>
      </c>
      <c r="H1148" s="128">
        <v>0</v>
      </c>
      <c r="I1148" s="128">
        <v>0</v>
      </c>
    </row>
    <row r="1149" spans="1:9" ht="13.5">
      <c r="A1149" s="128">
        <v>1998</v>
      </c>
      <c r="B1149" s="128" t="s">
        <v>131</v>
      </c>
      <c r="C1149" s="128" t="s">
        <v>20</v>
      </c>
      <c r="D1149" s="128" t="s">
        <v>76</v>
      </c>
      <c r="E1149" s="128" t="s">
        <v>135</v>
      </c>
      <c r="F1149" s="128">
        <v>0</v>
      </c>
      <c r="G1149" s="128">
        <v>0</v>
      </c>
      <c r="H1149" s="128">
        <v>0</v>
      </c>
      <c r="I1149" s="128">
        <v>0</v>
      </c>
    </row>
    <row r="1150" spans="1:9" ht="13.5">
      <c r="A1150" s="128">
        <v>1998</v>
      </c>
      <c r="B1150" s="128" t="s">
        <v>131</v>
      </c>
      <c r="C1150" s="128" t="s">
        <v>20</v>
      </c>
      <c r="D1150" s="128" t="s">
        <v>76</v>
      </c>
      <c r="E1150" s="128" t="s">
        <v>136</v>
      </c>
      <c r="F1150" s="128">
        <v>0</v>
      </c>
      <c r="G1150" s="128">
        <v>0</v>
      </c>
      <c r="H1150" s="128">
        <v>0</v>
      </c>
      <c r="I1150" s="128">
        <v>0</v>
      </c>
    </row>
    <row r="1151" spans="1:9" ht="13.5">
      <c r="A1151" s="128">
        <v>1998</v>
      </c>
      <c r="B1151" s="128" t="s">
        <v>131</v>
      </c>
      <c r="C1151" s="128" t="s">
        <v>27</v>
      </c>
      <c r="D1151" s="128" t="s">
        <v>77</v>
      </c>
      <c r="E1151" s="128" t="s">
        <v>132</v>
      </c>
      <c r="F1151" s="128">
        <v>0</v>
      </c>
      <c r="G1151" s="128">
        <v>0</v>
      </c>
      <c r="H1151" s="128">
        <v>0</v>
      </c>
      <c r="I1151" s="128">
        <v>0</v>
      </c>
    </row>
    <row r="1152" spans="1:9" ht="13.5">
      <c r="A1152" s="128">
        <v>1998</v>
      </c>
      <c r="B1152" s="128" t="s">
        <v>131</v>
      </c>
      <c r="C1152" s="128" t="s">
        <v>27</v>
      </c>
      <c r="D1152" s="128" t="s">
        <v>77</v>
      </c>
      <c r="E1152" s="128" t="s">
        <v>133</v>
      </c>
      <c r="F1152" s="128">
        <v>0</v>
      </c>
      <c r="G1152" s="128">
        <v>0</v>
      </c>
      <c r="H1152" s="128">
        <v>0</v>
      </c>
      <c r="I1152" s="128">
        <v>0</v>
      </c>
    </row>
    <row r="1153" spans="1:9" ht="13.5">
      <c r="A1153" s="128">
        <v>1998</v>
      </c>
      <c r="B1153" s="128" t="s">
        <v>131</v>
      </c>
      <c r="C1153" s="128" t="s">
        <v>27</v>
      </c>
      <c r="D1153" s="128" t="s">
        <v>77</v>
      </c>
      <c r="E1153" s="128" t="s">
        <v>134</v>
      </c>
      <c r="F1153" s="128">
        <v>0</v>
      </c>
      <c r="G1153" s="128">
        <v>0</v>
      </c>
      <c r="H1153" s="128">
        <v>0</v>
      </c>
      <c r="I1153" s="128">
        <v>0</v>
      </c>
    </row>
    <row r="1154" spans="1:9" ht="13.5">
      <c r="A1154" s="128">
        <v>1998</v>
      </c>
      <c r="B1154" s="128" t="s">
        <v>131</v>
      </c>
      <c r="C1154" s="128" t="s">
        <v>27</v>
      </c>
      <c r="D1154" s="128" t="s">
        <v>77</v>
      </c>
      <c r="E1154" s="128" t="s">
        <v>135</v>
      </c>
      <c r="F1154" s="128">
        <v>0</v>
      </c>
      <c r="G1154" s="128">
        <v>0</v>
      </c>
      <c r="H1154" s="128">
        <v>0</v>
      </c>
      <c r="I1154" s="128">
        <v>0</v>
      </c>
    </row>
    <row r="1155" spans="1:9" ht="13.5">
      <c r="A1155" s="128">
        <v>1998</v>
      </c>
      <c r="B1155" s="128" t="s">
        <v>131</v>
      </c>
      <c r="C1155" s="128" t="s">
        <v>27</v>
      </c>
      <c r="D1155" s="128" t="s">
        <v>79</v>
      </c>
      <c r="E1155" s="128" t="s">
        <v>132</v>
      </c>
      <c r="F1155" s="128">
        <v>0</v>
      </c>
      <c r="G1155" s="128">
        <v>0</v>
      </c>
      <c r="H1155" s="128">
        <v>0</v>
      </c>
      <c r="I1155" s="128">
        <v>0</v>
      </c>
    </row>
    <row r="1156" spans="1:9" ht="13.5">
      <c r="A1156" s="128">
        <v>1998</v>
      </c>
      <c r="B1156" s="128" t="s">
        <v>131</v>
      </c>
      <c r="C1156" s="128" t="s">
        <v>27</v>
      </c>
      <c r="D1156" s="128" t="s">
        <v>79</v>
      </c>
      <c r="E1156" s="128" t="s">
        <v>133</v>
      </c>
      <c r="F1156" s="128">
        <v>0</v>
      </c>
      <c r="G1156" s="128">
        <v>0</v>
      </c>
      <c r="H1156" s="128">
        <v>0</v>
      </c>
      <c r="I1156" s="128">
        <v>0</v>
      </c>
    </row>
    <row r="1157" spans="1:9" ht="13.5">
      <c r="A1157" s="128">
        <v>1998</v>
      </c>
      <c r="B1157" s="128" t="s">
        <v>131</v>
      </c>
      <c r="C1157" s="128" t="s">
        <v>27</v>
      </c>
      <c r="D1157" s="128" t="s">
        <v>79</v>
      </c>
      <c r="E1157" s="128" t="s">
        <v>134</v>
      </c>
      <c r="F1157" s="128">
        <v>0</v>
      </c>
      <c r="G1157" s="128">
        <v>0</v>
      </c>
      <c r="H1157" s="128">
        <v>0</v>
      </c>
      <c r="I1157" s="128">
        <v>0</v>
      </c>
    </row>
    <row r="1158" spans="1:9" ht="13.5">
      <c r="A1158" s="128">
        <v>1998</v>
      </c>
      <c r="B1158" s="128" t="s">
        <v>131</v>
      </c>
      <c r="C1158" s="128" t="s">
        <v>27</v>
      </c>
      <c r="D1158" s="128" t="s">
        <v>79</v>
      </c>
      <c r="E1158" s="128" t="s">
        <v>135</v>
      </c>
      <c r="F1158" s="128">
        <v>0</v>
      </c>
      <c r="G1158" s="128">
        <v>0</v>
      </c>
      <c r="H1158" s="128">
        <v>0</v>
      </c>
      <c r="I1158" s="128">
        <v>0</v>
      </c>
    </row>
    <row r="1159" spans="1:9" ht="13.5">
      <c r="A1159" s="128">
        <v>1998</v>
      </c>
      <c r="B1159" s="128" t="s">
        <v>131</v>
      </c>
      <c r="C1159" s="128" t="s">
        <v>27</v>
      </c>
      <c r="D1159" s="128" t="s">
        <v>79</v>
      </c>
      <c r="E1159" s="128" t="s">
        <v>136</v>
      </c>
      <c r="F1159" s="128">
        <v>0</v>
      </c>
      <c r="G1159" s="128">
        <v>0</v>
      </c>
      <c r="H1159" s="128">
        <v>0</v>
      </c>
      <c r="I1159" s="128">
        <v>0</v>
      </c>
    </row>
    <row r="1160" spans="1:9" ht="13.5">
      <c r="A1160" s="128">
        <v>1998</v>
      </c>
      <c r="B1160" s="128" t="s">
        <v>131</v>
      </c>
      <c r="C1160" s="128" t="s">
        <v>27</v>
      </c>
      <c r="D1160" s="128" t="s">
        <v>76</v>
      </c>
      <c r="E1160" s="128" t="s">
        <v>132</v>
      </c>
      <c r="F1160" s="128">
        <v>0</v>
      </c>
      <c r="G1160" s="128">
        <v>0</v>
      </c>
      <c r="H1160" s="128">
        <v>0</v>
      </c>
      <c r="I1160" s="128">
        <v>0</v>
      </c>
    </row>
    <row r="1161" spans="1:9" ht="13.5">
      <c r="A1161" s="128">
        <v>1998</v>
      </c>
      <c r="B1161" s="128" t="s">
        <v>131</v>
      </c>
      <c r="C1161" s="128" t="s">
        <v>27</v>
      </c>
      <c r="D1161" s="128" t="s">
        <v>76</v>
      </c>
      <c r="E1161" s="128" t="s">
        <v>133</v>
      </c>
      <c r="F1161" s="128">
        <v>0</v>
      </c>
      <c r="G1161" s="128">
        <v>0</v>
      </c>
      <c r="H1161" s="128">
        <v>0</v>
      </c>
      <c r="I1161" s="128">
        <v>0</v>
      </c>
    </row>
    <row r="1162" spans="1:9" ht="13.5">
      <c r="A1162" s="128">
        <v>1998</v>
      </c>
      <c r="B1162" s="128" t="s">
        <v>131</v>
      </c>
      <c r="C1162" s="128" t="s">
        <v>27</v>
      </c>
      <c r="D1162" s="128" t="s">
        <v>76</v>
      </c>
      <c r="E1162" s="128" t="s">
        <v>134</v>
      </c>
      <c r="F1162" s="128">
        <v>0</v>
      </c>
      <c r="G1162" s="128">
        <v>0</v>
      </c>
      <c r="H1162" s="128">
        <v>0</v>
      </c>
      <c r="I1162" s="128">
        <v>0</v>
      </c>
    </row>
    <row r="1163" spans="1:9" ht="13.5">
      <c r="A1163" s="128">
        <v>1998</v>
      </c>
      <c r="B1163" s="128" t="s">
        <v>131</v>
      </c>
      <c r="C1163" s="128" t="s">
        <v>27</v>
      </c>
      <c r="D1163" s="128" t="s">
        <v>76</v>
      </c>
      <c r="E1163" s="128" t="s">
        <v>135</v>
      </c>
      <c r="F1163" s="128">
        <v>0</v>
      </c>
      <c r="G1163" s="128">
        <v>0</v>
      </c>
      <c r="H1163" s="128">
        <v>0</v>
      </c>
      <c r="I1163" s="128">
        <v>0</v>
      </c>
    </row>
    <row r="1164" spans="1:9" ht="13.5">
      <c r="A1164" s="128">
        <v>1998</v>
      </c>
      <c r="B1164" s="128" t="s">
        <v>131</v>
      </c>
      <c r="C1164" s="128" t="s">
        <v>27</v>
      </c>
      <c r="D1164" s="128" t="s">
        <v>76</v>
      </c>
      <c r="E1164" s="128" t="s">
        <v>136</v>
      </c>
      <c r="F1164" s="128">
        <v>0</v>
      </c>
      <c r="G1164" s="128">
        <v>0</v>
      </c>
      <c r="H1164" s="128">
        <v>0</v>
      </c>
      <c r="I1164" s="128">
        <v>0</v>
      </c>
    </row>
    <row r="1165" spans="1:9" ht="13.5">
      <c r="A1165" s="128">
        <v>1998</v>
      </c>
      <c r="B1165" s="128" t="s">
        <v>131</v>
      </c>
      <c r="C1165" s="128" t="s">
        <v>22</v>
      </c>
      <c r="D1165" s="128" t="s">
        <v>77</v>
      </c>
      <c r="E1165" s="128" t="s">
        <v>132</v>
      </c>
      <c r="F1165" s="128">
        <v>0</v>
      </c>
      <c r="G1165" s="128">
        <v>0</v>
      </c>
      <c r="H1165" s="128">
        <v>0</v>
      </c>
      <c r="I1165" s="128">
        <v>0</v>
      </c>
    </row>
    <row r="1166" spans="1:9" ht="13.5">
      <c r="A1166" s="128">
        <v>1998</v>
      </c>
      <c r="B1166" s="128" t="s">
        <v>131</v>
      </c>
      <c r="C1166" s="128" t="s">
        <v>22</v>
      </c>
      <c r="D1166" s="128" t="s">
        <v>77</v>
      </c>
      <c r="E1166" s="128" t="s">
        <v>133</v>
      </c>
      <c r="F1166" s="128">
        <v>0</v>
      </c>
      <c r="G1166" s="128">
        <v>0</v>
      </c>
      <c r="H1166" s="128">
        <v>0</v>
      </c>
      <c r="I1166" s="128">
        <v>0</v>
      </c>
    </row>
    <row r="1167" spans="1:9" ht="13.5">
      <c r="A1167" s="128">
        <v>1998</v>
      </c>
      <c r="B1167" s="128" t="s">
        <v>131</v>
      </c>
      <c r="C1167" s="128" t="s">
        <v>22</v>
      </c>
      <c r="D1167" s="128" t="s">
        <v>77</v>
      </c>
      <c r="E1167" s="128" t="s">
        <v>134</v>
      </c>
      <c r="F1167" s="128">
        <v>0</v>
      </c>
      <c r="G1167" s="128">
        <v>0</v>
      </c>
      <c r="H1167" s="128">
        <v>0</v>
      </c>
      <c r="I1167" s="128">
        <v>0</v>
      </c>
    </row>
    <row r="1168" spans="1:9" ht="13.5">
      <c r="A1168" s="128">
        <v>1998</v>
      </c>
      <c r="B1168" s="128" t="s">
        <v>131</v>
      </c>
      <c r="C1168" s="128" t="s">
        <v>22</v>
      </c>
      <c r="D1168" s="128" t="s">
        <v>77</v>
      </c>
      <c r="E1168" s="128" t="s">
        <v>135</v>
      </c>
      <c r="F1168" s="128">
        <v>0</v>
      </c>
      <c r="G1168" s="128">
        <v>0</v>
      </c>
      <c r="H1168" s="128">
        <v>0</v>
      </c>
      <c r="I1168" s="128">
        <v>0</v>
      </c>
    </row>
    <row r="1169" spans="1:9" ht="13.5">
      <c r="A1169" s="128">
        <v>1998</v>
      </c>
      <c r="B1169" s="128" t="s">
        <v>131</v>
      </c>
      <c r="C1169" s="128" t="s">
        <v>22</v>
      </c>
      <c r="D1169" s="128" t="s">
        <v>79</v>
      </c>
      <c r="E1169" s="128" t="s">
        <v>132</v>
      </c>
      <c r="F1169" s="128">
        <v>0</v>
      </c>
      <c r="G1169" s="128">
        <v>0</v>
      </c>
      <c r="H1169" s="128">
        <v>0</v>
      </c>
      <c r="I1169" s="128">
        <v>0</v>
      </c>
    </row>
    <row r="1170" spans="1:9" ht="13.5">
      <c r="A1170" s="128">
        <v>1998</v>
      </c>
      <c r="B1170" s="128" t="s">
        <v>131</v>
      </c>
      <c r="C1170" s="128" t="s">
        <v>22</v>
      </c>
      <c r="D1170" s="128" t="s">
        <v>79</v>
      </c>
      <c r="E1170" s="128" t="s">
        <v>133</v>
      </c>
      <c r="F1170" s="128">
        <v>0</v>
      </c>
      <c r="G1170" s="128">
        <v>0</v>
      </c>
      <c r="H1170" s="128">
        <v>0</v>
      </c>
      <c r="I1170" s="128">
        <v>0</v>
      </c>
    </row>
    <row r="1171" spans="1:9" ht="13.5">
      <c r="A1171" s="128">
        <v>1998</v>
      </c>
      <c r="B1171" s="128" t="s">
        <v>131</v>
      </c>
      <c r="C1171" s="128" t="s">
        <v>22</v>
      </c>
      <c r="D1171" s="128" t="s">
        <v>79</v>
      </c>
      <c r="E1171" s="128" t="s">
        <v>134</v>
      </c>
      <c r="F1171" s="128">
        <v>0</v>
      </c>
      <c r="G1171" s="128">
        <v>0</v>
      </c>
      <c r="H1171" s="128">
        <v>0</v>
      </c>
      <c r="I1171" s="128">
        <v>0</v>
      </c>
    </row>
    <row r="1172" spans="1:9" ht="13.5">
      <c r="A1172" s="128">
        <v>1998</v>
      </c>
      <c r="B1172" s="128" t="s">
        <v>131</v>
      </c>
      <c r="C1172" s="128" t="s">
        <v>22</v>
      </c>
      <c r="D1172" s="128" t="s">
        <v>79</v>
      </c>
      <c r="E1172" s="128" t="s">
        <v>135</v>
      </c>
      <c r="F1172" s="128">
        <v>0</v>
      </c>
      <c r="G1172" s="128">
        <v>0</v>
      </c>
      <c r="H1172" s="128">
        <v>0</v>
      </c>
      <c r="I1172" s="128">
        <v>0</v>
      </c>
    </row>
    <row r="1173" spans="1:9" ht="13.5">
      <c r="A1173" s="128">
        <v>1998</v>
      </c>
      <c r="B1173" s="128" t="s">
        <v>131</v>
      </c>
      <c r="C1173" s="128" t="s">
        <v>22</v>
      </c>
      <c r="D1173" s="128" t="s">
        <v>79</v>
      </c>
      <c r="E1173" s="128" t="s">
        <v>136</v>
      </c>
      <c r="F1173" s="128">
        <v>0</v>
      </c>
      <c r="G1173" s="128">
        <v>0</v>
      </c>
      <c r="H1173" s="128">
        <v>0</v>
      </c>
      <c r="I1173" s="128">
        <v>0</v>
      </c>
    </row>
    <row r="1174" spans="1:9" ht="13.5">
      <c r="A1174" s="128">
        <v>1998</v>
      </c>
      <c r="B1174" s="128" t="s">
        <v>131</v>
      </c>
      <c r="C1174" s="128" t="s">
        <v>22</v>
      </c>
      <c r="D1174" s="128" t="s">
        <v>76</v>
      </c>
      <c r="E1174" s="128" t="s">
        <v>132</v>
      </c>
      <c r="F1174" s="128">
        <v>0</v>
      </c>
      <c r="G1174" s="128">
        <v>0</v>
      </c>
      <c r="H1174" s="128">
        <v>0</v>
      </c>
      <c r="I1174" s="128">
        <v>0</v>
      </c>
    </row>
    <row r="1175" spans="1:9" ht="13.5">
      <c r="A1175" s="128">
        <v>1998</v>
      </c>
      <c r="B1175" s="128" t="s">
        <v>131</v>
      </c>
      <c r="C1175" s="128" t="s">
        <v>22</v>
      </c>
      <c r="D1175" s="128" t="s">
        <v>76</v>
      </c>
      <c r="E1175" s="128" t="s">
        <v>133</v>
      </c>
      <c r="F1175" s="128">
        <v>0</v>
      </c>
      <c r="G1175" s="128">
        <v>0</v>
      </c>
      <c r="H1175" s="128">
        <v>0</v>
      </c>
      <c r="I1175" s="128">
        <v>0</v>
      </c>
    </row>
    <row r="1176" spans="1:9" ht="13.5">
      <c r="A1176" s="128">
        <v>1998</v>
      </c>
      <c r="B1176" s="128" t="s">
        <v>131</v>
      </c>
      <c r="C1176" s="128" t="s">
        <v>22</v>
      </c>
      <c r="D1176" s="128" t="s">
        <v>76</v>
      </c>
      <c r="E1176" s="128" t="s">
        <v>134</v>
      </c>
      <c r="F1176" s="128">
        <v>0</v>
      </c>
      <c r="G1176" s="128">
        <v>0</v>
      </c>
      <c r="H1176" s="128">
        <v>0</v>
      </c>
      <c r="I1176" s="128">
        <v>0</v>
      </c>
    </row>
    <row r="1177" spans="1:9" ht="13.5">
      <c r="A1177" s="128">
        <v>1998</v>
      </c>
      <c r="B1177" s="128" t="s">
        <v>131</v>
      </c>
      <c r="C1177" s="128" t="s">
        <v>22</v>
      </c>
      <c r="D1177" s="128" t="s">
        <v>76</v>
      </c>
      <c r="E1177" s="128" t="s">
        <v>135</v>
      </c>
      <c r="F1177" s="128">
        <v>0</v>
      </c>
      <c r="G1177" s="128">
        <v>0</v>
      </c>
      <c r="H1177" s="128">
        <v>0</v>
      </c>
      <c r="I1177" s="128">
        <v>0</v>
      </c>
    </row>
    <row r="1178" spans="1:9" ht="13.5">
      <c r="A1178" s="128">
        <v>1998</v>
      </c>
      <c r="B1178" s="128" t="s">
        <v>131</v>
      </c>
      <c r="C1178" s="128" t="s">
        <v>22</v>
      </c>
      <c r="D1178" s="128" t="s">
        <v>76</v>
      </c>
      <c r="E1178" s="128" t="s">
        <v>136</v>
      </c>
      <c r="F1178" s="128">
        <v>0</v>
      </c>
      <c r="G1178" s="128">
        <v>0</v>
      </c>
      <c r="H1178" s="128">
        <v>0</v>
      </c>
      <c r="I1178" s="128">
        <v>0</v>
      </c>
    </row>
    <row r="1179" spans="1:9" ht="13.5">
      <c r="A1179" s="128">
        <v>1998</v>
      </c>
      <c r="B1179" s="128" t="s">
        <v>131</v>
      </c>
      <c r="C1179" s="128" t="s">
        <v>23</v>
      </c>
      <c r="D1179" s="128" t="s">
        <v>77</v>
      </c>
      <c r="E1179" s="128" t="s">
        <v>132</v>
      </c>
      <c r="F1179" s="128">
        <v>0</v>
      </c>
      <c r="G1179" s="128">
        <v>0</v>
      </c>
      <c r="H1179" s="128">
        <v>0</v>
      </c>
      <c r="I1179" s="128">
        <v>0</v>
      </c>
    </row>
    <row r="1180" spans="1:9" ht="13.5">
      <c r="A1180" s="128">
        <v>1998</v>
      </c>
      <c r="B1180" s="128" t="s">
        <v>131</v>
      </c>
      <c r="C1180" s="128" t="s">
        <v>23</v>
      </c>
      <c r="D1180" s="128" t="s">
        <v>77</v>
      </c>
      <c r="E1180" s="128" t="s">
        <v>133</v>
      </c>
      <c r="F1180" s="128">
        <v>0</v>
      </c>
      <c r="G1180" s="128">
        <v>0</v>
      </c>
      <c r="H1180" s="128">
        <v>0</v>
      </c>
      <c r="I1180" s="128">
        <v>0</v>
      </c>
    </row>
    <row r="1181" spans="1:9" ht="13.5">
      <c r="A1181" s="128">
        <v>1998</v>
      </c>
      <c r="B1181" s="128" t="s">
        <v>131</v>
      </c>
      <c r="C1181" s="128" t="s">
        <v>23</v>
      </c>
      <c r="D1181" s="128" t="s">
        <v>77</v>
      </c>
      <c r="E1181" s="128" t="s">
        <v>134</v>
      </c>
      <c r="F1181" s="128">
        <v>0</v>
      </c>
      <c r="G1181" s="128">
        <v>0</v>
      </c>
      <c r="H1181" s="128">
        <v>0</v>
      </c>
      <c r="I1181" s="128">
        <v>0</v>
      </c>
    </row>
    <row r="1182" spans="1:9" ht="13.5">
      <c r="A1182" s="128">
        <v>1998</v>
      </c>
      <c r="B1182" s="128" t="s">
        <v>131</v>
      </c>
      <c r="C1182" s="128" t="s">
        <v>23</v>
      </c>
      <c r="D1182" s="128" t="s">
        <v>77</v>
      </c>
      <c r="E1182" s="128" t="s">
        <v>135</v>
      </c>
      <c r="F1182" s="128">
        <v>0</v>
      </c>
      <c r="G1182" s="128">
        <v>0</v>
      </c>
      <c r="H1182" s="128">
        <v>0</v>
      </c>
      <c r="I1182" s="128">
        <v>0</v>
      </c>
    </row>
    <row r="1183" spans="1:9" ht="13.5">
      <c r="A1183" s="128">
        <v>1998</v>
      </c>
      <c r="B1183" s="128" t="s">
        <v>131</v>
      </c>
      <c r="C1183" s="128" t="s">
        <v>23</v>
      </c>
      <c r="D1183" s="128" t="s">
        <v>79</v>
      </c>
      <c r="E1183" s="128" t="s">
        <v>132</v>
      </c>
      <c r="F1183" s="128">
        <v>0</v>
      </c>
      <c r="G1183" s="128">
        <v>0</v>
      </c>
      <c r="H1183" s="128">
        <v>0</v>
      </c>
      <c r="I1183" s="128">
        <v>0</v>
      </c>
    </row>
    <row r="1184" spans="1:9" ht="13.5">
      <c r="A1184" s="128">
        <v>1998</v>
      </c>
      <c r="B1184" s="128" t="s">
        <v>131</v>
      </c>
      <c r="C1184" s="128" t="s">
        <v>23</v>
      </c>
      <c r="D1184" s="128" t="s">
        <v>79</v>
      </c>
      <c r="E1184" s="128" t="s">
        <v>133</v>
      </c>
      <c r="F1184" s="128">
        <v>0</v>
      </c>
      <c r="G1184" s="128">
        <v>0</v>
      </c>
      <c r="H1184" s="128">
        <v>0</v>
      </c>
      <c r="I1184" s="128">
        <v>0</v>
      </c>
    </row>
    <row r="1185" spans="1:9" ht="13.5">
      <c r="A1185" s="128">
        <v>1998</v>
      </c>
      <c r="B1185" s="128" t="s">
        <v>131</v>
      </c>
      <c r="C1185" s="128" t="s">
        <v>23</v>
      </c>
      <c r="D1185" s="128" t="s">
        <v>79</v>
      </c>
      <c r="E1185" s="128" t="s">
        <v>134</v>
      </c>
      <c r="F1185" s="128">
        <v>0</v>
      </c>
      <c r="G1185" s="128">
        <v>0</v>
      </c>
      <c r="H1185" s="128">
        <v>0</v>
      </c>
      <c r="I1185" s="128">
        <v>0</v>
      </c>
    </row>
    <row r="1186" spans="1:9" ht="13.5">
      <c r="A1186" s="128">
        <v>1998</v>
      </c>
      <c r="B1186" s="128" t="s">
        <v>131</v>
      </c>
      <c r="C1186" s="128" t="s">
        <v>23</v>
      </c>
      <c r="D1186" s="128" t="s">
        <v>79</v>
      </c>
      <c r="E1186" s="128" t="s">
        <v>135</v>
      </c>
      <c r="F1186" s="128">
        <v>0</v>
      </c>
      <c r="G1186" s="128">
        <v>0</v>
      </c>
      <c r="H1186" s="128">
        <v>0</v>
      </c>
      <c r="I1186" s="128">
        <v>0</v>
      </c>
    </row>
    <row r="1187" spans="1:9" ht="13.5">
      <c r="A1187" s="128">
        <v>1998</v>
      </c>
      <c r="B1187" s="128" t="s">
        <v>131</v>
      </c>
      <c r="C1187" s="128" t="s">
        <v>23</v>
      </c>
      <c r="D1187" s="128" t="s">
        <v>79</v>
      </c>
      <c r="E1187" s="128" t="s">
        <v>136</v>
      </c>
      <c r="F1187" s="128">
        <v>0</v>
      </c>
      <c r="G1187" s="128">
        <v>0</v>
      </c>
      <c r="H1187" s="128">
        <v>0</v>
      </c>
      <c r="I1187" s="128">
        <v>0</v>
      </c>
    </row>
    <row r="1188" spans="1:9" ht="13.5">
      <c r="A1188" s="128">
        <v>1998</v>
      </c>
      <c r="B1188" s="128" t="s">
        <v>131</v>
      </c>
      <c r="C1188" s="128" t="s">
        <v>23</v>
      </c>
      <c r="D1188" s="128" t="s">
        <v>76</v>
      </c>
      <c r="E1188" s="128" t="s">
        <v>132</v>
      </c>
      <c r="F1188" s="128">
        <v>0</v>
      </c>
      <c r="G1188" s="128">
        <v>0</v>
      </c>
      <c r="H1188" s="128">
        <v>0</v>
      </c>
      <c r="I1188" s="128">
        <v>0</v>
      </c>
    </row>
    <row r="1189" spans="1:9" ht="13.5">
      <c r="A1189" s="128">
        <v>1998</v>
      </c>
      <c r="B1189" s="128" t="s">
        <v>131</v>
      </c>
      <c r="C1189" s="128" t="s">
        <v>23</v>
      </c>
      <c r="D1189" s="128" t="s">
        <v>76</v>
      </c>
      <c r="E1189" s="128" t="s">
        <v>133</v>
      </c>
      <c r="F1189" s="128">
        <v>0</v>
      </c>
      <c r="G1189" s="128">
        <v>0</v>
      </c>
      <c r="H1189" s="128">
        <v>0</v>
      </c>
      <c r="I1189" s="128">
        <v>0</v>
      </c>
    </row>
    <row r="1190" spans="1:9" ht="13.5">
      <c r="A1190" s="128">
        <v>1998</v>
      </c>
      <c r="B1190" s="128" t="s">
        <v>131</v>
      </c>
      <c r="C1190" s="128" t="s">
        <v>23</v>
      </c>
      <c r="D1190" s="128" t="s">
        <v>76</v>
      </c>
      <c r="E1190" s="128" t="s">
        <v>134</v>
      </c>
      <c r="F1190" s="128">
        <v>0</v>
      </c>
      <c r="G1190" s="128">
        <v>0</v>
      </c>
      <c r="H1190" s="128">
        <v>0</v>
      </c>
      <c r="I1190" s="128">
        <v>0</v>
      </c>
    </row>
    <row r="1191" spans="1:9" ht="13.5">
      <c r="A1191" s="128">
        <v>1998</v>
      </c>
      <c r="B1191" s="128" t="s">
        <v>131</v>
      </c>
      <c r="C1191" s="128" t="s">
        <v>23</v>
      </c>
      <c r="D1191" s="128" t="s">
        <v>76</v>
      </c>
      <c r="E1191" s="128" t="s">
        <v>135</v>
      </c>
      <c r="F1191" s="128">
        <v>0</v>
      </c>
      <c r="G1191" s="128">
        <v>0</v>
      </c>
      <c r="H1191" s="128">
        <v>0</v>
      </c>
      <c r="I1191" s="128">
        <v>0</v>
      </c>
    </row>
    <row r="1192" spans="1:9" ht="13.5">
      <c r="A1192" s="128">
        <v>1998</v>
      </c>
      <c r="B1192" s="128" t="s">
        <v>131</v>
      </c>
      <c r="C1192" s="128" t="s">
        <v>23</v>
      </c>
      <c r="D1192" s="128" t="s">
        <v>76</v>
      </c>
      <c r="E1192" s="128" t="s">
        <v>136</v>
      </c>
      <c r="F1192" s="128">
        <v>0</v>
      </c>
      <c r="G1192" s="128">
        <v>0</v>
      </c>
      <c r="H1192" s="128">
        <v>0</v>
      </c>
      <c r="I1192" s="128">
        <v>0</v>
      </c>
    </row>
    <row r="1193" spans="1:9" ht="13.5">
      <c r="A1193" s="128">
        <v>1998</v>
      </c>
      <c r="B1193" s="128" t="s">
        <v>131</v>
      </c>
      <c r="C1193" s="128" t="s">
        <v>25</v>
      </c>
      <c r="D1193" s="128" t="s">
        <v>77</v>
      </c>
      <c r="E1193" s="128" t="s">
        <v>132</v>
      </c>
      <c r="F1193" s="128">
        <v>0</v>
      </c>
      <c r="G1193" s="128">
        <v>0</v>
      </c>
      <c r="H1193" s="128">
        <v>0</v>
      </c>
      <c r="I1193" s="128">
        <v>0</v>
      </c>
    </row>
    <row r="1194" spans="1:9" ht="13.5">
      <c r="A1194" s="128">
        <v>1998</v>
      </c>
      <c r="B1194" s="128" t="s">
        <v>131</v>
      </c>
      <c r="C1194" s="128" t="s">
        <v>25</v>
      </c>
      <c r="D1194" s="128" t="s">
        <v>77</v>
      </c>
      <c r="E1194" s="128" t="s">
        <v>133</v>
      </c>
      <c r="F1194" s="128">
        <v>0</v>
      </c>
      <c r="G1194" s="128">
        <v>0</v>
      </c>
      <c r="H1194" s="128">
        <v>0</v>
      </c>
      <c r="I1194" s="128">
        <v>0</v>
      </c>
    </row>
    <row r="1195" spans="1:9" ht="13.5">
      <c r="A1195" s="128">
        <v>1998</v>
      </c>
      <c r="B1195" s="128" t="s">
        <v>131</v>
      </c>
      <c r="C1195" s="128" t="s">
        <v>25</v>
      </c>
      <c r="D1195" s="128" t="s">
        <v>77</v>
      </c>
      <c r="E1195" s="128" t="s">
        <v>134</v>
      </c>
      <c r="F1195" s="128">
        <v>0</v>
      </c>
      <c r="G1195" s="128">
        <v>0</v>
      </c>
      <c r="H1195" s="128">
        <v>0</v>
      </c>
      <c r="I1195" s="128">
        <v>0</v>
      </c>
    </row>
    <row r="1196" spans="1:9" ht="13.5">
      <c r="A1196" s="128">
        <v>1998</v>
      </c>
      <c r="B1196" s="128" t="s">
        <v>131</v>
      </c>
      <c r="C1196" s="128" t="s">
        <v>25</v>
      </c>
      <c r="D1196" s="128" t="s">
        <v>77</v>
      </c>
      <c r="E1196" s="128" t="s">
        <v>135</v>
      </c>
      <c r="F1196" s="128">
        <v>0</v>
      </c>
      <c r="G1196" s="128">
        <v>0</v>
      </c>
      <c r="H1196" s="128">
        <v>0</v>
      </c>
      <c r="I1196" s="128">
        <v>0</v>
      </c>
    </row>
    <row r="1197" spans="1:9" ht="13.5">
      <c r="A1197" s="128">
        <v>1998</v>
      </c>
      <c r="B1197" s="128" t="s">
        <v>131</v>
      </c>
      <c r="C1197" s="128" t="s">
        <v>25</v>
      </c>
      <c r="D1197" s="128" t="s">
        <v>79</v>
      </c>
      <c r="E1197" s="128" t="s">
        <v>132</v>
      </c>
      <c r="F1197" s="128">
        <v>0</v>
      </c>
      <c r="G1197" s="128">
        <v>0</v>
      </c>
      <c r="H1197" s="128">
        <v>0</v>
      </c>
      <c r="I1197" s="128">
        <v>0</v>
      </c>
    </row>
    <row r="1198" spans="1:9" ht="13.5">
      <c r="A1198" s="128">
        <v>1998</v>
      </c>
      <c r="B1198" s="128" t="s">
        <v>131</v>
      </c>
      <c r="C1198" s="128" t="s">
        <v>25</v>
      </c>
      <c r="D1198" s="128" t="s">
        <v>79</v>
      </c>
      <c r="E1198" s="128" t="s">
        <v>133</v>
      </c>
      <c r="F1198" s="128">
        <v>0</v>
      </c>
      <c r="G1198" s="128">
        <v>0</v>
      </c>
      <c r="H1198" s="128">
        <v>0</v>
      </c>
      <c r="I1198" s="128">
        <v>0</v>
      </c>
    </row>
    <row r="1199" spans="1:9" ht="13.5">
      <c r="A1199" s="128">
        <v>1998</v>
      </c>
      <c r="B1199" s="128" t="s">
        <v>131</v>
      </c>
      <c r="C1199" s="128" t="s">
        <v>25</v>
      </c>
      <c r="D1199" s="128" t="s">
        <v>79</v>
      </c>
      <c r="E1199" s="128" t="s">
        <v>134</v>
      </c>
      <c r="F1199" s="128">
        <v>0</v>
      </c>
      <c r="G1199" s="128">
        <v>0</v>
      </c>
      <c r="H1199" s="128">
        <v>0</v>
      </c>
      <c r="I1199" s="128">
        <v>0</v>
      </c>
    </row>
    <row r="1200" spans="1:9" ht="13.5">
      <c r="A1200" s="128">
        <v>1998</v>
      </c>
      <c r="B1200" s="128" t="s">
        <v>131</v>
      </c>
      <c r="C1200" s="128" t="s">
        <v>25</v>
      </c>
      <c r="D1200" s="128" t="s">
        <v>79</v>
      </c>
      <c r="E1200" s="128" t="s">
        <v>135</v>
      </c>
      <c r="F1200" s="128">
        <v>0</v>
      </c>
      <c r="G1200" s="128">
        <v>0</v>
      </c>
      <c r="H1200" s="128">
        <v>0</v>
      </c>
      <c r="I1200" s="128">
        <v>0</v>
      </c>
    </row>
    <row r="1201" spans="1:9" ht="13.5">
      <c r="A1201" s="128">
        <v>1998</v>
      </c>
      <c r="B1201" s="128" t="s">
        <v>131</v>
      </c>
      <c r="C1201" s="128" t="s">
        <v>25</v>
      </c>
      <c r="D1201" s="128" t="s">
        <v>79</v>
      </c>
      <c r="E1201" s="128" t="s">
        <v>136</v>
      </c>
      <c r="F1201" s="128">
        <v>0</v>
      </c>
      <c r="G1201" s="128">
        <v>0</v>
      </c>
      <c r="H1201" s="128">
        <v>0</v>
      </c>
      <c r="I1201" s="128">
        <v>0</v>
      </c>
    </row>
    <row r="1202" spans="1:9" ht="13.5">
      <c r="A1202" s="128">
        <v>1998</v>
      </c>
      <c r="B1202" s="128" t="s">
        <v>131</v>
      </c>
      <c r="C1202" s="128" t="s">
        <v>25</v>
      </c>
      <c r="D1202" s="128" t="s">
        <v>76</v>
      </c>
      <c r="E1202" s="128" t="s">
        <v>132</v>
      </c>
      <c r="F1202" s="128">
        <v>0</v>
      </c>
      <c r="G1202" s="128">
        <v>0</v>
      </c>
      <c r="H1202" s="128">
        <v>0</v>
      </c>
      <c r="I1202" s="128">
        <v>0</v>
      </c>
    </row>
    <row r="1203" spans="1:9" ht="13.5">
      <c r="A1203" s="128">
        <v>1998</v>
      </c>
      <c r="B1203" s="128" t="s">
        <v>131</v>
      </c>
      <c r="C1203" s="128" t="s">
        <v>25</v>
      </c>
      <c r="D1203" s="128" t="s">
        <v>76</v>
      </c>
      <c r="E1203" s="128" t="s">
        <v>133</v>
      </c>
      <c r="F1203" s="128">
        <v>0</v>
      </c>
      <c r="G1203" s="128">
        <v>0</v>
      </c>
      <c r="H1203" s="128">
        <v>0</v>
      </c>
      <c r="I1203" s="128">
        <v>0</v>
      </c>
    </row>
    <row r="1204" spans="1:9" ht="13.5">
      <c r="A1204" s="128">
        <v>1998</v>
      </c>
      <c r="B1204" s="128" t="s">
        <v>131</v>
      </c>
      <c r="C1204" s="128" t="s">
        <v>25</v>
      </c>
      <c r="D1204" s="128" t="s">
        <v>76</v>
      </c>
      <c r="E1204" s="128" t="s">
        <v>134</v>
      </c>
      <c r="F1204" s="128">
        <v>0</v>
      </c>
      <c r="G1204" s="128">
        <v>0</v>
      </c>
      <c r="H1204" s="128">
        <v>0</v>
      </c>
      <c r="I1204" s="128">
        <v>0</v>
      </c>
    </row>
    <row r="1205" spans="1:9" ht="13.5">
      <c r="A1205" s="128">
        <v>1998</v>
      </c>
      <c r="B1205" s="128" t="s">
        <v>131</v>
      </c>
      <c r="C1205" s="128" t="s">
        <v>25</v>
      </c>
      <c r="D1205" s="128" t="s">
        <v>76</v>
      </c>
      <c r="E1205" s="128" t="s">
        <v>135</v>
      </c>
      <c r="F1205" s="128">
        <v>0</v>
      </c>
      <c r="G1205" s="128">
        <v>0</v>
      </c>
      <c r="H1205" s="128">
        <v>0</v>
      </c>
      <c r="I1205" s="128">
        <v>0</v>
      </c>
    </row>
    <row r="1206" spans="1:9" ht="13.5">
      <c r="A1206" s="128">
        <v>1998</v>
      </c>
      <c r="B1206" s="128" t="s">
        <v>131</v>
      </c>
      <c r="C1206" s="128" t="s">
        <v>25</v>
      </c>
      <c r="D1206" s="128" t="s">
        <v>76</v>
      </c>
      <c r="E1206" s="128" t="s">
        <v>136</v>
      </c>
      <c r="F1206" s="128">
        <v>0</v>
      </c>
      <c r="G1206" s="128">
        <v>0</v>
      </c>
      <c r="H1206" s="128">
        <v>0</v>
      </c>
      <c r="I1206" s="128">
        <v>0</v>
      </c>
    </row>
    <row r="1207" spans="1:9" ht="13.5">
      <c r="A1207" s="128">
        <v>1998</v>
      </c>
      <c r="B1207" s="128" t="s">
        <v>131</v>
      </c>
      <c r="C1207" s="128" t="s">
        <v>21</v>
      </c>
      <c r="D1207" s="128" t="s">
        <v>77</v>
      </c>
      <c r="E1207" s="128" t="s">
        <v>132</v>
      </c>
      <c r="F1207" s="128">
        <v>0</v>
      </c>
      <c r="G1207" s="128">
        <v>0</v>
      </c>
      <c r="H1207" s="128">
        <v>0</v>
      </c>
      <c r="I1207" s="128">
        <v>0</v>
      </c>
    </row>
    <row r="1208" spans="1:9" ht="13.5">
      <c r="A1208" s="128">
        <v>1998</v>
      </c>
      <c r="B1208" s="128" t="s">
        <v>131</v>
      </c>
      <c r="C1208" s="128" t="s">
        <v>21</v>
      </c>
      <c r="D1208" s="128" t="s">
        <v>77</v>
      </c>
      <c r="E1208" s="128" t="s">
        <v>133</v>
      </c>
      <c r="F1208" s="128">
        <v>0</v>
      </c>
      <c r="G1208" s="128">
        <v>0</v>
      </c>
      <c r="H1208" s="128">
        <v>0</v>
      </c>
      <c r="I1208" s="128">
        <v>0</v>
      </c>
    </row>
    <row r="1209" spans="1:9" ht="13.5">
      <c r="A1209" s="128">
        <v>1998</v>
      </c>
      <c r="B1209" s="128" t="s">
        <v>131</v>
      </c>
      <c r="C1209" s="128" t="s">
        <v>21</v>
      </c>
      <c r="D1209" s="128" t="s">
        <v>77</v>
      </c>
      <c r="E1209" s="128" t="s">
        <v>134</v>
      </c>
      <c r="F1209" s="128">
        <v>0</v>
      </c>
      <c r="G1209" s="128">
        <v>0</v>
      </c>
      <c r="H1209" s="128">
        <v>0</v>
      </c>
      <c r="I1209" s="128">
        <v>0</v>
      </c>
    </row>
    <row r="1210" spans="1:9" ht="13.5">
      <c r="A1210" s="128">
        <v>1998</v>
      </c>
      <c r="B1210" s="128" t="s">
        <v>131</v>
      </c>
      <c r="C1210" s="128" t="s">
        <v>21</v>
      </c>
      <c r="D1210" s="128" t="s">
        <v>77</v>
      </c>
      <c r="E1210" s="128" t="s">
        <v>135</v>
      </c>
      <c r="F1210" s="128">
        <v>0</v>
      </c>
      <c r="G1210" s="128">
        <v>0</v>
      </c>
      <c r="H1210" s="128">
        <v>0</v>
      </c>
      <c r="I1210" s="128">
        <v>0</v>
      </c>
    </row>
    <row r="1211" spans="1:9" ht="13.5">
      <c r="A1211" s="128">
        <v>1998</v>
      </c>
      <c r="B1211" s="128" t="s">
        <v>131</v>
      </c>
      <c r="C1211" s="128" t="s">
        <v>21</v>
      </c>
      <c r="D1211" s="128" t="s">
        <v>79</v>
      </c>
      <c r="E1211" s="128" t="s">
        <v>132</v>
      </c>
      <c r="F1211" s="128">
        <v>0</v>
      </c>
      <c r="G1211" s="128">
        <v>0</v>
      </c>
      <c r="H1211" s="128">
        <v>0</v>
      </c>
      <c r="I1211" s="128">
        <v>0</v>
      </c>
    </row>
    <row r="1212" spans="1:9" ht="13.5">
      <c r="A1212" s="128">
        <v>1998</v>
      </c>
      <c r="B1212" s="128" t="s">
        <v>131</v>
      </c>
      <c r="C1212" s="128" t="s">
        <v>21</v>
      </c>
      <c r="D1212" s="128" t="s">
        <v>79</v>
      </c>
      <c r="E1212" s="128" t="s">
        <v>133</v>
      </c>
      <c r="F1212" s="128">
        <v>0</v>
      </c>
      <c r="G1212" s="128">
        <v>0</v>
      </c>
      <c r="H1212" s="128">
        <v>0</v>
      </c>
      <c r="I1212" s="128">
        <v>0</v>
      </c>
    </row>
    <row r="1213" spans="1:9" ht="13.5">
      <c r="A1213" s="128">
        <v>1998</v>
      </c>
      <c r="B1213" s="128" t="s">
        <v>131</v>
      </c>
      <c r="C1213" s="128" t="s">
        <v>21</v>
      </c>
      <c r="D1213" s="128" t="s">
        <v>79</v>
      </c>
      <c r="E1213" s="128" t="s">
        <v>134</v>
      </c>
      <c r="F1213" s="128">
        <v>0</v>
      </c>
      <c r="G1213" s="128">
        <v>0</v>
      </c>
      <c r="H1213" s="128">
        <v>0</v>
      </c>
      <c r="I1213" s="128">
        <v>0</v>
      </c>
    </row>
    <row r="1214" spans="1:9" ht="13.5">
      <c r="A1214" s="128">
        <v>1998</v>
      </c>
      <c r="B1214" s="128" t="s">
        <v>131</v>
      </c>
      <c r="C1214" s="128" t="s">
        <v>21</v>
      </c>
      <c r="D1214" s="128" t="s">
        <v>79</v>
      </c>
      <c r="E1214" s="128" t="s">
        <v>135</v>
      </c>
      <c r="F1214" s="128">
        <v>0</v>
      </c>
      <c r="G1214" s="128">
        <v>0</v>
      </c>
      <c r="H1214" s="128">
        <v>0</v>
      </c>
      <c r="I1214" s="128">
        <v>0</v>
      </c>
    </row>
    <row r="1215" spans="1:9" ht="13.5">
      <c r="A1215" s="128">
        <v>1998</v>
      </c>
      <c r="B1215" s="128" t="s">
        <v>131</v>
      </c>
      <c r="C1215" s="128" t="s">
        <v>21</v>
      </c>
      <c r="D1215" s="128" t="s">
        <v>79</v>
      </c>
      <c r="E1215" s="128" t="s">
        <v>136</v>
      </c>
      <c r="F1215" s="128">
        <v>0</v>
      </c>
      <c r="G1215" s="128">
        <v>0</v>
      </c>
      <c r="H1215" s="128">
        <v>0</v>
      </c>
      <c r="I1215" s="128">
        <v>0</v>
      </c>
    </row>
    <row r="1216" spans="1:9" ht="13.5">
      <c r="A1216" s="128">
        <v>1998</v>
      </c>
      <c r="B1216" s="128" t="s">
        <v>131</v>
      </c>
      <c r="C1216" s="128" t="s">
        <v>21</v>
      </c>
      <c r="D1216" s="128" t="s">
        <v>76</v>
      </c>
      <c r="E1216" s="128" t="s">
        <v>132</v>
      </c>
      <c r="F1216" s="128">
        <v>0</v>
      </c>
      <c r="G1216" s="128">
        <v>0</v>
      </c>
      <c r="H1216" s="128">
        <v>0</v>
      </c>
      <c r="I1216" s="128">
        <v>0</v>
      </c>
    </row>
    <row r="1217" spans="1:9" ht="13.5">
      <c r="A1217" s="128">
        <v>1998</v>
      </c>
      <c r="B1217" s="128" t="s">
        <v>131</v>
      </c>
      <c r="C1217" s="128" t="s">
        <v>21</v>
      </c>
      <c r="D1217" s="128" t="s">
        <v>76</v>
      </c>
      <c r="E1217" s="128" t="s">
        <v>133</v>
      </c>
      <c r="F1217" s="128">
        <v>0</v>
      </c>
      <c r="G1217" s="128">
        <v>0</v>
      </c>
      <c r="H1217" s="128">
        <v>0</v>
      </c>
      <c r="I1217" s="128">
        <v>0</v>
      </c>
    </row>
    <row r="1218" spans="1:9" ht="13.5">
      <c r="A1218" s="128">
        <v>1998</v>
      </c>
      <c r="B1218" s="128" t="s">
        <v>131</v>
      </c>
      <c r="C1218" s="128" t="s">
        <v>21</v>
      </c>
      <c r="D1218" s="128" t="s">
        <v>76</v>
      </c>
      <c r="E1218" s="128" t="s">
        <v>134</v>
      </c>
      <c r="F1218" s="128">
        <v>0</v>
      </c>
      <c r="G1218" s="128">
        <v>0</v>
      </c>
      <c r="H1218" s="128">
        <v>0</v>
      </c>
      <c r="I1218" s="128">
        <v>0</v>
      </c>
    </row>
    <row r="1219" spans="1:9" ht="13.5">
      <c r="A1219" s="128">
        <v>1998</v>
      </c>
      <c r="B1219" s="128" t="s">
        <v>131</v>
      </c>
      <c r="C1219" s="128" t="s">
        <v>21</v>
      </c>
      <c r="D1219" s="128" t="s">
        <v>76</v>
      </c>
      <c r="E1219" s="128" t="s">
        <v>135</v>
      </c>
      <c r="F1219" s="128">
        <v>0</v>
      </c>
      <c r="G1219" s="128">
        <v>0</v>
      </c>
      <c r="H1219" s="128">
        <v>0</v>
      </c>
      <c r="I1219" s="128">
        <v>0</v>
      </c>
    </row>
    <row r="1220" spans="1:9" ht="13.5">
      <c r="A1220" s="128">
        <v>1998</v>
      </c>
      <c r="B1220" s="128" t="s">
        <v>131</v>
      </c>
      <c r="C1220" s="128" t="s">
        <v>21</v>
      </c>
      <c r="D1220" s="128" t="s">
        <v>76</v>
      </c>
      <c r="E1220" s="128" t="s">
        <v>136</v>
      </c>
      <c r="F1220" s="128">
        <v>0</v>
      </c>
      <c r="G1220" s="128">
        <v>0</v>
      </c>
      <c r="H1220" s="128">
        <v>0</v>
      </c>
      <c r="I1220" s="128">
        <v>0</v>
      </c>
    </row>
    <row r="1221" spans="1:9" ht="13.5">
      <c r="A1221" s="128">
        <v>1998</v>
      </c>
      <c r="B1221" s="128" t="s">
        <v>131</v>
      </c>
      <c r="C1221" s="128" t="s">
        <v>24</v>
      </c>
      <c r="D1221" s="128" t="s">
        <v>77</v>
      </c>
      <c r="E1221" s="128" t="s">
        <v>132</v>
      </c>
      <c r="F1221" s="128">
        <v>0</v>
      </c>
      <c r="G1221" s="128">
        <v>0</v>
      </c>
      <c r="H1221" s="128">
        <v>0</v>
      </c>
      <c r="I1221" s="128">
        <v>0</v>
      </c>
    </row>
    <row r="1222" spans="1:9" ht="13.5">
      <c r="A1222" s="128">
        <v>1998</v>
      </c>
      <c r="B1222" s="128" t="s">
        <v>131</v>
      </c>
      <c r="C1222" s="128" t="s">
        <v>24</v>
      </c>
      <c r="D1222" s="128" t="s">
        <v>77</v>
      </c>
      <c r="E1222" s="128" t="s">
        <v>133</v>
      </c>
      <c r="F1222" s="128">
        <v>0</v>
      </c>
      <c r="G1222" s="128">
        <v>0</v>
      </c>
      <c r="H1222" s="128">
        <v>0</v>
      </c>
      <c r="I1222" s="128">
        <v>0</v>
      </c>
    </row>
    <row r="1223" spans="1:9" ht="13.5">
      <c r="A1223" s="128">
        <v>1998</v>
      </c>
      <c r="B1223" s="128" t="s">
        <v>131</v>
      </c>
      <c r="C1223" s="128" t="s">
        <v>24</v>
      </c>
      <c r="D1223" s="128" t="s">
        <v>77</v>
      </c>
      <c r="E1223" s="128" t="s">
        <v>134</v>
      </c>
      <c r="F1223" s="128">
        <v>0</v>
      </c>
      <c r="G1223" s="128">
        <v>0</v>
      </c>
      <c r="H1223" s="128">
        <v>0</v>
      </c>
      <c r="I1223" s="128">
        <v>0</v>
      </c>
    </row>
    <row r="1224" spans="1:9" ht="13.5">
      <c r="A1224" s="128">
        <v>1998</v>
      </c>
      <c r="B1224" s="128" t="s">
        <v>131</v>
      </c>
      <c r="C1224" s="128" t="s">
        <v>24</v>
      </c>
      <c r="D1224" s="128" t="s">
        <v>77</v>
      </c>
      <c r="E1224" s="128" t="s">
        <v>135</v>
      </c>
      <c r="F1224" s="128">
        <v>0</v>
      </c>
      <c r="G1224" s="128">
        <v>0</v>
      </c>
      <c r="H1224" s="128">
        <v>0</v>
      </c>
      <c r="I1224" s="128">
        <v>0</v>
      </c>
    </row>
    <row r="1225" spans="1:9" ht="13.5">
      <c r="A1225" s="128">
        <v>1998</v>
      </c>
      <c r="B1225" s="128" t="s">
        <v>131</v>
      </c>
      <c r="C1225" s="128" t="s">
        <v>24</v>
      </c>
      <c r="D1225" s="128" t="s">
        <v>79</v>
      </c>
      <c r="E1225" s="128" t="s">
        <v>132</v>
      </c>
      <c r="F1225" s="128">
        <v>0</v>
      </c>
      <c r="G1225" s="128">
        <v>0</v>
      </c>
      <c r="H1225" s="128">
        <v>0</v>
      </c>
      <c r="I1225" s="128">
        <v>0</v>
      </c>
    </row>
    <row r="1226" spans="1:9" ht="13.5">
      <c r="A1226" s="128">
        <v>1998</v>
      </c>
      <c r="B1226" s="128" t="s">
        <v>131</v>
      </c>
      <c r="C1226" s="128" t="s">
        <v>24</v>
      </c>
      <c r="D1226" s="128" t="s">
        <v>79</v>
      </c>
      <c r="E1226" s="128" t="s">
        <v>133</v>
      </c>
      <c r="F1226" s="128">
        <v>0</v>
      </c>
      <c r="G1226" s="128">
        <v>0</v>
      </c>
      <c r="H1226" s="128">
        <v>0</v>
      </c>
      <c r="I1226" s="128">
        <v>0</v>
      </c>
    </row>
    <row r="1227" spans="1:9" ht="13.5">
      <c r="A1227" s="128">
        <v>1998</v>
      </c>
      <c r="B1227" s="128" t="s">
        <v>131</v>
      </c>
      <c r="C1227" s="128" t="s">
        <v>24</v>
      </c>
      <c r="D1227" s="128" t="s">
        <v>79</v>
      </c>
      <c r="E1227" s="128" t="s">
        <v>134</v>
      </c>
      <c r="F1227" s="128">
        <v>0</v>
      </c>
      <c r="G1227" s="128">
        <v>0</v>
      </c>
      <c r="H1227" s="128">
        <v>0</v>
      </c>
      <c r="I1227" s="128">
        <v>0</v>
      </c>
    </row>
    <row r="1228" spans="1:9" ht="13.5">
      <c r="A1228" s="128">
        <v>1998</v>
      </c>
      <c r="B1228" s="128" t="s">
        <v>131</v>
      </c>
      <c r="C1228" s="128" t="s">
        <v>24</v>
      </c>
      <c r="D1228" s="128" t="s">
        <v>79</v>
      </c>
      <c r="E1228" s="128" t="s">
        <v>135</v>
      </c>
      <c r="F1228" s="128">
        <v>0</v>
      </c>
      <c r="G1228" s="128">
        <v>0</v>
      </c>
      <c r="H1228" s="128">
        <v>0</v>
      </c>
      <c r="I1228" s="128">
        <v>0</v>
      </c>
    </row>
    <row r="1229" spans="1:9" ht="13.5">
      <c r="A1229" s="128">
        <v>1998</v>
      </c>
      <c r="B1229" s="128" t="s">
        <v>131</v>
      </c>
      <c r="C1229" s="128" t="s">
        <v>24</v>
      </c>
      <c r="D1229" s="128" t="s">
        <v>79</v>
      </c>
      <c r="E1229" s="128" t="s">
        <v>136</v>
      </c>
      <c r="F1229" s="128">
        <v>0</v>
      </c>
      <c r="G1229" s="128">
        <v>0</v>
      </c>
      <c r="H1229" s="128">
        <v>0</v>
      </c>
      <c r="I1229" s="128">
        <v>0</v>
      </c>
    </row>
    <row r="1230" spans="1:9" ht="13.5">
      <c r="A1230" s="128">
        <v>1998</v>
      </c>
      <c r="B1230" s="128" t="s">
        <v>131</v>
      </c>
      <c r="C1230" s="128" t="s">
        <v>24</v>
      </c>
      <c r="D1230" s="128" t="s">
        <v>76</v>
      </c>
      <c r="E1230" s="128" t="s">
        <v>132</v>
      </c>
      <c r="F1230" s="128">
        <v>0</v>
      </c>
      <c r="G1230" s="128">
        <v>0</v>
      </c>
      <c r="H1230" s="128">
        <v>0</v>
      </c>
      <c r="I1230" s="128">
        <v>0</v>
      </c>
    </row>
    <row r="1231" spans="1:9" ht="13.5">
      <c r="A1231" s="128">
        <v>1998</v>
      </c>
      <c r="B1231" s="128" t="s">
        <v>131</v>
      </c>
      <c r="C1231" s="128" t="s">
        <v>24</v>
      </c>
      <c r="D1231" s="128" t="s">
        <v>76</v>
      </c>
      <c r="E1231" s="128" t="s">
        <v>133</v>
      </c>
      <c r="F1231" s="128">
        <v>0</v>
      </c>
      <c r="G1231" s="128">
        <v>0</v>
      </c>
      <c r="H1231" s="128">
        <v>0</v>
      </c>
      <c r="I1231" s="128">
        <v>0</v>
      </c>
    </row>
    <row r="1232" spans="1:9" ht="13.5">
      <c r="A1232" s="128">
        <v>1998</v>
      </c>
      <c r="B1232" s="128" t="s">
        <v>131</v>
      </c>
      <c r="C1232" s="128" t="s">
        <v>24</v>
      </c>
      <c r="D1232" s="128" t="s">
        <v>76</v>
      </c>
      <c r="E1232" s="128" t="s">
        <v>134</v>
      </c>
      <c r="F1232" s="128">
        <v>0</v>
      </c>
      <c r="G1232" s="128">
        <v>0</v>
      </c>
      <c r="H1232" s="128">
        <v>0</v>
      </c>
      <c r="I1232" s="128">
        <v>0</v>
      </c>
    </row>
    <row r="1233" spans="1:9" ht="13.5">
      <c r="A1233" s="128">
        <v>1998</v>
      </c>
      <c r="B1233" s="128" t="s">
        <v>131</v>
      </c>
      <c r="C1233" s="128" t="s">
        <v>24</v>
      </c>
      <c r="D1233" s="128" t="s">
        <v>76</v>
      </c>
      <c r="E1233" s="128" t="s">
        <v>135</v>
      </c>
      <c r="F1233" s="128">
        <v>0</v>
      </c>
      <c r="G1233" s="128">
        <v>0</v>
      </c>
      <c r="H1233" s="128">
        <v>0</v>
      </c>
      <c r="I1233" s="128">
        <v>0</v>
      </c>
    </row>
    <row r="1234" spans="1:9" ht="13.5">
      <c r="A1234" s="128">
        <v>1998</v>
      </c>
      <c r="B1234" s="128" t="s">
        <v>131</v>
      </c>
      <c r="C1234" s="128" t="s">
        <v>24</v>
      </c>
      <c r="D1234" s="128" t="s">
        <v>76</v>
      </c>
      <c r="E1234" s="128" t="s">
        <v>136</v>
      </c>
      <c r="F1234" s="128">
        <v>0</v>
      </c>
      <c r="G1234" s="128">
        <v>0</v>
      </c>
      <c r="H1234" s="128">
        <v>0</v>
      </c>
      <c r="I1234" s="128">
        <v>0</v>
      </c>
    </row>
    <row r="1235" spans="1:9" ht="13.5">
      <c r="A1235" s="128">
        <v>1998</v>
      </c>
      <c r="B1235" s="128" t="s">
        <v>138</v>
      </c>
      <c r="C1235" s="128" t="s">
        <v>26</v>
      </c>
      <c r="D1235" s="128" t="s">
        <v>77</v>
      </c>
      <c r="E1235" s="128" t="s">
        <v>132</v>
      </c>
      <c r="F1235" s="128">
        <v>0</v>
      </c>
      <c r="G1235" s="128">
        <v>0</v>
      </c>
      <c r="H1235" s="128">
        <v>0</v>
      </c>
      <c r="I1235" s="128">
        <v>0</v>
      </c>
    </row>
    <row r="1236" spans="1:9" ht="13.5">
      <c r="A1236" s="128">
        <v>1998</v>
      </c>
      <c r="B1236" s="128" t="s">
        <v>138</v>
      </c>
      <c r="C1236" s="128" t="s">
        <v>26</v>
      </c>
      <c r="D1236" s="128" t="s">
        <v>77</v>
      </c>
      <c r="E1236" s="128" t="s">
        <v>133</v>
      </c>
      <c r="F1236" s="128">
        <v>0</v>
      </c>
      <c r="G1236" s="128">
        <v>0</v>
      </c>
      <c r="H1236" s="128">
        <v>0</v>
      </c>
      <c r="I1236" s="128">
        <v>0</v>
      </c>
    </row>
    <row r="1237" spans="1:9" ht="13.5">
      <c r="A1237" s="128">
        <v>1998</v>
      </c>
      <c r="B1237" s="128" t="s">
        <v>138</v>
      </c>
      <c r="C1237" s="128" t="s">
        <v>26</v>
      </c>
      <c r="D1237" s="128" t="s">
        <v>77</v>
      </c>
      <c r="E1237" s="128" t="s">
        <v>134</v>
      </c>
      <c r="F1237" s="128">
        <v>0</v>
      </c>
      <c r="G1237" s="128">
        <v>0</v>
      </c>
      <c r="H1237" s="128">
        <v>0</v>
      </c>
      <c r="I1237" s="128">
        <v>0</v>
      </c>
    </row>
    <row r="1238" spans="1:9" ht="13.5">
      <c r="A1238" s="128">
        <v>1998</v>
      </c>
      <c r="B1238" s="128" t="s">
        <v>138</v>
      </c>
      <c r="C1238" s="128" t="s">
        <v>26</v>
      </c>
      <c r="D1238" s="128" t="s">
        <v>77</v>
      </c>
      <c r="E1238" s="128" t="s">
        <v>135</v>
      </c>
      <c r="F1238" s="128">
        <v>0</v>
      </c>
      <c r="G1238" s="128">
        <v>0</v>
      </c>
      <c r="H1238" s="128">
        <v>0</v>
      </c>
      <c r="I1238" s="128">
        <v>0</v>
      </c>
    </row>
    <row r="1239" spans="1:9" ht="13.5">
      <c r="A1239" s="128">
        <v>1998</v>
      </c>
      <c r="B1239" s="128" t="s">
        <v>138</v>
      </c>
      <c r="C1239" s="128" t="s">
        <v>26</v>
      </c>
      <c r="D1239" s="128" t="s">
        <v>79</v>
      </c>
      <c r="E1239" s="128" t="s">
        <v>132</v>
      </c>
      <c r="F1239" s="128">
        <v>0</v>
      </c>
      <c r="G1239" s="128">
        <v>0</v>
      </c>
      <c r="H1239" s="128">
        <v>0</v>
      </c>
      <c r="I1239" s="128">
        <v>0</v>
      </c>
    </row>
    <row r="1240" spans="1:9" ht="13.5">
      <c r="A1240" s="128">
        <v>1998</v>
      </c>
      <c r="B1240" s="128" t="s">
        <v>138</v>
      </c>
      <c r="C1240" s="128" t="s">
        <v>26</v>
      </c>
      <c r="D1240" s="128" t="s">
        <v>79</v>
      </c>
      <c r="E1240" s="128" t="s">
        <v>133</v>
      </c>
      <c r="F1240" s="128">
        <v>0</v>
      </c>
      <c r="G1240" s="128">
        <v>0</v>
      </c>
      <c r="H1240" s="128">
        <v>0</v>
      </c>
      <c r="I1240" s="128">
        <v>0</v>
      </c>
    </row>
    <row r="1241" spans="1:9" ht="13.5">
      <c r="A1241" s="128">
        <v>1998</v>
      </c>
      <c r="B1241" s="128" t="s">
        <v>138</v>
      </c>
      <c r="C1241" s="128" t="s">
        <v>26</v>
      </c>
      <c r="D1241" s="128" t="s">
        <v>79</v>
      </c>
      <c r="E1241" s="128" t="s">
        <v>134</v>
      </c>
      <c r="F1241" s="128">
        <v>0</v>
      </c>
      <c r="G1241" s="128">
        <v>0</v>
      </c>
      <c r="H1241" s="128">
        <v>0</v>
      </c>
      <c r="I1241" s="128">
        <v>0</v>
      </c>
    </row>
    <row r="1242" spans="1:9" ht="13.5">
      <c r="A1242" s="128">
        <v>1998</v>
      </c>
      <c r="B1242" s="128" t="s">
        <v>138</v>
      </c>
      <c r="C1242" s="128" t="s">
        <v>26</v>
      </c>
      <c r="D1242" s="128" t="s">
        <v>79</v>
      </c>
      <c r="E1242" s="128" t="s">
        <v>135</v>
      </c>
      <c r="F1242" s="128">
        <v>0</v>
      </c>
      <c r="G1242" s="128">
        <v>0</v>
      </c>
      <c r="H1242" s="128">
        <v>0</v>
      </c>
      <c r="I1242" s="128">
        <v>0</v>
      </c>
    </row>
    <row r="1243" spans="1:9" ht="13.5">
      <c r="A1243" s="128">
        <v>1998</v>
      </c>
      <c r="B1243" s="128" t="s">
        <v>138</v>
      </c>
      <c r="C1243" s="128" t="s">
        <v>26</v>
      </c>
      <c r="D1243" s="128" t="s">
        <v>79</v>
      </c>
      <c r="E1243" s="128" t="s">
        <v>136</v>
      </c>
      <c r="F1243" s="128">
        <v>0</v>
      </c>
      <c r="G1243" s="128">
        <v>0</v>
      </c>
      <c r="H1243" s="128">
        <v>0</v>
      </c>
      <c r="I1243" s="128">
        <v>0</v>
      </c>
    </row>
    <row r="1244" spans="1:9" ht="13.5">
      <c r="A1244" s="128">
        <v>1998</v>
      </c>
      <c r="B1244" s="128" t="s">
        <v>138</v>
      </c>
      <c r="C1244" s="128" t="s">
        <v>26</v>
      </c>
      <c r="D1244" s="128" t="s">
        <v>76</v>
      </c>
      <c r="E1244" s="128" t="s">
        <v>132</v>
      </c>
      <c r="F1244" s="128">
        <v>0</v>
      </c>
      <c r="G1244" s="128">
        <v>0</v>
      </c>
      <c r="H1244" s="128">
        <v>0</v>
      </c>
      <c r="I1244" s="128">
        <v>0</v>
      </c>
    </row>
    <row r="1245" spans="1:9" ht="13.5">
      <c r="A1245" s="128">
        <v>1998</v>
      </c>
      <c r="B1245" s="128" t="s">
        <v>138</v>
      </c>
      <c r="C1245" s="128" t="s">
        <v>26</v>
      </c>
      <c r="D1245" s="128" t="s">
        <v>76</v>
      </c>
      <c r="E1245" s="128" t="s">
        <v>133</v>
      </c>
      <c r="F1245" s="128">
        <v>0</v>
      </c>
      <c r="G1245" s="128">
        <v>0</v>
      </c>
      <c r="H1245" s="128">
        <v>0</v>
      </c>
      <c r="I1245" s="128">
        <v>0</v>
      </c>
    </row>
    <row r="1246" spans="1:9" ht="13.5">
      <c r="A1246" s="128">
        <v>1998</v>
      </c>
      <c r="B1246" s="128" t="s">
        <v>138</v>
      </c>
      <c r="C1246" s="128" t="s">
        <v>26</v>
      </c>
      <c r="D1246" s="128" t="s">
        <v>76</v>
      </c>
      <c r="E1246" s="128" t="s">
        <v>134</v>
      </c>
      <c r="F1246" s="128">
        <v>0</v>
      </c>
      <c r="G1246" s="128">
        <v>0</v>
      </c>
      <c r="H1246" s="128">
        <v>0</v>
      </c>
      <c r="I1246" s="128">
        <v>0</v>
      </c>
    </row>
    <row r="1247" spans="1:9" ht="13.5">
      <c r="A1247" s="128">
        <v>1998</v>
      </c>
      <c r="B1247" s="128" t="s">
        <v>138</v>
      </c>
      <c r="C1247" s="128" t="s">
        <v>26</v>
      </c>
      <c r="D1247" s="128" t="s">
        <v>76</v>
      </c>
      <c r="E1247" s="128" t="s">
        <v>135</v>
      </c>
      <c r="F1247" s="128">
        <v>0</v>
      </c>
      <c r="G1247" s="128">
        <v>0</v>
      </c>
      <c r="H1247" s="128">
        <v>0</v>
      </c>
      <c r="I1247" s="128">
        <v>0</v>
      </c>
    </row>
    <row r="1248" spans="1:9" ht="13.5">
      <c r="A1248" s="128">
        <v>1998</v>
      </c>
      <c r="B1248" s="128" t="s">
        <v>138</v>
      </c>
      <c r="C1248" s="128" t="s">
        <v>26</v>
      </c>
      <c r="D1248" s="128" t="s">
        <v>76</v>
      </c>
      <c r="E1248" s="128" t="s">
        <v>136</v>
      </c>
      <c r="F1248" s="128">
        <v>0</v>
      </c>
      <c r="G1248" s="128">
        <v>0</v>
      </c>
      <c r="H1248" s="128">
        <v>0</v>
      </c>
      <c r="I1248" s="128">
        <v>0</v>
      </c>
    </row>
    <row r="1249" spans="1:9" ht="13.5">
      <c r="A1249" s="128">
        <v>1998</v>
      </c>
      <c r="B1249" s="128" t="s">
        <v>138</v>
      </c>
      <c r="C1249" s="128" t="s">
        <v>20</v>
      </c>
      <c r="D1249" s="128" t="s">
        <v>77</v>
      </c>
      <c r="E1249" s="128" t="s">
        <v>132</v>
      </c>
      <c r="F1249" s="128">
        <v>0</v>
      </c>
      <c r="G1249" s="128">
        <v>0</v>
      </c>
      <c r="H1249" s="128">
        <v>0</v>
      </c>
      <c r="I1249" s="128">
        <v>0</v>
      </c>
    </row>
    <row r="1250" spans="1:9" ht="13.5">
      <c r="A1250" s="128">
        <v>1998</v>
      </c>
      <c r="B1250" s="128" t="s">
        <v>138</v>
      </c>
      <c r="C1250" s="128" t="s">
        <v>20</v>
      </c>
      <c r="D1250" s="128" t="s">
        <v>77</v>
      </c>
      <c r="E1250" s="128" t="s">
        <v>133</v>
      </c>
      <c r="F1250" s="128">
        <v>0</v>
      </c>
      <c r="G1250" s="128">
        <v>0</v>
      </c>
      <c r="H1250" s="128">
        <v>0</v>
      </c>
      <c r="I1250" s="128">
        <v>0</v>
      </c>
    </row>
    <row r="1251" spans="1:9" ht="13.5">
      <c r="A1251" s="128">
        <v>1998</v>
      </c>
      <c r="B1251" s="128" t="s">
        <v>138</v>
      </c>
      <c r="C1251" s="128" t="s">
        <v>20</v>
      </c>
      <c r="D1251" s="128" t="s">
        <v>77</v>
      </c>
      <c r="E1251" s="128" t="s">
        <v>134</v>
      </c>
      <c r="F1251" s="128">
        <v>0</v>
      </c>
      <c r="G1251" s="128">
        <v>0</v>
      </c>
      <c r="H1251" s="128">
        <v>0</v>
      </c>
      <c r="I1251" s="128">
        <v>0</v>
      </c>
    </row>
    <row r="1252" spans="1:9" ht="13.5">
      <c r="A1252" s="128">
        <v>1998</v>
      </c>
      <c r="B1252" s="128" t="s">
        <v>138</v>
      </c>
      <c r="C1252" s="128" t="s">
        <v>20</v>
      </c>
      <c r="D1252" s="128" t="s">
        <v>77</v>
      </c>
      <c r="E1252" s="128" t="s">
        <v>135</v>
      </c>
      <c r="F1252" s="128">
        <v>0</v>
      </c>
      <c r="G1252" s="128">
        <v>0</v>
      </c>
      <c r="H1252" s="128">
        <v>0</v>
      </c>
      <c r="I1252" s="128">
        <v>0</v>
      </c>
    </row>
    <row r="1253" spans="1:9" ht="13.5">
      <c r="A1253" s="128">
        <v>1998</v>
      </c>
      <c r="B1253" s="128" t="s">
        <v>138</v>
      </c>
      <c r="C1253" s="128" t="s">
        <v>20</v>
      </c>
      <c r="D1253" s="128" t="s">
        <v>79</v>
      </c>
      <c r="E1253" s="128" t="s">
        <v>132</v>
      </c>
      <c r="F1253" s="128">
        <v>0</v>
      </c>
      <c r="G1253" s="128">
        <v>0</v>
      </c>
      <c r="H1253" s="128">
        <v>0</v>
      </c>
      <c r="I1253" s="128">
        <v>0</v>
      </c>
    </row>
    <row r="1254" spans="1:9" ht="13.5">
      <c r="A1254" s="128">
        <v>1998</v>
      </c>
      <c r="B1254" s="128" t="s">
        <v>138</v>
      </c>
      <c r="C1254" s="128" t="s">
        <v>20</v>
      </c>
      <c r="D1254" s="128" t="s">
        <v>79</v>
      </c>
      <c r="E1254" s="128" t="s">
        <v>133</v>
      </c>
      <c r="F1254" s="128">
        <v>0</v>
      </c>
      <c r="G1254" s="128">
        <v>0</v>
      </c>
      <c r="H1254" s="128">
        <v>0</v>
      </c>
      <c r="I1254" s="128">
        <v>0</v>
      </c>
    </row>
    <row r="1255" spans="1:9" ht="13.5">
      <c r="A1255" s="128">
        <v>1998</v>
      </c>
      <c r="B1255" s="128" t="s">
        <v>138</v>
      </c>
      <c r="C1255" s="128" t="s">
        <v>20</v>
      </c>
      <c r="D1255" s="128" t="s">
        <v>79</v>
      </c>
      <c r="E1255" s="128" t="s">
        <v>134</v>
      </c>
      <c r="F1255" s="128">
        <v>0</v>
      </c>
      <c r="G1255" s="128">
        <v>0</v>
      </c>
      <c r="H1255" s="128">
        <v>0</v>
      </c>
      <c r="I1255" s="128">
        <v>0</v>
      </c>
    </row>
    <row r="1256" spans="1:9" ht="13.5">
      <c r="A1256" s="128">
        <v>1998</v>
      </c>
      <c r="B1256" s="128" t="s">
        <v>138</v>
      </c>
      <c r="C1256" s="128" t="s">
        <v>20</v>
      </c>
      <c r="D1256" s="128" t="s">
        <v>79</v>
      </c>
      <c r="E1256" s="128" t="s">
        <v>135</v>
      </c>
      <c r="F1256" s="128">
        <v>0</v>
      </c>
      <c r="G1256" s="128">
        <v>0</v>
      </c>
      <c r="H1256" s="128">
        <v>0</v>
      </c>
      <c r="I1256" s="128">
        <v>0</v>
      </c>
    </row>
    <row r="1257" spans="1:9" ht="13.5">
      <c r="A1257" s="128">
        <v>1998</v>
      </c>
      <c r="B1257" s="128" t="s">
        <v>138</v>
      </c>
      <c r="C1257" s="128" t="s">
        <v>20</v>
      </c>
      <c r="D1257" s="128" t="s">
        <v>79</v>
      </c>
      <c r="E1257" s="128" t="s">
        <v>136</v>
      </c>
      <c r="F1257" s="128">
        <v>0</v>
      </c>
      <c r="G1257" s="128">
        <v>0</v>
      </c>
      <c r="H1257" s="128">
        <v>0</v>
      </c>
      <c r="I1257" s="128">
        <v>0</v>
      </c>
    </row>
    <row r="1258" spans="1:9" ht="13.5">
      <c r="A1258" s="128">
        <v>1998</v>
      </c>
      <c r="B1258" s="128" t="s">
        <v>138</v>
      </c>
      <c r="C1258" s="128" t="s">
        <v>20</v>
      </c>
      <c r="D1258" s="128" t="s">
        <v>76</v>
      </c>
      <c r="E1258" s="128" t="s">
        <v>132</v>
      </c>
      <c r="F1258" s="128">
        <v>0</v>
      </c>
      <c r="G1258" s="128">
        <v>0</v>
      </c>
      <c r="H1258" s="128">
        <v>0</v>
      </c>
      <c r="I1258" s="128">
        <v>0</v>
      </c>
    </row>
    <row r="1259" spans="1:9" ht="13.5">
      <c r="A1259" s="128">
        <v>1998</v>
      </c>
      <c r="B1259" s="128" t="s">
        <v>138</v>
      </c>
      <c r="C1259" s="128" t="s">
        <v>20</v>
      </c>
      <c r="D1259" s="128" t="s">
        <v>76</v>
      </c>
      <c r="E1259" s="128" t="s">
        <v>133</v>
      </c>
      <c r="F1259" s="128">
        <v>0</v>
      </c>
      <c r="G1259" s="128">
        <v>0</v>
      </c>
      <c r="H1259" s="128">
        <v>0</v>
      </c>
      <c r="I1259" s="128">
        <v>0</v>
      </c>
    </row>
    <row r="1260" spans="1:9" ht="13.5">
      <c r="A1260" s="128">
        <v>1998</v>
      </c>
      <c r="B1260" s="128" t="s">
        <v>138</v>
      </c>
      <c r="C1260" s="128" t="s">
        <v>20</v>
      </c>
      <c r="D1260" s="128" t="s">
        <v>76</v>
      </c>
      <c r="E1260" s="128" t="s">
        <v>134</v>
      </c>
      <c r="F1260" s="128">
        <v>0</v>
      </c>
      <c r="G1260" s="128">
        <v>0</v>
      </c>
      <c r="H1260" s="128">
        <v>0</v>
      </c>
      <c r="I1260" s="128">
        <v>0</v>
      </c>
    </row>
    <row r="1261" spans="1:9" ht="13.5">
      <c r="A1261" s="128">
        <v>1998</v>
      </c>
      <c r="B1261" s="128" t="s">
        <v>138</v>
      </c>
      <c r="C1261" s="128" t="s">
        <v>20</v>
      </c>
      <c r="D1261" s="128" t="s">
        <v>76</v>
      </c>
      <c r="E1261" s="128" t="s">
        <v>135</v>
      </c>
      <c r="F1261" s="128">
        <v>0</v>
      </c>
      <c r="G1261" s="128">
        <v>0</v>
      </c>
      <c r="H1261" s="128">
        <v>0</v>
      </c>
      <c r="I1261" s="128">
        <v>0</v>
      </c>
    </row>
    <row r="1262" spans="1:9" ht="13.5">
      <c r="A1262" s="128">
        <v>1998</v>
      </c>
      <c r="B1262" s="128" t="s">
        <v>138</v>
      </c>
      <c r="C1262" s="128" t="s">
        <v>20</v>
      </c>
      <c r="D1262" s="128" t="s">
        <v>76</v>
      </c>
      <c r="E1262" s="128" t="s">
        <v>136</v>
      </c>
      <c r="F1262" s="128">
        <v>0</v>
      </c>
      <c r="G1262" s="128">
        <v>0</v>
      </c>
      <c r="H1262" s="128">
        <v>0</v>
      </c>
      <c r="I1262" s="128">
        <v>0</v>
      </c>
    </row>
    <row r="1263" spans="1:9" ht="13.5">
      <c r="A1263" s="128">
        <v>1998</v>
      </c>
      <c r="B1263" s="128" t="s">
        <v>138</v>
      </c>
      <c r="C1263" s="128" t="s">
        <v>27</v>
      </c>
      <c r="D1263" s="128" t="s">
        <v>77</v>
      </c>
      <c r="E1263" s="128" t="s">
        <v>132</v>
      </c>
      <c r="F1263" s="128">
        <v>0</v>
      </c>
      <c r="G1263" s="128">
        <v>0</v>
      </c>
      <c r="H1263" s="128">
        <v>0</v>
      </c>
      <c r="I1263" s="128">
        <v>0</v>
      </c>
    </row>
    <row r="1264" spans="1:9" ht="13.5">
      <c r="A1264" s="128">
        <v>1998</v>
      </c>
      <c r="B1264" s="128" t="s">
        <v>138</v>
      </c>
      <c r="C1264" s="128" t="s">
        <v>27</v>
      </c>
      <c r="D1264" s="128" t="s">
        <v>77</v>
      </c>
      <c r="E1264" s="128" t="s">
        <v>133</v>
      </c>
      <c r="F1264" s="128">
        <v>0</v>
      </c>
      <c r="G1264" s="128">
        <v>0</v>
      </c>
      <c r="H1264" s="128">
        <v>0</v>
      </c>
      <c r="I1264" s="128">
        <v>0</v>
      </c>
    </row>
    <row r="1265" spans="1:9" ht="13.5">
      <c r="A1265" s="128">
        <v>1998</v>
      </c>
      <c r="B1265" s="128" t="s">
        <v>138</v>
      </c>
      <c r="C1265" s="128" t="s">
        <v>27</v>
      </c>
      <c r="D1265" s="128" t="s">
        <v>77</v>
      </c>
      <c r="E1265" s="128" t="s">
        <v>134</v>
      </c>
      <c r="F1265" s="128">
        <v>0</v>
      </c>
      <c r="G1265" s="128">
        <v>0</v>
      </c>
      <c r="H1265" s="128">
        <v>0</v>
      </c>
      <c r="I1265" s="128">
        <v>0</v>
      </c>
    </row>
    <row r="1266" spans="1:9" ht="13.5">
      <c r="A1266" s="128">
        <v>1998</v>
      </c>
      <c r="B1266" s="128" t="s">
        <v>138</v>
      </c>
      <c r="C1266" s="128" t="s">
        <v>27</v>
      </c>
      <c r="D1266" s="128" t="s">
        <v>77</v>
      </c>
      <c r="E1266" s="128" t="s">
        <v>135</v>
      </c>
      <c r="F1266" s="128">
        <v>0</v>
      </c>
      <c r="G1266" s="128">
        <v>0</v>
      </c>
      <c r="H1266" s="128">
        <v>0</v>
      </c>
      <c r="I1266" s="128">
        <v>0</v>
      </c>
    </row>
    <row r="1267" spans="1:9" ht="13.5">
      <c r="A1267" s="128">
        <v>1998</v>
      </c>
      <c r="B1267" s="128" t="s">
        <v>138</v>
      </c>
      <c r="C1267" s="128" t="s">
        <v>27</v>
      </c>
      <c r="D1267" s="128" t="s">
        <v>79</v>
      </c>
      <c r="E1267" s="128" t="s">
        <v>132</v>
      </c>
      <c r="F1267" s="128">
        <v>0</v>
      </c>
      <c r="G1267" s="128">
        <v>0</v>
      </c>
      <c r="H1267" s="128">
        <v>0</v>
      </c>
      <c r="I1267" s="128">
        <v>0</v>
      </c>
    </row>
    <row r="1268" spans="1:9" ht="13.5">
      <c r="A1268" s="128">
        <v>1998</v>
      </c>
      <c r="B1268" s="128" t="s">
        <v>138</v>
      </c>
      <c r="C1268" s="128" t="s">
        <v>27</v>
      </c>
      <c r="D1268" s="128" t="s">
        <v>79</v>
      </c>
      <c r="E1268" s="128" t="s">
        <v>133</v>
      </c>
      <c r="F1268" s="128">
        <v>0</v>
      </c>
      <c r="G1268" s="128">
        <v>0</v>
      </c>
      <c r="H1268" s="128">
        <v>0</v>
      </c>
      <c r="I1268" s="128">
        <v>0</v>
      </c>
    </row>
    <row r="1269" spans="1:9" ht="13.5">
      <c r="A1269" s="128">
        <v>1998</v>
      </c>
      <c r="B1269" s="128" t="s">
        <v>138</v>
      </c>
      <c r="C1269" s="128" t="s">
        <v>27</v>
      </c>
      <c r="D1269" s="128" t="s">
        <v>79</v>
      </c>
      <c r="E1269" s="128" t="s">
        <v>134</v>
      </c>
      <c r="F1269" s="128">
        <v>0</v>
      </c>
      <c r="G1269" s="128">
        <v>0</v>
      </c>
      <c r="H1269" s="128">
        <v>0</v>
      </c>
      <c r="I1269" s="128">
        <v>0</v>
      </c>
    </row>
    <row r="1270" spans="1:9" ht="13.5">
      <c r="A1270" s="128">
        <v>1998</v>
      </c>
      <c r="B1270" s="128" t="s">
        <v>138</v>
      </c>
      <c r="C1270" s="128" t="s">
        <v>27</v>
      </c>
      <c r="D1270" s="128" t="s">
        <v>79</v>
      </c>
      <c r="E1270" s="128" t="s">
        <v>135</v>
      </c>
      <c r="F1270" s="128">
        <v>0</v>
      </c>
      <c r="G1270" s="128">
        <v>0</v>
      </c>
      <c r="H1270" s="128">
        <v>0</v>
      </c>
      <c r="I1270" s="128">
        <v>0</v>
      </c>
    </row>
    <row r="1271" spans="1:9" ht="13.5">
      <c r="A1271" s="128">
        <v>1998</v>
      </c>
      <c r="B1271" s="128" t="s">
        <v>138</v>
      </c>
      <c r="C1271" s="128" t="s">
        <v>27</v>
      </c>
      <c r="D1271" s="128" t="s">
        <v>79</v>
      </c>
      <c r="E1271" s="128" t="s">
        <v>136</v>
      </c>
      <c r="F1271" s="128">
        <v>0</v>
      </c>
      <c r="G1271" s="128">
        <v>0</v>
      </c>
      <c r="H1271" s="128">
        <v>0</v>
      </c>
      <c r="I1271" s="128">
        <v>0</v>
      </c>
    </row>
    <row r="1272" spans="1:9" ht="13.5">
      <c r="A1272" s="128">
        <v>1998</v>
      </c>
      <c r="B1272" s="128" t="s">
        <v>138</v>
      </c>
      <c r="C1272" s="128" t="s">
        <v>27</v>
      </c>
      <c r="D1272" s="128" t="s">
        <v>76</v>
      </c>
      <c r="E1272" s="128" t="s">
        <v>132</v>
      </c>
      <c r="F1272" s="128">
        <v>0</v>
      </c>
      <c r="G1272" s="128">
        <v>0</v>
      </c>
      <c r="H1272" s="128">
        <v>0</v>
      </c>
      <c r="I1272" s="128">
        <v>0</v>
      </c>
    </row>
    <row r="1273" spans="1:9" ht="13.5">
      <c r="A1273" s="128">
        <v>1998</v>
      </c>
      <c r="B1273" s="128" t="s">
        <v>138</v>
      </c>
      <c r="C1273" s="128" t="s">
        <v>27</v>
      </c>
      <c r="D1273" s="128" t="s">
        <v>76</v>
      </c>
      <c r="E1273" s="128" t="s">
        <v>133</v>
      </c>
      <c r="F1273" s="128">
        <v>0</v>
      </c>
      <c r="G1273" s="128">
        <v>0</v>
      </c>
      <c r="H1273" s="128">
        <v>0</v>
      </c>
      <c r="I1273" s="128">
        <v>0</v>
      </c>
    </row>
    <row r="1274" spans="1:9" ht="13.5">
      <c r="A1274" s="128">
        <v>1998</v>
      </c>
      <c r="B1274" s="128" t="s">
        <v>138</v>
      </c>
      <c r="C1274" s="128" t="s">
        <v>27</v>
      </c>
      <c r="D1274" s="128" t="s">
        <v>76</v>
      </c>
      <c r="E1274" s="128" t="s">
        <v>134</v>
      </c>
      <c r="F1274" s="128">
        <v>0</v>
      </c>
      <c r="G1274" s="128">
        <v>0</v>
      </c>
      <c r="H1274" s="128">
        <v>0</v>
      </c>
      <c r="I1274" s="128">
        <v>0</v>
      </c>
    </row>
    <row r="1275" spans="1:9" ht="13.5">
      <c r="A1275" s="128">
        <v>1998</v>
      </c>
      <c r="B1275" s="128" t="s">
        <v>138</v>
      </c>
      <c r="C1275" s="128" t="s">
        <v>27</v>
      </c>
      <c r="D1275" s="128" t="s">
        <v>76</v>
      </c>
      <c r="E1275" s="128" t="s">
        <v>135</v>
      </c>
      <c r="F1275" s="128">
        <v>0</v>
      </c>
      <c r="G1275" s="128">
        <v>0</v>
      </c>
      <c r="H1275" s="128">
        <v>0</v>
      </c>
      <c r="I1275" s="128">
        <v>0</v>
      </c>
    </row>
    <row r="1276" spans="1:9" ht="13.5">
      <c r="A1276" s="128">
        <v>1998</v>
      </c>
      <c r="B1276" s="128" t="s">
        <v>138</v>
      </c>
      <c r="C1276" s="128" t="s">
        <v>27</v>
      </c>
      <c r="D1276" s="128" t="s">
        <v>76</v>
      </c>
      <c r="E1276" s="128" t="s">
        <v>136</v>
      </c>
      <c r="F1276" s="128">
        <v>0</v>
      </c>
      <c r="G1276" s="128">
        <v>0</v>
      </c>
      <c r="H1276" s="128">
        <v>0</v>
      </c>
      <c r="I1276" s="128">
        <v>0</v>
      </c>
    </row>
    <row r="1277" spans="1:9" ht="13.5">
      <c r="A1277" s="128">
        <v>1998</v>
      </c>
      <c r="B1277" s="128" t="s">
        <v>138</v>
      </c>
      <c r="C1277" s="128" t="s">
        <v>22</v>
      </c>
      <c r="D1277" s="128" t="s">
        <v>77</v>
      </c>
      <c r="E1277" s="128" t="s">
        <v>132</v>
      </c>
      <c r="F1277" s="128">
        <v>0</v>
      </c>
      <c r="G1277" s="128">
        <v>0</v>
      </c>
      <c r="H1277" s="128">
        <v>0</v>
      </c>
      <c r="I1277" s="128">
        <v>0</v>
      </c>
    </row>
    <row r="1278" spans="1:9" ht="13.5">
      <c r="A1278" s="128">
        <v>1998</v>
      </c>
      <c r="B1278" s="128" t="s">
        <v>138</v>
      </c>
      <c r="C1278" s="128" t="s">
        <v>22</v>
      </c>
      <c r="D1278" s="128" t="s">
        <v>77</v>
      </c>
      <c r="E1278" s="128" t="s">
        <v>133</v>
      </c>
      <c r="F1278" s="128">
        <v>0</v>
      </c>
      <c r="G1278" s="128">
        <v>0</v>
      </c>
      <c r="H1278" s="128">
        <v>0</v>
      </c>
      <c r="I1278" s="128">
        <v>0</v>
      </c>
    </row>
    <row r="1279" spans="1:9" ht="13.5">
      <c r="A1279" s="128">
        <v>1998</v>
      </c>
      <c r="B1279" s="128" t="s">
        <v>138</v>
      </c>
      <c r="C1279" s="128" t="s">
        <v>22</v>
      </c>
      <c r="D1279" s="128" t="s">
        <v>77</v>
      </c>
      <c r="E1279" s="128" t="s">
        <v>134</v>
      </c>
      <c r="F1279" s="128">
        <v>0</v>
      </c>
      <c r="G1279" s="128">
        <v>0</v>
      </c>
      <c r="H1279" s="128">
        <v>0</v>
      </c>
      <c r="I1279" s="128">
        <v>0</v>
      </c>
    </row>
    <row r="1280" spans="1:9" ht="13.5">
      <c r="A1280" s="128">
        <v>1998</v>
      </c>
      <c r="B1280" s="128" t="s">
        <v>138</v>
      </c>
      <c r="C1280" s="128" t="s">
        <v>22</v>
      </c>
      <c r="D1280" s="128" t="s">
        <v>77</v>
      </c>
      <c r="E1280" s="128" t="s">
        <v>135</v>
      </c>
      <c r="F1280" s="128">
        <v>0</v>
      </c>
      <c r="G1280" s="128">
        <v>0</v>
      </c>
      <c r="H1280" s="128">
        <v>0</v>
      </c>
      <c r="I1280" s="128">
        <v>0</v>
      </c>
    </row>
    <row r="1281" spans="1:9" ht="13.5">
      <c r="A1281" s="128">
        <v>1998</v>
      </c>
      <c r="B1281" s="128" t="s">
        <v>138</v>
      </c>
      <c r="C1281" s="128" t="s">
        <v>22</v>
      </c>
      <c r="D1281" s="128" t="s">
        <v>79</v>
      </c>
      <c r="E1281" s="128" t="s">
        <v>132</v>
      </c>
      <c r="F1281" s="128">
        <v>0</v>
      </c>
      <c r="G1281" s="128">
        <v>0</v>
      </c>
      <c r="H1281" s="128">
        <v>0</v>
      </c>
      <c r="I1281" s="128">
        <v>0</v>
      </c>
    </row>
    <row r="1282" spans="1:9" ht="13.5">
      <c r="A1282" s="128">
        <v>1998</v>
      </c>
      <c r="B1282" s="128" t="s">
        <v>138</v>
      </c>
      <c r="C1282" s="128" t="s">
        <v>22</v>
      </c>
      <c r="D1282" s="128" t="s">
        <v>79</v>
      </c>
      <c r="E1282" s="128" t="s">
        <v>133</v>
      </c>
      <c r="F1282" s="128">
        <v>0</v>
      </c>
      <c r="G1282" s="128">
        <v>0</v>
      </c>
      <c r="H1282" s="128">
        <v>0</v>
      </c>
      <c r="I1282" s="128">
        <v>0</v>
      </c>
    </row>
    <row r="1283" spans="1:9" ht="13.5">
      <c r="A1283" s="128">
        <v>1998</v>
      </c>
      <c r="B1283" s="128" t="s">
        <v>138</v>
      </c>
      <c r="C1283" s="128" t="s">
        <v>22</v>
      </c>
      <c r="D1283" s="128" t="s">
        <v>79</v>
      </c>
      <c r="E1283" s="128" t="s">
        <v>134</v>
      </c>
      <c r="F1283" s="128">
        <v>0</v>
      </c>
      <c r="G1283" s="128">
        <v>0</v>
      </c>
      <c r="H1283" s="128">
        <v>0</v>
      </c>
      <c r="I1283" s="128">
        <v>0</v>
      </c>
    </row>
    <row r="1284" spans="1:9" ht="13.5">
      <c r="A1284" s="128">
        <v>1998</v>
      </c>
      <c r="B1284" s="128" t="s">
        <v>138</v>
      </c>
      <c r="C1284" s="128" t="s">
        <v>22</v>
      </c>
      <c r="D1284" s="128" t="s">
        <v>79</v>
      </c>
      <c r="E1284" s="128" t="s">
        <v>135</v>
      </c>
      <c r="F1284" s="128">
        <v>0</v>
      </c>
      <c r="G1284" s="128">
        <v>0</v>
      </c>
      <c r="H1284" s="128">
        <v>0</v>
      </c>
      <c r="I1284" s="128">
        <v>0</v>
      </c>
    </row>
    <row r="1285" spans="1:9" ht="13.5">
      <c r="A1285" s="128">
        <v>1998</v>
      </c>
      <c r="B1285" s="128" t="s">
        <v>138</v>
      </c>
      <c r="C1285" s="128" t="s">
        <v>22</v>
      </c>
      <c r="D1285" s="128" t="s">
        <v>79</v>
      </c>
      <c r="E1285" s="128" t="s">
        <v>136</v>
      </c>
      <c r="F1285" s="128">
        <v>0</v>
      </c>
      <c r="G1285" s="128">
        <v>0</v>
      </c>
      <c r="H1285" s="128">
        <v>0</v>
      </c>
      <c r="I1285" s="128">
        <v>0</v>
      </c>
    </row>
    <row r="1286" spans="1:9" ht="13.5">
      <c r="A1286" s="128">
        <v>1998</v>
      </c>
      <c r="B1286" s="128" t="s">
        <v>138</v>
      </c>
      <c r="C1286" s="128" t="s">
        <v>22</v>
      </c>
      <c r="D1286" s="128" t="s">
        <v>76</v>
      </c>
      <c r="E1286" s="128" t="s">
        <v>132</v>
      </c>
      <c r="F1286" s="128">
        <v>0</v>
      </c>
      <c r="G1286" s="128">
        <v>0</v>
      </c>
      <c r="H1286" s="128">
        <v>0</v>
      </c>
      <c r="I1286" s="128">
        <v>0</v>
      </c>
    </row>
    <row r="1287" spans="1:9" ht="13.5">
      <c r="A1287" s="128">
        <v>1998</v>
      </c>
      <c r="B1287" s="128" t="s">
        <v>138</v>
      </c>
      <c r="C1287" s="128" t="s">
        <v>22</v>
      </c>
      <c r="D1287" s="128" t="s">
        <v>76</v>
      </c>
      <c r="E1287" s="128" t="s">
        <v>133</v>
      </c>
      <c r="F1287" s="128">
        <v>0</v>
      </c>
      <c r="G1287" s="128">
        <v>0</v>
      </c>
      <c r="H1287" s="128">
        <v>0</v>
      </c>
      <c r="I1287" s="128">
        <v>0</v>
      </c>
    </row>
    <row r="1288" spans="1:9" ht="13.5">
      <c r="A1288" s="128">
        <v>1998</v>
      </c>
      <c r="B1288" s="128" t="s">
        <v>138</v>
      </c>
      <c r="C1288" s="128" t="s">
        <v>22</v>
      </c>
      <c r="D1288" s="128" t="s">
        <v>76</v>
      </c>
      <c r="E1288" s="128" t="s">
        <v>134</v>
      </c>
      <c r="F1288" s="128">
        <v>0</v>
      </c>
      <c r="G1288" s="128">
        <v>0</v>
      </c>
      <c r="H1288" s="128">
        <v>0</v>
      </c>
      <c r="I1288" s="128">
        <v>0</v>
      </c>
    </row>
    <row r="1289" spans="1:9" ht="13.5">
      <c r="A1289" s="128">
        <v>1998</v>
      </c>
      <c r="B1289" s="128" t="s">
        <v>138</v>
      </c>
      <c r="C1289" s="128" t="s">
        <v>22</v>
      </c>
      <c r="D1289" s="128" t="s">
        <v>76</v>
      </c>
      <c r="E1289" s="128" t="s">
        <v>135</v>
      </c>
      <c r="F1289" s="128">
        <v>0</v>
      </c>
      <c r="G1289" s="128">
        <v>0</v>
      </c>
      <c r="H1289" s="128">
        <v>0</v>
      </c>
      <c r="I1289" s="128">
        <v>0</v>
      </c>
    </row>
    <row r="1290" spans="1:9" ht="13.5">
      <c r="A1290" s="128">
        <v>1998</v>
      </c>
      <c r="B1290" s="128" t="s">
        <v>138</v>
      </c>
      <c r="C1290" s="128" t="s">
        <v>22</v>
      </c>
      <c r="D1290" s="128" t="s">
        <v>76</v>
      </c>
      <c r="E1290" s="128" t="s">
        <v>136</v>
      </c>
      <c r="F1290" s="128">
        <v>0</v>
      </c>
      <c r="G1290" s="128">
        <v>0</v>
      </c>
      <c r="H1290" s="128">
        <v>0</v>
      </c>
      <c r="I1290" s="128">
        <v>0</v>
      </c>
    </row>
    <row r="1291" spans="1:9" ht="13.5">
      <c r="A1291" s="128">
        <v>1998</v>
      </c>
      <c r="B1291" s="128" t="s">
        <v>138</v>
      </c>
      <c r="C1291" s="128" t="s">
        <v>23</v>
      </c>
      <c r="D1291" s="128" t="s">
        <v>77</v>
      </c>
      <c r="E1291" s="128" t="s">
        <v>132</v>
      </c>
      <c r="F1291" s="128">
        <v>0</v>
      </c>
      <c r="G1291" s="128">
        <v>0</v>
      </c>
      <c r="H1291" s="128">
        <v>0</v>
      </c>
      <c r="I1291" s="128">
        <v>0</v>
      </c>
    </row>
    <row r="1292" spans="1:9" ht="13.5">
      <c r="A1292" s="128">
        <v>1998</v>
      </c>
      <c r="B1292" s="128" t="s">
        <v>138</v>
      </c>
      <c r="C1292" s="128" t="s">
        <v>23</v>
      </c>
      <c r="D1292" s="128" t="s">
        <v>77</v>
      </c>
      <c r="E1292" s="128" t="s">
        <v>133</v>
      </c>
      <c r="F1292" s="128">
        <v>0</v>
      </c>
      <c r="G1292" s="128">
        <v>0</v>
      </c>
      <c r="H1292" s="128">
        <v>0</v>
      </c>
      <c r="I1292" s="128">
        <v>0</v>
      </c>
    </row>
    <row r="1293" spans="1:9" ht="13.5">
      <c r="A1293" s="128">
        <v>1998</v>
      </c>
      <c r="B1293" s="128" t="s">
        <v>138</v>
      </c>
      <c r="C1293" s="128" t="s">
        <v>23</v>
      </c>
      <c r="D1293" s="128" t="s">
        <v>77</v>
      </c>
      <c r="E1293" s="128" t="s">
        <v>134</v>
      </c>
      <c r="F1293" s="128">
        <v>0</v>
      </c>
      <c r="G1293" s="128">
        <v>0</v>
      </c>
      <c r="H1293" s="128">
        <v>0</v>
      </c>
      <c r="I1293" s="128">
        <v>0</v>
      </c>
    </row>
    <row r="1294" spans="1:9" ht="13.5">
      <c r="A1294" s="128">
        <v>1998</v>
      </c>
      <c r="B1294" s="128" t="s">
        <v>138</v>
      </c>
      <c r="C1294" s="128" t="s">
        <v>23</v>
      </c>
      <c r="D1294" s="128" t="s">
        <v>77</v>
      </c>
      <c r="E1294" s="128" t="s">
        <v>135</v>
      </c>
      <c r="F1294" s="128">
        <v>0</v>
      </c>
      <c r="G1294" s="128">
        <v>0</v>
      </c>
      <c r="H1294" s="128">
        <v>0</v>
      </c>
      <c r="I1294" s="128">
        <v>0</v>
      </c>
    </row>
    <row r="1295" spans="1:9" ht="13.5">
      <c r="A1295" s="128">
        <v>1998</v>
      </c>
      <c r="B1295" s="128" t="s">
        <v>138</v>
      </c>
      <c r="C1295" s="128" t="s">
        <v>23</v>
      </c>
      <c r="D1295" s="128" t="s">
        <v>79</v>
      </c>
      <c r="E1295" s="128" t="s">
        <v>132</v>
      </c>
      <c r="F1295" s="128">
        <v>0</v>
      </c>
      <c r="G1295" s="128">
        <v>0</v>
      </c>
      <c r="H1295" s="128">
        <v>0</v>
      </c>
      <c r="I1295" s="128">
        <v>0</v>
      </c>
    </row>
    <row r="1296" spans="1:9" ht="13.5">
      <c r="A1296" s="128">
        <v>1998</v>
      </c>
      <c r="B1296" s="128" t="s">
        <v>138</v>
      </c>
      <c r="C1296" s="128" t="s">
        <v>23</v>
      </c>
      <c r="D1296" s="128" t="s">
        <v>79</v>
      </c>
      <c r="E1296" s="128" t="s">
        <v>133</v>
      </c>
      <c r="F1296" s="128">
        <v>0</v>
      </c>
      <c r="G1296" s="128">
        <v>0</v>
      </c>
      <c r="H1296" s="128">
        <v>0</v>
      </c>
      <c r="I1296" s="128">
        <v>0</v>
      </c>
    </row>
    <row r="1297" spans="1:9" ht="13.5">
      <c r="A1297" s="128">
        <v>1998</v>
      </c>
      <c r="B1297" s="128" t="s">
        <v>138</v>
      </c>
      <c r="C1297" s="128" t="s">
        <v>23</v>
      </c>
      <c r="D1297" s="128" t="s">
        <v>79</v>
      </c>
      <c r="E1297" s="128" t="s">
        <v>134</v>
      </c>
      <c r="F1297" s="128">
        <v>0</v>
      </c>
      <c r="G1297" s="128">
        <v>0</v>
      </c>
      <c r="H1297" s="128">
        <v>0</v>
      </c>
      <c r="I1297" s="128">
        <v>0</v>
      </c>
    </row>
    <row r="1298" spans="1:9" ht="13.5">
      <c r="A1298" s="128">
        <v>1998</v>
      </c>
      <c r="B1298" s="128" t="s">
        <v>138</v>
      </c>
      <c r="C1298" s="128" t="s">
        <v>23</v>
      </c>
      <c r="D1298" s="128" t="s">
        <v>79</v>
      </c>
      <c r="E1298" s="128" t="s">
        <v>135</v>
      </c>
      <c r="F1298" s="128">
        <v>0</v>
      </c>
      <c r="G1298" s="128">
        <v>0</v>
      </c>
      <c r="H1298" s="128">
        <v>0</v>
      </c>
      <c r="I1298" s="128">
        <v>0</v>
      </c>
    </row>
    <row r="1299" spans="1:9" ht="13.5">
      <c r="A1299" s="128">
        <v>1998</v>
      </c>
      <c r="B1299" s="128" t="s">
        <v>138</v>
      </c>
      <c r="C1299" s="128" t="s">
        <v>23</v>
      </c>
      <c r="D1299" s="128" t="s">
        <v>79</v>
      </c>
      <c r="E1299" s="128" t="s">
        <v>136</v>
      </c>
      <c r="F1299" s="128">
        <v>0</v>
      </c>
      <c r="G1299" s="128">
        <v>0</v>
      </c>
      <c r="H1299" s="128">
        <v>0</v>
      </c>
      <c r="I1299" s="128">
        <v>0</v>
      </c>
    </row>
    <row r="1300" spans="1:9" ht="13.5">
      <c r="A1300" s="128">
        <v>1998</v>
      </c>
      <c r="B1300" s="128" t="s">
        <v>138</v>
      </c>
      <c r="C1300" s="128" t="s">
        <v>23</v>
      </c>
      <c r="D1300" s="128" t="s">
        <v>76</v>
      </c>
      <c r="E1300" s="128" t="s">
        <v>132</v>
      </c>
      <c r="F1300" s="128">
        <v>0</v>
      </c>
      <c r="G1300" s="128">
        <v>0</v>
      </c>
      <c r="H1300" s="128">
        <v>0</v>
      </c>
      <c r="I1300" s="128">
        <v>0</v>
      </c>
    </row>
    <row r="1301" spans="1:9" ht="13.5">
      <c r="A1301" s="128">
        <v>1998</v>
      </c>
      <c r="B1301" s="128" t="s">
        <v>138</v>
      </c>
      <c r="C1301" s="128" t="s">
        <v>23</v>
      </c>
      <c r="D1301" s="128" t="s">
        <v>76</v>
      </c>
      <c r="E1301" s="128" t="s">
        <v>133</v>
      </c>
      <c r="F1301" s="128">
        <v>0</v>
      </c>
      <c r="G1301" s="128">
        <v>0</v>
      </c>
      <c r="H1301" s="128">
        <v>0</v>
      </c>
      <c r="I1301" s="128">
        <v>0</v>
      </c>
    </row>
    <row r="1302" spans="1:9" ht="13.5">
      <c r="A1302" s="128">
        <v>1998</v>
      </c>
      <c r="B1302" s="128" t="s">
        <v>138</v>
      </c>
      <c r="C1302" s="128" t="s">
        <v>23</v>
      </c>
      <c r="D1302" s="128" t="s">
        <v>76</v>
      </c>
      <c r="E1302" s="128" t="s">
        <v>134</v>
      </c>
      <c r="F1302" s="128">
        <v>0</v>
      </c>
      <c r="G1302" s="128">
        <v>0</v>
      </c>
      <c r="H1302" s="128">
        <v>0</v>
      </c>
      <c r="I1302" s="128">
        <v>0</v>
      </c>
    </row>
    <row r="1303" spans="1:9" ht="13.5">
      <c r="A1303" s="128">
        <v>1998</v>
      </c>
      <c r="B1303" s="128" t="s">
        <v>138</v>
      </c>
      <c r="C1303" s="128" t="s">
        <v>23</v>
      </c>
      <c r="D1303" s="128" t="s">
        <v>76</v>
      </c>
      <c r="E1303" s="128" t="s">
        <v>135</v>
      </c>
      <c r="F1303" s="128">
        <v>0</v>
      </c>
      <c r="G1303" s="128">
        <v>0</v>
      </c>
      <c r="H1303" s="128">
        <v>0</v>
      </c>
      <c r="I1303" s="128">
        <v>0</v>
      </c>
    </row>
    <row r="1304" spans="1:9" ht="13.5">
      <c r="A1304" s="128">
        <v>1998</v>
      </c>
      <c r="B1304" s="128" t="s">
        <v>138</v>
      </c>
      <c r="C1304" s="128" t="s">
        <v>23</v>
      </c>
      <c r="D1304" s="128" t="s">
        <v>76</v>
      </c>
      <c r="E1304" s="128" t="s">
        <v>136</v>
      </c>
      <c r="F1304" s="128">
        <v>0</v>
      </c>
      <c r="G1304" s="128">
        <v>0</v>
      </c>
      <c r="H1304" s="128">
        <v>0</v>
      </c>
      <c r="I1304" s="128">
        <v>0</v>
      </c>
    </row>
    <row r="1305" spans="1:9" ht="13.5">
      <c r="A1305" s="128">
        <v>1998</v>
      </c>
      <c r="B1305" s="128" t="s">
        <v>138</v>
      </c>
      <c r="C1305" s="128" t="s">
        <v>25</v>
      </c>
      <c r="D1305" s="128" t="s">
        <v>77</v>
      </c>
      <c r="E1305" s="128" t="s">
        <v>132</v>
      </c>
      <c r="F1305" s="128">
        <v>0</v>
      </c>
      <c r="G1305" s="128">
        <v>0</v>
      </c>
      <c r="H1305" s="128">
        <v>0</v>
      </c>
      <c r="I1305" s="128">
        <v>0</v>
      </c>
    </row>
    <row r="1306" spans="1:9" ht="13.5">
      <c r="A1306" s="128">
        <v>1998</v>
      </c>
      <c r="B1306" s="128" t="s">
        <v>138</v>
      </c>
      <c r="C1306" s="128" t="s">
        <v>25</v>
      </c>
      <c r="D1306" s="128" t="s">
        <v>77</v>
      </c>
      <c r="E1306" s="128" t="s">
        <v>133</v>
      </c>
      <c r="F1306" s="128">
        <v>0</v>
      </c>
      <c r="G1306" s="128">
        <v>0</v>
      </c>
      <c r="H1306" s="128">
        <v>0</v>
      </c>
      <c r="I1306" s="128">
        <v>0</v>
      </c>
    </row>
    <row r="1307" spans="1:9" ht="13.5">
      <c r="A1307" s="128">
        <v>1998</v>
      </c>
      <c r="B1307" s="128" t="s">
        <v>138</v>
      </c>
      <c r="C1307" s="128" t="s">
        <v>25</v>
      </c>
      <c r="D1307" s="128" t="s">
        <v>77</v>
      </c>
      <c r="E1307" s="128" t="s">
        <v>134</v>
      </c>
      <c r="F1307" s="128">
        <v>0</v>
      </c>
      <c r="G1307" s="128">
        <v>0</v>
      </c>
      <c r="H1307" s="128">
        <v>0</v>
      </c>
      <c r="I1307" s="128">
        <v>0</v>
      </c>
    </row>
    <row r="1308" spans="1:9" ht="13.5">
      <c r="A1308" s="128">
        <v>1998</v>
      </c>
      <c r="B1308" s="128" t="s">
        <v>138</v>
      </c>
      <c r="C1308" s="128" t="s">
        <v>25</v>
      </c>
      <c r="D1308" s="128" t="s">
        <v>77</v>
      </c>
      <c r="E1308" s="128" t="s">
        <v>135</v>
      </c>
      <c r="F1308" s="128">
        <v>0</v>
      </c>
      <c r="G1308" s="128">
        <v>0</v>
      </c>
      <c r="H1308" s="128">
        <v>0</v>
      </c>
      <c r="I1308" s="128">
        <v>0</v>
      </c>
    </row>
    <row r="1309" spans="1:9" ht="13.5">
      <c r="A1309" s="128">
        <v>1998</v>
      </c>
      <c r="B1309" s="128" t="s">
        <v>138</v>
      </c>
      <c r="C1309" s="128" t="s">
        <v>25</v>
      </c>
      <c r="D1309" s="128" t="s">
        <v>79</v>
      </c>
      <c r="E1309" s="128" t="s">
        <v>132</v>
      </c>
      <c r="F1309" s="128">
        <v>0</v>
      </c>
      <c r="G1309" s="128">
        <v>0</v>
      </c>
      <c r="H1309" s="128">
        <v>0</v>
      </c>
      <c r="I1309" s="128">
        <v>0</v>
      </c>
    </row>
    <row r="1310" spans="1:9" ht="13.5">
      <c r="A1310" s="128">
        <v>1998</v>
      </c>
      <c r="B1310" s="128" t="s">
        <v>138</v>
      </c>
      <c r="C1310" s="128" t="s">
        <v>25</v>
      </c>
      <c r="D1310" s="128" t="s">
        <v>79</v>
      </c>
      <c r="E1310" s="128" t="s">
        <v>133</v>
      </c>
      <c r="F1310" s="128">
        <v>0</v>
      </c>
      <c r="G1310" s="128">
        <v>0</v>
      </c>
      <c r="H1310" s="128">
        <v>0</v>
      </c>
      <c r="I1310" s="128">
        <v>0</v>
      </c>
    </row>
    <row r="1311" spans="1:9" ht="13.5">
      <c r="A1311" s="128">
        <v>1998</v>
      </c>
      <c r="B1311" s="128" t="s">
        <v>138</v>
      </c>
      <c r="C1311" s="128" t="s">
        <v>25</v>
      </c>
      <c r="D1311" s="128" t="s">
        <v>79</v>
      </c>
      <c r="E1311" s="128" t="s">
        <v>134</v>
      </c>
      <c r="F1311" s="128">
        <v>0</v>
      </c>
      <c r="G1311" s="128">
        <v>0</v>
      </c>
      <c r="H1311" s="128">
        <v>0</v>
      </c>
      <c r="I1311" s="128">
        <v>0</v>
      </c>
    </row>
    <row r="1312" spans="1:9" ht="13.5">
      <c r="A1312" s="128">
        <v>1998</v>
      </c>
      <c r="B1312" s="128" t="s">
        <v>138</v>
      </c>
      <c r="C1312" s="128" t="s">
        <v>25</v>
      </c>
      <c r="D1312" s="128" t="s">
        <v>79</v>
      </c>
      <c r="E1312" s="128" t="s">
        <v>135</v>
      </c>
      <c r="F1312" s="128">
        <v>0</v>
      </c>
      <c r="G1312" s="128">
        <v>0</v>
      </c>
      <c r="H1312" s="128">
        <v>0</v>
      </c>
      <c r="I1312" s="128">
        <v>0</v>
      </c>
    </row>
    <row r="1313" spans="1:9" ht="13.5">
      <c r="A1313" s="128">
        <v>1998</v>
      </c>
      <c r="B1313" s="128" t="s">
        <v>138</v>
      </c>
      <c r="C1313" s="128" t="s">
        <v>25</v>
      </c>
      <c r="D1313" s="128" t="s">
        <v>79</v>
      </c>
      <c r="E1313" s="128" t="s">
        <v>136</v>
      </c>
      <c r="F1313" s="128">
        <v>0</v>
      </c>
      <c r="G1313" s="128">
        <v>0</v>
      </c>
      <c r="H1313" s="128">
        <v>0</v>
      </c>
      <c r="I1313" s="128">
        <v>0</v>
      </c>
    </row>
    <row r="1314" spans="1:9" ht="13.5">
      <c r="A1314" s="128">
        <v>1998</v>
      </c>
      <c r="B1314" s="128" t="s">
        <v>138</v>
      </c>
      <c r="C1314" s="128" t="s">
        <v>25</v>
      </c>
      <c r="D1314" s="128" t="s">
        <v>76</v>
      </c>
      <c r="E1314" s="128" t="s">
        <v>132</v>
      </c>
      <c r="F1314" s="128">
        <v>0</v>
      </c>
      <c r="G1314" s="128">
        <v>0</v>
      </c>
      <c r="H1314" s="128">
        <v>0</v>
      </c>
      <c r="I1314" s="128">
        <v>0</v>
      </c>
    </row>
    <row r="1315" spans="1:9" ht="13.5">
      <c r="A1315" s="128">
        <v>1998</v>
      </c>
      <c r="B1315" s="128" t="s">
        <v>138</v>
      </c>
      <c r="C1315" s="128" t="s">
        <v>25</v>
      </c>
      <c r="D1315" s="128" t="s">
        <v>76</v>
      </c>
      <c r="E1315" s="128" t="s">
        <v>133</v>
      </c>
      <c r="F1315" s="128">
        <v>0</v>
      </c>
      <c r="G1315" s="128">
        <v>0</v>
      </c>
      <c r="H1315" s="128">
        <v>0</v>
      </c>
      <c r="I1315" s="128">
        <v>0</v>
      </c>
    </row>
    <row r="1316" spans="1:9" ht="13.5">
      <c r="A1316" s="128">
        <v>1998</v>
      </c>
      <c r="B1316" s="128" t="s">
        <v>138</v>
      </c>
      <c r="C1316" s="128" t="s">
        <v>25</v>
      </c>
      <c r="D1316" s="128" t="s">
        <v>76</v>
      </c>
      <c r="E1316" s="128" t="s">
        <v>134</v>
      </c>
      <c r="F1316" s="128">
        <v>0</v>
      </c>
      <c r="G1316" s="128">
        <v>0</v>
      </c>
      <c r="H1316" s="128">
        <v>0</v>
      </c>
      <c r="I1316" s="128">
        <v>0</v>
      </c>
    </row>
    <row r="1317" spans="1:9" ht="13.5">
      <c r="A1317" s="128">
        <v>1998</v>
      </c>
      <c r="B1317" s="128" t="s">
        <v>138</v>
      </c>
      <c r="C1317" s="128" t="s">
        <v>25</v>
      </c>
      <c r="D1317" s="128" t="s">
        <v>76</v>
      </c>
      <c r="E1317" s="128" t="s">
        <v>135</v>
      </c>
      <c r="F1317" s="128">
        <v>0</v>
      </c>
      <c r="G1317" s="128">
        <v>0</v>
      </c>
      <c r="H1317" s="128">
        <v>0</v>
      </c>
      <c r="I1317" s="128">
        <v>0</v>
      </c>
    </row>
    <row r="1318" spans="1:9" ht="13.5">
      <c r="A1318" s="128">
        <v>1998</v>
      </c>
      <c r="B1318" s="128" t="s">
        <v>138</v>
      </c>
      <c r="C1318" s="128" t="s">
        <v>25</v>
      </c>
      <c r="D1318" s="128" t="s">
        <v>76</v>
      </c>
      <c r="E1318" s="128" t="s">
        <v>136</v>
      </c>
      <c r="F1318" s="128">
        <v>0</v>
      </c>
      <c r="G1318" s="128">
        <v>0</v>
      </c>
      <c r="H1318" s="128">
        <v>0</v>
      </c>
      <c r="I1318" s="128">
        <v>0</v>
      </c>
    </row>
    <row r="1319" spans="1:9" ht="13.5">
      <c r="A1319" s="128">
        <v>1998</v>
      </c>
      <c r="B1319" s="128" t="s">
        <v>138</v>
      </c>
      <c r="C1319" s="128" t="s">
        <v>21</v>
      </c>
      <c r="D1319" s="128" t="s">
        <v>77</v>
      </c>
      <c r="E1319" s="128" t="s">
        <v>132</v>
      </c>
      <c r="F1319" s="128">
        <v>0</v>
      </c>
      <c r="G1319" s="128">
        <v>0</v>
      </c>
      <c r="H1319" s="128">
        <v>0</v>
      </c>
      <c r="I1319" s="128">
        <v>0</v>
      </c>
    </row>
    <row r="1320" spans="1:9" ht="13.5">
      <c r="A1320" s="128">
        <v>1998</v>
      </c>
      <c r="B1320" s="128" t="s">
        <v>138</v>
      </c>
      <c r="C1320" s="128" t="s">
        <v>21</v>
      </c>
      <c r="D1320" s="128" t="s">
        <v>77</v>
      </c>
      <c r="E1320" s="128" t="s">
        <v>133</v>
      </c>
      <c r="F1320" s="128">
        <v>0</v>
      </c>
      <c r="G1320" s="128">
        <v>0</v>
      </c>
      <c r="H1320" s="128">
        <v>0</v>
      </c>
      <c r="I1320" s="128">
        <v>0</v>
      </c>
    </row>
    <row r="1321" spans="1:9" ht="13.5">
      <c r="A1321" s="128">
        <v>1998</v>
      </c>
      <c r="B1321" s="128" t="s">
        <v>138</v>
      </c>
      <c r="C1321" s="128" t="s">
        <v>21</v>
      </c>
      <c r="D1321" s="128" t="s">
        <v>77</v>
      </c>
      <c r="E1321" s="128" t="s">
        <v>134</v>
      </c>
      <c r="F1321" s="128">
        <v>0</v>
      </c>
      <c r="G1321" s="128">
        <v>0</v>
      </c>
      <c r="H1321" s="128">
        <v>0</v>
      </c>
      <c r="I1321" s="128">
        <v>0</v>
      </c>
    </row>
    <row r="1322" spans="1:9" ht="13.5">
      <c r="A1322" s="128">
        <v>1998</v>
      </c>
      <c r="B1322" s="128" t="s">
        <v>138</v>
      </c>
      <c r="C1322" s="128" t="s">
        <v>21</v>
      </c>
      <c r="D1322" s="128" t="s">
        <v>77</v>
      </c>
      <c r="E1322" s="128" t="s">
        <v>135</v>
      </c>
      <c r="F1322" s="128">
        <v>0</v>
      </c>
      <c r="G1322" s="128">
        <v>0</v>
      </c>
      <c r="H1322" s="128">
        <v>0</v>
      </c>
      <c r="I1322" s="128">
        <v>0</v>
      </c>
    </row>
    <row r="1323" spans="1:9" ht="13.5">
      <c r="A1323" s="128">
        <v>1998</v>
      </c>
      <c r="B1323" s="128" t="s">
        <v>138</v>
      </c>
      <c r="C1323" s="128" t="s">
        <v>21</v>
      </c>
      <c r="D1323" s="128" t="s">
        <v>79</v>
      </c>
      <c r="E1323" s="128" t="s">
        <v>132</v>
      </c>
      <c r="F1323" s="128">
        <v>0</v>
      </c>
      <c r="G1323" s="128">
        <v>0</v>
      </c>
      <c r="H1323" s="128">
        <v>0</v>
      </c>
      <c r="I1323" s="128">
        <v>0</v>
      </c>
    </row>
    <row r="1324" spans="1:9" ht="13.5">
      <c r="A1324" s="128">
        <v>1998</v>
      </c>
      <c r="B1324" s="128" t="s">
        <v>138</v>
      </c>
      <c r="C1324" s="128" t="s">
        <v>21</v>
      </c>
      <c r="D1324" s="128" t="s">
        <v>79</v>
      </c>
      <c r="E1324" s="128" t="s">
        <v>133</v>
      </c>
      <c r="F1324" s="128">
        <v>0</v>
      </c>
      <c r="G1324" s="128">
        <v>0</v>
      </c>
      <c r="H1324" s="128">
        <v>0</v>
      </c>
      <c r="I1324" s="128">
        <v>0</v>
      </c>
    </row>
    <row r="1325" spans="1:9" ht="13.5">
      <c r="A1325" s="128">
        <v>1998</v>
      </c>
      <c r="B1325" s="128" t="s">
        <v>138</v>
      </c>
      <c r="C1325" s="128" t="s">
        <v>21</v>
      </c>
      <c r="D1325" s="128" t="s">
        <v>79</v>
      </c>
      <c r="E1325" s="128" t="s">
        <v>134</v>
      </c>
      <c r="F1325" s="128">
        <v>0</v>
      </c>
      <c r="G1325" s="128">
        <v>0</v>
      </c>
      <c r="H1325" s="128">
        <v>0</v>
      </c>
      <c r="I1325" s="128">
        <v>0</v>
      </c>
    </row>
    <row r="1326" spans="1:9" ht="13.5">
      <c r="A1326" s="128">
        <v>1998</v>
      </c>
      <c r="B1326" s="128" t="s">
        <v>138</v>
      </c>
      <c r="C1326" s="128" t="s">
        <v>21</v>
      </c>
      <c r="D1326" s="128" t="s">
        <v>79</v>
      </c>
      <c r="E1326" s="128" t="s">
        <v>135</v>
      </c>
      <c r="F1326" s="128">
        <v>0</v>
      </c>
      <c r="G1326" s="128">
        <v>0</v>
      </c>
      <c r="H1326" s="128">
        <v>0</v>
      </c>
      <c r="I1326" s="128">
        <v>0</v>
      </c>
    </row>
    <row r="1327" spans="1:9" ht="13.5">
      <c r="A1327" s="128">
        <v>1998</v>
      </c>
      <c r="B1327" s="128" t="s">
        <v>138</v>
      </c>
      <c r="C1327" s="128" t="s">
        <v>21</v>
      </c>
      <c r="D1327" s="128" t="s">
        <v>79</v>
      </c>
      <c r="E1327" s="128" t="s">
        <v>136</v>
      </c>
      <c r="F1327" s="128">
        <v>0</v>
      </c>
      <c r="G1327" s="128">
        <v>0</v>
      </c>
      <c r="H1327" s="128">
        <v>0</v>
      </c>
      <c r="I1327" s="128">
        <v>0</v>
      </c>
    </row>
    <row r="1328" spans="1:9" ht="13.5">
      <c r="A1328" s="128">
        <v>1998</v>
      </c>
      <c r="B1328" s="128" t="s">
        <v>138</v>
      </c>
      <c r="C1328" s="128" t="s">
        <v>21</v>
      </c>
      <c r="D1328" s="128" t="s">
        <v>76</v>
      </c>
      <c r="E1328" s="128" t="s">
        <v>132</v>
      </c>
      <c r="F1328" s="128">
        <v>0</v>
      </c>
      <c r="G1328" s="128">
        <v>0</v>
      </c>
      <c r="H1328" s="128">
        <v>0</v>
      </c>
      <c r="I1328" s="128">
        <v>0</v>
      </c>
    </row>
    <row r="1329" spans="1:9" ht="13.5">
      <c r="A1329" s="128">
        <v>1998</v>
      </c>
      <c r="B1329" s="128" t="s">
        <v>138</v>
      </c>
      <c r="C1329" s="128" t="s">
        <v>21</v>
      </c>
      <c r="D1329" s="128" t="s">
        <v>76</v>
      </c>
      <c r="E1329" s="128" t="s">
        <v>133</v>
      </c>
      <c r="F1329" s="128">
        <v>0</v>
      </c>
      <c r="G1329" s="128">
        <v>0</v>
      </c>
      <c r="H1329" s="128">
        <v>0</v>
      </c>
      <c r="I1329" s="128">
        <v>0</v>
      </c>
    </row>
    <row r="1330" spans="1:9" ht="13.5">
      <c r="A1330" s="128">
        <v>1998</v>
      </c>
      <c r="B1330" s="128" t="s">
        <v>138</v>
      </c>
      <c r="C1330" s="128" t="s">
        <v>21</v>
      </c>
      <c r="D1330" s="128" t="s">
        <v>76</v>
      </c>
      <c r="E1330" s="128" t="s">
        <v>134</v>
      </c>
      <c r="F1330" s="128">
        <v>0</v>
      </c>
      <c r="G1330" s="128">
        <v>0</v>
      </c>
      <c r="H1330" s="128">
        <v>0</v>
      </c>
      <c r="I1330" s="128">
        <v>0</v>
      </c>
    </row>
    <row r="1331" spans="1:9" ht="13.5">
      <c r="A1331" s="128">
        <v>1998</v>
      </c>
      <c r="B1331" s="128" t="s">
        <v>138</v>
      </c>
      <c r="C1331" s="128" t="s">
        <v>21</v>
      </c>
      <c r="D1331" s="128" t="s">
        <v>76</v>
      </c>
      <c r="E1331" s="128" t="s">
        <v>135</v>
      </c>
      <c r="F1331" s="128">
        <v>0</v>
      </c>
      <c r="G1331" s="128">
        <v>0</v>
      </c>
      <c r="H1331" s="128">
        <v>0</v>
      </c>
      <c r="I1331" s="128">
        <v>0</v>
      </c>
    </row>
    <row r="1332" spans="1:9" ht="13.5">
      <c r="A1332" s="128">
        <v>1998</v>
      </c>
      <c r="B1332" s="128" t="s">
        <v>138</v>
      </c>
      <c r="C1332" s="128" t="s">
        <v>21</v>
      </c>
      <c r="D1332" s="128" t="s">
        <v>76</v>
      </c>
      <c r="E1332" s="128" t="s">
        <v>136</v>
      </c>
      <c r="F1332" s="128">
        <v>0</v>
      </c>
      <c r="G1332" s="128">
        <v>0</v>
      </c>
      <c r="H1332" s="128">
        <v>0</v>
      </c>
      <c r="I1332" s="128">
        <v>0</v>
      </c>
    </row>
    <row r="1333" spans="1:9" ht="13.5">
      <c r="A1333" s="128">
        <v>1998</v>
      </c>
      <c r="B1333" s="128" t="s">
        <v>138</v>
      </c>
      <c r="C1333" s="128" t="s">
        <v>24</v>
      </c>
      <c r="D1333" s="128" t="s">
        <v>77</v>
      </c>
      <c r="E1333" s="128" t="s">
        <v>132</v>
      </c>
      <c r="F1333" s="128">
        <v>0</v>
      </c>
      <c r="G1333" s="128">
        <v>0</v>
      </c>
      <c r="H1333" s="128">
        <v>0</v>
      </c>
      <c r="I1333" s="128">
        <v>0</v>
      </c>
    </row>
    <row r="1334" spans="1:9" ht="13.5">
      <c r="A1334" s="128">
        <v>1998</v>
      </c>
      <c r="B1334" s="128" t="s">
        <v>138</v>
      </c>
      <c r="C1334" s="128" t="s">
        <v>24</v>
      </c>
      <c r="D1334" s="128" t="s">
        <v>77</v>
      </c>
      <c r="E1334" s="128" t="s">
        <v>133</v>
      </c>
      <c r="F1334" s="128">
        <v>0</v>
      </c>
      <c r="G1334" s="128">
        <v>0</v>
      </c>
      <c r="H1334" s="128">
        <v>0</v>
      </c>
      <c r="I1334" s="128">
        <v>0</v>
      </c>
    </row>
    <row r="1335" spans="1:9" ht="13.5">
      <c r="A1335" s="128">
        <v>1998</v>
      </c>
      <c r="B1335" s="128" t="s">
        <v>138</v>
      </c>
      <c r="C1335" s="128" t="s">
        <v>24</v>
      </c>
      <c r="D1335" s="128" t="s">
        <v>77</v>
      </c>
      <c r="E1335" s="128" t="s">
        <v>134</v>
      </c>
      <c r="F1335" s="128">
        <v>0</v>
      </c>
      <c r="G1335" s="128">
        <v>0</v>
      </c>
      <c r="H1335" s="128">
        <v>0</v>
      </c>
      <c r="I1335" s="128">
        <v>0</v>
      </c>
    </row>
    <row r="1336" spans="1:9" ht="13.5">
      <c r="A1336" s="128">
        <v>1998</v>
      </c>
      <c r="B1336" s="128" t="s">
        <v>138</v>
      </c>
      <c r="C1336" s="128" t="s">
        <v>24</v>
      </c>
      <c r="D1336" s="128" t="s">
        <v>77</v>
      </c>
      <c r="E1336" s="128" t="s">
        <v>135</v>
      </c>
      <c r="F1336" s="128">
        <v>0</v>
      </c>
      <c r="G1336" s="128">
        <v>0</v>
      </c>
      <c r="H1336" s="128">
        <v>0</v>
      </c>
      <c r="I1336" s="128">
        <v>0</v>
      </c>
    </row>
    <row r="1337" spans="1:9" ht="13.5">
      <c r="A1337" s="128">
        <v>1998</v>
      </c>
      <c r="B1337" s="128" t="s">
        <v>138</v>
      </c>
      <c r="C1337" s="128" t="s">
        <v>24</v>
      </c>
      <c r="D1337" s="128" t="s">
        <v>79</v>
      </c>
      <c r="E1337" s="128" t="s">
        <v>132</v>
      </c>
      <c r="F1337" s="128">
        <v>0</v>
      </c>
      <c r="G1337" s="128">
        <v>0</v>
      </c>
      <c r="H1337" s="128">
        <v>0</v>
      </c>
      <c r="I1337" s="128">
        <v>0</v>
      </c>
    </row>
    <row r="1338" spans="1:9" ht="13.5">
      <c r="A1338" s="128">
        <v>1998</v>
      </c>
      <c r="B1338" s="128" t="s">
        <v>138</v>
      </c>
      <c r="C1338" s="128" t="s">
        <v>24</v>
      </c>
      <c r="D1338" s="128" t="s">
        <v>79</v>
      </c>
      <c r="E1338" s="128" t="s">
        <v>133</v>
      </c>
      <c r="F1338" s="128">
        <v>0</v>
      </c>
      <c r="G1338" s="128">
        <v>0</v>
      </c>
      <c r="H1338" s="128">
        <v>0</v>
      </c>
      <c r="I1338" s="128">
        <v>0</v>
      </c>
    </row>
    <row r="1339" spans="1:9" ht="13.5">
      <c r="A1339" s="128">
        <v>1998</v>
      </c>
      <c r="B1339" s="128" t="s">
        <v>138</v>
      </c>
      <c r="C1339" s="128" t="s">
        <v>24</v>
      </c>
      <c r="D1339" s="128" t="s">
        <v>79</v>
      </c>
      <c r="E1339" s="128" t="s">
        <v>134</v>
      </c>
      <c r="F1339" s="128">
        <v>0</v>
      </c>
      <c r="G1339" s="128">
        <v>0</v>
      </c>
      <c r="H1339" s="128">
        <v>0</v>
      </c>
      <c r="I1339" s="128">
        <v>0</v>
      </c>
    </row>
    <row r="1340" spans="1:9" ht="13.5">
      <c r="A1340" s="128">
        <v>1998</v>
      </c>
      <c r="B1340" s="128" t="s">
        <v>138</v>
      </c>
      <c r="C1340" s="128" t="s">
        <v>24</v>
      </c>
      <c r="D1340" s="128" t="s">
        <v>79</v>
      </c>
      <c r="E1340" s="128" t="s">
        <v>135</v>
      </c>
      <c r="F1340" s="128">
        <v>0</v>
      </c>
      <c r="G1340" s="128">
        <v>0</v>
      </c>
      <c r="H1340" s="128">
        <v>0</v>
      </c>
      <c r="I1340" s="128">
        <v>0</v>
      </c>
    </row>
    <row r="1341" spans="1:9" ht="13.5">
      <c r="A1341" s="128">
        <v>1998</v>
      </c>
      <c r="B1341" s="128" t="s">
        <v>138</v>
      </c>
      <c r="C1341" s="128" t="s">
        <v>24</v>
      </c>
      <c r="D1341" s="128" t="s">
        <v>79</v>
      </c>
      <c r="E1341" s="128" t="s">
        <v>136</v>
      </c>
      <c r="F1341" s="128">
        <v>0</v>
      </c>
      <c r="G1341" s="128">
        <v>0</v>
      </c>
      <c r="H1341" s="128">
        <v>0</v>
      </c>
      <c r="I1341" s="128">
        <v>0</v>
      </c>
    </row>
    <row r="1342" spans="1:9" ht="13.5">
      <c r="A1342" s="128">
        <v>1998</v>
      </c>
      <c r="B1342" s="128" t="s">
        <v>138</v>
      </c>
      <c r="C1342" s="128" t="s">
        <v>24</v>
      </c>
      <c r="D1342" s="128" t="s">
        <v>76</v>
      </c>
      <c r="E1342" s="128" t="s">
        <v>132</v>
      </c>
      <c r="F1342" s="128">
        <v>0</v>
      </c>
      <c r="G1342" s="128">
        <v>0</v>
      </c>
      <c r="H1342" s="128">
        <v>0</v>
      </c>
      <c r="I1342" s="128">
        <v>0</v>
      </c>
    </row>
    <row r="1343" spans="1:9" ht="13.5">
      <c r="A1343" s="128">
        <v>1998</v>
      </c>
      <c r="B1343" s="128" t="s">
        <v>138</v>
      </c>
      <c r="C1343" s="128" t="s">
        <v>24</v>
      </c>
      <c r="D1343" s="128" t="s">
        <v>76</v>
      </c>
      <c r="E1343" s="128" t="s">
        <v>133</v>
      </c>
      <c r="F1343" s="128">
        <v>0</v>
      </c>
      <c r="G1343" s="128">
        <v>0</v>
      </c>
      <c r="H1343" s="128">
        <v>0</v>
      </c>
      <c r="I1343" s="128">
        <v>0</v>
      </c>
    </row>
    <row r="1344" spans="1:9" ht="13.5">
      <c r="A1344" s="128">
        <v>1998</v>
      </c>
      <c r="B1344" s="128" t="s">
        <v>138</v>
      </c>
      <c r="C1344" s="128" t="s">
        <v>24</v>
      </c>
      <c r="D1344" s="128" t="s">
        <v>76</v>
      </c>
      <c r="E1344" s="128" t="s">
        <v>134</v>
      </c>
      <c r="F1344" s="128">
        <v>0</v>
      </c>
      <c r="G1344" s="128">
        <v>0</v>
      </c>
      <c r="H1344" s="128">
        <v>0</v>
      </c>
      <c r="I1344" s="128">
        <v>0</v>
      </c>
    </row>
    <row r="1345" spans="1:9" ht="13.5">
      <c r="A1345" s="128">
        <v>1998</v>
      </c>
      <c r="B1345" s="128" t="s">
        <v>138</v>
      </c>
      <c r="C1345" s="128" t="s">
        <v>24</v>
      </c>
      <c r="D1345" s="128" t="s">
        <v>76</v>
      </c>
      <c r="E1345" s="128" t="s">
        <v>135</v>
      </c>
      <c r="F1345" s="128">
        <v>0</v>
      </c>
      <c r="G1345" s="128">
        <v>0</v>
      </c>
      <c r="H1345" s="128">
        <v>0</v>
      </c>
      <c r="I1345" s="128">
        <v>0</v>
      </c>
    </row>
    <row r="1346" spans="1:9" ht="13.5">
      <c r="A1346" s="128">
        <v>1998</v>
      </c>
      <c r="B1346" s="128" t="s">
        <v>138</v>
      </c>
      <c r="C1346" s="128" t="s">
        <v>24</v>
      </c>
      <c r="D1346" s="128" t="s">
        <v>76</v>
      </c>
      <c r="E1346" s="128" t="s">
        <v>136</v>
      </c>
      <c r="F1346" s="128">
        <v>0</v>
      </c>
      <c r="G1346" s="128">
        <v>0</v>
      </c>
      <c r="H1346" s="128">
        <v>0</v>
      </c>
      <c r="I1346" s="128">
        <v>0</v>
      </c>
    </row>
    <row r="1347" spans="1:9" ht="13.5">
      <c r="A1347" s="128">
        <v>1998</v>
      </c>
      <c r="B1347" s="128" t="s">
        <v>139</v>
      </c>
      <c r="C1347" s="128" t="s">
        <v>26</v>
      </c>
      <c r="D1347" s="128" t="s">
        <v>77</v>
      </c>
      <c r="E1347" s="128" t="s">
        <v>132</v>
      </c>
      <c r="F1347" s="128">
        <v>0</v>
      </c>
      <c r="G1347" s="128">
        <v>0</v>
      </c>
      <c r="H1347" s="128">
        <v>0</v>
      </c>
      <c r="I1347" s="128">
        <v>0</v>
      </c>
    </row>
    <row r="1348" spans="1:9" ht="13.5">
      <c r="A1348" s="128">
        <v>1998</v>
      </c>
      <c r="B1348" s="128" t="s">
        <v>139</v>
      </c>
      <c r="C1348" s="128" t="s">
        <v>26</v>
      </c>
      <c r="D1348" s="128" t="s">
        <v>77</v>
      </c>
      <c r="E1348" s="128" t="s">
        <v>133</v>
      </c>
      <c r="F1348" s="128">
        <v>0</v>
      </c>
      <c r="G1348" s="128">
        <v>0</v>
      </c>
      <c r="H1348" s="128">
        <v>0</v>
      </c>
      <c r="I1348" s="128">
        <v>0</v>
      </c>
    </row>
    <row r="1349" spans="1:9" ht="13.5">
      <c r="A1349" s="128">
        <v>1998</v>
      </c>
      <c r="B1349" s="128" t="s">
        <v>139</v>
      </c>
      <c r="C1349" s="128" t="s">
        <v>26</v>
      </c>
      <c r="D1349" s="128" t="s">
        <v>77</v>
      </c>
      <c r="E1349" s="128" t="s">
        <v>134</v>
      </c>
      <c r="F1349" s="128">
        <v>0</v>
      </c>
      <c r="G1349" s="128">
        <v>0</v>
      </c>
      <c r="H1349" s="128">
        <v>0</v>
      </c>
      <c r="I1349" s="128">
        <v>0</v>
      </c>
    </row>
    <row r="1350" spans="1:9" ht="13.5">
      <c r="A1350" s="128">
        <v>1998</v>
      </c>
      <c r="B1350" s="128" t="s">
        <v>139</v>
      </c>
      <c r="C1350" s="128" t="s">
        <v>26</v>
      </c>
      <c r="D1350" s="128" t="s">
        <v>77</v>
      </c>
      <c r="E1350" s="128" t="s">
        <v>135</v>
      </c>
      <c r="F1350" s="128">
        <v>0</v>
      </c>
      <c r="G1350" s="128">
        <v>0</v>
      </c>
      <c r="H1350" s="128">
        <v>0</v>
      </c>
      <c r="I1350" s="128">
        <v>0</v>
      </c>
    </row>
    <row r="1351" spans="1:9" ht="13.5">
      <c r="A1351" s="128">
        <v>1998</v>
      </c>
      <c r="B1351" s="128" t="s">
        <v>139</v>
      </c>
      <c r="C1351" s="128" t="s">
        <v>26</v>
      </c>
      <c r="D1351" s="128" t="s">
        <v>79</v>
      </c>
      <c r="E1351" s="128" t="s">
        <v>132</v>
      </c>
      <c r="F1351" s="128">
        <v>0</v>
      </c>
      <c r="G1351" s="128">
        <v>0</v>
      </c>
      <c r="H1351" s="128">
        <v>0</v>
      </c>
      <c r="I1351" s="128">
        <v>0</v>
      </c>
    </row>
    <row r="1352" spans="1:9" ht="13.5">
      <c r="A1352" s="128">
        <v>1998</v>
      </c>
      <c r="B1352" s="128" t="s">
        <v>139</v>
      </c>
      <c r="C1352" s="128" t="s">
        <v>26</v>
      </c>
      <c r="D1352" s="128" t="s">
        <v>79</v>
      </c>
      <c r="E1352" s="128" t="s">
        <v>133</v>
      </c>
      <c r="F1352" s="128">
        <v>0</v>
      </c>
      <c r="G1352" s="128">
        <v>0</v>
      </c>
      <c r="H1352" s="128">
        <v>0</v>
      </c>
      <c r="I1352" s="128">
        <v>0</v>
      </c>
    </row>
    <row r="1353" spans="1:9" ht="13.5">
      <c r="A1353" s="128">
        <v>1998</v>
      </c>
      <c r="B1353" s="128" t="s">
        <v>139</v>
      </c>
      <c r="C1353" s="128" t="s">
        <v>26</v>
      </c>
      <c r="D1353" s="128" t="s">
        <v>79</v>
      </c>
      <c r="E1353" s="128" t="s">
        <v>134</v>
      </c>
      <c r="F1353" s="128">
        <v>0</v>
      </c>
      <c r="G1353" s="128">
        <v>0</v>
      </c>
      <c r="H1353" s="128">
        <v>0</v>
      </c>
      <c r="I1353" s="128">
        <v>0</v>
      </c>
    </row>
    <row r="1354" spans="1:9" ht="13.5">
      <c r="A1354" s="128">
        <v>1998</v>
      </c>
      <c r="B1354" s="128" t="s">
        <v>139</v>
      </c>
      <c r="C1354" s="128" t="s">
        <v>26</v>
      </c>
      <c r="D1354" s="128" t="s">
        <v>79</v>
      </c>
      <c r="E1354" s="128" t="s">
        <v>135</v>
      </c>
      <c r="F1354" s="128">
        <v>0</v>
      </c>
      <c r="G1354" s="128">
        <v>0</v>
      </c>
      <c r="H1354" s="128">
        <v>0</v>
      </c>
      <c r="I1354" s="128">
        <v>0</v>
      </c>
    </row>
    <row r="1355" spans="1:9" ht="13.5">
      <c r="A1355" s="128">
        <v>1998</v>
      </c>
      <c r="B1355" s="128" t="s">
        <v>139</v>
      </c>
      <c r="C1355" s="128" t="s">
        <v>26</v>
      </c>
      <c r="D1355" s="128" t="s">
        <v>79</v>
      </c>
      <c r="E1355" s="128" t="s">
        <v>136</v>
      </c>
      <c r="F1355" s="128">
        <v>0</v>
      </c>
      <c r="G1355" s="128">
        <v>0</v>
      </c>
      <c r="H1355" s="128">
        <v>0</v>
      </c>
      <c r="I1355" s="128">
        <v>0</v>
      </c>
    </row>
    <row r="1356" spans="1:9" ht="13.5">
      <c r="A1356" s="128">
        <v>1998</v>
      </c>
      <c r="B1356" s="128" t="s">
        <v>139</v>
      </c>
      <c r="C1356" s="128" t="s">
        <v>26</v>
      </c>
      <c r="D1356" s="128" t="s">
        <v>76</v>
      </c>
      <c r="E1356" s="128" t="s">
        <v>132</v>
      </c>
      <c r="F1356" s="128">
        <v>0</v>
      </c>
      <c r="G1356" s="128">
        <v>0</v>
      </c>
      <c r="H1356" s="128">
        <v>0</v>
      </c>
      <c r="I1356" s="128">
        <v>0</v>
      </c>
    </row>
    <row r="1357" spans="1:9" ht="13.5">
      <c r="A1357" s="128">
        <v>1998</v>
      </c>
      <c r="B1357" s="128" t="s">
        <v>139</v>
      </c>
      <c r="C1357" s="128" t="s">
        <v>26</v>
      </c>
      <c r="D1357" s="128" t="s">
        <v>76</v>
      </c>
      <c r="E1357" s="128" t="s">
        <v>133</v>
      </c>
      <c r="F1357" s="128">
        <v>0</v>
      </c>
      <c r="G1357" s="128">
        <v>0</v>
      </c>
      <c r="H1357" s="128">
        <v>0</v>
      </c>
      <c r="I1357" s="128">
        <v>0</v>
      </c>
    </row>
    <row r="1358" spans="1:9" ht="13.5">
      <c r="A1358" s="128">
        <v>1998</v>
      </c>
      <c r="B1358" s="128" t="s">
        <v>139</v>
      </c>
      <c r="C1358" s="128" t="s">
        <v>26</v>
      </c>
      <c r="D1358" s="128" t="s">
        <v>76</v>
      </c>
      <c r="E1358" s="128" t="s">
        <v>134</v>
      </c>
      <c r="F1358" s="128">
        <v>0</v>
      </c>
      <c r="G1358" s="128">
        <v>0</v>
      </c>
      <c r="H1358" s="128">
        <v>0</v>
      </c>
      <c r="I1358" s="128">
        <v>0</v>
      </c>
    </row>
    <row r="1359" spans="1:9" ht="13.5">
      <c r="A1359" s="128">
        <v>1998</v>
      </c>
      <c r="B1359" s="128" t="s">
        <v>139</v>
      </c>
      <c r="C1359" s="128" t="s">
        <v>26</v>
      </c>
      <c r="D1359" s="128" t="s">
        <v>76</v>
      </c>
      <c r="E1359" s="128" t="s">
        <v>135</v>
      </c>
      <c r="F1359" s="128">
        <v>0</v>
      </c>
      <c r="G1359" s="128">
        <v>0</v>
      </c>
      <c r="H1359" s="128">
        <v>0</v>
      </c>
      <c r="I1359" s="128">
        <v>0</v>
      </c>
    </row>
    <row r="1360" spans="1:9" ht="13.5">
      <c r="A1360" s="128">
        <v>1998</v>
      </c>
      <c r="B1360" s="128" t="s">
        <v>139</v>
      </c>
      <c r="C1360" s="128" t="s">
        <v>26</v>
      </c>
      <c r="D1360" s="128" t="s">
        <v>76</v>
      </c>
      <c r="E1360" s="128" t="s">
        <v>136</v>
      </c>
      <c r="F1360" s="128">
        <v>0</v>
      </c>
      <c r="G1360" s="128">
        <v>0</v>
      </c>
      <c r="H1360" s="128">
        <v>0</v>
      </c>
      <c r="I1360" s="128">
        <v>0</v>
      </c>
    </row>
    <row r="1361" spans="1:9" ht="13.5">
      <c r="A1361" s="128">
        <v>1998</v>
      </c>
      <c r="B1361" s="128" t="s">
        <v>139</v>
      </c>
      <c r="C1361" s="128" t="s">
        <v>20</v>
      </c>
      <c r="D1361" s="128" t="s">
        <v>77</v>
      </c>
      <c r="E1361" s="128" t="s">
        <v>132</v>
      </c>
      <c r="F1361" s="128">
        <v>0</v>
      </c>
      <c r="G1361" s="128">
        <v>0</v>
      </c>
      <c r="H1361" s="128">
        <v>0</v>
      </c>
      <c r="I1361" s="128">
        <v>0</v>
      </c>
    </row>
    <row r="1362" spans="1:9" ht="13.5">
      <c r="A1362" s="128">
        <v>1998</v>
      </c>
      <c r="B1362" s="128" t="s">
        <v>139</v>
      </c>
      <c r="C1362" s="128" t="s">
        <v>20</v>
      </c>
      <c r="D1362" s="128" t="s">
        <v>77</v>
      </c>
      <c r="E1362" s="128" t="s">
        <v>133</v>
      </c>
      <c r="F1362" s="128">
        <v>0</v>
      </c>
      <c r="G1362" s="128">
        <v>0</v>
      </c>
      <c r="H1362" s="128">
        <v>0</v>
      </c>
      <c r="I1362" s="128">
        <v>0</v>
      </c>
    </row>
    <row r="1363" spans="1:9" ht="13.5">
      <c r="A1363" s="128">
        <v>1998</v>
      </c>
      <c r="B1363" s="128" t="s">
        <v>139</v>
      </c>
      <c r="C1363" s="128" t="s">
        <v>20</v>
      </c>
      <c r="D1363" s="128" t="s">
        <v>77</v>
      </c>
      <c r="E1363" s="128" t="s">
        <v>134</v>
      </c>
      <c r="F1363" s="128">
        <v>0</v>
      </c>
      <c r="G1363" s="128">
        <v>0</v>
      </c>
      <c r="H1363" s="128">
        <v>0</v>
      </c>
      <c r="I1363" s="128">
        <v>0</v>
      </c>
    </row>
    <row r="1364" spans="1:9" ht="13.5">
      <c r="A1364" s="128">
        <v>1998</v>
      </c>
      <c r="B1364" s="128" t="s">
        <v>139</v>
      </c>
      <c r="C1364" s="128" t="s">
        <v>20</v>
      </c>
      <c r="D1364" s="128" t="s">
        <v>77</v>
      </c>
      <c r="E1364" s="128" t="s">
        <v>135</v>
      </c>
      <c r="F1364" s="128">
        <v>0</v>
      </c>
      <c r="G1364" s="128">
        <v>0</v>
      </c>
      <c r="H1364" s="128">
        <v>0</v>
      </c>
      <c r="I1364" s="128">
        <v>0</v>
      </c>
    </row>
    <row r="1365" spans="1:9" ht="13.5">
      <c r="A1365" s="128">
        <v>1998</v>
      </c>
      <c r="B1365" s="128" t="s">
        <v>139</v>
      </c>
      <c r="C1365" s="128" t="s">
        <v>20</v>
      </c>
      <c r="D1365" s="128" t="s">
        <v>79</v>
      </c>
      <c r="E1365" s="128" t="s">
        <v>132</v>
      </c>
      <c r="F1365" s="128">
        <v>0</v>
      </c>
      <c r="G1365" s="128">
        <v>0</v>
      </c>
      <c r="H1365" s="128">
        <v>0</v>
      </c>
      <c r="I1365" s="128">
        <v>0</v>
      </c>
    </row>
    <row r="1366" spans="1:9" ht="13.5">
      <c r="A1366" s="128">
        <v>1998</v>
      </c>
      <c r="B1366" s="128" t="s">
        <v>139</v>
      </c>
      <c r="C1366" s="128" t="s">
        <v>20</v>
      </c>
      <c r="D1366" s="128" t="s">
        <v>79</v>
      </c>
      <c r="E1366" s="128" t="s">
        <v>133</v>
      </c>
      <c r="F1366" s="128">
        <v>0</v>
      </c>
      <c r="G1366" s="128">
        <v>0</v>
      </c>
      <c r="H1366" s="128">
        <v>0</v>
      </c>
      <c r="I1366" s="128">
        <v>0</v>
      </c>
    </row>
    <row r="1367" spans="1:9" ht="13.5">
      <c r="A1367" s="128">
        <v>1998</v>
      </c>
      <c r="B1367" s="128" t="s">
        <v>139</v>
      </c>
      <c r="C1367" s="128" t="s">
        <v>20</v>
      </c>
      <c r="D1367" s="128" t="s">
        <v>79</v>
      </c>
      <c r="E1367" s="128" t="s">
        <v>134</v>
      </c>
      <c r="F1367" s="128">
        <v>0</v>
      </c>
      <c r="G1367" s="128">
        <v>0</v>
      </c>
      <c r="H1367" s="128">
        <v>0</v>
      </c>
      <c r="I1367" s="128">
        <v>0</v>
      </c>
    </row>
    <row r="1368" spans="1:9" ht="13.5">
      <c r="A1368" s="128">
        <v>1998</v>
      </c>
      <c r="B1368" s="128" t="s">
        <v>139</v>
      </c>
      <c r="C1368" s="128" t="s">
        <v>20</v>
      </c>
      <c r="D1368" s="128" t="s">
        <v>79</v>
      </c>
      <c r="E1368" s="128" t="s">
        <v>135</v>
      </c>
      <c r="F1368" s="128">
        <v>0</v>
      </c>
      <c r="G1368" s="128">
        <v>0</v>
      </c>
      <c r="H1368" s="128">
        <v>0</v>
      </c>
      <c r="I1368" s="128">
        <v>0</v>
      </c>
    </row>
    <row r="1369" spans="1:9" ht="13.5">
      <c r="A1369" s="128">
        <v>1998</v>
      </c>
      <c r="B1369" s="128" t="s">
        <v>139</v>
      </c>
      <c r="C1369" s="128" t="s">
        <v>20</v>
      </c>
      <c r="D1369" s="128" t="s">
        <v>79</v>
      </c>
      <c r="E1369" s="128" t="s">
        <v>136</v>
      </c>
      <c r="F1369" s="128">
        <v>0</v>
      </c>
      <c r="G1369" s="128">
        <v>0</v>
      </c>
      <c r="H1369" s="128">
        <v>0</v>
      </c>
      <c r="I1369" s="128">
        <v>0</v>
      </c>
    </row>
    <row r="1370" spans="1:9" ht="13.5">
      <c r="A1370" s="128">
        <v>1998</v>
      </c>
      <c r="B1370" s="128" t="s">
        <v>139</v>
      </c>
      <c r="C1370" s="128" t="s">
        <v>20</v>
      </c>
      <c r="D1370" s="128" t="s">
        <v>76</v>
      </c>
      <c r="E1370" s="128" t="s">
        <v>132</v>
      </c>
      <c r="F1370" s="128">
        <v>0</v>
      </c>
      <c r="G1370" s="128">
        <v>0</v>
      </c>
      <c r="H1370" s="128">
        <v>0</v>
      </c>
      <c r="I1370" s="128">
        <v>0</v>
      </c>
    </row>
    <row r="1371" spans="1:9" ht="13.5">
      <c r="A1371" s="128">
        <v>1998</v>
      </c>
      <c r="B1371" s="128" t="s">
        <v>139</v>
      </c>
      <c r="C1371" s="128" t="s">
        <v>20</v>
      </c>
      <c r="D1371" s="128" t="s">
        <v>76</v>
      </c>
      <c r="E1371" s="128" t="s">
        <v>133</v>
      </c>
      <c r="F1371" s="128">
        <v>0</v>
      </c>
      <c r="G1371" s="128">
        <v>0</v>
      </c>
      <c r="H1371" s="128">
        <v>0</v>
      </c>
      <c r="I1371" s="128">
        <v>0</v>
      </c>
    </row>
    <row r="1372" spans="1:9" ht="13.5">
      <c r="A1372" s="128">
        <v>1998</v>
      </c>
      <c r="B1372" s="128" t="s">
        <v>139</v>
      </c>
      <c r="C1372" s="128" t="s">
        <v>20</v>
      </c>
      <c r="D1372" s="128" t="s">
        <v>76</v>
      </c>
      <c r="E1372" s="128" t="s">
        <v>134</v>
      </c>
      <c r="F1372" s="128">
        <v>0</v>
      </c>
      <c r="G1372" s="128">
        <v>0</v>
      </c>
      <c r="H1372" s="128">
        <v>0</v>
      </c>
      <c r="I1372" s="128">
        <v>0</v>
      </c>
    </row>
    <row r="1373" spans="1:9" ht="13.5">
      <c r="A1373" s="128">
        <v>1998</v>
      </c>
      <c r="B1373" s="128" t="s">
        <v>139</v>
      </c>
      <c r="C1373" s="128" t="s">
        <v>20</v>
      </c>
      <c r="D1373" s="128" t="s">
        <v>76</v>
      </c>
      <c r="E1373" s="128" t="s">
        <v>135</v>
      </c>
      <c r="F1373" s="128">
        <v>0</v>
      </c>
      <c r="G1373" s="128">
        <v>0</v>
      </c>
      <c r="H1373" s="128">
        <v>0</v>
      </c>
      <c r="I1373" s="128">
        <v>0</v>
      </c>
    </row>
    <row r="1374" spans="1:9" ht="13.5">
      <c r="A1374" s="128">
        <v>1998</v>
      </c>
      <c r="B1374" s="128" t="s">
        <v>139</v>
      </c>
      <c r="C1374" s="128" t="s">
        <v>20</v>
      </c>
      <c r="D1374" s="128" t="s">
        <v>76</v>
      </c>
      <c r="E1374" s="128" t="s">
        <v>136</v>
      </c>
      <c r="F1374" s="128">
        <v>0</v>
      </c>
      <c r="G1374" s="128">
        <v>0</v>
      </c>
      <c r="H1374" s="128">
        <v>0</v>
      </c>
      <c r="I1374" s="128">
        <v>0</v>
      </c>
    </row>
    <row r="1375" spans="1:9" ht="13.5">
      <c r="A1375" s="128">
        <v>1998</v>
      </c>
      <c r="B1375" s="128" t="s">
        <v>139</v>
      </c>
      <c r="C1375" s="128" t="s">
        <v>27</v>
      </c>
      <c r="D1375" s="128" t="s">
        <v>77</v>
      </c>
      <c r="E1375" s="128" t="s">
        <v>132</v>
      </c>
      <c r="F1375" s="128">
        <v>0</v>
      </c>
      <c r="G1375" s="128">
        <v>0</v>
      </c>
      <c r="H1375" s="128">
        <v>0</v>
      </c>
      <c r="I1375" s="128">
        <v>0</v>
      </c>
    </row>
    <row r="1376" spans="1:9" ht="13.5">
      <c r="A1376" s="128">
        <v>1998</v>
      </c>
      <c r="B1376" s="128" t="s">
        <v>139</v>
      </c>
      <c r="C1376" s="128" t="s">
        <v>27</v>
      </c>
      <c r="D1376" s="128" t="s">
        <v>77</v>
      </c>
      <c r="E1376" s="128" t="s">
        <v>133</v>
      </c>
      <c r="F1376" s="128">
        <v>0</v>
      </c>
      <c r="G1376" s="128">
        <v>0</v>
      </c>
      <c r="H1376" s="128">
        <v>0</v>
      </c>
      <c r="I1376" s="128">
        <v>0</v>
      </c>
    </row>
    <row r="1377" spans="1:9" ht="13.5">
      <c r="A1377" s="128">
        <v>1998</v>
      </c>
      <c r="B1377" s="128" t="s">
        <v>139</v>
      </c>
      <c r="C1377" s="128" t="s">
        <v>27</v>
      </c>
      <c r="D1377" s="128" t="s">
        <v>77</v>
      </c>
      <c r="E1377" s="128" t="s">
        <v>134</v>
      </c>
      <c r="F1377" s="128">
        <v>0</v>
      </c>
      <c r="G1377" s="128">
        <v>0</v>
      </c>
      <c r="H1377" s="128">
        <v>0</v>
      </c>
      <c r="I1377" s="128">
        <v>0</v>
      </c>
    </row>
    <row r="1378" spans="1:9" ht="13.5">
      <c r="A1378" s="128">
        <v>1998</v>
      </c>
      <c r="B1378" s="128" t="s">
        <v>139</v>
      </c>
      <c r="C1378" s="128" t="s">
        <v>27</v>
      </c>
      <c r="D1378" s="128" t="s">
        <v>77</v>
      </c>
      <c r="E1378" s="128" t="s">
        <v>135</v>
      </c>
      <c r="F1378" s="128">
        <v>0</v>
      </c>
      <c r="G1378" s="128">
        <v>0</v>
      </c>
      <c r="H1378" s="128">
        <v>0</v>
      </c>
      <c r="I1378" s="128">
        <v>0</v>
      </c>
    </row>
    <row r="1379" spans="1:9" ht="13.5">
      <c r="A1379" s="128">
        <v>1998</v>
      </c>
      <c r="B1379" s="128" t="s">
        <v>139</v>
      </c>
      <c r="C1379" s="128" t="s">
        <v>27</v>
      </c>
      <c r="D1379" s="128" t="s">
        <v>79</v>
      </c>
      <c r="E1379" s="128" t="s">
        <v>132</v>
      </c>
      <c r="F1379" s="128">
        <v>0</v>
      </c>
      <c r="G1379" s="128">
        <v>0</v>
      </c>
      <c r="H1379" s="128">
        <v>0</v>
      </c>
      <c r="I1379" s="128">
        <v>0</v>
      </c>
    </row>
    <row r="1380" spans="1:9" ht="13.5">
      <c r="A1380" s="128">
        <v>1998</v>
      </c>
      <c r="B1380" s="128" t="s">
        <v>139</v>
      </c>
      <c r="C1380" s="128" t="s">
        <v>27</v>
      </c>
      <c r="D1380" s="128" t="s">
        <v>79</v>
      </c>
      <c r="E1380" s="128" t="s">
        <v>133</v>
      </c>
      <c r="F1380" s="128">
        <v>0</v>
      </c>
      <c r="G1380" s="128">
        <v>0</v>
      </c>
      <c r="H1380" s="128">
        <v>0</v>
      </c>
      <c r="I1380" s="128">
        <v>0</v>
      </c>
    </row>
    <row r="1381" spans="1:9" ht="13.5">
      <c r="A1381" s="128">
        <v>1998</v>
      </c>
      <c r="B1381" s="128" t="s">
        <v>139</v>
      </c>
      <c r="C1381" s="128" t="s">
        <v>27</v>
      </c>
      <c r="D1381" s="128" t="s">
        <v>79</v>
      </c>
      <c r="E1381" s="128" t="s">
        <v>134</v>
      </c>
      <c r="F1381" s="128">
        <v>0</v>
      </c>
      <c r="G1381" s="128">
        <v>0</v>
      </c>
      <c r="H1381" s="128">
        <v>0</v>
      </c>
      <c r="I1381" s="128">
        <v>0</v>
      </c>
    </row>
    <row r="1382" spans="1:9" ht="13.5">
      <c r="A1382" s="128">
        <v>1998</v>
      </c>
      <c r="B1382" s="128" t="s">
        <v>139</v>
      </c>
      <c r="C1382" s="128" t="s">
        <v>27</v>
      </c>
      <c r="D1382" s="128" t="s">
        <v>79</v>
      </c>
      <c r="E1382" s="128" t="s">
        <v>135</v>
      </c>
      <c r="F1382" s="128">
        <v>0</v>
      </c>
      <c r="G1382" s="128">
        <v>0</v>
      </c>
      <c r="H1382" s="128">
        <v>0</v>
      </c>
      <c r="I1382" s="128">
        <v>0</v>
      </c>
    </row>
    <row r="1383" spans="1:9" ht="13.5">
      <c r="A1383" s="128">
        <v>1998</v>
      </c>
      <c r="B1383" s="128" t="s">
        <v>139</v>
      </c>
      <c r="C1383" s="128" t="s">
        <v>27</v>
      </c>
      <c r="D1383" s="128" t="s">
        <v>79</v>
      </c>
      <c r="E1383" s="128" t="s">
        <v>136</v>
      </c>
      <c r="F1383" s="128">
        <v>0</v>
      </c>
      <c r="G1383" s="128">
        <v>0</v>
      </c>
      <c r="H1383" s="128">
        <v>0</v>
      </c>
      <c r="I1383" s="128">
        <v>0</v>
      </c>
    </row>
    <row r="1384" spans="1:9" ht="13.5">
      <c r="A1384" s="128">
        <v>1998</v>
      </c>
      <c r="B1384" s="128" t="s">
        <v>139</v>
      </c>
      <c r="C1384" s="128" t="s">
        <v>27</v>
      </c>
      <c r="D1384" s="128" t="s">
        <v>76</v>
      </c>
      <c r="E1384" s="128" t="s">
        <v>132</v>
      </c>
      <c r="F1384" s="128">
        <v>0</v>
      </c>
      <c r="G1384" s="128">
        <v>0</v>
      </c>
      <c r="H1384" s="128">
        <v>0</v>
      </c>
      <c r="I1384" s="128">
        <v>0</v>
      </c>
    </row>
    <row r="1385" spans="1:9" ht="13.5">
      <c r="A1385" s="128">
        <v>1998</v>
      </c>
      <c r="B1385" s="128" t="s">
        <v>139</v>
      </c>
      <c r="C1385" s="128" t="s">
        <v>27</v>
      </c>
      <c r="D1385" s="128" t="s">
        <v>76</v>
      </c>
      <c r="E1385" s="128" t="s">
        <v>133</v>
      </c>
      <c r="F1385" s="128">
        <v>0</v>
      </c>
      <c r="G1385" s="128">
        <v>0</v>
      </c>
      <c r="H1385" s="128">
        <v>0</v>
      </c>
      <c r="I1385" s="128">
        <v>0</v>
      </c>
    </row>
    <row r="1386" spans="1:9" ht="13.5">
      <c r="A1386" s="128">
        <v>1998</v>
      </c>
      <c r="B1386" s="128" t="s">
        <v>139</v>
      </c>
      <c r="C1386" s="128" t="s">
        <v>27</v>
      </c>
      <c r="D1386" s="128" t="s">
        <v>76</v>
      </c>
      <c r="E1386" s="128" t="s">
        <v>134</v>
      </c>
      <c r="F1386" s="128">
        <v>0</v>
      </c>
      <c r="G1386" s="128">
        <v>0</v>
      </c>
      <c r="H1386" s="128">
        <v>0</v>
      </c>
      <c r="I1386" s="128">
        <v>0</v>
      </c>
    </row>
    <row r="1387" spans="1:9" ht="13.5">
      <c r="A1387" s="128">
        <v>1998</v>
      </c>
      <c r="B1387" s="128" t="s">
        <v>139</v>
      </c>
      <c r="C1387" s="128" t="s">
        <v>27</v>
      </c>
      <c r="D1387" s="128" t="s">
        <v>76</v>
      </c>
      <c r="E1387" s="128" t="s">
        <v>135</v>
      </c>
      <c r="F1387" s="128">
        <v>0</v>
      </c>
      <c r="G1387" s="128">
        <v>0</v>
      </c>
      <c r="H1387" s="128">
        <v>0</v>
      </c>
      <c r="I1387" s="128">
        <v>0</v>
      </c>
    </row>
    <row r="1388" spans="1:9" ht="13.5">
      <c r="A1388" s="128">
        <v>1998</v>
      </c>
      <c r="B1388" s="128" t="s">
        <v>139</v>
      </c>
      <c r="C1388" s="128" t="s">
        <v>27</v>
      </c>
      <c r="D1388" s="128" t="s">
        <v>76</v>
      </c>
      <c r="E1388" s="128" t="s">
        <v>136</v>
      </c>
      <c r="F1388" s="128">
        <v>0</v>
      </c>
      <c r="G1388" s="128">
        <v>0</v>
      </c>
      <c r="H1388" s="128">
        <v>0</v>
      </c>
      <c r="I1388" s="128">
        <v>0</v>
      </c>
    </row>
    <row r="1389" spans="1:9" ht="13.5">
      <c r="A1389" s="128">
        <v>1998</v>
      </c>
      <c r="B1389" s="128" t="s">
        <v>139</v>
      </c>
      <c r="C1389" s="128" t="s">
        <v>22</v>
      </c>
      <c r="D1389" s="128" t="s">
        <v>77</v>
      </c>
      <c r="E1389" s="128" t="s">
        <v>132</v>
      </c>
      <c r="F1389" s="128">
        <v>0</v>
      </c>
      <c r="G1389" s="128">
        <v>0</v>
      </c>
      <c r="H1389" s="128">
        <v>0</v>
      </c>
      <c r="I1389" s="128">
        <v>0</v>
      </c>
    </row>
    <row r="1390" spans="1:9" ht="13.5">
      <c r="A1390" s="128">
        <v>1998</v>
      </c>
      <c r="B1390" s="128" t="s">
        <v>139</v>
      </c>
      <c r="C1390" s="128" t="s">
        <v>22</v>
      </c>
      <c r="D1390" s="128" t="s">
        <v>77</v>
      </c>
      <c r="E1390" s="128" t="s">
        <v>133</v>
      </c>
      <c r="F1390" s="128">
        <v>0</v>
      </c>
      <c r="G1390" s="128">
        <v>0</v>
      </c>
      <c r="H1390" s="128">
        <v>0</v>
      </c>
      <c r="I1390" s="128">
        <v>0</v>
      </c>
    </row>
    <row r="1391" spans="1:9" ht="13.5">
      <c r="A1391" s="128">
        <v>1998</v>
      </c>
      <c r="B1391" s="128" t="s">
        <v>139</v>
      </c>
      <c r="C1391" s="128" t="s">
        <v>22</v>
      </c>
      <c r="D1391" s="128" t="s">
        <v>77</v>
      </c>
      <c r="E1391" s="128" t="s">
        <v>134</v>
      </c>
      <c r="F1391" s="128">
        <v>0</v>
      </c>
      <c r="G1391" s="128">
        <v>0</v>
      </c>
      <c r="H1391" s="128">
        <v>0</v>
      </c>
      <c r="I1391" s="128">
        <v>0</v>
      </c>
    </row>
    <row r="1392" spans="1:9" ht="13.5">
      <c r="A1392" s="128">
        <v>1998</v>
      </c>
      <c r="B1392" s="128" t="s">
        <v>139</v>
      </c>
      <c r="C1392" s="128" t="s">
        <v>22</v>
      </c>
      <c r="D1392" s="128" t="s">
        <v>77</v>
      </c>
      <c r="E1392" s="128" t="s">
        <v>135</v>
      </c>
      <c r="F1392" s="128">
        <v>0</v>
      </c>
      <c r="G1392" s="128">
        <v>0</v>
      </c>
      <c r="H1392" s="128">
        <v>0</v>
      </c>
      <c r="I1392" s="128">
        <v>0</v>
      </c>
    </row>
    <row r="1393" spans="1:9" ht="13.5">
      <c r="A1393" s="128">
        <v>1998</v>
      </c>
      <c r="B1393" s="128" t="s">
        <v>139</v>
      </c>
      <c r="C1393" s="128" t="s">
        <v>22</v>
      </c>
      <c r="D1393" s="128" t="s">
        <v>79</v>
      </c>
      <c r="E1393" s="128" t="s">
        <v>132</v>
      </c>
      <c r="F1393" s="128">
        <v>0</v>
      </c>
      <c r="G1393" s="128">
        <v>0</v>
      </c>
      <c r="H1393" s="128">
        <v>0</v>
      </c>
      <c r="I1393" s="128">
        <v>0</v>
      </c>
    </row>
    <row r="1394" spans="1:9" ht="13.5">
      <c r="A1394" s="128">
        <v>1998</v>
      </c>
      <c r="B1394" s="128" t="s">
        <v>139</v>
      </c>
      <c r="C1394" s="128" t="s">
        <v>22</v>
      </c>
      <c r="D1394" s="128" t="s">
        <v>79</v>
      </c>
      <c r="E1394" s="128" t="s">
        <v>133</v>
      </c>
      <c r="F1394" s="128">
        <v>0</v>
      </c>
      <c r="G1394" s="128">
        <v>0</v>
      </c>
      <c r="H1394" s="128">
        <v>0</v>
      </c>
      <c r="I1394" s="128">
        <v>0</v>
      </c>
    </row>
    <row r="1395" spans="1:9" ht="13.5">
      <c r="A1395" s="128">
        <v>1998</v>
      </c>
      <c r="B1395" s="128" t="s">
        <v>139</v>
      </c>
      <c r="C1395" s="128" t="s">
        <v>22</v>
      </c>
      <c r="D1395" s="128" t="s">
        <v>79</v>
      </c>
      <c r="E1395" s="128" t="s">
        <v>134</v>
      </c>
      <c r="F1395" s="128">
        <v>0</v>
      </c>
      <c r="G1395" s="128">
        <v>0</v>
      </c>
      <c r="H1395" s="128">
        <v>0</v>
      </c>
      <c r="I1395" s="128">
        <v>0</v>
      </c>
    </row>
    <row r="1396" spans="1:9" ht="13.5">
      <c r="A1396" s="128">
        <v>1998</v>
      </c>
      <c r="B1396" s="128" t="s">
        <v>139</v>
      </c>
      <c r="C1396" s="128" t="s">
        <v>22</v>
      </c>
      <c r="D1396" s="128" t="s">
        <v>79</v>
      </c>
      <c r="E1396" s="128" t="s">
        <v>135</v>
      </c>
      <c r="F1396" s="128">
        <v>0</v>
      </c>
      <c r="G1396" s="128">
        <v>0</v>
      </c>
      <c r="H1396" s="128">
        <v>0</v>
      </c>
      <c r="I1396" s="128">
        <v>0</v>
      </c>
    </row>
    <row r="1397" spans="1:9" ht="13.5">
      <c r="A1397" s="128">
        <v>1998</v>
      </c>
      <c r="B1397" s="128" t="s">
        <v>139</v>
      </c>
      <c r="C1397" s="128" t="s">
        <v>22</v>
      </c>
      <c r="D1397" s="128" t="s">
        <v>79</v>
      </c>
      <c r="E1397" s="128" t="s">
        <v>136</v>
      </c>
      <c r="F1397" s="128">
        <v>0</v>
      </c>
      <c r="G1397" s="128">
        <v>0</v>
      </c>
      <c r="H1397" s="128">
        <v>0</v>
      </c>
      <c r="I1397" s="128">
        <v>0</v>
      </c>
    </row>
    <row r="1398" spans="1:9" ht="13.5">
      <c r="A1398" s="128">
        <v>1998</v>
      </c>
      <c r="B1398" s="128" t="s">
        <v>139</v>
      </c>
      <c r="C1398" s="128" t="s">
        <v>22</v>
      </c>
      <c r="D1398" s="128" t="s">
        <v>76</v>
      </c>
      <c r="E1398" s="128" t="s">
        <v>132</v>
      </c>
      <c r="F1398" s="128">
        <v>0</v>
      </c>
      <c r="G1398" s="128">
        <v>0</v>
      </c>
      <c r="H1398" s="128">
        <v>0</v>
      </c>
      <c r="I1398" s="128">
        <v>0</v>
      </c>
    </row>
    <row r="1399" spans="1:9" ht="13.5">
      <c r="A1399" s="128">
        <v>1998</v>
      </c>
      <c r="B1399" s="128" t="s">
        <v>139</v>
      </c>
      <c r="C1399" s="128" t="s">
        <v>22</v>
      </c>
      <c r="D1399" s="128" t="s">
        <v>76</v>
      </c>
      <c r="E1399" s="128" t="s">
        <v>133</v>
      </c>
      <c r="F1399" s="128">
        <v>0</v>
      </c>
      <c r="G1399" s="128">
        <v>0</v>
      </c>
      <c r="H1399" s="128">
        <v>0</v>
      </c>
      <c r="I1399" s="128">
        <v>0</v>
      </c>
    </row>
    <row r="1400" spans="1:9" ht="13.5">
      <c r="A1400" s="128">
        <v>1998</v>
      </c>
      <c r="B1400" s="128" t="s">
        <v>139</v>
      </c>
      <c r="C1400" s="128" t="s">
        <v>22</v>
      </c>
      <c r="D1400" s="128" t="s">
        <v>76</v>
      </c>
      <c r="E1400" s="128" t="s">
        <v>134</v>
      </c>
      <c r="F1400" s="128">
        <v>0</v>
      </c>
      <c r="G1400" s="128">
        <v>0</v>
      </c>
      <c r="H1400" s="128">
        <v>0</v>
      </c>
      <c r="I1400" s="128">
        <v>0</v>
      </c>
    </row>
    <row r="1401" spans="1:9" ht="13.5">
      <c r="A1401" s="128">
        <v>1998</v>
      </c>
      <c r="B1401" s="128" t="s">
        <v>139</v>
      </c>
      <c r="C1401" s="128" t="s">
        <v>22</v>
      </c>
      <c r="D1401" s="128" t="s">
        <v>76</v>
      </c>
      <c r="E1401" s="128" t="s">
        <v>135</v>
      </c>
      <c r="F1401" s="128">
        <v>0</v>
      </c>
      <c r="G1401" s="128">
        <v>0</v>
      </c>
      <c r="H1401" s="128">
        <v>0</v>
      </c>
      <c r="I1401" s="128">
        <v>0</v>
      </c>
    </row>
    <row r="1402" spans="1:9" ht="13.5">
      <c r="A1402" s="128">
        <v>1998</v>
      </c>
      <c r="B1402" s="128" t="s">
        <v>139</v>
      </c>
      <c r="C1402" s="128" t="s">
        <v>22</v>
      </c>
      <c r="D1402" s="128" t="s">
        <v>76</v>
      </c>
      <c r="E1402" s="128" t="s">
        <v>136</v>
      </c>
      <c r="F1402" s="128">
        <v>0</v>
      </c>
      <c r="G1402" s="128">
        <v>0</v>
      </c>
      <c r="H1402" s="128">
        <v>0</v>
      </c>
      <c r="I1402" s="128">
        <v>0</v>
      </c>
    </row>
    <row r="1403" spans="1:9" ht="13.5">
      <c r="A1403" s="128">
        <v>1998</v>
      </c>
      <c r="B1403" s="128" t="s">
        <v>139</v>
      </c>
      <c r="C1403" s="128" t="s">
        <v>23</v>
      </c>
      <c r="D1403" s="128" t="s">
        <v>77</v>
      </c>
      <c r="E1403" s="128" t="s">
        <v>132</v>
      </c>
      <c r="F1403" s="128">
        <v>0</v>
      </c>
      <c r="G1403" s="128">
        <v>0</v>
      </c>
      <c r="H1403" s="128">
        <v>0</v>
      </c>
      <c r="I1403" s="128">
        <v>0</v>
      </c>
    </row>
    <row r="1404" spans="1:9" ht="13.5">
      <c r="A1404" s="128">
        <v>1998</v>
      </c>
      <c r="B1404" s="128" t="s">
        <v>139</v>
      </c>
      <c r="C1404" s="128" t="s">
        <v>23</v>
      </c>
      <c r="D1404" s="128" t="s">
        <v>77</v>
      </c>
      <c r="E1404" s="128" t="s">
        <v>133</v>
      </c>
      <c r="F1404" s="128">
        <v>0</v>
      </c>
      <c r="G1404" s="128">
        <v>0</v>
      </c>
      <c r="H1404" s="128">
        <v>0</v>
      </c>
      <c r="I1404" s="128">
        <v>0</v>
      </c>
    </row>
    <row r="1405" spans="1:9" ht="13.5">
      <c r="A1405" s="128">
        <v>1998</v>
      </c>
      <c r="B1405" s="128" t="s">
        <v>139</v>
      </c>
      <c r="C1405" s="128" t="s">
        <v>23</v>
      </c>
      <c r="D1405" s="128" t="s">
        <v>77</v>
      </c>
      <c r="E1405" s="128" t="s">
        <v>134</v>
      </c>
      <c r="F1405" s="128">
        <v>0</v>
      </c>
      <c r="G1405" s="128">
        <v>0</v>
      </c>
      <c r="H1405" s="128">
        <v>0</v>
      </c>
      <c r="I1405" s="128">
        <v>0</v>
      </c>
    </row>
    <row r="1406" spans="1:9" ht="13.5">
      <c r="A1406" s="128">
        <v>1998</v>
      </c>
      <c r="B1406" s="128" t="s">
        <v>139</v>
      </c>
      <c r="C1406" s="128" t="s">
        <v>23</v>
      </c>
      <c r="D1406" s="128" t="s">
        <v>77</v>
      </c>
      <c r="E1406" s="128" t="s">
        <v>135</v>
      </c>
      <c r="F1406" s="128">
        <v>0</v>
      </c>
      <c r="G1406" s="128">
        <v>0</v>
      </c>
      <c r="H1406" s="128">
        <v>0</v>
      </c>
      <c r="I1406" s="128">
        <v>0</v>
      </c>
    </row>
    <row r="1407" spans="1:9" ht="13.5">
      <c r="A1407" s="128">
        <v>1998</v>
      </c>
      <c r="B1407" s="128" t="s">
        <v>139</v>
      </c>
      <c r="C1407" s="128" t="s">
        <v>23</v>
      </c>
      <c r="D1407" s="128" t="s">
        <v>79</v>
      </c>
      <c r="E1407" s="128" t="s">
        <v>132</v>
      </c>
      <c r="F1407" s="128">
        <v>0</v>
      </c>
      <c r="G1407" s="128">
        <v>0</v>
      </c>
      <c r="H1407" s="128">
        <v>0</v>
      </c>
      <c r="I1407" s="128">
        <v>0</v>
      </c>
    </row>
    <row r="1408" spans="1:9" ht="13.5">
      <c r="A1408" s="128">
        <v>1998</v>
      </c>
      <c r="B1408" s="128" t="s">
        <v>139</v>
      </c>
      <c r="C1408" s="128" t="s">
        <v>23</v>
      </c>
      <c r="D1408" s="128" t="s">
        <v>79</v>
      </c>
      <c r="E1408" s="128" t="s">
        <v>133</v>
      </c>
      <c r="F1408" s="128">
        <v>0</v>
      </c>
      <c r="G1408" s="128">
        <v>0</v>
      </c>
      <c r="H1408" s="128">
        <v>0</v>
      </c>
      <c r="I1408" s="128">
        <v>0</v>
      </c>
    </row>
    <row r="1409" spans="1:9" ht="13.5">
      <c r="A1409" s="128">
        <v>1998</v>
      </c>
      <c r="B1409" s="128" t="s">
        <v>139</v>
      </c>
      <c r="C1409" s="128" t="s">
        <v>23</v>
      </c>
      <c r="D1409" s="128" t="s">
        <v>79</v>
      </c>
      <c r="E1409" s="128" t="s">
        <v>134</v>
      </c>
      <c r="F1409" s="128">
        <v>0</v>
      </c>
      <c r="G1409" s="128">
        <v>0</v>
      </c>
      <c r="H1409" s="128">
        <v>0</v>
      </c>
      <c r="I1409" s="128">
        <v>0</v>
      </c>
    </row>
    <row r="1410" spans="1:9" ht="13.5">
      <c r="A1410" s="128">
        <v>1998</v>
      </c>
      <c r="B1410" s="128" t="s">
        <v>139</v>
      </c>
      <c r="C1410" s="128" t="s">
        <v>23</v>
      </c>
      <c r="D1410" s="128" t="s">
        <v>79</v>
      </c>
      <c r="E1410" s="128" t="s">
        <v>135</v>
      </c>
      <c r="F1410" s="128">
        <v>0</v>
      </c>
      <c r="G1410" s="128">
        <v>0</v>
      </c>
      <c r="H1410" s="128">
        <v>0</v>
      </c>
      <c r="I1410" s="128">
        <v>0</v>
      </c>
    </row>
    <row r="1411" spans="1:9" ht="13.5">
      <c r="A1411" s="128">
        <v>1998</v>
      </c>
      <c r="B1411" s="128" t="s">
        <v>139</v>
      </c>
      <c r="C1411" s="128" t="s">
        <v>23</v>
      </c>
      <c r="D1411" s="128" t="s">
        <v>79</v>
      </c>
      <c r="E1411" s="128" t="s">
        <v>136</v>
      </c>
      <c r="F1411" s="128">
        <v>0</v>
      </c>
      <c r="G1411" s="128">
        <v>0</v>
      </c>
      <c r="H1411" s="128">
        <v>0</v>
      </c>
      <c r="I1411" s="128">
        <v>0</v>
      </c>
    </row>
    <row r="1412" spans="1:9" ht="13.5">
      <c r="A1412" s="128">
        <v>1998</v>
      </c>
      <c r="B1412" s="128" t="s">
        <v>139</v>
      </c>
      <c r="C1412" s="128" t="s">
        <v>23</v>
      </c>
      <c r="D1412" s="128" t="s">
        <v>76</v>
      </c>
      <c r="E1412" s="128" t="s">
        <v>132</v>
      </c>
      <c r="F1412" s="128">
        <v>0</v>
      </c>
      <c r="G1412" s="128">
        <v>0</v>
      </c>
      <c r="H1412" s="128">
        <v>0</v>
      </c>
      <c r="I1412" s="128">
        <v>0</v>
      </c>
    </row>
    <row r="1413" spans="1:9" ht="13.5">
      <c r="A1413" s="128">
        <v>1998</v>
      </c>
      <c r="B1413" s="128" t="s">
        <v>139</v>
      </c>
      <c r="C1413" s="128" t="s">
        <v>23</v>
      </c>
      <c r="D1413" s="128" t="s">
        <v>76</v>
      </c>
      <c r="E1413" s="128" t="s">
        <v>133</v>
      </c>
      <c r="F1413" s="128">
        <v>0</v>
      </c>
      <c r="G1413" s="128">
        <v>0</v>
      </c>
      <c r="H1413" s="128">
        <v>0</v>
      </c>
      <c r="I1413" s="128">
        <v>0</v>
      </c>
    </row>
    <row r="1414" spans="1:9" ht="13.5">
      <c r="A1414" s="128">
        <v>1998</v>
      </c>
      <c r="B1414" s="128" t="s">
        <v>139</v>
      </c>
      <c r="C1414" s="128" t="s">
        <v>23</v>
      </c>
      <c r="D1414" s="128" t="s">
        <v>76</v>
      </c>
      <c r="E1414" s="128" t="s">
        <v>134</v>
      </c>
      <c r="F1414" s="128">
        <v>0</v>
      </c>
      <c r="G1414" s="128">
        <v>0</v>
      </c>
      <c r="H1414" s="128">
        <v>0</v>
      </c>
      <c r="I1414" s="128">
        <v>0</v>
      </c>
    </row>
    <row r="1415" spans="1:9" ht="13.5">
      <c r="A1415" s="128">
        <v>1998</v>
      </c>
      <c r="B1415" s="128" t="s">
        <v>139</v>
      </c>
      <c r="C1415" s="128" t="s">
        <v>23</v>
      </c>
      <c r="D1415" s="128" t="s">
        <v>76</v>
      </c>
      <c r="E1415" s="128" t="s">
        <v>135</v>
      </c>
      <c r="F1415" s="128">
        <v>0</v>
      </c>
      <c r="G1415" s="128">
        <v>0</v>
      </c>
      <c r="H1415" s="128">
        <v>0</v>
      </c>
      <c r="I1415" s="128">
        <v>0</v>
      </c>
    </row>
    <row r="1416" spans="1:9" ht="13.5">
      <c r="A1416" s="128">
        <v>1998</v>
      </c>
      <c r="B1416" s="128" t="s">
        <v>139</v>
      </c>
      <c r="C1416" s="128" t="s">
        <v>23</v>
      </c>
      <c r="D1416" s="128" t="s">
        <v>76</v>
      </c>
      <c r="E1416" s="128" t="s">
        <v>136</v>
      </c>
      <c r="F1416" s="128">
        <v>0</v>
      </c>
      <c r="G1416" s="128">
        <v>0</v>
      </c>
      <c r="H1416" s="128">
        <v>0</v>
      </c>
      <c r="I1416" s="128">
        <v>0</v>
      </c>
    </row>
    <row r="1417" spans="1:9" ht="13.5">
      <c r="A1417" s="128">
        <v>1998</v>
      </c>
      <c r="B1417" s="128" t="s">
        <v>139</v>
      </c>
      <c r="C1417" s="128" t="s">
        <v>25</v>
      </c>
      <c r="D1417" s="128" t="s">
        <v>77</v>
      </c>
      <c r="E1417" s="128" t="s">
        <v>132</v>
      </c>
      <c r="F1417" s="128">
        <v>0</v>
      </c>
      <c r="G1417" s="128">
        <v>0</v>
      </c>
      <c r="H1417" s="128">
        <v>0</v>
      </c>
      <c r="I1417" s="128">
        <v>0</v>
      </c>
    </row>
    <row r="1418" spans="1:9" ht="13.5">
      <c r="A1418" s="128">
        <v>1998</v>
      </c>
      <c r="B1418" s="128" t="s">
        <v>139</v>
      </c>
      <c r="C1418" s="128" t="s">
        <v>25</v>
      </c>
      <c r="D1418" s="128" t="s">
        <v>77</v>
      </c>
      <c r="E1418" s="128" t="s">
        <v>133</v>
      </c>
      <c r="F1418" s="128">
        <v>0</v>
      </c>
      <c r="G1418" s="128">
        <v>0</v>
      </c>
      <c r="H1418" s="128">
        <v>0</v>
      </c>
      <c r="I1418" s="128">
        <v>0</v>
      </c>
    </row>
    <row r="1419" spans="1:9" ht="13.5">
      <c r="A1419" s="128">
        <v>1998</v>
      </c>
      <c r="B1419" s="128" t="s">
        <v>139</v>
      </c>
      <c r="C1419" s="128" t="s">
        <v>25</v>
      </c>
      <c r="D1419" s="128" t="s">
        <v>77</v>
      </c>
      <c r="E1419" s="128" t="s">
        <v>134</v>
      </c>
      <c r="F1419" s="128">
        <v>0</v>
      </c>
      <c r="G1419" s="128">
        <v>0</v>
      </c>
      <c r="H1419" s="128">
        <v>0</v>
      </c>
      <c r="I1419" s="128">
        <v>0</v>
      </c>
    </row>
    <row r="1420" spans="1:9" ht="13.5">
      <c r="A1420" s="128">
        <v>1998</v>
      </c>
      <c r="B1420" s="128" t="s">
        <v>139</v>
      </c>
      <c r="C1420" s="128" t="s">
        <v>25</v>
      </c>
      <c r="D1420" s="128" t="s">
        <v>77</v>
      </c>
      <c r="E1420" s="128" t="s">
        <v>135</v>
      </c>
      <c r="F1420" s="128">
        <v>0</v>
      </c>
      <c r="G1420" s="128">
        <v>0</v>
      </c>
      <c r="H1420" s="128">
        <v>0</v>
      </c>
      <c r="I1420" s="128">
        <v>0</v>
      </c>
    </row>
    <row r="1421" spans="1:9" ht="13.5">
      <c r="A1421" s="128">
        <v>1998</v>
      </c>
      <c r="B1421" s="128" t="s">
        <v>139</v>
      </c>
      <c r="C1421" s="128" t="s">
        <v>25</v>
      </c>
      <c r="D1421" s="128" t="s">
        <v>79</v>
      </c>
      <c r="E1421" s="128" t="s">
        <v>132</v>
      </c>
      <c r="F1421" s="128">
        <v>0</v>
      </c>
      <c r="G1421" s="128">
        <v>0</v>
      </c>
      <c r="H1421" s="128">
        <v>0</v>
      </c>
      <c r="I1421" s="128">
        <v>0</v>
      </c>
    </row>
    <row r="1422" spans="1:9" ht="13.5">
      <c r="A1422" s="128">
        <v>1998</v>
      </c>
      <c r="B1422" s="128" t="s">
        <v>139</v>
      </c>
      <c r="C1422" s="128" t="s">
        <v>25</v>
      </c>
      <c r="D1422" s="128" t="s">
        <v>79</v>
      </c>
      <c r="E1422" s="128" t="s">
        <v>133</v>
      </c>
      <c r="F1422" s="128">
        <v>0</v>
      </c>
      <c r="G1422" s="128">
        <v>0</v>
      </c>
      <c r="H1422" s="128">
        <v>0</v>
      </c>
      <c r="I1422" s="128">
        <v>0</v>
      </c>
    </row>
    <row r="1423" spans="1:9" ht="13.5">
      <c r="A1423" s="128">
        <v>1998</v>
      </c>
      <c r="B1423" s="128" t="s">
        <v>139</v>
      </c>
      <c r="C1423" s="128" t="s">
        <v>25</v>
      </c>
      <c r="D1423" s="128" t="s">
        <v>79</v>
      </c>
      <c r="E1423" s="128" t="s">
        <v>134</v>
      </c>
      <c r="F1423" s="128">
        <v>0</v>
      </c>
      <c r="G1423" s="128">
        <v>0</v>
      </c>
      <c r="H1423" s="128">
        <v>0</v>
      </c>
      <c r="I1423" s="128">
        <v>0</v>
      </c>
    </row>
    <row r="1424" spans="1:9" ht="13.5">
      <c r="A1424" s="128">
        <v>1998</v>
      </c>
      <c r="B1424" s="128" t="s">
        <v>139</v>
      </c>
      <c r="C1424" s="128" t="s">
        <v>25</v>
      </c>
      <c r="D1424" s="128" t="s">
        <v>79</v>
      </c>
      <c r="E1424" s="128" t="s">
        <v>135</v>
      </c>
      <c r="F1424" s="128">
        <v>0</v>
      </c>
      <c r="G1424" s="128">
        <v>0</v>
      </c>
      <c r="H1424" s="128">
        <v>0</v>
      </c>
      <c r="I1424" s="128">
        <v>0</v>
      </c>
    </row>
    <row r="1425" spans="1:9" ht="13.5">
      <c r="A1425" s="128">
        <v>1998</v>
      </c>
      <c r="B1425" s="128" t="s">
        <v>139</v>
      </c>
      <c r="C1425" s="128" t="s">
        <v>25</v>
      </c>
      <c r="D1425" s="128" t="s">
        <v>79</v>
      </c>
      <c r="E1425" s="128" t="s">
        <v>136</v>
      </c>
      <c r="F1425" s="128">
        <v>0</v>
      </c>
      <c r="G1425" s="128">
        <v>0</v>
      </c>
      <c r="H1425" s="128">
        <v>0</v>
      </c>
      <c r="I1425" s="128">
        <v>0</v>
      </c>
    </row>
    <row r="1426" spans="1:9" ht="13.5">
      <c r="A1426" s="128">
        <v>1998</v>
      </c>
      <c r="B1426" s="128" t="s">
        <v>139</v>
      </c>
      <c r="C1426" s="128" t="s">
        <v>25</v>
      </c>
      <c r="D1426" s="128" t="s">
        <v>76</v>
      </c>
      <c r="E1426" s="128" t="s">
        <v>132</v>
      </c>
      <c r="F1426" s="128">
        <v>0</v>
      </c>
      <c r="G1426" s="128">
        <v>0</v>
      </c>
      <c r="H1426" s="128">
        <v>0</v>
      </c>
      <c r="I1426" s="128">
        <v>0</v>
      </c>
    </row>
    <row r="1427" spans="1:9" ht="13.5">
      <c r="A1427" s="128">
        <v>1998</v>
      </c>
      <c r="B1427" s="128" t="s">
        <v>139</v>
      </c>
      <c r="C1427" s="128" t="s">
        <v>25</v>
      </c>
      <c r="D1427" s="128" t="s">
        <v>76</v>
      </c>
      <c r="E1427" s="128" t="s">
        <v>133</v>
      </c>
      <c r="F1427" s="128">
        <v>0</v>
      </c>
      <c r="G1427" s="128">
        <v>0</v>
      </c>
      <c r="H1427" s="128">
        <v>0</v>
      </c>
      <c r="I1427" s="128">
        <v>0</v>
      </c>
    </row>
    <row r="1428" spans="1:9" ht="13.5">
      <c r="A1428" s="128">
        <v>1998</v>
      </c>
      <c r="B1428" s="128" t="s">
        <v>139</v>
      </c>
      <c r="C1428" s="128" t="s">
        <v>25</v>
      </c>
      <c r="D1428" s="128" t="s">
        <v>76</v>
      </c>
      <c r="E1428" s="128" t="s">
        <v>134</v>
      </c>
      <c r="F1428" s="128">
        <v>0</v>
      </c>
      <c r="G1428" s="128">
        <v>0</v>
      </c>
      <c r="H1428" s="128">
        <v>0</v>
      </c>
      <c r="I1428" s="128">
        <v>0</v>
      </c>
    </row>
    <row r="1429" spans="1:9" ht="13.5">
      <c r="A1429" s="128">
        <v>1998</v>
      </c>
      <c r="B1429" s="128" t="s">
        <v>139</v>
      </c>
      <c r="C1429" s="128" t="s">
        <v>25</v>
      </c>
      <c r="D1429" s="128" t="s">
        <v>76</v>
      </c>
      <c r="E1429" s="128" t="s">
        <v>135</v>
      </c>
      <c r="F1429" s="128">
        <v>0</v>
      </c>
      <c r="G1429" s="128">
        <v>0</v>
      </c>
      <c r="H1429" s="128">
        <v>0</v>
      </c>
      <c r="I1429" s="128">
        <v>0</v>
      </c>
    </row>
    <row r="1430" spans="1:9" ht="13.5">
      <c r="A1430" s="128">
        <v>1998</v>
      </c>
      <c r="B1430" s="128" t="s">
        <v>139</v>
      </c>
      <c r="C1430" s="128" t="s">
        <v>25</v>
      </c>
      <c r="D1430" s="128" t="s">
        <v>76</v>
      </c>
      <c r="E1430" s="128" t="s">
        <v>136</v>
      </c>
      <c r="F1430" s="128">
        <v>0</v>
      </c>
      <c r="G1430" s="128">
        <v>0</v>
      </c>
      <c r="H1430" s="128">
        <v>0</v>
      </c>
      <c r="I1430" s="128">
        <v>0</v>
      </c>
    </row>
    <row r="1431" spans="1:9" ht="13.5">
      <c r="A1431" s="128">
        <v>1998</v>
      </c>
      <c r="B1431" s="128" t="s">
        <v>139</v>
      </c>
      <c r="C1431" s="128" t="s">
        <v>21</v>
      </c>
      <c r="D1431" s="128" t="s">
        <v>77</v>
      </c>
      <c r="E1431" s="128" t="s">
        <v>132</v>
      </c>
      <c r="F1431" s="128">
        <v>0</v>
      </c>
      <c r="G1431" s="128">
        <v>0</v>
      </c>
      <c r="H1431" s="128">
        <v>0</v>
      </c>
      <c r="I1431" s="128">
        <v>0</v>
      </c>
    </row>
    <row r="1432" spans="1:9" ht="13.5">
      <c r="A1432" s="128">
        <v>1998</v>
      </c>
      <c r="B1432" s="128" t="s">
        <v>139</v>
      </c>
      <c r="C1432" s="128" t="s">
        <v>21</v>
      </c>
      <c r="D1432" s="128" t="s">
        <v>77</v>
      </c>
      <c r="E1432" s="128" t="s">
        <v>133</v>
      </c>
      <c r="F1432" s="128">
        <v>0</v>
      </c>
      <c r="G1432" s="128">
        <v>0</v>
      </c>
      <c r="H1432" s="128">
        <v>0</v>
      </c>
      <c r="I1432" s="128">
        <v>0</v>
      </c>
    </row>
    <row r="1433" spans="1:9" ht="13.5">
      <c r="A1433" s="128">
        <v>1998</v>
      </c>
      <c r="B1433" s="128" t="s">
        <v>139</v>
      </c>
      <c r="C1433" s="128" t="s">
        <v>21</v>
      </c>
      <c r="D1433" s="128" t="s">
        <v>77</v>
      </c>
      <c r="E1433" s="128" t="s">
        <v>134</v>
      </c>
      <c r="F1433" s="128">
        <v>0</v>
      </c>
      <c r="G1433" s="128">
        <v>0</v>
      </c>
      <c r="H1433" s="128">
        <v>0</v>
      </c>
      <c r="I1433" s="128">
        <v>0</v>
      </c>
    </row>
    <row r="1434" spans="1:9" ht="13.5">
      <c r="A1434" s="128">
        <v>1998</v>
      </c>
      <c r="B1434" s="128" t="s">
        <v>139</v>
      </c>
      <c r="C1434" s="128" t="s">
        <v>21</v>
      </c>
      <c r="D1434" s="128" t="s">
        <v>77</v>
      </c>
      <c r="E1434" s="128" t="s">
        <v>135</v>
      </c>
      <c r="F1434" s="128">
        <v>0</v>
      </c>
      <c r="G1434" s="128">
        <v>0</v>
      </c>
      <c r="H1434" s="128">
        <v>0</v>
      </c>
      <c r="I1434" s="128">
        <v>0</v>
      </c>
    </row>
    <row r="1435" spans="1:9" ht="13.5">
      <c r="A1435" s="128">
        <v>1998</v>
      </c>
      <c r="B1435" s="128" t="s">
        <v>139</v>
      </c>
      <c r="C1435" s="128" t="s">
        <v>21</v>
      </c>
      <c r="D1435" s="128" t="s">
        <v>79</v>
      </c>
      <c r="E1435" s="128" t="s">
        <v>132</v>
      </c>
      <c r="F1435" s="128">
        <v>0</v>
      </c>
      <c r="G1435" s="128">
        <v>0</v>
      </c>
      <c r="H1435" s="128">
        <v>0</v>
      </c>
      <c r="I1435" s="128">
        <v>0</v>
      </c>
    </row>
    <row r="1436" spans="1:9" ht="13.5">
      <c r="A1436" s="128">
        <v>1998</v>
      </c>
      <c r="B1436" s="128" t="s">
        <v>139</v>
      </c>
      <c r="C1436" s="128" t="s">
        <v>21</v>
      </c>
      <c r="D1436" s="128" t="s">
        <v>79</v>
      </c>
      <c r="E1436" s="128" t="s">
        <v>133</v>
      </c>
      <c r="F1436" s="128">
        <v>0</v>
      </c>
      <c r="G1436" s="128">
        <v>0</v>
      </c>
      <c r="H1436" s="128">
        <v>0</v>
      </c>
      <c r="I1436" s="128">
        <v>0</v>
      </c>
    </row>
    <row r="1437" spans="1:9" ht="13.5">
      <c r="A1437" s="128">
        <v>1998</v>
      </c>
      <c r="B1437" s="128" t="s">
        <v>139</v>
      </c>
      <c r="C1437" s="128" t="s">
        <v>21</v>
      </c>
      <c r="D1437" s="128" t="s">
        <v>79</v>
      </c>
      <c r="E1437" s="128" t="s">
        <v>134</v>
      </c>
      <c r="F1437" s="128">
        <v>0</v>
      </c>
      <c r="G1437" s="128">
        <v>0</v>
      </c>
      <c r="H1437" s="128">
        <v>0</v>
      </c>
      <c r="I1437" s="128">
        <v>0</v>
      </c>
    </row>
    <row r="1438" spans="1:9" ht="13.5">
      <c r="A1438" s="128">
        <v>1998</v>
      </c>
      <c r="B1438" s="128" t="s">
        <v>139</v>
      </c>
      <c r="C1438" s="128" t="s">
        <v>21</v>
      </c>
      <c r="D1438" s="128" t="s">
        <v>79</v>
      </c>
      <c r="E1438" s="128" t="s">
        <v>135</v>
      </c>
      <c r="F1438" s="128">
        <v>0</v>
      </c>
      <c r="G1438" s="128">
        <v>0</v>
      </c>
      <c r="H1438" s="128">
        <v>0</v>
      </c>
      <c r="I1438" s="128">
        <v>0</v>
      </c>
    </row>
    <row r="1439" spans="1:9" ht="13.5">
      <c r="A1439" s="128">
        <v>1998</v>
      </c>
      <c r="B1439" s="128" t="s">
        <v>139</v>
      </c>
      <c r="C1439" s="128" t="s">
        <v>21</v>
      </c>
      <c r="D1439" s="128" t="s">
        <v>79</v>
      </c>
      <c r="E1439" s="128" t="s">
        <v>136</v>
      </c>
      <c r="F1439" s="128">
        <v>0</v>
      </c>
      <c r="G1439" s="128">
        <v>0</v>
      </c>
      <c r="H1439" s="128">
        <v>0</v>
      </c>
      <c r="I1439" s="128">
        <v>0</v>
      </c>
    </row>
    <row r="1440" spans="1:9" ht="13.5">
      <c r="A1440" s="128">
        <v>1998</v>
      </c>
      <c r="B1440" s="128" t="s">
        <v>139</v>
      </c>
      <c r="C1440" s="128" t="s">
        <v>21</v>
      </c>
      <c r="D1440" s="128" t="s">
        <v>76</v>
      </c>
      <c r="E1440" s="128" t="s">
        <v>132</v>
      </c>
      <c r="F1440" s="128">
        <v>0</v>
      </c>
      <c r="G1440" s="128">
        <v>0</v>
      </c>
      <c r="H1440" s="128">
        <v>0</v>
      </c>
      <c r="I1440" s="128">
        <v>0</v>
      </c>
    </row>
    <row r="1441" spans="1:9" ht="13.5">
      <c r="A1441" s="128">
        <v>1998</v>
      </c>
      <c r="B1441" s="128" t="s">
        <v>139</v>
      </c>
      <c r="C1441" s="128" t="s">
        <v>21</v>
      </c>
      <c r="D1441" s="128" t="s">
        <v>76</v>
      </c>
      <c r="E1441" s="128" t="s">
        <v>133</v>
      </c>
      <c r="F1441" s="128">
        <v>0</v>
      </c>
      <c r="G1441" s="128">
        <v>0</v>
      </c>
      <c r="H1441" s="128">
        <v>0</v>
      </c>
      <c r="I1441" s="128">
        <v>0</v>
      </c>
    </row>
    <row r="1442" spans="1:9" ht="13.5">
      <c r="A1442" s="128">
        <v>1998</v>
      </c>
      <c r="B1442" s="128" t="s">
        <v>139</v>
      </c>
      <c r="C1442" s="128" t="s">
        <v>21</v>
      </c>
      <c r="D1442" s="128" t="s">
        <v>76</v>
      </c>
      <c r="E1442" s="128" t="s">
        <v>134</v>
      </c>
      <c r="F1442" s="128">
        <v>0</v>
      </c>
      <c r="G1442" s="128">
        <v>0</v>
      </c>
      <c r="H1442" s="128">
        <v>0</v>
      </c>
      <c r="I1442" s="128">
        <v>0</v>
      </c>
    </row>
    <row r="1443" spans="1:9" ht="13.5">
      <c r="A1443" s="128">
        <v>1998</v>
      </c>
      <c r="B1443" s="128" t="s">
        <v>139</v>
      </c>
      <c r="C1443" s="128" t="s">
        <v>21</v>
      </c>
      <c r="D1443" s="128" t="s">
        <v>76</v>
      </c>
      <c r="E1443" s="128" t="s">
        <v>135</v>
      </c>
      <c r="F1443" s="128">
        <v>0</v>
      </c>
      <c r="G1443" s="128">
        <v>0</v>
      </c>
      <c r="H1443" s="128">
        <v>0</v>
      </c>
      <c r="I1443" s="128">
        <v>0</v>
      </c>
    </row>
    <row r="1444" spans="1:9" ht="13.5">
      <c r="A1444" s="128">
        <v>1998</v>
      </c>
      <c r="B1444" s="128" t="s">
        <v>139</v>
      </c>
      <c r="C1444" s="128" t="s">
        <v>21</v>
      </c>
      <c r="D1444" s="128" t="s">
        <v>76</v>
      </c>
      <c r="E1444" s="128" t="s">
        <v>136</v>
      </c>
      <c r="F1444" s="128">
        <v>0</v>
      </c>
      <c r="G1444" s="128">
        <v>0</v>
      </c>
      <c r="H1444" s="128">
        <v>0</v>
      </c>
      <c r="I1444" s="128">
        <v>0</v>
      </c>
    </row>
    <row r="1445" spans="1:9" ht="13.5">
      <c r="A1445" s="128">
        <v>1998</v>
      </c>
      <c r="B1445" s="128" t="s">
        <v>139</v>
      </c>
      <c r="C1445" s="128" t="s">
        <v>24</v>
      </c>
      <c r="D1445" s="128" t="s">
        <v>77</v>
      </c>
      <c r="E1445" s="128" t="s">
        <v>132</v>
      </c>
      <c r="F1445" s="128">
        <v>0</v>
      </c>
      <c r="G1445" s="128">
        <v>0</v>
      </c>
      <c r="H1445" s="128">
        <v>0</v>
      </c>
      <c r="I1445" s="128">
        <v>0</v>
      </c>
    </row>
    <row r="1446" spans="1:9" ht="13.5">
      <c r="A1446" s="128">
        <v>1998</v>
      </c>
      <c r="B1446" s="128" t="s">
        <v>139</v>
      </c>
      <c r="C1446" s="128" t="s">
        <v>24</v>
      </c>
      <c r="D1446" s="128" t="s">
        <v>77</v>
      </c>
      <c r="E1446" s="128" t="s">
        <v>133</v>
      </c>
      <c r="F1446" s="128">
        <v>0</v>
      </c>
      <c r="G1446" s="128">
        <v>0</v>
      </c>
      <c r="H1446" s="128">
        <v>0</v>
      </c>
      <c r="I1446" s="128">
        <v>0</v>
      </c>
    </row>
    <row r="1447" spans="1:9" ht="13.5">
      <c r="A1447" s="128">
        <v>1998</v>
      </c>
      <c r="B1447" s="128" t="s">
        <v>139</v>
      </c>
      <c r="C1447" s="128" t="s">
        <v>24</v>
      </c>
      <c r="D1447" s="128" t="s">
        <v>77</v>
      </c>
      <c r="E1447" s="128" t="s">
        <v>134</v>
      </c>
      <c r="F1447" s="128">
        <v>0</v>
      </c>
      <c r="G1447" s="128">
        <v>0</v>
      </c>
      <c r="H1447" s="128">
        <v>0</v>
      </c>
      <c r="I1447" s="128">
        <v>0</v>
      </c>
    </row>
    <row r="1448" spans="1:9" ht="13.5">
      <c r="A1448" s="128">
        <v>1998</v>
      </c>
      <c r="B1448" s="128" t="s">
        <v>139</v>
      </c>
      <c r="C1448" s="128" t="s">
        <v>24</v>
      </c>
      <c r="D1448" s="128" t="s">
        <v>77</v>
      </c>
      <c r="E1448" s="128" t="s">
        <v>135</v>
      </c>
      <c r="F1448" s="128">
        <v>0</v>
      </c>
      <c r="G1448" s="128">
        <v>0</v>
      </c>
      <c r="H1448" s="128">
        <v>0</v>
      </c>
      <c r="I1448" s="128">
        <v>0</v>
      </c>
    </row>
    <row r="1449" spans="1:9" ht="13.5">
      <c r="A1449" s="128">
        <v>1998</v>
      </c>
      <c r="B1449" s="128" t="s">
        <v>139</v>
      </c>
      <c r="C1449" s="128" t="s">
        <v>24</v>
      </c>
      <c r="D1449" s="128" t="s">
        <v>79</v>
      </c>
      <c r="E1449" s="128" t="s">
        <v>132</v>
      </c>
      <c r="F1449" s="128">
        <v>0</v>
      </c>
      <c r="G1449" s="128">
        <v>0</v>
      </c>
      <c r="H1449" s="128">
        <v>0</v>
      </c>
      <c r="I1449" s="128">
        <v>0</v>
      </c>
    </row>
    <row r="1450" spans="1:9" ht="13.5">
      <c r="A1450" s="128">
        <v>1998</v>
      </c>
      <c r="B1450" s="128" t="s">
        <v>139</v>
      </c>
      <c r="C1450" s="128" t="s">
        <v>24</v>
      </c>
      <c r="D1450" s="128" t="s">
        <v>79</v>
      </c>
      <c r="E1450" s="128" t="s">
        <v>133</v>
      </c>
      <c r="F1450" s="128">
        <v>0</v>
      </c>
      <c r="G1450" s="128">
        <v>0</v>
      </c>
      <c r="H1450" s="128">
        <v>0</v>
      </c>
      <c r="I1450" s="128">
        <v>0</v>
      </c>
    </row>
    <row r="1451" spans="1:9" ht="13.5">
      <c r="A1451" s="128">
        <v>1998</v>
      </c>
      <c r="B1451" s="128" t="s">
        <v>139</v>
      </c>
      <c r="C1451" s="128" t="s">
        <v>24</v>
      </c>
      <c r="D1451" s="128" t="s">
        <v>79</v>
      </c>
      <c r="E1451" s="128" t="s">
        <v>134</v>
      </c>
      <c r="F1451" s="128">
        <v>0</v>
      </c>
      <c r="G1451" s="128">
        <v>0</v>
      </c>
      <c r="H1451" s="128">
        <v>0</v>
      </c>
      <c r="I1451" s="128">
        <v>0</v>
      </c>
    </row>
    <row r="1452" spans="1:9" ht="13.5">
      <c r="A1452" s="128">
        <v>1998</v>
      </c>
      <c r="B1452" s="128" t="s">
        <v>139</v>
      </c>
      <c r="C1452" s="128" t="s">
        <v>24</v>
      </c>
      <c r="D1452" s="128" t="s">
        <v>79</v>
      </c>
      <c r="E1452" s="128" t="s">
        <v>135</v>
      </c>
      <c r="F1452" s="128">
        <v>0</v>
      </c>
      <c r="G1452" s="128">
        <v>0</v>
      </c>
      <c r="H1452" s="128">
        <v>0</v>
      </c>
      <c r="I1452" s="128">
        <v>0</v>
      </c>
    </row>
    <row r="1453" spans="1:9" ht="13.5">
      <c r="A1453" s="128">
        <v>1998</v>
      </c>
      <c r="B1453" s="128" t="s">
        <v>139</v>
      </c>
      <c r="C1453" s="128" t="s">
        <v>24</v>
      </c>
      <c r="D1453" s="128" t="s">
        <v>79</v>
      </c>
      <c r="E1453" s="128" t="s">
        <v>136</v>
      </c>
      <c r="F1453" s="128">
        <v>0</v>
      </c>
      <c r="G1453" s="128">
        <v>0</v>
      </c>
      <c r="H1453" s="128">
        <v>0</v>
      </c>
      <c r="I1453" s="128">
        <v>0</v>
      </c>
    </row>
    <row r="1454" spans="1:9" ht="13.5">
      <c r="A1454" s="128">
        <v>1998</v>
      </c>
      <c r="B1454" s="128" t="s">
        <v>139</v>
      </c>
      <c r="C1454" s="128" t="s">
        <v>24</v>
      </c>
      <c r="D1454" s="128" t="s">
        <v>76</v>
      </c>
      <c r="E1454" s="128" t="s">
        <v>132</v>
      </c>
      <c r="F1454" s="128">
        <v>0</v>
      </c>
      <c r="G1454" s="128">
        <v>0</v>
      </c>
      <c r="H1454" s="128">
        <v>0</v>
      </c>
      <c r="I1454" s="128">
        <v>0</v>
      </c>
    </row>
    <row r="1455" spans="1:9" ht="13.5">
      <c r="A1455" s="128">
        <v>1998</v>
      </c>
      <c r="B1455" s="128" t="s">
        <v>139</v>
      </c>
      <c r="C1455" s="128" t="s">
        <v>24</v>
      </c>
      <c r="D1455" s="128" t="s">
        <v>76</v>
      </c>
      <c r="E1455" s="128" t="s">
        <v>133</v>
      </c>
      <c r="F1455" s="128">
        <v>0</v>
      </c>
      <c r="G1455" s="128">
        <v>0</v>
      </c>
      <c r="H1455" s="128">
        <v>0</v>
      </c>
      <c r="I1455" s="128">
        <v>0</v>
      </c>
    </row>
    <row r="1456" spans="1:9" ht="13.5">
      <c r="A1456" s="128">
        <v>1998</v>
      </c>
      <c r="B1456" s="128" t="s">
        <v>139</v>
      </c>
      <c r="C1456" s="128" t="s">
        <v>24</v>
      </c>
      <c r="D1456" s="128" t="s">
        <v>76</v>
      </c>
      <c r="E1456" s="128" t="s">
        <v>134</v>
      </c>
      <c r="F1456" s="128">
        <v>0</v>
      </c>
      <c r="G1456" s="128">
        <v>0</v>
      </c>
      <c r="H1456" s="128">
        <v>0</v>
      </c>
      <c r="I1456" s="128">
        <v>0</v>
      </c>
    </row>
    <row r="1457" spans="1:9" ht="13.5">
      <c r="A1457" s="128">
        <v>1998</v>
      </c>
      <c r="B1457" s="128" t="s">
        <v>139</v>
      </c>
      <c r="C1457" s="128" t="s">
        <v>24</v>
      </c>
      <c r="D1457" s="128" t="s">
        <v>76</v>
      </c>
      <c r="E1457" s="128" t="s">
        <v>135</v>
      </c>
      <c r="F1457" s="128">
        <v>0</v>
      </c>
      <c r="G1457" s="128">
        <v>0</v>
      </c>
      <c r="H1457" s="128">
        <v>0</v>
      </c>
      <c r="I1457" s="128">
        <v>0</v>
      </c>
    </row>
    <row r="1458" spans="1:9" ht="13.5">
      <c r="A1458" s="128">
        <v>1998</v>
      </c>
      <c r="B1458" s="128" t="s">
        <v>139</v>
      </c>
      <c r="C1458" s="128" t="s">
        <v>24</v>
      </c>
      <c r="D1458" s="128" t="s">
        <v>76</v>
      </c>
      <c r="E1458" s="128" t="s">
        <v>136</v>
      </c>
      <c r="F1458" s="128">
        <v>0</v>
      </c>
      <c r="G1458" s="128">
        <v>0</v>
      </c>
      <c r="H1458" s="128">
        <v>0</v>
      </c>
      <c r="I1458" s="128">
        <v>0</v>
      </c>
    </row>
    <row r="1459" spans="1:9" ht="13.5">
      <c r="A1459" s="128">
        <v>1998</v>
      </c>
      <c r="B1459" s="128" t="s">
        <v>137</v>
      </c>
      <c r="C1459" s="128" t="s">
        <v>26</v>
      </c>
      <c r="D1459" s="128" t="s">
        <v>77</v>
      </c>
      <c r="E1459" s="128" t="s">
        <v>132</v>
      </c>
      <c r="F1459" s="128">
        <v>0</v>
      </c>
      <c r="G1459" s="128">
        <v>0</v>
      </c>
      <c r="H1459" s="128">
        <v>0</v>
      </c>
      <c r="I1459" s="128">
        <v>0</v>
      </c>
    </row>
    <row r="1460" spans="1:9" ht="13.5">
      <c r="A1460" s="128">
        <v>1998</v>
      </c>
      <c r="B1460" s="128" t="s">
        <v>137</v>
      </c>
      <c r="C1460" s="128" t="s">
        <v>26</v>
      </c>
      <c r="D1460" s="128" t="s">
        <v>77</v>
      </c>
      <c r="E1460" s="128" t="s">
        <v>133</v>
      </c>
      <c r="F1460" s="128">
        <v>0</v>
      </c>
      <c r="G1460" s="128">
        <v>0</v>
      </c>
      <c r="H1460" s="128">
        <v>0</v>
      </c>
      <c r="I1460" s="128">
        <v>0</v>
      </c>
    </row>
    <row r="1461" spans="1:9" ht="13.5">
      <c r="A1461" s="128">
        <v>1998</v>
      </c>
      <c r="B1461" s="128" t="s">
        <v>137</v>
      </c>
      <c r="C1461" s="128" t="s">
        <v>26</v>
      </c>
      <c r="D1461" s="128" t="s">
        <v>77</v>
      </c>
      <c r="E1461" s="128" t="s">
        <v>134</v>
      </c>
      <c r="F1461" s="128">
        <v>0</v>
      </c>
      <c r="G1461" s="128">
        <v>0</v>
      </c>
      <c r="H1461" s="128">
        <v>0</v>
      </c>
      <c r="I1461" s="128">
        <v>0</v>
      </c>
    </row>
    <row r="1462" spans="1:9" ht="13.5">
      <c r="A1462" s="128">
        <v>1998</v>
      </c>
      <c r="B1462" s="128" t="s">
        <v>137</v>
      </c>
      <c r="C1462" s="128" t="s">
        <v>26</v>
      </c>
      <c r="D1462" s="128" t="s">
        <v>77</v>
      </c>
      <c r="E1462" s="128" t="s">
        <v>135</v>
      </c>
      <c r="F1462" s="128">
        <v>0</v>
      </c>
      <c r="G1462" s="128">
        <v>0</v>
      </c>
      <c r="H1462" s="128">
        <v>0</v>
      </c>
      <c r="I1462" s="128">
        <v>0</v>
      </c>
    </row>
    <row r="1463" spans="1:9" ht="13.5">
      <c r="A1463" s="128">
        <v>1998</v>
      </c>
      <c r="B1463" s="128" t="s">
        <v>137</v>
      </c>
      <c r="C1463" s="128" t="s">
        <v>26</v>
      </c>
      <c r="D1463" s="128" t="s">
        <v>79</v>
      </c>
      <c r="E1463" s="128" t="s">
        <v>132</v>
      </c>
      <c r="F1463" s="128">
        <v>0</v>
      </c>
      <c r="G1463" s="128">
        <v>0</v>
      </c>
      <c r="H1463" s="128">
        <v>0</v>
      </c>
      <c r="I1463" s="128">
        <v>0</v>
      </c>
    </row>
    <row r="1464" spans="1:9" ht="13.5">
      <c r="A1464" s="128">
        <v>1998</v>
      </c>
      <c r="B1464" s="128" t="s">
        <v>137</v>
      </c>
      <c r="C1464" s="128" t="s">
        <v>26</v>
      </c>
      <c r="D1464" s="128" t="s">
        <v>79</v>
      </c>
      <c r="E1464" s="128" t="s">
        <v>133</v>
      </c>
      <c r="F1464" s="128">
        <v>0</v>
      </c>
      <c r="G1464" s="128">
        <v>0</v>
      </c>
      <c r="H1464" s="128">
        <v>0</v>
      </c>
      <c r="I1464" s="128">
        <v>0</v>
      </c>
    </row>
    <row r="1465" spans="1:9" ht="13.5">
      <c r="A1465" s="128">
        <v>1998</v>
      </c>
      <c r="B1465" s="128" t="s">
        <v>137</v>
      </c>
      <c r="C1465" s="128" t="s">
        <v>26</v>
      </c>
      <c r="D1465" s="128" t="s">
        <v>79</v>
      </c>
      <c r="E1465" s="128" t="s">
        <v>134</v>
      </c>
      <c r="F1465" s="128">
        <v>0</v>
      </c>
      <c r="G1465" s="128">
        <v>0</v>
      </c>
      <c r="H1465" s="128">
        <v>0</v>
      </c>
      <c r="I1465" s="128">
        <v>0</v>
      </c>
    </row>
    <row r="1466" spans="1:9" ht="13.5">
      <c r="A1466" s="128">
        <v>1998</v>
      </c>
      <c r="B1466" s="128" t="s">
        <v>137</v>
      </c>
      <c r="C1466" s="128" t="s">
        <v>26</v>
      </c>
      <c r="D1466" s="128" t="s">
        <v>79</v>
      </c>
      <c r="E1466" s="128" t="s">
        <v>135</v>
      </c>
      <c r="F1466" s="128">
        <v>0</v>
      </c>
      <c r="G1466" s="128">
        <v>0</v>
      </c>
      <c r="H1466" s="128">
        <v>0</v>
      </c>
      <c r="I1466" s="128">
        <v>0</v>
      </c>
    </row>
    <row r="1467" spans="1:9" ht="13.5">
      <c r="A1467" s="128">
        <v>1998</v>
      </c>
      <c r="B1467" s="128" t="s">
        <v>137</v>
      </c>
      <c r="C1467" s="128" t="s">
        <v>26</v>
      </c>
      <c r="D1467" s="128" t="s">
        <v>79</v>
      </c>
      <c r="E1467" s="128" t="s">
        <v>136</v>
      </c>
      <c r="F1467" s="128">
        <v>0</v>
      </c>
      <c r="G1467" s="128">
        <v>0</v>
      </c>
      <c r="H1467" s="128">
        <v>0</v>
      </c>
      <c r="I1467" s="128">
        <v>0</v>
      </c>
    </row>
    <row r="1468" spans="1:9" ht="13.5">
      <c r="A1468" s="128">
        <v>1998</v>
      </c>
      <c r="B1468" s="128" t="s">
        <v>137</v>
      </c>
      <c r="C1468" s="128" t="s">
        <v>26</v>
      </c>
      <c r="D1468" s="128" t="s">
        <v>76</v>
      </c>
      <c r="E1468" s="128" t="s">
        <v>132</v>
      </c>
      <c r="F1468" s="128">
        <v>0</v>
      </c>
      <c r="G1468" s="128">
        <v>0</v>
      </c>
      <c r="H1468" s="128">
        <v>0</v>
      </c>
      <c r="I1468" s="128">
        <v>0</v>
      </c>
    </row>
    <row r="1469" spans="1:9" ht="13.5">
      <c r="A1469" s="128">
        <v>1998</v>
      </c>
      <c r="B1469" s="128" t="s">
        <v>137</v>
      </c>
      <c r="C1469" s="128" t="s">
        <v>26</v>
      </c>
      <c r="D1469" s="128" t="s">
        <v>76</v>
      </c>
      <c r="E1469" s="128" t="s">
        <v>133</v>
      </c>
      <c r="F1469" s="128">
        <v>0</v>
      </c>
      <c r="G1469" s="128">
        <v>0</v>
      </c>
      <c r="H1469" s="128">
        <v>0</v>
      </c>
      <c r="I1469" s="128">
        <v>0</v>
      </c>
    </row>
    <row r="1470" spans="1:9" ht="13.5">
      <c r="A1470" s="128">
        <v>1998</v>
      </c>
      <c r="B1470" s="128" t="s">
        <v>137</v>
      </c>
      <c r="C1470" s="128" t="s">
        <v>26</v>
      </c>
      <c r="D1470" s="128" t="s">
        <v>76</v>
      </c>
      <c r="E1470" s="128" t="s">
        <v>134</v>
      </c>
      <c r="F1470" s="128">
        <v>0</v>
      </c>
      <c r="G1470" s="128">
        <v>0</v>
      </c>
      <c r="H1470" s="128">
        <v>0</v>
      </c>
      <c r="I1470" s="128">
        <v>0</v>
      </c>
    </row>
    <row r="1471" spans="1:9" ht="13.5">
      <c r="A1471" s="128">
        <v>1998</v>
      </c>
      <c r="B1471" s="128" t="s">
        <v>137</v>
      </c>
      <c r="C1471" s="128" t="s">
        <v>26</v>
      </c>
      <c r="D1471" s="128" t="s">
        <v>76</v>
      </c>
      <c r="E1471" s="128" t="s">
        <v>135</v>
      </c>
      <c r="F1471" s="128">
        <v>0</v>
      </c>
      <c r="G1471" s="128">
        <v>0</v>
      </c>
      <c r="H1471" s="128">
        <v>0</v>
      </c>
      <c r="I1471" s="128">
        <v>0</v>
      </c>
    </row>
    <row r="1472" spans="1:9" ht="13.5">
      <c r="A1472" s="128">
        <v>1998</v>
      </c>
      <c r="B1472" s="128" t="s">
        <v>137</v>
      </c>
      <c r="C1472" s="128" t="s">
        <v>26</v>
      </c>
      <c r="D1472" s="128" t="s">
        <v>76</v>
      </c>
      <c r="E1472" s="128" t="s">
        <v>136</v>
      </c>
      <c r="F1472" s="128">
        <v>0</v>
      </c>
      <c r="G1472" s="128">
        <v>0</v>
      </c>
      <c r="H1472" s="128">
        <v>0</v>
      </c>
      <c r="I1472" s="128">
        <v>0</v>
      </c>
    </row>
    <row r="1473" spans="1:9" ht="13.5">
      <c r="A1473" s="128">
        <v>1998</v>
      </c>
      <c r="B1473" s="128" t="s">
        <v>137</v>
      </c>
      <c r="C1473" s="128" t="s">
        <v>20</v>
      </c>
      <c r="D1473" s="128" t="s">
        <v>77</v>
      </c>
      <c r="E1473" s="128" t="s">
        <v>132</v>
      </c>
      <c r="F1473" s="128">
        <v>0</v>
      </c>
      <c r="G1473" s="128">
        <v>0</v>
      </c>
      <c r="H1473" s="128">
        <v>0</v>
      </c>
      <c r="I1473" s="128">
        <v>0</v>
      </c>
    </row>
    <row r="1474" spans="1:9" ht="13.5">
      <c r="A1474" s="128">
        <v>1998</v>
      </c>
      <c r="B1474" s="128" t="s">
        <v>137</v>
      </c>
      <c r="C1474" s="128" t="s">
        <v>20</v>
      </c>
      <c r="D1474" s="128" t="s">
        <v>77</v>
      </c>
      <c r="E1474" s="128" t="s">
        <v>133</v>
      </c>
      <c r="F1474" s="128">
        <v>0</v>
      </c>
      <c r="G1474" s="128">
        <v>0</v>
      </c>
      <c r="H1474" s="128">
        <v>0</v>
      </c>
      <c r="I1474" s="128">
        <v>0</v>
      </c>
    </row>
    <row r="1475" spans="1:9" ht="13.5">
      <c r="A1475" s="128">
        <v>1998</v>
      </c>
      <c r="B1475" s="128" t="s">
        <v>137</v>
      </c>
      <c r="C1475" s="128" t="s">
        <v>20</v>
      </c>
      <c r="D1475" s="128" t="s">
        <v>77</v>
      </c>
      <c r="E1475" s="128" t="s">
        <v>134</v>
      </c>
      <c r="F1475" s="128">
        <v>0</v>
      </c>
      <c r="G1475" s="128">
        <v>0</v>
      </c>
      <c r="H1475" s="128">
        <v>0</v>
      </c>
      <c r="I1475" s="128">
        <v>0</v>
      </c>
    </row>
    <row r="1476" spans="1:9" ht="13.5">
      <c r="A1476" s="128">
        <v>1998</v>
      </c>
      <c r="B1476" s="128" t="s">
        <v>137</v>
      </c>
      <c r="C1476" s="128" t="s">
        <v>20</v>
      </c>
      <c r="D1476" s="128" t="s">
        <v>77</v>
      </c>
      <c r="E1476" s="128" t="s">
        <v>135</v>
      </c>
      <c r="F1476" s="128">
        <v>0</v>
      </c>
      <c r="G1476" s="128">
        <v>0</v>
      </c>
      <c r="H1476" s="128">
        <v>0</v>
      </c>
      <c r="I1476" s="128">
        <v>0</v>
      </c>
    </row>
    <row r="1477" spans="1:9" ht="13.5">
      <c r="A1477" s="128">
        <v>1998</v>
      </c>
      <c r="B1477" s="128" t="s">
        <v>137</v>
      </c>
      <c r="C1477" s="128" t="s">
        <v>20</v>
      </c>
      <c r="D1477" s="128" t="s">
        <v>79</v>
      </c>
      <c r="E1477" s="128" t="s">
        <v>132</v>
      </c>
      <c r="F1477" s="128">
        <v>0</v>
      </c>
      <c r="G1477" s="128">
        <v>0</v>
      </c>
      <c r="H1477" s="128">
        <v>0</v>
      </c>
      <c r="I1477" s="128">
        <v>0</v>
      </c>
    </row>
    <row r="1478" spans="1:9" ht="13.5">
      <c r="A1478" s="128">
        <v>1998</v>
      </c>
      <c r="B1478" s="128" t="s">
        <v>137</v>
      </c>
      <c r="C1478" s="128" t="s">
        <v>20</v>
      </c>
      <c r="D1478" s="128" t="s">
        <v>79</v>
      </c>
      <c r="E1478" s="128" t="s">
        <v>133</v>
      </c>
      <c r="F1478" s="128">
        <v>0</v>
      </c>
      <c r="G1478" s="128">
        <v>0</v>
      </c>
      <c r="H1478" s="128">
        <v>0</v>
      </c>
      <c r="I1478" s="128">
        <v>0</v>
      </c>
    </row>
    <row r="1479" spans="1:9" ht="13.5">
      <c r="A1479" s="128">
        <v>1998</v>
      </c>
      <c r="B1479" s="128" t="s">
        <v>137</v>
      </c>
      <c r="C1479" s="128" t="s">
        <v>20</v>
      </c>
      <c r="D1479" s="128" t="s">
        <v>79</v>
      </c>
      <c r="E1479" s="128" t="s">
        <v>134</v>
      </c>
      <c r="F1479" s="128">
        <v>0</v>
      </c>
      <c r="G1479" s="128">
        <v>0</v>
      </c>
      <c r="H1479" s="128">
        <v>0</v>
      </c>
      <c r="I1479" s="128">
        <v>0</v>
      </c>
    </row>
    <row r="1480" spans="1:9" ht="13.5">
      <c r="A1480" s="128">
        <v>1998</v>
      </c>
      <c r="B1480" s="128" t="s">
        <v>137</v>
      </c>
      <c r="C1480" s="128" t="s">
        <v>20</v>
      </c>
      <c r="D1480" s="128" t="s">
        <v>79</v>
      </c>
      <c r="E1480" s="128" t="s">
        <v>135</v>
      </c>
      <c r="F1480" s="128">
        <v>0</v>
      </c>
      <c r="G1480" s="128">
        <v>0</v>
      </c>
      <c r="H1480" s="128">
        <v>0</v>
      </c>
      <c r="I1480" s="128">
        <v>0</v>
      </c>
    </row>
    <row r="1481" spans="1:9" ht="13.5">
      <c r="A1481" s="128">
        <v>1998</v>
      </c>
      <c r="B1481" s="128" t="s">
        <v>137</v>
      </c>
      <c r="C1481" s="128" t="s">
        <v>20</v>
      </c>
      <c r="D1481" s="128" t="s">
        <v>79</v>
      </c>
      <c r="E1481" s="128" t="s">
        <v>136</v>
      </c>
      <c r="F1481" s="128">
        <v>0</v>
      </c>
      <c r="G1481" s="128">
        <v>0</v>
      </c>
      <c r="H1481" s="128">
        <v>0</v>
      </c>
      <c r="I1481" s="128">
        <v>0</v>
      </c>
    </row>
    <row r="1482" spans="1:9" ht="13.5">
      <c r="A1482" s="128">
        <v>1998</v>
      </c>
      <c r="B1482" s="128" t="s">
        <v>137</v>
      </c>
      <c r="C1482" s="128" t="s">
        <v>20</v>
      </c>
      <c r="D1482" s="128" t="s">
        <v>76</v>
      </c>
      <c r="E1482" s="128" t="s">
        <v>132</v>
      </c>
      <c r="F1482" s="128">
        <v>0</v>
      </c>
      <c r="G1482" s="128">
        <v>0</v>
      </c>
      <c r="H1482" s="128">
        <v>0</v>
      </c>
      <c r="I1482" s="128">
        <v>0</v>
      </c>
    </row>
    <row r="1483" spans="1:9" ht="13.5">
      <c r="A1483" s="128">
        <v>1998</v>
      </c>
      <c r="B1483" s="128" t="s">
        <v>137</v>
      </c>
      <c r="C1483" s="128" t="s">
        <v>20</v>
      </c>
      <c r="D1483" s="128" t="s">
        <v>76</v>
      </c>
      <c r="E1483" s="128" t="s">
        <v>133</v>
      </c>
      <c r="F1483" s="128">
        <v>0</v>
      </c>
      <c r="G1483" s="128">
        <v>0</v>
      </c>
      <c r="H1483" s="128">
        <v>0</v>
      </c>
      <c r="I1483" s="128">
        <v>0</v>
      </c>
    </row>
    <row r="1484" spans="1:9" ht="13.5">
      <c r="A1484" s="128">
        <v>1998</v>
      </c>
      <c r="B1484" s="128" t="s">
        <v>137</v>
      </c>
      <c r="C1484" s="128" t="s">
        <v>20</v>
      </c>
      <c r="D1484" s="128" t="s">
        <v>76</v>
      </c>
      <c r="E1484" s="128" t="s">
        <v>134</v>
      </c>
      <c r="F1484" s="128">
        <v>0</v>
      </c>
      <c r="G1484" s="128">
        <v>0</v>
      </c>
      <c r="H1484" s="128">
        <v>0</v>
      </c>
      <c r="I1484" s="128">
        <v>0</v>
      </c>
    </row>
    <row r="1485" spans="1:9" ht="13.5">
      <c r="A1485" s="128">
        <v>1998</v>
      </c>
      <c r="B1485" s="128" t="s">
        <v>137</v>
      </c>
      <c r="C1485" s="128" t="s">
        <v>20</v>
      </c>
      <c r="D1485" s="128" t="s">
        <v>76</v>
      </c>
      <c r="E1485" s="128" t="s">
        <v>135</v>
      </c>
      <c r="F1485" s="128">
        <v>0</v>
      </c>
      <c r="G1485" s="128">
        <v>0</v>
      </c>
      <c r="H1485" s="128">
        <v>0</v>
      </c>
      <c r="I1485" s="128">
        <v>0</v>
      </c>
    </row>
    <row r="1486" spans="1:9" ht="13.5">
      <c r="A1486" s="128">
        <v>1998</v>
      </c>
      <c r="B1486" s="128" t="s">
        <v>137</v>
      </c>
      <c r="C1486" s="128" t="s">
        <v>20</v>
      </c>
      <c r="D1486" s="128" t="s">
        <v>76</v>
      </c>
      <c r="E1486" s="128" t="s">
        <v>136</v>
      </c>
      <c r="F1486" s="128">
        <v>0</v>
      </c>
      <c r="G1486" s="128">
        <v>0</v>
      </c>
      <c r="H1486" s="128">
        <v>0</v>
      </c>
      <c r="I1486" s="128">
        <v>0</v>
      </c>
    </row>
    <row r="1487" spans="1:9" ht="13.5">
      <c r="A1487" s="128">
        <v>1998</v>
      </c>
      <c r="B1487" s="128" t="s">
        <v>137</v>
      </c>
      <c r="C1487" s="128" t="s">
        <v>27</v>
      </c>
      <c r="D1487" s="128" t="s">
        <v>77</v>
      </c>
      <c r="E1487" s="128" t="s">
        <v>132</v>
      </c>
      <c r="F1487" s="128">
        <v>0</v>
      </c>
      <c r="G1487" s="128">
        <v>0</v>
      </c>
      <c r="H1487" s="128">
        <v>0</v>
      </c>
      <c r="I1487" s="128">
        <v>0</v>
      </c>
    </row>
    <row r="1488" spans="1:9" ht="13.5">
      <c r="A1488" s="128">
        <v>1998</v>
      </c>
      <c r="B1488" s="128" t="s">
        <v>137</v>
      </c>
      <c r="C1488" s="128" t="s">
        <v>27</v>
      </c>
      <c r="D1488" s="128" t="s">
        <v>77</v>
      </c>
      <c r="E1488" s="128" t="s">
        <v>133</v>
      </c>
      <c r="F1488" s="128">
        <v>0</v>
      </c>
      <c r="G1488" s="128">
        <v>0</v>
      </c>
      <c r="H1488" s="128">
        <v>0</v>
      </c>
      <c r="I1488" s="128">
        <v>0</v>
      </c>
    </row>
    <row r="1489" spans="1:9" ht="13.5">
      <c r="A1489" s="128">
        <v>1998</v>
      </c>
      <c r="B1489" s="128" t="s">
        <v>137</v>
      </c>
      <c r="C1489" s="128" t="s">
        <v>27</v>
      </c>
      <c r="D1489" s="128" t="s">
        <v>77</v>
      </c>
      <c r="E1489" s="128" t="s">
        <v>134</v>
      </c>
      <c r="F1489" s="128">
        <v>0</v>
      </c>
      <c r="G1489" s="128">
        <v>0</v>
      </c>
      <c r="H1489" s="128">
        <v>0</v>
      </c>
      <c r="I1489" s="128">
        <v>0</v>
      </c>
    </row>
    <row r="1490" spans="1:9" ht="13.5">
      <c r="A1490" s="128">
        <v>1998</v>
      </c>
      <c r="B1490" s="128" t="s">
        <v>137</v>
      </c>
      <c r="C1490" s="128" t="s">
        <v>27</v>
      </c>
      <c r="D1490" s="128" t="s">
        <v>77</v>
      </c>
      <c r="E1490" s="128" t="s">
        <v>135</v>
      </c>
      <c r="F1490" s="128">
        <v>0</v>
      </c>
      <c r="G1490" s="128">
        <v>0</v>
      </c>
      <c r="H1490" s="128">
        <v>0</v>
      </c>
      <c r="I1490" s="128">
        <v>0</v>
      </c>
    </row>
    <row r="1491" spans="1:9" ht="13.5">
      <c r="A1491" s="128">
        <v>1998</v>
      </c>
      <c r="B1491" s="128" t="s">
        <v>137</v>
      </c>
      <c r="C1491" s="128" t="s">
        <v>27</v>
      </c>
      <c r="D1491" s="128" t="s">
        <v>79</v>
      </c>
      <c r="E1491" s="128" t="s">
        <v>132</v>
      </c>
      <c r="F1491" s="128">
        <v>0</v>
      </c>
      <c r="G1491" s="128">
        <v>0</v>
      </c>
      <c r="H1491" s="128">
        <v>0</v>
      </c>
      <c r="I1491" s="128">
        <v>0</v>
      </c>
    </row>
    <row r="1492" spans="1:9" ht="13.5">
      <c r="A1492" s="128">
        <v>1998</v>
      </c>
      <c r="B1492" s="128" t="s">
        <v>137</v>
      </c>
      <c r="C1492" s="128" t="s">
        <v>27</v>
      </c>
      <c r="D1492" s="128" t="s">
        <v>79</v>
      </c>
      <c r="E1492" s="128" t="s">
        <v>133</v>
      </c>
      <c r="F1492" s="128">
        <v>0</v>
      </c>
      <c r="G1492" s="128">
        <v>0</v>
      </c>
      <c r="H1492" s="128">
        <v>0</v>
      </c>
      <c r="I1492" s="128">
        <v>0</v>
      </c>
    </row>
    <row r="1493" spans="1:9" ht="13.5">
      <c r="A1493" s="128">
        <v>1998</v>
      </c>
      <c r="B1493" s="128" t="s">
        <v>137</v>
      </c>
      <c r="C1493" s="128" t="s">
        <v>27</v>
      </c>
      <c r="D1493" s="128" t="s">
        <v>79</v>
      </c>
      <c r="E1493" s="128" t="s">
        <v>134</v>
      </c>
      <c r="F1493" s="128">
        <v>0</v>
      </c>
      <c r="G1493" s="128">
        <v>0</v>
      </c>
      <c r="H1493" s="128">
        <v>0</v>
      </c>
      <c r="I1493" s="128">
        <v>0</v>
      </c>
    </row>
    <row r="1494" spans="1:9" ht="13.5">
      <c r="A1494" s="128">
        <v>1998</v>
      </c>
      <c r="B1494" s="128" t="s">
        <v>137</v>
      </c>
      <c r="C1494" s="128" t="s">
        <v>27</v>
      </c>
      <c r="D1494" s="128" t="s">
        <v>79</v>
      </c>
      <c r="E1494" s="128" t="s">
        <v>135</v>
      </c>
      <c r="F1494" s="128">
        <v>0</v>
      </c>
      <c r="G1494" s="128">
        <v>0</v>
      </c>
      <c r="H1494" s="128">
        <v>0</v>
      </c>
      <c r="I1494" s="128">
        <v>0</v>
      </c>
    </row>
    <row r="1495" spans="1:9" ht="13.5">
      <c r="A1495" s="128">
        <v>1998</v>
      </c>
      <c r="B1495" s="128" t="s">
        <v>137</v>
      </c>
      <c r="C1495" s="128" t="s">
        <v>27</v>
      </c>
      <c r="D1495" s="128" t="s">
        <v>79</v>
      </c>
      <c r="E1495" s="128" t="s">
        <v>136</v>
      </c>
      <c r="F1495" s="128">
        <v>0</v>
      </c>
      <c r="G1495" s="128">
        <v>0</v>
      </c>
      <c r="H1495" s="128">
        <v>0</v>
      </c>
      <c r="I1495" s="128">
        <v>0</v>
      </c>
    </row>
    <row r="1496" spans="1:9" ht="13.5">
      <c r="A1496" s="128">
        <v>1998</v>
      </c>
      <c r="B1496" s="128" t="s">
        <v>137</v>
      </c>
      <c r="C1496" s="128" t="s">
        <v>27</v>
      </c>
      <c r="D1496" s="128" t="s">
        <v>76</v>
      </c>
      <c r="E1496" s="128" t="s">
        <v>132</v>
      </c>
      <c r="F1496" s="128">
        <v>0</v>
      </c>
      <c r="G1496" s="128">
        <v>0</v>
      </c>
      <c r="H1496" s="128">
        <v>0</v>
      </c>
      <c r="I1496" s="128">
        <v>0</v>
      </c>
    </row>
    <row r="1497" spans="1:9" ht="13.5">
      <c r="A1497" s="128">
        <v>1998</v>
      </c>
      <c r="B1497" s="128" t="s">
        <v>137</v>
      </c>
      <c r="C1497" s="128" t="s">
        <v>27</v>
      </c>
      <c r="D1497" s="128" t="s">
        <v>76</v>
      </c>
      <c r="E1497" s="128" t="s">
        <v>133</v>
      </c>
      <c r="F1497" s="128">
        <v>0</v>
      </c>
      <c r="G1497" s="128">
        <v>0</v>
      </c>
      <c r="H1497" s="128">
        <v>0</v>
      </c>
      <c r="I1497" s="128">
        <v>0</v>
      </c>
    </row>
    <row r="1498" spans="1:9" ht="13.5">
      <c r="A1498" s="128">
        <v>1998</v>
      </c>
      <c r="B1498" s="128" t="s">
        <v>137</v>
      </c>
      <c r="C1498" s="128" t="s">
        <v>27</v>
      </c>
      <c r="D1498" s="128" t="s">
        <v>76</v>
      </c>
      <c r="E1498" s="128" t="s">
        <v>134</v>
      </c>
      <c r="F1498" s="128">
        <v>0</v>
      </c>
      <c r="G1498" s="128">
        <v>0</v>
      </c>
      <c r="H1498" s="128">
        <v>0</v>
      </c>
      <c r="I1498" s="128">
        <v>0</v>
      </c>
    </row>
    <row r="1499" spans="1:9" ht="13.5">
      <c r="A1499" s="128">
        <v>1998</v>
      </c>
      <c r="B1499" s="128" t="s">
        <v>137</v>
      </c>
      <c r="C1499" s="128" t="s">
        <v>27</v>
      </c>
      <c r="D1499" s="128" t="s">
        <v>76</v>
      </c>
      <c r="E1499" s="128" t="s">
        <v>135</v>
      </c>
      <c r="F1499" s="128">
        <v>0</v>
      </c>
      <c r="G1499" s="128">
        <v>0</v>
      </c>
      <c r="H1499" s="128">
        <v>0</v>
      </c>
      <c r="I1499" s="128">
        <v>0</v>
      </c>
    </row>
    <row r="1500" spans="1:9" ht="13.5">
      <c r="A1500" s="128">
        <v>1998</v>
      </c>
      <c r="B1500" s="128" t="s">
        <v>137</v>
      </c>
      <c r="C1500" s="128" t="s">
        <v>27</v>
      </c>
      <c r="D1500" s="128" t="s">
        <v>76</v>
      </c>
      <c r="E1500" s="128" t="s">
        <v>136</v>
      </c>
      <c r="F1500" s="128">
        <v>0</v>
      </c>
      <c r="G1500" s="128">
        <v>0</v>
      </c>
      <c r="H1500" s="128">
        <v>0</v>
      </c>
      <c r="I1500" s="128">
        <v>0</v>
      </c>
    </row>
    <row r="1501" spans="1:9" ht="13.5">
      <c r="A1501" s="128">
        <v>1998</v>
      </c>
      <c r="B1501" s="128" t="s">
        <v>137</v>
      </c>
      <c r="C1501" s="128" t="s">
        <v>22</v>
      </c>
      <c r="D1501" s="128" t="s">
        <v>77</v>
      </c>
      <c r="E1501" s="128" t="s">
        <v>132</v>
      </c>
      <c r="F1501" s="128">
        <v>0</v>
      </c>
      <c r="G1501" s="128">
        <v>0</v>
      </c>
      <c r="H1501" s="128">
        <v>0</v>
      </c>
      <c r="I1501" s="128">
        <v>0</v>
      </c>
    </row>
    <row r="1502" spans="1:9" ht="13.5">
      <c r="A1502" s="128">
        <v>1998</v>
      </c>
      <c r="B1502" s="128" t="s">
        <v>137</v>
      </c>
      <c r="C1502" s="128" t="s">
        <v>22</v>
      </c>
      <c r="D1502" s="128" t="s">
        <v>77</v>
      </c>
      <c r="E1502" s="128" t="s">
        <v>133</v>
      </c>
      <c r="F1502" s="128">
        <v>0</v>
      </c>
      <c r="G1502" s="128">
        <v>0</v>
      </c>
      <c r="H1502" s="128">
        <v>0</v>
      </c>
      <c r="I1502" s="128">
        <v>0</v>
      </c>
    </row>
    <row r="1503" spans="1:9" ht="13.5">
      <c r="A1503" s="128">
        <v>1998</v>
      </c>
      <c r="B1503" s="128" t="s">
        <v>137</v>
      </c>
      <c r="C1503" s="128" t="s">
        <v>22</v>
      </c>
      <c r="D1503" s="128" t="s">
        <v>77</v>
      </c>
      <c r="E1503" s="128" t="s">
        <v>134</v>
      </c>
      <c r="F1503" s="128">
        <v>0</v>
      </c>
      <c r="G1503" s="128">
        <v>0</v>
      </c>
      <c r="H1503" s="128">
        <v>0</v>
      </c>
      <c r="I1503" s="128">
        <v>0</v>
      </c>
    </row>
    <row r="1504" spans="1:9" ht="13.5">
      <c r="A1504" s="128">
        <v>1998</v>
      </c>
      <c r="B1504" s="128" t="s">
        <v>137</v>
      </c>
      <c r="C1504" s="128" t="s">
        <v>22</v>
      </c>
      <c r="D1504" s="128" t="s">
        <v>77</v>
      </c>
      <c r="E1504" s="128" t="s">
        <v>135</v>
      </c>
      <c r="F1504" s="128">
        <v>0</v>
      </c>
      <c r="G1504" s="128">
        <v>0</v>
      </c>
      <c r="H1504" s="128">
        <v>0</v>
      </c>
      <c r="I1504" s="128">
        <v>0</v>
      </c>
    </row>
    <row r="1505" spans="1:9" ht="13.5">
      <c r="A1505" s="128">
        <v>1998</v>
      </c>
      <c r="B1505" s="128" t="s">
        <v>137</v>
      </c>
      <c r="C1505" s="128" t="s">
        <v>22</v>
      </c>
      <c r="D1505" s="128" t="s">
        <v>79</v>
      </c>
      <c r="E1505" s="128" t="s">
        <v>132</v>
      </c>
      <c r="F1505" s="128">
        <v>0</v>
      </c>
      <c r="G1505" s="128">
        <v>0</v>
      </c>
      <c r="H1505" s="128">
        <v>0</v>
      </c>
      <c r="I1505" s="128">
        <v>0</v>
      </c>
    </row>
    <row r="1506" spans="1:9" ht="13.5">
      <c r="A1506" s="128">
        <v>1998</v>
      </c>
      <c r="B1506" s="128" t="s">
        <v>137</v>
      </c>
      <c r="C1506" s="128" t="s">
        <v>22</v>
      </c>
      <c r="D1506" s="128" t="s">
        <v>79</v>
      </c>
      <c r="E1506" s="128" t="s">
        <v>133</v>
      </c>
      <c r="F1506" s="128">
        <v>0</v>
      </c>
      <c r="G1506" s="128">
        <v>0</v>
      </c>
      <c r="H1506" s="128">
        <v>0</v>
      </c>
      <c r="I1506" s="128">
        <v>0</v>
      </c>
    </row>
    <row r="1507" spans="1:9" ht="13.5">
      <c r="A1507" s="128">
        <v>1998</v>
      </c>
      <c r="B1507" s="128" t="s">
        <v>137</v>
      </c>
      <c r="C1507" s="128" t="s">
        <v>22</v>
      </c>
      <c r="D1507" s="128" t="s">
        <v>79</v>
      </c>
      <c r="E1507" s="128" t="s">
        <v>134</v>
      </c>
      <c r="F1507" s="128">
        <v>0</v>
      </c>
      <c r="G1507" s="128">
        <v>0</v>
      </c>
      <c r="H1507" s="128">
        <v>0</v>
      </c>
      <c r="I1507" s="128">
        <v>0</v>
      </c>
    </row>
    <row r="1508" spans="1:9" ht="13.5">
      <c r="A1508" s="128">
        <v>1998</v>
      </c>
      <c r="B1508" s="128" t="s">
        <v>137</v>
      </c>
      <c r="C1508" s="128" t="s">
        <v>22</v>
      </c>
      <c r="D1508" s="128" t="s">
        <v>79</v>
      </c>
      <c r="E1508" s="128" t="s">
        <v>135</v>
      </c>
      <c r="F1508" s="128">
        <v>0</v>
      </c>
      <c r="G1508" s="128">
        <v>0</v>
      </c>
      <c r="H1508" s="128">
        <v>0</v>
      </c>
      <c r="I1508" s="128">
        <v>0</v>
      </c>
    </row>
    <row r="1509" spans="1:9" ht="13.5">
      <c r="A1509" s="128">
        <v>1998</v>
      </c>
      <c r="B1509" s="128" t="s">
        <v>137</v>
      </c>
      <c r="C1509" s="128" t="s">
        <v>22</v>
      </c>
      <c r="D1509" s="128" t="s">
        <v>79</v>
      </c>
      <c r="E1509" s="128" t="s">
        <v>136</v>
      </c>
      <c r="F1509" s="128">
        <v>0</v>
      </c>
      <c r="G1509" s="128">
        <v>0</v>
      </c>
      <c r="H1509" s="128">
        <v>0</v>
      </c>
      <c r="I1509" s="128">
        <v>0</v>
      </c>
    </row>
    <row r="1510" spans="1:9" ht="13.5">
      <c r="A1510" s="128">
        <v>1998</v>
      </c>
      <c r="B1510" s="128" t="s">
        <v>137</v>
      </c>
      <c r="C1510" s="128" t="s">
        <v>22</v>
      </c>
      <c r="D1510" s="128" t="s">
        <v>76</v>
      </c>
      <c r="E1510" s="128" t="s">
        <v>132</v>
      </c>
      <c r="F1510" s="128">
        <v>0</v>
      </c>
      <c r="G1510" s="128">
        <v>0</v>
      </c>
      <c r="H1510" s="128">
        <v>0</v>
      </c>
      <c r="I1510" s="128">
        <v>0</v>
      </c>
    </row>
    <row r="1511" spans="1:9" ht="13.5">
      <c r="A1511" s="128">
        <v>1998</v>
      </c>
      <c r="B1511" s="128" t="s">
        <v>137</v>
      </c>
      <c r="C1511" s="128" t="s">
        <v>22</v>
      </c>
      <c r="D1511" s="128" t="s">
        <v>76</v>
      </c>
      <c r="E1511" s="128" t="s">
        <v>133</v>
      </c>
      <c r="F1511" s="128">
        <v>0</v>
      </c>
      <c r="G1511" s="128">
        <v>0</v>
      </c>
      <c r="H1511" s="128">
        <v>0</v>
      </c>
      <c r="I1511" s="128">
        <v>0</v>
      </c>
    </row>
    <row r="1512" spans="1:9" ht="13.5">
      <c r="A1512" s="128">
        <v>1998</v>
      </c>
      <c r="B1512" s="128" t="s">
        <v>137</v>
      </c>
      <c r="C1512" s="128" t="s">
        <v>22</v>
      </c>
      <c r="D1512" s="128" t="s">
        <v>76</v>
      </c>
      <c r="E1512" s="128" t="s">
        <v>134</v>
      </c>
      <c r="F1512" s="128">
        <v>0</v>
      </c>
      <c r="G1512" s="128">
        <v>0</v>
      </c>
      <c r="H1512" s="128">
        <v>0</v>
      </c>
      <c r="I1512" s="128">
        <v>0</v>
      </c>
    </row>
    <row r="1513" spans="1:9" ht="13.5">
      <c r="A1513" s="128">
        <v>1998</v>
      </c>
      <c r="B1513" s="128" t="s">
        <v>137</v>
      </c>
      <c r="C1513" s="128" t="s">
        <v>22</v>
      </c>
      <c r="D1513" s="128" t="s">
        <v>76</v>
      </c>
      <c r="E1513" s="128" t="s">
        <v>135</v>
      </c>
      <c r="F1513" s="128">
        <v>0</v>
      </c>
      <c r="G1513" s="128">
        <v>0</v>
      </c>
      <c r="H1513" s="128">
        <v>0</v>
      </c>
      <c r="I1513" s="128">
        <v>0</v>
      </c>
    </row>
    <row r="1514" spans="1:9" ht="13.5">
      <c r="A1514" s="128">
        <v>1998</v>
      </c>
      <c r="B1514" s="128" t="s">
        <v>137</v>
      </c>
      <c r="C1514" s="128" t="s">
        <v>22</v>
      </c>
      <c r="D1514" s="128" t="s">
        <v>76</v>
      </c>
      <c r="E1514" s="128" t="s">
        <v>136</v>
      </c>
      <c r="F1514" s="128">
        <v>0</v>
      </c>
      <c r="G1514" s="128">
        <v>0</v>
      </c>
      <c r="H1514" s="128">
        <v>0</v>
      </c>
      <c r="I1514" s="128">
        <v>0</v>
      </c>
    </row>
    <row r="1515" spans="1:9" ht="13.5">
      <c r="A1515" s="128">
        <v>1998</v>
      </c>
      <c r="B1515" s="128" t="s">
        <v>137</v>
      </c>
      <c r="C1515" s="128" t="s">
        <v>23</v>
      </c>
      <c r="D1515" s="128" t="s">
        <v>77</v>
      </c>
      <c r="E1515" s="128" t="s">
        <v>132</v>
      </c>
      <c r="F1515" s="128">
        <v>0</v>
      </c>
      <c r="G1515" s="128">
        <v>0</v>
      </c>
      <c r="H1515" s="128">
        <v>0</v>
      </c>
      <c r="I1515" s="128">
        <v>0</v>
      </c>
    </row>
    <row r="1516" spans="1:9" ht="13.5">
      <c r="A1516" s="128">
        <v>1998</v>
      </c>
      <c r="B1516" s="128" t="s">
        <v>137</v>
      </c>
      <c r="C1516" s="128" t="s">
        <v>23</v>
      </c>
      <c r="D1516" s="128" t="s">
        <v>77</v>
      </c>
      <c r="E1516" s="128" t="s">
        <v>133</v>
      </c>
      <c r="F1516" s="128">
        <v>0</v>
      </c>
      <c r="G1516" s="128">
        <v>0</v>
      </c>
      <c r="H1516" s="128">
        <v>0</v>
      </c>
      <c r="I1516" s="128">
        <v>0</v>
      </c>
    </row>
    <row r="1517" spans="1:9" ht="13.5">
      <c r="A1517" s="128">
        <v>1998</v>
      </c>
      <c r="B1517" s="128" t="s">
        <v>137</v>
      </c>
      <c r="C1517" s="128" t="s">
        <v>23</v>
      </c>
      <c r="D1517" s="128" t="s">
        <v>77</v>
      </c>
      <c r="E1517" s="128" t="s">
        <v>134</v>
      </c>
      <c r="F1517" s="128">
        <v>0</v>
      </c>
      <c r="G1517" s="128">
        <v>0</v>
      </c>
      <c r="H1517" s="128">
        <v>0</v>
      </c>
      <c r="I1517" s="128">
        <v>0</v>
      </c>
    </row>
    <row r="1518" spans="1:9" ht="13.5">
      <c r="A1518" s="128">
        <v>1998</v>
      </c>
      <c r="B1518" s="128" t="s">
        <v>137</v>
      </c>
      <c r="C1518" s="128" t="s">
        <v>23</v>
      </c>
      <c r="D1518" s="128" t="s">
        <v>77</v>
      </c>
      <c r="E1518" s="128" t="s">
        <v>135</v>
      </c>
      <c r="F1518" s="128">
        <v>0</v>
      </c>
      <c r="G1518" s="128">
        <v>0</v>
      </c>
      <c r="H1518" s="128">
        <v>0</v>
      </c>
      <c r="I1518" s="128">
        <v>0</v>
      </c>
    </row>
    <row r="1519" spans="1:9" ht="13.5">
      <c r="A1519" s="128">
        <v>1998</v>
      </c>
      <c r="B1519" s="128" t="s">
        <v>137</v>
      </c>
      <c r="C1519" s="128" t="s">
        <v>23</v>
      </c>
      <c r="D1519" s="128" t="s">
        <v>79</v>
      </c>
      <c r="E1519" s="128" t="s">
        <v>132</v>
      </c>
      <c r="F1519" s="128">
        <v>0</v>
      </c>
      <c r="G1519" s="128">
        <v>0</v>
      </c>
      <c r="H1519" s="128">
        <v>0</v>
      </c>
      <c r="I1519" s="128">
        <v>0</v>
      </c>
    </row>
    <row r="1520" spans="1:9" ht="13.5">
      <c r="A1520" s="128">
        <v>1998</v>
      </c>
      <c r="B1520" s="128" t="s">
        <v>137</v>
      </c>
      <c r="C1520" s="128" t="s">
        <v>23</v>
      </c>
      <c r="D1520" s="128" t="s">
        <v>79</v>
      </c>
      <c r="E1520" s="128" t="s">
        <v>133</v>
      </c>
      <c r="F1520" s="128">
        <v>0</v>
      </c>
      <c r="G1520" s="128">
        <v>0</v>
      </c>
      <c r="H1520" s="128">
        <v>0</v>
      </c>
      <c r="I1520" s="128">
        <v>0</v>
      </c>
    </row>
    <row r="1521" spans="1:9" ht="13.5">
      <c r="A1521" s="128">
        <v>1998</v>
      </c>
      <c r="B1521" s="128" t="s">
        <v>137</v>
      </c>
      <c r="C1521" s="128" t="s">
        <v>23</v>
      </c>
      <c r="D1521" s="128" t="s">
        <v>79</v>
      </c>
      <c r="E1521" s="128" t="s">
        <v>134</v>
      </c>
      <c r="F1521" s="128">
        <v>0</v>
      </c>
      <c r="G1521" s="128">
        <v>0</v>
      </c>
      <c r="H1521" s="128">
        <v>0</v>
      </c>
      <c r="I1521" s="128">
        <v>0</v>
      </c>
    </row>
    <row r="1522" spans="1:9" ht="13.5">
      <c r="A1522" s="128">
        <v>1998</v>
      </c>
      <c r="B1522" s="128" t="s">
        <v>137</v>
      </c>
      <c r="C1522" s="128" t="s">
        <v>23</v>
      </c>
      <c r="D1522" s="128" t="s">
        <v>79</v>
      </c>
      <c r="E1522" s="128" t="s">
        <v>135</v>
      </c>
      <c r="F1522" s="128">
        <v>0</v>
      </c>
      <c r="G1522" s="128">
        <v>0</v>
      </c>
      <c r="H1522" s="128">
        <v>0</v>
      </c>
      <c r="I1522" s="128">
        <v>0</v>
      </c>
    </row>
    <row r="1523" spans="1:9" ht="13.5">
      <c r="A1523" s="128">
        <v>1998</v>
      </c>
      <c r="B1523" s="128" t="s">
        <v>137</v>
      </c>
      <c r="C1523" s="128" t="s">
        <v>23</v>
      </c>
      <c r="D1523" s="128" t="s">
        <v>79</v>
      </c>
      <c r="E1523" s="128" t="s">
        <v>136</v>
      </c>
      <c r="F1523" s="128">
        <v>0</v>
      </c>
      <c r="G1523" s="128">
        <v>0</v>
      </c>
      <c r="H1523" s="128">
        <v>0</v>
      </c>
      <c r="I1523" s="128">
        <v>0</v>
      </c>
    </row>
    <row r="1524" spans="1:9" ht="13.5">
      <c r="A1524" s="128">
        <v>1998</v>
      </c>
      <c r="B1524" s="128" t="s">
        <v>137</v>
      </c>
      <c r="C1524" s="128" t="s">
        <v>23</v>
      </c>
      <c r="D1524" s="128" t="s">
        <v>76</v>
      </c>
      <c r="E1524" s="128" t="s">
        <v>132</v>
      </c>
      <c r="F1524" s="128">
        <v>0</v>
      </c>
      <c r="G1524" s="128">
        <v>0</v>
      </c>
      <c r="H1524" s="128">
        <v>0</v>
      </c>
      <c r="I1524" s="128">
        <v>0</v>
      </c>
    </row>
    <row r="1525" spans="1:9" ht="13.5">
      <c r="A1525" s="128">
        <v>1998</v>
      </c>
      <c r="B1525" s="128" t="s">
        <v>137</v>
      </c>
      <c r="C1525" s="128" t="s">
        <v>23</v>
      </c>
      <c r="D1525" s="128" t="s">
        <v>76</v>
      </c>
      <c r="E1525" s="128" t="s">
        <v>133</v>
      </c>
      <c r="F1525" s="128">
        <v>0</v>
      </c>
      <c r="G1525" s="128">
        <v>0</v>
      </c>
      <c r="H1525" s="128">
        <v>0</v>
      </c>
      <c r="I1525" s="128">
        <v>0</v>
      </c>
    </row>
    <row r="1526" spans="1:9" ht="13.5">
      <c r="A1526" s="128">
        <v>1998</v>
      </c>
      <c r="B1526" s="128" t="s">
        <v>137</v>
      </c>
      <c r="C1526" s="128" t="s">
        <v>23</v>
      </c>
      <c r="D1526" s="128" t="s">
        <v>76</v>
      </c>
      <c r="E1526" s="128" t="s">
        <v>134</v>
      </c>
      <c r="F1526" s="128">
        <v>0</v>
      </c>
      <c r="G1526" s="128">
        <v>0</v>
      </c>
      <c r="H1526" s="128">
        <v>0</v>
      </c>
      <c r="I1526" s="128">
        <v>0</v>
      </c>
    </row>
    <row r="1527" spans="1:9" ht="13.5">
      <c r="A1527" s="128">
        <v>1998</v>
      </c>
      <c r="B1527" s="128" t="s">
        <v>137</v>
      </c>
      <c r="C1527" s="128" t="s">
        <v>23</v>
      </c>
      <c r="D1527" s="128" t="s">
        <v>76</v>
      </c>
      <c r="E1527" s="128" t="s">
        <v>135</v>
      </c>
      <c r="F1527" s="128">
        <v>0</v>
      </c>
      <c r="G1527" s="128">
        <v>0</v>
      </c>
      <c r="H1527" s="128">
        <v>0</v>
      </c>
      <c r="I1527" s="128">
        <v>0</v>
      </c>
    </row>
    <row r="1528" spans="1:9" ht="13.5">
      <c r="A1528" s="128">
        <v>1998</v>
      </c>
      <c r="B1528" s="128" t="s">
        <v>137</v>
      </c>
      <c r="C1528" s="128" t="s">
        <v>23</v>
      </c>
      <c r="D1528" s="128" t="s">
        <v>76</v>
      </c>
      <c r="E1528" s="128" t="s">
        <v>136</v>
      </c>
      <c r="F1528" s="128">
        <v>0</v>
      </c>
      <c r="G1528" s="128">
        <v>0</v>
      </c>
      <c r="H1528" s="128">
        <v>0</v>
      </c>
      <c r="I1528" s="128">
        <v>0</v>
      </c>
    </row>
    <row r="1529" spans="1:9" ht="13.5">
      <c r="A1529" s="128">
        <v>1998</v>
      </c>
      <c r="B1529" s="128" t="s">
        <v>137</v>
      </c>
      <c r="C1529" s="128" t="s">
        <v>25</v>
      </c>
      <c r="D1529" s="128" t="s">
        <v>77</v>
      </c>
      <c r="E1529" s="128" t="s">
        <v>132</v>
      </c>
      <c r="F1529" s="128">
        <v>0</v>
      </c>
      <c r="G1529" s="128">
        <v>0</v>
      </c>
      <c r="H1529" s="128">
        <v>0</v>
      </c>
      <c r="I1529" s="128">
        <v>0</v>
      </c>
    </row>
    <row r="1530" spans="1:9" ht="13.5">
      <c r="A1530" s="128">
        <v>1998</v>
      </c>
      <c r="B1530" s="128" t="s">
        <v>137</v>
      </c>
      <c r="C1530" s="128" t="s">
        <v>25</v>
      </c>
      <c r="D1530" s="128" t="s">
        <v>77</v>
      </c>
      <c r="E1530" s="128" t="s">
        <v>133</v>
      </c>
      <c r="F1530" s="128">
        <v>0</v>
      </c>
      <c r="G1530" s="128">
        <v>0</v>
      </c>
      <c r="H1530" s="128">
        <v>0</v>
      </c>
      <c r="I1530" s="128">
        <v>0</v>
      </c>
    </row>
    <row r="1531" spans="1:9" ht="13.5">
      <c r="A1531" s="128">
        <v>1998</v>
      </c>
      <c r="B1531" s="128" t="s">
        <v>137</v>
      </c>
      <c r="C1531" s="128" t="s">
        <v>25</v>
      </c>
      <c r="D1531" s="128" t="s">
        <v>77</v>
      </c>
      <c r="E1531" s="128" t="s">
        <v>134</v>
      </c>
      <c r="F1531" s="128">
        <v>0</v>
      </c>
      <c r="G1531" s="128">
        <v>0</v>
      </c>
      <c r="H1531" s="128">
        <v>0</v>
      </c>
      <c r="I1531" s="128">
        <v>0</v>
      </c>
    </row>
    <row r="1532" spans="1:9" ht="13.5">
      <c r="A1532" s="128">
        <v>1998</v>
      </c>
      <c r="B1532" s="128" t="s">
        <v>137</v>
      </c>
      <c r="C1532" s="128" t="s">
        <v>25</v>
      </c>
      <c r="D1532" s="128" t="s">
        <v>77</v>
      </c>
      <c r="E1532" s="128" t="s">
        <v>135</v>
      </c>
      <c r="F1532" s="128">
        <v>0</v>
      </c>
      <c r="G1532" s="128">
        <v>0</v>
      </c>
      <c r="H1532" s="128">
        <v>0</v>
      </c>
      <c r="I1532" s="128">
        <v>0</v>
      </c>
    </row>
    <row r="1533" spans="1:9" ht="13.5">
      <c r="A1533" s="128">
        <v>1998</v>
      </c>
      <c r="B1533" s="128" t="s">
        <v>137</v>
      </c>
      <c r="C1533" s="128" t="s">
        <v>25</v>
      </c>
      <c r="D1533" s="128" t="s">
        <v>79</v>
      </c>
      <c r="E1533" s="128" t="s">
        <v>132</v>
      </c>
      <c r="F1533" s="128">
        <v>0</v>
      </c>
      <c r="G1533" s="128">
        <v>0</v>
      </c>
      <c r="H1533" s="128">
        <v>0</v>
      </c>
      <c r="I1533" s="128">
        <v>0</v>
      </c>
    </row>
    <row r="1534" spans="1:9" ht="13.5">
      <c r="A1534" s="128">
        <v>1998</v>
      </c>
      <c r="B1534" s="128" t="s">
        <v>137</v>
      </c>
      <c r="C1534" s="128" t="s">
        <v>25</v>
      </c>
      <c r="D1534" s="128" t="s">
        <v>79</v>
      </c>
      <c r="E1534" s="128" t="s">
        <v>133</v>
      </c>
      <c r="F1534" s="128">
        <v>0</v>
      </c>
      <c r="G1534" s="128">
        <v>0</v>
      </c>
      <c r="H1534" s="128">
        <v>0</v>
      </c>
      <c r="I1534" s="128">
        <v>0</v>
      </c>
    </row>
    <row r="1535" spans="1:9" ht="13.5">
      <c r="A1535" s="128">
        <v>1998</v>
      </c>
      <c r="B1535" s="128" t="s">
        <v>137</v>
      </c>
      <c r="C1535" s="128" t="s">
        <v>25</v>
      </c>
      <c r="D1535" s="128" t="s">
        <v>79</v>
      </c>
      <c r="E1535" s="128" t="s">
        <v>134</v>
      </c>
      <c r="F1535" s="128">
        <v>0</v>
      </c>
      <c r="G1535" s="128">
        <v>0</v>
      </c>
      <c r="H1535" s="128">
        <v>0</v>
      </c>
      <c r="I1535" s="128">
        <v>0</v>
      </c>
    </row>
    <row r="1536" spans="1:9" ht="13.5">
      <c r="A1536" s="128">
        <v>1998</v>
      </c>
      <c r="B1536" s="128" t="s">
        <v>137</v>
      </c>
      <c r="C1536" s="128" t="s">
        <v>25</v>
      </c>
      <c r="D1536" s="128" t="s">
        <v>79</v>
      </c>
      <c r="E1536" s="128" t="s">
        <v>135</v>
      </c>
      <c r="F1536" s="128">
        <v>0</v>
      </c>
      <c r="G1536" s="128">
        <v>0</v>
      </c>
      <c r="H1536" s="128">
        <v>0</v>
      </c>
      <c r="I1536" s="128">
        <v>0</v>
      </c>
    </row>
    <row r="1537" spans="1:9" ht="13.5">
      <c r="A1537" s="128">
        <v>1998</v>
      </c>
      <c r="B1537" s="128" t="s">
        <v>137</v>
      </c>
      <c r="C1537" s="128" t="s">
        <v>25</v>
      </c>
      <c r="D1537" s="128" t="s">
        <v>79</v>
      </c>
      <c r="E1537" s="128" t="s">
        <v>136</v>
      </c>
      <c r="F1537" s="128">
        <v>0</v>
      </c>
      <c r="G1537" s="128">
        <v>0</v>
      </c>
      <c r="H1537" s="128">
        <v>0</v>
      </c>
      <c r="I1537" s="128">
        <v>0</v>
      </c>
    </row>
    <row r="1538" spans="1:9" ht="13.5">
      <c r="A1538" s="128">
        <v>1998</v>
      </c>
      <c r="B1538" s="128" t="s">
        <v>137</v>
      </c>
      <c r="C1538" s="128" t="s">
        <v>25</v>
      </c>
      <c r="D1538" s="128" t="s">
        <v>76</v>
      </c>
      <c r="E1538" s="128" t="s">
        <v>132</v>
      </c>
      <c r="F1538" s="128">
        <v>0</v>
      </c>
      <c r="G1538" s="128">
        <v>0</v>
      </c>
      <c r="H1538" s="128">
        <v>0</v>
      </c>
      <c r="I1538" s="128">
        <v>0</v>
      </c>
    </row>
    <row r="1539" spans="1:9" ht="13.5">
      <c r="A1539" s="128">
        <v>1998</v>
      </c>
      <c r="B1539" s="128" t="s">
        <v>137</v>
      </c>
      <c r="C1539" s="128" t="s">
        <v>25</v>
      </c>
      <c r="D1539" s="128" t="s">
        <v>76</v>
      </c>
      <c r="E1539" s="128" t="s">
        <v>133</v>
      </c>
      <c r="F1539" s="128">
        <v>0</v>
      </c>
      <c r="G1539" s="128">
        <v>0</v>
      </c>
      <c r="H1539" s="128">
        <v>0</v>
      </c>
      <c r="I1539" s="128">
        <v>0</v>
      </c>
    </row>
    <row r="1540" spans="1:9" ht="13.5">
      <c r="A1540" s="128">
        <v>1998</v>
      </c>
      <c r="B1540" s="128" t="s">
        <v>137</v>
      </c>
      <c r="C1540" s="128" t="s">
        <v>25</v>
      </c>
      <c r="D1540" s="128" t="s">
        <v>76</v>
      </c>
      <c r="E1540" s="128" t="s">
        <v>134</v>
      </c>
      <c r="F1540" s="128">
        <v>0</v>
      </c>
      <c r="G1540" s="128">
        <v>0</v>
      </c>
      <c r="H1540" s="128">
        <v>0</v>
      </c>
      <c r="I1540" s="128">
        <v>0</v>
      </c>
    </row>
    <row r="1541" spans="1:9" ht="13.5">
      <c r="A1541" s="128">
        <v>1998</v>
      </c>
      <c r="B1541" s="128" t="s">
        <v>137</v>
      </c>
      <c r="C1541" s="128" t="s">
        <v>25</v>
      </c>
      <c r="D1541" s="128" t="s">
        <v>76</v>
      </c>
      <c r="E1541" s="128" t="s">
        <v>135</v>
      </c>
      <c r="F1541" s="128">
        <v>0</v>
      </c>
      <c r="G1541" s="128">
        <v>0</v>
      </c>
      <c r="H1541" s="128">
        <v>0</v>
      </c>
      <c r="I1541" s="128">
        <v>0</v>
      </c>
    </row>
    <row r="1542" spans="1:9" ht="13.5">
      <c r="A1542" s="128">
        <v>1998</v>
      </c>
      <c r="B1542" s="128" t="s">
        <v>137</v>
      </c>
      <c r="C1542" s="128" t="s">
        <v>25</v>
      </c>
      <c r="D1542" s="128" t="s">
        <v>76</v>
      </c>
      <c r="E1542" s="128" t="s">
        <v>136</v>
      </c>
      <c r="F1542" s="128">
        <v>0</v>
      </c>
      <c r="G1542" s="128">
        <v>0</v>
      </c>
      <c r="H1542" s="128">
        <v>0</v>
      </c>
      <c r="I1542" s="128">
        <v>0</v>
      </c>
    </row>
    <row r="1543" spans="1:9" ht="13.5">
      <c r="A1543" s="128">
        <v>1998</v>
      </c>
      <c r="B1543" s="128" t="s">
        <v>137</v>
      </c>
      <c r="C1543" s="128" t="s">
        <v>21</v>
      </c>
      <c r="D1543" s="128" t="s">
        <v>77</v>
      </c>
      <c r="E1543" s="128" t="s">
        <v>132</v>
      </c>
      <c r="F1543" s="128">
        <v>0</v>
      </c>
      <c r="G1543" s="128">
        <v>0</v>
      </c>
      <c r="H1543" s="128">
        <v>0</v>
      </c>
      <c r="I1543" s="128">
        <v>0</v>
      </c>
    </row>
    <row r="1544" spans="1:9" ht="13.5">
      <c r="A1544" s="128">
        <v>1998</v>
      </c>
      <c r="B1544" s="128" t="s">
        <v>137</v>
      </c>
      <c r="C1544" s="128" t="s">
        <v>21</v>
      </c>
      <c r="D1544" s="128" t="s">
        <v>77</v>
      </c>
      <c r="E1544" s="128" t="s">
        <v>133</v>
      </c>
      <c r="F1544" s="128">
        <v>0</v>
      </c>
      <c r="G1544" s="128">
        <v>0</v>
      </c>
      <c r="H1544" s="128">
        <v>0</v>
      </c>
      <c r="I1544" s="128">
        <v>0</v>
      </c>
    </row>
    <row r="1545" spans="1:9" ht="13.5">
      <c r="A1545" s="128">
        <v>1998</v>
      </c>
      <c r="B1545" s="128" t="s">
        <v>137</v>
      </c>
      <c r="C1545" s="128" t="s">
        <v>21</v>
      </c>
      <c r="D1545" s="128" t="s">
        <v>77</v>
      </c>
      <c r="E1545" s="128" t="s">
        <v>134</v>
      </c>
      <c r="F1545" s="128">
        <v>0</v>
      </c>
      <c r="G1545" s="128">
        <v>0</v>
      </c>
      <c r="H1545" s="128">
        <v>0</v>
      </c>
      <c r="I1545" s="128">
        <v>0</v>
      </c>
    </row>
    <row r="1546" spans="1:9" ht="13.5">
      <c r="A1546" s="128">
        <v>1998</v>
      </c>
      <c r="B1546" s="128" t="s">
        <v>137</v>
      </c>
      <c r="C1546" s="128" t="s">
        <v>21</v>
      </c>
      <c r="D1546" s="128" t="s">
        <v>77</v>
      </c>
      <c r="E1546" s="128" t="s">
        <v>135</v>
      </c>
      <c r="F1546" s="128">
        <v>0</v>
      </c>
      <c r="G1546" s="128">
        <v>0</v>
      </c>
      <c r="H1546" s="128">
        <v>0</v>
      </c>
      <c r="I1546" s="128">
        <v>0</v>
      </c>
    </row>
    <row r="1547" spans="1:9" ht="13.5">
      <c r="A1547" s="128">
        <v>1998</v>
      </c>
      <c r="B1547" s="128" t="s">
        <v>137</v>
      </c>
      <c r="C1547" s="128" t="s">
        <v>21</v>
      </c>
      <c r="D1547" s="128" t="s">
        <v>79</v>
      </c>
      <c r="E1547" s="128" t="s">
        <v>132</v>
      </c>
      <c r="F1547" s="128">
        <v>0</v>
      </c>
      <c r="G1547" s="128">
        <v>0</v>
      </c>
      <c r="H1547" s="128">
        <v>0</v>
      </c>
      <c r="I1547" s="128">
        <v>0</v>
      </c>
    </row>
    <row r="1548" spans="1:9" ht="13.5">
      <c r="A1548" s="128">
        <v>1998</v>
      </c>
      <c r="B1548" s="128" t="s">
        <v>137</v>
      </c>
      <c r="C1548" s="128" t="s">
        <v>21</v>
      </c>
      <c r="D1548" s="128" t="s">
        <v>79</v>
      </c>
      <c r="E1548" s="128" t="s">
        <v>133</v>
      </c>
      <c r="F1548" s="128">
        <v>0</v>
      </c>
      <c r="G1548" s="128">
        <v>0</v>
      </c>
      <c r="H1548" s="128">
        <v>0</v>
      </c>
      <c r="I1548" s="128">
        <v>0</v>
      </c>
    </row>
    <row r="1549" spans="1:9" ht="13.5">
      <c r="A1549" s="128">
        <v>1998</v>
      </c>
      <c r="B1549" s="128" t="s">
        <v>137</v>
      </c>
      <c r="C1549" s="128" t="s">
        <v>21</v>
      </c>
      <c r="D1549" s="128" t="s">
        <v>79</v>
      </c>
      <c r="E1549" s="128" t="s">
        <v>134</v>
      </c>
      <c r="F1549" s="128">
        <v>0</v>
      </c>
      <c r="G1549" s="128">
        <v>0</v>
      </c>
      <c r="H1549" s="128">
        <v>0</v>
      </c>
      <c r="I1549" s="128">
        <v>0</v>
      </c>
    </row>
    <row r="1550" spans="1:9" ht="13.5">
      <c r="A1550" s="128">
        <v>1998</v>
      </c>
      <c r="B1550" s="128" t="s">
        <v>137</v>
      </c>
      <c r="C1550" s="128" t="s">
        <v>21</v>
      </c>
      <c r="D1550" s="128" t="s">
        <v>79</v>
      </c>
      <c r="E1550" s="128" t="s">
        <v>135</v>
      </c>
      <c r="F1550" s="128">
        <v>0</v>
      </c>
      <c r="G1550" s="128">
        <v>0</v>
      </c>
      <c r="H1550" s="128">
        <v>0</v>
      </c>
      <c r="I1550" s="128">
        <v>0</v>
      </c>
    </row>
    <row r="1551" spans="1:9" ht="13.5">
      <c r="A1551" s="128">
        <v>1998</v>
      </c>
      <c r="B1551" s="128" t="s">
        <v>137</v>
      </c>
      <c r="C1551" s="128" t="s">
        <v>21</v>
      </c>
      <c r="D1551" s="128" t="s">
        <v>79</v>
      </c>
      <c r="E1551" s="128" t="s">
        <v>136</v>
      </c>
      <c r="F1551" s="128">
        <v>0</v>
      </c>
      <c r="G1551" s="128">
        <v>0</v>
      </c>
      <c r="H1551" s="128">
        <v>0</v>
      </c>
      <c r="I1551" s="128">
        <v>0</v>
      </c>
    </row>
    <row r="1552" spans="1:9" ht="13.5">
      <c r="A1552" s="128">
        <v>1998</v>
      </c>
      <c r="B1552" s="128" t="s">
        <v>137</v>
      </c>
      <c r="C1552" s="128" t="s">
        <v>21</v>
      </c>
      <c r="D1552" s="128" t="s">
        <v>76</v>
      </c>
      <c r="E1552" s="128" t="s">
        <v>132</v>
      </c>
      <c r="F1552" s="128">
        <v>0</v>
      </c>
      <c r="G1552" s="128">
        <v>0</v>
      </c>
      <c r="H1552" s="128">
        <v>0</v>
      </c>
      <c r="I1552" s="128">
        <v>0</v>
      </c>
    </row>
    <row r="1553" spans="1:9" ht="13.5">
      <c r="A1553" s="128">
        <v>1998</v>
      </c>
      <c r="B1553" s="128" t="s">
        <v>137</v>
      </c>
      <c r="C1553" s="128" t="s">
        <v>21</v>
      </c>
      <c r="D1553" s="128" t="s">
        <v>76</v>
      </c>
      <c r="E1553" s="128" t="s">
        <v>133</v>
      </c>
      <c r="F1553" s="128">
        <v>0</v>
      </c>
      <c r="G1553" s="128">
        <v>0</v>
      </c>
      <c r="H1553" s="128">
        <v>0</v>
      </c>
      <c r="I1553" s="128">
        <v>0</v>
      </c>
    </row>
    <row r="1554" spans="1:9" ht="13.5">
      <c r="A1554" s="128">
        <v>1998</v>
      </c>
      <c r="B1554" s="128" t="s">
        <v>137</v>
      </c>
      <c r="C1554" s="128" t="s">
        <v>21</v>
      </c>
      <c r="D1554" s="128" t="s">
        <v>76</v>
      </c>
      <c r="E1554" s="128" t="s">
        <v>134</v>
      </c>
      <c r="F1554" s="128">
        <v>0</v>
      </c>
      <c r="G1554" s="128">
        <v>0</v>
      </c>
      <c r="H1554" s="128">
        <v>0</v>
      </c>
      <c r="I1554" s="128">
        <v>0</v>
      </c>
    </row>
    <row r="1555" spans="1:9" ht="13.5">
      <c r="A1555" s="128">
        <v>1998</v>
      </c>
      <c r="B1555" s="128" t="s">
        <v>137</v>
      </c>
      <c r="C1555" s="128" t="s">
        <v>21</v>
      </c>
      <c r="D1555" s="128" t="s">
        <v>76</v>
      </c>
      <c r="E1555" s="128" t="s">
        <v>135</v>
      </c>
      <c r="F1555" s="128">
        <v>0</v>
      </c>
      <c r="G1555" s="128">
        <v>0</v>
      </c>
      <c r="H1555" s="128">
        <v>0</v>
      </c>
      <c r="I1555" s="128">
        <v>0</v>
      </c>
    </row>
    <row r="1556" spans="1:9" ht="13.5">
      <c r="A1556" s="128">
        <v>1998</v>
      </c>
      <c r="B1556" s="128" t="s">
        <v>137</v>
      </c>
      <c r="C1556" s="128" t="s">
        <v>21</v>
      </c>
      <c r="D1556" s="128" t="s">
        <v>76</v>
      </c>
      <c r="E1556" s="128" t="s">
        <v>136</v>
      </c>
      <c r="F1556" s="128">
        <v>0</v>
      </c>
      <c r="G1556" s="128">
        <v>0</v>
      </c>
      <c r="H1556" s="128">
        <v>0</v>
      </c>
      <c r="I1556" s="128">
        <v>0</v>
      </c>
    </row>
    <row r="1557" spans="1:9" ht="13.5">
      <c r="A1557" s="128">
        <v>1998</v>
      </c>
      <c r="B1557" s="128" t="s">
        <v>137</v>
      </c>
      <c r="C1557" s="128" t="s">
        <v>24</v>
      </c>
      <c r="D1557" s="128" t="s">
        <v>77</v>
      </c>
      <c r="E1557" s="128" t="s">
        <v>132</v>
      </c>
      <c r="F1557" s="128">
        <v>0</v>
      </c>
      <c r="G1557" s="128">
        <v>0</v>
      </c>
      <c r="H1557" s="128">
        <v>0</v>
      </c>
      <c r="I1557" s="128">
        <v>0</v>
      </c>
    </row>
    <row r="1558" spans="1:9" ht="13.5">
      <c r="A1558" s="128">
        <v>1998</v>
      </c>
      <c r="B1558" s="128" t="s">
        <v>137</v>
      </c>
      <c r="C1558" s="128" t="s">
        <v>24</v>
      </c>
      <c r="D1558" s="128" t="s">
        <v>77</v>
      </c>
      <c r="E1558" s="128" t="s">
        <v>133</v>
      </c>
      <c r="F1558" s="128">
        <v>0</v>
      </c>
      <c r="G1558" s="128">
        <v>0</v>
      </c>
      <c r="H1558" s="128">
        <v>0</v>
      </c>
      <c r="I1558" s="128">
        <v>0</v>
      </c>
    </row>
    <row r="1559" spans="1:9" ht="13.5">
      <c r="A1559" s="128">
        <v>1998</v>
      </c>
      <c r="B1559" s="128" t="s">
        <v>137</v>
      </c>
      <c r="C1559" s="128" t="s">
        <v>24</v>
      </c>
      <c r="D1559" s="128" t="s">
        <v>77</v>
      </c>
      <c r="E1559" s="128" t="s">
        <v>134</v>
      </c>
      <c r="F1559" s="128">
        <v>0</v>
      </c>
      <c r="G1559" s="128">
        <v>0</v>
      </c>
      <c r="H1559" s="128">
        <v>0</v>
      </c>
      <c r="I1559" s="128">
        <v>0</v>
      </c>
    </row>
    <row r="1560" spans="1:9" ht="13.5">
      <c r="A1560" s="128">
        <v>1998</v>
      </c>
      <c r="B1560" s="128" t="s">
        <v>137</v>
      </c>
      <c r="C1560" s="128" t="s">
        <v>24</v>
      </c>
      <c r="D1560" s="128" t="s">
        <v>77</v>
      </c>
      <c r="E1560" s="128" t="s">
        <v>135</v>
      </c>
      <c r="F1560" s="128">
        <v>0</v>
      </c>
      <c r="G1560" s="128">
        <v>0</v>
      </c>
      <c r="H1560" s="128">
        <v>0</v>
      </c>
      <c r="I1560" s="128">
        <v>0</v>
      </c>
    </row>
    <row r="1561" spans="1:9" ht="13.5">
      <c r="A1561" s="128">
        <v>1998</v>
      </c>
      <c r="B1561" s="128" t="s">
        <v>137</v>
      </c>
      <c r="C1561" s="128" t="s">
        <v>24</v>
      </c>
      <c r="D1561" s="128" t="s">
        <v>79</v>
      </c>
      <c r="E1561" s="128" t="s">
        <v>132</v>
      </c>
      <c r="F1561" s="128">
        <v>0</v>
      </c>
      <c r="G1561" s="128">
        <v>0</v>
      </c>
      <c r="H1561" s="128">
        <v>0</v>
      </c>
      <c r="I1561" s="128">
        <v>0</v>
      </c>
    </row>
    <row r="1562" spans="1:9" ht="13.5">
      <c r="A1562" s="128">
        <v>1998</v>
      </c>
      <c r="B1562" s="128" t="s">
        <v>137</v>
      </c>
      <c r="C1562" s="128" t="s">
        <v>24</v>
      </c>
      <c r="D1562" s="128" t="s">
        <v>79</v>
      </c>
      <c r="E1562" s="128" t="s">
        <v>133</v>
      </c>
      <c r="F1562" s="128">
        <v>0</v>
      </c>
      <c r="G1562" s="128">
        <v>0</v>
      </c>
      <c r="H1562" s="128">
        <v>0</v>
      </c>
      <c r="I1562" s="128">
        <v>0</v>
      </c>
    </row>
    <row r="1563" spans="1:9" ht="13.5">
      <c r="A1563" s="128">
        <v>1998</v>
      </c>
      <c r="B1563" s="128" t="s">
        <v>137</v>
      </c>
      <c r="C1563" s="128" t="s">
        <v>24</v>
      </c>
      <c r="D1563" s="128" t="s">
        <v>79</v>
      </c>
      <c r="E1563" s="128" t="s">
        <v>134</v>
      </c>
      <c r="F1563" s="128">
        <v>0</v>
      </c>
      <c r="G1563" s="128">
        <v>0</v>
      </c>
      <c r="H1563" s="128">
        <v>0</v>
      </c>
      <c r="I1563" s="128">
        <v>0</v>
      </c>
    </row>
    <row r="1564" spans="1:9" ht="13.5">
      <c r="A1564" s="128">
        <v>1998</v>
      </c>
      <c r="B1564" s="128" t="s">
        <v>137</v>
      </c>
      <c r="C1564" s="128" t="s">
        <v>24</v>
      </c>
      <c r="D1564" s="128" t="s">
        <v>79</v>
      </c>
      <c r="E1564" s="128" t="s">
        <v>135</v>
      </c>
      <c r="F1564" s="128">
        <v>0</v>
      </c>
      <c r="G1564" s="128">
        <v>0</v>
      </c>
      <c r="H1564" s="128">
        <v>0</v>
      </c>
      <c r="I1564" s="128">
        <v>0</v>
      </c>
    </row>
    <row r="1565" spans="1:9" ht="13.5">
      <c r="A1565" s="128">
        <v>1998</v>
      </c>
      <c r="B1565" s="128" t="s">
        <v>137</v>
      </c>
      <c r="C1565" s="128" t="s">
        <v>24</v>
      </c>
      <c r="D1565" s="128" t="s">
        <v>79</v>
      </c>
      <c r="E1565" s="128" t="s">
        <v>136</v>
      </c>
      <c r="F1565" s="128">
        <v>0</v>
      </c>
      <c r="G1565" s="128">
        <v>0</v>
      </c>
      <c r="H1565" s="128">
        <v>0</v>
      </c>
      <c r="I1565" s="128">
        <v>0</v>
      </c>
    </row>
    <row r="1566" spans="1:9" ht="13.5">
      <c r="A1566" s="128">
        <v>1998</v>
      </c>
      <c r="B1566" s="128" t="s">
        <v>137</v>
      </c>
      <c r="C1566" s="128" t="s">
        <v>24</v>
      </c>
      <c r="D1566" s="128" t="s">
        <v>76</v>
      </c>
      <c r="E1566" s="128" t="s">
        <v>132</v>
      </c>
      <c r="F1566" s="128">
        <v>0</v>
      </c>
      <c r="G1566" s="128">
        <v>0</v>
      </c>
      <c r="H1566" s="128">
        <v>0</v>
      </c>
      <c r="I1566" s="128">
        <v>0</v>
      </c>
    </row>
    <row r="1567" spans="1:9" ht="13.5">
      <c r="A1567" s="128">
        <v>1998</v>
      </c>
      <c r="B1567" s="128" t="s">
        <v>137</v>
      </c>
      <c r="C1567" s="128" t="s">
        <v>24</v>
      </c>
      <c r="D1567" s="128" t="s">
        <v>76</v>
      </c>
      <c r="E1567" s="128" t="s">
        <v>133</v>
      </c>
      <c r="F1567" s="128">
        <v>0</v>
      </c>
      <c r="G1567" s="128">
        <v>0</v>
      </c>
      <c r="H1567" s="128">
        <v>0</v>
      </c>
      <c r="I1567" s="128">
        <v>0</v>
      </c>
    </row>
    <row r="1568" spans="1:9" ht="13.5">
      <c r="A1568" s="128">
        <v>1998</v>
      </c>
      <c r="B1568" s="128" t="s">
        <v>137</v>
      </c>
      <c r="C1568" s="128" t="s">
        <v>24</v>
      </c>
      <c r="D1568" s="128" t="s">
        <v>76</v>
      </c>
      <c r="E1568" s="128" t="s">
        <v>134</v>
      </c>
      <c r="F1568" s="128">
        <v>0</v>
      </c>
      <c r="G1568" s="128">
        <v>0</v>
      </c>
      <c r="H1568" s="128">
        <v>0</v>
      </c>
      <c r="I1568" s="128">
        <v>0</v>
      </c>
    </row>
    <row r="1569" spans="1:9" ht="13.5">
      <c r="A1569" s="128">
        <v>1998</v>
      </c>
      <c r="B1569" s="128" t="s">
        <v>137</v>
      </c>
      <c r="C1569" s="128" t="s">
        <v>24</v>
      </c>
      <c r="D1569" s="128" t="s">
        <v>76</v>
      </c>
      <c r="E1569" s="128" t="s">
        <v>135</v>
      </c>
      <c r="F1569" s="128">
        <v>0</v>
      </c>
      <c r="G1569" s="128">
        <v>0</v>
      </c>
      <c r="H1569" s="128">
        <v>0</v>
      </c>
      <c r="I1569" s="128">
        <v>0</v>
      </c>
    </row>
    <row r="1570" spans="1:9" ht="13.5">
      <c r="A1570" s="128">
        <v>1998</v>
      </c>
      <c r="B1570" s="128" t="s">
        <v>137</v>
      </c>
      <c r="C1570" s="128" t="s">
        <v>24</v>
      </c>
      <c r="D1570" s="128" t="s">
        <v>76</v>
      </c>
      <c r="E1570" s="128" t="s">
        <v>136</v>
      </c>
      <c r="F1570" s="128">
        <v>0</v>
      </c>
      <c r="G1570" s="128">
        <v>0</v>
      </c>
      <c r="H1570" s="128">
        <v>0</v>
      </c>
      <c r="I1570" s="128">
        <v>0</v>
      </c>
    </row>
    <row r="1571" spans="1:9" ht="13.5">
      <c r="A1571" s="128">
        <v>1999</v>
      </c>
      <c r="B1571" s="128" t="s">
        <v>131</v>
      </c>
      <c r="C1571" s="128" t="s">
        <v>26</v>
      </c>
      <c r="D1571" s="128" t="s">
        <v>77</v>
      </c>
      <c r="E1571" s="128" t="s">
        <v>132</v>
      </c>
      <c r="F1571" s="128">
        <v>0</v>
      </c>
      <c r="G1571" s="128">
        <v>0</v>
      </c>
      <c r="H1571" s="128">
        <v>0</v>
      </c>
      <c r="I1571" s="128">
        <v>0</v>
      </c>
    </row>
    <row r="1572" spans="1:9" ht="13.5">
      <c r="A1572" s="128">
        <v>1999</v>
      </c>
      <c r="B1572" s="128" t="s">
        <v>131</v>
      </c>
      <c r="C1572" s="128" t="s">
        <v>26</v>
      </c>
      <c r="D1572" s="128" t="s">
        <v>77</v>
      </c>
      <c r="E1572" s="128" t="s">
        <v>133</v>
      </c>
      <c r="F1572" s="128">
        <v>0</v>
      </c>
      <c r="G1572" s="128">
        <v>0</v>
      </c>
      <c r="H1572" s="128">
        <v>0</v>
      </c>
      <c r="I1572" s="128">
        <v>0</v>
      </c>
    </row>
    <row r="1573" spans="1:9" ht="13.5">
      <c r="A1573" s="128">
        <v>1999</v>
      </c>
      <c r="B1573" s="128" t="s">
        <v>131</v>
      </c>
      <c r="C1573" s="128" t="s">
        <v>26</v>
      </c>
      <c r="D1573" s="128" t="s">
        <v>77</v>
      </c>
      <c r="E1573" s="128" t="s">
        <v>134</v>
      </c>
      <c r="F1573" s="128">
        <v>0</v>
      </c>
      <c r="G1573" s="128">
        <v>0</v>
      </c>
      <c r="H1573" s="128">
        <v>0</v>
      </c>
      <c r="I1573" s="128">
        <v>0</v>
      </c>
    </row>
    <row r="1574" spans="1:9" ht="13.5">
      <c r="A1574" s="128">
        <v>1999</v>
      </c>
      <c r="B1574" s="128" t="s">
        <v>131</v>
      </c>
      <c r="C1574" s="128" t="s">
        <v>26</v>
      </c>
      <c r="D1574" s="128" t="s">
        <v>77</v>
      </c>
      <c r="E1574" s="128" t="s">
        <v>135</v>
      </c>
      <c r="F1574" s="128">
        <v>0</v>
      </c>
      <c r="G1574" s="128">
        <v>0</v>
      </c>
      <c r="H1574" s="128">
        <v>0</v>
      </c>
      <c r="I1574" s="128">
        <v>0</v>
      </c>
    </row>
    <row r="1575" spans="1:9" ht="13.5">
      <c r="A1575" s="128">
        <v>1999</v>
      </c>
      <c r="B1575" s="128" t="s">
        <v>131</v>
      </c>
      <c r="C1575" s="128" t="s">
        <v>26</v>
      </c>
      <c r="D1575" s="128" t="s">
        <v>79</v>
      </c>
      <c r="E1575" s="128" t="s">
        <v>132</v>
      </c>
      <c r="F1575" s="128">
        <v>0</v>
      </c>
      <c r="G1575" s="128">
        <v>0</v>
      </c>
      <c r="H1575" s="128">
        <v>0</v>
      </c>
      <c r="I1575" s="128">
        <v>0</v>
      </c>
    </row>
    <row r="1576" spans="1:9" ht="13.5">
      <c r="A1576" s="128">
        <v>1999</v>
      </c>
      <c r="B1576" s="128" t="s">
        <v>131</v>
      </c>
      <c r="C1576" s="128" t="s">
        <v>26</v>
      </c>
      <c r="D1576" s="128" t="s">
        <v>79</v>
      </c>
      <c r="E1576" s="128" t="s">
        <v>133</v>
      </c>
      <c r="F1576" s="128">
        <v>0</v>
      </c>
      <c r="G1576" s="128">
        <v>0</v>
      </c>
      <c r="H1576" s="128">
        <v>0</v>
      </c>
      <c r="I1576" s="128">
        <v>0</v>
      </c>
    </row>
    <row r="1577" spans="1:9" ht="13.5">
      <c r="A1577" s="128">
        <v>1999</v>
      </c>
      <c r="B1577" s="128" t="s">
        <v>131</v>
      </c>
      <c r="C1577" s="128" t="s">
        <v>26</v>
      </c>
      <c r="D1577" s="128" t="s">
        <v>79</v>
      </c>
      <c r="E1577" s="128" t="s">
        <v>134</v>
      </c>
      <c r="F1577" s="128">
        <v>0</v>
      </c>
      <c r="G1577" s="128">
        <v>0</v>
      </c>
      <c r="H1577" s="128">
        <v>0</v>
      </c>
      <c r="I1577" s="128">
        <v>0</v>
      </c>
    </row>
    <row r="1578" spans="1:9" ht="13.5">
      <c r="A1578" s="128">
        <v>1999</v>
      </c>
      <c r="B1578" s="128" t="s">
        <v>131</v>
      </c>
      <c r="C1578" s="128" t="s">
        <v>26</v>
      </c>
      <c r="D1578" s="128" t="s">
        <v>79</v>
      </c>
      <c r="E1578" s="128" t="s">
        <v>135</v>
      </c>
      <c r="F1578" s="128">
        <v>0</v>
      </c>
      <c r="G1578" s="128">
        <v>0</v>
      </c>
      <c r="H1578" s="128">
        <v>0</v>
      </c>
      <c r="I1578" s="128">
        <v>0</v>
      </c>
    </row>
    <row r="1579" spans="1:9" ht="13.5">
      <c r="A1579" s="128">
        <v>1999</v>
      </c>
      <c r="B1579" s="128" t="s">
        <v>131</v>
      </c>
      <c r="C1579" s="128" t="s">
        <v>26</v>
      </c>
      <c r="D1579" s="128" t="s">
        <v>79</v>
      </c>
      <c r="E1579" s="128" t="s">
        <v>136</v>
      </c>
      <c r="F1579" s="128">
        <v>0</v>
      </c>
      <c r="G1579" s="128">
        <v>0</v>
      </c>
      <c r="H1579" s="128">
        <v>0</v>
      </c>
      <c r="I1579" s="128">
        <v>0</v>
      </c>
    </row>
    <row r="1580" spans="1:9" ht="13.5">
      <c r="A1580" s="128">
        <v>1999</v>
      </c>
      <c r="B1580" s="128" t="s">
        <v>131</v>
      </c>
      <c r="C1580" s="128" t="s">
        <v>26</v>
      </c>
      <c r="D1580" s="128" t="s">
        <v>76</v>
      </c>
      <c r="E1580" s="128" t="s">
        <v>132</v>
      </c>
      <c r="F1580" s="128">
        <v>0</v>
      </c>
      <c r="G1580" s="128">
        <v>0</v>
      </c>
      <c r="H1580" s="128">
        <v>0</v>
      </c>
      <c r="I1580" s="128">
        <v>0</v>
      </c>
    </row>
    <row r="1581" spans="1:9" ht="13.5">
      <c r="A1581" s="128">
        <v>1999</v>
      </c>
      <c r="B1581" s="128" t="s">
        <v>131</v>
      </c>
      <c r="C1581" s="128" t="s">
        <v>26</v>
      </c>
      <c r="D1581" s="128" t="s">
        <v>76</v>
      </c>
      <c r="E1581" s="128" t="s">
        <v>133</v>
      </c>
      <c r="F1581" s="128">
        <v>0</v>
      </c>
      <c r="G1581" s="128">
        <v>0</v>
      </c>
      <c r="H1581" s="128">
        <v>0</v>
      </c>
      <c r="I1581" s="128">
        <v>0</v>
      </c>
    </row>
    <row r="1582" spans="1:9" ht="13.5">
      <c r="A1582" s="128">
        <v>1999</v>
      </c>
      <c r="B1582" s="128" t="s">
        <v>131</v>
      </c>
      <c r="C1582" s="128" t="s">
        <v>26</v>
      </c>
      <c r="D1582" s="128" t="s">
        <v>76</v>
      </c>
      <c r="E1582" s="128" t="s">
        <v>134</v>
      </c>
      <c r="F1582" s="128">
        <v>0</v>
      </c>
      <c r="G1582" s="128">
        <v>0</v>
      </c>
      <c r="H1582" s="128">
        <v>0</v>
      </c>
      <c r="I1582" s="128">
        <v>0</v>
      </c>
    </row>
    <row r="1583" spans="1:9" ht="13.5">
      <c r="A1583" s="128">
        <v>1999</v>
      </c>
      <c r="B1583" s="128" t="s">
        <v>131</v>
      </c>
      <c r="C1583" s="128" t="s">
        <v>26</v>
      </c>
      <c r="D1583" s="128" t="s">
        <v>76</v>
      </c>
      <c r="E1583" s="128" t="s">
        <v>135</v>
      </c>
      <c r="F1583" s="128">
        <v>0</v>
      </c>
      <c r="G1583" s="128">
        <v>0</v>
      </c>
      <c r="H1583" s="128">
        <v>0</v>
      </c>
      <c r="I1583" s="128">
        <v>0</v>
      </c>
    </row>
    <row r="1584" spans="1:9" ht="13.5">
      <c r="A1584" s="128">
        <v>1999</v>
      </c>
      <c r="B1584" s="128" t="s">
        <v>131</v>
      </c>
      <c r="C1584" s="128" t="s">
        <v>26</v>
      </c>
      <c r="D1584" s="128" t="s">
        <v>76</v>
      </c>
      <c r="E1584" s="128" t="s">
        <v>136</v>
      </c>
      <c r="F1584" s="128">
        <v>0</v>
      </c>
      <c r="G1584" s="128">
        <v>0</v>
      </c>
      <c r="H1584" s="128">
        <v>0</v>
      </c>
      <c r="I1584" s="128">
        <v>0</v>
      </c>
    </row>
    <row r="1585" spans="1:9" ht="13.5">
      <c r="A1585" s="128">
        <v>1999</v>
      </c>
      <c r="B1585" s="128" t="s">
        <v>131</v>
      </c>
      <c r="C1585" s="128" t="s">
        <v>20</v>
      </c>
      <c r="D1585" s="128" t="s">
        <v>77</v>
      </c>
      <c r="E1585" s="128" t="s">
        <v>132</v>
      </c>
      <c r="F1585" s="128">
        <v>0</v>
      </c>
      <c r="G1585" s="128">
        <v>0</v>
      </c>
      <c r="H1585" s="128">
        <v>0</v>
      </c>
      <c r="I1585" s="128">
        <v>0</v>
      </c>
    </row>
    <row r="1586" spans="1:9" ht="13.5">
      <c r="A1586" s="128">
        <v>1999</v>
      </c>
      <c r="B1586" s="128" t="s">
        <v>131</v>
      </c>
      <c r="C1586" s="128" t="s">
        <v>20</v>
      </c>
      <c r="D1586" s="128" t="s">
        <v>77</v>
      </c>
      <c r="E1586" s="128" t="s">
        <v>133</v>
      </c>
      <c r="F1586" s="128">
        <v>0</v>
      </c>
      <c r="G1586" s="128">
        <v>0</v>
      </c>
      <c r="H1586" s="128">
        <v>0</v>
      </c>
      <c r="I1586" s="128">
        <v>0</v>
      </c>
    </row>
    <row r="1587" spans="1:9" ht="13.5">
      <c r="A1587" s="128">
        <v>1999</v>
      </c>
      <c r="B1587" s="128" t="s">
        <v>131</v>
      </c>
      <c r="C1587" s="128" t="s">
        <v>20</v>
      </c>
      <c r="D1587" s="128" t="s">
        <v>77</v>
      </c>
      <c r="E1587" s="128" t="s">
        <v>134</v>
      </c>
      <c r="F1587" s="128">
        <v>0</v>
      </c>
      <c r="G1587" s="128">
        <v>0</v>
      </c>
      <c r="H1587" s="128">
        <v>0</v>
      </c>
      <c r="I1587" s="128">
        <v>0</v>
      </c>
    </row>
    <row r="1588" spans="1:9" ht="13.5">
      <c r="A1588" s="128">
        <v>1999</v>
      </c>
      <c r="B1588" s="128" t="s">
        <v>131</v>
      </c>
      <c r="C1588" s="128" t="s">
        <v>20</v>
      </c>
      <c r="D1588" s="128" t="s">
        <v>77</v>
      </c>
      <c r="E1588" s="128" t="s">
        <v>135</v>
      </c>
      <c r="F1588" s="128">
        <v>0</v>
      </c>
      <c r="G1588" s="128">
        <v>0</v>
      </c>
      <c r="H1588" s="128">
        <v>0</v>
      </c>
      <c r="I1588" s="128">
        <v>0</v>
      </c>
    </row>
    <row r="1589" spans="1:9" ht="13.5">
      <c r="A1589" s="128">
        <v>1999</v>
      </c>
      <c r="B1589" s="128" t="s">
        <v>131</v>
      </c>
      <c r="C1589" s="128" t="s">
        <v>20</v>
      </c>
      <c r="D1589" s="128" t="s">
        <v>79</v>
      </c>
      <c r="E1589" s="128" t="s">
        <v>132</v>
      </c>
      <c r="F1589" s="128">
        <v>0</v>
      </c>
      <c r="G1589" s="128">
        <v>0</v>
      </c>
      <c r="H1589" s="128">
        <v>0</v>
      </c>
      <c r="I1589" s="128">
        <v>0</v>
      </c>
    </row>
    <row r="1590" spans="1:9" ht="13.5">
      <c r="A1590" s="128">
        <v>1999</v>
      </c>
      <c r="B1590" s="128" t="s">
        <v>131</v>
      </c>
      <c r="C1590" s="128" t="s">
        <v>20</v>
      </c>
      <c r="D1590" s="128" t="s">
        <v>79</v>
      </c>
      <c r="E1590" s="128" t="s">
        <v>133</v>
      </c>
      <c r="F1590" s="128">
        <v>0</v>
      </c>
      <c r="G1590" s="128">
        <v>0</v>
      </c>
      <c r="H1590" s="128">
        <v>0</v>
      </c>
      <c r="I1590" s="128">
        <v>0</v>
      </c>
    </row>
    <row r="1591" spans="1:9" ht="13.5">
      <c r="A1591" s="128">
        <v>1999</v>
      </c>
      <c r="B1591" s="128" t="s">
        <v>131</v>
      </c>
      <c r="C1591" s="128" t="s">
        <v>20</v>
      </c>
      <c r="D1591" s="128" t="s">
        <v>79</v>
      </c>
      <c r="E1591" s="128" t="s">
        <v>134</v>
      </c>
      <c r="F1591" s="128">
        <v>0</v>
      </c>
      <c r="G1591" s="128">
        <v>0</v>
      </c>
      <c r="H1591" s="128">
        <v>0</v>
      </c>
      <c r="I1591" s="128">
        <v>0</v>
      </c>
    </row>
    <row r="1592" spans="1:9" ht="13.5">
      <c r="A1592" s="128">
        <v>1999</v>
      </c>
      <c r="B1592" s="128" t="s">
        <v>131</v>
      </c>
      <c r="C1592" s="128" t="s">
        <v>20</v>
      </c>
      <c r="D1592" s="128" t="s">
        <v>79</v>
      </c>
      <c r="E1592" s="128" t="s">
        <v>135</v>
      </c>
      <c r="F1592" s="128">
        <v>0</v>
      </c>
      <c r="G1592" s="128">
        <v>0</v>
      </c>
      <c r="H1592" s="128">
        <v>0</v>
      </c>
      <c r="I1592" s="128">
        <v>0</v>
      </c>
    </row>
    <row r="1593" spans="1:9" ht="13.5">
      <c r="A1593" s="128">
        <v>1999</v>
      </c>
      <c r="B1593" s="128" t="s">
        <v>131</v>
      </c>
      <c r="C1593" s="128" t="s">
        <v>20</v>
      </c>
      <c r="D1593" s="128" t="s">
        <v>79</v>
      </c>
      <c r="E1593" s="128" t="s">
        <v>136</v>
      </c>
      <c r="F1593" s="128">
        <v>0</v>
      </c>
      <c r="G1593" s="128">
        <v>0</v>
      </c>
      <c r="H1593" s="128">
        <v>0</v>
      </c>
      <c r="I1593" s="128">
        <v>0</v>
      </c>
    </row>
    <row r="1594" spans="1:9" ht="13.5">
      <c r="A1594" s="128">
        <v>1999</v>
      </c>
      <c r="B1594" s="128" t="s">
        <v>131</v>
      </c>
      <c r="C1594" s="128" t="s">
        <v>20</v>
      </c>
      <c r="D1594" s="128" t="s">
        <v>76</v>
      </c>
      <c r="E1594" s="128" t="s">
        <v>132</v>
      </c>
      <c r="F1594" s="128">
        <v>0</v>
      </c>
      <c r="G1594" s="128">
        <v>0</v>
      </c>
      <c r="H1594" s="128">
        <v>0</v>
      </c>
      <c r="I1594" s="128">
        <v>0</v>
      </c>
    </row>
    <row r="1595" spans="1:9" ht="13.5">
      <c r="A1595" s="128">
        <v>1999</v>
      </c>
      <c r="B1595" s="128" t="s">
        <v>131</v>
      </c>
      <c r="C1595" s="128" t="s">
        <v>20</v>
      </c>
      <c r="D1595" s="128" t="s">
        <v>76</v>
      </c>
      <c r="E1595" s="128" t="s">
        <v>133</v>
      </c>
      <c r="F1595" s="128">
        <v>0</v>
      </c>
      <c r="G1595" s="128">
        <v>0</v>
      </c>
      <c r="H1595" s="128">
        <v>0</v>
      </c>
      <c r="I1595" s="128">
        <v>0</v>
      </c>
    </row>
    <row r="1596" spans="1:9" ht="13.5">
      <c r="A1596" s="128">
        <v>1999</v>
      </c>
      <c r="B1596" s="128" t="s">
        <v>131</v>
      </c>
      <c r="C1596" s="128" t="s">
        <v>20</v>
      </c>
      <c r="D1596" s="128" t="s">
        <v>76</v>
      </c>
      <c r="E1596" s="128" t="s">
        <v>134</v>
      </c>
      <c r="F1596" s="128">
        <v>0</v>
      </c>
      <c r="G1596" s="128">
        <v>0</v>
      </c>
      <c r="H1596" s="128">
        <v>0</v>
      </c>
      <c r="I1596" s="128">
        <v>0</v>
      </c>
    </row>
    <row r="1597" spans="1:9" ht="13.5">
      <c r="A1597" s="128">
        <v>1999</v>
      </c>
      <c r="B1597" s="128" t="s">
        <v>131</v>
      </c>
      <c r="C1597" s="128" t="s">
        <v>20</v>
      </c>
      <c r="D1597" s="128" t="s">
        <v>76</v>
      </c>
      <c r="E1597" s="128" t="s">
        <v>135</v>
      </c>
      <c r="F1597" s="128">
        <v>0</v>
      </c>
      <c r="G1597" s="128">
        <v>0</v>
      </c>
      <c r="H1597" s="128">
        <v>0</v>
      </c>
      <c r="I1597" s="128">
        <v>0</v>
      </c>
    </row>
    <row r="1598" spans="1:9" ht="13.5">
      <c r="A1598" s="128">
        <v>1999</v>
      </c>
      <c r="B1598" s="128" t="s">
        <v>131</v>
      </c>
      <c r="C1598" s="128" t="s">
        <v>20</v>
      </c>
      <c r="D1598" s="128" t="s">
        <v>76</v>
      </c>
      <c r="E1598" s="128" t="s">
        <v>136</v>
      </c>
      <c r="F1598" s="128">
        <v>0</v>
      </c>
      <c r="G1598" s="128">
        <v>0</v>
      </c>
      <c r="H1598" s="128">
        <v>0</v>
      </c>
      <c r="I1598" s="128">
        <v>0</v>
      </c>
    </row>
    <row r="1599" spans="1:9" ht="13.5">
      <c r="A1599" s="128">
        <v>1999</v>
      </c>
      <c r="B1599" s="128" t="s">
        <v>131</v>
      </c>
      <c r="C1599" s="128" t="s">
        <v>27</v>
      </c>
      <c r="D1599" s="128" t="s">
        <v>77</v>
      </c>
      <c r="E1599" s="128" t="s">
        <v>132</v>
      </c>
      <c r="F1599" s="128">
        <v>0</v>
      </c>
      <c r="G1599" s="128">
        <v>0</v>
      </c>
      <c r="H1599" s="128">
        <v>0</v>
      </c>
      <c r="I1599" s="128">
        <v>0</v>
      </c>
    </row>
    <row r="1600" spans="1:9" ht="13.5">
      <c r="A1600" s="128">
        <v>1999</v>
      </c>
      <c r="B1600" s="128" t="s">
        <v>131</v>
      </c>
      <c r="C1600" s="128" t="s">
        <v>27</v>
      </c>
      <c r="D1600" s="128" t="s">
        <v>77</v>
      </c>
      <c r="E1600" s="128" t="s">
        <v>133</v>
      </c>
      <c r="F1600" s="128">
        <v>0</v>
      </c>
      <c r="G1600" s="128">
        <v>0</v>
      </c>
      <c r="H1600" s="128">
        <v>0</v>
      </c>
      <c r="I1600" s="128">
        <v>0</v>
      </c>
    </row>
    <row r="1601" spans="1:9" ht="13.5">
      <c r="A1601" s="128">
        <v>1999</v>
      </c>
      <c r="B1601" s="128" t="s">
        <v>131</v>
      </c>
      <c r="C1601" s="128" t="s">
        <v>27</v>
      </c>
      <c r="D1601" s="128" t="s">
        <v>77</v>
      </c>
      <c r="E1601" s="128" t="s">
        <v>134</v>
      </c>
      <c r="F1601" s="128">
        <v>0</v>
      </c>
      <c r="G1601" s="128">
        <v>0</v>
      </c>
      <c r="H1601" s="128">
        <v>0</v>
      </c>
      <c r="I1601" s="128">
        <v>0</v>
      </c>
    </row>
    <row r="1602" spans="1:9" ht="13.5">
      <c r="A1602" s="128">
        <v>1999</v>
      </c>
      <c r="B1602" s="128" t="s">
        <v>131</v>
      </c>
      <c r="C1602" s="128" t="s">
        <v>27</v>
      </c>
      <c r="D1602" s="128" t="s">
        <v>77</v>
      </c>
      <c r="E1602" s="128" t="s">
        <v>135</v>
      </c>
      <c r="F1602" s="128">
        <v>0</v>
      </c>
      <c r="G1602" s="128">
        <v>0</v>
      </c>
      <c r="H1602" s="128">
        <v>0</v>
      </c>
      <c r="I1602" s="128">
        <v>0</v>
      </c>
    </row>
    <row r="1603" spans="1:9" ht="13.5">
      <c r="A1603" s="128">
        <v>1999</v>
      </c>
      <c r="B1603" s="128" t="s">
        <v>131</v>
      </c>
      <c r="C1603" s="128" t="s">
        <v>27</v>
      </c>
      <c r="D1603" s="128" t="s">
        <v>79</v>
      </c>
      <c r="E1603" s="128" t="s">
        <v>132</v>
      </c>
      <c r="F1603" s="128">
        <v>0</v>
      </c>
      <c r="G1603" s="128">
        <v>0</v>
      </c>
      <c r="H1603" s="128">
        <v>0</v>
      </c>
      <c r="I1603" s="128">
        <v>0</v>
      </c>
    </row>
    <row r="1604" spans="1:9" ht="13.5">
      <c r="A1604" s="128">
        <v>1999</v>
      </c>
      <c r="B1604" s="128" t="s">
        <v>131</v>
      </c>
      <c r="C1604" s="128" t="s">
        <v>27</v>
      </c>
      <c r="D1604" s="128" t="s">
        <v>79</v>
      </c>
      <c r="E1604" s="128" t="s">
        <v>133</v>
      </c>
      <c r="F1604" s="128">
        <v>0</v>
      </c>
      <c r="G1604" s="128">
        <v>0</v>
      </c>
      <c r="H1604" s="128">
        <v>0</v>
      </c>
      <c r="I1604" s="128">
        <v>0</v>
      </c>
    </row>
    <row r="1605" spans="1:9" ht="13.5">
      <c r="A1605" s="128">
        <v>1999</v>
      </c>
      <c r="B1605" s="128" t="s">
        <v>131</v>
      </c>
      <c r="C1605" s="128" t="s">
        <v>27</v>
      </c>
      <c r="D1605" s="128" t="s">
        <v>79</v>
      </c>
      <c r="E1605" s="128" t="s">
        <v>134</v>
      </c>
      <c r="F1605" s="128">
        <v>0</v>
      </c>
      <c r="G1605" s="128">
        <v>0</v>
      </c>
      <c r="H1605" s="128">
        <v>0</v>
      </c>
      <c r="I1605" s="128">
        <v>0</v>
      </c>
    </row>
    <row r="1606" spans="1:9" ht="13.5">
      <c r="A1606" s="128">
        <v>1999</v>
      </c>
      <c r="B1606" s="128" t="s">
        <v>131</v>
      </c>
      <c r="C1606" s="128" t="s">
        <v>27</v>
      </c>
      <c r="D1606" s="128" t="s">
        <v>79</v>
      </c>
      <c r="E1606" s="128" t="s">
        <v>135</v>
      </c>
      <c r="F1606" s="128">
        <v>0</v>
      </c>
      <c r="G1606" s="128">
        <v>0</v>
      </c>
      <c r="H1606" s="128">
        <v>0</v>
      </c>
      <c r="I1606" s="128">
        <v>0</v>
      </c>
    </row>
    <row r="1607" spans="1:9" ht="13.5">
      <c r="A1607" s="128">
        <v>1999</v>
      </c>
      <c r="B1607" s="128" t="s">
        <v>131</v>
      </c>
      <c r="C1607" s="128" t="s">
        <v>27</v>
      </c>
      <c r="D1607" s="128" t="s">
        <v>79</v>
      </c>
      <c r="E1607" s="128" t="s">
        <v>136</v>
      </c>
      <c r="F1607" s="128">
        <v>0</v>
      </c>
      <c r="G1607" s="128">
        <v>0</v>
      </c>
      <c r="H1607" s="128">
        <v>0</v>
      </c>
      <c r="I1607" s="128">
        <v>0</v>
      </c>
    </row>
    <row r="1608" spans="1:9" ht="13.5">
      <c r="A1608" s="128">
        <v>1999</v>
      </c>
      <c r="B1608" s="128" t="s">
        <v>131</v>
      </c>
      <c r="C1608" s="128" t="s">
        <v>27</v>
      </c>
      <c r="D1608" s="128" t="s">
        <v>76</v>
      </c>
      <c r="E1608" s="128" t="s">
        <v>132</v>
      </c>
      <c r="F1608" s="128">
        <v>0</v>
      </c>
      <c r="G1608" s="128">
        <v>0</v>
      </c>
      <c r="H1608" s="128">
        <v>0</v>
      </c>
      <c r="I1608" s="128">
        <v>0</v>
      </c>
    </row>
    <row r="1609" spans="1:9" ht="13.5">
      <c r="A1609" s="128">
        <v>1999</v>
      </c>
      <c r="B1609" s="128" t="s">
        <v>131</v>
      </c>
      <c r="C1609" s="128" t="s">
        <v>27</v>
      </c>
      <c r="D1609" s="128" t="s">
        <v>76</v>
      </c>
      <c r="E1609" s="128" t="s">
        <v>133</v>
      </c>
      <c r="F1609" s="128">
        <v>0</v>
      </c>
      <c r="G1609" s="128">
        <v>0</v>
      </c>
      <c r="H1609" s="128">
        <v>0</v>
      </c>
      <c r="I1609" s="128">
        <v>0</v>
      </c>
    </row>
    <row r="1610" spans="1:9" ht="13.5">
      <c r="A1610" s="128">
        <v>1999</v>
      </c>
      <c r="B1610" s="128" t="s">
        <v>131</v>
      </c>
      <c r="C1610" s="128" t="s">
        <v>27</v>
      </c>
      <c r="D1610" s="128" t="s">
        <v>76</v>
      </c>
      <c r="E1610" s="128" t="s">
        <v>134</v>
      </c>
      <c r="F1610" s="128">
        <v>0</v>
      </c>
      <c r="G1610" s="128">
        <v>0</v>
      </c>
      <c r="H1610" s="128">
        <v>0</v>
      </c>
      <c r="I1610" s="128">
        <v>0</v>
      </c>
    </row>
    <row r="1611" spans="1:9" ht="13.5">
      <c r="A1611" s="128">
        <v>1999</v>
      </c>
      <c r="B1611" s="128" t="s">
        <v>131</v>
      </c>
      <c r="C1611" s="128" t="s">
        <v>27</v>
      </c>
      <c r="D1611" s="128" t="s">
        <v>76</v>
      </c>
      <c r="E1611" s="128" t="s">
        <v>135</v>
      </c>
      <c r="F1611" s="128">
        <v>0</v>
      </c>
      <c r="G1611" s="128">
        <v>0</v>
      </c>
      <c r="H1611" s="128">
        <v>0</v>
      </c>
      <c r="I1611" s="128">
        <v>0</v>
      </c>
    </row>
    <row r="1612" spans="1:9" ht="13.5">
      <c r="A1612" s="128">
        <v>1999</v>
      </c>
      <c r="B1612" s="128" t="s">
        <v>131</v>
      </c>
      <c r="C1612" s="128" t="s">
        <v>27</v>
      </c>
      <c r="D1612" s="128" t="s">
        <v>76</v>
      </c>
      <c r="E1612" s="128" t="s">
        <v>136</v>
      </c>
      <c r="F1612" s="128">
        <v>0</v>
      </c>
      <c r="G1612" s="128">
        <v>0</v>
      </c>
      <c r="H1612" s="128">
        <v>0</v>
      </c>
      <c r="I1612" s="128">
        <v>0</v>
      </c>
    </row>
    <row r="1613" spans="1:9" ht="13.5">
      <c r="A1613" s="128">
        <v>1999</v>
      </c>
      <c r="B1613" s="128" t="s">
        <v>131</v>
      </c>
      <c r="C1613" s="128" t="s">
        <v>22</v>
      </c>
      <c r="D1613" s="128" t="s">
        <v>77</v>
      </c>
      <c r="E1613" s="128" t="s">
        <v>132</v>
      </c>
      <c r="F1613" s="128">
        <v>0</v>
      </c>
      <c r="G1613" s="128">
        <v>0</v>
      </c>
      <c r="H1613" s="128">
        <v>0</v>
      </c>
      <c r="I1613" s="128">
        <v>0</v>
      </c>
    </row>
    <row r="1614" spans="1:9" ht="13.5">
      <c r="A1614" s="128">
        <v>1999</v>
      </c>
      <c r="B1614" s="128" t="s">
        <v>131</v>
      </c>
      <c r="C1614" s="128" t="s">
        <v>22</v>
      </c>
      <c r="D1614" s="128" t="s">
        <v>77</v>
      </c>
      <c r="E1614" s="128" t="s">
        <v>133</v>
      </c>
      <c r="F1614" s="128">
        <v>0</v>
      </c>
      <c r="G1614" s="128">
        <v>0</v>
      </c>
      <c r="H1614" s="128">
        <v>0</v>
      </c>
      <c r="I1614" s="128">
        <v>0</v>
      </c>
    </row>
    <row r="1615" spans="1:9" ht="13.5">
      <c r="A1615" s="128">
        <v>1999</v>
      </c>
      <c r="B1615" s="128" t="s">
        <v>131</v>
      </c>
      <c r="C1615" s="128" t="s">
        <v>22</v>
      </c>
      <c r="D1615" s="128" t="s">
        <v>77</v>
      </c>
      <c r="E1615" s="128" t="s">
        <v>134</v>
      </c>
      <c r="F1615" s="128">
        <v>0</v>
      </c>
      <c r="G1615" s="128">
        <v>0</v>
      </c>
      <c r="H1615" s="128">
        <v>0</v>
      </c>
      <c r="I1615" s="128">
        <v>0</v>
      </c>
    </row>
    <row r="1616" spans="1:9" ht="13.5">
      <c r="A1616" s="128">
        <v>1999</v>
      </c>
      <c r="B1616" s="128" t="s">
        <v>131</v>
      </c>
      <c r="C1616" s="128" t="s">
        <v>22</v>
      </c>
      <c r="D1616" s="128" t="s">
        <v>77</v>
      </c>
      <c r="E1616" s="128" t="s">
        <v>135</v>
      </c>
      <c r="F1616" s="128">
        <v>0</v>
      </c>
      <c r="G1616" s="128">
        <v>0</v>
      </c>
      <c r="H1616" s="128">
        <v>0</v>
      </c>
      <c r="I1616" s="128">
        <v>0</v>
      </c>
    </row>
    <row r="1617" spans="1:9" ht="13.5">
      <c r="A1617" s="128">
        <v>1999</v>
      </c>
      <c r="B1617" s="128" t="s">
        <v>131</v>
      </c>
      <c r="C1617" s="128" t="s">
        <v>22</v>
      </c>
      <c r="D1617" s="128" t="s">
        <v>79</v>
      </c>
      <c r="E1617" s="128" t="s">
        <v>132</v>
      </c>
      <c r="F1617" s="128">
        <v>0</v>
      </c>
      <c r="G1617" s="128">
        <v>0</v>
      </c>
      <c r="H1617" s="128">
        <v>0</v>
      </c>
      <c r="I1617" s="128">
        <v>0</v>
      </c>
    </row>
    <row r="1618" spans="1:9" ht="13.5">
      <c r="A1618" s="128">
        <v>1999</v>
      </c>
      <c r="B1618" s="128" t="s">
        <v>131</v>
      </c>
      <c r="C1618" s="128" t="s">
        <v>22</v>
      </c>
      <c r="D1618" s="128" t="s">
        <v>79</v>
      </c>
      <c r="E1618" s="128" t="s">
        <v>133</v>
      </c>
      <c r="F1618" s="128">
        <v>0</v>
      </c>
      <c r="G1618" s="128">
        <v>0</v>
      </c>
      <c r="H1618" s="128">
        <v>0</v>
      </c>
      <c r="I1618" s="128">
        <v>0</v>
      </c>
    </row>
    <row r="1619" spans="1:9" ht="13.5">
      <c r="A1619" s="128">
        <v>1999</v>
      </c>
      <c r="B1619" s="128" t="s">
        <v>131</v>
      </c>
      <c r="C1619" s="128" t="s">
        <v>22</v>
      </c>
      <c r="D1619" s="128" t="s">
        <v>79</v>
      </c>
      <c r="E1619" s="128" t="s">
        <v>134</v>
      </c>
      <c r="F1619" s="128">
        <v>0</v>
      </c>
      <c r="G1619" s="128">
        <v>0</v>
      </c>
      <c r="H1619" s="128">
        <v>0</v>
      </c>
      <c r="I1619" s="128">
        <v>0</v>
      </c>
    </row>
    <row r="1620" spans="1:9" ht="13.5">
      <c r="A1620" s="128">
        <v>1999</v>
      </c>
      <c r="B1620" s="128" t="s">
        <v>131</v>
      </c>
      <c r="C1620" s="128" t="s">
        <v>22</v>
      </c>
      <c r="D1620" s="128" t="s">
        <v>79</v>
      </c>
      <c r="E1620" s="128" t="s">
        <v>135</v>
      </c>
      <c r="F1620" s="128">
        <v>0</v>
      </c>
      <c r="G1620" s="128">
        <v>0</v>
      </c>
      <c r="H1620" s="128">
        <v>0</v>
      </c>
      <c r="I1620" s="128">
        <v>0</v>
      </c>
    </row>
    <row r="1621" spans="1:9" ht="13.5">
      <c r="A1621" s="128">
        <v>1999</v>
      </c>
      <c r="B1621" s="128" t="s">
        <v>131</v>
      </c>
      <c r="C1621" s="128" t="s">
        <v>22</v>
      </c>
      <c r="D1621" s="128" t="s">
        <v>79</v>
      </c>
      <c r="E1621" s="128" t="s">
        <v>136</v>
      </c>
      <c r="F1621" s="128">
        <v>0</v>
      </c>
      <c r="G1621" s="128">
        <v>0</v>
      </c>
      <c r="H1621" s="128">
        <v>0</v>
      </c>
      <c r="I1621" s="128">
        <v>0</v>
      </c>
    </row>
    <row r="1622" spans="1:9" ht="13.5">
      <c r="A1622" s="128">
        <v>1999</v>
      </c>
      <c r="B1622" s="128" t="s">
        <v>131</v>
      </c>
      <c r="C1622" s="128" t="s">
        <v>22</v>
      </c>
      <c r="D1622" s="128" t="s">
        <v>76</v>
      </c>
      <c r="E1622" s="128" t="s">
        <v>132</v>
      </c>
      <c r="F1622" s="128">
        <v>0</v>
      </c>
      <c r="G1622" s="128">
        <v>0</v>
      </c>
      <c r="H1622" s="128">
        <v>0</v>
      </c>
      <c r="I1622" s="128">
        <v>0</v>
      </c>
    </row>
    <row r="1623" spans="1:9" ht="13.5">
      <c r="A1623" s="128">
        <v>1999</v>
      </c>
      <c r="B1623" s="128" t="s">
        <v>131</v>
      </c>
      <c r="C1623" s="128" t="s">
        <v>22</v>
      </c>
      <c r="D1623" s="128" t="s">
        <v>76</v>
      </c>
      <c r="E1623" s="128" t="s">
        <v>133</v>
      </c>
      <c r="F1623" s="128">
        <v>0</v>
      </c>
      <c r="G1623" s="128">
        <v>0</v>
      </c>
      <c r="H1623" s="128">
        <v>0</v>
      </c>
      <c r="I1623" s="128">
        <v>0</v>
      </c>
    </row>
    <row r="1624" spans="1:9" ht="13.5">
      <c r="A1624" s="128">
        <v>1999</v>
      </c>
      <c r="B1624" s="128" t="s">
        <v>131</v>
      </c>
      <c r="C1624" s="128" t="s">
        <v>22</v>
      </c>
      <c r="D1624" s="128" t="s">
        <v>76</v>
      </c>
      <c r="E1624" s="128" t="s">
        <v>134</v>
      </c>
      <c r="F1624" s="128">
        <v>0</v>
      </c>
      <c r="G1624" s="128">
        <v>0</v>
      </c>
      <c r="H1624" s="128">
        <v>0</v>
      </c>
      <c r="I1624" s="128">
        <v>0</v>
      </c>
    </row>
    <row r="1625" spans="1:9" ht="13.5">
      <c r="A1625" s="128">
        <v>1999</v>
      </c>
      <c r="B1625" s="128" t="s">
        <v>131</v>
      </c>
      <c r="C1625" s="128" t="s">
        <v>22</v>
      </c>
      <c r="D1625" s="128" t="s">
        <v>76</v>
      </c>
      <c r="E1625" s="128" t="s">
        <v>135</v>
      </c>
      <c r="F1625" s="128">
        <v>0</v>
      </c>
      <c r="G1625" s="128">
        <v>0</v>
      </c>
      <c r="H1625" s="128">
        <v>0</v>
      </c>
      <c r="I1625" s="128">
        <v>0</v>
      </c>
    </row>
    <row r="1626" spans="1:9" ht="13.5">
      <c r="A1626" s="128">
        <v>1999</v>
      </c>
      <c r="B1626" s="128" t="s">
        <v>131</v>
      </c>
      <c r="C1626" s="128" t="s">
        <v>22</v>
      </c>
      <c r="D1626" s="128" t="s">
        <v>76</v>
      </c>
      <c r="E1626" s="128" t="s">
        <v>136</v>
      </c>
      <c r="F1626" s="128">
        <v>0</v>
      </c>
      <c r="G1626" s="128">
        <v>0</v>
      </c>
      <c r="H1626" s="128">
        <v>0</v>
      </c>
      <c r="I1626" s="128">
        <v>0</v>
      </c>
    </row>
    <row r="1627" spans="1:9" ht="13.5">
      <c r="A1627" s="128">
        <v>1999</v>
      </c>
      <c r="B1627" s="128" t="s">
        <v>131</v>
      </c>
      <c r="C1627" s="128" t="s">
        <v>23</v>
      </c>
      <c r="D1627" s="128" t="s">
        <v>77</v>
      </c>
      <c r="E1627" s="128" t="s">
        <v>132</v>
      </c>
      <c r="F1627" s="128">
        <v>0</v>
      </c>
      <c r="G1627" s="128">
        <v>0</v>
      </c>
      <c r="H1627" s="128">
        <v>0</v>
      </c>
      <c r="I1627" s="128">
        <v>0</v>
      </c>
    </row>
    <row r="1628" spans="1:9" ht="13.5">
      <c r="A1628" s="128">
        <v>1999</v>
      </c>
      <c r="B1628" s="128" t="s">
        <v>131</v>
      </c>
      <c r="C1628" s="128" t="s">
        <v>23</v>
      </c>
      <c r="D1628" s="128" t="s">
        <v>77</v>
      </c>
      <c r="E1628" s="128" t="s">
        <v>133</v>
      </c>
      <c r="F1628" s="128">
        <v>0</v>
      </c>
      <c r="G1628" s="128">
        <v>0</v>
      </c>
      <c r="H1628" s="128">
        <v>0</v>
      </c>
      <c r="I1628" s="128">
        <v>0</v>
      </c>
    </row>
    <row r="1629" spans="1:9" ht="13.5">
      <c r="A1629" s="128">
        <v>1999</v>
      </c>
      <c r="B1629" s="128" t="s">
        <v>131</v>
      </c>
      <c r="C1629" s="128" t="s">
        <v>23</v>
      </c>
      <c r="D1629" s="128" t="s">
        <v>77</v>
      </c>
      <c r="E1629" s="128" t="s">
        <v>134</v>
      </c>
      <c r="F1629" s="128">
        <v>0</v>
      </c>
      <c r="G1629" s="128">
        <v>0</v>
      </c>
      <c r="H1629" s="128">
        <v>0</v>
      </c>
      <c r="I1629" s="128">
        <v>0</v>
      </c>
    </row>
    <row r="1630" spans="1:9" ht="13.5">
      <c r="A1630" s="128">
        <v>1999</v>
      </c>
      <c r="B1630" s="128" t="s">
        <v>131</v>
      </c>
      <c r="C1630" s="128" t="s">
        <v>23</v>
      </c>
      <c r="D1630" s="128" t="s">
        <v>77</v>
      </c>
      <c r="E1630" s="128" t="s">
        <v>135</v>
      </c>
      <c r="F1630" s="128">
        <v>0</v>
      </c>
      <c r="G1630" s="128">
        <v>0</v>
      </c>
      <c r="H1630" s="128">
        <v>0</v>
      </c>
      <c r="I1630" s="128">
        <v>0</v>
      </c>
    </row>
    <row r="1631" spans="1:9" ht="13.5">
      <c r="A1631" s="128">
        <v>1999</v>
      </c>
      <c r="B1631" s="128" t="s">
        <v>131</v>
      </c>
      <c r="C1631" s="128" t="s">
        <v>23</v>
      </c>
      <c r="D1631" s="128" t="s">
        <v>79</v>
      </c>
      <c r="E1631" s="128" t="s">
        <v>132</v>
      </c>
      <c r="F1631" s="128">
        <v>0</v>
      </c>
      <c r="G1631" s="128">
        <v>0</v>
      </c>
      <c r="H1631" s="128">
        <v>0</v>
      </c>
      <c r="I1631" s="128">
        <v>0</v>
      </c>
    </row>
    <row r="1632" spans="1:9" ht="13.5">
      <c r="A1632" s="128">
        <v>1999</v>
      </c>
      <c r="B1632" s="128" t="s">
        <v>131</v>
      </c>
      <c r="C1632" s="128" t="s">
        <v>23</v>
      </c>
      <c r="D1632" s="128" t="s">
        <v>79</v>
      </c>
      <c r="E1632" s="128" t="s">
        <v>133</v>
      </c>
      <c r="F1632" s="128">
        <v>0</v>
      </c>
      <c r="G1632" s="128">
        <v>0</v>
      </c>
      <c r="H1632" s="128">
        <v>0</v>
      </c>
      <c r="I1632" s="128">
        <v>0</v>
      </c>
    </row>
    <row r="1633" spans="1:9" ht="13.5">
      <c r="A1633" s="128">
        <v>1999</v>
      </c>
      <c r="B1633" s="128" t="s">
        <v>131</v>
      </c>
      <c r="C1633" s="128" t="s">
        <v>23</v>
      </c>
      <c r="D1633" s="128" t="s">
        <v>79</v>
      </c>
      <c r="E1633" s="128" t="s">
        <v>134</v>
      </c>
      <c r="F1633" s="128">
        <v>0</v>
      </c>
      <c r="G1633" s="128">
        <v>0</v>
      </c>
      <c r="H1633" s="128">
        <v>0</v>
      </c>
      <c r="I1633" s="128">
        <v>0</v>
      </c>
    </row>
    <row r="1634" spans="1:9" ht="13.5">
      <c r="A1634" s="128">
        <v>1999</v>
      </c>
      <c r="B1634" s="128" t="s">
        <v>131</v>
      </c>
      <c r="C1634" s="128" t="s">
        <v>23</v>
      </c>
      <c r="D1634" s="128" t="s">
        <v>79</v>
      </c>
      <c r="E1634" s="128" t="s">
        <v>135</v>
      </c>
      <c r="F1634" s="128">
        <v>0</v>
      </c>
      <c r="G1634" s="128">
        <v>0</v>
      </c>
      <c r="H1634" s="128">
        <v>0</v>
      </c>
      <c r="I1634" s="128">
        <v>0</v>
      </c>
    </row>
    <row r="1635" spans="1:9" ht="13.5">
      <c r="A1635" s="128">
        <v>1999</v>
      </c>
      <c r="B1635" s="128" t="s">
        <v>131</v>
      </c>
      <c r="C1635" s="128" t="s">
        <v>23</v>
      </c>
      <c r="D1635" s="128" t="s">
        <v>79</v>
      </c>
      <c r="E1635" s="128" t="s">
        <v>136</v>
      </c>
      <c r="F1635" s="128">
        <v>0</v>
      </c>
      <c r="G1635" s="128">
        <v>0</v>
      </c>
      <c r="H1635" s="128">
        <v>0</v>
      </c>
      <c r="I1635" s="128">
        <v>0</v>
      </c>
    </row>
    <row r="1636" spans="1:9" ht="13.5">
      <c r="A1636" s="128">
        <v>1999</v>
      </c>
      <c r="B1636" s="128" t="s">
        <v>131</v>
      </c>
      <c r="C1636" s="128" t="s">
        <v>23</v>
      </c>
      <c r="D1636" s="128" t="s">
        <v>76</v>
      </c>
      <c r="E1636" s="128" t="s">
        <v>132</v>
      </c>
      <c r="F1636" s="128">
        <v>0</v>
      </c>
      <c r="G1636" s="128">
        <v>0</v>
      </c>
      <c r="H1636" s="128">
        <v>0</v>
      </c>
      <c r="I1636" s="128">
        <v>0</v>
      </c>
    </row>
    <row r="1637" spans="1:9" ht="13.5">
      <c r="A1637" s="128">
        <v>1999</v>
      </c>
      <c r="B1637" s="128" t="s">
        <v>131</v>
      </c>
      <c r="C1637" s="128" t="s">
        <v>23</v>
      </c>
      <c r="D1637" s="128" t="s">
        <v>76</v>
      </c>
      <c r="E1637" s="128" t="s">
        <v>133</v>
      </c>
      <c r="F1637" s="128">
        <v>0</v>
      </c>
      <c r="G1637" s="128">
        <v>0</v>
      </c>
      <c r="H1637" s="128">
        <v>0</v>
      </c>
      <c r="I1637" s="128">
        <v>0</v>
      </c>
    </row>
    <row r="1638" spans="1:9" ht="13.5">
      <c r="A1638" s="128">
        <v>1999</v>
      </c>
      <c r="B1638" s="128" t="s">
        <v>131</v>
      </c>
      <c r="C1638" s="128" t="s">
        <v>23</v>
      </c>
      <c r="D1638" s="128" t="s">
        <v>76</v>
      </c>
      <c r="E1638" s="128" t="s">
        <v>134</v>
      </c>
      <c r="F1638" s="128">
        <v>0</v>
      </c>
      <c r="G1638" s="128">
        <v>0</v>
      </c>
      <c r="H1638" s="128">
        <v>0</v>
      </c>
      <c r="I1638" s="128">
        <v>0</v>
      </c>
    </row>
    <row r="1639" spans="1:9" ht="13.5">
      <c r="A1639" s="128">
        <v>1999</v>
      </c>
      <c r="B1639" s="128" t="s">
        <v>131</v>
      </c>
      <c r="C1639" s="128" t="s">
        <v>23</v>
      </c>
      <c r="D1639" s="128" t="s">
        <v>76</v>
      </c>
      <c r="E1639" s="128" t="s">
        <v>135</v>
      </c>
      <c r="F1639" s="128">
        <v>0</v>
      </c>
      <c r="G1639" s="128">
        <v>0</v>
      </c>
      <c r="H1639" s="128">
        <v>0</v>
      </c>
      <c r="I1639" s="128">
        <v>0</v>
      </c>
    </row>
    <row r="1640" spans="1:9" ht="13.5">
      <c r="A1640" s="128">
        <v>1999</v>
      </c>
      <c r="B1640" s="128" t="s">
        <v>131</v>
      </c>
      <c r="C1640" s="128" t="s">
        <v>23</v>
      </c>
      <c r="D1640" s="128" t="s">
        <v>76</v>
      </c>
      <c r="E1640" s="128" t="s">
        <v>136</v>
      </c>
      <c r="F1640" s="128">
        <v>0</v>
      </c>
      <c r="G1640" s="128">
        <v>0</v>
      </c>
      <c r="H1640" s="128">
        <v>0</v>
      </c>
      <c r="I1640" s="128">
        <v>0</v>
      </c>
    </row>
    <row r="1641" spans="1:9" ht="13.5">
      <c r="A1641" s="128">
        <v>1999</v>
      </c>
      <c r="B1641" s="128" t="s">
        <v>131</v>
      </c>
      <c r="C1641" s="128" t="s">
        <v>25</v>
      </c>
      <c r="D1641" s="128" t="s">
        <v>77</v>
      </c>
      <c r="E1641" s="128" t="s">
        <v>132</v>
      </c>
      <c r="F1641" s="128">
        <v>0</v>
      </c>
      <c r="G1641" s="128">
        <v>0</v>
      </c>
      <c r="H1641" s="128">
        <v>0</v>
      </c>
      <c r="I1641" s="128">
        <v>0</v>
      </c>
    </row>
    <row r="1642" spans="1:9" ht="13.5">
      <c r="A1642" s="128">
        <v>1999</v>
      </c>
      <c r="B1642" s="128" t="s">
        <v>131</v>
      </c>
      <c r="C1642" s="128" t="s">
        <v>25</v>
      </c>
      <c r="D1642" s="128" t="s">
        <v>77</v>
      </c>
      <c r="E1642" s="128" t="s">
        <v>133</v>
      </c>
      <c r="F1642" s="128">
        <v>0</v>
      </c>
      <c r="G1642" s="128">
        <v>0</v>
      </c>
      <c r="H1642" s="128">
        <v>0</v>
      </c>
      <c r="I1642" s="128">
        <v>0</v>
      </c>
    </row>
    <row r="1643" spans="1:9" ht="13.5">
      <c r="A1643" s="128">
        <v>1999</v>
      </c>
      <c r="B1643" s="128" t="s">
        <v>131</v>
      </c>
      <c r="C1643" s="128" t="s">
        <v>25</v>
      </c>
      <c r="D1643" s="128" t="s">
        <v>77</v>
      </c>
      <c r="E1643" s="128" t="s">
        <v>134</v>
      </c>
      <c r="F1643" s="128">
        <v>0</v>
      </c>
      <c r="G1643" s="128">
        <v>0</v>
      </c>
      <c r="H1643" s="128">
        <v>0</v>
      </c>
      <c r="I1643" s="128">
        <v>0</v>
      </c>
    </row>
    <row r="1644" spans="1:9" ht="13.5">
      <c r="A1644" s="128">
        <v>1999</v>
      </c>
      <c r="B1644" s="128" t="s">
        <v>131</v>
      </c>
      <c r="C1644" s="128" t="s">
        <v>25</v>
      </c>
      <c r="D1644" s="128" t="s">
        <v>77</v>
      </c>
      <c r="E1644" s="128" t="s">
        <v>135</v>
      </c>
      <c r="F1644" s="128">
        <v>0</v>
      </c>
      <c r="G1644" s="128">
        <v>0</v>
      </c>
      <c r="H1644" s="128">
        <v>0</v>
      </c>
      <c r="I1644" s="128">
        <v>0</v>
      </c>
    </row>
    <row r="1645" spans="1:9" ht="13.5">
      <c r="A1645" s="128">
        <v>1999</v>
      </c>
      <c r="B1645" s="128" t="s">
        <v>131</v>
      </c>
      <c r="C1645" s="128" t="s">
        <v>25</v>
      </c>
      <c r="D1645" s="128" t="s">
        <v>79</v>
      </c>
      <c r="E1645" s="128" t="s">
        <v>132</v>
      </c>
      <c r="F1645" s="128">
        <v>0</v>
      </c>
      <c r="G1645" s="128">
        <v>0</v>
      </c>
      <c r="H1645" s="128">
        <v>0</v>
      </c>
      <c r="I1645" s="128">
        <v>0</v>
      </c>
    </row>
    <row r="1646" spans="1:9" ht="13.5">
      <c r="A1646" s="128">
        <v>1999</v>
      </c>
      <c r="B1646" s="128" t="s">
        <v>131</v>
      </c>
      <c r="C1646" s="128" t="s">
        <v>25</v>
      </c>
      <c r="D1646" s="128" t="s">
        <v>79</v>
      </c>
      <c r="E1646" s="128" t="s">
        <v>133</v>
      </c>
      <c r="F1646" s="128">
        <v>0</v>
      </c>
      <c r="G1646" s="128">
        <v>0</v>
      </c>
      <c r="H1646" s="128">
        <v>0</v>
      </c>
      <c r="I1646" s="128">
        <v>0</v>
      </c>
    </row>
    <row r="1647" spans="1:9" ht="13.5">
      <c r="A1647" s="128">
        <v>1999</v>
      </c>
      <c r="B1647" s="128" t="s">
        <v>131</v>
      </c>
      <c r="C1647" s="128" t="s">
        <v>25</v>
      </c>
      <c r="D1647" s="128" t="s">
        <v>79</v>
      </c>
      <c r="E1647" s="128" t="s">
        <v>134</v>
      </c>
      <c r="F1647" s="128">
        <v>0</v>
      </c>
      <c r="G1647" s="128">
        <v>0</v>
      </c>
      <c r="H1647" s="128">
        <v>0</v>
      </c>
      <c r="I1647" s="128">
        <v>0</v>
      </c>
    </row>
    <row r="1648" spans="1:9" ht="13.5">
      <c r="A1648" s="128">
        <v>1999</v>
      </c>
      <c r="B1648" s="128" t="s">
        <v>131</v>
      </c>
      <c r="C1648" s="128" t="s">
        <v>25</v>
      </c>
      <c r="D1648" s="128" t="s">
        <v>79</v>
      </c>
      <c r="E1648" s="128" t="s">
        <v>135</v>
      </c>
      <c r="F1648" s="128">
        <v>0</v>
      </c>
      <c r="G1648" s="128">
        <v>0</v>
      </c>
      <c r="H1648" s="128">
        <v>0</v>
      </c>
      <c r="I1648" s="128">
        <v>0</v>
      </c>
    </row>
    <row r="1649" spans="1:9" ht="13.5">
      <c r="A1649" s="128">
        <v>1999</v>
      </c>
      <c r="B1649" s="128" t="s">
        <v>131</v>
      </c>
      <c r="C1649" s="128" t="s">
        <v>25</v>
      </c>
      <c r="D1649" s="128" t="s">
        <v>79</v>
      </c>
      <c r="E1649" s="128" t="s">
        <v>136</v>
      </c>
      <c r="F1649" s="128">
        <v>0</v>
      </c>
      <c r="G1649" s="128">
        <v>0</v>
      </c>
      <c r="H1649" s="128">
        <v>0</v>
      </c>
      <c r="I1649" s="128">
        <v>0</v>
      </c>
    </row>
    <row r="1650" spans="1:9" ht="13.5">
      <c r="A1650" s="128">
        <v>1999</v>
      </c>
      <c r="B1650" s="128" t="s">
        <v>131</v>
      </c>
      <c r="C1650" s="128" t="s">
        <v>25</v>
      </c>
      <c r="D1650" s="128" t="s">
        <v>76</v>
      </c>
      <c r="E1650" s="128" t="s">
        <v>132</v>
      </c>
      <c r="F1650" s="128">
        <v>0</v>
      </c>
      <c r="G1650" s="128">
        <v>0</v>
      </c>
      <c r="H1650" s="128">
        <v>0</v>
      </c>
      <c r="I1650" s="128">
        <v>0</v>
      </c>
    </row>
    <row r="1651" spans="1:9" ht="13.5">
      <c r="A1651" s="128">
        <v>1999</v>
      </c>
      <c r="B1651" s="128" t="s">
        <v>131</v>
      </c>
      <c r="C1651" s="128" t="s">
        <v>25</v>
      </c>
      <c r="D1651" s="128" t="s">
        <v>76</v>
      </c>
      <c r="E1651" s="128" t="s">
        <v>133</v>
      </c>
      <c r="F1651" s="128">
        <v>0</v>
      </c>
      <c r="G1651" s="128">
        <v>0</v>
      </c>
      <c r="H1651" s="128">
        <v>0</v>
      </c>
      <c r="I1651" s="128">
        <v>0</v>
      </c>
    </row>
    <row r="1652" spans="1:9" ht="13.5">
      <c r="A1652" s="128">
        <v>1999</v>
      </c>
      <c r="B1652" s="128" t="s">
        <v>131</v>
      </c>
      <c r="C1652" s="128" t="s">
        <v>25</v>
      </c>
      <c r="D1652" s="128" t="s">
        <v>76</v>
      </c>
      <c r="E1652" s="128" t="s">
        <v>134</v>
      </c>
      <c r="F1652" s="128">
        <v>0</v>
      </c>
      <c r="G1652" s="128">
        <v>0</v>
      </c>
      <c r="H1652" s="128">
        <v>0</v>
      </c>
      <c r="I1652" s="128">
        <v>0</v>
      </c>
    </row>
    <row r="1653" spans="1:9" ht="13.5">
      <c r="A1653" s="128">
        <v>1999</v>
      </c>
      <c r="B1653" s="128" t="s">
        <v>131</v>
      </c>
      <c r="C1653" s="128" t="s">
        <v>25</v>
      </c>
      <c r="D1653" s="128" t="s">
        <v>76</v>
      </c>
      <c r="E1653" s="128" t="s">
        <v>135</v>
      </c>
      <c r="F1653" s="128">
        <v>0</v>
      </c>
      <c r="G1653" s="128">
        <v>0</v>
      </c>
      <c r="H1653" s="128">
        <v>0</v>
      </c>
      <c r="I1653" s="128">
        <v>0</v>
      </c>
    </row>
    <row r="1654" spans="1:9" ht="13.5">
      <c r="A1654" s="128">
        <v>1999</v>
      </c>
      <c r="B1654" s="128" t="s">
        <v>131</v>
      </c>
      <c r="C1654" s="128" t="s">
        <v>25</v>
      </c>
      <c r="D1654" s="128" t="s">
        <v>76</v>
      </c>
      <c r="E1654" s="128" t="s">
        <v>136</v>
      </c>
      <c r="F1654" s="128">
        <v>0</v>
      </c>
      <c r="G1654" s="128">
        <v>0</v>
      </c>
      <c r="H1654" s="128">
        <v>0</v>
      </c>
      <c r="I1654" s="128">
        <v>0</v>
      </c>
    </row>
    <row r="1655" spans="1:9" ht="13.5">
      <c r="A1655" s="128">
        <v>1999</v>
      </c>
      <c r="B1655" s="128" t="s">
        <v>131</v>
      </c>
      <c r="C1655" s="128" t="s">
        <v>21</v>
      </c>
      <c r="D1655" s="128" t="s">
        <v>77</v>
      </c>
      <c r="E1655" s="128" t="s">
        <v>132</v>
      </c>
      <c r="F1655" s="128">
        <v>0</v>
      </c>
      <c r="G1655" s="128">
        <v>0</v>
      </c>
      <c r="H1655" s="128">
        <v>0</v>
      </c>
      <c r="I1655" s="128">
        <v>0</v>
      </c>
    </row>
    <row r="1656" spans="1:9" ht="13.5">
      <c r="A1656" s="128">
        <v>1999</v>
      </c>
      <c r="B1656" s="128" t="s">
        <v>131</v>
      </c>
      <c r="C1656" s="128" t="s">
        <v>21</v>
      </c>
      <c r="D1656" s="128" t="s">
        <v>77</v>
      </c>
      <c r="E1656" s="128" t="s">
        <v>133</v>
      </c>
      <c r="F1656" s="128">
        <v>0</v>
      </c>
      <c r="G1656" s="128">
        <v>0</v>
      </c>
      <c r="H1656" s="128">
        <v>0</v>
      </c>
      <c r="I1656" s="128">
        <v>0</v>
      </c>
    </row>
    <row r="1657" spans="1:9" ht="13.5">
      <c r="A1657" s="128">
        <v>1999</v>
      </c>
      <c r="B1657" s="128" t="s">
        <v>131</v>
      </c>
      <c r="C1657" s="128" t="s">
        <v>21</v>
      </c>
      <c r="D1657" s="128" t="s">
        <v>77</v>
      </c>
      <c r="E1657" s="128" t="s">
        <v>134</v>
      </c>
      <c r="F1657" s="128">
        <v>0</v>
      </c>
      <c r="G1657" s="128">
        <v>0</v>
      </c>
      <c r="H1657" s="128">
        <v>0</v>
      </c>
      <c r="I1657" s="128">
        <v>0</v>
      </c>
    </row>
    <row r="1658" spans="1:9" ht="13.5">
      <c r="A1658" s="128">
        <v>1999</v>
      </c>
      <c r="B1658" s="128" t="s">
        <v>131</v>
      </c>
      <c r="C1658" s="128" t="s">
        <v>21</v>
      </c>
      <c r="D1658" s="128" t="s">
        <v>77</v>
      </c>
      <c r="E1658" s="128" t="s">
        <v>135</v>
      </c>
      <c r="F1658" s="128">
        <v>0</v>
      </c>
      <c r="G1658" s="128">
        <v>0</v>
      </c>
      <c r="H1658" s="128">
        <v>0</v>
      </c>
      <c r="I1658" s="128">
        <v>0</v>
      </c>
    </row>
    <row r="1659" spans="1:9" ht="13.5">
      <c r="A1659" s="128">
        <v>1999</v>
      </c>
      <c r="B1659" s="128" t="s">
        <v>131</v>
      </c>
      <c r="C1659" s="128" t="s">
        <v>21</v>
      </c>
      <c r="D1659" s="128" t="s">
        <v>79</v>
      </c>
      <c r="E1659" s="128" t="s">
        <v>132</v>
      </c>
      <c r="F1659" s="128">
        <v>0</v>
      </c>
      <c r="G1659" s="128">
        <v>0</v>
      </c>
      <c r="H1659" s="128">
        <v>0</v>
      </c>
      <c r="I1659" s="128">
        <v>0</v>
      </c>
    </row>
    <row r="1660" spans="1:9" ht="13.5">
      <c r="A1660" s="128">
        <v>1999</v>
      </c>
      <c r="B1660" s="128" t="s">
        <v>131</v>
      </c>
      <c r="C1660" s="128" t="s">
        <v>21</v>
      </c>
      <c r="D1660" s="128" t="s">
        <v>79</v>
      </c>
      <c r="E1660" s="128" t="s">
        <v>133</v>
      </c>
      <c r="F1660" s="128">
        <v>0</v>
      </c>
      <c r="G1660" s="128">
        <v>0</v>
      </c>
      <c r="H1660" s="128">
        <v>0</v>
      </c>
      <c r="I1660" s="128">
        <v>0</v>
      </c>
    </row>
    <row r="1661" spans="1:9" ht="13.5">
      <c r="A1661" s="128">
        <v>1999</v>
      </c>
      <c r="B1661" s="128" t="s">
        <v>131</v>
      </c>
      <c r="C1661" s="128" t="s">
        <v>21</v>
      </c>
      <c r="D1661" s="128" t="s">
        <v>79</v>
      </c>
      <c r="E1661" s="128" t="s">
        <v>134</v>
      </c>
      <c r="F1661" s="128">
        <v>0</v>
      </c>
      <c r="G1661" s="128">
        <v>0</v>
      </c>
      <c r="H1661" s="128">
        <v>0</v>
      </c>
      <c r="I1661" s="128">
        <v>0</v>
      </c>
    </row>
    <row r="1662" spans="1:9" ht="13.5">
      <c r="A1662" s="128">
        <v>1999</v>
      </c>
      <c r="B1662" s="128" t="s">
        <v>131</v>
      </c>
      <c r="C1662" s="128" t="s">
        <v>21</v>
      </c>
      <c r="D1662" s="128" t="s">
        <v>79</v>
      </c>
      <c r="E1662" s="128" t="s">
        <v>135</v>
      </c>
      <c r="F1662" s="128">
        <v>0</v>
      </c>
      <c r="G1662" s="128">
        <v>0</v>
      </c>
      <c r="H1662" s="128">
        <v>0</v>
      </c>
      <c r="I1662" s="128">
        <v>0</v>
      </c>
    </row>
    <row r="1663" spans="1:9" ht="13.5">
      <c r="A1663" s="128">
        <v>1999</v>
      </c>
      <c r="B1663" s="128" t="s">
        <v>131</v>
      </c>
      <c r="C1663" s="128" t="s">
        <v>21</v>
      </c>
      <c r="D1663" s="128" t="s">
        <v>79</v>
      </c>
      <c r="E1663" s="128" t="s">
        <v>136</v>
      </c>
      <c r="F1663" s="128">
        <v>0</v>
      </c>
      <c r="G1663" s="128">
        <v>0</v>
      </c>
      <c r="H1663" s="128">
        <v>0</v>
      </c>
      <c r="I1663" s="128">
        <v>0</v>
      </c>
    </row>
    <row r="1664" spans="1:9" ht="13.5">
      <c r="A1664" s="128">
        <v>1999</v>
      </c>
      <c r="B1664" s="128" t="s">
        <v>131</v>
      </c>
      <c r="C1664" s="128" t="s">
        <v>21</v>
      </c>
      <c r="D1664" s="128" t="s">
        <v>76</v>
      </c>
      <c r="E1664" s="128" t="s">
        <v>132</v>
      </c>
      <c r="F1664" s="128">
        <v>0</v>
      </c>
      <c r="G1664" s="128">
        <v>0</v>
      </c>
      <c r="H1664" s="128">
        <v>0</v>
      </c>
      <c r="I1664" s="128">
        <v>0</v>
      </c>
    </row>
    <row r="1665" spans="1:9" ht="13.5">
      <c r="A1665" s="128">
        <v>1999</v>
      </c>
      <c r="B1665" s="128" t="s">
        <v>131</v>
      </c>
      <c r="C1665" s="128" t="s">
        <v>21</v>
      </c>
      <c r="D1665" s="128" t="s">
        <v>76</v>
      </c>
      <c r="E1665" s="128" t="s">
        <v>133</v>
      </c>
      <c r="F1665" s="128">
        <v>0</v>
      </c>
      <c r="G1665" s="128">
        <v>0</v>
      </c>
      <c r="H1665" s="128">
        <v>0</v>
      </c>
      <c r="I1665" s="128">
        <v>0</v>
      </c>
    </row>
    <row r="1666" spans="1:9" ht="13.5">
      <c r="A1666" s="128">
        <v>1999</v>
      </c>
      <c r="B1666" s="128" t="s">
        <v>131</v>
      </c>
      <c r="C1666" s="128" t="s">
        <v>21</v>
      </c>
      <c r="D1666" s="128" t="s">
        <v>76</v>
      </c>
      <c r="E1666" s="128" t="s">
        <v>134</v>
      </c>
      <c r="F1666" s="128">
        <v>0</v>
      </c>
      <c r="G1666" s="128">
        <v>0</v>
      </c>
      <c r="H1666" s="128">
        <v>0</v>
      </c>
      <c r="I1666" s="128">
        <v>0</v>
      </c>
    </row>
    <row r="1667" spans="1:9" ht="13.5">
      <c r="A1667" s="128">
        <v>1999</v>
      </c>
      <c r="B1667" s="128" t="s">
        <v>131</v>
      </c>
      <c r="C1667" s="128" t="s">
        <v>21</v>
      </c>
      <c r="D1667" s="128" t="s">
        <v>76</v>
      </c>
      <c r="E1667" s="128" t="s">
        <v>135</v>
      </c>
      <c r="F1667" s="128">
        <v>0</v>
      </c>
      <c r="G1667" s="128">
        <v>0</v>
      </c>
      <c r="H1667" s="128">
        <v>0</v>
      </c>
      <c r="I1667" s="128">
        <v>0</v>
      </c>
    </row>
    <row r="1668" spans="1:9" ht="13.5">
      <c r="A1668" s="128">
        <v>1999</v>
      </c>
      <c r="B1668" s="128" t="s">
        <v>131</v>
      </c>
      <c r="C1668" s="128" t="s">
        <v>21</v>
      </c>
      <c r="D1668" s="128" t="s">
        <v>76</v>
      </c>
      <c r="E1668" s="128" t="s">
        <v>136</v>
      </c>
      <c r="F1668" s="128">
        <v>0</v>
      </c>
      <c r="G1668" s="128">
        <v>0</v>
      </c>
      <c r="H1668" s="128">
        <v>0</v>
      </c>
      <c r="I1668" s="128">
        <v>0</v>
      </c>
    </row>
    <row r="1669" spans="1:9" ht="13.5">
      <c r="A1669" s="128">
        <v>1999</v>
      </c>
      <c r="B1669" s="128" t="s">
        <v>131</v>
      </c>
      <c r="C1669" s="128" t="s">
        <v>24</v>
      </c>
      <c r="D1669" s="128" t="s">
        <v>77</v>
      </c>
      <c r="E1669" s="128" t="s">
        <v>132</v>
      </c>
      <c r="F1669" s="128">
        <v>0</v>
      </c>
      <c r="G1669" s="128">
        <v>0</v>
      </c>
      <c r="H1669" s="128">
        <v>0</v>
      </c>
      <c r="I1669" s="128">
        <v>0</v>
      </c>
    </row>
    <row r="1670" spans="1:9" ht="13.5">
      <c r="A1670" s="128">
        <v>1999</v>
      </c>
      <c r="B1670" s="128" t="s">
        <v>131</v>
      </c>
      <c r="C1670" s="128" t="s">
        <v>24</v>
      </c>
      <c r="D1670" s="128" t="s">
        <v>77</v>
      </c>
      <c r="E1670" s="128" t="s">
        <v>133</v>
      </c>
      <c r="F1670" s="128">
        <v>0</v>
      </c>
      <c r="G1670" s="128">
        <v>0</v>
      </c>
      <c r="H1670" s="128">
        <v>0</v>
      </c>
      <c r="I1670" s="128">
        <v>0</v>
      </c>
    </row>
    <row r="1671" spans="1:9" ht="13.5">
      <c r="A1671" s="128">
        <v>1999</v>
      </c>
      <c r="B1671" s="128" t="s">
        <v>131</v>
      </c>
      <c r="C1671" s="128" t="s">
        <v>24</v>
      </c>
      <c r="D1671" s="128" t="s">
        <v>77</v>
      </c>
      <c r="E1671" s="128" t="s">
        <v>134</v>
      </c>
      <c r="F1671" s="128">
        <v>0</v>
      </c>
      <c r="G1671" s="128">
        <v>0</v>
      </c>
      <c r="H1671" s="128">
        <v>0</v>
      </c>
      <c r="I1671" s="128">
        <v>0</v>
      </c>
    </row>
    <row r="1672" spans="1:9" ht="13.5">
      <c r="A1672" s="128">
        <v>1999</v>
      </c>
      <c r="B1672" s="128" t="s">
        <v>131</v>
      </c>
      <c r="C1672" s="128" t="s">
        <v>24</v>
      </c>
      <c r="D1672" s="128" t="s">
        <v>77</v>
      </c>
      <c r="E1672" s="128" t="s">
        <v>135</v>
      </c>
      <c r="F1672" s="128">
        <v>0</v>
      </c>
      <c r="G1672" s="128">
        <v>0</v>
      </c>
      <c r="H1672" s="128">
        <v>0</v>
      </c>
      <c r="I1672" s="128">
        <v>0</v>
      </c>
    </row>
    <row r="1673" spans="1:9" ht="13.5">
      <c r="A1673" s="128">
        <v>1999</v>
      </c>
      <c r="B1673" s="128" t="s">
        <v>131</v>
      </c>
      <c r="C1673" s="128" t="s">
        <v>24</v>
      </c>
      <c r="D1673" s="128" t="s">
        <v>79</v>
      </c>
      <c r="E1673" s="128" t="s">
        <v>132</v>
      </c>
      <c r="F1673" s="128">
        <v>0</v>
      </c>
      <c r="G1673" s="128">
        <v>0</v>
      </c>
      <c r="H1673" s="128">
        <v>0</v>
      </c>
      <c r="I1673" s="128">
        <v>0</v>
      </c>
    </row>
    <row r="1674" spans="1:9" ht="13.5">
      <c r="A1674" s="128">
        <v>1999</v>
      </c>
      <c r="B1674" s="128" t="s">
        <v>131</v>
      </c>
      <c r="C1674" s="128" t="s">
        <v>24</v>
      </c>
      <c r="D1674" s="128" t="s">
        <v>79</v>
      </c>
      <c r="E1674" s="128" t="s">
        <v>133</v>
      </c>
      <c r="F1674" s="128">
        <v>0</v>
      </c>
      <c r="G1674" s="128">
        <v>0</v>
      </c>
      <c r="H1674" s="128">
        <v>0</v>
      </c>
      <c r="I1674" s="128">
        <v>0</v>
      </c>
    </row>
    <row r="1675" spans="1:9" ht="13.5">
      <c r="A1675" s="128">
        <v>1999</v>
      </c>
      <c r="B1675" s="128" t="s">
        <v>131</v>
      </c>
      <c r="C1675" s="128" t="s">
        <v>24</v>
      </c>
      <c r="D1675" s="128" t="s">
        <v>79</v>
      </c>
      <c r="E1675" s="128" t="s">
        <v>134</v>
      </c>
      <c r="F1675" s="128">
        <v>0</v>
      </c>
      <c r="G1675" s="128">
        <v>0</v>
      </c>
      <c r="H1675" s="128">
        <v>0</v>
      </c>
      <c r="I1675" s="128">
        <v>0</v>
      </c>
    </row>
    <row r="1676" spans="1:9" ht="13.5">
      <c r="A1676" s="128">
        <v>1999</v>
      </c>
      <c r="B1676" s="128" t="s">
        <v>131</v>
      </c>
      <c r="C1676" s="128" t="s">
        <v>24</v>
      </c>
      <c r="D1676" s="128" t="s">
        <v>79</v>
      </c>
      <c r="E1676" s="128" t="s">
        <v>135</v>
      </c>
      <c r="F1676" s="128">
        <v>0</v>
      </c>
      <c r="G1676" s="128">
        <v>0</v>
      </c>
      <c r="H1676" s="128">
        <v>0</v>
      </c>
      <c r="I1676" s="128">
        <v>0</v>
      </c>
    </row>
    <row r="1677" spans="1:9" ht="13.5">
      <c r="A1677" s="128">
        <v>1999</v>
      </c>
      <c r="B1677" s="128" t="s">
        <v>131</v>
      </c>
      <c r="C1677" s="128" t="s">
        <v>24</v>
      </c>
      <c r="D1677" s="128" t="s">
        <v>79</v>
      </c>
      <c r="E1677" s="128" t="s">
        <v>136</v>
      </c>
      <c r="F1677" s="128">
        <v>0</v>
      </c>
      <c r="G1677" s="128">
        <v>0</v>
      </c>
      <c r="H1677" s="128">
        <v>0</v>
      </c>
      <c r="I1677" s="128">
        <v>0</v>
      </c>
    </row>
    <row r="1678" spans="1:9" ht="13.5">
      <c r="A1678" s="128">
        <v>1999</v>
      </c>
      <c r="B1678" s="128" t="s">
        <v>131</v>
      </c>
      <c r="C1678" s="128" t="s">
        <v>24</v>
      </c>
      <c r="D1678" s="128" t="s">
        <v>76</v>
      </c>
      <c r="E1678" s="128" t="s">
        <v>132</v>
      </c>
      <c r="F1678" s="128">
        <v>0</v>
      </c>
      <c r="G1678" s="128">
        <v>0</v>
      </c>
      <c r="H1678" s="128">
        <v>0</v>
      </c>
      <c r="I1678" s="128">
        <v>0</v>
      </c>
    </row>
    <row r="1679" spans="1:9" ht="13.5">
      <c r="A1679" s="128">
        <v>1999</v>
      </c>
      <c r="B1679" s="128" t="s">
        <v>131</v>
      </c>
      <c r="C1679" s="128" t="s">
        <v>24</v>
      </c>
      <c r="D1679" s="128" t="s">
        <v>76</v>
      </c>
      <c r="E1679" s="128" t="s">
        <v>133</v>
      </c>
      <c r="F1679" s="128">
        <v>0</v>
      </c>
      <c r="G1679" s="128">
        <v>0</v>
      </c>
      <c r="H1679" s="128">
        <v>0</v>
      </c>
      <c r="I1679" s="128">
        <v>0</v>
      </c>
    </row>
    <row r="1680" spans="1:9" ht="13.5">
      <c r="A1680" s="128">
        <v>1999</v>
      </c>
      <c r="B1680" s="128" t="s">
        <v>131</v>
      </c>
      <c r="C1680" s="128" t="s">
        <v>24</v>
      </c>
      <c r="D1680" s="128" t="s">
        <v>76</v>
      </c>
      <c r="E1680" s="128" t="s">
        <v>134</v>
      </c>
      <c r="F1680" s="128">
        <v>0</v>
      </c>
      <c r="G1680" s="128">
        <v>0</v>
      </c>
      <c r="H1680" s="128">
        <v>0</v>
      </c>
      <c r="I1680" s="128">
        <v>0</v>
      </c>
    </row>
    <row r="1681" spans="1:9" ht="13.5">
      <c r="A1681" s="128">
        <v>1999</v>
      </c>
      <c r="B1681" s="128" t="s">
        <v>131</v>
      </c>
      <c r="C1681" s="128" t="s">
        <v>24</v>
      </c>
      <c r="D1681" s="128" t="s">
        <v>76</v>
      </c>
      <c r="E1681" s="128" t="s">
        <v>135</v>
      </c>
      <c r="F1681" s="128">
        <v>0</v>
      </c>
      <c r="G1681" s="128">
        <v>0</v>
      </c>
      <c r="H1681" s="128">
        <v>0</v>
      </c>
      <c r="I1681" s="128">
        <v>0</v>
      </c>
    </row>
    <row r="1682" spans="1:9" ht="13.5">
      <c r="A1682" s="128">
        <v>1999</v>
      </c>
      <c r="B1682" s="128" t="s">
        <v>131</v>
      </c>
      <c r="C1682" s="128" t="s">
        <v>24</v>
      </c>
      <c r="D1682" s="128" t="s">
        <v>76</v>
      </c>
      <c r="E1682" s="128" t="s">
        <v>136</v>
      </c>
      <c r="F1682" s="128">
        <v>0</v>
      </c>
      <c r="G1682" s="128">
        <v>0</v>
      </c>
      <c r="H1682" s="128">
        <v>0</v>
      </c>
      <c r="I1682" s="128">
        <v>0</v>
      </c>
    </row>
    <row r="1683" spans="1:9" ht="13.5">
      <c r="A1683" s="128">
        <v>1999</v>
      </c>
      <c r="B1683" s="128" t="s">
        <v>138</v>
      </c>
      <c r="C1683" s="128" t="s">
        <v>26</v>
      </c>
      <c r="D1683" s="128" t="s">
        <v>77</v>
      </c>
      <c r="E1683" s="128" t="s">
        <v>132</v>
      </c>
      <c r="F1683" s="128">
        <v>0</v>
      </c>
      <c r="G1683" s="128">
        <v>0</v>
      </c>
      <c r="H1683" s="128">
        <v>0</v>
      </c>
      <c r="I1683" s="128">
        <v>0</v>
      </c>
    </row>
    <row r="1684" spans="1:9" ht="13.5">
      <c r="A1684" s="128">
        <v>1999</v>
      </c>
      <c r="B1684" s="128" t="s">
        <v>138</v>
      </c>
      <c r="C1684" s="128" t="s">
        <v>26</v>
      </c>
      <c r="D1684" s="128" t="s">
        <v>77</v>
      </c>
      <c r="E1684" s="128" t="s">
        <v>133</v>
      </c>
      <c r="F1684" s="128">
        <v>0</v>
      </c>
      <c r="G1684" s="128">
        <v>0</v>
      </c>
      <c r="H1684" s="128">
        <v>0</v>
      </c>
      <c r="I1684" s="128">
        <v>0</v>
      </c>
    </row>
    <row r="1685" spans="1:9" ht="13.5">
      <c r="A1685" s="128">
        <v>1999</v>
      </c>
      <c r="B1685" s="128" t="s">
        <v>138</v>
      </c>
      <c r="C1685" s="128" t="s">
        <v>26</v>
      </c>
      <c r="D1685" s="128" t="s">
        <v>77</v>
      </c>
      <c r="E1685" s="128" t="s">
        <v>134</v>
      </c>
      <c r="F1685" s="128">
        <v>0</v>
      </c>
      <c r="G1685" s="128">
        <v>0</v>
      </c>
      <c r="H1685" s="128">
        <v>0</v>
      </c>
      <c r="I1685" s="128">
        <v>0</v>
      </c>
    </row>
    <row r="1686" spans="1:9" ht="13.5">
      <c r="A1686" s="128">
        <v>1999</v>
      </c>
      <c r="B1686" s="128" t="s">
        <v>138</v>
      </c>
      <c r="C1686" s="128" t="s">
        <v>26</v>
      </c>
      <c r="D1686" s="128" t="s">
        <v>77</v>
      </c>
      <c r="E1686" s="128" t="s">
        <v>135</v>
      </c>
      <c r="F1686" s="128">
        <v>0</v>
      </c>
      <c r="G1686" s="128">
        <v>0</v>
      </c>
      <c r="H1686" s="128">
        <v>0</v>
      </c>
      <c r="I1686" s="128">
        <v>0</v>
      </c>
    </row>
    <row r="1687" spans="1:9" ht="13.5">
      <c r="A1687" s="128">
        <v>1999</v>
      </c>
      <c r="B1687" s="128" t="s">
        <v>138</v>
      </c>
      <c r="C1687" s="128" t="s">
        <v>26</v>
      </c>
      <c r="D1687" s="128" t="s">
        <v>79</v>
      </c>
      <c r="E1687" s="128" t="s">
        <v>132</v>
      </c>
      <c r="F1687" s="128">
        <v>0</v>
      </c>
      <c r="G1687" s="128">
        <v>0</v>
      </c>
      <c r="H1687" s="128">
        <v>0</v>
      </c>
      <c r="I1687" s="128">
        <v>0</v>
      </c>
    </row>
    <row r="1688" spans="1:9" ht="13.5">
      <c r="A1688" s="128">
        <v>1999</v>
      </c>
      <c r="B1688" s="128" t="s">
        <v>138</v>
      </c>
      <c r="C1688" s="128" t="s">
        <v>26</v>
      </c>
      <c r="D1688" s="128" t="s">
        <v>79</v>
      </c>
      <c r="E1688" s="128" t="s">
        <v>133</v>
      </c>
      <c r="F1688" s="128">
        <v>0</v>
      </c>
      <c r="G1688" s="128">
        <v>0</v>
      </c>
      <c r="H1688" s="128">
        <v>0</v>
      </c>
      <c r="I1688" s="128">
        <v>0</v>
      </c>
    </row>
    <row r="1689" spans="1:9" ht="13.5">
      <c r="A1689" s="128">
        <v>1999</v>
      </c>
      <c r="B1689" s="128" t="s">
        <v>138</v>
      </c>
      <c r="C1689" s="128" t="s">
        <v>26</v>
      </c>
      <c r="D1689" s="128" t="s">
        <v>79</v>
      </c>
      <c r="E1689" s="128" t="s">
        <v>134</v>
      </c>
      <c r="F1689" s="128">
        <v>0</v>
      </c>
      <c r="G1689" s="128">
        <v>0</v>
      </c>
      <c r="H1689" s="128">
        <v>0</v>
      </c>
      <c r="I1689" s="128">
        <v>0</v>
      </c>
    </row>
    <row r="1690" spans="1:9" ht="13.5">
      <c r="A1690" s="128">
        <v>1999</v>
      </c>
      <c r="B1690" s="128" t="s">
        <v>138</v>
      </c>
      <c r="C1690" s="128" t="s">
        <v>26</v>
      </c>
      <c r="D1690" s="128" t="s">
        <v>79</v>
      </c>
      <c r="E1690" s="128" t="s">
        <v>135</v>
      </c>
      <c r="F1690" s="128">
        <v>0</v>
      </c>
      <c r="G1690" s="128">
        <v>0</v>
      </c>
      <c r="H1690" s="128">
        <v>0</v>
      </c>
      <c r="I1690" s="128">
        <v>0</v>
      </c>
    </row>
    <row r="1691" spans="1:9" ht="13.5">
      <c r="A1691" s="128">
        <v>1999</v>
      </c>
      <c r="B1691" s="128" t="s">
        <v>138</v>
      </c>
      <c r="C1691" s="128" t="s">
        <v>26</v>
      </c>
      <c r="D1691" s="128" t="s">
        <v>79</v>
      </c>
      <c r="E1691" s="128" t="s">
        <v>136</v>
      </c>
      <c r="F1691" s="128">
        <v>0</v>
      </c>
      <c r="G1691" s="128">
        <v>0</v>
      </c>
      <c r="H1691" s="128">
        <v>0</v>
      </c>
      <c r="I1691" s="128">
        <v>0</v>
      </c>
    </row>
    <row r="1692" spans="1:9" ht="13.5">
      <c r="A1692" s="128">
        <v>1999</v>
      </c>
      <c r="B1692" s="128" t="s">
        <v>138</v>
      </c>
      <c r="C1692" s="128" t="s">
        <v>26</v>
      </c>
      <c r="D1692" s="128" t="s">
        <v>76</v>
      </c>
      <c r="E1692" s="128" t="s">
        <v>132</v>
      </c>
      <c r="F1692" s="128">
        <v>0</v>
      </c>
      <c r="G1692" s="128">
        <v>0</v>
      </c>
      <c r="H1692" s="128">
        <v>0</v>
      </c>
      <c r="I1692" s="128">
        <v>0</v>
      </c>
    </row>
    <row r="1693" spans="1:9" ht="13.5">
      <c r="A1693" s="128">
        <v>1999</v>
      </c>
      <c r="B1693" s="128" t="s">
        <v>138</v>
      </c>
      <c r="C1693" s="128" t="s">
        <v>26</v>
      </c>
      <c r="D1693" s="128" t="s">
        <v>76</v>
      </c>
      <c r="E1693" s="128" t="s">
        <v>133</v>
      </c>
      <c r="F1693" s="128">
        <v>0</v>
      </c>
      <c r="G1693" s="128">
        <v>0</v>
      </c>
      <c r="H1693" s="128">
        <v>0</v>
      </c>
      <c r="I1693" s="128">
        <v>0</v>
      </c>
    </row>
    <row r="1694" spans="1:9" ht="13.5">
      <c r="A1694" s="128">
        <v>1999</v>
      </c>
      <c r="B1694" s="128" t="s">
        <v>138</v>
      </c>
      <c r="C1694" s="128" t="s">
        <v>26</v>
      </c>
      <c r="D1694" s="128" t="s">
        <v>76</v>
      </c>
      <c r="E1694" s="128" t="s">
        <v>134</v>
      </c>
      <c r="F1694" s="128">
        <v>0</v>
      </c>
      <c r="G1694" s="128">
        <v>0</v>
      </c>
      <c r="H1694" s="128">
        <v>0</v>
      </c>
      <c r="I1694" s="128">
        <v>0</v>
      </c>
    </row>
    <row r="1695" spans="1:9" ht="13.5">
      <c r="A1695" s="128">
        <v>1999</v>
      </c>
      <c r="B1695" s="128" t="s">
        <v>138</v>
      </c>
      <c r="C1695" s="128" t="s">
        <v>26</v>
      </c>
      <c r="D1695" s="128" t="s">
        <v>76</v>
      </c>
      <c r="E1695" s="128" t="s">
        <v>135</v>
      </c>
      <c r="F1695" s="128">
        <v>0</v>
      </c>
      <c r="G1695" s="128">
        <v>0</v>
      </c>
      <c r="H1695" s="128">
        <v>0</v>
      </c>
      <c r="I1695" s="128">
        <v>0</v>
      </c>
    </row>
    <row r="1696" spans="1:9" ht="13.5">
      <c r="A1696" s="128">
        <v>1999</v>
      </c>
      <c r="B1696" s="128" t="s">
        <v>138</v>
      </c>
      <c r="C1696" s="128" t="s">
        <v>26</v>
      </c>
      <c r="D1696" s="128" t="s">
        <v>76</v>
      </c>
      <c r="E1696" s="128" t="s">
        <v>136</v>
      </c>
      <c r="F1696" s="128">
        <v>0</v>
      </c>
      <c r="G1696" s="128">
        <v>0</v>
      </c>
      <c r="H1696" s="128">
        <v>0</v>
      </c>
      <c r="I1696" s="128">
        <v>0</v>
      </c>
    </row>
    <row r="1697" spans="1:9" ht="13.5">
      <c r="A1697" s="128">
        <v>1999</v>
      </c>
      <c r="B1697" s="128" t="s">
        <v>138</v>
      </c>
      <c r="C1697" s="128" t="s">
        <v>20</v>
      </c>
      <c r="D1697" s="128" t="s">
        <v>77</v>
      </c>
      <c r="E1697" s="128" t="s">
        <v>132</v>
      </c>
      <c r="F1697" s="128">
        <v>0</v>
      </c>
      <c r="G1697" s="128">
        <v>0</v>
      </c>
      <c r="H1697" s="128">
        <v>0</v>
      </c>
      <c r="I1697" s="128">
        <v>0</v>
      </c>
    </row>
    <row r="1698" spans="1:9" ht="13.5">
      <c r="A1698" s="128">
        <v>1999</v>
      </c>
      <c r="B1698" s="128" t="s">
        <v>138</v>
      </c>
      <c r="C1698" s="128" t="s">
        <v>20</v>
      </c>
      <c r="D1698" s="128" t="s">
        <v>77</v>
      </c>
      <c r="E1698" s="128" t="s">
        <v>133</v>
      </c>
      <c r="F1698" s="128">
        <v>0</v>
      </c>
      <c r="G1698" s="128">
        <v>0</v>
      </c>
      <c r="H1698" s="128">
        <v>0</v>
      </c>
      <c r="I1698" s="128">
        <v>0</v>
      </c>
    </row>
    <row r="1699" spans="1:9" ht="13.5">
      <c r="A1699" s="128">
        <v>1999</v>
      </c>
      <c r="B1699" s="128" t="s">
        <v>138</v>
      </c>
      <c r="C1699" s="128" t="s">
        <v>20</v>
      </c>
      <c r="D1699" s="128" t="s">
        <v>77</v>
      </c>
      <c r="E1699" s="128" t="s">
        <v>134</v>
      </c>
      <c r="F1699" s="128">
        <v>0</v>
      </c>
      <c r="G1699" s="128">
        <v>0</v>
      </c>
      <c r="H1699" s="128">
        <v>0</v>
      </c>
      <c r="I1699" s="128">
        <v>0</v>
      </c>
    </row>
    <row r="1700" spans="1:9" ht="13.5">
      <c r="A1700" s="128">
        <v>1999</v>
      </c>
      <c r="B1700" s="128" t="s">
        <v>138</v>
      </c>
      <c r="C1700" s="128" t="s">
        <v>20</v>
      </c>
      <c r="D1700" s="128" t="s">
        <v>77</v>
      </c>
      <c r="E1700" s="128" t="s">
        <v>135</v>
      </c>
      <c r="F1700" s="128">
        <v>0</v>
      </c>
      <c r="G1700" s="128">
        <v>0</v>
      </c>
      <c r="H1700" s="128">
        <v>0</v>
      </c>
      <c r="I1700" s="128">
        <v>0</v>
      </c>
    </row>
    <row r="1701" spans="1:9" ht="13.5">
      <c r="A1701" s="128">
        <v>1999</v>
      </c>
      <c r="B1701" s="128" t="s">
        <v>138</v>
      </c>
      <c r="C1701" s="128" t="s">
        <v>20</v>
      </c>
      <c r="D1701" s="128" t="s">
        <v>79</v>
      </c>
      <c r="E1701" s="128" t="s">
        <v>132</v>
      </c>
      <c r="F1701" s="128">
        <v>0</v>
      </c>
      <c r="G1701" s="128">
        <v>0</v>
      </c>
      <c r="H1701" s="128">
        <v>0</v>
      </c>
      <c r="I1701" s="128">
        <v>0</v>
      </c>
    </row>
    <row r="1702" spans="1:9" ht="13.5">
      <c r="A1702" s="128">
        <v>1999</v>
      </c>
      <c r="B1702" s="128" t="s">
        <v>138</v>
      </c>
      <c r="C1702" s="128" t="s">
        <v>20</v>
      </c>
      <c r="D1702" s="128" t="s">
        <v>79</v>
      </c>
      <c r="E1702" s="128" t="s">
        <v>133</v>
      </c>
      <c r="F1702" s="128">
        <v>0</v>
      </c>
      <c r="G1702" s="128">
        <v>0</v>
      </c>
      <c r="H1702" s="128">
        <v>0</v>
      </c>
      <c r="I1702" s="128">
        <v>0</v>
      </c>
    </row>
    <row r="1703" spans="1:9" ht="13.5">
      <c r="A1703" s="128">
        <v>1999</v>
      </c>
      <c r="B1703" s="128" t="s">
        <v>138</v>
      </c>
      <c r="C1703" s="128" t="s">
        <v>20</v>
      </c>
      <c r="D1703" s="128" t="s">
        <v>79</v>
      </c>
      <c r="E1703" s="128" t="s">
        <v>134</v>
      </c>
      <c r="F1703" s="128">
        <v>0</v>
      </c>
      <c r="G1703" s="128">
        <v>0</v>
      </c>
      <c r="H1703" s="128">
        <v>0</v>
      </c>
      <c r="I1703" s="128">
        <v>0</v>
      </c>
    </row>
    <row r="1704" spans="1:9" ht="13.5">
      <c r="A1704" s="128">
        <v>1999</v>
      </c>
      <c r="B1704" s="128" t="s">
        <v>138</v>
      </c>
      <c r="C1704" s="128" t="s">
        <v>20</v>
      </c>
      <c r="D1704" s="128" t="s">
        <v>79</v>
      </c>
      <c r="E1704" s="128" t="s">
        <v>135</v>
      </c>
      <c r="F1704" s="128">
        <v>0</v>
      </c>
      <c r="G1704" s="128">
        <v>0</v>
      </c>
      <c r="H1704" s="128">
        <v>0</v>
      </c>
      <c r="I1704" s="128">
        <v>0</v>
      </c>
    </row>
    <row r="1705" spans="1:9" ht="13.5">
      <c r="A1705" s="128">
        <v>1999</v>
      </c>
      <c r="B1705" s="128" t="s">
        <v>138</v>
      </c>
      <c r="C1705" s="128" t="s">
        <v>20</v>
      </c>
      <c r="D1705" s="128" t="s">
        <v>79</v>
      </c>
      <c r="E1705" s="128" t="s">
        <v>136</v>
      </c>
      <c r="F1705" s="128">
        <v>0</v>
      </c>
      <c r="G1705" s="128">
        <v>0</v>
      </c>
      <c r="H1705" s="128">
        <v>0</v>
      </c>
      <c r="I1705" s="128">
        <v>0</v>
      </c>
    </row>
    <row r="1706" spans="1:9" ht="13.5">
      <c r="A1706" s="128">
        <v>1999</v>
      </c>
      <c r="B1706" s="128" t="s">
        <v>138</v>
      </c>
      <c r="C1706" s="128" t="s">
        <v>20</v>
      </c>
      <c r="D1706" s="128" t="s">
        <v>76</v>
      </c>
      <c r="E1706" s="128" t="s">
        <v>132</v>
      </c>
      <c r="F1706" s="128">
        <v>0</v>
      </c>
      <c r="G1706" s="128">
        <v>0</v>
      </c>
      <c r="H1706" s="128">
        <v>0</v>
      </c>
      <c r="I1706" s="128">
        <v>0</v>
      </c>
    </row>
    <row r="1707" spans="1:9" ht="13.5">
      <c r="A1707" s="128">
        <v>1999</v>
      </c>
      <c r="B1707" s="128" t="s">
        <v>138</v>
      </c>
      <c r="C1707" s="128" t="s">
        <v>20</v>
      </c>
      <c r="D1707" s="128" t="s">
        <v>76</v>
      </c>
      <c r="E1707" s="128" t="s">
        <v>133</v>
      </c>
      <c r="F1707" s="128">
        <v>0</v>
      </c>
      <c r="G1707" s="128">
        <v>0</v>
      </c>
      <c r="H1707" s="128">
        <v>0</v>
      </c>
      <c r="I1707" s="128">
        <v>0</v>
      </c>
    </row>
    <row r="1708" spans="1:9" ht="13.5">
      <c r="A1708" s="128">
        <v>1999</v>
      </c>
      <c r="B1708" s="128" t="s">
        <v>138</v>
      </c>
      <c r="C1708" s="128" t="s">
        <v>20</v>
      </c>
      <c r="D1708" s="128" t="s">
        <v>76</v>
      </c>
      <c r="E1708" s="128" t="s">
        <v>134</v>
      </c>
      <c r="F1708" s="128">
        <v>0</v>
      </c>
      <c r="G1708" s="128">
        <v>0</v>
      </c>
      <c r="H1708" s="128">
        <v>0</v>
      </c>
      <c r="I1708" s="128">
        <v>0</v>
      </c>
    </row>
    <row r="1709" spans="1:9" ht="13.5">
      <c r="A1709" s="128">
        <v>1999</v>
      </c>
      <c r="B1709" s="128" t="s">
        <v>138</v>
      </c>
      <c r="C1709" s="128" t="s">
        <v>20</v>
      </c>
      <c r="D1709" s="128" t="s">
        <v>76</v>
      </c>
      <c r="E1709" s="128" t="s">
        <v>135</v>
      </c>
      <c r="F1709" s="128">
        <v>0</v>
      </c>
      <c r="G1709" s="128">
        <v>0</v>
      </c>
      <c r="H1709" s="128">
        <v>0</v>
      </c>
      <c r="I1709" s="128">
        <v>0</v>
      </c>
    </row>
    <row r="1710" spans="1:9" ht="13.5">
      <c r="A1710" s="128">
        <v>1999</v>
      </c>
      <c r="B1710" s="128" t="s">
        <v>138</v>
      </c>
      <c r="C1710" s="128" t="s">
        <v>20</v>
      </c>
      <c r="D1710" s="128" t="s">
        <v>76</v>
      </c>
      <c r="E1710" s="128" t="s">
        <v>136</v>
      </c>
      <c r="F1710" s="128">
        <v>0</v>
      </c>
      <c r="G1710" s="128">
        <v>0</v>
      </c>
      <c r="H1710" s="128">
        <v>0</v>
      </c>
      <c r="I1710" s="128">
        <v>0</v>
      </c>
    </row>
    <row r="1711" spans="1:9" ht="13.5">
      <c r="A1711" s="128">
        <v>1999</v>
      </c>
      <c r="B1711" s="128" t="s">
        <v>138</v>
      </c>
      <c r="C1711" s="128" t="s">
        <v>27</v>
      </c>
      <c r="D1711" s="128" t="s">
        <v>77</v>
      </c>
      <c r="E1711" s="128" t="s">
        <v>132</v>
      </c>
      <c r="F1711" s="128">
        <v>0</v>
      </c>
      <c r="G1711" s="128">
        <v>0</v>
      </c>
      <c r="H1711" s="128">
        <v>0</v>
      </c>
      <c r="I1711" s="128">
        <v>0</v>
      </c>
    </row>
    <row r="1712" spans="1:9" ht="13.5">
      <c r="A1712" s="128">
        <v>1999</v>
      </c>
      <c r="B1712" s="128" t="s">
        <v>138</v>
      </c>
      <c r="C1712" s="128" t="s">
        <v>27</v>
      </c>
      <c r="D1712" s="128" t="s">
        <v>77</v>
      </c>
      <c r="E1712" s="128" t="s">
        <v>133</v>
      </c>
      <c r="F1712" s="128">
        <v>0</v>
      </c>
      <c r="G1712" s="128">
        <v>0</v>
      </c>
      <c r="H1712" s="128">
        <v>0</v>
      </c>
      <c r="I1712" s="128">
        <v>0</v>
      </c>
    </row>
    <row r="1713" spans="1:9" ht="13.5">
      <c r="A1713" s="128">
        <v>1999</v>
      </c>
      <c r="B1713" s="128" t="s">
        <v>138</v>
      </c>
      <c r="C1713" s="128" t="s">
        <v>27</v>
      </c>
      <c r="D1713" s="128" t="s">
        <v>77</v>
      </c>
      <c r="E1713" s="128" t="s">
        <v>134</v>
      </c>
      <c r="F1713" s="128">
        <v>0</v>
      </c>
      <c r="G1713" s="128">
        <v>0</v>
      </c>
      <c r="H1713" s="128">
        <v>0</v>
      </c>
      <c r="I1713" s="128">
        <v>0</v>
      </c>
    </row>
    <row r="1714" spans="1:9" ht="13.5">
      <c r="A1714" s="128">
        <v>1999</v>
      </c>
      <c r="B1714" s="128" t="s">
        <v>138</v>
      </c>
      <c r="C1714" s="128" t="s">
        <v>27</v>
      </c>
      <c r="D1714" s="128" t="s">
        <v>77</v>
      </c>
      <c r="E1714" s="128" t="s">
        <v>135</v>
      </c>
      <c r="F1714" s="128">
        <v>0</v>
      </c>
      <c r="G1714" s="128">
        <v>0</v>
      </c>
      <c r="H1714" s="128">
        <v>0</v>
      </c>
      <c r="I1714" s="128">
        <v>0</v>
      </c>
    </row>
    <row r="1715" spans="1:9" ht="13.5">
      <c r="A1715" s="128">
        <v>1999</v>
      </c>
      <c r="B1715" s="128" t="s">
        <v>138</v>
      </c>
      <c r="C1715" s="128" t="s">
        <v>27</v>
      </c>
      <c r="D1715" s="128" t="s">
        <v>79</v>
      </c>
      <c r="E1715" s="128" t="s">
        <v>132</v>
      </c>
      <c r="F1715" s="128">
        <v>0</v>
      </c>
      <c r="G1715" s="128">
        <v>0</v>
      </c>
      <c r="H1715" s="128">
        <v>0</v>
      </c>
      <c r="I1715" s="128">
        <v>0</v>
      </c>
    </row>
    <row r="1716" spans="1:9" ht="13.5">
      <c r="A1716" s="128">
        <v>1999</v>
      </c>
      <c r="B1716" s="128" t="s">
        <v>138</v>
      </c>
      <c r="C1716" s="128" t="s">
        <v>27</v>
      </c>
      <c r="D1716" s="128" t="s">
        <v>79</v>
      </c>
      <c r="E1716" s="128" t="s">
        <v>133</v>
      </c>
      <c r="F1716" s="128">
        <v>0</v>
      </c>
      <c r="G1716" s="128">
        <v>0</v>
      </c>
      <c r="H1716" s="128">
        <v>0</v>
      </c>
      <c r="I1716" s="128">
        <v>0</v>
      </c>
    </row>
    <row r="1717" spans="1:9" ht="13.5">
      <c r="A1717" s="128">
        <v>1999</v>
      </c>
      <c r="B1717" s="128" t="s">
        <v>138</v>
      </c>
      <c r="C1717" s="128" t="s">
        <v>27</v>
      </c>
      <c r="D1717" s="128" t="s">
        <v>79</v>
      </c>
      <c r="E1717" s="128" t="s">
        <v>134</v>
      </c>
      <c r="F1717" s="128">
        <v>0</v>
      </c>
      <c r="G1717" s="128">
        <v>0</v>
      </c>
      <c r="H1717" s="128">
        <v>0</v>
      </c>
      <c r="I1717" s="128">
        <v>0</v>
      </c>
    </row>
    <row r="1718" spans="1:9" ht="13.5">
      <c r="A1718" s="128">
        <v>1999</v>
      </c>
      <c r="B1718" s="128" t="s">
        <v>138</v>
      </c>
      <c r="C1718" s="128" t="s">
        <v>27</v>
      </c>
      <c r="D1718" s="128" t="s">
        <v>79</v>
      </c>
      <c r="E1718" s="128" t="s">
        <v>135</v>
      </c>
      <c r="F1718" s="128">
        <v>0</v>
      </c>
      <c r="G1718" s="128">
        <v>0</v>
      </c>
      <c r="H1718" s="128">
        <v>0</v>
      </c>
      <c r="I1718" s="128">
        <v>0</v>
      </c>
    </row>
    <row r="1719" spans="1:9" ht="13.5">
      <c r="A1719" s="128">
        <v>1999</v>
      </c>
      <c r="B1719" s="128" t="s">
        <v>138</v>
      </c>
      <c r="C1719" s="128" t="s">
        <v>27</v>
      </c>
      <c r="D1719" s="128" t="s">
        <v>79</v>
      </c>
      <c r="E1719" s="128" t="s">
        <v>136</v>
      </c>
      <c r="F1719" s="128">
        <v>0</v>
      </c>
      <c r="G1719" s="128">
        <v>0</v>
      </c>
      <c r="H1719" s="128">
        <v>0</v>
      </c>
      <c r="I1719" s="128">
        <v>0</v>
      </c>
    </row>
    <row r="1720" spans="1:9" ht="13.5">
      <c r="A1720" s="128">
        <v>1999</v>
      </c>
      <c r="B1720" s="128" t="s">
        <v>138</v>
      </c>
      <c r="C1720" s="128" t="s">
        <v>27</v>
      </c>
      <c r="D1720" s="128" t="s">
        <v>76</v>
      </c>
      <c r="E1720" s="128" t="s">
        <v>132</v>
      </c>
      <c r="F1720" s="128">
        <v>0</v>
      </c>
      <c r="G1720" s="128">
        <v>0</v>
      </c>
      <c r="H1720" s="128">
        <v>0</v>
      </c>
      <c r="I1720" s="128">
        <v>0</v>
      </c>
    </row>
    <row r="1721" spans="1:9" ht="13.5">
      <c r="A1721" s="128">
        <v>1999</v>
      </c>
      <c r="B1721" s="128" t="s">
        <v>138</v>
      </c>
      <c r="C1721" s="128" t="s">
        <v>27</v>
      </c>
      <c r="D1721" s="128" t="s">
        <v>76</v>
      </c>
      <c r="E1721" s="128" t="s">
        <v>133</v>
      </c>
      <c r="F1721" s="128">
        <v>0</v>
      </c>
      <c r="G1721" s="128">
        <v>0</v>
      </c>
      <c r="H1721" s="128">
        <v>0</v>
      </c>
      <c r="I1721" s="128">
        <v>0</v>
      </c>
    </row>
    <row r="1722" spans="1:9" ht="13.5">
      <c r="A1722" s="128">
        <v>1999</v>
      </c>
      <c r="B1722" s="128" t="s">
        <v>138</v>
      </c>
      <c r="C1722" s="128" t="s">
        <v>27</v>
      </c>
      <c r="D1722" s="128" t="s">
        <v>76</v>
      </c>
      <c r="E1722" s="128" t="s">
        <v>134</v>
      </c>
      <c r="F1722" s="128">
        <v>0</v>
      </c>
      <c r="G1722" s="128">
        <v>0</v>
      </c>
      <c r="H1722" s="128">
        <v>0</v>
      </c>
      <c r="I1722" s="128">
        <v>0</v>
      </c>
    </row>
    <row r="1723" spans="1:9" ht="13.5">
      <c r="A1723" s="128">
        <v>1999</v>
      </c>
      <c r="B1723" s="128" t="s">
        <v>138</v>
      </c>
      <c r="C1723" s="128" t="s">
        <v>27</v>
      </c>
      <c r="D1723" s="128" t="s">
        <v>76</v>
      </c>
      <c r="E1723" s="128" t="s">
        <v>135</v>
      </c>
      <c r="F1723" s="128">
        <v>0</v>
      </c>
      <c r="G1723" s="128">
        <v>0</v>
      </c>
      <c r="H1723" s="128">
        <v>0</v>
      </c>
      <c r="I1723" s="128">
        <v>0</v>
      </c>
    </row>
    <row r="1724" spans="1:9" ht="13.5">
      <c r="A1724" s="128">
        <v>1999</v>
      </c>
      <c r="B1724" s="128" t="s">
        <v>138</v>
      </c>
      <c r="C1724" s="128" t="s">
        <v>27</v>
      </c>
      <c r="D1724" s="128" t="s">
        <v>76</v>
      </c>
      <c r="E1724" s="128" t="s">
        <v>136</v>
      </c>
      <c r="F1724" s="128">
        <v>0</v>
      </c>
      <c r="G1724" s="128">
        <v>0</v>
      </c>
      <c r="H1724" s="128">
        <v>0</v>
      </c>
      <c r="I1724" s="128">
        <v>0</v>
      </c>
    </row>
    <row r="1725" spans="1:9" ht="13.5">
      <c r="A1725" s="128">
        <v>1999</v>
      </c>
      <c r="B1725" s="128" t="s">
        <v>138</v>
      </c>
      <c r="C1725" s="128" t="s">
        <v>22</v>
      </c>
      <c r="D1725" s="128" t="s">
        <v>77</v>
      </c>
      <c r="E1725" s="128" t="s">
        <v>132</v>
      </c>
      <c r="F1725" s="128">
        <v>0</v>
      </c>
      <c r="G1725" s="128">
        <v>0</v>
      </c>
      <c r="H1725" s="128">
        <v>0</v>
      </c>
      <c r="I1725" s="128">
        <v>0</v>
      </c>
    </row>
    <row r="1726" spans="1:9" ht="13.5">
      <c r="A1726" s="128">
        <v>1999</v>
      </c>
      <c r="B1726" s="128" t="s">
        <v>138</v>
      </c>
      <c r="C1726" s="128" t="s">
        <v>22</v>
      </c>
      <c r="D1726" s="128" t="s">
        <v>77</v>
      </c>
      <c r="E1726" s="128" t="s">
        <v>133</v>
      </c>
      <c r="F1726" s="128">
        <v>0</v>
      </c>
      <c r="G1726" s="128">
        <v>0</v>
      </c>
      <c r="H1726" s="128">
        <v>0</v>
      </c>
      <c r="I1726" s="128">
        <v>0</v>
      </c>
    </row>
    <row r="1727" spans="1:9" ht="13.5">
      <c r="A1727" s="128">
        <v>1999</v>
      </c>
      <c r="B1727" s="128" t="s">
        <v>138</v>
      </c>
      <c r="C1727" s="128" t="s">
        <v>22</v>
      </c>
      <c r="D1727" s="128" t="s">
        <v>77</v>
      </c>
      <c r="E1727" s="128" t="s">
        <v>134</v>
      </c>
      <c r="F1727" s="128">
        <v>0</v>
      </c>
      <c r="G1727" s="128">
        <v>0</v>
      </c>
      <c r="H1727" s="128">
        <v>0</v>
      </c>
      <c r="I1727" s="128">
        <v>0</v>
      </c>
    </row>
    <row r="1728" spans="1:9" ht="13.5">
      <c r="A1728" s="128">
        <v>1999</v>
      </c>
      <c r="B1728" s="128" t="s">
        <v>138</v>
      </c>
      <c r="C1728" s="128" t="s">
        <v>22</v>
      </c>
      <c r="D1728" s="128" t="s">
        <v>77</v>
      </c>
      <c r="E1728" s="128" t="s">
        <v>135</v>
      </c>
      <c r="F1728" s="128">
        <v>0</v>
      </c>
      <c r="G1728" s="128">
        <v>0</v>
      </c>
      <c r="H1728" s="128">
        <v>0</v>
      </c>
      <c r="I1728" s="128">
        <v>0</v>
      </c>
    </row>
    <row r="1729" spans="1:9" ht="13.5">
      <c r="A1729" s="128">
        <v>1999</v>
      </c>
      <c r="B1729" s="128" t="s">
        <v>138</v>
      </c>
      <c r="C1729" s="128" t="s">
        <v>22</v>
      </c>
      <c r="D1729" s="128" t="s">
        <v>79</v>
      </c>
      <c r="E1729" s="128" t="s">
        <v>132</v>
      </c>
      <c r="F1729" s="128">
        <v>0</v>
      </c>
      <c r="G1729" s="128">
        <v>0</v>
      </c>
      <c r="H1729" s="128">
        <v>0</v>
      </c>
      <c r="I1729" s="128">
        <v>0</v>
      </c>
    </row>
    <row r="1730" spans="1:9" ht="13.5">
      <c r="A1730" s="128">
        <v>1999</v>
      </c>
      <c r="B1730" s="128" t="s">
        <v>138</v>
      </c>
      <c r="C1730" s="128" t="s">
        <v>22</v>
      </c>
      <c r="D1730" s="128" t="s">
        <v>79</v>
      </c>
      <c r="E1730" s="128" t="s">
        <v>133</v>
      </c>
      <c r="F1730" s="128">
        <v>0</v>
      </c>
      <c r="G1730" s="128">
        <v>0</v>
      </c>
      <c r="H1730" s="128">
        <v>0</v>
      </c>
      <c r="I1730" s="128">
        <v>0</v>
      </c>
    </row>
    <row r="1731" spans="1:9" ht="13.5">
      <c r="A1731" s="128">
        <v>1999</v>
      </c>
      <c r="B1731" s="128" t="s">
        <v>138</v>
      </c>
      <c r="C1731" s="128" t="s">
        <v>22</v>
      </c>
      <c r="D1731" s="128" t="s">
        <v>79</v>
      </c>
      <c r="E1731" s="128" t="s">
        <v>134</v>
      </c>
      <c r="F1731" s="128">
        <v>0</v>
      </c>
      <c r="G1731" s="128">
        <v>0</v>
      </c>
      <c r="H1731" s="128">
        <v>0</v>
      </c>
      <c r="I1731" s="128">
        <v>0</v>
      </c>
    </row>
    <row r="1732" spans="1:9" ht="13.5">
      <c r="A1732" s="128">
        <v>1999</v>
      </c>
      <c r="B1732" s="128" t="s">
        <v>138</v>
      </c>
      <c r="C1732" s="128" t="s">
        <v>22</v>
      </c>
      <c r="D1732" s="128" t="s">
        <v>79</v>
      </c>
      <c r="E1732" s="128" t="s">
        <v>135</v>
      </c>
      <c r="F1732" s="128">
        <v>0</v>
      </c>
      <c r="G1732" s="128">
        <v>0</v>
      </c>
      <c r="H1732" s="128">
        <v>0</v>
      </c>
      <c r="I1732" s="128">
        <v>0</v>
      </c>
    </row>
    <row r="1733" spans="1:9" ht="13.5">
      <c r="A1733" s="128">
        <v>1999</v>
      </c>
      <c r="B1733" s="128" t="s">
        <v>138</v>
      </c>
      <c r="C1733" s="128" t="s">
        <v>22</v>
      </c>
      <c r="D1733" s="128" t="s">
        <v>79</v>
      </c>
      <c r="E1733" s="128" t="s">
        <v>136</v>
      </c>
      <c r="F1733" s="128">
        <v>0</v>
      </c>
      <c r="G1733" s="128">
        <v>0</v>
      </c>
      <c r="H1733" s="128">
        <v>0</v>
      </c>
      <c r="I1733" s="128">
        <v>0</v>
      </c>
    </row>
    <row r="1734" spans="1:9" ht="13.5">
      <c r="A1734" s="128">
        <v>1999</v>
      </c>
      <c r="B1734" s="128" t="s">
        <v>138</v>
      </c>
      <c r="C1734" s="128" t="s">
        <v>22</v>
      </c>
      <c r="D1734" s="128" t="s">
        <v>76</v>
      </c>
      <c r="E1734" s="128" t="s">
        <v>132</v>
      </c>
      <c r="F1734" s="128">
        <v>0</v>
      </c>
      <c r="G1734" s="128">
        <v>0</v>
      </c>
      <c r="H1734" s="128">
        <v>0</v>
      </c>
      <c r="I1734" s="128">
        <v>0</v>
      </c>
    </row>
    <row r="1735" spans="1:9" ht="13.5">
      <c r="A1735" s="128">
        <v>1999</v>
      </c>
      <c r="B1735" s="128" t="s">
        <v>138</v>
      </c>
      <c r="C1735" s="128" t="s">
        <v>22</v>
      </c>
      <c r="D1735" s="128" t="s">
        <v>76</v>
      </c>
      <c r="E1735" s="128" t="s">
        <v>133</v>
      </c>
      <c r="F1735" s="128">
        <v>0</v>
      </c>
      <c r="G1735" s="128">
        <v>0</v>
      </c>
      <c r="H1735" s="128">
        <v>0</v>
      </c>
      <c r="I1735" s="128">
        <v>0</v>
      </c>
    </row>
    <row r="1736" spans="1:9" ht="13.5">
      <c r="A1736" s="128">
        <v>1999</v>
      </c>
      <c r="B1736" s="128" t="s">
        <v>138</v>
      </c>
      <c r="C1736" s="128" t="s">
        <v>22</v>
      </c>
      <c r="D1736" s="128" t="s">
        <v>76</v>
      </c>
      <c r="E1736" s="128" t="s">
        <v>134</v>
      </c>
      <c r="F1736" s="128">
        <v>0</v>
      </c>
      <c r="G1736" s="128">
        <v>0</v>
      </c>
      <c r="H1736" s="128">
        <v>0</v>
      </c>
      <c r="I1736" s="128">
        <v>0</v>
      </c>
    </row>
    <row r="1737" spans="1:9" ht="13.5">
      <c r="A1737" s="128">
        <v>1999</v>
      </c>
      <c r="B1737" s="128" t="s">
        <v>138</v>
      </c>
      <c r="C1737" s="128" t="s">
        <v>22</v>
      </c>
      <c r="D1737" s="128" t="s">
        <v>76</v>
      </c>
      <c r="E1737" s="128" t="s">
        <v>135</v>
      </c>
      <c r="F1737" s="128">
        <v>0</v>
      </c>
      <c r="G1737" s="128">
        <v>0</v>
      </c>
      <c r="H1737" s="128">
        <v>0</v>
      </c>
      <c r="I1737" s="128">
        <v>0</v>
      </c>
    </row>
    <row r="1738" spans="1:9" ht="13.5">
      <c r="A1738" s="128">
        <v>1999</v>
      </c>
      <c r="B1738" s="128" t="s">
        <v>138</v>
      </c>
      <c r="C1738" s="128" t="s">
        <v>22</v>
      </c>
      <c r="D1738" s="128" t="s">
        <v>76</v>
      </c>
      <c r="E1738" s="128" t="s">
        <v>136</v>
      </c>
      <c r="F1738" s="128">
        <v>0</v>
      </c>
      <c r="G1738" s="128">
        <v>0</v>
      </c>
      <c r="H1738" s="128">
        <v>0</v>
      </c>
      <c r="I1738" s="128">
        <v>0</v>
      </c>
    </row>
    <row r="1739" spans="1:9" ht="13.5">
      <c r="A1739" s="128">
        <v>1999</v>
      </c>
      <c r="B1739" s="128" t="s">
        <v>138</v>
      </c>
      <c r="C1739" s="128" t="s">
        <v>23</v>
      </c>
      <c r="D1739" s="128" t="s">
        <v>77</v>
      </c>
      <c r="E1739" s="128" t="s">
        <v>132</v>
      </c>
      <c r="F1739" s="128">
        <v>0</v>
      </c>
      <c r="G1739" s="128">
        <v>0</v>
      </c>
      <c r="H1739" s="128">
        <v>0</v>
      </c>
      <c r="I1739" s="128">
        <v>0</v>
      </c>
    </row>
    <row r="1740" spans="1:9" ht="13.5">
      <c r="A1740" s="128">
        <v>1999</v>
      </c>
      <c r="B1740" s="128" t="s">
        <v>138</v>
      </c>
      <c r="C1740" s="128" t="s">
        <v>23</v>
      </c>
      <c r="D1740" s="128" t="s">
        <v>77</v>
      </c>
      <c r="E1740" s="128" t="s">
        <v>133</v>
      </c>
      <c r="F1740" s="128">
        <v>0</v>
      </c>
      <c r="G1740" s="128">
        <v>0</v>
      </c>
      <c r="H1740" s="128">
        <v>0</v>
      </c>
      <c r="I1740" s="128">
        <v>0</v>
      </c>
    </row>
    <row r="1741" spans="1:9" ht="13.5">
      <c r="A1741" s="128">
        <v>1999</v>
      </c>
      <c r="B1741" s="128" t="s">
        <v>138</v>
      </c>
      <c r="C1741" s="128" t="s">
        <v>23</v>
      </c>
      <c r="D1741" s="128" t="s">
        <v>77</v>
      </c>
      <c r="E1741" s="128" t="s">
        <v>134</v>
      </c>
      <c r="F1741" s="128">
        <v>0</v>
      </c>
      <c r="G1741" s="128">
        <v>0</v>
      </c>
      <c r="H1741" s="128">
        <v>0</v>
      </c>
      <c r="I1741" s="128">
        <v>0</v>
      </c>
    </row>
    <row r="1742" spans="1:9" ht="13.5">
      <c r="A1742" s="128">
        <v>1999</v>
      </c>
      <c r="B1742" s="128" t="s">
        <v>138</v>
      </c>
      <c r="C1742" s="128" t="s">
        <v>23</v>
      </c>
      <c r="D1742" s="128" t="s">
        <v>77</v>
      </c>
      <c r="E1742" s="128" t="s">
        <v>135</v>
      </c>
      <c r="F1742" s="128">
        <v>0</v>
      </c>
      <c r="G1742" s="128">
        <v>0</v>
      </c>
      <c r="H1742" s="128">
        <v>0</v>
      </c>
      <c r="I1742" s="128">
        <v>0</v>
      </c>
    </row>
    <row r="1743" spans="1:9" ht="13.5">
      <c r="A1743" s="128">
        <v>1999</v>
      </c>
      <c r="B1743" s="128" t="s">
        <v>138</v>
      </c>
      <c r="C1743" s="128" t="s">
        <v>23</v>
      </c>
      <c r="D1743" s="128" t="s">
        <v>79</v>
      </c>
      <c r="E1743" s="128" t="s">
        <v>132</v>
      </c>
      <c r="F1743" s="128">
        <v>0</v>
      </c>
      <c r="G1743" s="128">
        <v>0</v>
      </c>
      <c r="H1743" s="128">
        <v>0</v>
      </c>
      <c r="I1743" s="128">
        <v>0</v>
      </c>
    </row>
    <row r="1744" spans="1:9" ht="13.5">
      <c r="A1744" s="128">
        <v>1999</v>
      </c>
      <c r="B1744" s="128" t="s">
        <v>138</v>
      </c>
      <c r="C1744" s="128" t="s">
        <v>23</v>
      </c>
      <c r="D1744" s="128" t="s">
        <v>79</v>
      </c>
      <c r="E1744" s="128" t="s">
        <v>133</v>
      </c>
      <c r="F1744" s="128">
        <v>0</v>
      </c>
      <c r="G1744" s="128">
        <v>0</v>
      </c>
      <c r="H1744" s="128">
        <v>0</v>
      </c>
      <c r="I1744" s="128">
        <v>0</v>
      </c>
    </row>
    <row r="1745" spans="1:9" ht="13.5">
      <c r="A1745" s="128">
        <v>1999</v>
      </c>
      <c r="B1745" s="128" t="s">
        <v>138</v>
      </c>
      <c r="C1745" s="128" t="s">
        <v>23</v>
      </c>
      <c r="D1745" s="128" t="s">
        <v>79</v>
      </c>
      <c r="E1745" s="128" t="s">
        <v>134</v>
      </c>
      <c r="F1745" s="128">
        <v>0</v>
      </c>
      <c r="G1745" s="128">
        <v>0</v>
      </c>
      <c r="H1745" s="128">
        <v>0</v>
      </c>
      <c r="I1745" s="128">
        <v>0</v>
      </c>
    </row>
    <row r="1746" spans="1:9" ht="13.5">
      <c r="A1746" s="128">
        <v>1999</v>
      </c>
      <c r="B1746" s="128" t="s">
        <v>138</v>
      </c>
      <c r="C1746" s="128" t="s">
        <v>23</v>
      </c>
      <c r="D1746" s="128" t="s">
        <v>79</v>
      </c>
      <c r="E1746" s="128" t="s">
        <v>135</v>
      </c>
      <c r="F1746" s="128">
        <v>0</v>
      </c>
      <c r="G1746" s="128">
        <v>0</v>
      </c>
      <c r="H1746" s="128">
        <v>0</v>
      </c>
      <c r="I1746" s="128">
        <v>0</v>
      </c>
    </row>
    <row r="1747" spans="1:9" ht="13.5">
      <c r="A1747" s="128">
        <v>1999</v>
      </c>
      <c r="B1747" s="128" t="s">
        <v>138</v>
      </c>
      <c r="C1747" s="128" t="s">
        <v>23</v>
      </c>
      <c r="D1747" s="128" t="s">
        <v>79</v>
      </c>
      <c r="E1747" s="128" t="s">
        <v>136</v>
      </c>
      <c r="F1747" s="128">
        <v>0</v>
      </c>
      <c r="G1747" s="128">
        <v>0</v>
      </c>
      <c r="H1747" s="128">
        <v>0</v>
      </c>
      <c r="I1747" s="128">
        <v>0</v>
      </c>
    </row>
    <row r="1748" spans="1:9" ht="13.5">
      <c r="A1748" s="128">
        <v>1999</v>
      </c>
      <c r="B1748" s="128" t="s">
        <v>138</v>
      </c>
      <c r="C1748" s="128" t="s">
        <v>23</v>
      </c>
      <c r="D1748" s="128" t="s">
        <v>76</v>
      </c>
      <c r="E1748" s="128" t="s">
        <v>132</v>
      </c>
      <c r="F1748" s="128">
        <v>0</v>
      </c>
      <c r="G1748" s="128">
        <v>0</v>
      </c>
      <c r="H1748" s="128">
        <v>0</v>
      </c>
      <c r="I1748" s="128">
        <v>0</v>
      </c>
    </row>
    <row r="1749" spans="1:9" ht="13.5">
      <c r="A1749" s="128">
        <v>1999</v>
      </c>
      <c r="B1749" s="128" t="s">
        <v>138</v>
      </c>
      <c r="C1749" s="128" t="s">
        <v>23</v>
      </c>
      <c r="D1749" s="128" t="s">
        <v>76</v>
      </c>
      <c r="E1749" s="128" t="s">
        <v>133</v>
      </c>
      <c r="F1749" s="128">
        <v>0</v>
      </c>
      <c r="G1749" s="128">
        <v>0</v>
      </c>
      <c r="H1749" s="128">
        <v>0</v>
      </c>
      <c r="I1749" s="128">
        <v>0</v>
      </c>
    </row>
    <row r="1750" spans="1:9" ht="13.5">
      <c r="A1750" s="128">
        <v>1999</v>
      </c>
      <c r="B1750" s="128" t="s">
        <v>138</v>
      </c>
      <c r="C1750" s="128" t="s">
        <v>23</v>
      </c>
      <c r="D1750" s="128" t="s">
        <v>76</v>
      </c>
      <c r="E1750" s="128" t="s">
        <v>134</v>
      </c>
      <c r="F1750" s="128">
        <v>0</v>
      </c>
      <c r="G1750" s="128">
        <v>0</v>
      </c>
      <c r="H1750" s="128">
        <v>0</v>
      </c>
      <c r="I1750" s="128">
        <v>0</v>
      </c>
    </row>
    <row r="1751" spans="1:9" ht="13.5">
      <c r="A1751" s="128">
        <v>1999</v>
      </c>
      <c r="B1751" s="128" t="s">
        <v>138</v>
      </c>
      <c r="C1751" s="128" t="s">
        <v>23</v>
      </c>
      <c r="D1751" s="128" t="s">
        <v>76</v>
      </c>
      <c r="E1751" s="128" t="s">
        <v>135</v>
      </c>
      <c r="F1751" s="128">
        <v>0</v>
      </c>
      <c r="G1751" s="128">
        <v>0</v>
      </c>
      <c r="H1751" s="128">
        <v>0</v>
      </c>
      <c r="I1751" s="128">
        <v>0</v>
      </c>
    </row>
    <row r="1752" spans="1:9" ht="13.5">
      <c r="A1752" s="128">
        <v>1999</v>
      </c>
      <c r="B1752" s="128" t="s">
        <v>138</v>
      </c>
      <c r="C1752" s="128" t="s">
        <v>23</v>
      </c>
      <c r="D1752" s="128" t="s">
        <v>76</v>
      </c>
      <c r="E1752" s="128" t="s">
        <v>136</v>
      </c>
      <c r="F1752" s="128">
        <v>0</v>
      </c>
      <c r="G1752" s="128">
        <v>0</v>
      </c>
      <c r="H1752" s="128">
        <v>0</v>
      </c>
      <c r="I1752" s="128">
        <v>0</v>
      </c>
    </row>
    <row r="1753" spans="1:9" ht="13.5">
      <c r="A1753" s="128">
        <v>1999</v>
      </c>
      <c r="B1753" s="128" t="s">
        <v>138</v>
      </c>
      <c r="C1753" s="128" t="s">
        <v>25</v>
      </c>
      <c r="D1753" s="128" t="s">
        <v>77</v>
      </c>
      <c r="E1753" s="128" t="s">
        <v>132</v>
      </c>
      <c r="F1753" s="128">
        <v>0</v>
      </c>
      <c r="G1753" s="128">
        <v>0</v>
      </c>
      <c r="H1753" s="128">
        <v>0</v>
      </c>
      <c r="I1753" s="128">
        <v>0</v>
      </c>
    </row>
    <row r="1754" spans="1:9" ht="13.5">
      <c r="A1754" s="128">
        <v>1999</v>
      </c>
      <c r="B1754" s="128" t="s">
        <v>138</v>
      </c>
      <c r="C1754" s="128" t="s">
        <v>25</v>
      </c>
      <c r="D1754" s="128" t="s">
        <v>77</v>
      </c>
      <c r="E1754" s="128" t="s">
        <v>133</v>
      </c>
      <c r="F1754" s="128">
        <v>0</v>
      </c>
      <c r="G1754" s="128">
        <v>0</v>
      </c>
      <c r="H1754" s="128">
        <v>0</v>
      </c>
      <c r="I1754" s="128">
        <v>0</v>
      </c>
    </row>
    <row r="1755" spans="1:9" ht="13.5">
      <c r="A1755" s="128">
        <v>1999</v>
      </c>
      <c r="B1755" s="128" t="s">
        <v>138</v>
      </c>
      <c r="C1755" s="128" t="s">
        <v>25</v>
      </c>
      <c r="D1755" s="128" t="s">
        <v>77</v>
      </c>
      <c r="E1755" s="128" t="s">
        <v>134</v>
      </c>
      <c r="F1755" s="128">
        <v>0</v>
      </c>
      <c r="G1755" s="128">
        <v>0</v>
      </c>
      <c r="H1755" s="128">
        <v>0</v>
      </c>
      <c r="I1755" s="128">
        <v>0</v>
      </c>
    </row>
    <row r="1756" spans="1:9" ht="13.5">
      <c r="A1756" s="128">
        <v>1999</v>
      </c>
      <c r="B1756" s="128" t="s">
        <v>138</v>
      </c>
      <c r="C1756" s="128" t="s">
        <v>25</v>
      </c>
      <c r="D1756" s="128" t="s">
        <v>77</v>
      </c>
      <c r="E1756" s="128" t="s">
        <v>135</v>
      </c>
      <c r="F1756" s="128">
        <v>0</v>
      </c>
      <c r="G1756" s="128">
        <v>0</v>
      </c>
      <c r="H1756" s="128">
        <v>0</v>
      </c>
      <c r="I1756" s="128">
        <v>0</v>
      </c>
    </row>
    <row r="1757" spans="1:9" ht="13.5">
      <c r="A1757" s="128">
        <v>1999</v>
      </c>
      <c r="B1757" s="128" t="s">
        <v>138</v>
      </c>
      <c r="C1757" s="128" t="s">
        <v>25</v>
      </c>
      <c r="D1757" s="128" t="s">
        <v>79</v>
      </c>
      <c r="E1757" s="128" t="s">
        <v>132</v>
      </c>
      <c r="F1757" s="128">
        <v>0</v>
      </c>
      <c r="G1757" s="128">
        <v>0</v>
      </c>
      <c r="H1757" s="128">
        <v>0</v>
      </c>
      <c r="I1757" s="128">
        <v>0</v>
      </c>
    </row>
    <row r="1758" spans="1:9" ht="13.5">
      <c r="A1758" s="128">
        <v>1999</v>
      </c>
      <c r="B1758" s="128" t="s">
        <v>138</v>
      </c>
      <c r="C1758" s="128" t="s">
        <v>25</v>
      </c>
      <c r="D1758" s="128" t="s">
        <v>79</v>
      </c>
      <c r="E1758" s="128" t="s">
        <v>133</v>
      </c>
      <c r="F1758" s="128">
        <v>0</v>
      </c>
      <c r="G1758" s="128">
        <v>0</v>
      </c>
      <c r="H1758" s="128">
        <v>0</v>
      </c>
      <c r="I1758" s="128">
        <v>0</v>
      </c>
    </row>
    <row r="1759" spans="1:9" ht="13.5">
      <c r="A1759" s="128">
        <v>1999</v>
      </c>
      <c r="B1759" s="128" t="s">
        <v>138</v>
      </c>
      <c r="C1759" s="128" t="s">
        <v>25</v>
      </c>
      <c r="D1759" s="128" t="s">
        <v>79</v>
      </c>
      <c r="E1759" s="128" t="s">
        <v>134</v>
      </c>
      <c r="F1759" s="128">
        <v>0</v>
      </c>
      <c r="G1759" s="128">
        <v>0</v>
      </c>
      <c r="H1759" s="128">
        <v>0</v>
      </c>
      <c r="I1759" s="128">
        <v>0</v>
      </c>
    </row>
    <row r="1760" spans="1:9" ht="13.5">
      <c r="A1760" s="128">
        <v>1999</v>
      </c>
      <c r="B1760" s="128" t="s">
        <v>138</v>
      </c>
      <c r="C1760" s="128" t="s">
        <v>25</v>
      </c>
      <c r="D1760" s="128" t="s">
        <v>79</v>
      </c>
      <c r="E1760" s="128" t="s">
        <v>135</v>
      </c>
      <c r="F1760" s="128">
        <v>0</v>
      </c>
      <c r="G1760" s="128">
        <v>0</v>
      </c>
      <c r="H1760" s="128">
        <v>0</v>
      </c>
      <c r="I1760" s="128">
        <v>0</v>
      </c>
    </row>
    <row r="1761" spans="1:9" ht="13.5">
      <c r="A1761" s="128">
        <v>1999</v>
      </c>
      <c r="B1761" s="128" t="s">
        <v>138</v>
      </c>
      <c r="C1761" s="128" t="s">
        <v>25</v>
      </c>
      <c r="D1761" s="128" t="s">
        <v>79</v>
      </c>
      <c r="E1761" s="128" t="s">
        <v>136</v>
      </c>
      <c r="F1761" s="128">
        <v>0</v>
      </c>
      <c r="G1761" s="128">
        <v>0</v>
      </c>
      <c r="H1761" s="128">
        <v>0</v>
      </c>
      <c r="I1761" s="128">
        <v>0</v>
      </c>
    </row>
    <row r="1762" spans="1:9" ht="13.5">
      <c r="A1762" s="128">
        <v>1999</v>
      </c>
      <c r="B1762" s="128" t="s">
        <v>138</v>
      </c>
      <c r="C1762" s="128" t="s">
        <v>25</v>
      </c>
      <c r="D1762" s="128" t="s">
        <v>76</v>
      </c>
      <c r="E1762" s="128" t="s">
        <v>132</v>
      </c>
      <c r="F1762" s="128">
        <v>0</v>
      </c>
      <c r="G1762" s="128">
        <v>0</v>
      </c>
      <c r="H1762" s="128">
        <v>0</v>
      </c>
      <c r="I1762" s="128">
        <v>0</v>
      </c>
    </row>
    <row r="1763" spans="1:9" ht="13.5">
      <c r="A1763" s="128">
        <v>1999</v>
      </c>
      <c r="B1763" s="128" t="s">
        <v>138</v>
      </c>
      <c r="C1763" s="128" t="s">
        <v>25</v>
      </c>
      <c r="D1763" s="128" t="s">
        <v>76</v>
      </c>
      <c r="E1763" s="128" t="s">
        <v>133</v>
      </c>
      <c r="F1763" s="128">
        <v>0</v>
      </c>
      <c r="G1763" s="128">
        <v>0</v>
      </c>
      <c r="H1763" s="128">
        <v>0</v>
      </c>
      <c r="I1763" s="128">
        <v>0</v>
      </c>
    </row>
    <row r="1764" spans="1:9" ht="13.5">
      <c r="A1764" s="128">
        <v>1999</v>
      </c>
      <c r="B1764" s="128" t="s">
        <v>138</v>
      </c>
      <c r="C1764" s="128" t="s">
        <v>25</v>
      </c>
      <c r="D1764" s="128" t="s">
        <v>76</v>
      </c>
      <c r="E1764" s="128" t="s">
        <v>134</v>
      </c>
      <c r="F1764" s="128">
        <v>0</v>
      </c>
      <c r="G1764" s="128">
        <v>0</v>
      </c>
      <c r="H1764" s="128">
        <v>0</v>
      </c>
      <c r="I1764" s="128">
        <v>0</v>
      </c>
    </row>
    <row r="1765" spans="1:9" ht="13.5">
      <c r="A1765" s="128">
        <v>1999</v>
      </c>
      <c r="B1765" s="128" t="s">
        <v>138</v>
      </c>
      <c r="C1765" s="128" t="s">
        <v>25</v>
      </c>
      <c r="D1765" s="128" t="s">
        <v>76</v>
      </c>
      <c r="E1765" s="128" t="s">
        <v>135</v>
      </c>
      <c r="F1765" s="128">
        <v>0</v>
      </c>
      <c r="G1765" s="128">
        <v>0</v>
      </c>
      <c r="H1765" s="128">
        <v>0</v>
      </c>
      <c r="I1765" s="128">
        <v>0</v>
      </c>
    </row>
    <row r="1766" spans="1:9" ht="13.5">
      <c r="A1766" s="128">
        <v>1999</v>
      </c>
      <c r="B1766" s="128" t="s">
        <v>138</v>
      </c>
      <c r="C1766" s="128" t="s">
        <v>25</v>
      </c>
      <c r="D1766" s="128" t="s">
        <v>76</v>
      </c>
      <c r="E1766" s="128" t="s">
        <v>136</v>
      </c>
      <c r="F1766" s="128">
        <v>0</v>
      </c>
      <c r="G1766" s="128">
        <v>0</v>
      </c>
      <c r="H1766" s="128">
        <v>0</v>
      </c>
      <c r="I1766" s="128">
        <v>0</v>
      </c>
    </row>
    <row r="1767" spans="1:9" ht="13.5">
      <c r="A1767" s="128">
        <v>1999</v>
      </c>
      <c r="B1767" s="128" t="s">
        <v>138</v>
      </c>
      <c r="C1767" s="128" t="s">
        <v>21</v>
      </c>
      <c r="D1767" s="128" t="s">
        <v>77</v>
      </c>
      <c r="E1767" s="128" t="s">
        <v>132</v>
      </c>
      <c r="F1767" s="128">
        <v>0</v>
      </c>
      <c r="G1767" s="128">
        <v>0</v>
      </c>
      <c r="H1767" s="128">
        <v>0</v>
      </c>
      <c r="I1767" s="128">
        <v>0</v>
      </c>
    </row>
    <row r="1768" spans="1:9" ht="13.5">
      <c r="A1768" s="128">
        <v>1999</v>
      </c>
      <c r="B1768" s="128" t="s">
        <v>138</v>
      </c>
      <c r="C1768" s="128" t="s">
        <v>21</v>
      </c>
      <c r="D1768" s="128" t="s">
        <v>77</v>
      </c>
      <c r="E1768" s="128" t="s">
        <v>133</v>
      </c>
      <c r="F1768" s="128">
        <v>0</v>
      </c>
      <c r="G1768" s="128">
        <v>0</v>
      </c>
      <c r="H1768" s="128">
        <v>0</v>
      </c>
      <c r="I1768" s="128">
        <v>0</v>
      </c>
    </row>
    <row r="1769" spans="1:9" ht="13.5">
      <c r="A1769" s="128">
        <v>1999</v>
      </c>
      <c r="B1769" s="128" t="s">
        <v>138</v>
      </c>
      <c r="C1769" s="128" t="s">
        <v>21</v>
      </c>
      <c r="D1769" s="128" t="s">
        <v>77</v>
      </c>
      <c r="E1769" s="128" t="s">
        <v>134</v>
      </c>
      <c r="F1769" s="128">
        <v>0</v>
      </c>
      <c r="G1769" s="128">
        <v>0</v>
      </c>
      <c r="H1769" s="128">
        <v>0</v>
      </c>
      <c r="I1769" s="128">
        <v>0</v>
      </c>
    </row>
    <row r="1770" spans="1:9" ht="13.5">
      <c r="A1770" s="128">
        <v>1999</v>
      </c>
      <c r="B1770" s="128" t="s">
        <v>138</v>
      </c>
      <c r="C1770" s="128" t="s">
        <v>21</v>
      </c>
      <c r="D1770" s="128" t="s">
        <v>77</v>
      </c>
      <c r="E1770" s="128" t="s">
        <v>135</v>
      </c>
      <c r="F1770" s="128">
        <v>0</v>
      </c>
      <c r="G1770" s="128">
        <v>0</v>
      </c>
      <c r="H1770" s="128">
        <v>0</v>
      </c>
      <c r="I1770" s="128">
        <v>0</v>
      </c>
    </row>
    <row r="1771" spans="1:9" ht="13.5">
      <c r="A1771" s="128">
        <v>1999</v>
      </c>
      <c r="B1771" s="128" t="s">
        <v>138</v>
      </c>
      <c r="C1771" s="128" t="s">
        <v>21</v>
      </c>
      <c r="D1771" s="128" t="s">
        <v>79</v>
      </c>
      <c r="E1771" s="128" t="s">
        <v>132</v>
      </c>
      <c r="F1771" s="128">
        <v>0</v>
      </c>
      <c r="G1771" s="128">
        <v>0</v>
      </c>
      <c r="H1771" s="128">
        <v>0</v>
      </c>
      <c r="I1771" s="128">
        <v>0</v>
      </c>
    </row>
    <row r="1772" spans="1:9" ht="13.5">
      <c r="A1772" s="128">
        <v>1999</v>
      </c>
      <c r="B1772" s="128" t="s">
        <v>138</v>
      </c>
      <c r="C1772" s="128" t="s">
        <v>21</v>
      </c>
      <c r="D1772" s="128" t="s">
        <v>79</v>
      </c>
      <c r="E1772" s="128" t="s">
        <v>133</v>
      </c>
      <c r="F1772" s="128">
        <v>0</v>
      </c>
      <c r="G1772" s="128">
        <v>0</v>
      </c>
      <c r="H1772" s="128">
        <v>0</v>
      </c>
      <c r="I1772" s="128">
        <v>0</v>
      </c>
    </row>
    <row r="1773" spans="1:9" ht="13.5">
      <c r="A1773" s="128">
        <v>1999</v>
      </c>
      <c r="B1773" s="128" t="s">
        <v>138</v>
      </c>
      <c r="C1773" s="128" t="s">
        <v>21</v>
      </c>
      <c r="D1773" s="128" t="s">
        <v>79</v>
      </c>
      <c r="E1773" s="128" t="s">
        <v>134</v>
      </c>
      <c r="F1773" s="128">
        <v>0</v>
      </c>
      <c r="G1773" s="128">
        <v>0</v>
      </c>
      <c r="H1773" s="128">
        <v>0</v>
      </c>
      <c r="I1773" s="128">
        <v>0</v>
      </c>
    </row>
    <row r="1774" spans="1:9" ht="13.5">
      <c r="A1774" s="128">
        <v>1999</v>
      </c>
      <c r="B1774" s="128" t="s">
        <v>138</v>
      </c>
      <c r="C1774" s="128" t="s">
        <v>21</v>
      </c>
      <c r="D1774" s="128" t="s">
        <v>79</v>
      </c>
      <c r="E1774" s="128" t="s">
        <v>135</v>
      </c>
      <c r="F1774" s="128">
        <v>0</v>
      </c>
      <c r="G1774" s="128">
        <v>0</v>
      </c>
      <c r="H1774" s="128">
        <v>0</v>
      </c>
      <c r="I1774" s="128">
        <v>0</v>
      </c>
    </row>
    <row r="1775" spans="1:9" ht="13.5">
      <c r="A1775" s="128">
        <v>1999</v>
      </c>
      <c r="B1775" s="128" t="s">
        <v>138</v>
      </c>
      <c r="C1775" s="128" t="s">
        <v>21</v>
      </c>
      <c r="D1775" s="128" t="s">
        <v>79</v>
      </c>
      <c r="E1775" s="128" t="s">
        <v>136</v>
      </c>
      <c r="F1775" s="128">
        <v>0</v>
      </c>
      <c r="G1775" s="128">
        <v>0</v>
      </c>
      <c r="H1775" s="128">
        <v>0</v>
      </c>
      <c r="I1775" s="128">
        <v>0</v>
      </c>
    </row>
    <row r="1776" spans="1:9" ht="13.5">
      <c r="A1776" s="128">
        <v>1999</v>
      </c>
      <c r="B1776" s="128" t="s">
        <v>138</v>
      </c>
      <c r="C1776" s="128" t="s">
        <v>21</v>
      </c>
      <c r="D1776" s="128" t="s">
        <v>76</v>
      </c>
      <c r="E1776" s="128" t="s">
        <v>132</v>
      </c>
      <c r="F1776" s="128">
        <v>0</v>
      </c>
      <c r="G1776" s="128">
        <v>0</v>
      </c>
      <c r="H1776" s="128">
        <v>0</v>
      </c>
      <c r="I1776" s="128">
        <v>0</v>
      </c>
    </row>
    <row r="1777" spans="1:9" ht="13.5">
      <c r="A1777" s="128">
        <v>1999</v>
      </c>
      <c r="B1777" s="128" t="s">
        <v>138</v>
      </c>
      <c r="C1777" s="128" t="s">
        <v>21</v>
      </c>
      <c r="D1777" s="128" t="s">
        <v>76</v>
      </c>
      <c r="E1777" s="128" t="s">
        <v>133</v>
      </c>
      <c r="F1777" s="128">
        <v>0</v>
      </c>
      <c r="G1777" s="128">
        <v>0</v>
      </c>
      <c r="H1777" s="128">
        <v>0</v>
      </c>
      <c r="I1777" s="128">
        <v>0</v>
      </c>
    </row>
    <row r="1778" spans="1:9" ht="13.5">
      <c r="A1778" s="128">
        <v>1999</v>
      </c>
      <c r="B1778" s="128" t="s">
        <v>138</v>
      </c>
      <c r="C1778" s="128" t="s">
        <v>21</v>
      </c>
      <c r="D1778" s="128" t="s">
        <v>76</v>
      </c>
      <c r="E1778" s="128" t="s">
        <v>134</v>
      </c>
      <c r="F1778" s="128">
        <v>0</v>
      </c>
      <c r="G1778" s="128">
        <v>0</v>
      </c>
      <c r="H1778" s="128">
        <v>0</v>
      </c>
      <c r="I1778" s="128">
        <v>0</v>
      </c>
    </row>
    <row r="1779" spans="1:9" ht="13.5">
      <c r="A1779" s="128">
        <v>1999</v>
      </c>
      <c r="B1779" s="128" t="s">
        <v>138</v>
      </c>
      <c r="C1779" s="128" t="s">
        <v>21</v>
      </c>
      <c r="D1779" s="128" t="s">
        <v>76</v>
      </c>
      <c r="E1779" s="128" t="s">
        <v>135</v>
      </c>
      <c r="F1779" s="128">
        <v>0</v>
      </c>
      <c r="G1779" s="128">
        <v>0</v>
      </c>
      <c r="H1779" s="128">
        <v>0</v>
      </c>
      <c r="I1779" s="128">
        <v>0</v>
      </c>
    </row>
    <row r="1780" spans="1:9" ht="13.5">
      <c r="A1780" s="128">
        <v>1999</v>
      </c>
      <c r="B1780" s="128" t="s">
        <v>138</v>
      </c>
      <c r="C1780" s="128" t="s">
        <v>21</v>
      </c>
      <c r="D1780" s="128" t="s">
        <v>76</v>
      </c>
      <c r="E1780" s="128" t="s">
        <v>136</v>
      </c>
      <c r="F1780" s="128">
        <v>0</v>
      </c>
      <c r="G1780" s="128">
        <v>0</v>
      </c>
      <c r="H1780" s="128">
        <v>0</v>
      </c>
      <c r="I1780" s="128">
        <v>0</v>
      </c>
    </row>
    <row r="1781" spans="1:9" ht="13.5">
      <c r="A1781" s="128">
        <v>1999</v>
      </c>
      <c r="B1781" s="128" t="s">
        <v>138</v>
      </c>
      <c r="C1781" s="128" t="s">
        <v>24</v>
      </c>
      <c r="D1781" s="128" t="s">
        <v>77</v>
      </c>
      <c r="E1781" s="128" t="s">
        <v>132</v>
      </c>
      <c r="F1781" s="128">
        <v>0</v>
      </c>
      <c r="G1781" s="128">
        <v>0</v>
      </c>
      <c r="H1781" s="128">
        <v>0</v>
      </c>
      <c r="I1781" s="128">
        <v>0</v>
      </c>
    </row>
    <row r="1782" spans="1:9" ht="13.5">
      <c r="A1782" s="128">
        <v>1999</v>
      </c>
      <c r="B1782" s="128" t="s">
        <v>138</v>
      </c>
      <c r="C1782" s="128" t="s">
        <v>24</v>
      </c>
      <c r="D1782" s="128" t="s">
        <v>77</v>
      </c>
      <c r="E1782" s="128" t="s">
        <v>133</v>
      </c>
      <c r="F1782" s="128">
        <v>0</v>
      </c>
      <c r="G1782" s="128">
        <v>0</v>
      </c>
      <c r="H1782" s="128">
        <v>0</v>
      </c>
      <c r="I1782" s="128">
        <v>0</v>
      </c>
    </row>
    <row r="1783" spans="1:9" ht="13.5">
      <c r="A1783" s="128">
        <v>1999</v>
      </c>
      <c r="B1783" s="128" t="s">
        <v>138</v>
      </c>
      <c r="C1783" s="128" t="s">
        <v>24</v>
      </c>
      <c r="D1783" s="128" t="s">
        <v>77</v>
      </c>
      <c r="E1783" s="128" t="s">
        <v>134</v>
      </c>
      <c r="F1783" s="128">
        <v>0</v>
      </c>
      <c r="G1783" s="128">
        <v>0</v>
      </c>
      <c r="H1783" s="128">
        <v>0</v>
      </c>
      <c r="I1783" s="128">
        <v>0</v>
      </c>
    </row>
    <row r="1784" spans="1:9" ht="13.5">
      <c r="A1784" s="128">
        <v>1999</v>
      </c>
      <c r="B1784" s="128" t="s">
        <v>138</v>
      </c>
      <c r="C1784" s="128" t="s">
        <v>24</v>
      </c>
      <c r="D1784" s="128" t="s">
        <v>77</v>
      </c>
      <c r="E1784" s="128" t="s">
        <v>135</v>
      </c>
      <c r="F1784" s="128">
        <v>0</v>
      </c>
      <c r="G1784" s="128">
        <v>0</v>
      </c>
      <c r="H1784" s="128">
        <v>0</v>
      </c>
      <c r="I1784" s="128">
        <v>0</v>
      </c>
    </row>
    <row r="1785" spans="1:9" ht="13.5">
      <c r="A1785" s="128">
        <v>1999</v>
      </c>
      <c r="B1785" s="128" t="s">
        <v>138</v>
      </c>
      <c r="C1785" s="128" t="s">
        <v>24</v>
      </c>
      <c r="D1785" s="128" t="s">
        <v>79</v>
      </c>
      <c r="E1785" s="128" t="s">
        <v>132</v>
      </c>
      <c r="F1785" s="128">
        <v>0</v>
      </c>
      <c r="G1785" s="128">
        <v>0</v>
      </c>
      <c r="H1785" s="128">
        <v>0</v>
      </c>
      <c r="I1785" s="128">
        <v>0</v>
      </c>
    </row>
    <row r="1786" spans="1:9" ht="13.5">
      <c r="A1786" s="128">
        <v>1999</v>
      </c>
      <c r="B1786" s="128" t="s">
        <v>138</v>
      </c>
      <c r="C1786" s="128" t="s">
        <v>24</v>
      </c>
      <c r="D1786" s="128" t="s">
        <v>79</v>
      </c>
      <c r="E1786" s="128" t="s">
        <v>133</v>
      </c>
      <c r="F1786" s="128">
        <v>0</v>
      </c>
      <c r="G1786" s="128">
        <v>0</v>
      </c>
      <c r="H1786" s="128">
        <v>0</v>
      </c>
      <c r="I1786" s="128">
        <v>0</v>
      </c>
    </row>
    <row r="1787" spans="1:9" ht="13.5">
      <c r="A1787" s="128">
        <v>1999</v>
      </c>
      <c r="B1787" s="128" t="s">
        <v>138</v>
      </c>
      <c r="C1787" s="128" t="s">
        <v>24</v>
      </c>
      <c r="D1787" s="128" t="s">
        <v>79</v>
      </c>
      <c r="E1787" s="128" t="s">
        <v>134</v>
      </c>
      <c r="F1787" s="128">
        <v>0</v>
      </c>
      <c r="G1787" s="128">
        <v>0</v>
      </c>
      <c r="H1787" s="128">
        <v>0</v>
      </c>
      <c r="I1787" s="128">
        <v>0</v>
      </c>
    </row>
    <row r="1788" spans="1:9" ht="13.5">
      <c r="A1788" s="128">
        <v>1999</v>
      </c>
      <c r="B1788" s="128" t="s">
        <v>138</v>
      </c>
      <c r="C1788" s="128" t="s">
        <v>24</v>
      </c>
      <c r="D1788" s="128" t="s">
        <v>79</v>
      </c>
      <c r="E1788" s="128" t="s">
        <v>135</v>
      </c>
      <c r="F1788" s="128">
        <v>0</v>
      </c>
      <c r="G1788" s="128">
        <v>0</v>
      </c>
      <c r="H1788" s="128">
        <v>0</v>
      </c>
      <c r="I1788" s="128">
        <v>0</v>
      </c>
    </row>
    <row r="1789" spans="1:9" ht="13.5">
      <c r="A1789" s="128">
        <v>1999</v>
      </c>
      <c r="B1789" s="128" t="s">
        <v>138</v>
      </c>
      <c r="C1789" s="128" t="s">
        <v>24</v>
      </c>
      <c r="D1789" s="128" t="s">
        <v>79</v>
      </c>
      <c r="E1789" s="128" t="s">
        <v>136</v>
      </c>
      <c r="F1789" s="128">
        <v>0</v>
      </c>
      <c r="G1789" s="128">
        <v>0</v>
      </c>
      <c r="H1789" s="128">
        <v>0</v>
      </c>
      <c r="I1789" s="128">
        <v>0</v>
      </c>
    </row>
    <row r="1790" spans="1:9" ht="13.5">
      <c r="A1790" s="128">
        <v>1999</v>
      </c>
      <c r="B1790" s="128" t="s">
        <v>138</v>
      </c>
      <c r="C1790" s="128" t="s">
        <v>24</v>
      </c>
      <c r="D1790" s="128" t="s">
        <v>76</v>
      </c>
      <c r="E1790" s="128" t="s">
        <v>132</v>
      </c>
      <c r="F1790" s="128">
        <v>0</v>
      </c>
      <c r="G1790" s="128">
        <v>0</v>
      </c>
      <c r="H1790" s="128">
        <v>0</v>
      </c>
      <c r="I1790" s="128">
        <v>0</v>
      </c>
    </row>
    <row r="1791" spans="1:9" ht="13.5">
      <c r="A1791" s="128">
        <v>1999</v>
      </c>
      <c r="B1791" s="128" t="s">
        <v>138</v>
      </c>
      <c r="C1791" s="128" t="s">
        <v>24</v>
      </c>
      <c r="D1791" s="128" t="s">
        <v>76</v>
      </c>
      <c r="E1791" s="128" t="s">
        <v>133</v>
      </c>
      <c r="F1791" s="128">
        <v>0</v>
      </c>
      <c r="G1791" s="128">
        <v>0</v>
      </c>
      <c r="H1791" s="128">
        <v>0</v>
      </c>
      <c r="I1791" s="128">
        <v>0</v>
      </c>
    </row>
    <row r="1792" spans="1:9" ht="13.5">
      <c r="A1792" s="128">
        <v>1999</v>
      </c>
      <c r="B1792" s="128" t="s">
        <v>138</v>
      </c>
      <c r="C1792" s="128" t="s">
        <v>24</v>
      </c>
      <c r="D1792" s="128" t="s">
        <v>76</v>
      </c>
      <c r="E1792" s="128" t="s">
        <v>134</v>
      </c>
      <c r="F1792" s="128">
        <v>0</v>
      </c>
      <c r="G1792" s="128">
        <v>0</v>
      </c>
      <c r="H1792" s="128">
        <v>0</v>
      </c>
      <c r="I1792" s="128">
        <v>0</v>
      </c>
    </row>
    <row r="1793" spans="1:9" ht="13.5">
      <c r="A1793" s="128">
        <v>1999</v>
      </c>
      <c r="B1793" s="128" t="s">
        <v>138</v>
      </c>
      <c r="C1793" s="128" t="s">
        <v>24</v>
      </c>
      <c r="D1793" s="128" t="s">
        <v>76</v>
      </c>
      <c r="E1793" s="128" t="s">
        <v>135</v>
      </c>
      <c r="F1793" s="128">
        <v>0</v>
      </c>
      <c r="G1793" s="128">
        <v>0</v>
      </c>
      <c r="H1793" s="128">
        <v>0</v>
      </c>
      <c r="I1793" s="128">
        <v>0</v>
      </c>
    </row>
    <row r="1794" spans="1:9" ht="13.5">
      <c r="A1794" s="128">
        <v>1999</v>
      </c>
      <c r="B1794" s="128" t="s">
        <v>138</v>
      </c>
      <c r="C1794" s="128" t="s">
        <v>24</v>
      </c>
      <c r="D1794" s="128" t="s">
        <v>76</v>
      </c>
      <c r="E1794" s="128" t="s">
        <v>136</v>
      </c>
      <c r="F1794" s="128">
        <v>0</v>
      </c>
      <c r="G1794" s="128">
        <v>0</v>
      </c>
      <c r="H1794" s="128">
        <v>0</v>
      </c>
      <c r="I1794" s="128">
        <v>0</v>
      </c>
    </row>
    <row r="1795" spans="1:9" ht="13.5">
      <c r="A1795" s="128">
        <v>1999</v>
      </c>
      <c r="B1795" s="128" t="s">
        <v>139</v>
      </c>
      <c r="C1795" s="128" t="s">
        <v>26</v>
      </c>
      <c r="D1795" s="128" t="s">
        <v>77</v>
      </c>
      <c r="E1795" s="128" t="s">
        <v>132</v>
      </c>
      <c r="F1795" s="128">
        <v>0</v>
      </c>
      <c r="G1795" s="128">
        <v>0</v>
      </c>
      <c r="H1795" s="128">
        <v>0</v>
      </c>
      <c r="I1795" s="128">
        <v>0</v>
      </c>
    </row>
    <row r="1796" spans="1:9" ht="13.5">
      <c r="A1796" s="128">
        <v>1999</v>
      </c>
      <c r="B1796" s="128" t="s">
        <v>139</v>
      </c>
      <c r="C1796" s="128" t="s">
        <v>26</v>
      </c>
      <c r="D1796" s="128" t="s">
        <v>77</v>
      </c>
      <c r="E1796" s="128" t="s">
        <v>133</v>
      </c>
      <c r="F1796" s="128">
        <v>0</v>
      </c>
      <c r="G1796" s="128">
        <v>0</v>
      </c>
      <c r="H1796" s="128">
        <v>0</v>
      </c>
      <c r="I1796" s="128">
        <v>0</v>
      </c>
    </row>
    <row r="1797" spans="1:9" ht="13.5">
      <c r="A1797" s="128">
        <v>1999</v>
      </c>
      <c r="B1797" s="128" t="s">
        <v>139</v>
      </c>
      <c r="C1797" s="128" t="s">
        <v>26</v>
      </c>
      <c r="D1797" s="128" t="s">
        <v>77</v>
      </c>
      <c r="E1797" s="128" t="s">
        <v>134</v>
      </c>
      <c r="F1797" s="128">
        <v>0</v>
      </c>
      <c r="G1797" s="128">
        <v>0</v>
      </c>
      <c r="H1797" s="128">
        <v>0</v>
      </c>
      <c r="I1797" s="128">
        <v>0</v>
      </c>
    </row>
    <row r="1798" spans="1:9" ht="13.5">
      <c r="A1798" s="128">
        <v>1999</v>
      </c>
      <c r="B1798" s="128" t="s">
        <v>139</v>
      </c>
      <c r="C1798" s="128" t="s">
        <v>26</v>
      </c>
      <c r="D1798" s="128" t="s">
        <v>77</v>
      </c>
      <c r="E1798" s="128" t="s">
        <v>135</v>
      </c>
      <c r="F1798" s="128">
        <v>0</v>
      </c>
      <c r="G1798" s="128">
        <v>0</v>
      </c>
      <c r="H1798" s="128">
        <v>0</v>
      </c>
      <c r="I1798" s="128">
        <v>0</v>
      </c>
    </row>
    <row r="1799" spans="1:9" ht="13.5">
      <c r="A1799" s="128">
        <v>1999</v>
      </c>
      <c r="B1799" s="128" t="s">
        <v>139</v>
      </c>
      <c r="C1799" s="128" t="s">
        <v>26</v>
      </c>
      <c r="D1799" s="128" t="s">
        <v>79</v>
      </c>
      <c r="E1799" s="128" t="s">
        <v>132</v>
      </c>
      <c r="F1799" s="128">
        <v>0</v>
      </c>
      <c r="G1799" s="128">
        <v>0</v>
      </c>
      <c r="H1799" s="128">
        <v>0</v>
      </c>
      <c r="I1799" s="128">
        <v>0</v>
      </c>
    </row>
    <row r="1800" spans="1:9" ht="13.5">
      <c r="A1800" s="128">
        <v>1999</v>
      </c>
      <c r="B1800" s="128" t="s">
        <v>139</v>
      </c>
      <c r="C1800" s="128" t="s">
        <v>26</v>
      </c>
      <c r="D1800" s="128" t="s">
        <v>79</v>
      </c>
      <c r="E1800" s="128" t="s">
        <v>133</v>
      </c>
      <c r="F1800" s="128">
        <v>0</v>
      </c>
      <c r="G1800" s="128">
        <v>0</v>
      </c>
      <c r="H1800" s="128">
        <v>0</v>
      </c>
      <c r="I1800" s="128">
        <v>0</v>
      </c>
    </row>
    <row r="1801" spans="1:9" ht="13.5">
      <c r="A1801" s="128">
        <v>1999</v>
      </c>
      <c r="B1801" s="128" t="s">
        <v>139</v>
      </c>
      <c r="C1801" s="128" t="s">
        <v>26</v>
      </c>
      <c r="D1801" s="128" t="s">
        <v>79</v>
      </c>
      <c r="E1801" s="128" t="s">
        <v>134</v>
      </c>
      <c r="F1801" s="128">
        <v>0</v>
      </c>
      <c r="G1801" s="128">
        <v>0</v>
      </c>
      <c r="H1801" s="128">
        <v>0</v>
      </c>
      <c r="I1801" s="128">
        <v>0</v>
      </c>
    </row>
    <row r="1802" spans="1:9" ht="13.5">
      <c r="A1802" s="128">
        <v>1999</v>
      </c>
      <c r="B1802" s="128" t="s">
        <v>139</v>
      </c>
      <c r="C1802" s="128" t="s">
        <v>26</v>
      </c>
      <c r="D1802" s="128" t="s">
        <v>79</v>
      </c>
      <c r="E1802" s="128" t="s">
        <v>135</v>
      </c>
      <c r="F1802" s="128">
        <v>0</v>
      </c>
      <c r="G1802" s="128">
        <v>0</v>
      </c>
      <c r="H1802" s="128">
        <v>0</v>
      </c>
      <c r="I1802" s="128">
        <v>0</v>
      </c>
    </row>
    <row r="1803" spans="1:9" ht="13.5">
      <c r="A1803" s="128">
        <v>1999</v>
      </c>
      <c r="B1803" s="128" t="s">
        <v>139</v>
      </c>
      <c r="C1803" s="128" t="s">
        <v>26</v>
      </c>
      <c r="D1803" s="128" t="s">
        <v>79</v>
      </c>
      <c r="E1803" s="128" t="s">
        <v>136</v>
      </c>
      <c r="F1803" s="128">
        <v>0</v>
      </c>
      <c r="G1803" s="128">
        <v>0</v>
      </c>
      <c r="H1803" s="128">
        <v>0</v>
      </c>
      <c r="I1803" s="128">
        <v>0</v>
      </c>
    </row>
    <row r="1804" spans="1:9" ht="13.5">
      <c r="A1804" s="128">
        <v>1999</v>
      </c>
      <c r="B1804" s="128" t="s">
        <v>139</v>
      </c>
      <c r="C1804" s="128" t="s">
        <v>26</v>
      </c>
      <c r="D1804" s="128" t="s">
        <v>76</v>
      </c>
      <c r="E1804" s="128" t="s">
        <v>132</v>
      </c>
      <c r="F1804" s="128">
        <v>0</v>
      </c>
      <c r="G1804" s="128">
        <v>0</v>
      </c>
      <c r="H1804" s="128">
        <v>0</v>
      </c>
      <c r="I1804" s="128">
        <v>0</v>
      </c>
    </row>
    <row r="1805" spans="1:9" ht="13.5">
      <c r="A1805" s="128">
        <v>1999</v>
      </c>
      <c r="B1805" s="128" t="s">
        <v>139</v>
      </c>
      <c r="C1805" s="128" t="s">
        <v>26</v>
      </c>
      <c r="D1805" s="128" t="s">
        <v>76</v>
      </c>
      <c r="E1805" s="128" t="s">
        <v>133</v>
      </c>
      <c r="F1805" s="128">
        <v>0</v>
      </c>
      <c r="G1805" s="128">
        <v>0</v>
      </c>
      <c r="H1805" s="128">
        <v>0</v>
      </c>
      <c r="I1805" s="128">
        <v>0</v>
      </c>
    </row>
    <row r="1806" spans="1:9" ht="13.5">
      <c r="A1806" s="128">
        <v>1999</v>
      </c>
      <c r="B1806" s="128" t="s">
        <v>139</v>
      </c>
      <c r="C1806" s="128" t="s">
        <v>26</v>
      </c>
      <c r="D1806" s="128" t="s">
        <v>76</v>
      </c>
      <c r="E1806" s="128" t="s">
        <v>134</v>
      </c>
      <c r="F1806" s="128">
        <v>0</v>
      </c>
      <c r="G1806" s="128">
        <v>0</v>
      </c>
      <c r="H1806" s="128">
        <v>0</v>
      </c>
      <c r="I1806" s="128">
        <v>0</v>
      </c>
    </row>
    <row r="1807" spans="1:9" ht="13.5">
      <c r="A1807" s="128">
        <v>1999</v>
      </c>
      <c r="B1807" s="128" t="s">
        <v>139</v>
      </c>
      <c r="C1807" s="128" t="s">
        <v>26</v>
      </c>
      <c r="D1807" s="128" t="s">
        <v>76</v>
      </c>
      <c r="E1807" s="128" t="s">
        <v>135</v>
      </c>
      <c r="F1807" s="128">
        <v>0</v>
      </c>
      <c r="G1807" s="128">
        <v>0</v>
      </c>
      <c r="H1807" s="128">
        <v>0</v>
      </c>
      <c r="I1807" s="128">
        <v>0</v>
      </c>
    </row>
    <row r="1808" spans="1:9" ht="13.5">
      <c r="A1808" s="128">
        <v>1999</v>
      </c>
      <c r="B1808" s="128" t="s">
        <v>139</v>
      </c>
      <c r="C1808" s="128" t="s">
        <v>26</v>
      </c>
      <c r="D1808" s="128" t="s">
        <v>76</v>
      </c>
      <c r="E1808" s="128" t="s">
        <v>136</v>
      </c>
      <c r="F1808" s="128">
        <v>0</v>
      </c>
      <c r="G1808" s="128">
        <v>0</v>
      </c>
      <c r="H1808" s="128">
        <v>0</v>
      </c>
      <c r="I1808" s="128">
        <v>0</v>
      </c>
    </row>
    <row r="1809" spans="1:9" ht="13.5">
      <c r="A1809" s="128">
        <v>1999</v>
      </c>
      <c r="B1809" s="128" t="s">
        <v>139</v>
      </c>
      <c r="C1809" s="128" t="s">
        <v>20</v>
      </c>
      <c r="D1809" s="128" t="s">
        <v>77</v>
      </c>
      <c r="E1809" s="128" t="s">
        <v>132</v>
      </c>
      <c r="F1809" s="128">
        <v>0</v>
      </c>
      <c r="G1809" s="128">
        <v>0</v>
      </c>
      <c r="H1809" s="128">
        <v>0</v>
      </c>
      <c r="I1809" s="128">
        <v>0</v>
      </c>
    </row>
    <row r="1810" spans="1:9" ht="13.5">
      <c r="A1810" s="128">
        <v>1999</v>
      </c>
      <c r="B1810" s="128" t="s">
        <v>139</v>
      </c>
      <c r="C1810" s="128" t="s">
        <v>20</v>
      </c>
      <c r="D1810" s="128" t="s">
        <v>77</v>
      </c>
      <c r="E1810" s="128" t="s">
        <v>133</v>
      </c>
      <c r="F1810" s="128">
        <v>0</v>
      </c>
      <c r="G1810" s="128">
        <v>0</v>
      </c>
      <c r="H1810" s="128">
        <v>0</v>
      </c>
      <c r="I1810" s="128">
        <v>0</v>
      </c>
    </row>
    <row r="1811" spans="1:9" ht="13.5">
      <c r="A1811" s="128">
        <v>1999</v>
      </c>
      <c r="B1811" s="128" t="s">
        <v>139</v>
      </c>
      <c r="C1811" s="128" t="s">
        <v>20</v>
      </c>
      <c r="D1811" s="128" t="s">
        <v>77</v>
      </c>
      <c r="E1811" s="128" t="s">
        <v>134</v>
      </c>
      <c r="F1811" s="128">
        <v>0</v>
      </c>
      <c r="G1811" s="128">
        <v>0</v>
      </c>
      <c r="H1811" s="128">
        <v>0</v>
      </c>
      <c r="I1811" s="128">
        <v>0</v>
      </c>
    </row>
    <row r="1812" spans="1:9" ht="13.5">
      <c r="A1812" s="128">
        <v>1999</v>
      </c>
      <c r="B1812" s="128" t="s">
        <v>139</v>
      </c>
      <c r="C1812" s="128" t="s">
        <v>20</v>
      </c>
      <c r="D1812" s="128" t="s">
        <v>77</v>
      </c>
      <c r="E1812" s="128" t="s">
        <v>135</v>
      </c>
      <c r="F1812" s="128">
        <v>0</v>
      </c>
      <c r="G1812" s="128">
        <v>0</v>
      </c>
      <c r="H1812" s="128">
        <v>0</v>
      </c>
      <c r="I1812" s="128">
        <v>0</v>
      </c>
    </row>
    <row r="1813" spans="1:9" ht="13.5">
      <c r="A1813" s="128">
        <v>1999</v>
      </c>
      <c r="B1813" s="128" t="s">
        <v>139</v>
      </c>
      <c r="C1813" s="128" t="s">
        <v>20</v>
      </c>
      <c r="D1813" s="128" t="s">
        <v>79</v>
      </c>
      <c r="E1813" s="128" t="s">
        <v>132</v>
      </c>
      <c r="F1813" s="128">
        <v>0</v>
      </c>
      <c r="G1813" s="128">
        <v>0</v>
      </c>
      <c r="H1813" s="128">
        <v>0</v>
      </c>
      <c r="I1813" s="128">
        <v>0</v>
      </c>
    </row>
    <row r="1814" spans="1:9" ht="13.5">
      <c r="A1814" s="128">
        <v>1999</v>
      </c>
      <c r="B1814" s="128" t="s">
        <v>139</v>
      </c>
      <c r="C1814" s="128" t="s">
        <v>20</v>
      </c>
      <c r="D1814" s="128" t="s">
        <v>79</v>
      </c>
      <c r="E1814" s="128" t="s">
        <v>133</v>
      </c>
      <c r="F1814" s="128">
        <v>0</v>
      </c>
      <c r="G1814" s="128">
        <v>0</v>
      </c>
      <c r="H1814" s="128">
        <v>0</v>
      </c>
      <c r="I1814" s="128">
        <v>0</v>
      </c>
    </row>
    <row r="1815" spans="1:9" ht="13.5">
      <c r="A1815" s="128">
        <v>1999</v>
      </c>
      <c r="B1815" s="128" t="s">
        <v>139</v>
      </c>
      <c r="C1815" s="128" t="s">
        <v>20</v>
      </c>
      <c r="D1815" s="128" t="s">
        <v>79</v>
      </c>
      <c r="E1815" s="128" t="s">
        <v>134</v>
      </c>
      <c r="F1815" s="128">
        <v>0</v>
      </c>
      <c r="G1815" s="128">
        <v>0</v>
      </c>
      <c r="H1815" s="128">
        <v>0</v>
      </c>
      <c r="I1815" s="128">
        <v>0</v>
      </c>
    </row>
    <row r="1816" spans="1:9" ht="13.5">
      <c r="A1816" s="128">
        <v>1999</v>
      </c>
      <c r="B1816" s="128" t="s">
        <v>139</v>
      </c>
      <c r="C1816" s="128" t="s">
        <v>20</v>
      </c>
      <c r="D1816" s="128" t="s">
        <v>79</v>
      </c>
      <c r="E1816" s="128" t="s">
        <v>135</v>
      </c>
      <c r="F1816" s="128">
        <v>0</v>
      </c>
      <c r="G1816" s="128">
        <v>0</v>
      </c>
      <c r="H1816" s="128">
        <v>0</v>
      </c>
      <c r="I1816" s="128">
        <v>0</v>
      </c>
    </row>
    <row r="1817" spans="1:9" ht="13.5">
      <c r="A1817" s="128">
        <v>1999</v>
      </c>
      <c r="B1817" s="128" t="s">
        <v>139</v>
      </c>
      <c r="C1817" s="128" t="s">
        <v>20</v>
      </c>
      <c r="D1817" s="128" t="s">
        <v>79</v>
      </c>
      <c r="E1817" s="128" t="s">
        <v>136</v>
      </c>
      <c r="F1817" s="128">
        <v>0</v>
      </c>
      <c r="G1817" s="128">
        <v>0</v>
      </c>
      <c r="H1817" s="128">
        <v>0</v>
      </c>
      <c r="I1817" s="128">
        <v>0</v>
      </c>
    </row>
    <row r="1818" spans="1:9" ht="13.5">
      <c r="A1818" s="128">
        <v>1999</v>
      </c>
      <c r="B1818" s="128" t="s">
        <v>139</v>
      </c>
      <c r="C1818" s="128" t="s">
        <v>20</v>
      </c>
      <c r="D1818" s="128" t="s">
        <v>76</v>
      </c>
      <c r="E1818" s="128" t="s">
        <v>132</v>
      </c>
      <c r="F1818" s="128">
        <v>0</v>
      </c>
      <c r="G1818" s="128">
        <v>0</v>
      </c>
      <c r="H1818" s="128">
        <v>0</v>
      </c>
      <c r="I1818" s="128">
        <v>0</v>
      </c>
    </row>
    <row r="1819" spans="1:9" ht="13.5">
      <c r="A1819" s="128">
        <v>1999</v>
      </c>
      <c r="B1819" s="128" t="s">
        <v>139</v>
      </c>
      <c r="C1819" s="128" t="s">
        <v>20</v>
      </c>
      <c r="D1819" s="128" t="s">
        <v>76</v>
      </c>
      <c r="E1819" s="128" t="s">
        <v>133</v>
      </c>
      <c r="F1819" s="128">
        <v>0</v>
      </c>
      <c r="G1819" s="128">
        <v>0</v>
      </c>
      <c r="H1819" s="128">
        <v>0</v>
      </c>
      <c r="I1819" s="128">
        <v>0</v>
      </c>
    </row>
    <row r="1820" spans="1:9" ht="13.5">
      <c r="A1820" s="128">
        <v>1999</v>
      </c>
      <c r="B1820" s="128" t="s">
        <v>139</v>
      </c>
      <c r="C1820" s="128" t="s">
        <v>20</v>
      </c>
      <c r="D1820" s="128" t="s">
        <v>76</v>
      </c>
      <c r="E1820" s="128" t="s">
        <v>134</v>
      </c>
      <c r="F1820" s="128">
        <v>0</v>
      </c>
      <c r="G1820" s="128">
        <v>0</v>
      </c>
      <c r="H1820" s="128">
        <v>0</v>
      </c>
      <c r="I1820" s="128">
        <v>0</v>
      </c>
    </row>
    <row r="1821" spans="1:9" ht="13.5">
      <c r="A1821" s="128">
        <v>1999</v>
      </c>
      <c r="B1821" s="128" t="s">
        <v>139</v>
      </c>
      <c r="C1821" s="128" t="s">
        <v>20</v>
      </c>
      <c r="D1821" s="128" t="s">
        <v>76</v>
      </c>
      <c r="E1821" s="128" t="s">
        <v>135</v>
      </c>
      <c r="F1821" s="128">
        <v>0</v>
      </c>
      <c r="G1821" s="128">
        <v>0</v>
      </c>
      <c r="H1821" s="128">
        <v>0</v>
      </c>
      <c r="I1821" s="128">
        <v>0</v>
      </c>
    </row>
    <row r="1822" spans="1:9" ht="13.5">
      <c r="A1822" s="128">
        <v>1999</v>
      </c>
      <c r="B1822" s="128" t="s">
        <v>139</v>
      </c>
      <c r="C1822" s="128" t="s">
        <v>20</v>
      </c>
      <c r="D1822" s="128" t="s">
        <v>76</v>
      </c>
      <c r="E1822" s="128" t="s">
        <v>136</v>
      </c>
      <c r="F1822" s="128">
        <v>0</v>
      </c>
      <c r="G1822" s="128">
        <v>0</v>
      </c>
      <c r="H1822" s="128">
        <v>0</v>
      </c>
      <c r="I1822" s="128">
        <v>0</v>
      </c>
    </row>
    <row r="1823" spans="1:9" ht="13.5">
      <c r="A1823" s="128">
        <v>1999</v>
      </c>
      <c r="B1823" s="128" t="s">
        <v>139</v>
      </c>
      <c r="C1823" s="128" t="s">
        <v>27</v>
      </c>
      <c r="D1823" s="128" t="s">
        <v>77</v>
      </c>
      <c r="E1823" s="128" t="s">
        <v>132</v>
      </c>
      <c r="F1823" s="128">
        <v>0</v>
      </c>
      <c r="G1823" s="128">
        <v>0</v>
      </c>
      <c r="H1823" s="128">
        <v>0</v>
      </c>
      <c r="I1823" s="128">
        <v>0</v>
      </c>
    </row>
    <row r="1824" spans="1:9" ht="13.5">
      <c r="A1824" s="128">
        <v>1999</v>
      </c>
      <c r="B1824" s="128" t="s">
        <v>139</v>
      </c>
      <c r="C1824" s="128" t="s">
        <v>27</v>
      </c>
      <c r="D1824" s="128" t="s">
        <v>77</v>
      </c>
      <c r="E1824" s="128" t="s">
        <v>133</v>
      </c>
      <c r="F1824" s="128">
        <v>0</v>
      </c>
      <c r="G1824" s="128">
        <v>0</v>
      </c>
      <c r="H1824" s="128">
        <v>0</v>
      </c>
      <c r="I1824" s="128">
        <v>0</v>
      </c>
    </row>
    <row r="1825" spans="1:9" ht="13.5">
      <c r="A1825" s="128">
        <v>1999</v>
      </c>
      <c r="B1825" s="128" t="s">
        <v>139</v>
      </c>
      <c r="C1825" s="128" t="s">
        <v>27</v>
      </c>
      <c r="D1825" s="128" t="s">
        <v>77</v>
      </c>
      <c r="E1825" s="128" t="s">
        <v>134</v>
      </c>
      <c r="F1825" s="128">
        <v>0</v>
      </c>
      <c r="G1825" s="128">
        <v>0</v>
      </c>
      <c r="H1825" s="128">
        <v>0</v>
      </c>
      <c r="I1825" s="128">
        <v>0</v>
      </c>
    </row>
    <row r="1826" spans="1:9" ht="13.5">
      <c r="A1826" s="128">
        <v>1999</v>
      </c>
      <c r="B1826" s="128" t="s">
        <v>139</v>
      </c>
      <c r="C1826" s="128" t="s">
        <v>27</v>
      </c>
      <c r="D1826" s="128" t="s">
        <v>77</v>
      </c>
      <c r="E1826" s="128" t="s">
        <v>135</v>
      </c>
      <c r="F1826" s="128">
        <v>0</v>
      </c>
      <c r="G1826" s="128">
        <v>0</v>
      </c>
      <c r="H1826" s="128">
        <v>0</v>
      </c>
      <c r="I1826" s="128">
        <v>0</v>
      </c>
    </row>
    <row r="1827" spans="1:9" ht="13.5">
      <c r="A1827" s="128">
        <v>1999</v>
      </c>
      <c r="B1827" s="128" t="s">
        <v>139</v>
      </c>
      <c r="C1827" s="128" t="s">
        <v>27</v>
      </c>
      <c r="D1827" s="128" t="s">
        <v>79</v>
      </c>
      <c r="E1827" s="128" t="s">
        <v>132</v>
      </c>
      <c r="F1827" s="128">
        <v>0</v>
      </c>
      <c r="G1827" s="128">
        <v>0</v>
      </c>
      <c r="H1827" s="128">
        <v>0</v>
      </c>
      <c r="I1827" s="128">
        <v>0</v>
      </c>
    </row>
    <row r="1828" spans="1:9" ht="13.5">
      <c r="A1828" s="128">
        <v>1999</v>
      </c>
      <c r="B1828" s="128" t="s">
        <v>139</v>
      </c>
      <c r="C1828" s="128" t="s">
        <v>27</v>
      </c>
      <c r="D1828" s="128" t="s">
        <v>79</v>
      </c>
      <c r="E1828" s="128" t="s">
        <v>133</v>
      </c>
      <c r="F1828" s="128">
        <v>0</v>
      </c>
      <c r="G1828" s="128">
        <v>0</v>
      </c>
      <c r="H1828" s="128">
        <v>0</v>
      </c>
      <c r="I1828" s="128">
        <v>0</v>
      </c>
    </row>
    <row r="1829" spans="1:9" ht="13.5">
      <c r="A1829" s="128">
        <v>1999</v>
      </c>
      <c r="B1829" s="128" t="s">
        <v>139</v>
      </c>
      <c r="C1829" s="128" t="s">
        <v>27</v>
      </c>
      <c r="D1829" s="128" t="s">
        <v>79</v>
      </c>
      <c r="E1829" s="128" t="s">
        <v>134</v>
      </c>
      <c r="F1829" s="128">
        <v>0</v>
      </c>
      <c r="G1829" s="128">
        <v>0</v>
      </c>
      <c r="H1829" s="128">
        <v>0</v>
      </c>
      <c r="I1829" s="128">
        <v>0</v>
      </c>
    </row>
    <row r="1830" spans="1:9" ht="13.5">
      <c r="A1830" s="128">
        <v>1999</v>
      </c>
      <c r="B1830" s="128" t="s">
        <v>139</v>
      </c>
      <c r="C1830" s="128" t="s">
        <v>27</v>
      </c>
      <c r="D1830" s="128" t="s">
        <v>79</v>
      </c>
      <c r="E1830" s="128" t="s">
        <v>135</v>
      </c>
      <c r="F1830" s="128">
        <v>0</v>
      </c>
      <c r="G1830" s="128">
        <v>0</v>
      </c>
      <c r="H1830" s="128">
        <v>0</v>
      </c>
      <c r="I1830" s="128">
        <v>0</v>
      </c>
    </row>
    <row r="1831" spans="1:9" ht="13.5">
      <c r="A1831" s="128">
        <v>1999</v>
      </c>
      <c r="B1831" s="128" t="s">
        <v>139</v>
      </c>
      <c r="C1831" s="128" t="s">
        <v>27</v>
      </c>
      <c r="D1831" s="128" t="s">
        <v>79</v>
      </c>
      <c r="E1831" s="128" t="s">
        <v>136</v>
      </c>
      <c r="F1831" s="128">
        <v>0</v>
      </c>
      <c r="G1831" s="128">
        <v>0</v>
      </c>
      <c r="H1831" s="128">
        <v>0</v>
      </c>
      <c r="I1831" s="128">
        <v>0</v>
      </c>
    </row>
    <row r="1832" spans="1:9" ht="13.5">
      <c r="A1832" s="128">
        <v>1999</v>
      </c>
      <c r="B1832" s="128" t="s">
        <v>139</v>
      </c>
      <c r="C1832" s="128" t="s">
        <v>27</v>
      </c>
      <c r="D1832" s="128" t="s">
        <v>76</v>
      </c>
      <c r="E1832" s="128" t="s">
        <v>132</v>
      </c>
      <c r="F1832" s="128">
        <v>0</v>
      </c>
      <c r="G1832" s="128">
        <v>0</v>
      </c>
      <c r="H1832" s="128">
        <v>0</v>
      </c>
      <c r="I1832" s="128">
        <v>0</v>
      </c>
    </row>
    <row r="1833" spans="1:9" ht="13.5">
      <c r="A1833" s="128">
        <v>1999</v>
      </c>
      <c r="B1833" s="128" t="s">
        <v>139</v>
      </c>
      <c r="C1833" s="128" t="s">
        <v>27</v>
      </c>
      <c r="D1833" s="128" t="s">
        <v>76</v>
      </c>
      <c r="E1833" s="128" t="s">
        <v>133</v>
      </c>
      <c r="F1833" s="128">
        <v>0</v>
      </c>
      <c r="G1833" s="128">
        <v>0</v>
      </c>
      <c r="H1833" s="128">
        <v>0</v>
      </c>
      <c r="I1833" s="128">
        <v>0</v>
      </c>
    </row>
    <row r="1834" spans="1:9" ht="13.5">
      <c r="A1834" s="128">
        <v>1999</v>
      </c>
      <c r="B1834" s="128" t="s">
        <v>139</v>
      </c>
      <c r="C1834" s="128" t="s">
        <v>27</v>
      </c>
      <c r="D1834" s="128" t="s">
        <v>76</v>
      </c>
      <c r="E1834" s="128" t="s">
        <v>134</v>
      </c>
      <c r="F1834" s="128">
        <v>0</v>
      </c>
      <c r="G1834" s="128">
        <v>0</v>
      </c>
      <c r="H1834" s="128">
        <v>0</v>
      </c>
      <c r="I1834" s="128">
        <v>0</v>
      </c>
    </row>
    <row r="1835" spans="1:9" ht="13.5">
      <c r="A1835" s="128">
        <v>1999</v>
      </c>
      <c r="B1835" s="128" t="s">
        <v>139</v>
      </c>
      <c r="C1835" s="128" t="s">
        <v>27</v>
      </c>
      <c r="D1835" s="128" t="s">
        <v>76</v>
      </c>
      <c r="E1835" s="128" t="s">
        <v>135</v>
      </c>
      <c r="F1835" s="128">
        <v>0</v>
      </c>
      <c r="G1835" s="128">
        <v>0</v>
      </c>
      <c r="H1835" s="128">
        <v>0</v>
      </c>
      <c r="I1835" s="128">
        <v>0</v>
      </c>
    </row>
    <row r="1836" spans="1:9" ht="13.5">
      <c r="A1836" s="128">
        <v>1999</v>
      </c>
      <c r="B1836" s="128" t="s">
        <v>139</v>
      </c>
      <c r="C1836" s="128" t="s">
        <v>27</v>
      </c>
      <c r="D1836" s="128" t="s">
        <v>76</v>
      </c>
      <c r="E1836" s="128" t="s">
        <v>136</v>
      </c>
      <c r="F1836" s="128">
        <v>0</v>
      </c>
      <c r="G1836" s="128">
        <v>0</v>
      </c>
      <c r="H1836" s="128">
        <v>0</v>
      </c>
      <c r="I1836" s="128">
        <v>0</v>
      </c>
    </row>
    <row r="1837" spans="1:9" ht="13.5">
      <c r="A1837" s="128">
        <v>1999</v>
      </c>
      <c r="B1837" s="128" t="s">
        <v>139</v>
      </c>
      <c r="C1837" s="128" t="s">
        <v>22</v>
      </c>
      <c r="D1837" s="128" t="s">
        <v>77</v>
      </c>
      <c r="E1837" s="128" t="s">
        <v>132</v>
      </c>
      <c r="F1837" s="128">
        <v>0</v>
      </c>
      <c r="G1837" s="128">
        <v>0</v>
      </c>
      <c r="H1837" s="128">
        <v>0</v>
      </c>
      <c r="I1837" s="128">
        <v>0</v>
      </c>
    </row>
    <row r="1838" spans="1:9" ht="13.5">
      <c r="A1838" s="128">
        <v>1999</v>
      </c>
      <c r="B1838" s="128" t="s">
        <v>139</v>
      </c>
      <c r="C1838" s="128" t="s">
        <v>22</v>
      </c>
      <c r="D1838" s="128" t="s">
        <v>77</v>
      </c>
      <c r="E1838" s="128" t="s">
        <v>133</v>
      </c>
      <c r="F1838" s="128">
        <v>0</v>
      </c>
      <c r="G1838" s="128">
        <v>0</v>
      </c>
      <c r="H1838" s="128">
        <v>0</v>
      </c>
      <c r="I1838" s="128">
        <v>0</v>
      </c>
    </row>
    <row r="1839" spans="1:9" ht="13.5">
      <c r="A1839" s="128">
        <v>1999</v>
      </c>
      <c r="B1839" s="128" t="s">
        <v>139</v>
      </c>
      <c r="C1839" s="128" t="s">
        <v>22</v>
      </c>
      <c r="D1839" s="128" t="s">
        <v>77</v>
      </c>
      <c r="E1839" s="128" t="s">
        <v>134</v>
      </c>
      <c r="F1839" s="128">
        <v>0</v>
      </c>
      <c r="G1839" s="128">
        <v>0</v>
      </c>
      <c r="H1839" s="128">
        <v>0</v>
      </c>
      <c r="I1839" s="128">
        <v>0</v>
      </c>
    </row>
    <row r="1840" spans="1:9" ht="13.5">
      <c r="A1840" s="128">
        <v>1999</v>
      </c>
      <c r="B1840" s="128" t="s">
        <v>139</v>
      </c>
      <c r="C1840" s="128" t="s">
        <v>22</v>
      </c>
      <c r="D1840" s="128" t="s">
        <v>77</v>
      </c>
      <c r="E1840" s="128" t="s">
        <v>135</v>
      </c>
      <c r="F1840" s="128">
        <v>0</v>
      </c>
      <c r="G1840" s="128">
        <v>0</v>
      </c>
      <c r="H1840" s="128">
        <v>0</v>
      </c>
      <c r="I1840" s="128">
        <v>0</v>
      </c>
    </row>
    <row r="1841" spans="1:9" ht="13.5">
      <c r="A1841" s="128">
        <v>1999</v>
      </c>
      <c r="B1841" s="128" t="s">
        <v>139</v>
      </c>
      <c r="C1841" s="128" t="s">
        <v>22</v>
      </c>
      <c r="D1841" s="128" t="s">
        <v>79</v>
      </c>
      <c r="E1841" s="128" t="s">
        <v>132</v>
      </c>
      <c r="F1841" s="128">
        <v>0</v>
      </c>
      <c r="G1841" s="128">
        <v>0</v>
      </c>
      <c r="H1841" s="128">
        <v>0</v>
      </c>
      <c r="I1841" s="128">
        <v>0</v>
      </c>
    </row>
    <row r="1842" spans="1:9" ht="13.5">
      <c r="A1842" s="128">
        <v>1999</v>
      </c>
      <c r="B1842" s="128" t="s">
        <v>139</v>
      </c>
      <c r="C1842" s="128" t="s">
        <v>22</v>
      </c>
      <c r="D1842" s="128" t="s">
        <v>79</v>
      </c>
      <c r="E1842" s="128" t="s">
        <v>133</v>
      </c>
      <c r="F1842" s="128">
        <v>0</v>
      </c>
      <c r="G1842" s="128">
        <v>0</v>
      </c>
      <c r="H1842" s="128">
        <v>0</v>
      </c>
      <c r="I1842" s="128">
        <v>0</v>
      </c>
    </row>
    <row r="1843" spans="1:9" ht="13.5">
      <c r="A1843" s="128">
        <v>1999</v>
      </c>
      <c r="B1843" s="128" t="s">
        <v>139</v>
      </c>
      <c r="C1843" s="128" t="s">
        <v>22</v>
      </c>
      <c r="D1843" s="128" t="s">
        <v>79</v>
      </c>
      <c r="E1843" s="128" t="s">
        <v>134</v>
      </c>
      <c r="F1843" s="128">
        <v>0</v>
      </c>
      <c r="G1843" s="128">
        <v>0</v>
      </c>
      <c r="H1843" s="128">
        <v>0</v>
      </c>
      <c r="I1843" s="128">
        <v>0</v>
      </c>
    </row>
    <row r="1844" spans="1:9" ht="13.5">
      <c r="A1844" s="128">
        <v>1999</v>
      </c>
      <c r="B1844" s="128" t="s">
        <v>139</v>
      </c>
      <c r="C1844" s="128" t="s">
        <v>22</v>
      </c>
      <c r="D1844" s="128" t="s">
        <v>79</v>
      </c>
      <c r="E1844" s="128" t="s">
        <v>135</v>
      </c>
      <c r="F1844" s="128">
        <v>0</v>
      </c>
      <c r="G1844" s="128">
        <v>0</v>
      </c>
      <c r="H1844" s="128">
        <v>0</v>
      </c>
      <c r="I1844" s="128">
        <v>0</v>
      </c>
    </row>
    <row r="1845" spans="1:9" ht="13.5">
      <c r="A1845" s="128">
        <v>1999</v>
      </c>
      <c r="B1845" s="128" t="s">
        <v>139</v>
      </c>
      <c r="C1845" s="128" t="s">
        <v>22</v>
      </c>
      <c r="D1845" s="128" t="s">
        <v>79</v>
      </c>
      <c r="E1845" s="128" t="s">
        <v>136</v>
      </c>
      <c r="F1845" s="128">
        <v>0</v>
      </c>
      <c r="G1845" s="128">
        <v>0</v>
      </c>
      <c r="H1845" s="128">
        <v>0</v>
      </c>
      <c r="I1845" s="128">
        <v>0</v>
      </c>
    </row>
    <row r="1846" spans="1:9" ht="13.5">
      <c r="A1846" s="128">
        <v>1999</v>
      </c>
      <c r="B1846" s="128" t="s">
        <v>139</v>
      </c>
      <c r="C1846" s="128" t="s">
        <v>22</v>
      </c>
      <c r="D1846" s="128" t="s">
        <v>76</v>
      </c>
      <c r="E1846" s="128" t="s">
        <v>132</v>
      </c>
      <c r="F1846" s="128">
        <v>0</v>
      </c>
      <c r="G1846" s="128">
        <v>0</v>
      </c>
      <c r="H1846" s="128">
        <v>0</v>
      </c>
      <c r="I1846" s="128">
        <v>0</v>
      </c>
    </row>
    <row r="1847" spans="1:9" ht="13.5">
      <c r="A1847" s="128">
        <v>1999</v>
      </c>
      <c r="B1847" s="128" t="s">
        <v>139</v>
      </c>
      <c r="C1847" s="128" t="s">
        <v>22</v>
      </c>
      <c r="D1847" s="128" t="s">
        <v>76</v>
      </c>
      <c r="E1847" s="128" t="s">
        <v>133</v>
      </c>
      <c r="F1847" s="128">
        <v>0</v>
      </c>
      <c r="G1847" s="128">
        <v>0</v>
      </c>
      <c r="H1847" s="128">
        <v>0</v>
      </c>
      <c r="I1847" s="128">
        <v>0</v>
      </c>
    </row>
    <row r="1848" spans="1:9" ht="13.5">
      <c r="A1848" s="128">
        <v>1999</v>
      </c>
      <c r="B1848" s="128" t="s">
        <v>139</v>
      </c>
      <c r="C1848" s="128" t="s">
        <v>22</v>
      </c>
      <c r="D1848" s="128" t="s">
        <v>76</v>
      </c>
      <c r="E1848" s="128" t="s">
        <v>134</v>
      </c>
      <c r="F1848" s="128">
        <v>0</v>
      </c>
      <c r="G1848" s="128">
        <v>0</v>
      </c>
      <c r="H1848" s="128">
        <v>0</v>
      </c>
      <c r="I1848" s="128">
        <v>0</v>
      </c>
    </row>
    <row r="1849" spans="1:9" ht="13.5">
      <c r="A1849" s="128">
        <v>1999</v>
      </c>
      <c r="B1849" s="128" t="s">
        <v>139</v>
      </c>
      <c r="C1849" s="128" t="s">
        <v>22</v>
      </c>
      <c r="D1849" s="128" t="s">
        <v>76</v>
      </c>
      <c r="E1849" s="128" t="s">
        <v>135</v>
      </c>
      <c r="F1849" s="128">
        <v>0</v>
      </c>
      <c r="G1849" s="128">
        <v>0</v>
      </c>
      <c r="H1849" s="128">
        <v>0</v>
      </c>
      <c r="I1849" s="128">
        <v>0</v>
      </c>
    </row>
    <row r="1850" spans="1:9" ht="13.5">
      <c r="A1850" s="128">
        <v>1999</v>
      </c>
      <c r="B1850" s="128" t="s">
        <v>139</v>
      </c>
      <c r="C1850" s="128" t="s">
        <v>22</v>
      </c>
      <c r="D1850" s="128" t="s">
        <v>76</v>
      </c>
      <c r="E1850" s="128" t="s">
        <v>136</v>
      </c>
      <c r="F1850" s="128">
        <v>0</v>
      </c>
      <c r="G1850" s="128">
        <v>0</v>
      </c>
      <c r="H1850" s="128">
        <v>0</v>
      </c>
      <c r="I1850" s="128">
        <v>0</v>
      </c>
    </row>
    <row r="1851" spans="1:9" ht="13.5">
      <c r="A1851" s="128">
        <v>1999</v>
      </c>
      <c r="B1851" s="128" t="s">
        <v>139</v>
      </c>
      <c r="C1851" s="128" t="s">
        <v>23</v>
      </c>
      <c r="D1851" s="128" t="s">
        <v>77</v>
      </c>
      <c r="E1851" s="128" t="s">
        <v>132</v>
      </c>
      <c r="F1851" s="128">
        <v>0</v>
      </c>
      <c r="G1851" s="128">
        <v>0</v>
      </c>
      <c r="H1851" s="128">
        <v>0</v>
      </c>
      <c r="I1851" s="128">
        <v>0</v>
      </c>
    </row>
    <row r="1852" spans="1:9" ht="13.5">
      <c r="A1852" s="128">
        <v>1999</v>
      </c>
      <c r="B1852" s="128" t="s">
        <v>139</v>
      </c>
      <c r="C1852" s="128" t="s">
        <v>23</v>
      </c>
      <c r="D1852" s="128" t="s">
        <v>77</v>
      </c>
      <c r="E1852" s="128" t="s">
        <v>133</v>
      </c>
      <c r="F1852" s="128">
        <v>0</v>
      </c>
      <c r="G1852" s="128">
        <v>0</v>
      </c>
      <c r="H1852" s="128">
        <v>0</v>
      </c>
      <c r="I1852" s="128">
        <v>0</v>
      </c>
    </row>
    <row r="1853" spans="1:9" ht="13.5">
      <c r="A1853" s="128">
        <v>1999</v>
      </c>
      <c r="B1853" s="128" t="s">
        <v>139</v>
      </c>
      <c r="C1853" s="128" t="s">
        <v>23</v>
      </c>
      <c r="D1853" s="128" t="s">
        <v>77</v>
      </c>
      <c r="E1853" s="128" t="s">
        <v>134</v>
      </c>
      <c r="F1853" s="128">
        <v>0</v>
      </c>
      <c r="G1853" s="128">
        <v>0</v>
      </c>
      <c r="H1853" s="128">
        <v>0</v>
      </c>
      <c r="I1853" s="128">
        <v>0</v>
      </c>
    </row>
    <row r="1854" spans="1:9" ht="13.5">
      <c r="A1854" s="128">
        <v>1999</v>
      </c>
      <c r="B1854" s="128" t="s">
        <v>139</v>
      </c>
      <c r="C1854" s="128" t="s">
        <v>23</v>
      </c>
      <c r="D1854" s="128" t="s">
        <v>77</v>
      </c>
      <c r="E1854" s="128" t="s">
        <v>135</v>
      </c>
      <c r="F1854" s="128">
        <v>0</v>
      </c>
      <c r="G1854" s="128">
        <v>0</v>
      </c>
      <c r="H1854" s="128">
        <v>0</v>
      </c>
      <c r="I1854" s="128">
        <v>0</v>
      </c>
    </row>
    <row r="1855" spans="1:9" ht="13.5">
      <c r="A1855" s="128">
        <v>1999</v>
      </c>
      <c r="B1855" s="128" t="s">
        <v>139</v>
      </c>
      <c r="C1855" s="128" t="s">
        <v>23</v>
      </c>
      <c r="D1855" s="128" t="s">
        <v>79</v>
      </c>
      <c r="E1855" s="128" t="s">
        <v>132</v>
      </c>
      <c r="F1855" s="128">
        <v>0</v>
      </c>
      <c r="G1855" s="128">
        <v>0</v>
      </c>
      <c r="H1855" s="128">
        <v>0</v>
      </c>
      <c r="I1855" s="128">
        <v>0</v>
      </c>
    </row>
    <row r="1856" spans="1:9" ht="13.5">
      <c r="A1856" s="128">
        <v>1999</v>
      </c>
      <c r="B1856" s="128" t="s">
        <v>139</v>
      </c>
      <c r="C1856" s="128" t="s">
        <v>23</v>
      </c>
      <c r="D1856" s="128" t="s">
        <v>79</v>
      </c>
      <c r="E1856" s="128" t="s">
        <v>133</v>
      </c>
      <c r="F1856" s="128">
        <v>0</v>
      </c>
      <c r="G1856" s="128">
        <v>0</v>
      </c>
      <c r="H1856" s="128">
        <v>0</v>
      </c>
      <c r="I1856" s="128">
        <v>0</v>
      </c>
    </row>
    <row r="1857" spans="1:9" ht="13.5">
      <c r="A1857" s="128">
        <v>1999</v>
      </c>
      <c r="B1857" s="128" t="s">
        <v>139</v>
      </c>
      <c r="C1857" s="128" t="s">
        <v>23</v>
      </c>
      <c r="D1857" s="128" t="s">
        <v>79</v>
      </c>
      <c r="E1857" s="128" t="s">
        <v>134</v>
      </c>
      <c r="F1857" s="128">
        <v>0</v>
      </c>
      <c r="G1857" s="128">
        <v>0</v>
      </c>
      <c r="H1857" s="128">
        <v>0</v>
      </c>
      <c r="I1857" s="128">
        <v>0</v>
      </c>
    </row>
    <row r="1858" spans="1:9" ht="13.5">
      <c r="A1858" s="128">
        <v>1999</v>
      </c>
      <c r="B1858" s="128" t="s">
        <v>139</v>
      </c>
      <c r="C1858" s="128" t="s">
        <v>23</v>
      </c>
      <c r="D1858" s="128" t="s">
        <v>79</v>
      </c>
      <c r="E1858" s="128" t="s">
        <v>135</v>
      </c>
      <c r="F1858" s="128">
        <v>0</v>
      </c>
      <c r="G1858" s="128">
        <v>0</v>
      </c>
      <c r="H1858" s="128">
        <v>0</v>
      </c>
      <c r="I1858" s="128">
        <v>0</v>
      </c>
    </row>
    <row r="1859" spans="1:9" ht="13.5">
      <c r="A1859" s="128">
        <v>1999</v>
      </c>
      <c r="B1859" s="128" t="s">
        <v>139</v>
      </c>
      <c r="C1859" s="128" t="s">
        <v>23</v>
      </c>
      <c r="D1859" s="128" t="s">
        <v>79</v>
      </c>
      <c r="E1859" s="128" t="s">
        <v>136</v>
      </c>
      <c r="F1859" s="128">
        <v>0</v>
      </c>
      <c r="G1859" s="128">
        <v>0</v>
      </c>
      <c r="H1859" s="128">
        <v>0</v>
      </c>
      <c r="I1859" s="128">
        <v>0</v>
      </c>
    </row>
    <row r="1860" spans="1:9" ht="13.5">
      <c r="A1860" s="128">
        <v>1999</v>
      </c>
      <c r="B1860" s="128" t="s">
        <v>139</v>
      </c>
      <c r="C1860" s="128" t="s">
        <v>23</v>
      </c>
      <c r="D1860" s="128" t="s">
        <v>76</v>
      </c>
      <c r="E1860" s="128" t="s">
        <v>132</v>
      </c>
      <c r="F1860" s="128">
        <v>0</v>
      </c>
      <c r="G1860" s="128">
        <v>0</v>
      </c>
      <c r="H1860" s="128">
        <v>0</v>
      </c>
      <c r="I1860" s="128">
        <v>0</v>
      </c>
    </row>
    <row r="1861" spans="1:9" ht="13.5">
      <c r="A1861" s="128">
        <v>1999</v>
      </c>
      <c r="B1861" s="128" t="s">
        <v>139</v>
      </c>
      <c r="C1861" s="128" t="s">
        <v>23</v>
      </c>
      <c r="D1861" s="128" t="s">
        <v>76</v>
      </c>
      <c r="E1861" s="128" t="s">
        <v>133</v>
      </c>
      <c r="F1861" s="128">
        <v>0</v>
      </c>
      <c r="G1861" s="128">
        <v>0</v>
      </c>
      <c r="H1861" s="128">
        <v>0</v>
      </c>
      <c r="I1861" s="128">
        <v>0</v>
      </c>
    </row>
    <row r="1862" spans="1:9" ht="13.5">
      <c r="A1862" s="128">
        <v>1999</v>
      </c>
      <c r="B1862" s="128" t="s">
        <v>139</v>
      </c>
      <c r="C1862" s="128" t="s">
        <v>23</v>
      </c>
      <c r="D1862" s="128" t="s">
        <v>76</v>
      </c>
      <c r="E1862" s="128" t="s">
        <v>134</v>
      </c>
      <c r="F1862" s="128">
        <v>0</v>
      </c>
      <c r="G1862" s="128">
        <v>0</v>
      </c>
      <c r="H1862" s="128">
        <v>0</v>
      </c>
      <c r="I1862" s="128">
        <v>0</v>
      </c>
    </row>
    <row r="1863" spans="1:9" ht="13.5">
      <c r="A1863" s="128">
        <v>1999</v>
      </c>
      <c r="B1863" s="128" t="s">
        <v>139</v>
      </c>
      <c r="C1863" s="128" t="s">
        <v>23</v>
      </c>
      <c r="D1863" s="128" t="s">
        <v>76</v>
      </c>
      <c r="E1863" s="128" t="s">
        <v>135</v>
      </c>
      <c r="F1863" s="128">
        <v>0</v>
      </c>
      <c r="G1863" s="128">
        <v>0</v>
      </c>
      <c r="H1863" s="128">
        <v>0</v>
      </c>
      <c r="I1863" s="128">
        <v>0</v>
      </c>
    </row>
    <row r="1864" spans="1:9" ht="13.5">
      <c r="A1864" s="128">
        <v>1999</v>
      </c>
      <c r="B1864" s="128" t="s">
        <v>139</v>
      </c>
      <c r="C1864" s="128" t="s">
        <v>23</v>
      </c>
      <c r="D1864" s="128" t="s">
        <v>76</v>
      </c>
      <c r="E1864" s="128" t="s">
        <v>136</v>
      </c>
      <c r="F1864" s="128">
        <v>0</v>
      </c>
      <c r="G1864" s="128">
        <v>0</v>
      </c>
      <c r="H1864" s="128">
        <v>0</v>
      </c>
      <c r="I1864" s="128">
        <v>0</v>
      </c>
    </row>
    <row r="1865" spans="1:9" ht="13.5">
      <c r="A1865" s="128">
        <v>1999</v>
      </c>
      <c r="B1865" s="128" t="s">
        <v>139</v>
      </c>
      <c r="C1865" s="128" t="s">
        <v>25</v>
      </c>
      <c r="D1865" s="128" t="s">
        <v>77</v>
      </c>
      <c r="E1865" s="128" t="s">
        <v>132</v>
      </c>
      <c r="F1865" s="128">
        <v>0</v>
      </c>
      <c r="G1865" s="128">
        <v>0</v>
      </c>
      <c r="H1865" s="128">
        <v>0</v>
      </c>
      <c r="I1865" s="128">
        <v>0</v>
      </c>
    </row>
    <row r="1866" spans="1:9" ht="13.5">
      <c r="A1866" s="128">
        <v>1999</v>
      </c>
      <c r="B1866" s="128" t="s">
        <v>139</v>
      </c>
      <c r="C1866" s="128" t="s">
        <v>25</v>
      </c>
      <c r="D1866" s="128" t="s">
        <v>77</v>
      </c>
      <c r="E1866" s="128" t="s">
        <v>133</v>
      </c>
      <c r="F1866" s="128">
        <v>0</v>
      </c>
      <c r="G1866" s="128">
        <v>0</v>
      </c>
      <c r="H1866" s="128">
        <v>0</v>
      </c>
      <c r="I1866" s="128">
        <v>0</v>
      </c>
    </row>
    <row r="1867" spans="1:9" ht="13.5">
      <c r="A1867" s="128">
        <v>1999</v>
      </c>
      <c r="B1867" s="128" t="s">
        <v>139</v>
      </c>
      <c r="C1867" s="128" t="s">
        <v>25</v>
      </c>
      <c r="D1867" s="128" t="s">
        <v>77</v>
      </c>
      <c r="E1867" s="128" t="s">
        <v>134</v>
      </c>
      <c r="F1867" s="128">
        <v>0</v>
      </c>
      <c r="G1867" s="128">
        <v>0</v>
      </c>
      <c r="H1867" s="128">
        <v>0</v>
      </c>
      <c r="I1867" s="128">
        <v>0</v>
      </c>
    </row>
    <row r="1868" spans="1:9" ht="13.5">
      <c r="A1868" s="128">
        <v>1999</v>
      </c>
      <c r="B1868" s="128" t="s">
        <v>139</v>
      </c>
      <c r="C1868" s="128" t="s">
        <v>25</v>
      </c>
      <c r="D1868" s="128" t="s">
        <v>77</v>
      </c>
      <c r="E1868" s="128" t="s">
        <v>135</v>
      </c>
      <c r="F1868" s="128">
        <v>0</v>
      </c>
      <c r="G1868" s="128">
        <v>0</v>
      </c>
      <c r="H1868" s="128">
        <v>0</v>
      </c>
      <c r="I1868" s="128">
        <v>0</v>
      </c>
    </row>
    <row r="1869" spans="1:9" ht="13.5">
      <c r="A1869" s="128">
        <v>1999</v>
      </c>
      <c r="B1869" s="128" t="s">
        <v>139</v>
      </c>
      <c r="C1869" s="128" t="s">
        <v>25</v>
      </c>
      <c r="D1869" s="128" t="s">
        <v>79</v>
      </c>
      <c r="E1869" s="128" t="s">
        <v>132</v>
      </c>
      <c r="F1869" s="128">
        <v>0</v>
      </c>
      <c r="G1869" s="128">
        <v>0</v>
      </c>
      <c r="H1869" s="128">
        <v>0</v>
      </c>
      <c r="I1869" s="128">
        <v>0</v>
      </c>
    </row>
    <row r="1870" spans="1:9" ht="13.5">
      <c r="A1870" s="128">
        <v>1999</v>
      </c>
      <c r="B1870" s="128" t="s">
        <v>139</v>
      </c>
      <c r="C1870" s="128" t="s">
        <v>25</v>
      </c>
      <c r="D1870" s="128" t="s">
        <v>79</v>
      </c>
      <c r="E1870" s="128" t="s">
        <v>133</v>
      </c>
      <c r="F1870" s="128">
        <v>0</v>
      </c>
      <c r="G1870" s="128">
        <v>0</v>
      </c>
      <c r="H1870" s="128">
        <v>0</v>
      </c>
      <c r="I1870" s="128">
        <v>0</v>
      </c>
    </row>
    <row r="1871" spans="1:9" ht="13.5">
      <c r="A1871" s="128">
        <v>1999</v>
      </c>
      <c r="B1871" s="128" t="s">
        <v>139</v>
      </c>
      <c r="C1871" s="128" t="s">
        <v>25</v>
      </c>
      <c r="D1871" s="128" t="s">
        <v>79</v>
      </c>
      <c r="E1871" s="128" t="s">
        <v>134</v>
      </c>
      <c r="F1871" s="128">
        <v>0</v>
      </c>
      <c r="G1871" s="128">
        <v>0</v>
      </c>
      <c r="H1871" s="128">
        <v>0</v>
      </c>
      <c r="I1871" s="128">
        <v>0</v>
      </c>
    </row>
    <row r="1872" spans="1:9" ht="13.5">
      <c r="A1872" s="128">
        <v>1999</v>
      </c>
      <c r="B1872" s="128" t="s">
        <v>139</v>
      </c>
      <c r="C1872" s="128" t="s">
        <v>25</v>
      </c>
      <c r="D1872" s="128" t="s">
        <v>79</v>
      </c>
      <c r="E1872" s="128" t="s">
        <v>135</v>
      </c>
      <c r="F1872" s="128">
        <v>0</v>
      </c>
      <c r="G1872" s="128">
        <v>0</v>
      </c>
      <c r="H1872" s="128">
        <v>0</v>
      </c>
      <c r="I1872" s="128">
        <v>0</v>
      </c>
    </row>
    <row r="1873" spans="1:9" ht="13.5">
      <c r="A1873" s="128">
        <v>1999</v>
      </c>
      <c r="B1873" s="128" t="s">
        <v>139</v>
      </c>
      <c r="C1873" s="128" t="s">
        <v>25</v>
      </c>
      <c r="D1873" s="128" t="s">
        <v>79</v>
      </c>
      <c r="E1873" s="128" t="s">
        <v>136</v>
      </c>
      <c r="F1873" s="128">
        <v>0</v>
      </c>
      <c r="G1873" s="128">
        <v>0</v>
      </c>
      <c r="H1873" s="128">
        <v>0</v>
      </c>
      <c r="I1873" s="128">
        <v>0</v>
      </c>
    </row>
    <row r="1874" spans="1:9" ht="13.5">
      <c r="A1874" s="128">
        <v>1999</v>
      </c>
      <c r="B1874" s="128" t="s">
        <v>139</v>
      </c>
      <c r="C1874" s="128" t="s">
        <v>25</v>
      </c>
      <c r="D1874" s="128" t="s">
        <v>76</v>
      </c>
      <c r="E1874" s="128" t="s">
        <v>132</v>
      </c>
      <c r="F1874" s="128">
        <v>0</v>
      </c>
      <c r="G1874" s="128">
        <v>0</v>
      </c>
      <c r="H1874" s="128">
        <v>0</v>
      </c>
      <c r="I1874" s="128">
        <v>0</v>
      </c>
    </row>
    <row r="1875" spans="1:9" ht="13.5">
      <c r="A1875" s="128">
        <v>1999</v>
      </c>
      <c r="B1875" s="128" t="s">
        <v>139</v>
      </c>
      <c r="C1875" s="128" t="s">
        <v>25</v>
      </c>
      <c r="D1875" s="128" t="s">
        <v>76</v>
      </c>
      <c r="E1875" s="128" t="s">
        <v>133</v>
      </c>
      <c r="F1875" s="128">
        <v>0</v>
      </c>
      <c r="G1875" s="128">
        <v>0</v>
      </c>
      <c r="H1875" s="128">
        <v>0</v>
      </c>
      <c r="I1875" s="128">
        <v>0</v>
      </c>
    </row>
    <row r="1876" spans="1:9" ht="13.5">
      <c r="A1876" s="128">
        <v>1999</v>
      </c>
      <c r="B1876" s="128" t="s">
        <v>139</v>
      </c>
      <c r="C1876" s="128" t="s">
        <v>25</v>
      </c>
      <c r="D1876" s="128" t="s">
        <v>76</v>
      </c>
      <c r="E1876" s="128" t="s">
        <v>134</v>
      </c>
      <c r="F1876" s="128">
        <v>0</v>
      </c>
      <c r="G1876" s="128">
        <v>0</v>
      </c>
      <c r="H1876" s="128">
        <v>0</v>
      </c>
      <c r="I1876" s="128">
        <v>0</v>
      </c>
    </row>
    <row r="1877" spans="1:9" ht="13.5">
      <c r="A1877" s="128">
        <v>1999</v>
      </c>
      <c r="B1877" s="128" t="s">
        <v>139</v>
      </c>
      <c r="C1877" s="128" t="s">
        <v>25</v>
      </c>
      <c r="D1877" s="128" t="s">
        <v>76</v>
      </c>
      <c r="E1877" s="128" t="s">
        <v>135</v>
      </c>
      <c r="F1877" s="128">
        <v>0</v>
      </c>
      <c r="G1877" s="128">
        <v>0</v>
      </c>
      <c r="H1877" s="128">
        <v>0</v>
      </c>
      <c r="I1877" s="128">
        <v>0</v>
      </c>
    </row>
    <row r="1878" spans="1:9" ht="13.5">
      <c r="A1878" s="128">
        <v>1999</v>
      </c>
      <c r="B1878" s="128" t="s">
        <v>139</v>
      </c>
      <c r="C1878" s="128" t="s">
        <v>25</v>
      </c>
      <c r="D1878" s="128" t="s">
        <v>76</v>
      </c>
      <c r="E1878" s="128" t="s">
        <v>136</v>
      </c>
      <c r="F1878" s="128">
        <v>0</v>
      </c>
      <c r="G1878" s="128">
        <v>0</v>
      </c>
      <c r="H1878" s="128">
        <v>0</v>
      </c>
      <c r="I1878" s="128">
        <v>0</v>
      </c>
    </row>
    <row r="1879" spans="1:9" ht="13.5">
      <c r="A1879" s="128">
        <v>1999</v>
      </c>
      <c r="B1879" s="128" t="s">
        <v>139</v>
      </c>
      <c r="C1879" s="128" t="s">
        <v>21</v>
      </c>
      <c r="D1879" s="128" t="s">
        <v>77</v>
      </c>
      <c r="E1879" s="128" t="s">
        <v>132</v>
      </c>
      <c r="F1879" s="128">
        <v>0</v>
      </c>
      <c r="G1879" s="128">
        <v>0</v>
      </c>
      <c r="H1879" s="128">
        <v>0</v>
      </c>
      <c r="I1879" s="128">
        <v>0</v>
      </c>
    </row>
    <row r="1880" spans="1:9" ht="13.5">
      <c r="A1880" s="128">
        <v>1999</v>
      </c>
      <c r="B1880" s="128" t="s">
        <v>139</v>
      </c>
      <c r="C1880" s="128" t="s">
        <v>21</v>
      </c>
      <c r="D1880" s="128" t="s">
        <v>77</v>
      </c>
      <c r="E1880" s="128" t="s">
        <v>133</v>
      </c>
      <c r="F1880" s="128">
        <v>0</v>
      </c>
      <c r="G1880" s="128">
        <v>0</v>
      </c>
      <c r="H1880" s="128">
        <v>0</v>
      </c>
      <c r="I1880" s="128">
        <v>0</v>
      </c>
    </row>
    <row r="1881" spans="1:9" ht="13.5">
      <c r="A1881" s="128">
        <v>1999</v>
      </c>
      <c r="B1881" s="128" t="s">
        <v>139</v>
      </c>
      <c r="C1881" s="128" t="s">
        <v>21</v>
      </c>
      <c r="D1881" s="128" t="s">
        <v>77</v>
      </c>
      <c r="E1881" s="128" t="s">
        <v>134</v>
      </c>
      <c r="F1881" s="128">
        <v>0</v>
      </c>
      <c r="G1881" s="128">
        <v>0</v>
      </c>
      <c r="H1881" s="128">
        <v>0</v>
      </c>
      <c r="I1881" s="128">
        <v>0</v>
      </c>
    </row>
    <row r="1882" spans="1:9" ht="13.5">
      <c r="A1882" s="128">
        <v>1999</v>
      </c>
      <c r="B1882" s="128" t="s">
        <v>139</v>
      </c>
      <c r="C1882" s="128" t="s">
        <v>21</v>
      </c>
      <c r="D1882" s="128" t="s">
        <v>77</v>
      </c>
      <c r="E1882" s="128" t="s">
        <v>135</v>
      </c>
      <c r="F1882" s="128">
        <v>0</v>
      </c>
      <c r="G1882" s="128">
        <v>0</v>
      </c>
      <c r="H1882" s="128">
        <v>0</v>
      </c>
      <c r="I1882" s="128">
        <v>0</v>
      </c>
    </row>
    <row r="1883" spans="1:9" ht="13.5">
      <c r="A1883" s="128">
        <v>1999</v>
      </c>
      <c r="B1883" s="128" t="s">
        <v>139</v>
      </c>
      <c r="C1883" s="128" t="s">
        <v>21</v>
      </c>
      <c r="D1883" s="128" t="s">
        <v>79</v>
      </c>
      <c r="E1883" s="128" t="s">
        <v>132</v>
      </c>
      <c r="F1883" s="128">
        <v>0</v>
      </c>
      <c r="G1883" s="128">
        <v>0</v>
      </c>
      <c r="H1883" s="128">
        <v>0</v>
      </c>
      <c r="I1883" s="128">
        <v>0</v>
      </c>
    </row>
    <row r="1884" spans="1:9" ht="13.5">
      <c r="A1884" s="128">
        <v>1999</v>
      </c>
      <c r="B1884" s="128" t="s">
        <v>139</v>
      </c>
      <c r="C1884" s="128" t="s">
        <v>21</v>
      </c>
      <c r="D1884" s="128" t="s">
        <v>79</v>
      </c>
      <c r="E1884" s="128" t="s">
        <v>133</v>
      </c>
      <c r="F1884" s="128">
        <v>0</v>
      </c>
      <c r="G1884" s="128">
        <v>0</v>
      </c>
      <c r="H1884" s="128">
        <v>0</v>
      </c>
      <c r="I1884" s="128">
        <v>0</v>
      </c>
    </row>
    <row r="1885" spans="1:9" ht="13.5">
      <c r="A1885" s="128">
        <v>1999</v>
      </c>
      <c r="B1885" s="128" t="s">
        <v>139</v>
      </c>
      <c r="C1885" s="128" t="s">
        <v>21</v>
      </c>
      <c r="D1885" s="128" t="s">
        <v>79</v>
      </c>
      <c r="E1885" s="128" t="s">
        <v>134</v>
      </c>
      <c r="F1885" s="128">
        <v>0</v>
      </c>
      <c r="G1885" s="128">
        <v>0</v>
      </c>
      <c r="H1885" s="128">
        <v>0</v>
      </c>
      <c r="I1885" s="128">
        <v>0</v>
      </c>
    </row>
    <row r="1886" spans="1:9" ht="13.5">
      <c r="A1886" s="128">
        <v>1999</v>
      </c>
      <c r="B1886" s="128" t="s">
        <v>139</v>
      </c>
      <c r="C1886" s="128" t="s">
        <v>21</v>
      </c>
      <c r="D1886" s="128" t="s">
        <v>79</v>
      </c>
      <c r="E1886" s="128" t="s">
        <v>135</v>
      </c>
      <c r="F1886" s="128">
        <v>0</v>
      </c>
      <c r="G1886" s="128">
        <v>0</v>
      </c>
      <c r="H1886" s="128">
        <v>0</v>
      </c>
      <c r="I1886" s="128">
        <v>0</v>
      </c>
    </row>
    <row r="1887" spans="1:9" ht="13.5">
      <c r="A1887" s="128">
        <v>1999</v>
      </c>
      <c r="B1887" s="128" t="s">
        <v>139</v>
      </c>
      <c r="C1887" s="128" t="s">
        <v>21</v>
      </c>
      <c r="D1887" s="128" t="s">
        <v>79</v>
      </c>
      <c r="E1887" s="128" t="s">
        <v>136</v>
      </c>
      <c r="F1887" s="128">
        <v>0</v>
      </c>
      <c r="G1887" s="128">
        <v>0</v>
      </c>
      <c r="H1887" s="128">
        <v>0</v>
      </c>
      <c r="I1887" s="128">
        <v>0</v>
      </c>
    </row>
    <row r="1888" spans="1:9" ht="13.5">
      <c r="A1888" s="128">
        <v>1999</v>
      </c>
      <c r="B1888" s="128" t="s">
        <v>139</v>
      </c>
      <c r="C1888" s="128" t="s">
        <v>21</v>
      </c>
      <c r="D1888" s="128" t="s">
        <v>76</v>
      </c>
      <c r="E1888" s="128" t="s">
        <v>132</v>
      </c>
      <c r="F1888" s="128">
        <v>0</v>
      </c>
      <c r="G1888" s="128">
        <v>0</v>
      </c>
      <c r="H1888" s="128">
        <v>0</v>
      </c>
      <c r="I1888" s="128">
        <v>0</v>
      </c>
    </row>
    <row r="1889" spans="1:9" ht="13.5">
      <c r="A1889" s="128">
        <v>1999</v>
      </c>
      <c r="B1889" s="128" t="s">
        <v>139</v>
      </c>
      <c r="C1889" s="128" t="s">
        <v>21</v>
      </c>
      <c r="D1889" s="128" t="s">
        <v>76</v>
      </c>
      <c r="E1889" s="128" t="s">
        <v>133</v>
      </c>
      <c r="F1889" s="128">
        <v>0</v>
      </c>
      <c r="G1889" s="128">
        <v>0</v>
      </c>
      <c r="H1889" s="128">
        <v>0</v>
      </c>
      <c r="I1889" s="128">
        <v>0</v>
      </c>
    </row>
    <row r="1890" spans="1:9" ht="13.5">
      <c r="A1890" s="128">
        <v>1999</v>
      </c>
      <c r="B1890" s="128" t="s">
        <v>139</v>
      </c>
      <c r="C1890" s="128" t="s">
        <v>21</v>
      </c>
      <c r="D1890" s="128" t="s">
        <v>76</v>
      </c>
      <c r="E1890" s="128" t="s">
        <v>134</v>
      </c>
      <c r="F1890" s="128">
        <v>0</v>
      </c>
      <c r="G1890" s="128">
        <v>0</v>
      </c>
      <c r="H1890" s="128">
        <v>0</v>
      </c>
      <c r="I1890" s="128">
        <v>0</v>
      </c>
    </row>
    <row r="1891" spans="1:9" ht="13.5">
      <c r="A1891" s="128">
        <v>1999</v>
      </c>
      <c r="B1891" s="128" t="s">
        <v>139</v>
      </c>
      <c r="C1891" s="128" t="s">
        <v>21</v>
      </c>
      <c r="D1891" s="128" t="s">
        <v>76</v>
      </c>
      <c r="E1891" s="128" t="s">
        <v>135</v>
      </c>
      <c r="F1891" s="128">
        <v>0</v>
      </c>
      <c r="G1891" s="128">
        <v>0</v>
      </c>
      <c r="H1891" s="128">
        <v>0</v>
      </c>
      <c r="I1891" s="128">
        <v>0</v>
      </c>
    </row>
    <row r="1892" spans="1:9" ht="13.5">
      <c r="A1892" s="128">
        <v>1999</v>
      </c>
      <c r="B1892" s="128" t="s">
        <v>139</v>
      </c>
      <c r="C1892" s="128" t="s">
        <v>21</v>
      </c>
      <c r="D1892" s="128" t="s">
        <v>76</v>
      </c>
      <c r="E1892" s="128" t="s">
        <v>136</v>
      </c>
      <c r="F1892" s="128">
        <v>0</v>
      </c>
      <c r="G1892" s="128">
        <v>0</v>
      </c>
      <c r="H1892" s="128">
        <v>0</v>
      </c>
      <c r="I1892" s="128">
        <v>0</v>
      </c>
    </row>
    <row r="1893" spans="1:9" ht="13.5">
      <c r="A1893" s="128">
        <v>1999</v>
      </c>
      <c r="B1893" s="128" t="s">
        <v>139</v>
      </c>
      <c r="C1893" s="128" t="s">
        <v>24</v>
      </c>
      <c r="D1893" s="128" t="s">
        <v>77</v>
      </c>
      <c r="E1893" s="128" t="s">
        <v>132</v>
      </c>
      <c r="F1893" s="128">
        <v>0</v>
      </c>
      <c r="G1893" s="128">
        <v>0</v>
      </c>
      <c r="H1893" s="128">
        <v>0</v>
      </c>
      <c r="I1893" s="128">
        <v>0</v>
      </c>
    </row>
    <row r="1894" spans="1:9" ht="13.5">
      <c r="A1894" s="128">
        <v>1999</v>
      </c>
      <c r="B1894" s="128" t="s">
        <v>139</v>
      </c>
      <c r="C1894" s="128" t="s">
        <v>24</v>
      </c>
      <c r="D1894" s="128" t="s">
        <v>77</v>
      </c>
      <c r="E1894" s="128" t="s">
        <v>133</v>
      </c>
      <c r="F1894" s="128">
        <v>0</v>
      </c>
      <c r="G1894" s="128">
        <v>0</v>
      </c>
      <c r="H1894" s="128">
        <v>0</v>
      </c>
      <c r="I1894" s="128">
        <v>0</v>
      </c>
    </row>
    <row r="1895" spans="1:9" ht="13.5">
      <c r="A1895" s="128">
        <v>1999</v>
      </c>
      <c r="B1895" s="128" t="s">
        <v>139</v>
      </c>
      <c r="C1895" s="128" t="s">
        <v>24</v>
      </c>
      <c r="D1895" s="128" t="s">
        <v>77</v>
      </c>
      <c r="E1895" s="128" t="s">
        <v>134</v>
      </c>
      <c r="F1895" s="128">
        <v>0</v>
      </c>
      <c r="G1895" s="128">
        <v>0</v>
      </c>
      <c r="H1895" s="128">
        <v>0</v>
      </c>
      <c r="I1895" s="128">
        <v>0</v>
      </c>
    </row>
    <row r="1896" spans="1:9" ht="13.5">
      <c r="A1896" s="128">
        <v>1999</v>
      </c>
      <c r="B1896" s="128" t="s">
        <v>139</v>
      </c>
      <c r="C1896" s="128" t="s">
        <v>24</v>
      </c>
      <c r="D1896" s="128" t="s">
        <v>77</v>
      </c>
      <c r="E1896" s="128" t="s">
        <v>135</v>
      </c>
      <c r="F1896" s="128">
        <v>0</v>
      </c>
      <c r="G1896" s="128">
        <v>0</v>
      </c>
      <c r="H1896" s="128">
        <v>0</v>
      </c>
      <c r="I1896" s="128">
        <v>0</v>
      </c>
    </row>
    <row r="1897" spans="1:9" ht="13.5">
      <c r="A1897" s="128">
        <v>1999</v>
      </c>
      <c r="B1897" s="128" t="s">
        <v>139</v>
      </c>
      <c r="C1897" s="128" t="s">
        <v>24</v>
      </c>
      <c r="D1897" s="128" t="s">
        <v>79</v>
      </c>
      <c r="E1897" s="128" t="s">
        <v>132</v>
      </c>
      <c r="F1897" s="128">
        <v>0</v>
      </c>
      <c r="G1897" s="128">
        <v>0</v>
      </c>
      <c r="H1897" s="128">
        <v>0</v>
      </c>
      <c r="I1897" s="128">
        <v>0</v>
      </c>
    </row>
    <row r="1898" spans="1:9" ht="13.5">
      <c r="A1898" s="128">
        <v>1999</v>
      </c>
      <c r="B1898" s="128" t="s">
        <v>139</v>
      </c>
      <c r="C1898" s="128" t="s">
        <v>24</v>
      </c>
      <c r="D1898" s="128" t="s">
        <v>79</v>
      </c>
      <c r="E1898" s="128" t="s">
        <v>133</v>
      </c>
      <c r="F1898" s="128">
        <v>0</v>
      </c>
      <c r="G1898" s="128">
        <v>0</v>
      </c>
      <c r="H1898" s="128">
        <v>0</v>
      </c>
      <c r="I1898" s="128">
        <v>0</v>
      </c>
    </row>
    <row r="1899" spans="1:9" ht="13.5">
      <c r="A1899" s="128">
        <v>1999</v>
      </c>
      <c r="B1899" s="128" t="s">
        <v>139</v>
      </c>
      <c r="C1899" s="128" t="s">
        <v>24</v>
      </c>
      <c r="D1899" s="128" t="s">
        <v>79</v>
      </c>
      <c r="E1899" s="128" t="s">
        <v>134</v>
      </c>
      <c r="F1899" s="128">
        <v>0</v>
      </c>
      <c r="G1899" s="128">
        <v>0</v>
      </c>
      <c r="H1899" s="128">
        <v>0</v>
      </c>
      <c r="I1899" s="128">
        <v>0</v>
      </c>
    </row>
    <row r="1900" spans="1:9" ht="13.5">
      <c r="A1900" s="128">
        <v>1999</v>
      </c>
      <c r="B1900" s="128" t="s">
        <v>139</v>
      </c>
      <c r="C1900" s="128" t="s">
        <v>24</v>
      </c>
      <c r="D1900" s="128" t="s">
        <v>79</v>
      </c>
      <c r="E1900" s="128" t="s">
        <v>135</v>
      </c>
      <c r="F1900" s="128">
        <v>0</v>
      </c>
      <c r="G1900" s="128">
        <v>0</v>
      </c>
      <c r="H1900" s="128">
        <v>0</v>
      </c>
      <c r="I1900" s="128">
        <v>0</v>
      </c>
    </row>
    <row r="1901" spans="1:9" ht="13.5">
      <c r="A1901" s="128">
        <v>1999</v>
      </c>
      <c r="B1901" s="128" t="s">
        <v>139</v>
      </c>
      <c r="C1901" s="128" t="s">
        <v>24</v>
      </c>
      <c r="D1901" s="128" t="s">
        <v>79</v>
      </c>
      <c r="E1901" s="128" t="s">
        <v>136</v>
      </c>
      <c r="F1901" s="128">
        <v>0</v>
      </c>
      <c r="G1901" s="128">
        <v>0</v>
      </c>
      <c r="H1901" s="128">
        <v>0</v>
      </c>
      <c r="I1901" s="128">
        <v>0</v>
      </c>
    </row>
    <row r="1902" spans="1:9" ht="13.5">
      <c r="A1902" s="128">
        <v>1999</v>
      </c>
      <c r="B1902" s="128" t="s">
        <v>139</v>
      </c>
      <c r="C1902" s="128" t="s">
        <v>24</v>
      </c>
      <c r="D1902" s="128" t="s">
        <v>76</v>
      </c>
      <c r="E1902" s="128" t="s">
        <v>132</v>
      </c>
      <c r="F1902" s="128">
        <v>0</v>
      </c>
      <c r="G1902" s="128">
        <v>0</v>
      </c>
      <c r="H1902" s="128">
        <v>0</v>
      </c>
      <c r="I1902" s="128">
        <v>0</v>
      </c>
    </row>
    <row r="1903" spans="1:9" ht="13.5">
      <c r="A1903" s="128">
        <v>1999</v>
      </c>
      <c r="B1903" s="128" t="s">
        <v>139</v>
      </c>
      <c r="C1903" s="128" t="s">
        <v>24</v>
      </c>
      <c r="D1903" s="128" t="s">
        <v>76</v>
      </c>
      <c r="E1903" s="128" t="s">
        <v>133</v>
      </c>
      <c r="F1903" s="128">
        <v>0</v>
      </c>
      <c r="G1903" s="128">
        <v>0</v>
      </c>
      <c r="H1903" s="128">
        <v>0</v>
      </c>
      <c r="I1903" s="128">
        <v>0</v>
      </c>
    </row>
    <row r="1904" spans="1:9" ht="13.5">
      <c r="A1904" s="128">
        <v>1999</v>
      </c>
      <c r="B1904" s="128" t="s">
        <v>139</v>
      </c>
      <c r="C1904" s="128" t="s">
        <v>24</v>
      </c>
      <c r="D1904" s="128" t="s">
        <v>76</v>
      </c>
      <c r="E1904" s="128" t="s">
        <v>134</v>
      </c>
      <c r="F1904" s="128">
        <v>0</v>
      </c>
      <c r="G1904" s="128">
        <v>0</v>
      </c>
      <c r="H1904" s="128">
        <v>0</v>
      </c>
      <c r="I1904" s="128">
        <v>0</v>
      </c>
    </row>
    <row r="1905" spans="1:9" ht="13.5">
      <c r="A1905" s="128">
        <v>1999</v>
      </c>
      <c r="B1905" s="128" t="s">
        <v>139</v>
      </c>
      <c r="C1905" s="128" t="s">
        <v>24</v>
      </c>
      <c r="D1905" s="128" t="s">
        <v>76</v>
      </c>
      <c r="E1905" s="128" t="s">
        <v>135</v>
      </c>
      <c r="F1905" s="128">
        <v>0</v>
      </c>
      <c r="G1905" s="128">
        <v>0</v>
      </c>
      <c r="H1905" s="128">
        <v>0</v>
      </c>
      <c r="I1905" s="128">
        <v>0</v>
      </c>
    </row>
    <row r="1906" spans="1:9" ht="13.5">
      <c r="A1906" s="128">
        <v>1999</v>
      </c>
      <c r="B1906" s="128" t="s">
        <v>139</v>
      </c>
      <c r="C1906" s="128" t="s">
        <v>24</v>
      </c>
      <c r="D1906" s="128" t="s">
        <v>76</v>
      </c>
      <c r="E1906" s="128" t="s">
        <v>136</v>
      </c>
      <c r="F1906" s="128">
        <v>0</v>
      </c>
      <c r="G1906" s="128">
        <v>0</v>
      </c>
      <c r="H1906" s="128">
        <v>0</v>
      </c>
      <c r="I1906" s="128">
        <v>0</v>
      </c>
    </row>
    <row r="1907" spans="1:9" ht="13.5">
      <c r="A1907" s="128">
        <v>1999</v>
      </c>
      <c r="B1907" s="128" t="s">
        <v>137</v>
      </c>
      <c r="C1907" s="128" t="s">
        <v>26</v>
      </c>
      <c r="D1907" s="128" t="s">
        <v>77</v>
      </c>
      <c r="E1907" s="128" t="s">
        <v>132</v>
      </c>
      <c r="F1907" s="128">
        <v>0</v>
      </c>
      <c r="G1907" s="128">
        <v>0</v>
      </c>
      <c r="H1907" s="128">
        <v>0</v>
      </c>
      <c r="I1907" s="128">
        <v>0</v>
      </c>
    </row>
    <row r="1908" spans="1:9" ht="13.5">
      <c r="A1908" s="128">
        <v>1999</v>
      </c>
      <c r="B1908" s="128" t="s">
        <v>137</v>
      </c>
      <c r="C1908" s="128" t="s">
        <v>26</v>
      </c>
      <c r="D1908" s="128" t="s">
        <v>77</v>
      </c>
      <c r="E1908" s="128" t="s">
        <v>133</v>
      </c>
      <c r="F1908" s="128">
        <v>0</v>
      </c>
      <c r="G1908" s="128">
        <v>0</v>
      </c>
      <c r="H1908" s="128">
        <v>0</v>
      </c>
      <c r="I1908" s="128">
        <v>0</v>
      </c>
    </row>
    <row r="1909" spans="1:9" ht="13.5">
      <c r="A1909" s="128">
        <v>1999</v>
      </c>
      <c r="B1909" s="128" t="s">
        <v>137</v>
      </c>
      <c r="C1909" s="128" t="s">
        <v>26</v>
      </c>
      <c r="D1909" s="128" t="s">
        <v>77</v>
      </c>
      <c r="E1909" s="128" t="s">
        <v>134</v>
      </c>
      <c r="F1909" s="128">
        <v>0</v>
      </c>
      <c r="G1909" s="128">
        <v>0</v>
      </c>
      <c r="H1909" s="128">
        <v>0</v>
      </c>
      <c r="I1909" s="128">
        <v>0</v>
      </c>
    </row>
    <row r="1910" spans="1:9" ht="13.5">
      <c r="A1910" s="128">
        <v>1999</v>
      </c>
      <c r="B1910" s="128" t="s">
        <v>137</v>
      </c>
      <c r="C1910" s="128" t="s">
        <v>26</v>
      </c>
      <c r="D1910" s="128" t="s">
        <v>77</v>
      </c>
      <c r="E1910" s="128" t="s">
        <v>135</v>
      </c>
      <c r="F1910" s="128">
        <v>0</v>
      </c>
      <c r="G1910" s="128">
        <v>0</v>
      </c>
      <c r="H1910" s="128">
        <v>0</v>
      </c>
      <c r="I1910" s="128">
        <v>0</v>
      </c>
    </row>
    <row r="1911" spans="1:9" ht="13.5">
      <c r="A1911" s="128">
        <v>1999</v>
      </c>
      <c r="B1911" s="128" t="s">
        <v>137</v>
      </c>
      <c r="C1911" s="128" t="s">
        <v>26</v>
      </c>
      <c r="D1911" s="128" t="s">
        <v>79</v>
      </c>
      <c r="E1911" s="128" t="s">
        <v>132</v>
      </c>
      <c r="F1911" s="128">
        <v>0</v>
      </c>
      <c r="G1911" s="128">
        <v>0</v>
      </c>
      <c r="H1911" s="128">
        <v>0</v>
      </c>
      <c r="I1911" s="128">
        <v>0</v>
      </c>
    </row>
    <row r="1912" spans="1:9" ht="13.5">
      <c r="A1912" s="128">
        <v>1999</v>
      </c>
      <c r="B1912" s="128" t="s">
        <v>137</v>
      </c>
      <c r="C1912" s="128" t="s">
        <v>26</v>
      </c>
      <c r="D1912" s="128" t="s">
        <v>79</v>
      </c>
      <c r="E1912" s="128" t="s">
        <v>133</v>
      </c>
      <c r="F1912" s="128">
        <v>0</v>
      </c>
      <c r="G1912" s="128">
        <v>0</v>
      </c>
      <c r="H1912" s="128">
        <v>0</v>
      </c>
      <c r="I1912" s="128">
        <v>0</v>
      </c>
    </row>
    <row r="1913" spans="1:9" ht="13.5">
      <c r="A1913" s="128">
        <v>1999</v>
      </c>
      <c r="B1913" s="128" t="s">
        <v>137</v>
      </c>
      <c r="C1913" s="128" t="s">
        <v>26</v>
      </c>
      <c r="D1913" s="128" t="s">
        <v>79</v>
      </c>
      <c r="E1913" s="128" t="s">
        <v>134</v>
      </c>
      <c r="F1913" s="128">
        <v>0</v>
      </c>
      <c r="G1913" s="128">
        <v>0</v>
      </c>
      <c r="H1913" s="128">
        <v>0</v>
      </c>
      <c r="I1913" s="128">
        <v>0</v>
      </c>
    </row>
    <row r="1914" spans="1:9" ht="13.5">
      <c r="A1914" s="128">
        <v>1999</v>
      </c>
      <c r="B1914" s="128" t="s">
        <v>137</v>
      </c>
      <c r="C1914" s="128" t="s">
        <v>26</v>
      </c>
      <c r="D1914" s="128" t="s">
        <v>79</v>
      </c>
      <c r="E1914" s="128" t="s">
        <v>135</v>
      </c>
      <c r="F1914" s="128">
        <v>0</v>
      </c>
      <c r="G1914" s="128">
        <v>0</v>
      </c>
      <c r="H1914" s="128">
        <v>0</v>
      </c>
      <c r="I1914" s="128">
        <v>0</v>
      </c>
    </row>
    <row r="1915" spans="1:9" ht="13.5">
      <c r="A1915" s="128">
        <v>1999</v>
      </c>
      <c r="B1915" s="128" t="s">
        <v>137</v>
      </c>
      <c r="C1915" s="128" t="s">
        <v>26</v>
      </c>
      <c r="D1915" s="128" t="s">
        <v>79</v>
      </c>
      <c r="E1915" s="128" t="s">
        <v>136</v>
      </c>
      <c r="F1915" s="128">
        <v>0</v>
      </c>
      <c r="G1915" s="128">
        <v>0</v>
      </c>
      <c r="H1915" s="128">
        <v>0</v>
      </c>
      <c r="I1915" s="128">
        <v>0</v>
      </c>
    </row>
    <row r="1916" spans="1:9" ht="13.5">
      <c r="A1916" s="128">
        <v>1999</v>
      </c>
      <c r="B1916" s="128" t="s">
        <v>137</v>
      </c>
      <c r="C1916" s="128" t="s">
        <v>26</v>
      </c>
      <c r="D1916" s="128" t="s">
        <v>76</v>
      </c>
      <c r="E1916" s="128" t="s">
        <v>132</v>
      </c>
      <c r="F1916" s="128">
        <v>0</v>
      </c>
      <c r="G1916" s="128">
        <v>0</v>
      </c>
      <c r="H1916" s="128">
        <v>0</v>
      </c>
      <c r="I1916" s="128">
        <v>0</v>
      </c>
    </row>
    <row r="1917" spans="1:9" ht="13.5">
      <c r="A1917" s="128">
        <v>1999</v>
      </c>
      <c r="B1917" s="128" t="s">
        <v>137</v>
      </c>
      <c r="C1917" s="128" t="s">
        <v>26</v>
      </c>
      <c r="D1917" s="128" t="s">
        <v>76</v>
      </c>
      <c r="E1917" s="128" t="s">
        <v>133</v>
      </c>
      <c r="F1917" s="128">
        <v>0</v>
      </c>
      <c r="G1917" s="128">
        <v>0</v>
      </c>
      <c r="H1917" s="128">
        <v>0</v>
      </c>
      <c r="I1917" s="128">
        <v>0</v>
      </c>
    </row>
    <row r="1918" spans="1:9" ht="13.5">
      <c r="A1918" s="128">
        <v>1999</v>
      </c>
      <c r="B1918" s="128" t="s">
        <v>137</v>
      </c>
      <c r="C1918" s="128" t="s">
        <v>26</v>
      </c>
      <c r="D1918" s="128" t="s">
        <v>76</v>
      </c>
      <c r="E1918" s="128" t="s">
        <v>134</v>
      </c>
      <c r="F1918" s="128">
        <v>0</v>
      </c>
      <c r="G1918" s="128">
        <v>0</v>
      </c>
      <c r="H1918" s="128">
        <v>0</v>
      </c>
      <c r="I1918" s="128">
        <v>0</v>
      </c>
    </row>
    <row r="1919" spans="1:9" ht="13.5">
      <c r="A1919" s="128">
        <v>1999</v>
      </c>
      <c r="B1919" s="128" t="s">
        <v>137</v>
      </c>
      <c r="C1919" s="128" t="s">
        <v>26</v>
      </c>
      <c r="D1919" s="128" t="s">
        <v>76</v>
      </c>
      <c r="E1919" s="128" t="s">
        <v>135</v>
      </c>
      <c r="F1919" s="128">
        <v>0</v>
      </c>
      <c r="G1919" s="128">
        <v>0</v>
      </c>
      <c r="H1919" s="128">
        <v>0</v>
      </c>
      <c r="I1919" s="128">
        <v>0</v>
      </c>
    </row>
    <row r="1920" spans="1:9" ht="13.5">
      <c r="A1920" s="128">
        <v>1999</v>
      </c>
      <c r="B1920" s="128" t="s">
        <v>137</v>
      </c>
      <c r="C1920" s="128" t="s">
        <v>26</v>
      </c>
      <c r="D1920" s="128" t="s">
        <v>76</v>
      </c>
      <c r="E1920" s="128" t="s">
        <v>136</v>
      </c>
      <c r="F1920" s="128">
        <v>0</v>
      </c>
      <c r="G1920" s="128">
        <v>0</v>
      </c>
      <c r="H1920" s="128">
        <v>0</v>
      </c>
      <c r="I1920" s="128">
        <v>0</v>
      </c>
    </row>
    <row r="1921" spans="1:9" ht="13.5">
      <c r="A1921" s="128">
        <v>1999</v>
      </c>
      <c r="B1921" s="128" t="s">
        <v>137</v>
      </c>
      <c r="C1921" s="128" t="s">
        <v>20</v>
      </c>
      <c r="D1921" s="128" t="s">
        <v>77</v>
      </c>
      <c r="E1921" s="128" t="s">
        <v>132</v>
      </c>
      <c r="F1921" s="128">
        <v>0</v>
      </c>
      <c r="G1921" s="128">
        <v>0</v>
      </c>
      <c r="H1921" s="128">
        <v>0</v>
      </c>
      <c r="I1921" s="128">
        <v>0</v>
      </c>
    </row>
    <row r="1922" spans="1:9" ht="13.5">
      <c r="A1922" s="128">
        <v>1999</v>
      </c>
      <c r="B1922" s="128" t="s">
        <v>137</v>
      </c>
      <c r="C1922" s="128" t="s">
        <v>20</v>
      </c>
      <c r="D1922" s="128" t="s">
        <v>77</v>
      </c>
      <c r="E1922" s="128" t="s">
        <v>133</v>
      </c>
      <c r="F1922" s="128">
        <v>0</v>
      </c>
      <c r="G1922" s="128">
        <v>0</v>
      </c>
      <c r="H1922" s="128">
        <v>0</v>
      </c>
      <c r="I1922" s="128">
        <v>0</v>
      </c>
    </row>
    <row r="1923" spans="1:9" ht="13.5">
      <c r="A1923" s="128">
        <v>1999</v>
      </c>
      <c r="B1923" s="128" t="s">
        <v>137</v>
      </c>
      <c r="C1923" s="128" t="s">
        <v>20</v>
      </c>
      <c r="D1923" s="128" t="s">
        <v>77</v>
      </c>
      <c r="E1923" s="128" t="s">
        <v>134</v>
      </c>
      <c r="F1923" s="128">
        <v>0</v>
      </c>
      <c r="G1923" s="128">
        <v>0</v>
      </c>
      <c r="H1923" s="128">
        <v>0</v>
      </c>
      <c r="I1923" s="128">
        <v>0</v>
      </c>
    </row>
    <row r="1924" spans="1:9" ht="13.5">
      <c r="A1924" s="128">
        <v>1999</v>
      </c>
      <c r="B1924" s="128" t="s">
        <v>137</v>
      </c>
      <c r="C1924" s="128" t="s">
        <v>20</v>
      </c>
      <c r="D1924" s="128" t="s">
        <v>77</v>
      </c>
      <c r="E1924" s="128" t="s">
        <v>135</v>
      </c>
      <c r="F1924" s="128">
        <v>0</v>
      </c>
      <c r="G1924" s="128">
        <v>0</v>
      </c>
      <c r="H1924" s="128">
        <v>0</v>
      </c>
      <c r="I1924" s="128">
        <v>0</v>
      </c>
    </row>
    <row r="1925" spans="1:9" ht="13.5">
      <c r="A1925" s="128">
        <v>1999</v>
      </c>
      <c r="B1925" s="128" t="s">
        <v>137</v>
      </c>
      <c r="C1925" s="128" t="s">
        <v>20</v>
      </c>
      <c r="D1925" s="128" t="s">
        <v>79</v>
      </c>
      <c r="E1925" s="128" t="s">
        <v>132</v>
      </c>
      <c r="F1925" s="128">
        <v>0</v>
      </c>
      <c r="G1925" s="128">
        <v>0</v>
      </c>
      <c r="H1925" s="128">
        <v>0</v>
      </c>
      <c r="I1925" s="128">
        <v>0</v>
      </c>
    </row>
    <row r="1926" spans="1:9" ht="13.5">
      <c r="A1926" s="128">
        <v>1999</v>
      </c>
      <c r="B1926" s="128" t="s">
        <v>137</v>
      </c>
      <c r="C1926" s="128" t="s">
        <v>20</v>
      </c>
      <c r="D1926" s="128" t="s">
        <v>79</v>
      </c>
      <c r="E1926" s="128" t="s">
        <v>133</v>
      </c>
      <c r="F1926" s="128">
        <v>0</v>
      </c>
      <c r="G1926" s="128">
        <v>0</v>
      </c>
      <c r="H1926" s="128">
        <v>0</v>
      </c>
      <c r="I1926" s="128">
        <v>0</v>
      </c>
    </row>
    <row r="1927" spans="1:9" ht="13.5">
      <c r="A1927" s="128">
        <v>1999</v>
      </c>
      <c r="B1927" s="128" t="s">
        <v>137</v>
      </c>
      <c r="C1927" s="128" t="s">
        <v>20</v>
      </c>
      <c r="D1927" s="128" t="s">
        <v>79</v>
      </c>
      <c r="E1927" s="128" t="s">
        <v>134</v>
      </c>
      <c r="F1927" s="128">
        <v>0</v>
      </c>
      <c r="G1927" s="128">
        <v>0</v>
      </c>
      <c r="H1927" s="128">
        <v>0</v>
      </c>
      <c r="I1927" s="128">
        <v>0</v>
      </c>
    </row>
    <row r="1928" spans="1:9" ht="13.5">
      <c r="A1928" s="128">
        <v>1999</v>
      </c>
      <c r="B1928" s="128" t="s">
        <v>137</v>
      </c>
      <c r="C1928" s="128" t="s">
        <v>20</v>
      </c>
      <c r="D1928" s="128" t="s">
        <v>79</v>
      </c>
      <c r="E1928" s="128" t="s">
        <v>135</v>
      </c>
      <c r="F1928" s="128">
        <v>0</v>
      </c>
      <c r="G1928" s="128">
        <v>0</v>
      </c>
      <c r="H1928" s="128">
        <v>0</v>
      </c>
      <c r="I1928" s="128">
        <v>0</v>
      </c>
    </row>
    <row r="1929" spans="1:9" ht="13.5">
      <c r="A1929" s="128">
        <v>1999</v>
      </c>
      <c r="B1929" s="128" t="s">
        <v>137</v>
      </c>
      <c r="C1929" s="128" t="s">
        <v>20</v>
      </c>
      <c r="D1929" s="128" t="s">
        <v>79</v>
      </c>
      <c r="E1929" s="128" t="s">
        <v>136</v>
      </c>
      <c r="F1929" s="128">
        <v>0</v>
      </c>
      <c r="G1929" s="128">
        <v>0</v>
      </c>
      <c r="H1929" s="128">
        <v>0</v>
      </c>
      <c r="I1929" s="128">
        <v>0</v>
      </c>
    </row>
    <row r="1930" spans="1:9" ht="13.5">
      <c r="A1930" s="128">
        <v>1999</v>
      </c>
      <c r="B1930" s="128" t="s">
        <v>137</v>
      </c>
      <c r="C1930" s="128" t="s">
        <v>20</v>
      </c>
      <c r="D1930" s="128" t="s">
        <v>76</v>
      </c>
      <c r="E1930" s="128" t="s">
        <v>132</v>
      </c>
      <c r="F1930" s="128">
        <v>0</v>
      </c>
      <c r="G1930" s="128">
        <v>0</v>
      </c>
      <c r="H1930" s="128">
        <v>0</v>
      </c>
      <c r="I1930" s="128">
        <v>0</v>
      </c>
    </row>
    <row r="1931" spans="1:9" ht="13.5">
      <c r="A1931" s="128">
        <v>1999</v>
      </c>
      <c r="B1931" s="128" t="s">
        <v>137</v>
      </c>
      <c r="C1931" s="128" t="s">
        <v>20</v>
      </c>
      <c r="D1931" s="128" t="s">
        <v>76</v>
      </c>
      <c r="E1931" s="128" t="s">
        <v>133</v>
      </c>
      <c r="F1931" s="128">
        <v>0</v>
      </c>
      <c r="G1931" s="128">
        <v>0</v>
      </c>
      <c r="H1931" s="128">
        <v>0</v>
      </c>
      <c r="I1931" s="128">
        <v>0</v>
      </c>
    </row>
    <row r="1932" spans="1:9" ht="13.5">
      <c r="A1932" s="128">
        <v>1999</v>
      </c>
      <c r="B1932" s="128" t="s">
        <v>137</v>
      </c>
      <c r="C1932" s="128" t="s">
        <v>20</v>
      </c>
      <c r="D1932" s="128" t="s">
        <v>76</v>
      </c>
      <c r="E1932" s="128" t="s">
        <v>134</v>
      </c>
      <c r="F1932" s="128">
        <v>0</v>
      </c>
      <c r="G1932" s="128">
        <v>0</v>
      </c>
      <c r="H1932" s="128">
        <v>0</v>
      </c>
      <c r="I1932" s="128">
        <v>0</v>
      </c>
    </row>
    <row r="1933" spans="1:9" ht="13.5">
      <c r="A1933" s="128">
        <v>1999</v>
      </c>
      <c r="B1933" s="128" t="s">
        <v>137</v>
      </c>
      <c r="C1933" s="128" t="s">
        <v>20</v>
      </c>
      <c r="D1933" s="128" t="s">
        <v>76</v>
      </c>
      <c r="E1933" s="128" t="s">
        <v>135</v>
      </c>
      <c r="F1933" s="128">
        <v>0</v>
      </c>
      <c r="G1933" s="128">
        <v>0</v>
      </c>
      <c r="H1933" s="128">
        <v>0</v>
      </c>
      <c r="I1933" s="128">
        <v>0</v>
      </c>
    </row>
    <row r="1934" spans="1:9" ht="13.5">
      <c r="A1934" s="128">
        <v>1999</v>
      </c>
      <c r="B1934" s="128" t="s">
        <v>137</v>
      </c>
      <c r="C1934" s="128" t="s">
        <v>20</v>
      </c>
      <c r="D1934" s="128" t="s">
        <v>76</v>
      </c>
      <c r="E1934" s="128" t="s">
        <v>136</v>
      </c>
      <c r="F1934" s="128">
        <v>0</v>
      </c>
      <c r="G1934" s="128">
        <v>0</v>
      </c>
      <c r="H1934" s="128">
        <v>0</v>
      </c>
      <c r="I1934" s="128">
        <v>0</v>
      </c>
    </row>
    <row r="1935" spans="1:9" ht="13.5">
      <c r="A1935" s="128">
        <v>1999</v>
      </c>
      <c r="B1935" s="128" t="s">
        <v>137</v>
      </c>
      <c r="C1935" s="128" t="s">
        <v>27</v>
      </c>
      <c r="D1935" s="128" t="s">
        <v>77</v>
      </c>
      <c r="E1935" s="128" t="s">
        <v>132</v>
      </c>
      <c r="F1935" s="128">
        <v>0</v>
      </c>
      <c r="G1935" s="128">
        <v>0</v>
      </c>
      <c r="H1935" s="128">
        <v>0</v>
      </c>
      <c r="I1935" s="128">
        <v>0</v>
      </c>
    </row>
    <row r="1936" spans="1:9" ht="13.5">
      <c r="A1936" s="128">
        <v>1999</v>
      </c>
      <c r="B1936" s="128" t="s">
        <v>137</v>
      </c>
      <c r="C1936" s="128" t="s">
        <v>27</v>
      </c>
      <c r="D1936" s="128" t="s">
        <v>77</v>
      </c>
      <c r="E1936" s="128" t="s">
        <v>133</v>
      </c>
      <c r="F1936" s="128">
        <v>0</v>
      </c>
      <c r="G1936" s="128">
        <v>0</v>
      </c>
      <c r="H1936" s="128">
        <v>0</v>
      </c>
      <c r="I1936" s="128">
        <v>0</v>
      </c>
    </row>
    <row r="1937" spans="1:9" ht="13.5">
      <c r="A1937" s="128">
        <v>1999</v>
      </c>
      <c r="B1937" s="128" t="s">
        <v>137</v>
      </c>
      <c r="C1937" s="128" t="s">
        <v>27</v>
      </c>
      <c r="D1937" s="128" t="s">
        <v>77</v>
      </c>
      <c r="E1937" s="128" t="s">
        <v>134</v>
      </c>
      <c r="F1937" s="128">
        <v>0</v>
      </c>
      <c r="G1937" s="128">
        <v>0</v>
      </c>
      <c r="H1937" s="128">
        <v>0</v>
      </c>
      <c r="I1937" s="128">
        <v>0</v>
      </c>
    </row>
    <row r="1938" spans="1:9" ht="13.5">
      <c r="A1938" s="128">
        <v>1999</v>
      </c>
      <c r="B1938" s="128" t="s">
        <v>137</v>
      </c>
      <c r="C1938" s="128" t="s">
        <v>27</v>
      </c>
      <c r="D1938" s="128" t="s">
        <v>77</v>
      </c>
      <c r="E1938" s="128" t="s">
        <v>135</v>
      </c>
      <c r="F1938" s="128">
        <v>0</v>
      </c>
      <c r="G1938" s="128">
        <v>0</v>
      </c>
      <c r="H1938" s="128">
        <v>0</v>
      </c>
      <c r="I1938" s="128">
        <v>0</v>
      </c>
    </row>
    <row r="1939" spans="1:9" ht="13.5">
      <c r="A1939" s="128">
        <v>1999</v>
      </c>
      <c r="B1939" s="128" t="s">
        <v>137</v>
      </c>
      <c r="C1939" s="128" t="s">
        <v>27</v>
      </c>
      <c r="D1939" s="128" t="s">
        <v>79</v>
      </c>
      <c r="E1939" s="128" t="s">
        <v>132</v>
      </c>
      <c r="F1939" s="128">
        <v>0</v>
      </c>
      <c r="G1939" s="128">
        <v>0</v>
      </c>
      <c r="H1939" s="128">
        <v>0</v>
      </c>
      <c r="I1939" s="128">
        <v>0</v>
      </c>
    </row>
    <row r="1940" spans="1:9" ht="13.5">
      <c r="A1940" s="128">
        <v>1999</v>
      </c>
      <c r="B1940" s="128" t="s">
        <v>137</v>
      </c>
      <c r="C1940" s="128" t="s">
        <v>27</v>
      </c>
      <c r="D1940" s="128" t="s">
        <v>79</v>
      </c>
      <c r="E1940" s="128" t="s">
        <v>133</v>
      </c>
      <c r="F1940" s="128">
        <v>0</v>
      </c>
      <c r="G1940" s="128">
        <v>0</v>
      </c>
      <c r="H1940" s="128">
        <v>0</v>
      </c>
      <c r="I1940" s="128">
        <v>0</v>
      </c>
    </row>
    <row r="1941" spans="1:9" ht="13.5">
      <c r="A1941" s="128">
        <v>1999</v>
      </c>
      <c r="B1941" s="128" t="s">
        <v>137</v>
      </c>
      <c r="C1941" s="128" t="s">
        <v>27</v>
      </c>
      <c r="D1941" s="128" t="s">
        <v>79</v>
      </c>
      <c r="E1941" s="128" t="s">
        <v>134</v>
      </c>
      <c r="F1941" s="128">
        <v>0</v>
      </c>
      <c r="G1941" s="128">
        <v>0</v>
      </c>
      <c r="H1941" s="128">
        <v>0</v>
      </c>
      <c r="I1941" s="128">
        <v>0</v>
      </c>
    </row>
    <row r="1942" spans="1:9" ht="13.5">
      <c r="A1942" s="128">
        <v>1999</v>
      </c>
      <c r="B1942" s="128" t="s">
        <v>137</v>
      </c>
      <c r="C1942" s="128" t="s">
        <v>27</v>
      </c>
      <c r="D1942" s="128" t="s">
        <v>79</v>
      </c>
      <c r="E1942" s="128" t="s">
        <v>135</v>
      </c>
      <c r="F1942" s="128">
        <v>0</v>
      </c>
      <c r="G1942" s="128">
        <v>0</v>
      </c>
      <c r="H1942" s="128">
        <v>0</v>
      </c>
      <c r="I1942" s="128">
        <v>0</v>
      </c>
    </row>
    <row r="1943" spans="1:9" ht="13.5">
      <c r="A1943" s="128">
        <v>1999</v>
      </c>
      <c r="B1943" s="128" t="s">
        <v>137</v>
      </c>
      <c r="C1943" s="128" t="s">
        <v>27</v>
      </c>
      <c r="D1943" s="128" t="s">
        <v>79</v>
      </c>
      <c r="E1943" s="128" t="s">
        <v>136</v>
      </c>
      <c r="F1943" s="128">
        <v>0</v>
      </c>
      <c r="G1943" s="128">
        <v>0</v>
      </c>
      <c r="H1943" s="128">
        <v>0</v>
      </c>
      <c r="I1943" s="128">
        <v>0</v>
      </c>
    </row>
    <row r="1944" spans="1:9" ht="13.5">
      <c r="A1944" s="128">
        <v>1999</v>
      </c>
      <c r="B1944" s="128" t="s">
        <v>137</v>
      </c>
      <c r="C1944" s="128" t="s">
        <v>27</v>
      </c>
      <c r="D1944" s="128" t="s">
        <v>76</v>
      </c>
      <c r="E1944" s="128" t="s">
        <v>132</v>
      </c>
      <c r="F1944" s="128">
        <v>0</v>
      </c>
      <c r="G1944" s="128">
        <v>0</v>
      </c>
      <c r="H1944" s="128">
        <v>0</v>
      </c>
      <c r="I1944" s="128">
        <v>0</v>
      </c>
    </row>
    <row r="1945" spans="1:9" ht="13.5">
      <c r="A1945" s="128">
        <v>1999</v>
      </c>
      <c r="B1945" s="128" t="s">
        <v>137</v>
      </c>
      <c r="C1945" s="128" t="s">
        <v>27</v>
      </c>
      <c r="D1945" s="128" t="s">
        <v>76</v>
      </c>
      <c r="E1945" s="128" t="s">
        <v>133</v>
      </c>
      <c r="F1945" s="128">
        <v>0</v>
      </c>
      <c r="G1945" s="128">
        <v>0</v>
      </c>
      <c r="H1945" s="128">
        <v>0</v>
      </c>
      <c r="I1945" s="128">
        <v>0</v>
      </c>
    </row>
    <row r="1946" spans="1:9" ht="13.5">
      <c r="A1946" s="128">
        <v>1999</v>
      </c>
      <c r="B1946" s="128" t="s">
        <v>137</v>
      </c>
      <c r="C1946" s="128" t="s">
        <v>27</v>
      </c>
      <c r="D1946" s="128" t="s">
        <v>76</v>
      </c>
      <c r="E1946" s="128" t="s">
        <v>134</v>
      </c>
      <c r="F1946" s="128">
        <v>0</v>
      </c>
      <c r="G1946" s="128">
        <v>0</v>
      </c>
      <c r="H1946" s="128">
        <v>0</v>
      </c>
      <c r="I1946" s="128">
        <v>0</v>
      </c>
    </row>
    <row r="1947" spans="1:9" ht="13.5">
      <c r="A1947" s="128">
        <v>1999</v>
      </c>
      <c r="B1947" s="128" t="s">
        <v>137</v>
      </c>
      <c r="C1947" s="128" t="s">
        <v>27</v>
      </c>
      <c r="D1947" s="128" t="s">
        <v>76</v>
      </c>
      <c r="E1947" s="128" t="s">
        <v>135</v>
      </c>
      <c r="F1947" s="128">
        <v>0</v>
      </c>
      <c r="G1947" s="128">
        <v>0</v>
      </c>
      <c r="H1947" s="128">
        <v>0</v>
      </c>
      <c r="I1947" s="128">
        <v>0</v>
      </c>
    </row>
    <row r="1948" spans="1:9" ht="13.5">
      <c r="A1948" s="128">
        <v>1999</v>
      </c>
      <c r="B1948" s="128" t="s">
        <v>137</v>
      </c>
      <c r="C1948" s="128" t="s">
        <v>27</v>
      </c>
      <c r="D1948" s="128" t="s">
        <v>76</v>
      </c>
      <c r="E1948" s="128" t="s">
        <v>136</v>
      </c>
      <c r="F1948" s="128">
        <v>0</v>
      </c>
      <c r="G1948" s="128">
        <v>0</v>
      </c>
      <c r="H1948" s="128">
        <v>0</v>
      </c>
      <c r="I1948" s="128">
        <v>0</v>
      </c>
    </row>
    <row r="1949" spans="1:9" ht="13.5">
      <c r="A1949" s="128">
        <v>1999</v>
      </c>
      <c r="B1949" s="128" t="s">
        <v>137</v>
      </c>
      <c r="C1949" s="128" t="s">
        <v>22</v>
      </c>
      <c r="D1949" s="128" t="s">
        <v>77</v>
      </c>
      <c r="E1949" s="128" t="s">
        <v>132</v>
      </c>
      <c r="F1949" s="128">
        <v>0</v>
      </c>
      <c r="G1949" s="128">
        <v>0</v>
      </c>
      <c r="H1949" s="128">
        <v>0</v>
      </c>
      <c r="I1949" s="128">
        <v>0</v>
      </c>
    </row>
    <row r="1950" spans="1:9" ht="13.5">
      <c r="A1950" s="128">
        <v>1999</v>
      </c>
      <c r="B1950" s="128" t="s">
        <v>137</v>
      </c>
      <c r="C1950" s="128" t="s">
        <v>22</v>
      </c>
      <c r="D1950" s="128" t="s">
        <v>77</v>
      </c>
      <c r="E1950" s="128" t="s">
        <v>133</v>
      </c>
      <c r="F1950" s="128">
        <v>0</v>
      </c>
      <c r="G1950" s="128">
        <v>0</v>
      </c>
      <c r="H1950" s="128">
        <v>0</v>
      </c>
      <c r="I1950" s="128">
        <v>0</v>
      </c>
    </row>
    <row r="1951" spans="1:9" ht="13.5">
      <c r="A1951" s="128">
        <v>1999</v>
      </c>
      <c r="B1951" s="128" t="s">
        <v>137</v>
      </c>
      <c r="C1951" s="128" t="s">
        <v>22</v>
      </c>
      <c r="D1951" s="128" t="s">
        <v>77</v>
      </c>
      <c r="E1951" s="128" t="s">
        <v>134</v>
      </c>
      <c r="F1951" s="128">
        <v>0</v>
      </c>
      <c r="G1951" s="128">
        <v>0</v>
      </c>
      <c r="H1951" s="128">
        <v>0</v>
      </c>
      <c r="I1951" s="128">
        <v>0</v>
      </c>
    </row>
    <row r="1952" spans="1:9" ht="13.5">
      <c r="A1952" s="128">
        <v>1999</v>
      </c>
      <c r="B1952" s="128" t="s">
        <v>137</v>
      </c>
      <c r="C1952" s="128" t="s">
        <v>22</v>
      </c>
      <c r="D1952" s="128" t="s">
        <v>77</v>
      </c>
      <c r="E1952" s="128" t="s">
        <v>135</v>
      </c>
      <c r="F1952" s="128">
        <v>0</v>
      </c>
      <c r="G1952" s="128">
        <v>0</v>
      </c>
      <c r="H1952" s="128">
        <v>0</v>
      </c>
      <c r="I1952" s="128">
        <v>0</v>
      </c>
    </row>
    <row r="1953" spans="1:9" ht="13.5">
      <c r="A1953" s="128">
        <v>1999</v>
      </c>
      <c r="B1953" s="128" t="s">
        <v>137</v>
      </c>
      <c r="C1953" s="128" t="s">
        <v>22</v>
      </c>
      <c r="D1953" s="128" t="s">
        <v>79</v>
      </c>
      <c r="E1953" s="128" t="s">
        <v>132</v>
      </c>
      <c r="F1953" s="128">
        <v>0</v>
      </c>
      <c r="G1953" s="128">
        <v>0</v>
      </c>
      <c r="H1953" s="128">
        <v>0</v>
      </c>
      <c r="I1953" s="128">
        <v>0</v>
      </c>
    </row>
    <row r="1954" spans="1:9" ht="13.5">
      <c r="A1954" s="128">
        <v>1999</v>
      </c>
      <c r="B1954" s="128" t="s">
        <v>137</v>
      </c>
      <c r="C1954" s="128" t="s">
        <v>22</v>
      </c>
      <c r="D1954" s="128" t="s">
        <v>79</v>
      </c>
      <c r="E1954" s="128" t="s">
        <v>133</v>
      </c>
      <c r="F1954" s="128">
        <v>0</v>
      </c>
      <c r="G1954" s="128">
        <v>0</v>
      </c>
      <c r="H1954" s="128">
        <v>0</v>
      </c>
      <c r="I1954" s="128">
        <v>0</v>
      </c>
    </row>
    <row r="1955" spans="1:9" ht="13.5">
      <c r="A1955" s="128">
        <v>1999</v>
      </c>
      <c r="B1955" s="128" t="s">
        <v>137</v>
      </c>
      <c r="C1955" s="128" t="s">
        <v>22</v>
      </c>
      <c r="D1955" s="128" t="s">
        <v>79</v>
      </c>
      <c r="E1955" s="128" t="s">
        <v>134</v>
      </c>
      <c r="F1955" s="128">
        <v>0</v>
      </c>
      <c r="G1955" s="128">
        <v>0</v>
      </c>
      <c r="H1955" s="128">
        <v>0</v>
      </c>
      <c r="I1955" s="128">
        <v>0</v>
      </c>
    </row>
    <row r="1956" spans="1:9" ht="13.5">
      <c r="A1956" s="128">
        <v>1999</v>
      </c>
      <c r="B1956" s="128" t="s">
        <v>137</v>
      </c>
      <c r="C1956" s="128" t="s">
        <v>22</v>
      </c>
      <c r="D1956" s="128" t="s">
        <v>79</v>
      </c>
      <c r="E1956" s="128" t="s">
        <v>135</v>
      </c>
      <c r="F1956" s="128">
        <v>0</v>
      </c>
      <c r="G1956" s="128">
        <v>0</v>
      </c>
      <c r="H1956" s="128">
        <v>0</v>
      </c>
      <c r="I1956" s="128">
        <v>0</v>
      </c>
    </row>
    <row r="1957" spans="1:9" ht="13.5">
      <c r="A1957" s="128">
        <v>1999</v>
      </c>
      <c r="B1957" s="128" t="s">
        <v>137</v>
      </c>
      <c r="C1957" s="128" t="s">
        <v>22</v>
      </c>
      <c r="D1957" s="128" t="s">
        <v>79</v>
      </c>
      <c r="E1957" s="128" t="s">
        <v>136</v>
      </c>
      <c r="F1957" s="128">
        <v>0</v>
      </c>
      <c r="G1957" s="128">
        <v>0</v>
      </c>
      <c r="H1957" s="128">
        <v>0</v>
      </c>
      <c r="I1957" s="128">
        <v>0</v>
      </c>
    </row>
    <row r="1958" spans="1:9" ht="13.5">
      <c r="A1958" s="128">
        <v>1999</v>
      </c>
      <c r="B1958" s="128" t="s">
        <v>137</v>
      </c>
      <c r="C1958" s="128" t="s">
        <v>22</v>
      </c>
      <c r="D1958" s="128" t="s">
        <v>76</v>
      </c>
      <c r="E1958" s="128" t="s">
        <v>132</v>
      </c>
      <c r="F1958" s="128">
        <v>0</v>
      </c>
      <c r="G1958" s="128">
        <v>0</v>
      </c>
      <c r="H1958" s="128">
        <v>0</v>
      </c>
      <c r="I1958" s="128">
        <v>0</v>
      </c>
    </row>
    <row r="1959" spans="1:9" ht="13.5">
      <c r="A1959" s="128">
        <v>1999</v>
      </c>
      <c r="B1959" s="128" t="s">
        <v>137</v>
      </c>
      <c r="C1959" s="128" t="s">
        <v>22</v>
      </c>
      <c r="D1959" s="128" t="s">
        <v>76</v>
      </c>
      <c r="E1959" s="128" t="s">
        <v>133</v>
      </c>
      <c r="F1959" s="128">
        <v>0</v>
      </c>
      <c r="G1959" s="128">
        <v>0</v>
      </c>
      <c r="H1959" s="128">
        <v>0</v>
      </c>
      <c r="I1959" s="128">
        <v>0</v>
      </c>
    </row>
    <row r="1960" spans="1:9" ht="13.5">
      <c r="A1960" s="128">
        <v>1999</v>
      </c>
      <c r="B1960" s="128" t="s">
        <v>137</v>
      </c>
      <c r="C1960" s="128" t="s">
        <v>22</v>
      </c>
      <c r="D1960" s="128" t="s">
        <v>76</v>
      </c>
      <c r="E1960" s="128" t="s">
        <v>134</v>
      </c>
      <c r="F1960" s="128">
        <v>0</v>
      </c>
      <c r="G1960" s="128">
        <v>0</v>
      </c>
      <c r="H1960" s="128">
        <v>0</v>
      </c>
      <c r="I1960" s="128">
        <v>0</v>
      </c>
    </row>
    <row r="1961" spans="1:9" ht="13.5">
      <c r="A1961" s="128">
        <v>1999</v>
      </c>
      <c r="B1961" s="128" t="s">
        <v>137</v>
      </c>
      <c r="C1961" s="128" t="s">
        <v>22</v>
      </c>
      <c r="D1961" s="128" t="s">
        <v>76</v>
      </c>
      <c r="E1961" s="128" t="s">
        <v>135</v>
      </c>
      <c r="F1961" s="128">
        <v>0</v>
      </c>
      <c r="G1961" s="128">
        <v>0</v>
      </c>
      <c r="H1961" s="128">
        <v>0</v>
      </c>
      <c r="I1961" s="128">
        <v>0</v>
      </c>
    </row>
    <row r="1962" spans="1:9" ht="13.5">
      <c r="A1962" s="128">
        <v>1999</v>
      </c>
      <c r="B1962" s="128" t="s">
        <v>137</v>
      </c>
      <c r="C1962" s="128" t="s">
        <v>22</v>
      </c>
      <c r="D1962" s="128" t="s">
        <v>76</v>
      </c>
      <c r="E1962" s="128" t="s">
        <v>136</v>
      </c>
      <c r="F1962" s="128">
        <v>0</v>
      </c>
      <c r="G1962" s="128">
        <v>0</v>
      </c>
      <c r="H1962" s="128">
        <v>0</v>
      </c>
      <c r="I1962" s="128">
        <v>0</v>
      </c>
    </row>
    <row r="1963" spans="1:9" ht="13.5">
      <c r="A1963" s="128">
        <v>1999</v>
      </c>
      <c r="B1963" s="128" t="s">
        <v>137</v>
      </c>
      <c r="C1963" s="128" t="s">
        <v>23</v>
      </c>
      <c r="D1963" s="128" t="s">
        <v>77</v>
      </c>
      <c r="E1963" s="128" t="s">
        <v>132</v>
      </c>
      <c r="F1963" s="128">
        <v>0</v>
      </c>
      <c r="G1963" s="128">
        <v>0</v>
      </c>
      <c r="H1963" s="128">
        <v>0</v>
      </c>
      <c r="I1963" s="128">
        <v>0</v>
      </c>
    </row>
    <row r="1964" spans="1:9" ht="13.5">
      <c r="A1964" s="128">
        <v>1999</v>
      </c>
      <c r="B1964" s="128" t="s">
        <v>137</v>
      </c>
      <c r="C1964" s="128" t="s">
        <v>23</v>
      </c>
      <c r="D1964" s="128" t="s">
        <v>77</v>
      </c>
      <c r="E1964" s="128" t="s">
        <v>133</v>
      </c>
      <c r="F1964" s="128">
        <v>0</v>
      </c>
      <c r="G1964" s="128">
        <v>0</v>
      </c>
      <c r="H1964" s="128">
        <v>0</v>
      </c>
      <c r="I1964" s="128">
        <v>0</v>
      </c>
    </row>
    <row r="1965" spans="1:9" ht="13.5">
      <c r="A1965" s="128">
        <v>1999</v>
      </c>
      <c r="B1965" s="128" t="s">
        <v>137</v>
      </c>
      <c r="C1965" s="128" t="s">
        <v>23</v>
      </c>
      <c r="D1965" s="128" t="s">
        <v>77</v>
      </c>
      <c r="E1965" s="128" t="s">
        <v>134</v>
      </c>
      <c r="F1965" s="128">
        <v>0</v>
      </c>
      <c r="G1965" s="128">
        <v>0</v>
      </c>
      <c r="H1965" s="128">
        <v>0</v>
      </c>
      <c r="I1965" s="128">
        <v>0</v>
      </c>
    </row>
    <row r="1966" spans="1:9" ht="13.5">
      <c r="A1966" s="128">
        <v>1999</v>
      </c>
      <c r="B1966" s="128" t="s">
        <v>137</v>
      </c>
      <c r="C1966" s="128" t="s">
        <v>23</v>
      </c>
      <c r="D1966" s="128" t="s">
        <v>77</v>
      </c>
      <c r="E1966" s="128" t="s">
        <v>135</v>
      </c>
      <c r="F1966" s="128">
        <v>0</v>
      </c>
      <c r="G1966" s="128">
        <v>0</v>
      </c>
      <c r="H1966" s="128">
        <v>0</v>
      </c>
      <c r="I1966" s="128">
        <v>0</v>
      </c>
    </row>
    <row r="1967" spans="1:9" ht="13.5">
      <c r="A1967" s="128">
        <v>1999</v>
      </c>
      <c r="B1967" s="128" t="s">
        <v>137</v>
      </c>
      <c r="C1967" s="128" t="s">
        <v>23</v>
      </c>
      <c r="D1967" s="128" t="s">
        <v>79</v>
      </c>
      <c r="E1967" s="128" t="s">
        <v>132</v>
      </c>
      <c r="F1967" s="128">
        <v>0</v>
      </c>
      <c r="G1967" s="128">
        <v>0</v>
      </c>
      <c r="H1967" s="128">
        <v>0</v>
      </c>
      <c r="I1967" s="128">
        <v>0</v>
      </c>
    </row>
    <row r="1968" spans="1:9" ht="13.5">
      <c r="A1968" s="128">
        <v>1999</v>
      </c>
      <c r="B1968" s="128" t="s">
        <v>137</v>
      </c>
      <c r="C1968" s="128" t="s">
        <v>23</v>
      </c>
      <c r="D1968" s="128" t="s">
        <v>79</v>
      </c>
      <c r="E1968" s="128" t="s">
        <v>133</v>
      </c>
      <c r="F1968" s="128">
        <v>0</v>
      </c>
      <c r="G1968" s="128">
        <v>0</v>
      </c>
      <c r="H1968" s="128">
        <v>0</v>
      </c>
      <c r="I1968" s="128">
        <v>0</v>
      </c>
    </row>
    <row r="1969" spans="1:9" ht="13.5">
      <c r="A1969" s="128">
        <v>1999</v>
      </c>
      <c r="B1969" s="128" t="s">
        <v>137</v>
      </c>
      <c r="C1969" s="128" t="s">
        <v>23</v>
      </c>
      <c r="D1969" s="128" t="s">
        <v>79</v>
      </c>
      <c r="E1969" s="128" t="s">
        <v>134</v>
      </c>
      <c r="F1969" s="128">
        <v>0</v>
      </c>
      <c r="G1969" s="128">
        <v>0</v>
      </c>
      <c r="H1969" s="128">
        <v>0</v>
      </c>
      <c r="I1969" s="128">
        <v>0</v>
      </c>
    </row>
    <row r="1970" spans="1:9" ht="13.5">
      <c r="A1970" s="128">
        <v>1999</v>
      </c>
      <c r="B1970" s="128" t="s">
        <v>137</v>
      </c>
      <c r="C1970" s="128" t="s">
        <v>23</v>
      </c>
      <c r="D1970" s="128" t="s">
        <v>79</v>
      </c>
      <c r="E1970" s="128" t="s">
        <v>135</v>
      </c>
      <c r="F1970" s="128">
        <v>0</v>
      </c>
      <c r="G1970" s="128">
        <v>0</v>
      </c>
      <c r="H1970" s="128">
        <v>0</v>
      </c>
      <c r="I1970" s="128">
        <v>0</v>
      </c>
    </row>
    <row r="1971" spans="1:9" ht="13.5">
      <c r="A1971" s="128">
        <v>1999</v>
      </c>
      <c r="B1971" s="128" t="s">
        <v>137</v>
      </c>
      <c r="C1971" s="128" t="s">
        <v>23</v>
      </c>
      <c r="D1971" s="128" t="s">
        <v>79</v>
      </c>
      <c r="E1971" s="128" t="s">
        <v>136</v>
      </c>
      <c r="F1971" s="128">
        <v>0</v>
      </c>
      <c r="G1971" s="128">
        <v>0</v>
      </c>
      <c r="H1971" s="128">
        <v>0</v>
      </c>
      <c r="I1971" s="128">
        <v>0</v>
      </c>
    </row>
    <row r="1972" spans="1:9" ht="13.5">
      <c r="A1972" s="128">
        <v>1999</v>
      </c>
      <c r="B1972" s="128" t="s">
        <v>137</v>
      </c>
      <c r="C1972" s="128" t="s">
        <v>23</v>
      </c>
      <c r="D1972" s="128" t="s">
        <v>76</v>
      </c>
      <c r="E1972" s="128" t="s">
        <v>132</v>
      </c>
      <c r="F1972" s="128">
        <v>0</v>
      </c>
      <c r="G1972" s="128">
        <v>0</v>
      </c>
      <c r="H1972" s="128">
        <v>0</v>
      </c>
      <c r="I1972" s="128">
        <v>0</v>
      </c>
    </row>
    <row r="1973" spans="1:9" ht="13.5">
      <c r="A1973" s="128">
        <v>1999</v>
      </c>
      <c r="B1973" s="128" t="s">
        <v>137</v>
      </c>
      <c r="C1973" s="128" t="s">
        <v>23</v>
      </c>
      <c r="D1973" s="128" t="s">
        <v>76</v>
      </c>
      <c r="E1973" s="128" t="s">
        <v>133</v>
      </c>
      <c r="F1973" s="128">
        <v>0</v>
      </c>
      <c r="G1973" s="128">
        <v>0</v>
      </c>
      <c r="H1973" s="128">
        <v>0</v>
      </c>
      <c r="I1973" s="128">
        <v>0</v>
      </c>
    </row>
    <row r="1974" spans="1:9" ht="13.5">
      <c r="A1974" s="128">
        <v>1999</v>
      </c>
      <c r="B1974" s="128" t="s">
        <v>137</v>
      </c>
      <c r="C1974" s="128" t="s">
        <v>23</v>
      </c>
      <c r="D1974" s="128" t="s">
        <v>76</v>
      </c>
      <c r="E1974" s="128" t="s">
        <v>134</v>
      </c>
      <c r="F1974" s="128">
        <v>0</v>
      </c>
      <c r="G1974" s="128">
        <v>0</v>
      </c>
      <c r="H1974" s="128">
        <v>0</v>
      </c>
      <c r="I1974" s="128">
        <v>0</v>
      </c>
    </row>
    <row r="1975" spans="1:9" ht="13.5">
      <c r="A1975" s="128">
        <v>1999</v>
      </c>
      <c r="B1975" s="128" t="s">
        <v>137</v>
      </c>
      <c r="C1975" s="128" t="s">
        <v>23</v>
      </c>
      <c r="D1975" s="128" t="s">
        <v>76</v>
      </c>
      <c r="E1975" s="128" t="s">
        <v>135</v>
      </c>
      <c r="F1975" s="128">
        <v>0</v>
      </c>
      <c r="G1975" s="128">
        <v>0</v>
      </c>
      <c r="H1975" s="128">
        <v>0</v>
      </c>
      <c r="I1975" s="128">
        <v>0</v>
      </c>
    </row>
    <row r="1976" spans="1:9" ht="13.5">
      <c r="A1976" s="128">
        <v>1999</v>
      </c>
      <c r="B1976" s="128" t="s">
        <v>137</v>
      </c>
      <c r="C1976" s="128" t="s">
        <v>23</v>
      </c>
      <c r="D1976" s="128" t="s">
        <v>76</v>
      </c>
      <c r="E1976" s="128" t="s">
        <v>136</v>
      </c>
      <c r="F1976" s="128">
        <v>0</v>
      </c>
      <c r="G1976" s="128">
        <v>0</v>
      </c>
      <c r="H1976" s="128">
        <v>0</v>
      </c>
      <c r="I1976" s="128">
        <v>0</v>
      </c>
    </row>
    <row r="1977" spans="1:9" ht="13.5">
      <c r="A1977" s="128">
        <v>1999</v>
      </c>
      <c r="B1977" s="128" t="s">
        <v>137</v>
      </c>
      <c r="C1977" s="128" t="s">
        <v>25</v>
      </c>
      <c r="D1977" s="128" t="s">
        <v>77</v>
      </c>
      <c r="E1977" s="128" t="s">
        <v>132</v>
      </c>
      <c r="F1977" s="128">
        <v>0</v>
      </c>
      <c r="G1977" s="128">
        <v>0</v>
      </c>
      <c r="H1977" s="128">
        <v>0</v>
      </c>
      <c r="I1977" s="128">
        <v>0</v>
      </c>
    </row>
    <row r="1978" spans="1:9" ht="13.5">
      <c r="A1978" s="128">
        <v>1999</v>
      </c>
      <c r="B1978" s="128" t="s">
        <v>137</v>
      </c>
      <c r="C1978" s="128" t="s">
        <v>25</v>
      </c>
      <c r="D1978" s="128" t="s">
        <v>77</v>
      </c>
      <c r="E1978" s="128" t="s">
        <v>133</v>
      </c>
      <c r="F1978" s="128">
        <v>0</v>
      </c>
      <c r="G1978" s="128">
        <v>0</v>
      </c>
      <c r="H1978" s="128">
        <v>0</v>
      </c>
      <c r="I1978" s="128">
        <v>0</v>
      </c>
    </row>
    <row r="1979" spans="1:9" ht="13.5">
      <c r="A1979" s="128">
        <v>1999</v>
      </c>
      <c r="B1979" s="128" t="s">
        <v>137</v>
      </c>
      <c r="C1979" s="128" t="s">
        <v>25</v>
      </c>
      <c r="D1979" s="128" t="s">
        <v>77</v>
      </c>
      <c r="E1979" s="128" t="s">
        <v>134</v>
      </c>
      <c r="F1979" s="128">
        <v>0</v>
      </c>
      <c r="G1979" s="128">
        <v>0</v>
      </c>
      <c r="H1979" s="128">
        <v>0</v>
      </c>
      <c r="I1979" s="128">
        <v>0</v>
      </c>
    </row>
    <row r="1980" spans="1:9" ht="13.5">
      <c r="A1980" s="128">
        <v>1999</v>
      </c>
      <c r="B1980" s="128" t="s">
        <v>137</v>
      </c>
      <c r="C1980" s="128" t="s">
        <v>25</v>
      </c>
      <c r="D1980" s="128" t="s">
        <v>77</v>
      </c>
      <c r="E1980" s="128" t="s">
        <v>135</v>
      </c>
      <c r="F1980" s="128">
        <v>0</v>
      </c>
      <c r="G1980" s="128">
        <v>0</v>
      </c>
      <c r="H1980" s="128">
        <v>0</v>
      </c>
      <c r="I1980" s="128">
        <v>0</v>
      </c>
    </row>
    <row r="1981" spans="1:9" ht="13.5">
      <c r="A1981" s="128">
        <v>1999</v>
      </c>
      <c r="B1981" s="128" t="s">
        <v>137</v>
      </c>
      <c r="C1981" s="128" t="s">
        <v>25</v>
      </c>
      <c r="D1981" s="128" t="s">
        <v>79</v>
      </c>
      <c r="E1981" s="128" t="s">
        <v>132</v>
      </c>
      <c r="F1981" s="128">
        <v>0</v>
      </c>
      <c r="G1981" s="128">
        <v>0</v>
      </c>
      <c r="H1981" s="128">
        <v>0</v>
      </c>
      <c r="I1981" s="128">
        <v>0</v>
      </c>
    </row>
    <row r="1982" spans="1:9" ht="13.5">
      <c r="A1982" s="128">
        <v>1999</v>
      </c>
      <c r="B1982" s="128" t="s">
        <v>137</v>
      </c>
      <c r="C1982" s="128" t="s">
        <v>25</v>
      </c>
      <c r="D1982" s="128" t="s">
        <v>79</v>
      </c>
      <c r="E1982" s="128" t="s">
        <v>133</v>
      </c>
      <c r="F1982" s="128">
        <v>0</v>
      </c>
      <c r="G1982" s="128">
        <v>0</v>
      </c>
      <c r="H1982" s="128">
        <v>0</v>
      </c>
      <c r="I1982" s="128">
        <v>0</v>
      </c>
    </row>
    <row r="1983" spans="1:9" ht="13.5">
      <c r="A1983" s="128">
        <v>1999</v>
      </c>
      <c r="B1983" s="128" t="s">
        <v>137</v>
      </c>
      <c r="C1983" s="128" t="s">
        <v>25</v>
      </c>
      <c r="D1983" s="128" t="s">
        <v>79</v>
      </c>
      <c r="E1983" s="128" t="s">
        <v>134</v>
      </c>
      <c r="F1983" s="128">
        <v>0</v>
      </c>
      <c r="G1983" s="128">
        <v>0</v>
      </c>
      <c r="H1983" s="128">
        <v>0</v>
      </c>
      <c r="I1983" s="128">
        <v>0</v>
      </c>
    </row>
    <row r="1984" spans="1:9" ht="13.5">
      <c r="A1984" s="128">
        <v>1999</v>
      </c>
      <c r="B1984" s="128" t="s">
        <v>137</v>
      </c>
      <c r="C1984" s="128" t="s">
        <v>25</v>
      </c>
      <c r="D1984" s="128" t="s">
        <v>79</v>
      </c>
      <c r="E1984" s="128" t="s">
        <v>135</v>
      </c>
      <c r="F1984" s="128">
        <v>0</v>
      </c>
      <c r="G1984" s="128">
        <v>0</v>
      </c>
      <c r="H1984" s="128">
        <v>0</v>
      </c>
      <c r="I1984" s="128">
        <v>0</v>
      </c>
    </row>
    <row r="1985" spans="1:9" ht="13.5">
      <c r="A1985" s="128">
        <v>1999</v>
      </c>
      <c r="B1985" s="128" t="s">
        <v>137</v>
      </c>
      <c r="C1985" s="128" t="s">
        <v>25</v>
      </c>
      <c r="D1985" s="128" t="s">
        <v>79</v>
      </c>
      <c r="E1985" s="128" t="s">
        <v>136</v>
      </c>
      <c r="F1985" s="128">
        <v>0</v>
      </c>
      <c r="G1985" s="128">
        <v>0</v>
      </c>
      <c r="H1985" s="128">
        <v>0</v>
      </c>
      <c r="I1985" s="128">
        <v>0</v>
      </c>
    </row>
    <row r="1986" spans="1:9" ht="13.5">
      <c r="A1986" s="128">
        <v>1999</v>
      </c>
      <c r="B1986" s="128" t="s">
        <v>137</v>
      </c>
      <c r="C1986" s="128" t="s">
        <v>25</v>
      </c>
      <c r="D1986" s="128" t="s">
        <v>76</v>
      </c>
      <c r="E1986" s="128" t="s">
        <v>132</v>
      </c>
      <c r="F1986" s="128">
        <v>0</v>
      </c>
      <c r="G1986" s="128">
        <v>0</v>
      </c>
      <c r="H1986" s="128">
        <v>0</v>
      </c>
      <c r="I1986" s="128">
        <v>0</v>
      </c>
    </row>
    <row r="1987" spans="1:9" ht="13.5">
      <c r="A1987" s="128">
        <v>1999</v>
      </c>
      <c r="B1987" s="128" t="s">
        <v>137</v>
      </c>
      <c r="C1987" s="128" t="s">
        <v>25</v>
      </c>
      <c r="D1987" s="128" t="s">
        <v>76</v>
      </c>
      <c r="E1987" s="128" t="s">
        <v>133</v>
      </c>
      <c r="F1987" s="128">
        <v>0</v>
      </c>
      <c r="G1987" s="128">
        <v>0</v>
      </c>
      <c r="H1987" s="128">
        <v>0</v>
      </c>
      <c r="I1987" s="128">
        <v>0</v>
      </c>
    </row>
    <row r="1988" spans="1:9" ht="13.5">
      <c r="A1988" s="128">
        <v>1999</v>
      </c>
      <c r="B1988" s="128" t="s">
        <v>137</v>
      </c>
      <c r="C1988" s="128" t="s">
        <v>25</v>
      </c>
      <c r="D1988" s="128" t="s">
        <v>76</v>
      </c>
      <c r="E1988" s="128" t="s">
        <v>134</v>
      </c>
      <c r="F1988" s="128">
        <v>0</v>
      </c>
      <c r="G1988" s="128">
        <v>0</v>
      </c>
      <c r="H1988" s="128">
        <v>0</v>
      </c>
      <c r="I1988" s="128">
        <v>0</v>
      </c>
    </row>
    <row r="1989" spans="1:9" ht="13.5">
      <c r="A1989" s="128">
        <v>1999</v>
      </c>
      <c r="B1989" s="128" t="s">
        <v>137</v>
      </c>
      <c r="C1989" s="128" t="s">
        <v>25</v>
      </c>
      <c r="D1989" s="128" t="s">
        <v>76</v>
      </c>
      <c r="E1989" s="128" t="s">
        <v>135</v>
      </c>
      <c r="F1989" s="128">
        <v>0</v>
      </c>
      <c r="G1989" s="128">
        <v>0</v>
      </c>
      <c r="H1989" s="128">
        <v>0</v>
      </c>
      <c r="I1989" s="128">
        <v>0</v>
      </c>
    </row>
    <row r="1990" spans="1:9" ht="13.5">
      <c r="A1990" s="128">
        <v>1999</v>
      </c>
      <c r="B1990" s="128" t="s">
        <v>137</v>
      </c>
      <c r="C1990" s="128" t="s">
        <v>25</v>
      </c>
      <c r="D1990" s="128" t="s">
        <v>76</v>
      </c>
      <c r="E1990" s="128" t="s">
        <v>136</v>
      </c>
      <c r="F1990" s="128">
        <v>0</v>
      </c>
      <c r="G1990" s="128">
        <v>0</v>
      </c>
      <c r="H1990" s="128">
        <v>0</v>
      </c>
      <c r="I1990" s="128">
        <v>0</v>
      </c>
    </row>
    <row r="1991" spans="1:9" ht="13.5">
      <c r="A1991" s="128">
        <v>1999</v>
      </c>
      <c r="B1991" s="128" t="s">
        <v>137</v>
      </c>
      <c r="C1991" s="128" t="s">
        <v>21</v>
      </c>
      <c r="D1991" s="128" t="s">
        <v>77</v>
      </c>
      <c r="E1991" s="128" t="s">
        <v>132</v>
      </c>
      <c r="F1991" s="128">
        <v>0</v>
      </c>
      <c r="G1991" s="128">
        <v>0</v>
      </c>
      <c r="H1991" s="128">
        <v>0</v>
      </c>
      <c r="I1991" s="128">
        <v>0</v>
      </c>
    </row>
    <row r="1992" spans="1:9" ht="13.5">
      <c r="A1992" s="128">
        <v>1999</v>
      </c>
      <c r="B1992" s="128" t="s">
        <v>137</v>
      </c>
      <c r="C1992" s="128" t="s">
        <v>21</v>
      </c>
      <c r="D1992" s="128" t="s">
        <v>77</v>
      </c>
      <c r="E1992" s="128" t="s">
        <v>133</v>
      </c>
      <c r="F1992" s="128">
        <v>0</v>
      </c>
      <c r="G1992" s="128">
        <v>0</v>
      </c>
      <c r="H1992" s="128">
        <v>0</v>
      </c>
      <c r="I1992" s="128">
        <v>0</v>
      </c>
    </row>
    <row r="1993" spans="1:9" ht="13.5">
      <c r="A1993" s="128">
        <v>1999</v>
      </c>
      <c r="B1993" s="128" t="s">
        <v>137</v>
      </c>
      <c r="C1993" s="128" t="s">
        <v>21</v>
      </c>
      <c r="D1993" s="128" t="s">
        <v>77</v>
      </c>
      <c r="E1993" s="128" t="s">
        <v>134</v>
      </c>
      <c r="F1993" s="128">
        <v>0</v>
      </c>
      <c r="G1993" s="128">
        <v>0</v>
      </c>
      <c r="H1993" s="128">
        <v>0</v>
      </c>
      <c r="I1993" s="128">
        <v>0</v>
      </c>
    </row>
    <row r="1994" spans="1:9" ht="13.5">
      <c r="A1994" s="128">
        <v>1999</v>
      </c>
      <c r="B1994" s="128" t="s">
        <v>137</v>
      </c>
      <c r="C1994" s="128" t="s">
        <v>21</v>
      </c>
      <c r="D1994" s="128" t="s">
        <v>77</v>
      </c>
      <c r="E1994" s="128" t="s">
        <v>135</v>
      </c>
      <c r="F1994" s="128">
        <v>0</v>
      </c>
      <c r="G1994" s="128">
        <v>0</v>
      </c>
      <c r="H1994" s="128">
        <v>0</v>
      </c>
      <c r="I1994" s="128">
        <v>0</v>
      </c>
    </row>
    <row r="1995" spans="1:9" ht="13.5">
      <c r="A1995" s="128">
        <v>1999</v>
      </c>
      <c r="B1995" s="128" t="s">
        <v>137</v>
      </c>
      <c r="C1995" s="128" t="s">
        <v>21</v>
      </c>
      <c r="D1995" s="128" t="s">
        <v>79</v>
      </c>
      <c r="E1995" s="128" t="s">
        <v>132</v>
      </c>
      <c r="F1995" s="128">
        <v>0</v>
      </c>
      <c r="G1995" s="128">
        <v>0</v>
      </c>
      <c r="H1995" s="128">
        <v>0</v>
      </c>
      <c r="I1995" s="128">
        <v>0</v>
      </c>
    </row>
    <row r="1996" spans="1:9" ht="13.5">
      <c r="A1996" s="128">
        <v>1999</v>
      </c>
      <c r="B1996" s="128" t="s">
        <v>137</v>
      </c>
      <c r="C1996" s="128" t="s">
        <v>21</v>
      </c>
      <c r="D1996" s="128" t="s">
        <v>79</v>
      </c>
      <c r="E1996" s="128" t="s">
        <v>133</v>
      </c>
      <c r="F1996" s="128">
        <v>0</v>
      </c>
      <c r="G1996" s="128">
        <v>0</v>
      </c>
      <c r="H1996" s="128">
        <v>0</v>
      </c>
      <c r="I1996" s="128">
        <v>0</v>
      </c>
    </row>
    <row r="1997" spans="1:9" ht="13.5">
      <c r="A1997" s="128">
        <v>1999</v>
      </c>
      <c r="B1997" s="128" t="s">
        <v>137</v>
      </c>
      <c r="C1997" s="128" t="s">
        <v>21</v>
      </c>
      <c r="D1997" s="128" t="s">
        <v>79</v>
      </c>
      <c r="E1997" s="128" t="s">
        <v>134</v>
      </c>
      <c r="F1997" s="128">
        <v>0</v>
      </c>
      <c r="G1997" s="128">
        <v>0</v>
      </c>
      <c r="H1997" s="128">
        <v>0</v>
      </c>
      <c r="I1997" s="128">
        <v>0</v>
      </c>
    </row>
    <row r="1998" spans="1:9" ht="13.5">
      <c r="A1998" s="128">
        <v>1999</v>
      </c>
      <c r="B1998" s="128" t="s">
        <v>137</v>
      </c>
      <c r="C1998" s="128" t="s">
        <v>21</v>
      </c>
      <c r="D1998" s="128" t="s">
        <v>79</v>
      </c>
      <c r="E1998" s="128" t="s">
        <v>135</v>
      </c>
      <c r="F1998" s="128">
        <v>0</v>
      </c>
      <c r="G1998" s="128">
        <v>0</v>
      </c>
      <c r="H1998" s="128">
        <v>0</v>
      </c>
      <c r="I1998" s="128">
        <v>0</v>
      </c>
    </row>
    <row r="1999" spans="1:9" ht="13.5">
      <c r="A1999" s="128">
        <v>1999</v>
      </c>
      <c r="B1999" s="128" t="s">
        <v>137</v>
      </c>
      <c r="C1999" s="128" t="s">
        <v>21</v>
      </c>
      <c r="D1999" s="128" t="s">
        <v>79</v>
      </c>
      <c r="E1999" s="128" t="s">
        <v>136</v>
      </c>
      <c r="F1999" s="128">
        <v>0</v>
      </c>
      <c r="G1999" s="128">
        <v>0</v>
      </c>
      <c r="H1999" s="128">
        <v>0</v>
      </c>
      <c r="I1999" s="128">
        <v>0</v>
      </c>
    </row>
    <row r="2000" spans="1:9" ht="13.5">
      <c r="A2000" s="128">
        <v>1999</v>
      </c>
      <c r="B2000" s="128" t="s">
        <v>137</v>
      </c>
      <c r="C2000" s="128" t="s">
        <v>21</v>
      </c>
      <c r="D2000" s="128" t="s">
        <v>76</v>
      </c>
      <c r="E2000" s="128" t="s">
        <v>132</v>
      </c>
      <c r="F2000" s="128">
        <v>0</v>
      </c>
      <c r="G2000" s="128">
        <v>0</v>
      </c>
      <c r="H2000" s="128">
        <v>0</v>
      </c>
      <c r="I2000" s="128">
        <v>0</v>
      </c>
    </row>
    <row r="2001" spans="1:9" ht="13.5">
      <c r="A2001" s="128">
        <v>1999</v>
      </c>
      <c r="B2001" s="128" t="s">
        <v>137</v>
      </c>
      <c r="C2001" s="128" t="s">
        <v>21</v>
      </c>
      <c r="D2001" s="128" t="s">
        <v>76</v>
      </c>
      <c r="E2001" s="128" t="s">
        <v>133</v>
      </c>
      <c r="F2001" s="128">
        <v>0</v>
      </c>
      <c r="G2001" s="128">
        <v>0</v>
      </c>
      <c r="H2001" s="128">
        <v>0</v>
      </c>
      <c r="I2001" s="128">
        <v>0</v>
      </c>
    </row>
    <row r="2002" spans="1:9" ht="13.5">
      <c r="A2002" s="128">
        <v>1999</v>
      </c>
      <c r="B2002" s="128" t="s">
        <v>137</v>
      </c>
      <c r="C2002" s="128" t="s">
        <v>21</v>
      </c>
      <c r="D2002" s="128" t="s">
        <v>76</v>
      </c>
      <c r="E2002" s="128" t="s">
        <v>134</v>
      </c>
      <c r="F2002" s="128">
        <v>0</v>
      </c>
      <c r="G2002" s="128">
        <v>0</v>
      </c>
      <c r="H2002" s="128">
        <v>0</v>
      </c>
      <c r="I2002" s="128">
        <v>0</v>
      </c>
    </row>
    <row r="2003" spans="1:9" ht="13.5">
      <c r="A2003" s="128">
        <v>1999</v>
      </c>
      <c r="B2003" s="128" t="s">
        <v>137</v>
      </c>
      <c r="C2003" s="128" t="s">
        <v>21</v>
      </c>
      <c r="D2003" s="128" t="s">
        <v>76</v>
      </c>
      <c r="E2003" s="128" t="s">
        <v>135</v>
      </c>
      <c r="F2003" s="128">
        <v>0</v>
      </c>
      <c r="G2003" s="128">
        <v>0</v>
      </c>
      <c r="H2003" s="128">
        <v>0</v>
      </c>
      <c r="I2003" s="128">
        <v>0</v>
      </c>
    </row>
    <row r="2004" spans="1:9" ht="13.5">
      <c r="A2004" s="128">
        <v>1999</v>
      </c>
      <c r="B2004" s="128" t="s">
        <v>137</v>
      </c>
      <c r="C2004" s="128" t="s">
        <v>21</v>
      </c>
      <c r="D2004" s="128" t="s">
        <v>76</v>
      </c>
      <c r="E2004" s="128" t="s">
        <v>136</v>
      </c>
      <c r="F2004" s="128">
        <v>0</v>
      </c>
      <c r="G2004" s="128">
        <v>0</v>
      </c>
      <c r="H2004" s="128">
        <v>0</v>
      </c>
      <c r="I2004" s="128">
        <v>0</v>
      </c>
    </row>
    <row r="2005" spans="1:9" ht="13.5">
      <c r="A2005" s="128">
        <v>1999</v>
      </c>
      <c r="B2005" s="128" t="s">
        <v>137</v>
      </c>
      <c r="C2005" s="128" t="s">
        <v>24</v>
      </c>
      <c r="D2005" s="128" t="s">
        <v>77</v>
      </c>
      <c r="E2005" s="128" t="s">
        <v>132</v>
      </c>
      <c r="F2005" s="128">
        <v>0</v>
      </c>
      <c r="G2005" s="128">
        <v>0</v>
      </c>
      <c r="H2005" s="128">
        <v>0</v>
      </c>
      <c r="I2005" s="128">
        <v>0</v>
      </c>
    </row>
    <row r="2006" spans="1:9" ht="13.5">
      <c r="A2006" s="128">
        <v>1999</v>
      </c>
      <c r="B2006" s="128" t="s">
        <v>137</v>
      </c>
      <c r="C2006" s="128" t="s">
        <v>24</v>
      </c>
      <c r="D2006" s="128" t="s">
        <v>77</v>
      </c>
      <c r="E2006" s="128" t="s">
        <v>133</v>
      </c>
      <c r="F2006" s="128">
        <v>0</v>
      </c>
      <c r="G2006" s="128">
        <v>0</v>
      </c>
      <c r="H2006" s="128">
        <v>0</v>
      </c>
      <c r="I2006" s="128">
        <v>0</v>
      </c>
    </row>
    <row r="2007" spans="1:9" ht="13.5">
      <c r="A2007" s="128">
        <v>1999</v>
      </c>
      <c r="B2007" s="128" t="s">
        <v>137</v>
      </c>
      <c r="C2007" s="128" t="s">
        <v>24</v>
      </c>
      <c r="D2007" s="128" t="s">
        <v>77</v>
      </c>
      <c r="E2007" s="128" t="s">
        <v>134</v>
      </c>
      <c r="F2007" s="128">
        <v>0</v>
      </c>
      <c r="G2007" s="128">
        <v>0</v>
      </c>
      <c r="H2007" s="128">
        <v>0</v>
      </c>
      <c r="I2007" s="128">
        <v>0</v>
      </c>
    </row>
    <row r="2008" spans="1:9" ht="13.5">
      <c r="A2008" s="128">
        <v>1999</v>
      </c>
      <c r="B2008" s="128" t="s">
        <v>137</v>
      </c>
      <c r="C2008" s="128" t="s">
        <v>24</v>
      </c>
      <c r="D2008" s="128" t="s">
        <v>77</v>
      </c>
      <c r="E2008" s="128" t="s">
        <v>135</v>
      </c>
      <c r="F2008" s="128">
        <v>0</v>
      </c>
      <c r="G2008" s="128">
        <v>0</v>
      </c>
      <c r="H2008" s="128">
        <v>0</v>
      </c>
      <c r="I2008" s="128">
        <v>0</v>
      </c>
    </row>
    <row r="2009" spans="1:9" ht="13.5">
      <c r="A2009" s="128">
        <v>1999</v>
      </c>
      <c r="B2009" s="128" t="s">
        <v>137</v>
      </c>
      <c r="C2009" s="128" t="s">
        <v>24</v>
      </c>
      <c r="D2009" s="128" t="s">
        <v>79</v>
      </c>
      <c r="E2009" s="128" t="s">
        <v>132</v>
      </c>
      <c r="F2009" s="128">
        <v>0</v>
      </c>
      <c r="G2009" s="128">
        <v>0</v>
      </c>
      <c r="H2009" s="128">
        <v>0</v>
      </c>
      <c r="I2009" s="128">
        <v>0</v>
      </c>
    </row>
    <row r="2010" spans="1:9" ht="13.5">
      <c r="A2010" s="128">
        <v>1999</v>
      </c>
      <c r="B2010" s="128" t="s">
        <v>137</v>
      </c>
      <c r="C2010" s="128" t="s">
        <v>24</v>
      </c>
      <c r="D2010" s="128" t="s">
        <v>79</v>
      </c>
      <c r="E2010" s="128" t="s">
        <v>133</v>
      </c>
      <c r="F2010" s="128">
        <v>0</v>
      </c>
      <c r="G2010" s="128">
        <v>0</v>
      </c>
      <c r="H2010" s="128">
        <v>0</v>
      </c>
      <c r="I2010" s="128">
        <v>0</v>
      </c>
    </row>
    <row r="2011" spans="1:9" ht="13.5">
      <c r="A2011" s="128">
        <v>1999</v>
      </c>
      <c r="B2011" s="128" t="s">
        <v>137</v>
      </c>
      <c r="C2011" s="128" t="s">
        <v>24</v>
      </c>
      <c r="D2011" s="128" t="s">
        <v>79</v>
      </c>
      <c r="E2011" s="128" t="s">
        <v>134</v>
      </c>
      <c r="F2011" s="128">
        <v>0</v>
      </c>
      <c r="G2011" s="128">
        <v>0</v>
      </c>
      <c r="H2011" s="128">
        <v>0</v>
      </c>
      <c r="I2011" s="128">
        <v>0</v>
      </c>
    </row>
    <row r="2012" spans="1:9" ht="13.5">
      <c r="A2012" s="128">
        <v>1999</v>
      </c>
      <c r="B2012" s="128" t="s">
        <v>137</v>
      </c>
      <c r="C2012" s="128" t="s">
        <v>24</v>
      </c>
      <c r="D2012" s="128" t="s">
        <v>79</v>
      </c>
      <c r="E2012" s="128" t="s">
        <v>135</v>
      </c>
      <c r="F2012" s="128">
        <v>0</v>
      </c>
      <c r="G2012" s="128">
        <v>0</v>
      </c>
      <c r="H2012" s="128">
        <v>0</v>
      </c>
      <c r="I2012" s="128">
        <v>0</v>
      </c>
    </row>
    <row r="2013" spans="1:9" ht="13.5">
      <c r="A2013" s="128">
        <v>1999</v>
      </c>
      <c r="B2013" s="128" t="s">
        <v>137</v>
      </c>
      <c r="C2013" s="128" t="s">
        <v>24</v>
      </c>
      <c r="D2013" s="128" t="s">
        <v>79</v>
      </c>
      <c r="E2013" s="128" t="s">
        <v>136</v>
      </c>
      <c r="F2013" s="128">
        <v>0</v>
      </c>
      <c r="G2013" s="128">
        <v>0</v>
      </c>
      <c r="H2013" s="128">
        <v>0</v>
      </c>
      <c r="I2013" s="128">
        <v>0</v>
      </c>
    </row>
    <row r="2014" spans="1:9" ht="13.5">
      <c r="A2014" s="128">
        <v>1999</v>
      </c>
      <c r="B2014" s="128" t="s">
        <v>137</v>
      </c>
      <c r="C2014" s="128" t="s">
        <v>24</v>
      </c>
      <c r="D2014" s="128" t="s">
        <v>76</v>
      </c>
      <c r="E2014" s="128" t="s">
        <v>132</v>
      </c>
      <c r="F2014" s="128">
        <v>0</v>
      </c>
      <c r="G2014" s="128">
        <v>0</v>
      </c>
      <c r="H2014" s="128">
        <v>0</v>
      </c>
      <c r="I2014" s="128">
        <v>0</v>
      </c>
    </row>
    <row r="2015" spans="1:9" ht="13.5">
      <c r="A2015" s="128">
        <v>1999</v>
      </c>
      <c r="B2015" s="128" t="s">
        <v>137</v>
      </c>
      <c r="C2015" s="128" t="s">
        <v>24</v>
      </c>
      <c r="D2015" s="128" t="s">
        <v>76</v>
      </c>
      <c r="E2015" s="128" t="s">
        <v>133</v>
      </c>
      <c r="F2015" s="128">
        <v>0</v>
      </c>
      <c r="G2015" s="128">
        <v>0</v>
      </c>
      <c r="H2015" s="128">
        <v>0</v>
      </c>
      <c r="I2015" s="128">
        <v>0</v>
      </c>
    </row>
    <row r="2016" spans="1:9" ht="13.5">
      <c r="A2016" s="128">
        <v>1999</v>
      </c>
      <c r="B2016" s="128" t="s">
        <v>137</v>
      </c>
      <c r="C2016" s="128" t="s">
        <v>24</v>
      </c>
      <c r="D2016" s="128" t="s">
        <v>76</v>
      </c>
      <c r="E2016" s="128" t="s">
        <v>134</v>
      </c>
      <c r="F2016" s="128">
        <v>0</v>
      </c>
      <c r="G2016" s="128">
        <v>0</v>
      </c>
      <c r="H2016" s="128">
        <v>0</v>
      </c>
      <c r="I2016" s="128">
        <v>0</v>
      </c>
    </row>
    <row r="2017" spans="1:9" ht="13.5">
      <c r="A2017" s="128">
        <v>1999</v>
      </c>
      <c r="B2017" s="128" t="s">
        <v>137</v>
      </c>
      <c r="C2017" s="128" t="s">
        <v>24</v>
      </c>
      <c r="D2017" s="128" t="s">
        <v>76</v>
      </c>
      <c r="E2017" s="128" t="s">
        <v>135</v>
      </c>
      <c r="F2017" s="128">
        <v>0</v>
      </c>
      <c r="G2017" s="128">
        <v>0</v>
      </c>
      <c r="H2017" s="128">
        <v>0</v>
      </c>
      <c r="I2017" s="128">
        <v>0</v>
      </c>
    </row>
    <row r="2018" spans="1:9" ht="13.5">
      <c r="A2018" s="128">
        <v>1999</v>
      </c>
      <c r="B2018" s="128" t="s">
        <v>137</v>
      </c>
      <c r="C2018" s="128" t="s">
        <v>24</v>
      </c>
      <c r="D2018" s="128" t="s">
        <v>76</v>
      </c>
      <c r="E2018" s="128" t="s">
        <v>136</v>
      </c>
      <c r="F2018" s="128">
        <v>0</v>
      </c>
      <c r="G2018" s="128">
        <v>0</v>
      </c>
      <c r="H2018" s="128">
        <v>0</v>
      </c>
      <c r="I2018" s="128">
        <v>0</v>
      </c>
    </row>
    <row r="2019" spans="1:9" ht="13.5">
      <c r="A2019" s="128">
        <v>2000</v>
      </c>
      <c r="B2019" s="128" t="s">
        <v>131</v>
      </c>
      <c r="C2019" s="128" t="s">
        <v>26</v>
      </c>
      <c r="D2019" s="128" t="s">
        <v>77</v>
      </c>
      <c r="E2019" s="128" t="s">
        <v>132</v>
      </c>
      <c r="F2019" s="128">
        <v>0</v>
      </c>
      <c r="G2019" s="128">
        <v>0</v>
      </c>
      <c r="H2019" s="128">
        <v>0</v>
      </c>
      <c r="I2019" s="128">
        <v>0</v>
      </c>
    </row>
    <row r="2020" spans="1:9" ht="13.5">
      <c r="A2020" s="128">
        <v>2000</v>
      </c>
      <c r="B2020" s="128" t="s">
        <v>131</v>
      </c>
      <c r="C2020" s="128" t="s">
        <v>26</v>
      </c>
      <c r="D2020" s="128" t="s">
        <v>77</v>
      </c>
      <c r="E2020" s="128" t="s">
        <v>133</v>
      </c>
      <c r="F2020" s="128">
        <v>0</v>
      </c>
      <c r="G2020" s="128">
        <v>0</v>
      </c>
      <c r="H2020" s="128">
        <v>0</v>
      </c>
      <c r="I2020" s="128">
        <v>0</v>
      </c>
    </row>
    <row r="2021" spans="1:9" ht="13.5">
      <c r="A2021" s="128">
        <v>2000</v>
      </c>
      <c r="B2021" s="128" t="s">
        <v>131</v>
      </c>
      <c r="C2021" s="128" t="s">
        <v>26</v>
      </c>
      <c r="D2021" s="128" t="s">
        <v>77</v>
      </c>
      <c r="E2021" s="128" t="s">
        <v>134</v>
      </c>
      <c r="F2021" s="128">
        <v>0</v>
      </c>
      <c r="G2021" s="128">
        <v>0</v>
      </c>
      <c r="H2021" s="128">
        <v>0</v>
      </c>
      <c r="I2021" s="128">
        <v>0</v>
      </c>
    </row>
    <row r="2022" spans="1:9" ht="13.5">
      <c r="A2022" s="128">
        <v>2000</v>
      </c>
      <c r="B2022" s="128" t="s">
        <v>131</v>
      </c>
      <c r="C2022" s="128" t="s">
        <v>26</v>
      </c>
      <c r="D2022" s="128" t="s">
        <v>77</v>
      </c>
      <c r="E2022" s="128" t="s">
        <v>135</v>
      </c>
      <c r="F2022" s="128">
        <v>0</v>
      </c>
      <c r="G2022" s="128">
        <v>0</v>
      </c>
      <c r="H2022" s="128">
        <v>0</v>
      </c>
      <c r="I2022" s="128">
        <v>0</v>
      </c>
    </row>
    <row r="2023" spans="1:9" ht="13.5">
      <c r="A2023" s="128">
        <v>2000</v>
      </c>
      <c r="B2023" s="128" t="s">
        <v>131</v>
      </c>
      <c r="C2023" s="128" t="s">
        <v>26</v>
      </c>
      <c r="D2023" s="128" t="s">
        <v>79</v>
      </c>
      <c r="E2023" s="128" t="s">
        <v>132</v>
      </c>
      <c r="F2023" s="128">
        <v>0</v>
      </c>
      <c r="G2023" s="128">
        <v>0</v>
      </c>
      <c r="H2023" s="128">
        <v>0</v>
      </c>
      <c r="I2023" s="128">
        <v>0</v>
      </c>
    </row>
    <row r="2024" spans="1:9" ht="13.5">
      <c r="A2024" s="128">
        <v>2000</v>
      </c>
      <c r="B2024" s="128" t="s">
        <v>131</v>
      </c>
      <c r="C2024" s="128" t="s">
        <v>26</v>
      </c>
      <c r="D2024" s="128" t="s">
        <v>79</v>
      </c>
      <c r="E2024" s="128" t="s">
        <v>133</v>
      </c>
      <c r="F2024" s="128">
        <v>0</v>
      </c>
      <c r="G2024" s="128">
        <v>0</v>
      </c>
      <c r="H2024" s="128">
        <v>0</v>
      </c>
      <c r="I2024" s="128">
        <v>0</v>
      </c>
    </row>
    <row r="2025" spans="1:9" ht="13.5">
      <c r="A2025" s="128">
        <v>2000</v>
      </c>
      <c r="B2025" s="128" t="s">
        <v>131</v>
      </c>
      <c r="C2025" s="128" t="s">
        <v>26</v>
      </c>
      <c r="D2025" s="128" t="s">
        <v>79</v>
      </c>
      <c r="E2025" s="128" t="s">
        <v>134</v>
      </c>
      <c r="F2025" s="128">
        <v>0</v>
      </c>
      <c r="G2025" s="128">
        <v>0</v>
      </c>
      <c r="H2025" s="128">
        <v>0</v>
      </c>
      <c r="I2025" s="128">
        <v>0</v>
      </c>
    </row>
    <row r="2026" spans="1:9" ht="13.5">
      <c r="A2026" s="128">
        <v>2000</v>
      </c>
      <c r="B2026" s="128" t="s">
        <v>131</v>
      </c>
      <c r="C2026" s="128" t="s">
        <v>26</v>
      </c>
      <c r="D2026" s="128" t="s">
        <v>79</v>
      </c>
      <c r="E2026" s="128" t="s">
        <v>135</v>
      </c>
      <c r="F2026" s="128">
        <v>0</v>
      </c>
      <c r="G2026" s="128">
        <v>0</v>
      </c>
      <c r="H2026" s="128">
        <v>0</v>
      </c>
      <c r="I2026" s="128">
        <v>0</v>
      </c>
    </row>
    <row r="2027" spans="1:9" ht="13.5">
      <c r="A2027" s="128">
        <v>2000</v>
      </c>
      <c r="B2027" s="128" t="s">
        <v>131</v>
      </c>
      <c r="C2027" s="128" t="s">
        <v>26</v>
      </c>
      <c r="D2027" s="128" t="s">
        <v>79</v>
      </c>
      <c r="E2027" s="128" t="s">
        <v>136</v>
      </c>
      <c r="F2027" s="128">
        <v>0</v>
      </c>
      <c r="G2027" s="128">
        <v>0</v>
      </c>
      <c r="H2027" s="128">
        <v>0</v>
      </c>
      <c r="I2027" s="128">
        <v>0</v>
      </c>
    </row>
    <row r="2028" spans="1:9" ht="13.5">
      <c r="A2028" s="128">
        <v>2000</v>
      </c>
      <c r="B2028" s="128" t="s">
        <v>131</v>
      </c>
      <c r="C2028" s="128" t="s">
        <v>26</v>
      </c>
      <c r="D2028" s="128" t="s">
        <v>76</v>
      </c>
      <c r="E2028" s="128" t="s">
        <v>132</v>
      </c>
      <c r="F2028" s="128">
        <v>0</v>
      </c>
      <c r="G2028" s="128">
        <v>0</v>
      </c>
      <c r="H2028" s="128">
        <v>0</v>
      </c>
      <c r="I2028" s="128">
        <v>0</v>
      </c>
    </row>
    <row r="2029" spans="1:9" ht="13.5">
      <c r="A2029" s="128">
        <v>2000</v>
      </c>
      <c r="B2029" s="128" t="s">
        <v>131</v>
      </c>
      <c r="C2029" s="128" t="s">
        <v>26</v>
      </c>
      <c r="D2029" s="128" t="s">
        <v>76</v>
      </c>
      <c r="E2029" s="128" t="s">
        <v>133</v>
      </c>
      <c r="F2029" s="128">
        <v>0</v>
      </c>
      <c r="G2029" s="128">
        <v>0</v>
      </c>
      <c r="H2029" s="128">
        <v>0</v>
      </c>
      <c r="I2029" s="128">
        <v>0</v>
      </c>
    </row>
    <row r="2030" spans="1:9" ht="13.5">
      <c r="A2030" s="128">
        <v>2000</v>
      </c>
      <c r="B2030" s="128" t="s">
        <v>131</v>
      </c>
      <c r="C2030" s="128" t="s">
        <v>26</v>
      </c>
      <c r="D2030" s="128" t="s">
        <v>76</v>
      </c>
      <c r="E2030" s="128" t="s">
        <v>134</v>
      </c>
      <c r="F2030" s="128">
        <v>0</v>
      </c>
      <c r="G2030" s="128">
        <v>0</v>
      </c>
      <c r="H2030" s="128">
        <v>0</v>
      </c>
      <c r="I2030" s="128">
        <v>0</v>
      </c>
    </row>
    <row r="2031" spans="1:9" ht="13.5">
      <c r="A2031" s="128">
        <v>2000</v>
      </c>
      <c r="B2031" s="128" t="s">
        <v>131</v>
      </c>
      <c r="C2031" s="128" t="s">
        <v>26</v>
      </c>
      <c r="D2031" s="128" t="s">
        <v>76</v>
      </c>
      <c r="E2031" s="128" t="s">
        <v>135</v>
      </c>
      <c r="F2031" s="128">
        <v>0</v>
      </c>
      <c r="G2031" s="128">
        <v>0</v>
      </c>
      <c r="H2031" s="128">
        <v>0</v>
      </c>
      <c r="I2031" s="128">
        <v>0</v>
      </c>
    </row>
    <row r="2032" spans="1:9" ht="13.5">
      <c r="A2032" s="128">
        <v>2000</v>
      </c>
      <c r="B2032" s="128" t="s">
        <v>131</v>
      </c>
      <c r="C2032" s="128" t="s">
        <v>26</v>
      </c>
      <c r="D2032" s="128" t="s">
        <v>76</v>
      </c>
      <c r="E2032" s="128" t="s">
        <v>136</v>
      </c>
      <c r="F2032" s="128">
        <v>0</v>
      </c>
      <c r="G2032" s="128">
        <v>0</v>
      </c>
      <c r="H2032" s="128">
        <v>0</v>
      </c>
      <c r="I2032" s="128">
        <v>0</v>
      </c>
    </row>
    <row r="2033" spans="1:9" ht="13.5">
      <c r="A2033" s="128">
        <v>2000</v>
      </c>
      <c r="B2033" s="128" t="s">
        <v>131</v>
      </c>
      <c r="C2033" s="128" t="s">
        <v>20</v>
      </c>
      <c r="D2033" s="128" t="s">
        <v>77</v>
      </c>
      <c r="E2033" s="128" t="s">
        <v>132</v>
      </c>
      <c r="F2033" s="128">
        <v>1475</v>
      </c>
      <c r="G2033" s="128">
        <v>1032</v>
      </c>
      <c r="H2033" s="128">
        <v>372</v>
      </c>
      <c r="I2033" s="128">
        <v>7</v>
      </c>
    </row>
    <row r="2034" spans="1:9" ht="13.5">
      <c r="A2034" s="128">
        <v>2000</v>
      </c>
      <c r="B2034" s="128" t="s">
        <v>131</v>
      </c>
      <c r="C2034" s="128" t="s">
        <v>20</v>
      </c>
      <c r="D2034" s="128" t="s">
        <v>77</v>
      </c>
      <c r="E2034" s="128" t="s">
        <v>133</v>
      </c>
      <c r="F2034" s="128">
        <v>-103</v>
      </c>
      <c r="G2034" s="128">
        <v>-7</v>
      </c>
      <c r="H2034" s="128">
        <v>-307</v>
      </c>
      <c r="I2034" s="128">
        <v>3</v>
      </c>
    </row>
    <row r="2035" spans="1:9" ht="13.5">
      <c r="A2035" s="128">
        <v>2000</v>
      </c>
      <c r="B2035" s="128" t="s">
        <v>131</v>
      </c>
      <c r="C2035" s="128" t="s">
        <v>20</v>
      </c>
      <c r="D2035" s="128" t="s">
        <v>77</v>
      </c>
      <c r="E2035" s="128" t="s">
        <v>134</v>
      </c>
      <c r="F2035" s="128">
        <v>238</v>
      </c>
      <c r="G2035" s="128">
        <v>100</v>
      </c>
      <c r="H2035" s="128">
        <v>90</v>
      </c>
      <c r="I2035" s="128">
        <v>1</v>
      </c>
    </row>
    <row r="2036" spans="1:9" ht="13.5">
      <c r="A2036" s="128">
        <v>2000</v>
      </c>
      <c r="B2036" s="128" t="s">
        <v>131</v>
      </c>
      <c r="C2036" s="128" t="s">
        <v>20</v>
      </c>
      <c r="D2036" s="128" t="s">
        <v>77</v>
      </c>
      <c r="E2036" s="128" t="s">
        <v>135</v>
      </c>
      <c r="F2036" s="128">
        <v>939</v>
      </c>
      <c r="G2036" s="128">
        <v>312</v>
      </c>
      <c r="H2036" s="128">
        <v>603</v>
      </c>
      <c r="I2036" s="128">
        <v>1</v>
      </c>
    </row>
    <row r="2037" spans="1:9" ht="13.5">
      <c r="A2037" s="128">
        <v>2000</v>
      </c>
      <c r="B2037" s="128" t="s">
        <v>131</v>
      </c>
      <c r="C2037" s="128" t="s">
        <v>20</v>
      </c>
      <c r="D2037" s="128" t="s">
        <v>79</v>
      </c>
      <c r="E2037" s="128" t="s">
        <v>132</v>
      </c>
      <c r="F2037" s="128">
        <v>207227</v>
      </c>
      <c r="G2037" s="128">
        <v>149698</v>
      </c>
      <c r="H2037" s="128">
        <v>49898</v>
      </c>
      <c r="I2037" s="128">
        <v>2568</v>
      </c>
    </row>
    <row r="2038" spans="1:9" ht="13.5">
      <c r="A2038" s="128">
        <v>2000</v>
      </c>
      <c r="B2038" s="128" t="s">
        <v>131</v>
      </c>
      <c r="C2038" s="128" t="s">
        <v>20</v>
      </c>
      <c r="D2038" s="128" t="s">
        <v>79</v>
      </c>
      <c r="E2038" s="128" t="s">
        <v>133</v>
      </c>
      <c r="F2038" s="128">
        <v>60247</v>
      </c>
      <c r="G2038" s="128">
        <v>33360</v>
      </c>
      <c r="H2038" s="128">
        <v>11120</v>
      </c>
      <c r="I2038" s="128">
        <v>399</v>
      </c>
    </row>
    <row r="2039" spans="1:9" ht="13.5">
      <c r="A2039" s="128">
        <v>2000</v>
      </c>
      <c r="B2039" s="128" t="s">
        <v>131</v>
      </c>
      <c r="C2039" s="128" t="s">
        <v>20</v>
      </c>
      <c r="D2039" s="128" t="s">
        <v>79</v>
      </c>
      <c r="E2039" s="128" t="s">
        <v>134</v>
      </c>
      <c r="F2039" s="128">
        <v>67277</v>
      </c>
      <c r="G2039" s="128">
        <v>28846</v>
      </c>
      <c r="H2039" s="128">
        <v>9615</v>
      </c>
      <c r="I2039" s="128">
        <v>306</v>
      </c>
    </row>
    <row r="2040" spans="1:9" ht="13.5">
      <c r="A2040" s="128">
        <v>2000</v>
      </c>
      <c r="B2040" s="128" t="s">
        <v>131</v>
      </c>
      <c r="C2040" s="128" t="s">
        <v>20</v>
      </c>
      <c r="D2040" s="128" t="s">
        <v>79</v>
      </c>
      <c r="E2040" s="128" t="s">
        <v>135</v>
      </c>
      <c r="F2040" s="128">
        <v>65619</v>
      </c>
      <c r="G2040" s="128">
        <v>21277</v>
      </c>
      <c r="H2040" s="128">
        <v>7092</v>
      </c>
      <c r="I2040" s="128">
        <v>112</v>
      </c>
    </row>
    <row r="2041" spans="1:9" ht="13.5">
      <c r="A2041" s="128">
        <v>2000</v>
      </c>
      <c r="B2041" s="128" t="s">
        <v>131</v>
      </c>
      <c r="C2041" s="128" t="s">
        <v>20</v>
      </c>
      <c r="D2041" s="128" t="s">
        <v>79</v>
      </c>
      <c r="E2041" s="128" t="s">
        <v>136</v>
      </c>
      <c r="F2041" s="128">
        <v>61229</v>
      </c>
      <c r="G2041" s="128">
        <v>45933</v>
      </c>
      <c r="H2041" s="128">
        <v>15296</v>
      </c>
      <c r="I2041" s="128">
        <v>743</v>
      </c>
    </row>
    <row r="2042" spans="1:9" ht="13.5">
      <c r="A2042" s="128">
        <v>2000</v>
      </c>
      <c r="B2042" s="128" t="s">
        <v>131</v>
      </c>
      <c r="C2042" s="128" t="s">
        <v>20</v>
      </c>
      <c r="D2042" s="128" t="s">
        <v>76</v>
      </c>
      <c r="E2042" s="128" t="s">
        <v>132</v>
      </c>
      <c r="F2042" s="128">
        <v>28050</v>
      </c>
      <c r="G2042" s="128">
        <v>18272</v>
      </c>
      <c r="H2042" s="128">
        <v>9778</v>
      </c>
      <c r="I2042" s="128">
        <v>163</v>
      </c>
    </row>
    <row r="2043" spans="1:9" ht="13.5">
      <c r="A2043" s="128">
        <v>2000</v>
      </c>
      <c r="B2043" s="128" t="s">
        <v>131</v>
      </c>
      <c r="C2043" s="128" t="s">
        <v>20</v>
      </c>
      <c r="D2043" s="128" t="s">
        <v>76</v>
      </c>
      <c r="E2043" s="128" t="s">
        <v>133</v>
      </c>
      <c r="F2043" s="128">
        <v>38601</v>
      </c>
      <c r="G2043" s="128">
        <v>21131</v>
      </c>
      <c r="H2043" s="128">
        <v>17470</v>
      </c>
      <c r="I2043" s="128">
        <v>239</v>
      </c>
    </row>
    <row r="2044" spans="1:9" ht="13.5">
      <c r="A2044" s="128">
        <v>2000</v>
      </c>
      <c r="B2044" s="128" t="s">
        <v>131</v>
      </c>
      <c r="C2044" s="128" t="s">
        <v>20</v>
      </c>
      <c r="D2044" s="128" t="s">
        <v>76</v>
      </c>
      <c r="E2044" s="128" t="s">
        <v>134</v>
      </c>
      <c r="F2044" s="128">
        <v>415</v>
      </c>
      <c r="G2044" s="128">
        <v>174</v>
      </c>
      <c r="H2044" s="128">
        <v>241</v>
      </c>
      <c r="I2044" s="128">
        <v>1</v>
      </c>
    </row>
    <row r="2045" spans="1:9" ht="13.5">
      <c r="A2045" s="128">
        <v>2000</v>
      </c>
      <c r="B2045" s="128" t="s">
        <v>131</v>
      </c>
      <c r="C2045" s="128" t="s">
        <v>20</v>
      </c>
      <c r="D2045" s="128" t="s">
        <v>76</v>
      </c>
      <c r="E2045" s="128" t="s">
        <v>135</v>
      </c>
      <c r="F2045" s="128">
        <v>4552</v>
      </c>
      <c r="G2045" s="128">
        <v>1547</v>
      </c>
      <c r="H2045" s="128">
        <v>3005</v>
      </c>
      <c r="I2045" s="128">
        <v>5</v>
      </c>
    </row>
    <row r="2046" spans="1:9" ht="13.5">
      <c r="A2046" s="128">
        <v>2000</v>
      </c>
      <c r="B2046" s="128" t="s">
        <v>131</v>
      </c>
      <c r="C2046" s="128" t="s">
        <v>20</v>
      </c>
      <c r="D2046" s="128" t="s">
        <v>76</v>
      </c>
      <c r="E2046" s="128" t="s">
        <v>136</v>
      </c>
      <c r="F2046" s="128">
        <v>694</v>
      </c>
      <c r="G2046" s="128">
        <v>635</v>
      </c>
      <c r="H2046" s="128">
        <v>59</v>
      </c>
      <c r="I2046" s="128">
        <v>3</v>
      </c>
    </row>
    <row r="2047" spans="1:9" ht="13.5">
      <c r="A2047" s="128">
        <v>2000</v>
      </c>
      <c r="B2047" s="128" t="s">
        <v>131</v>
      </c>
      <c r="C2047" s="128" t="s">
        <v>27</v>
      </c>
      <c r="D2047" s="128" t="s">
        <v>77</v>
      </c>
      <c r="E2047" s="128" t="s">
        <v>132</v>
      </c>
      <c r="F2047" s="128">
        <v>0</v>
      </c>
      <c r="G2047" s="128">
        <v>0</v>
      </c>
      <c r="H2047" s="128">
        <v>0</v>
      </c>
      <c r="I2047" s="128">
        <v>0</v>
      </c>
    </row>
    <row r="2048" spans="1:9" ht="13.5">
      <c r="A2048" s="128">
        <v>2000</v>
      </c>
      <c r="B2048" s="128" t="s">
        <v>131</v>
      </c>
      <c r="C2048" s="128" t="s">
        <v>27</v>
      </c>
      <c r="D2048" s="128" t="s">
        <v>77</v>
      </c>
      <c r="E2048" s="128" t="s">
        <v>133</v>
      </c>
      <c r="F2048" s="128">
        <v>0</v>
      </c>
      <c r="G2048" s="128">
        <v>0</v>
      </c>
      <c r="H2048" s="128">
        <v>0</v>
      </c>
      <c r="I2048" s="128">
        <v>0</v>
      </c>
    </row>
    <row r="2049" spans="1:9" ht="13.5">
      <c r="A2049" s="128">
        <v>2000</v>
      </c>
      <c r="B2049" s="128" t="s">
        <v>131</v>
      </c>
      <c r="C2049" s="128" t="s">
        <v>27</v>
      </c>
      <c r="D2049" s="128" t="s">
        <v>77</v>
      </c>
      <c r="E2049" s="128" t="s">
        <v>134</v>
      </c>
      <c r="F2049" s="128">
        <v>0</v>
      </c>
      <c r="G2049" s="128">
        <v>0</v>
      </c>
      <c r="H2049" s="128">
        <v>0</v>
      </c>
      <c r="I2049" s="128">
        <v>0</v>
      </c>
    </row>
    <row r="2050" spans="1:9" ht="13.5">
      <c r="A2050" s="128">
        <v>2000</v>
      </c>
      <c r="B2050" s="128" t="s">
        <v>131</v>
      </c>
      <c r="C2050" s="128" t="s">
        <v>27</v>
      </c>
      <c r="D2050" s="128" t="s">
        <v>77</v>
      </c>
      <c r="E2050" s="128" t="s">
        <v>135</v>
      </c>
      <c r="F2050" s="128">
        <v>0</v>
      </c>
      <c r="G2050" s="128">
        <v>0</v>
      </c>
      <c r="H2050" s="128">
        <v>0</v>
      </c>
      <c r="I2050" s="128">
        <v>0</v>
      </c>
    </row>
    <row r="2051" spans="1:9" ht="13.5">
      <c r="A2051" s="128">
        <v>2000</v>
      </c>
      <c r="B2051" s="128" t="s">
        <v>131</v>
      </c>
      <c r="C2051" s="128" t="s">
        <v>27</v>
      </c>
      <c r="D2051" s="128" t="s">
        <v>79</v>
      </c>
      <c r="E2051" s="128" t="s">
        <v>132</v>
      </c>
      <c r="F2051" s="128">
        <v>0</v>
      </c>
      <c r="G2051" s="128">
        <v>0</v>
      </c>
      <c r="H2051" s="128">
        <v>0</v>
      </c>
      <c r="I2051" s="128">
        <v>0</v>
      </c>
    </row>
    <row r="2052" spans="1:9" ht="13.5">
      <c r="A2052" s="128">
        <v>2000</v>
      </c>
      <c r="B2052" s="128" t="s">
        <v>131</v>
      </c>
      <c r="C2052" s="128" t="s">
        <v>27</v>
      </c>
      <c r="D2052" s="128" t="s">
        <v>79</v>
      </c>
      <c r="E2052" s="128" t="s">
        <v>133</v>
      </c>
      <c r="F2052" s="128">
        <v>0</v>
      </c>
      <c r="G2052" s="128">
        <v>0</v>
      </c>
      <c r="H2052" s="128">
        <v>0</v>
      </c>
      <c r="I2052" s="128">
        <v>0</v>
      </c>
    </row>
    <row r="2053" spans="1:9" ht="13.5">
      <c r="A2053" s="128">
        <v>2000</v>
      </c>
      <c r="B2053" s="128" t="s">
        <v>131</v>
      </c>
      <c r="C2053" s="128" t="s">
        <v>27</v>
      </c>
      <c r="D2053" s="128" t="s">
        <v>79</v>
      </c>
      <c r="E2053" s="128" t="s">
        <v>134</v>
      </c>
      <c r="F2053" s="128">
        <v>0</v>
      </c>
      <c r="G2053" s="128">
        <v>0</v>
      </c>
      <c r="H2053" s="128">
        <v>0</v>
      </c>
      <c r="I2053" s="128">
        <v>0</v>
      </c>
    </row>
    <row r="2054" spans="1:9" ht="13.5">
      <c r="A2054" s="128">
        <v>2000</v>
      </c>
      <c r="B2054" s="128" t="s">
        <v>131</v>
      </c>
      <c r="C2054" s="128" t="s">
        <v>27</v>
      </c>
      <c r="D2054" s="128" t="s">
        <v>79</v>
      </c>
      <c r="E2054" s="128" t="s">
        <v>135</v>
      </c>
      <c r="F2054" s="128">
        <v>0</v>
      </c>
      <c r="G2054" s="128">
        <v>0</v>
      </c>
      <c r="H2054" s="128">
        <v>0</v>
      </c>
      <c r="I2054" s="128">
        <v>0</v>
      </c>
    </row>
    <row r="2055" spans="1:9" ht="13.5">
      <c r="A2055" s="128">
        <v>2000</v>
      </c>
      <c r="B2055" s="128" t="s">
        <v>131</v>
      </c>
      <c r="C2055" s="128" t="s">
        <v>27</v>
      </c>
      <c r="D2055" s="128" t="s">
        <v>79</v>
      </c>
      <c r="E2055" s="128" t="s">
        <v>136</v>
      </c>
      <c r="F2055" s="128">
        <v>0</v>
      </c>
      <c r="G2055" s="128">
        <v>0</v>
      </c>
      <c r="H2055" s="128">
        <v>0</v>
      </c>
      <c r="I2055" s="128">
        <v>0</v>
      </c>
    </row>
    <row r="2056" spans="1:9" ht="13.5">
      <c r="A2056" s="128">
        <v>2000</v>
      </c>
      <c r="B2056" s="128" t="s">
        <v>131</v>
      </c>
      <c r="C2056" s="128" t="s">
        <v>27</v>
      </c>
      <c r="D2056" s="128" t="s">
        <v>76</v>
      </c>
      <c r="E2056" s="128" t="s">
        <v>132</v>
      </c>
      <c r="F2056" s="128">
        <v>0</v>
      </c>
      <c r="G2056" s="128">
        <v>0</v>
      </c>
      <c r="H2056" s="128">
        <v>0</v>
      </c>
      <c r="I2056" s="128">
        <v>0</v>
      </c>
    </row>
    <row r="2057" spans="1:9" ht="13.5">
      <c r="A2057" s="128">
        <v>2000</v>
      </c>
      <c r="B2057" s="128" t="s">
        <v>131</v>
      </c>
      <c r="C2057" s="128" t="s">
        <v>27</v>
      </c>
      <c r="D2057" s="128" t="s">
        <v>76</v>
      </c>
      <c r="E2057" s="128" t="s">
        <v>133</v>
      </c>
      <c r="F2057" s="128">
        <v>0</v>
      </c>
      <c r="G2057" s="128">
        <v>0</v>
      </c>
      <c r="H2057" s="128">
        <v>0</v>
      </c>
      <c r="I2057" s="128">
        <v>0</v>
      </c>
    </row>
    <row r="2058" spans="1:9" ht="13.5">
      <c r="A2058" s="128">
        <v>2000</v>
      </c>
      <c r="B2058" s="128" t="s">
        <v>131</v>
      </c>
      <c r="C2058" s="128" t="s">
        <v>27</v>
      </c>
      <c r="D2058" s="128" t="s">
        <v>76</v>
      </c>
      <c r="E2058" s="128" t="s">
        <v>134</v>
      </c>
      <c r="F2058" s="128">
        <v>0</v>
      </c>
      <c r="G2058" s="128">
        <v>0</v>
      </c>
      <c r="H2058" s="128">
        <v>0</v>
      </c>
      <c r="I2058" s="128">
        <v>0</v>
      </c>
    </row>
    <row r="2059" spans="1:9" ht="13.5">
      <c r="A2059" s="128">
        <v>2000</v>
      </c>
      <c r="B2059" s="128" t="s">
        <v>131</v>
      </c>
      <c r="C2059" s="128" t="s">
        <v>27</v>
      </c>
      <c r="D2059" s="128" t="s">
        <v>76</v>
      </c>
      <c r="E2059" s="128" t="s">
        <v>135</v>
      </c>
      <c r="F2059" s="128">
        <v>0</v>
      </c>
      <c r="G2059" s="128">
        <v>0</v>
      </c>
      <c r="H2059" s="128">
        <v>0</v>
      </c>
      <c r="I2059" s="128">
        <v>0</v>
      </c>
    </row>
    <row r="2060" spans="1:9" ht="13.5">
      <c r="A2060" s="128">
        <v>2000</v>
      </c>
      <c r="B2060" s="128" t="s">
        <v>131</v>
      </c>
      <c r="C2060" s="128" t="s">
        <v>27</v>
      </c>
      <c r="D2060" s="128" t="s">
        <v>76</v>
      </c>
      <c r="E2060" s="128" t="s">
        <v>136</v>
      </c>
      <c r="F2060" s="128">
        <v>0</v>
      </c>
      <c r="G2060" s="128">
        <v>0</v>
      </c>
      <c r="H2060" s="128">
        <v>0</v>
      </c>
      <c r="I2060" s="128">
        <v>0</v>
      </c>
    </row>
    <row r="2061" spans="1:9" ht="13.5">
      <c r="A2061" s="128">
        <v>2000</v>
      </c>
      <c r="B2061" s="128" t="s">
        <v>131</v>
      </c>
      <c r="C2061" s="128" t="s">
        <v>22</v>
      </c>
      <c r="D2061" s="128" t="s">
        <v>77</v>
      </c>
      <c r="E2061" s="128" t="s">
        <v>132</v>
      </c>
      <c r="F2061" s="128">
        <v>0</v>
      </c>
      <c r="G2061" s="128">
        <v>0</v>
      </c>
      <c r="H2061" s="128">
        <v>0</v>
      </c>
      <c r="I2061" s="128">
        <v>0</v>
      </c>
    </row>
    <row r="2062" spans="1:9" ht="13.5">
      <c r="A2062" s="128">
        <v>2000</v>
      </c>
      <c r="B2062" s="128" t="s">
        <v>131</v>
      </c>
      <c r="C2062" s="128" t="s">
        <v>22</v>
      </c>
      <c r="D2062" s="128" t="s">
        <v>77</v>
      </c>
      <c r="E2062" s="128" t="s">
        <v>133</v>
      </c>
      <c r="F2062" s="128">
        <v>0</v>
      </c>
      <c r="G2062" s="128">
        <v>0</v>
      </c>
      <c r="H2062" s="128">
        <v>0</v>
      </c>
      <c r="I2062" s="128">
        <v>0</v>
      </c>
    </row>
    <row r="2063" spans="1:9" ht="13.5">
      <c r="A2063" s="128">
        <v>2000</v>
      </c>
      <c r="B2063" s="128" t="s">
        <v>131</v>
      </c>
      <c r="C2063" s="128" t="s">
        <v>22</v>
      </c>
      <c r="D2063" s="128" t="s">
        <v>77</v>
      </c>
      <c r="E2063" s="128" t="s">
        <v>134</v>
      </c>
      <c r="F2063" s="128">
        <v>0</v>
      </c>
      <c r="G2063" s="128">
        <v>0</v>
      </c>
      <c r="H2063" s="128">
        <v>0</v>
      </c>
      <c r="I2063" s="128">
        <v>0</v>
      </c>
    </row>
    <row r="2064" spans="1:9" ht="13.5">
      <c r="A2064" s="128">
        <v>2000</v>
      </c>
      <c r="B2064" s="128" t="s">
        <v>131</v>
      </c>
      <c r="C2064" s="128" t="s">
        <v>22</v>
      </c>
      <c r="D2064" s="128" t="s">
        <v>77</v>
      </c>
      <c r="E2064" s="128" t="s">
        <v>135</v>
      </c>
      <c r="F2064" s="128">
        <v>0</v>
      </c>
      <c r="G2064" s="128">
        <v>0</v>
      </c>
      <c r="H2064" s="128">
        <v>0</v>
      </c>
      <c r="I2064" s="128">
        <v>0</v>
      </c>
    </row>
    <row r="2065" spans="1:9" ht="13.5">
      <c r="A2065" s="128">
        <v>2000</v>
      </c>
      <c r="B2065" s="128" t="s">
        <v>131</v>
      </c>
      <c r="C2065" s="128" t="s">
        <v>22</v>
      </c>
      <c r="D2065" s="128" t="s">
        <v>79</v>
      </c>
      <c r="E2065" s="128" t="s">
        <v>132</v>
      </c>
      <c r="F2065" s="128">
        <v>0</v>
      </c>
      <c r="G2065" s="128">
        <v>0</v>
      </c>
      <c r="H2065" s="128">
        <v>0</v>
      </c>
      <c r="I2065" s="128">
        <v>0</v>
      </c>
    </row>
    <row r="2066" spans="1:9" ht="13.5">
      <c r="A2066" s="128">
        <v>2000</v>
      </c>
      <c r="B2066" s="128" t="s">
        <v>131</v>
      </c>
      <c r="C2066" s="128" t="s">
        <v>22</v>
      </c>
      <c r="D2066" s="128" t="s">
        <v>79</v>
      </c>
      <c r="E2066" s="128" t="s">
        <v>133</v>
      </c>
      <c r="F2066" s="128">
        <v>0</v>
      </c>
      <c r="G2066" s="128">
        <v>0</v>
      </c>
      <c r="H2066" s="128">
        <v>0</v>
      </c>
      <c r="I2066" s="128">
        <v>0</v>
      </c>
    </row>
    <row r="2067" spans="1:9" ht="13.5">
      <c r="A2067" s="128">
        <v>2000</v>
      </c>
      <c r="B2067" s="128" t="s">
        <v>131</v>
      </c>
      <c r="C2067" s="128" t="s">
        <v>22</v>
      </c>
      <c r="D2067" s="128" t="s">
        <v>79</v>
      </c>
      <c r="E2067" s="128" t="s">
        <v>134</v>
      </c>
      <c r="F2067" s="128">
        <v>0</v>
      </c>
      <c r="G2067" s="128">
        <v>0</v>
      </c>
      <c r="H2067" s="128">
        <v>0</v>
      </c>
      <c r="I2067" s="128">
        <v>0</v>
      </c>
    </row>
    <row r="2068" spans="1:9" ht="13.5">
      <c r="A2068" s="128">
        <v>2000</v>
      </c>
      <c r="B2068" s="128" t="s">
        <v>131</v>
      </c>
      <c r="C2068" s="128" t="s">
        <v>22</v>
      </c>
      <c r="D2068" s="128" t="s">
        <v>79</v>
      </c>
      <c r="E2068" s="128" t="s">
        <v>135</v>
      </c>
      <c r="F2068" s="128">
        <v>0</v>
      </c>
      <c r="G2068" s="128">
        <v>0</v>
      </c>
      <c r="H2068" s="128">
        <v>0</v>
      </c>
      <c r="I2068" s="128">
        <v>0</v>
      </c>
    </row>
    <row r="2069" spans="1:9" ht="13.5">
      <c r="A2069" s="128">
        <v>2000</v>
      </c>
      <c r="B2069" s="128" t="s">
        <v>131</v>
      </c>
      <c r="C2069" s="128" t="s">
        <v>22</v>
      </c>
      <c r="D2069" s="128" t="s">
        <v>79</v>
      </c>
      <c r="E2069" s="128" t="s">
        <v>136</v>
      </c>
      <c r="F2069" s="128">
        <v>0</v>
      </c>
      <c r="G2069" s="128">
        <v>0</v>
      </c>
      <c r="H2069" s="128">
        <v>0</v>
      </c>
      <c r="I2069" s="128">
        <v>0</v>
      </c>
    </row>
    <row r="2070" spans="1:9" ht="13.5">
      <c r="A2070" s="128">
        <v>2000</v>
      </c>
      <c r="B2070" s="128" t="s">
        <v>131</v>
      </c>
      <c r="C2070" s="128" t="s">
        <v>22</v>
      </c>
      <c r="D2070" s="128" t="s">
        <v>76</v>
      </c>
      <c r="E2070" s="128" t="s">
        <v>132</v>
      </c>
      <c r="F2070" s="128">
        <v>0</v>
      </c>
      <c r="G2070" s="128">
        <v>0</v>
      </c>
      <c r="H2070" s="128">
        <v>0</v>
      </c>
      <c r="I2070" s="128">
        <v>0</v>
      </c>
    </row>
    <row r="2071" spans="1:9" ht="13.5">
      <c r="A2071" s="128">
        <v>2000</v>
      </c>
      <c r="B2071" s="128" t="s">
        <v>131</v>
      </c>
      <c r="C2071" s="128" t="s">
        <v>22</v>
      </c>
      <c r="D2071" s="128" t="s">
        <v>76</v>
      </c>
      <c r="E2071" s="128" t="s">
        <v>133</v>
      </c>
      <c r="F2071" s="128">
        <v>0</v>
      </c>
      <c r="G2071" s="128">
        <v>0</v>
      </c>
      <c r="H2071" s="128">
        <v>0</v>
      </c>
      <c r="I2071" s="128">
        <v>0</v>
      </c>
    </row>
    <row r="2072" spans="1:9" ht="13.5">
      <c r="A2072" s="128">
        <v>2000</v>
      </c>
      <c r="B2072" s="128" t="s">
        <v>131</v>
      </c>
      <c r="C2072" s="128" t="s">
        <v>22</v>
      </c>
      <c r="D2072" s="128" t="s">
        <v>76</v>
      </c>
      <c r="E2072" s="128" t="s">
        <v>134</v>
      </c>
      <c r="F2072" s="128">
        <v>0</v>
      </c>
      <c r="G2072" s="128">
        <v>0</v>
      </c>
      <c r="H2072" s="128">
        <v>0</v>
      </c>
      <c r="I2072" s="128">
        <v>0</v>
      </c>
    </row>
    <row r="2073" spans="1:9" ht="13.5">
      <c r="A2073" s="128">
        <v>2000</v>
      </c>
      <c r="B2073" s="128" t="s">
        <v>131</v>
      </c>
      <c r="C2073" s="128" t="s">
        <v>22</v>
      </c>
      <c r="D2073" s="128" t="s">
        <v>76</v>
      </c>
      <c r="E2073" s="128" t="s">
        <v>135</v>
      </c>
      <c r="F2073" s="128">
        <v>0</v>
      </c>
      <c r="G2073" s="128">
        <v>0</v>
      </c>
      <c r="H2073" s="128">
        <v>0</v>
      </c>
      <c r="I2073" s="128">
        <v>0</v>
      </c>
    </row>
    <row r="2074" spans="1:9" ht="13.5">
      <c r="A2074" s="128">
        <v>2000</v>
      </c>
      <c r="B2074" s="128" t="s">
        <v>131</v>
      </c>
      <c r="C2074" s="128" t="s">
        <v>22</v>
      </c>
      <c r="D2074" s="128" t="s">
        <v>76</v>
      </c>
      <c r="E2074" s="128" t="s">
        <v>136</v>
      </c>
      <c r="F2074" s="128">
        <v>0</v>
      </c>
      <c r="G2074" s="128">
        <v>0</v>
      </c>
      <c r="H2074" s="128">
        <v>0</v>
      </c>
      <c r="I2074" s="128">
        <v>0</v>
      </c>
    </row>
    <row r="2075" spans="1:9" ht="13.5">
      <c r="A2075" s="128">
        <v>2000</v>
      </c>
      <c r="B2075" s="128" t="s">
        <v>131</v>
      </c>
      <c r="C2075" s="128" t="s">
        <v>23</v>
      </c>
      <c r="D2075" s="128" t="s">
        <v>77</v>
      </c>
      <c r="E2075" s="128" t="s">
        <v>132</v>
      </c>
      <c r="F2075" s="128">
        <v>0</v>
      </c>
      <c r="G2075" s="128">
        <v>0</v>
      </c>
      <c r="H2075" s="128">
        <v>0</v>
      </c>
      <c r="I2075" s="128">
        <v>0</v>
      </c>
    </row>
    <row r="2076" spans="1:9" ht="13.5">
      <c r="A2076" s="128">
        <v>2000</v>
      </c>
      <c r="B2076" s="128" t="s">
        <v>131</v>
      </c>
      <c r="C2076" s="128" t="s">
        <v>23</v>
      </c>
      <c r="D2076" s="128" t="s">
        <v>77</v>
      </c>
      <c r="E2076" s="128" t="s">
        <v>133</v>
      </c>
      <c r="F2076" s="128">
        <v>0</v>
      </c>
      <c r="G2076" s="128">
        <v>0</v>
      </c>
      <c r="H2076" s="128">
        <v>0</v>
      </c>
      <c r="I2076" s="128">
        <v>0</v>
      </c>
    </row>
    <row r="2077" spans="1:9" ht="13.5">
      <c r="A2077" s="128">
        <v>2000</v>
      </c>
      <c r="B2077" s="128" t="s">
        <v>131</v>
      </c>
      <c r="C2077" s="128" t="s">
        <v>23</v>
      </c>
      <c r="D2077" s="128" t="s">
        <v>77</v>
      </c>
      <c r="E2077" s="128" t="s">
        <v>134</v>
      </c>
      <c r="F2077" s="128">
        <v>0</v>
      </c>
      <c r="G2077" s="128">
        <v>0</v>
      </c>
      <c r="H2077" s="128">
        <v>0</v>
      </c>
      <c r="I2077" s="128">
        <v>0</v>
      </c>
    </row>
    <row r="2078" spans="1:9" ht="13.5">
      <c r="A2078" s="128">
        <v>2000</v>
      </c>
      <c r="B2078" s="128" t="s">
        <v>131</v>
      </c>
      <c r="C2078" s="128" t="s">
        <v>23</v>
      </c>
      <c r="D2078" s="128" t="s">
        <v>77</v>
      </c>
      <c r="E2078" s="128" t="s">
        <v>135</v>
      </c>
      <c r="F2078" s="128">
        <v>0</v>
      </c>
      <c r="G2078" s="128">
        <v>0</v>
      </c>
      <c r="H2078" s="128">
        <v>0</v>
      </c>
      <c r="I2078" s="128">
        <v>0</v>
      </c>
    </row>
    <row r="2079" spans="1:9" ht="13.5">
      <c r="A2079" s="128">
        <v>2000</v>
      </c>
      <c r="B2079" s="128" t="s">
        <v>131</v>
      </c>
      <c r="C2079" s="128" t="s">
        <v>23</v>
      </c>
      <c r="D2079" s="128" t="s">
        <v>79</v>
      </c>
      <c r="E2079" s="128" t="s">
        <v>132</v>
      </c>
      <c r="F2079" s="128">
        <v>5871</v>
      </c>
      <c r="G2079" s="128">
        <v>4339</v>
      </c>
      <c r="H2079" s="128">
        <v>1446</v>
      </c>
      <c r="I2079" s="128">
        <v>66</v>
      </c>
    </row>
    <row r="2080" spans="1:9" ht="13.5">
      <c r="A2080" s="128">
        <v>2000</v>
      </c>
      <c r="B2080" s="128" t="s">
        <v>131</v>
      </c>
      <c r="C2080" s="128" t="s">
        <v>23</v>
      </c>
      <c r="D2080" s="128" t="s">
        <v>79</v>
      </c>
      <c r="E2080" s="128" t="s">
        <v>133</v>
      </c>
      <c r="F2080" s="128">
        <v>1045</v>
      </c>
      <c r="G2080" s="128">
        <v>587</v>
      </c>
      <c r="H2080" s="128">
        <v>196</v>
      </c>
      <c r="I2080" s="128">
        <v>4</v>
      </c>
    </row>
    <row r="2081" spans="1:9" ht="13.5">
      <c r="A2081" s="128">
        <v>2000</v>
      </c>
      <c r="B2081" s="128" t="s">
        <v>131</v>
      </c>
      <c r="C2081" s="128" t="s">
        <v>23</v>
      </c>
      <c r="D2081" s="128" t="s">
        <v>79</v>
      </c>
      <c r="E2081" s="128" t="s">
        <v>134</v>
      </c>
      <c r="F2081" s="128">
        <v>2358</v>
      </c>
      <c r="G2081" s="128">
        <v>1040</v>
      </c>
      <c r="H2081" s="128">
        <v>347</v>
      </c>
      <c r="I2081" s="128">
        <v>17</v>
      </c>
    </row>
    <row r="2082" spans="1:9" ht="13.5">
      <c r="A2082" s="128">
        <v>2000</v>
      </c>
      <c r="B2082" s="128" t="s">
        <v>131</v>
      </c>
      <c r="C2082" s="128" t="s">
        <v>23</v>
      </c>
      <c r="D2082" s="128" t="s">
        <v>79</v>
      </c>
      <c r="E2082" s="128" t="s">
        <v>135</v>
      </c>
      <c r="F2082" s="128">
        <v>0</v>
      </c>
      <c r="G2082" s="128">
        <v>0</v>
      </c>
      <c r="H2082" s="128">
        <v>0</v>
      </c>
      <c r="I2082" s="128">
        <v>0</v>
      </c>
    </row>
    <row r="2083" spans="1:9" ht="13.5">
      <c r="A2083" s="128">
        <v>2000</v>
      </c>
      <c r="B2083" s="128" t="s">
        <v>131</v>
      </c>
      <c r="C2083" s="128" t="s">
        <v>23</v>
      </c>
      <c r="D2083" s="128" t="s">
        <v>79</v>
      </c>
      <c r="E2083" s="128" t="s">
        <v>136</v>
      </c>
      <c r="F2083" s="128">
        <v>1189</v>
      </c>
      <c r="G2083" s="128">
        <v>892</v>
      </c>
      <c r="H2083" s="128">
        <v>297</v>
      </c>
      <c r="I2083" s="128">
        <v>18</v>
      </c>
    </row>
    <row r="2084" spans="1:9" ht="13.5">
      <c r="A2084" s="128">
        <v>2000</v>
      </c>
      <c r="B2084" s="128" t="s">
        <v>131</v>
      </c>
      <c r="C2084" s="128" t="s">
        <v>23</v>
      </c>
      <c r="D2084" s="128" t="s">
        <v>76</v>
      </c>
      <c r="E2084" s="128" t="s">
        <v>132</v>
      </c>
      <c r="F2084" s="128">
        <v>3876</v>
      </c>
      <c r="G2084" s="128">
        <v>2499</v>
      </c>
      <c r="H2084" s="128">
        <v>1377</v>
      </c>
      <c r="I2084" s="128">
        <v>45</v>
      </c>
    </row>
    <row r="2085" spans="1:9" ht="13.5">
      <c r="A2085" s="128">
        <v>2000</v>
      </c>
      <c r="B2085" s="128" t="s">
        <v>131</v>
      </c>
      <c r="C2085" s="128" t="s">
        <v>23</v>
      </c>
      <c r="D2085" s="128" t="s">
        <v>76</v>
      </c>
      <c r="E2085" s="128" t="s">
        <v>133</v>
      </c>
      <c r="F2085" s="128">
        <v>7769</v>
      </c>
      <c r="G2085" s="128">
        <v>4311</v>
      </c>
      <c r="H2085" s="128">
        <v>3458</v>
      </c>
      <c r="I2085" s="128">
        <v>53</v>
      </c>
    </row>
    <row r="2086" spans="1:9" ht="13.5">
      <c r="A2086" s="128">
        <v>2000</v>
      </c>
      <c r="B2086" s="128" t="s">
        <v>131</v>
      </c>
      <c r="C2086" s="128" t="s">
        <v>23</v>
      </c>
      <c r="D2086" s="128" t="s">
        <v>76</v>
      </c>
      <c r="E2086" s="128" t="s">
        <v>134</v>
      </c>
      <c r="F2086" s="128">
        <v>0</v>
      </c>
      <c r="G2086" s="128">
        <v>0</v>
      </c>
      <c r="H2086" s="128">
        <v>0</v>
      </c>
      <c r="I2086" s="128">
        <v>0</v>
      </c>
    </row>
    <row r="2087" spans="1:9" ht="13.5">
      <c r="A2087" s="128">
        <v>2000</v>
      </c>
      <c r="B2087" s="128" t="s">
        <v>131</v>
      </c>
      <c r="C2087" s="128" t="s">
        <v>23</v>
      </c>
      <c r="D2087" s="128" t="s">
        <v>76</v>
      </c>
      <c r="E2087" s="128" t="s">
        <v>135</v>
      </c>
      <c r="F2087" s="128">
        <v>352</v>
      </c>
      <c r="G2087" s="128">
        <v>81</v>
      </c>
      <c r="H2087" s="128">
        <v>271</v>
      </c>
      <c r="I2087" s="128">
        <v>3</v>
      </c>
    </row>
    <row r="2088" spans="1:9" ht="13.5">
      <c r="A2088" s="128">
        <v>2000</v>
      </c>
      <c r="B2088" s="128" t="s">
        <v>131</v>
      </c>
      <c r="C2088" s="128" t="s">
        <v>23</v>
      </c>
      <c r="D2088" s="128" t="s">
        <v>76</v>
      </c>
      <c r="E2088" s="128" t="s">
        <v>136</v>
      </c>
      <c r="F2088" s="128">
        <v>352</v>
      </c>
      <c r="G2088" s="128">
        <v>302</v>
      </c>
      <c r="H2088" s="128">
        <v>50</v>
      </c>
      <c r="I2088" s="128">
        <v>2</v>
      </c>
    </row>
    <row r="2089" spans="1:9" ht="13.5">
      <c r="A2089" s="128">
        <v>2000</v>
      </c>
      <c r="B2089" s="128" t="s">
        <v>131</v>
      </c>
      <c r="C2089" s="128" t="s">
        <v>25</v>
      </c>
      <c r="D2089" s="128" t="s">
        <v>77</v>
      </c>
      <c r="E2089" s="128" t="s">
        <v>132</v>
      </c>
      <c r="F2089" s="128">
        <v>0</v>
      </c>
      <c r="G2089" s="128">
        <v>0</v>
      </c>
      <c r="H2089" s="128">
        <v>0</v>
      </c>
      <c r="I2089" s="128">
        <v>0</v>
      </c>
    </row>
    <row r="2090" spans="1:9" ht="13.5">
      <c r="A2090" s="128">
        <v>2000</v>
      </c>
      <c r="B2090" s="128" t="s">
        <v>131</v>
      </c>
      <c r="C2090" s="128" t="s">
        <v>25</v>
      </c>
      <c r="D2090" s="128" t="s">
        <v>77</v>
      </c>
      <c r="E2090" s="128" t="s">
        <v>133</v>
      </c>
      <c r="F2090" s="128">
        <v>0</v>
      </c>
      <c r="G2090" s="128">
        <v>0</v>
      </c>
      <c r="H2090" s="128">
        <v>0</v>
      </c>
      <c r="I2090" s="128">
        <v>0</v>
      </c>
    </row>
    <row r="2091" spans="1:9" ht="13.5">
      <c r="A2091" s="128">
        <v>2000</v>
      </c>
      <c r="B2091" s="128" t="s">
        <v>131</v>
      </c>
      <c r="C2091" s="128" t="s">
        <v>25</v>
      </c>
      <c r="D2091" s="128" t="s">
        <v>77</v>
      </c>
      <c r="E2091" s="128" t="s">
        <v>134</v>
      </c>
      <c r="F2091" s="128">
        <v>0</v>
      </c>
      <c r="G2091" s="128">
        <v>0</v>
      </c>
      <c r="H2091" s="128">
        <v>0</v>
      </c>
      <c r="I2091" s="128">
        <v>0</v>
      </c>
    </row>
    <row r="2092" spans="1:9" ht="13.5">
      <c r="A2092" s="128">
        <v>2000</v>
      </c>
      <c r="B2092" s="128" t="s">
        <v>131</v>
      </c>
      <c r="C2092" s="128" t="s">
        <v>25</v>
      </c>
      <c r="D2092" s="128" t="s">
        <v>77</v>
      </c>
      <c r="E2092" s="128" t="s">
        <v>135</v>
      </c>
      <c r="F2092" s="128">
        <v>0</v>
      </c>
      <c r="G2092" s="128">
        <v>0</v>
      </c>
      <c r="H2092" s="128">
        <v>0</v>
      </c>
      <c r="I2092" s="128">
        <v>0</v>
      </c>
    </row>
    <row r="2093" spans="1:9" ht="13.5">
      <c r="A2093" s="128">
        <v>2000</v>
      </c>
      <c r="B2093" s="128" t="s">
        <v>131</v>
      </c>
      <c r="C2093" s="128" t="s">
        <v>25</v>
      </c>
      <c r="D2093" s="128" t="s">
        <v>79</v>
      </c>
      <c r="E2093" s="128" t="s">
        <v>132</v>
      </c>
      <c r="F2093" s="128">
        <v>0</v>
      </c>
      <c r="G2093" s="128">
        <v>0</v>
      </c>
      <c r="H2093" s="128">
        <v>0</v>
      </c>
      <c r="I2093" s="128">
        <v>0</v>
      </c>
    </row>
    <row r="2094" spans="1:9" ht="13.5">
      <c r="A2094" s="128">
        <v>2000</v>
      </c>
      <c r="B2094" s="128" t="s">
        <v>131</v>
      </c>
      <c r="C2094" s="128" t="s">
        <v>25</v>
      </c>
      <c r="D2094" s="128" t="s">
        <v>79</v>
      </c>
      <c r="E2094" s="128" t="s">
        <v>133</v>
      </c>
      <c r="F2094" s="128">
        <v>0</v>
      </c>
      <c r="G2094" s="128">
        <v>0</v>
      </c>
      <c r="H2094" s="128">
        <v>0</v>
      </c>
      <c r="I2094" s="128">
        <v>0</v>
      </c>
    </row>
    <row r="2095" spans="1:9" ht="13.5">
      <c r="A2095" s="128">
        <v>2000</v>
      </c>
      <c r="B2095" s="128" t="s">
        <v>131</v>
      </c>
      <c r="C2095" s="128" t="s">
        <v>25</v>
      </c>
      <c r="D2095" s="128" t="s">
        <v>79</v>
      </c>
      <c r="E2095" s="128" t="s">
        <v>134</v>
      </c>
      <c r="F2095" s="128">
        <v>0</v>
      </c>
      <c r="G2095" s="128">
        <v>0</v>
      </c>
      <c r="H2095" s="128">
        <v>0</v>
      </c>
      <c r="I2095" s="128">
        <v>0</v>
      </c>
    </row>
    <row r="2096" spans="1:9" ht="13.5">
      <c r="A2096" s="128">
        <v>2000</v>
      </c>
      <c r="B2096" s="128" t="s">
        <v>131</v>
      </c>
      <c r="C2096" s="128" t="s">
        <v>25</v>
      </c>
      <c r="D2096" s="128" t="s">
        <v>79</v>
      </c>
      <c r="E2096" s="128" t="s">
        <v>135</v>
      </c>
      <c r="F2096" s="128">
        <v>0</v>
      </c>
      <c r="G2096" s="128">
        <v>0</v>
      </c>
      <c r="H2096" s="128">
        <v>0</v>
      </c>
      <c r="I2096" s="128">
        <v>0</v>
      </c>
    </row>
    <row r="2097" spans="1:9" ht="13.5">
      <c r="A2097" s="128">
        <v>2000</v>
      </c>
      <c r="B2097" s="128" t="s">
        <v>131</v>
      </c>
      <c r="C2097" s="128" t="s">
        <v>25</v>
      </c>
      <c r="D2097" s="128" t="s">
        <v>79</v>
      </c>
      <c r="E2097" s="128" t="s">
        <v>136</v>
      </c>
      <c r="F2097" s="128">
        <v>0</v>
      </c>
      <c r="G2097" s="128">
        <v>0</v>
      </c>
      <c r="H2097" s="128">
        <v>0</v>
      </c>
      <c r="I2097" s="128">
        <v>0</v>
      </c>
    </row>
    <row r="2098" spans="1:9" ht="13.5">
      <c r="A2098" s="128">
        <v>2000</v>
      </c>
      <c r="B2098" s="128" t="s">
        <v>131</v>
      </c>
      <c r="C2098" s="128" t="s">
        <v>25</v>
      </c>
      <c r="D2098" s="128" t="s">
        <v>76</v>
      </c>
      <c r="E2098" s="128" t="s">
        <v>132</v>
      </c>
      <c r="F2098" s="128">
        <v>0</v>
      </c>
      <c r="G2098" s="128">
        <v>0</v>
      </c>
      <c r="H2098" s="128">
        <v>0</v>
      </c>
      <c r="I2098" s="128">
        <v>0</v>
      </c>
    </row>
    <row r="2099" spans="1:9" ht="13.5">
      <c r="A2099" s="128">
        <v>2000</v>
      </c>
      <c r="B2099" s="128" t="s">
        <v>131</v>
      </c>
      <c r="C2099" s="128" t="s">
        <v>25</v>
      </c>
      <c r="D2099" s="128" t="s">
        <v>76</v>
      </c>
      <c r="E2099" s="128" t="s">
        <v>133</v>
      </c>
      <c r="F2099" s="128">
        <v>0</v>
      </c>
      <c r="G2099" s="128">
        <v>0</v>
      </c>
      <c r="H2099" s="128">
        <v>0</v>
      </c>
      <c r="I2099" s="128">
        <v>0</v>
      </c>
    </row>
    <row r="2100" spans="1:9" ht="13.5">
      <c r="A2100" s="128">
        <v>2000</v>
      </c>
      <c r="B2100" s="128" t="s">
        <v>131</v>
      </c>
      <c r="C2100" s="128" t="s">
        <v>25</v>
      </c>
      <c r="D2100" s="128" t="s">
        <v>76</v>
      </c>
      <c r="E2100" s="128" t="s">
        <v>134</v>
      </c>
      <c r="F2100" s="128">
        <v>0</v>
      </c>
      <c r="G2100" s="128">
        <v>0</v>
      </c>
      <c r="H2100" s="128">
        <v>0</v>
      </c>
      <c r="I2100" s="128">
        <v>0</v>
      </c>
    </row>
    <row r="2101" spans="1:9" ht="13.5">
      <c r="A2101" s="128">
        <v>2000</v>
      </c>
      <c r="B2101" s="128" t="s">
        <v>131</v>
      </c>
      <c r="C2101" s="128" t="s">
        <v>25</v>
      </c>
      <c r="D2101" s="128" t="s">
        <v>76</v>
      </c>
      <c r="E2101" s="128" t="s">
        <v>135</v>
      </c>
      <c r="F2101" s="128">
        <v>0</v>
      </c>
      <c r="G2101" s="128">
        <v>0</v>
      </c>
      <c r="H2101" s="128">
        <v>0</v>
      </c>
      <c r="I2101" s="128">
        <v>0</v>
      </c>
    </row>
    <row r="2102" spans="1:9" ht="13.5">
      <c r="A2102" s="128">
        <v>2000</v>
      </c>
      <c r="B2102" s="128" t="s">
        <v>131</v>
      </c>
      <c r="C2102" s="128" t="s">
        <v>25</v>
      </c>
      <c r="D2102" s="128" t="s">
        <v>76</v>
      </c>
      <c r="E2102" s="128" t="s">
        <v>136</v>
      </c>
      <c r="F2102" s="128">
        <v>0</v>
      </c>
      <c r="G2102" s="128">
        <v>0</v>
      </c>
      <c r="H2102" s="128">
        <v>0</v>
      </c>
      <c r="I2102" s="128">
        <v>0</v>
      </c>
    </row>
    <row r="2103" spans="1:9" ht="13.5">
      <c r="A2103" s="128">
        <v>2000</v>
      </c>
      <c r="B2103" s="128" t="s">
        <v>131</v>
      </c>
      <c r="C2103" s="128" t="s">
        <v>21</v>
      </c>
      <c r="D2103" s="128" t="s">
        <v>77</v>
      </c>
      <c r="E2103" s="128" t="s">
        <v>132</v>
      </c>
      <c r="F2103" s="128">
        <v>0</v>
      </c>
      <c r="G2103" s="128">
        <v>0</v>
      </c>
      <c r="H2103" s="128">
        <v>0</v>
      </c>
      <c r="I2103" s="128">
        <v>0</v>
      </c>
    </row>
    <row r="2104" spans="1:9" ht="13.5">
      <c r="A2104" s="128">
        <v>2000</v>
      </c>
      <c r="B2104" s="128" t="s">
        <v>131</v>
      </c>
      <c r="C2104" s="128" t="s">
        <v>21</v>
      </c>
      <c r="D2104" s="128" t="s">
        <v>77</v>
      </c>
      <c r="E2104" s="128" t="s">
        <v>133</v>
      </c>
      <c r="F2104" s="128">
        <v>0</v>
      </c>
      <c r="G2104" s="128">
        <v>0</v>
      </c>
      <c r="H2104" s="128">
        <v>0</v>
      </c>
      <c r="I2104" s="128">
        <v>0</v>
      </c>
    </row>
    <row r="2105" spans="1:9" ht="13.5">
      <c r="A2105" s="128">
        <v>2000</v>
      </c>
      <c r="B2105" s="128" t="s">
        <v>131</v>
      </c>
      <c r="C2105" s="128" t="s">
        <v>21</v>
      </c>
      <c r="D2105" s="128" t="s">
        <v>77</v>
      </c>
      <c r="E2105" s="128" t="s">
        <v>134</v>
      </c>
      <c r="F2105" s="128">
        <v>0</v>
      </c>
      <c r="G2105" s="128">
        <v>0</v>
      </c>
      <c r="H2105" s="128">
        <v>0</v>
      </c>
      <c r="I2105" s="128">
        <v>0</v>
      </c>
    </row>
    <row r="2106" spans="1:9" ht="13.5">
      <c r="A2106" s="128">
        <v>2000</v>
      </c>
      <c r="B2106" s="128" t="s">
        <v>131</v>
      </c>
      <c r="C2106" s="128" t="s">
        <v>21</v>
      </c>
      <c r="D2106" s="128" t="s">
        <v>77</v>
      </c>
      <c r="E2106" s="128" t="s">
        <v>135</v>
      </c>
      <c r="F2106" s="128">
        <v>0</v>
      </c>
      <c r="G2106" s="128">
        <v>0</v>
      </c>
      <c r="H2106" s="128">
        <v>0</v>
      </c>
      <c r="I2106" s="128">
        <v>0</v>
      </c>
    </row>
    <row r="2107" spans="1:9" ht="13.5">
      <c r="A2107" s="128">
        <v>2000</v>
      </c>
      <c r="B2107" s="128" t="s">
        <v>131</v>
      </c>
      <c r="C2107" s="128" t="s">
        <v>21</v>
      </c>
      <c r="D2107" s="128" t="s">
        <v>79</v>
      </c>
      <c r="E2107" s="128" t="s">
        <v>132</v>
      </c>
      <c r="F2107" s="128">
        <v>0</v>
      </c>
      <c r="G2107" s="128">
        <v>0</v>
      </c>
      <c r="H2107" s="128">
        <v>0</v>
      </c>
      <c r="I2107" s="128">
        <v>0</v>
      </c>
    </row>
    <row r="2108" spans="1:9" ht="13.5">
      <c r="A2108" s="128">
        <v>2000</v>
      </c>
      <c r="B2108" s="128" t="s">
        <v>131</v>
      </c>
      <c r="C2108" s="128" t="s">
        <v>21</v>
      </c>
      <c r="D2108" s="128" t="s">
        <v>79</v>
      </c>
      <c r="E2108" s="128" t="s">
        <v>133</v>
      </c>
      <c r="F2108" s="128">
        <v>0</v>
      </c>
      <c r="G2108" s="128">
        <v>0</v>
      </c>
      <c r="H2108" s="128">
        <v>0</v>
      </c>
      <c r="I2108" s="128">
        <v>0</v>
      </c>
    </row>
    <row r="2109" spans="1:9" ht="13.5">
      <c r="A2109" s="128">
        <v>2000</v>
      </c>
      <c r="B2109" s="128" t="s">
        <v>131</v>
      </c>
      <c r="C2109" s="128" t="s">
        <v>21</v>
      </c>
      <c r="D2109" s="128" t="s">
        <v>79</v>
      </c>
      <c r="E2109" s="128" t="s">
        <v>134</v>
      </c>
      <c r="F2109" s="128">
        <v>0</v>
      </c>
      <c r="G2109" s="128">
        <v>0</v>
      </c>
      <c r="H2109" s="128">
        <v>0</v>
      </c>
      <c r="I2109" s="128">
        <v>0</v>
      </c>
    </row>
    <row r="2110" spans="1:9" ht="13.5">
      <c r="A2110" s="128">
        <v>2000</v>
      </c>
      <c r="B2110" s="128" t="s">
        <v>131</v>
      </c>
      <c r="C2110" s="128" t="s">
        <v>21</v>
      </c>
      <c r="D2110" s="128" t="s">
        <v>79</v>
      </c>
      <c r="E2110" s="128" t="s">
        <v>135</v>
      </c>
      <c r="F2110" s="128">
        <v>0</v>
      </c>
      <c r="G2110" s="128">
        <v>0</v>
      </c>
      <c r="H2110" s="128">
        <v>0</v>
      </c>
      <c r="I2110" s="128">
        <v>0</v>
      </c>
    </row>
    <row r="2111" spans="1:9" ht="13.5">
      <c r="A2111" s="128">
        <v>2000</v>
      </c>
      <c r="B2111" s="128" t="s">
        <v>131</v>
      </c>
      <c r="C2111" s="128" t="s">
        <v>21</v>
      </c>
      <c r="D2111" s="128" t="s">
        <v>79</v>
      </c>
      <c r="E2111" s="128" t="s">
        <v>136</v>
      </c>
      <c r="F2111" s="128">
        <v>0</v>
      </c>
      <c r="G2111" s="128">
        <v>0</v>
      </c>
      <c r="H2111" s="128">
        <v>0</v>
      </c>
      <c r="I2111" s="128">
        <v>0</v>
      </c>
    </row>
    <row r="2112" spans="1:9" ht="13.5">
      <c r="A2112" s="128">
        <v>2000</v>
      </c>
      <c r="B2112" s="128" t="s">
        <v>131</v>
      </c>
      <c r="C2112" s="128" t="s">
        <v>21</v>
      </c>
      <c r="D2112" s="128" t="s">
        <v>76</v>
      </c>
      <c r="E2112" s="128" t="s">
        <v>132</v>
      </c>
      <c r="F2112" s="128">
        <v>0</v>
      </c>
      <c r="G2112" s="128">
        <v>0</v>
      </c>
      <c r="H2112" s="128">
        <v>0</v>
      </c>
      <c r="I2112" s="128">
        <v>0</v>
      </c>
    </row>
    <row r="2113" spans="1:9" ht="13.5">
      <c r="A2113" s="128">
        <v>2000</v>
      </c>
      <c r="B2113" s="128" t="s">
        <v>131</v>
      </c>
      <c r="C2113" s="128" t="s">
        <v>21</v>
      </c>
      <c r="D2113" s="128" t="s">
        <v>76</v>
      </c>
      <c r="E2113" s="128" t="s">
        <v>133</v>
      </c>
      <c r="F2113" s="128">
        <v>0</v>
      </c>
      <c r="G2113" s="128">
        <v>0</v>
      </c>
      <c r="H2113" s="128">
        <v>0</v>
      </c>
      <c r="I2113" s="128">
        <v>0</v>
      </c>
    </row>
    <row r="2114" spans="1:9" ht="13.5">
      <c r="A2114" s="128">
        <v>2000</v>
      </c>
      <c r="B2114" s="128" t="s">
        <v>131</v>
      </c>
      <c r="C2114" s="128" t="s">
        <v>21</v>
      </c>
      <c r="D2114" s="128" t="s">
        <v>76</v>
      </c>
      <c r="E2114" s="128" t="s">
        <v>134</v>
      </c>
      <c r="F2114" s="128">
        <v>0</v>
      </c>
      <c r="G2114" s="128">
        <v>0</v>
      </c>
      <c r="H2114" s="128">
        <v>0</v>
      </c>
      <c r="I2114" s="128">
        <v>0</v>
      </c>
    </row>
    <row r="2115" spans="1:9" ht="13.5">
      <c r="A2115" s="128">
        <v>2000</v>
      </c>
      <c r="B2115" s="128" t="s">
        <v>131</v>
      </c>
      <c r="C2115" s="128" t="s">
        <v>21</v>
      </c>
      <c r="D2115" s="128" t="s">
        <v>76</v>
      </c>
      <c r="E2115" s="128" t="s">
        <v>135</v>
      </c>
      <c r="F2115" s="128">
        <v>0</v>
      </c>
      <c r="G2115" s="128">
        <v>0</v>
      </c>
      <c r="H2115" s="128">
        <v>0</v>
      </c>
      <c r="I2115" s="128">
        <v>0</v>
      </c>
    </row>
    <row r="2116" spans="1:9" ht="13.5">
      <c r="A2116" s="128">
        <v>2000</v>
      </c>
      <c r="B2116" s="128" t="s">
        <v>131</v>
      </c>
      <c r="C2116" s="128" t="s">
        <v>21</v>
      </c>
      <c r="D2116" s="128" t="s">
        <v>76</v>
      </c>
      <c r="E2116" s="128" t="s">
        <v>136</v>
      </c>
      <c r="F2116" s="128">
        <v>0</v>
      </c>
      <c r="G2116" s="128">
        <v>0</v>
      </c>
      <c r="H2116" s="128">
        <v>0</v>
      </c>
      <c r="I2116" s="128">
        <v>0</v>
      </c>
    </row>
    <row r="2117" spans="1:9" ht="13.5">
      <c r="A2117" s="128">
        <v>2000</v>
      </c>
      <c r="B2117" s="128" t="s">
        <v>131</v>
      </c>
      <c r="C2117" s="128" t="s">
        <v>24</v>
      </c>
      <c r="D2117" s="128" t="s">
        <v>77</v>
      </c>
      <c r="E2117" s="128" t="s">
        <v>132</v>
      </c>
      <c r="F2117" s="128">
        <v>0</v>
      </c>
      <c r="G2117" s="128">
        <v>0</v>
      </c>
      <c r="H2117" s="128">
        <v>0</v>
      </c>
      <c r="I2117" s="128">
        <v>0</v>
      </c>
    </row>
    <row r="2118" spans="1:9" ht="13.5">
      <c r="A2118" s="128">
        <v>2000</v>
      </c>
      <c r="B2118" s="128" t="s">
        <v>131</v>
      </c>
      <c r="C2118" s="128" t="s">
        <v>24</v>
      </c>
      <c r="D2118" s="128" t="s">
        <v>77</v>
      </c>
      <c r="E2118" s="128" t="s">
        <v>133</v>
      </c>
      <c r="F2118" s="128">
        <v>0</v>
      </c>
      <c r="G2118" s="128">
        <v>0</v>
      </c>
      <c r="H2118" s="128">
        <v>0</v>
      </c>
      <c r="I2118" s="128">
        <v>0</v>
      </c>
    </row>
    <row r="2119" spans="1:9" ht="13.5">
      <c r="A2119" s="128">
        <v>2000</v>
      </c>
      <c r="B2119" s="128" t="s">
        <v>131</v>
      </c>
      <c r="C2119" s="128" t="s">
        <v>24</v>
      </c>
      <c r="D2119" s="128" t="s">
        <v>77</v>
      </c>
      <c r="E2119" s="128" t="s">
        <v>134</v>
      </c>
      <c r="F2119" s="128">
        <v>0</v>
      </c>
      <c r="G2119" s="128">
        <v>0</v>
      </c>
      <c r="H2119" s="128">
        <v>0</v>
      </c>
      <c r="I2119" s="128">
        <v>0</v>
      </c>
    </row>
    <row r="2120" spans="1:9" ht="13.5">
      <c r="A2120" s="128">
        <v>2000</v>
      </c>
      <c r="B2120" s="128" t="s">
        <v>131</v>
      </c>
      <c r="C2120" s="128" t="s">
        <v>24</v>
      </c>
      <c r="D2120" s="128" t="s">
        <v>77</v>
      </c>
      <c r="E2120" s="128" t="s">
        <v>135</v>
      </c>
      <c r="F2120" s="128">
        <v>0</v>
      </c>
      <c r="G2120" s="128">
        <v>0</v>
      </c>
      <c r="H2120" s="128">
        <v>0</v>
      </c>
      <c r="I2120" s="128">
        <v>0</v>
      </c>
    </row>
    <row r="2121" spans="1:9" ht="13.5">
      <c r="A2121" s="128">
        <v>2000</v>
      </c>
      <c r="B2121" s="128" t="s">
        <v>131</v>
      </c>
      <c r="C2121" s="128" t="s">
        <v>24</v>
      </c>
      <c r="D2121" s="128" t="s">
        <v>79</v>
      </c>
      <c r="E2121" s="128" t="s">
        <v>132</v>
      </c>
      <c r="F2121" s="128">
        <v>0</v>
      </c>
      <c r="G2121" s="128">
        <v>0</v>
      </c>
      <c r="H2121" s="128">
        <v>0</v>
      </c>
      <c r="I2121" s="128">
        <v>0</v>
      </c>
    </row>
    <row r="2122" spans="1:9" ht="13.5">
      <c r="A2122" s="128">
        <v>2000</v>
      </c>
      <c r="B2122" s="128" t="s">
        <v>131</v>
      </c>
      <c r="C2122" s="128" t="s">
        <v>24</v>
      </c>
      <c r="D2122" s="128" t="s">
        <v>79</v>
      </c>
      <c r="E2122" s="128" t="s">
        <v>133</v>
      </c>
      <c r="F2122" s="128">
        <v>0</v>
      </c>
      <c r="G2122" s="128">
        <v>0</v>
      </c>
      <c r="H2122" s="128">
        <v>0</v>
      </c>
      <c r="I2122" s="128">
        <v>0</v>
      </c>
    </row>
    <row r="2123" spans="1:9" ht="13.5">
      <c r="A2123" s="128">
        <v>2000</v>
      </c>
      <c r="B2123" s="128" t="s">
        <v>131</v>
      </c>
      <c r="C2123" s="128" t="s">
        <v>24</v>
      </c>
      <c r="D2123" s="128" t="s">
        <v>79</v>
      </c>
      <c r="E2123" s="128" t="s">
        <v>134</v>
      </c>
      <c r="F2123" s="128">
        <v>0</v>
      </c>
      <c r="G2123" s="128">
        <v>0</v>
      </c>
      <c r="H2123" s="128">
        <v>0</v>
      </c>
      <c r="I2123" s="128">
        <v>0</v>
      </c>
    </row>
    <row r="2124" spans="1:9" ht="13.5">
      <c r="A2124" s="128">
        <v>2000</v>
      </c>
      <c r="B2124" s="128" t="s">
        <v>131</v>
      </c>
      <c r="C2124" s="128" t="s">
        <v>24</v>
      </c>
      <c r="D2124" s="128" t="s">
        <v>79</v>
      </c>
      <c r="E2124" s="128" t="s">
        <v>135</v>
      </c>
      <c r="F2124" s="128">
        <v>0</v>
      </c>
      <c r="G2124" s="128">
        <v>0</v>
      </c>
      <c r="H2124" s="128">
        <v>0</v>
      </c>
      <c r="I2124" s="128">
        <v>0</v>
      </c>
    </row>
    <row r="2125" spans="1:9" ht="13.5">
      <c r="A2125" s="128">
        <v>2000</v>
      </c>
      <c r="B2125" s="128" t="s">
        <v>131</v>
      </c>
      <c r="C2125" s="128" t="s">
        <v>24</v>
      </c>
      <c r="D2125" s="128" t="s">
        <v>79</v>
      </c>
      <c r="E2125" s="128" t="s">
        <v>136</v>
      </c>
      <c r="F2125" s="128">
        <v>0</v>
      </c>
      <c r="G2125" s="128">
        <v>0</v>
      </c>
      <c r="H2125" s="128">
        <v>0</v>
      </c>
      <c r="I2125" s="128">
        <v>0</v>
      </c>
    </row>
    <row r="2126" spans="1:9" ht="13.5">
      <c r="A2126" s="128">
        <v>2000</v>
      </c>
      <c r="B2126" s="128" t="s">
        <v>131</v>
      </c>
      <c r="C2126" s="128" t="s">
        <v>24</v>
      </c>
      <c r="D2126" s="128" t="s">
        <v>76</v>
      </c>
      <c r="E2126" s="128" t="s">
        <v>132</v>
      </c>
      <c r="F2126" s="128">
        <v>0</v>
      </c>
      <c r="G2126" s="128">
        <v>0</v>
      </c>
      <c r="H2126" s="128">
        <v>0</v>
      </c>
      <c r="I2126" s="128">
        <v>0</v>
      </c>
    </row>
    <row r="2127" spans="1:9" ht="13.5">
      <c r="A2127" s="128">
        <v>2000</v>
      </c>
      <c r="B2127" s="128" t="s">
        <v>131</v>
      </c>
      <c r="C2127" s="128" t="s">
        <v>24</v>
      </c>
      <c r="D2127" s="128" t="s">
        <v>76</v>
      </c>
      <c r="E2127" s="128" t="s">
        <v>133</v>
      </c>
      <c r="F2127" s="128">
        <v>0</v>
      </c>
      <c r="G2127" s="128">
        <v>0</v>
      </c>
      <c r="H2127" s="128">
        <v>0</v>
      </c>
      <c r="I2127" s="128">
        <v>0</v>
      </c>
    </row>
    <row r="2128" spans="1:9" ht="13.5">
      <c r="A2128" s="128">
        <v>2000</v>
      </c>
      <c r="B2128" s="128" t="s">
        <v>131</v>
      </c>
      <c r="C2128" s="128" t="s">
        <v>24</v>
      </c>
      <c r="D2128" s="128" t="s">
        <v>76</v>
      </c>
      <c r="E2128" s="128" t="s">
        <v>134</v>
      </c>
      <c r="F2128" s="128">
        <v>0</v>
      </c>
      <c r="G2128" s="128">
        <v>0</v>
      </c>
      <c r="H2128" s="128">
        <v>0</v>
      </c>
      <c r="I2128" s="128">
        <v>0</v>
      </c>
    </row>
    <row r="2129" spans="1:9" ht="13.5">
      <c r="A2129" s="128">
        <v>2000</v>
      </c>
      <c r="B2129" s="128" t="s">
        <v>131</v>
      </c>
      <c r="C2129" s="128" t="s">
        <v>24</v>
      </c>
      <c r="D2129" s="128" t="s">
        <v>76</v>
      </c>
      <c r="E2129" s="128" t="s">
        <v>135</v>
      </c>
      <c r="F2129" s="128">
        <v>0</v>
      </c>
      <c r="G2129" s="128">
        <v>0</v>
      </c>
      <c r="H2129" s="128">
        <v>0</v>
      </c>
      <c r="I2129" s="128">
        <v>0</v>
      </c>
    </row>
    <row r="2130" spans="1:9" ht="13.5">
      <c r="A2130" s="128">
        <v>2000</v>
      </c>
      <c r="B2130" s="128" t="s">
        <v>131</v>
      </c>
      <c r="C2130" s="128" t="s">
        <v>24</v>
      </c>
      <c r="D2130" s="128" t="s">
        <v>76</v>
      </c>
      <c r="E2130" s="128" t="s">
        <v>136</v>
      </c>
      <c r="F2130" s="128">
        <v>0</v>
      </c>
      <c r="G2130" s="128">
        <v>0</v>
      </c>
      <c r="H2130" s="128">
        <v>0</v>
      </c>
      <c r="I2130" s="128">
        <v>0</v>
      </c>
    </row>
    <row r="2131" spans="1:9" ht="13.5">
      <c r="A2131" s="128">
        <v>2000</v>
      </c>
      <c r="B2131" s="128" t="s">
        <v>138</v>
      </c>
      <c r="C2131" s="128" t="s">
        <v>26</v>
      </c>
      <c r="D2131" s="128" t="s">
        <v>77</v>
      </c>
      <c r="E2131" s="128" t="s">
        <v>132</v>
      </c>
      <c r="F2131" s="128">
        <v>0</v>
      </c>
      <c r="G2131" s="128">
        <v>0</v>
      </c>
      <c r="H2131" s="128">
        <v>0</v>
      </c>
      <c r="I2131" s="128">
        <v>0</v>
      </c>
    </row>
    <row r="2132" spans="1:9" ht="13.5">
      <c r="A2132" s="128">
        <v>2000</v>
      </c>
      <c r="B2132" s="128" t="s">
        <v>138</v>
      </c>
      <c r="C2132" s="128" t="s">
        <v>26</v>
      </c>
      <c r="D2132" s="128" t="s">
        <v>77</v>
      </c>
      <c r="E2132" s="128" t="s">
        <v>133</v>
      </c>
      <c r="F2132" s="128">
        <v>0</v>
      </c>
      <c r="G2132" s="128">
        <v>0</v>
      </c>
      <c r="H2132" s="128">
        <v>0</v>
      </c>
      <c r="I2132" s="128">
        <v>0</v>
      </c>
    </row>
    <row r="2133" spans="1:9" ht="13.5">
      <c r="A2133" s="128">
        <v>2000</v>
      </c>
      <c r="B2133" s="128" t="s">
        <v>138</v>
      </c>
      <c r="C2133" s="128" t="s">
        <v>26</v>
      </c>
      <c r="D2133" s="128" t="s">
        <v>77</v>
      </c>
      <c r="E2133" s="128" t="s">
        <v>134</v>
      </c>
      <c r="F2133" s="128">
        <v>0</v>
      </c>
      <c r="G2133" s="128">
        <v>0</v>
      </c>
      <c r="H2133" s="128">
        <v>0</v>
      </c>
      <c r="I2133" s="128">
        <v>0</v>
      </c>
    </row>
    <row r="2134" spans="1:9" ht="13.5">
      <c r="A2134" s="128">
        <v>2000</v>
      </c>
      <c r="B2134" s="128" t="s">
        <v>138</v>
      </c>
      <c r="C2134" s="128" t="s">
        <v>26</v>
      </c>
      <c r="D2134" s="128" t="s">
        <v>77</v>
      </c>
      <c r="E2134" s="128" t="s">
        <v>135</v>
      </c>
      <c r="F2134" s="128">
        <v>0</v>
      </c>
      <c r="G2134" s="128">
        <v>0</v>
      </c>
      <c r="H2134" s="128">
        <v>0</v>
      </c>
      <c r="I2134" s="128">
        <v>0</v>
      </c>
    </row>
    <row r="2135" spans="1:9" ht="13.5">
      <c r="A2135" s="128">
        <v>2000</v>
      </c>
      <c r="B2135" s="128" t="s">
        <v>138</v>
      </c>
      <c r="C2135" s="128" t="s">
        <v>26</v>
      </c>
      <c r="D2135" s="128" t="s">
        <v>79</v>
      </c>
      <c r="E2135" s="128" t="s">
        <v>132</v>
      </c>
      <c r="F2135" s="128">
        <v>0</v>
      </c>
      <c r="G2135" s="128">
        <v>0</v>
      </c>
      <c r="H2135" s="128">
        <v>0</v>
      </c>
      <c r="I2135" s="128">
        <v>0</v>
      </c>
    </row>
    <row r="2136" spans="1:9" ht="13.5">
      <c r="A2136" s="128">
        <v>2000</v>
      </c>
      <c r="B2136" s="128" t="s">
        <v>138</v>
      </c>
      <c r="C2136" s="128" t="s">
        <v>26</v>
      </c>
      <c r="D2136" s="128" t="s">
        <v>79</v>
      </c>
      <c r="E2136" s="128" t="s">
        <v>133</v>
      </c>
      <c r="F2136" s="128">
        <v>0</v>
      </c>
      <c r="G2136" s="128">
        <v>0</v>
      </c>
      <c r="H2136" s="128">
        <v>0</v>
      </c>
      <c r="I2136" s="128">
        <v>0</v>
      </c>
    </row>
    <row r="2137" spans="1:9" ht="13.5">
      <c r="A2137" s="128">
        <v>2000</v>
      </c>
      <c r="B2137" s="128" t="s">
        <v>138</v>
      </c>
      <c r="C2137" s="128" t="s">
        <v>26</v>
      </c>
      <c r="D2137" s="128" t="s">
        <v>79</v>
      </c>
      <c r="E2137" s="128" t="s">
        <v>134</v>
      </c>
      <c r="F2137" s="128">
        <v>0</v>
      </c>
      <c r="G2137" s="128">
        <v>0</v>
      </c>
      <c r="H2137" s="128">
        <v>0</v>
      </c>
      <c r="I2137" s="128">
        <v>0</v>
      </c>
    </row>
    <row r="2138" spans="1:9" ht="13.5">
      <c r="A2138" s="128">
        <v>2000</v>
      </c>
      <c r="B2138" s="128" t="s">
        <v>138</v>
      </c>
      <c r="C2138" s="128" t="s">
        <v>26</v>
      </c>
      <c r="D2138" s="128" t="s">
        <v>79</v>
      </c>
      <c r="E2138" s="128" t="s">
        <v>135</v>
      </c>
      <c r="F2138" s="128">
        <v>0</v>
      </c>
      <c r="G2138" s="128">
        <v>0</v>
      </c>
      <c r="H2138" s="128">
        <v>0</v>
      </c>
      <c r="I2138" s="128">
        <v>0</v>
      </c>
    </row>
    <row r="2139" spans="1:9" ht="13.5">
      <c r="A2139" s="128">
        <v>2000</v>
      </c>
      <c r="B2139" s="128" t="s">
        <v>138</v>
      </c>
      <c r="C2139" s="128" t="s">
        <v>26</v>
      </c>
      <c r="D2139" s="128" t="s">
        <v>79</v>
      </c>
      <c r="E2139" s="128" t="s">
        <v>136</v>
      </c>
      <c r="F2139" s="128">
        <v>0</v>
      </c>
      <c r="G2139" s="128">
        <v>0</v>
      </c>
      <c r="H2139" s="128">
        <v>0</v>
      </c>
      <c r="I2139" s="128">
        <v>0</v>
      </c>
    </row>
    <row r="2140" spans="1:9" ht="13.5">
      <c r="A2140" s="128">
        <v>2000</v>
      </c>
      <c r="B2140" s="128" t="s">
        <v>138</v>
      </c>
      <c r="C2140" s="128" t="s">
        <v>26</v>
      </c>
      <c r="D2140" s="128" t="s">
        <v>76</v>
      </c>
      <c r="E2140" s="128" t="s">
        <v>132</v>
      </c>
      <c r="F2140" s="128">
        <v>0</v>
      </c>
      <c r="G2140" s="128">
        <v>0</v>
      </c>
      <c r="H2140" s="128">
        <v>0</v>
      </c>
      <c r="I2140" s="128">
        <v>0</v>
      </c>
    </row>
    <row r="2141" spans="1:9" ht="13.5">
      <c r="A2141" s="128">
        <v>2000</v>
      </c>
      <c r="B2141" s="128" t="s">
        <v>138</v>
      </c>
      <c r="C2141" s="128" t="s">
        <v>26</v>
      </c>
      <c r="D2141" s="128" t="s">
        <v>76</v>
      </c>
      <c r="E2141" s="128" t="s">
        <v>133</v>
      </c>
      <c r="F2141" s="128">
        <v>0</v>
      </c>
      <c r="G2141" s="128">
        <v>0</v>
      </c>
      <c r="H2141" s="128">
        <v>0</v>
      </c>
      <c r="I2141" s="128">
        <v>0</v>
      </c>
    </row>
    <row r="2142" spans="1:9" ht="13.5">
      <c r="A2142" s="128">
        <v>2000</v>
      </c>
      <c r="B2142" s="128" t="s">
        <v>138</v>
      </c>
      <c r="C2142" s="128" t="s">
        <v>26</v>
      </c>
      <c r="D2142" s="128" t="s">
        <v>76</v>
      </c>
      <c r="E2142" s="128" t="s">
        <v>134</v>
      </c>
      <c r="F2142" s="128">
        <v>0</v>
      </c>
      <c r="G2142" s="128">
        <v>0</v>
      </c>
      <c r="H2142" s="128">
        <v>0</v>
      </c>
      <c r="I2142" s="128">
        <v>0</v>
      </c>
    </row>
    <row r="2143" spans="1:9" ht="13.5">
      <c r="A2143" s="128">
        <v>2000</v>
      </c>
      <c r="B2143" s="128" t="s">
        <v>138</v>
      </c>
      <c r="C2143" s="128" t="s">
        <v>26</v>
      </c>
      <c r="D2143" s="128" t="s">
        <v>76</v>
      </c>
      <c r="E2143" s="128" t="s">
        <v>135</v>
      </c>
      <c r="F2143" s="128">
        <v>0</v>
      </c>
      <c r="G2143" s="128">
        <v>0</v>
      </c>
      <c r="H2143" s="128">
        <v>0</v>
      </c>
      <c r="I2143" s="128">
        <v>0</v>
      </c>
    </row>
    <row r="2144" spans="1:9" ht="13.5">
      <c r="A2144" s="128">
        <v>2000</v>
      </c>
      <c r="B2144" s="128" t="s">
        <v>138</v>
      </c>
      <c r="C2144" s="128" t="s">
        <v>26</v>
      </c>
      <c r="D2144" s="128" t="s">
        <v>76</v>
      </c>
      <c r="E2144" s="128" t="s">
        <v>136</v>
      </c>
      <c r="F2144" s="128">
        <v>0</v>
      </c>
      <c r="G2144" s="128">
        <v>0</v>
      </c>
      <c r="H2144" s="128">
        <v>0</v>
      </c>
      <c r="I2144" s="128">
        <v>0</v>
      </c>
    </row>
    <row r="2145" spans="1:9" ht="13.5">
      <c r="A2145" s="128">
        <v>2000</v>
      </c>
      <c r="B2145" s="128" t="s">
        <v>138</v>
      </c>
      <c r="C2145" s="128" t="s">
        <v>20</v>
      </c>
      <c r="D2145" s="128" t="s">
        <v>77</v>
      </c>
      <c r="E2145" s="128" t="s">
        <v>132</v>
      </c>
      <c r="F2145" s="128">
        <v>0</v>
      </c>
      <c r="G2145" s="128">
        <v>0</v>
      </c>
      <c r="H2145" s="128">
        <v>0</v>
      </c>
      <c r="I2145" s="128">
        <v>0</v>
      </c>
    </row>
    <row r="2146" spans="1:9" ht="13.5">
      <c r="A2146" s="128">
        <v>2000</v>
      </c>
      <c r="B2146" s="128" t="s">
        <v>138</v>
      </c>
      <c r="C2146" s="128" t="s">
        <v>20</v>
      </c>
      <c r="D2146" s="128" t="s">
        <v>77</v>
      </c>
      <c r="E2146" s="128" t="s">
        <v>133</v>
      </c>
      <c r="F2146" s="128">
        <v>0</v>
      </c>
      <c r="G2146" s="128">
        <v>0</v>
      </c>
      <c r="H2146" s="128">
        <v>0</v>
      </c>
      <c r="I2146" s="128">
        <v>0</v>
      </c>
    </row>
    <row r="2147" spans="1:9" ht="13.5">
      <c r="A2147" s="128">
        <v>2000</v>
      </c>
      <c r="B2147" s="128" t="s">
        <v>138</v>
      </c>
      <c r="C2147" s="128" t="s">
        <v>20</v>
      </c>
      <c r="D2147" s="128" t="s">
        <v>77</v>
      </c>
      <c r="E2147" s="128" t="s">
        <v>134</v>
      </c>
      <c r="F2147" s="128">
        <v>0</v>
      </c>
      <c r="G2147" s="128">
        <v>0</v>
      </c>
      <c r="H2147" s="128">
        <v>0</v>
      </c>
      <c r="I2147" s="128">
        <v>0</v>
      </c>
    </row>
    <row r="2148" spans="1:9" ht="13.5">
      <c r="A2148" s="128">
        <v>2000</v>
      </c>
      <c r="B2148" s="128" t="s">
        <v>138</v>
      </c>
      <c r="C2148" s="128" t="s">
        <v>20</v>
      </c>
      <c r="D2148" s="128" t="s">
        <v>77</v>
      </c>
      <c r="E2148" s="128" t="s">
        <v>135</v>
      </c>
      <c r="F2148" s="128">
        <v>0</v>
      </c>
      <c r="G2148" s="128">
        <v>0</v>
      </c>
      <c r="H2148" s="128">
        <v>0</v>
      </c>
      <c r="I2148" s="128">
        <v>0</v>
      </c>
    </row>
    <row r="2149" spans="1:9" ht="13.5">
      <c r="A2149" s="128">
        <v>2000</v>
      </c>
      <c r="B2149" s="128" t="s">
        <v>138</v>
      </c>
      <c r="C2149" s="128" t="s">
        <v>20</v>
      </c>
      <c r="D2149" s="128" t="s">
        <v>79</v>
      </c>
      <c r="E2149" s="128" t="s">
        <v>132</v>
      </c>
      <c r="F2149" s="128">
        <v>0</v>
      </c>
      <c r="G2149" s="128">
        <v>0</v>
      </c>
      <c r="H2149" s="128">
        <v>0</v>
      </c>
      <c r="I2149" s="128">
        <v>0</v>
      </c>
    </row>
    <row r="2150" spans="1:9" ht="13.5">
      <c r="A2150" s="128">
        <v>2000</v>
      </c>
      <c r="B2150" s="128" t="s">
        <v>138</v>
      </c>
      <c r="C2150" s="128" t="s">
        <v>20</v>
      </c>
      <c r="D2150" s="128" t="s">
        <v>79</v>
      </c>
      <c r="E2150" s="128" t="s">
        <v>133</v>
      </c>
      <c r="F2150" s="128">
        <v>0</v>
      </c>
      <c r="G2150" s="128">
        <v>0</v>
      </c>
      <c r="H2150" s="128">
        <v>0</v>
      </c>
      <c r="I2150" s="128">
        <v>0</v>
      </c>
    </row>
    <row r="2151" spans="1:9" ht="13.5">
      <c r="A2151" s="128">
        <v>2000</v>
      </c>
      <c r="B2151" s="128" t="s">
        <v>138</v>
      </c>
      <c r="C2151" s="128" t="s">
        <v>20</v>
      </c>
      <c r="D2151" s="128" t="s">
        <v>79</v>
      </c>
      <c r="E2151" s="128" t="s">
        <v>134</v>
      </c>
      <c r="F2151" s="128">
        <v>0</v>
      </c>
      <c r="G2151" s="128">
        <v>0</v>
      </c>
      <c r="H2151" s="128">
        <v>0</v>
      </c>
      <c r="I2151" s="128">
        <v>0</v>
      </c>
    </row>
    <row r="2152" spans="1:9" ht="13.5">
      <c r="A2152" s="128">
        <v>2000</v>
      </c>
      <c r="B2152" s="128" t="s">
        <v>138</v>
      </c>
      <c r="C2152" s="128" t="s">
        <v>20</v>
      </c>
      <c r="D2152" s="128" t="s">
        <v>79</v>
      </c>
      <c r="E2152" s="128" t="s">
        <v>135</v>
      </c>
      <c r="F2152" s="128">
        <v>0</v>
      </c>
      <c r="G2152" s="128">
        <v>0</v>
      </c>
      <c r="H2152" s="128">
        <v>0</v>
      </c>
      <c r="I2152" s="128">
        <v>0</v>
      </c>
    </row>
    <row r="2153" spans="1:9" ht="13.5">
      <c r="A2153" s="128">
        <v>2000</v>
      </c>
      <c r="B2153" s="128" t="s">
        <v>138</v>
      </c>
      <c r="C2153" s="128" t="s">
        <v>20</v>
      </c>
      <c r="D2153" s="128" t="s">
        <v>79</v>
      </c>
      <c r="E2153" s="128" t="s">
        <v>136</v>
      </c>
      <c r="F2153" s="128">
        <v>0</v>
      </c>
      <c r="G2153" s="128">
        <v>0</v>
      </c>
      <c r="H2153" s="128">
        <v>0</v>
      </c>
      <c r="I2153" s="128">
        <v>0</v>
      </c>
    </row>
    <row r="2154" spans="1:9" ht="13.5">
      <c r="A2154" s="128">
        <v>2000</v>
      </c>
      <c r="B2154" s="128" t="s">
        <v>138</v>
      </c>
      <c r="C2154" s="128" t="s">
        <v>20</v>
      </c>
      <c r="D2154" s="128" t="s">
        <v>76</v>
      </c>
      <c r="E2154" s="128" t="s">
        <v>132</v>
      </c>
      <c r="F2154" s="128">
        <v>0</v>
      </c>
      <c r="G2154" s="128">
        <v>0</v>
      </c>
      <c r="H2154" s="128">
        <v>0</v>
      </c>
      <c r="I2154" s="128">
        <v>0</v>
      </c>
    </row>
    <row r="2155" spans="1:9" ht="13.5">
      <c r="A2155" s="128">
        <v>2000</v>
      </c>
      <c r="B2155" s="128" t="s">
        <v>138</v>
      </c>
      <c r="C2155" s="128" t="s">
        <v>20</v>
      </c>
      <c r="D2155" s="128" t="s">
        <v>76</v>
      </c>
      <c r="E2155" s="128" t="s">
        <v>133</v>
      </c>
      <c r="F2155" s="128">
        <v>0</v>
      </c>
      <c r="G2155" s="128">
        <v>0</v>
      </c>
      <c r="H2155" s="128">
        <v>0</v>
      </c>
      <c r="I2155" s="128">
        <v>0</v>
      </c>
    </row>
    <row r="2156" spans="1:9" ht="13.5">
      <c r="A2156" s="128">
        <v>2000</v>
      </c>
      <c r="B2156" s="128" t="s">
        <v>138</v>
      </c>
      <c r="C2156" s="128" t="s">
        <v>20</v>
      </c>
      <c r="D2156" s="128" t="s">
        <v>76</v>
      </c>
      <c r="E2156" s="128" t="s">
        <v>134</v>
      </c>
      <c r="F2156" s="128">
        <v>0</v>
      </c>
      <c r="G2156" s="128">
        <v>0</v>
      </c>
      <c r="H2156" s="128">
        <v>0</v>
      </c>
      <c r="I2156" s="128">
        <v>0</v>
      </c>
    </row>
    <row r="2157" spans="1:9" ht="13.5">
      <c r="A2157" s="128">
        <v>2000</v>
      </c>
      <c r="B2157" s="128" t="s">
        <v>138</v>
      </c>
      <c r="C2157" s="128" t="s">
        <v>20</v>
      </c>
      <c r="D2157" s="128" t="s">
        <v>76</v>
      </c>
      <c r="E2157" s="128" t="s">
        <v>135</v>
      </c>
      <c r="F2157" s="128">
        <v>0</v>
      </c>
      <c r="G2157" s="128">
        <v>0</v>
      </c>
      <c r="H2157" s="128">
        <v>0</v>
      </c>
      <c r="I2157" s="128">
        <v>0</v>
      </c>
    </row>
    <row r="2158" spans="1:9" ht="13.5">
      <c r="A2158" s="128">
        <v>2000</v>
      </c>
      <c r="B2158" s="128" t="s">
        <v>138</v>
      </c>
      <c r="C2158" s="128" t="s">
        <v>20</v>
      </c>
      <c r="D2158" s="128" t="s">
        <v>76</v>
      </c>
      <c r="E2158" s="128" t="s">
        <v>136</v>
      </c>
      <c r="F2158" s="128">
        <v>0</v>
      </c>
      <c r="G2158" s="128">
        <v>0</v>
      </c>
      <c r="H2158" s="128">
        <v>0</v>
      </c>
      <c r="I2158" s="128">
        <v>0</v>
      </c>
    </row>
    <row r="2159" spans="1:9" ht="13.5">
      <c r="A2159" s="128">
        <v>2000</v>
      </c>
      <c r="B2159" s="128" t="s">
        <v>138</v>
      </c>
      <c r="C2159" s="128" t="s">
        <v>27</v>
      </c>
      <c r="D2159" s="128" t="s">
        <v>77</v>
      </c>
      <c r="E2159" s="128" t="s">
        <v>132</v>
      </c>
      <c r="F2159" s="128">
        <v>0</v>
      </c>
      <c r="G2159" s="128">
        <v>0</v>
      </c>
      <c r="H2159" s="128">
        <v>0</v>
      </c>
      <c r="I2159" s="128">
        <v>0</v>
      </c>
    </row>
    <row r="2160" spans="1:9" ht="13.5">
      <c r="A2160" s="128">
        <v>2000</v>
      </c>
      <c r="B2160" s="128" t="s">
        <v>138</v>
      </c>
      <c r="C2160" s="128" t="s">
        <v>27</v>
      </c>
      <c r="D2160" s="128" t="s">
        <v>77</v>
      </c>
      <c r="E2160" s="128" t="s">
        <v>133</v>
      </c>
      <c r="F2160" s="128">
        <v>0</v>
      </c>
      <c r="G2160" s="128">
        <v>0</v>
      </c>
      <c r="H2160" s="128">
        <v>0</v>
      </c>
      <c r="I2160" s="128">
        <v>0</v>
      </c>
    </row>
    <row r="2161" spans="1:9" ht="13.5">
      <c r="A2161" s="128">
        <v>2000</v>
      </c>
      <c r="B2161" s="128" t="s">
        <v>138</v>
      </c>
      <c r="C2161" s="128" t="s">
        <v>27</v>
      </c>
      <c r="D2161" s="128" t="s">
        <v>77</v>
      </c>
      <c r="E2161" s="128" t="s">
        <v>134</v>
      </c>
      <c r="F2161" s="128">
        <v>0</v>
      </c>
      <c r="G2161" s="128">
        <v>0</v>
      </c>
      <c r="H2161" s="128">
        <v>0</v>
      </c>
      <c r="I2161" s="128">
        <v>0</v>
      </c>
    </row>
    <row r="2162" spans="1:9" ht="13.5">
      <c r="A2162" s="128">
        <v>2000</v>
      </c>
      <c r="B2162" s="128" t="s">
        <v>138</v>
      </c>
      <c r="C2162" s="128" t="s">
        <v>27</v>
      </c>
      <c r="D2162" s="128" t="s">
        <v>77</v>
      </c>
      <c r="E2162" s="128" t="s">
        <v>135</v>
      </c>
      <c r="F2162" s="128">
        <v>0</v>
      </c>
      <c r="G2162" s="128">
        <v>0</v>
      </c>
      <c r="H2162" s="128">
        <v>0</v>
      </c>
      <c r="I2162" s="128">
        <v>0</v>
      </c>
    </row>
    <row r="2163" spans="1:9" ht="13.5">
      <c r="A2163" s="128">
        <v>2000</v>
      </c>
      <c r="B2163" s="128" t="s">
        <v>138</v>
      </c>
      <c r="C2163" s="128" t="s">
        <v>27</v>
      </c>
      <c r="D2163" s="128" t="s">
        <v>79</v>
      </c>
      <c r="E2163" s="128" t="s">
        <v>132</v>
      </c>
      <c r="F2163" s="128">
        <v>0</v>
      </c>
      <c r="G2163" s="128">
        <v>0</v>
      </c>
      <c r="H2163" s="128">
        <v>0</v>
      </c>
      <c r="I2163" s="128">
        <v>0</v>
      </c>
    </row>
    <row r="2164" spans="1:9" ht="13.5">
      <c r="A2164" s="128">
        <v>2000</v>
      </c>
      <c r="B2164" s="128" t="s">
        <v>138</v>
      </c>
      <c r="C2164" s="128" t="s">
        <v>27</v>
      </c>
      <c r="D2164" s="128" t="s">
        <v>79</v>
      </c>
      <c r="E2164" s="128" t="s">
        <v>133</v>
      </c>
      <c r="F2164" s="128">
        <v>0</v>
      </c>
      <c r="G2164" s="128">
        <v>0</v>
      </c>
      <c r="H2164" s="128">
        <v>0</v>
      </c>
      <c r="I2164" s="128">
        <v>0</v>
      </c>
    </row>
    <row r="2165" spans="1:9" ht="13.5">
      <c r="A2165" s="128">
        <v>2000</v>
      </c>
      <c r="B2165" s="128" t="s">
        <v>138</v>
      </c>
      <c r="C2165" s="128" t="s">
        <v>27</v>
      </c>
      <c r="D2165" s="128" t="s">
        <v>79</v>
      </c>
      <c r="E2165" s="128" t="s">
        <v>134</v>
      </c>
      <c r="F2165" s="128">
        <v>0</v>
      </c>
      <c r="G2165" s="128">
        <v>0</v>
      </c>
      <c r="H2165" s="128">
        <v>0</v>
      </c>
      <c r="I2165" s="128">
        <v>0</v>
      </c>
    </row>
    <row r="2166" spans="1:9" ht="13.5">
      <c r="A2166" s="128">
        <v>2000</v>
      </c>
      <c r="B2166" s="128" t="s">
        <v>138</v>
      </c>
      <c r="C2166" s="128" t="s">
        <v>27</v>
      </c>
      <c r="D2166" s="128" t="s">
        <v>79</v>
      </c>
      <c r="E2166" s="128" t="s">
        <v>135</v>
      </c>
      <c r="F2166" s="128">
        <v>0</v>
      </c>
      <c r="G2166" s="128">
        <v>0</v>
      </c>
      <c r="H2166" s="128">
        <v>0</v>
      </c>
      <c r="I2166" s="128">
        <v>0</v>
      </c>
    </row>
    <row r="2167" spans="1:9" ht="13.5">
      <c r="A2167" s="128">
        <v>2000</v>
      </c>
      <c r="B2167" s="128" t="s">
        <v>138</v>
      </c>
      <c r="C2167" s="128" t="s">
        <v>27</v>
      </c>
      <c r="D2167" s="128" t="s">
        <v>79</v>
      </c>
      <c r="E2167" s="128" t="s">
        <v>136</v>
      </c>
      <c r="F2167" s="128">
        <v>0</v>
      </c>
      <c r="G2167" s="128">
        <v>0</v>
      </c>
      <c r="H2167" s="128">
        <v>0</v>
      </c>
      <c r="I2167" s="128">
        <v>0</v>
      </c>
    </row>
    <row r="2168" spans="1:9" ht="13.5">
      <c r="A2168" s="128">
        <v>2000</v>
      </c>
      <c r="B2168" s="128" t="s">
        <v>138</v>
      </c>
      <c r="C2168" s="128" t="s">
        <v>27</v>
      </c>
      <c r="D2168" s="128" t="s">
        <v>76</v>
      </c>
      <c r="E2168" s="128" t="s">
        <v>132</v>
      </c>
      <c r="F2168" s="128">
        <v>0</v>
      </c>
      <c r="G2168" s="128">
        <v>0</v>
      </c>
      <c r="H2168" s="128">
        <v>0</v>
      </c>
      <c r="I2168" s="128">
        <v>0</v>
      </c>
    </row>
    <row r="2169" spans="1:9" ht="13.5">
      <c r="A2169" s="128">
        <v>2000</v>
      </c>
      <c r="B2169" s="128" t="s">
        <v>138</v>
      </c>
      <c r="C2169" s="128" t="s">
        <v>27</v>
      </c>
      <c r="D2169" s="128" t="s">
        <v>76</v>
      </c>
      <c r="E2169" s="128" t="s">
        <v>133</v>
      </c>
      <c r="F2169" s="128">
        <v>0</v>
      </c>
      <c r="G2169" s="128">
        <v>0</v>
      </c>
      <c r="H2169" s="128">
        <v>0</v>
      </c>
      <c r="I2169" s="128">
        <v>0</v>
      </c>
    </row>
    <row r="2170" spans="1:9" ht="13.5">
      <c r="A2170" s="128">
        <v>2000</v>
      </c>
      <c r="B2170" s="128" t="s">
        <v>138</v>
      </c>
      <c r="C2170" s="128" t="s">
        <v>27</v>
      </c>
      <c r="D2170" s="128" t="s">
        <v>76</v>
      </c>
      <c r="E2170" s="128" t="s">
        <v>134</v>
      </c>
      <c r="F2170" s="128">
        <v>0</v>
      </c>
      <c r="G2170" s="128">
        <v>0</v>
      </c>
      <c r="H2170" s="128">
        <v>0</v>
      </c>
      <c r="I2170" s="128">
        <v>0</v>
      </c>
    </row>
    <row r="2171" spans="1:9" ht="13.5">
      <c r="A2171" s="128">
        <v>2000</v>
      </c>
      <c r="B2171" s="128" t="s">
        <v>138</v>
      </c>
      <c r="C2171" s="128" t="s">
        <v>27</v>
      </c>
      <c r="D2171" s="128" t="s">
        <v>76</v>
      </c>
      <c r="E2171" s="128" t="s">
        <v>135</v>
      </c>
      <c r="F2171" s="128">
        <v>0</v>
      </c>
      <c r="G2171" s="128">
        <v>0</v>
      </c>
      <c r="H2171" s="128">
        <v>0</v>
      </c>
      <c r="I2171" s="128">
        <v>0</v>
      </c>
    </row>
    <row r="2172" spans="1:9" ht="13.5">
      <c r="A2172" s="128">
        <v>2000</v>
      </c>
      <c r="B2172" s="128" t="s">
        <v>138</v>
      </c>
      <c r="C2172" s="128" t="s">
        <v>27</v>
      </c>
      <c r="D2172" s="128" t="s">
        <v>76</v>
      </c>
      <c r="E2172" s="128" t="s">
        <v>136</v>
      </c>
      <c r="F2172" s="128">
        <v>0</v>
      </c>
      <c r="G2172" s="128">
        <v>0</v>
      </c>
      <c r="H2172" s="128">
        <v>0</v>
      </c>
      <c r="I2172" s="128">
        <v>0</v>
      </c>
    </row>
    <row r="2173" spans="1:9" ht="13.5">
      <c r="A2173" s="128">
        <v>2000</v>
      </c>
      <c r="B2173" s="128" t="s">
        <v>138</v>
      </c>
      <c r="C2173" s="128" t="s">
        <v>22</v>
      </c>
      <c r="D2173" s="128" t="s">
        <v>77</v>
      </c>
      <c r="E2173" s="128" t="s">
        <v>132</v>
      </c>
      <c r="F2173" s="128">
        <v>0</v>
      </c>
      <c r="G2173" s="128">
        <v>0</v>
      </c>
      <c r="H2173" s="128">
        <v>0</v>
      </c>
      <c r="I2173" s="128">
        <v>0</v>
      </c>
    </row>
    <row r="2174" spans="1:9" ht="13.5">
      <c r="A2174" s="128">
        <v>2000</v>
      </c>
      <c r="B2174" s="128" t="s">
        <v>138</v>
      </c>
      <c r="C2174" s="128" t="s">
        <v>22</v>
      </c>
      <c r="D2174" s="128" t="s">
        <v>77</v>
      </c>
      <c r="E2174" s="128" t="s">
        <v>133</v>
      </c>
      <c r="F2174" s="128">
        <v>0</v>
      </c>
      <c r="G2174" s="128">
        <v>0</v>
      </c>
      <c r="H2174" s="128">
        <v>0</v>
      </c>
      <c r="I2174" s="128">
        <v>0</v>
      </c>
    </row>
    <row r="2175" spans="1:9" ht="13.5">
      <c r="A2175" s="128">
        <v>2000</v>
      </c>
      <c r="B2175" s="128" t="s">
        <v>138</v>
      </c>
      <c r="C2175" s="128" t="s">
        <v>22</v>
      </c>
      <c r="D2175" s="128" t="s">
        <v>77</v>
      </c>
      <c r="E2175" s="128" t="s">
        <v>134</v>
      </c>
      <c r="F2175" s="128">
        <v>0</v>
      </c>
      <c r="G2175" s="128">
        <v>0</v>
      </c>
      <c r="H2175" s="128">
        <v>0</v>
      </c>
      <c r="I2175" s="128">
        <v>0</v>
      </c>
    </row>
    <row r="2176" spans="1:9" ht="13.5">
      <c r="A2176" s="128">
        <v>2000</v>
      </c>
      <c r="B2176" s="128" t="s">
        <v>138</v>
      </c>
      <c r="C2176" s="128" t="s">
        <v>22</v>
      </c>
      <c r="D2176" s="128" t="s">
        <v>77</v>
      </c>
      <c r="E2176" s="128" t="s">
        <v>135</v>
      </c>
      <c r="F2176" s="128">
        <v>0</v>
      </c>
      <c r="G2176" s="128">
        <v>0</v>
      </c>
      <c r="H2176" s="128">
        <v>0</v>
      </c>
      <c r="I2176" s="128">
        <v>0</v>
      </c>
    </row>
    <row r="2177" spans="1:9" ht="13.5">
      <c r="A2177" s="128">
        <v>2000</v>
      </c>
      <c r="B2177" s="128" t="s">
        <v>138</v>
      </c>
      <c r="C2177" s="128" t="s">
        <v>22</v>
      </c>
      <c r="D2177" s="128" t="s">
        <v>79</v>
      </c>
      <c r="E2177" s="128" t="s">
        <v>132</v>
      </c>
      <c r="F2177" s="128">
        <v>0</v>
      </c>
      <c r="G2177" s="128">
        <v>0</v>
      </c>
      <c r="H2177" s="128">
        <v>0</v>
      </c>
      <c r="I2177" s="128">
        <v>0</v>
      </c>
    </row>
    <row r="2178" spans="1:9" ht="13.5">
      <c r="A2178" s="128">
        <v>2000</v>
      </c>
      <c r="B2178" s="128" t="s">
        <v>138</v>
      </c>
      <c r="C2178" s="128" t="s">
        <v>22</v>
      </c>
      <c r="D2178" s="128" t="s">
        <v>79</v>
      </c>
      <c r="E2178" s="128" t="s">
        <v>133</v>
      </c>
      <c r="F2178" s="128">
        <v>0</v>
      </c>
      <c r="G2178" s="128">
        <v>0</v>
      </c>
      <c r="H2178" s="128">
        <v>0</v>
      </c>
      <c r="I2178" s="128">
        <v>0</v>
      </c>
    </row>
    <row r="2179" spans="1:9" ht="13.5">
      <c r="A2179" s="128">
        <v>2000</v>
      </c>
      <c r="B2179" s="128" t="s">
        <v>138</v>
      </c>
      <c r="C2179" s="128" t="s">
        <v>22</v>
      </c>
      <c r="D2179" s="128" t="s">
        <v>79</v>
      </c>
      <c r="E2179" s="128" t="s">
        <v>134</v>
      </c>
      <c r="F2179" s="128">
        <v>0</v>
      </c>
      <c r="G2179" s="128">
        <v>0</v>
      </c>
      <c r="H2179" s="128">
        <v>0</v>
      </c>
      <c r="I2179" s="128">
        <v>0</v>
      </c>
    </row>
    <row r="2180" spans="1:9" ht="13.5">
      <c r="A2180" s="128">
        <v>2000</v>
      </c>
      <c r="B2180" s="128" t="s">
        <v>138</v>
      </c>
      <c r="C2180" s="128" t="s">
        <v>22</v>
      </c>
      <c r="D2180" s="128" t="s">
        <v>79</v>
      </c>
      <c r="E2180" s="128" t="s">
        <v>135</v>
      </c>
      <c r="F2180" s="128">
        <v>0</v>
      </c>
      <c r="G2180" s="128">
        <v>0</v>
      </c>
      <c r="H2180" s="128">
        <v>0</v>
      </c>
      <c r="I2180" s="128">
        <v>0</v>
      </c>
    </row>
    <row r="2181" spans="1:9" ht="13.5">
      <c r="A2181" s="128">
        <v>2000</v>
      </c>
      <c r="B2181" s="128" t="s">
        <v>138</v>
      </c>
      <c r="C2181" s="128" t="s">
        <v>22</v>
      </c>
      <c r="D2181" s="128" t="s">
        <v>79</v>
      </c>
      <c r="E2181" s="128" t="s">
        <v>136</v>
      </c>
      <c r="F2181" s="128">
        <v>0</v>
      </c>
      <c r="G2181" s="128">
        <v>0</v>
      </c>
      <c r="H2181" s="128">
        <v>0</v>
      </c>
      <c r="I2181" s="128">
        <v>0</v>
      </c>
    </row>
    <row r="2182" spans="1:9" ht="13.5">
      <c r="A2182" s="128">
        <v>2000</v>
      </c>
      <c r="B2182" s="128" t="s">
        <v>138</v>
      </c>
      <c r="C2182" s="128" t="s">
        <v>22</v>
      </c>
      <c r="D2182" s="128" t="s">
        <v>76</v>
      </c>
      <c r="E2182" s="128" t="s">
        <v>132</v>
      </c>
      <c r="F2182" s="128">
        <v>0</v>
      </c>
      <c r="G2182" s="128">
        <v>0</v>
      </c>
      <c r="H2182" s="128">
        <v>0</v>
      </c>
      <c r="I2182" s="128">
        <v>0</v>
      </c>
    </row>
    <row r="2183" spans="1:9" ht="13.5">
      <c r="A2183" s="128">
        <v>2000</v>
      </c>
      <c r="B2183" s="128" t="s">
        <v>138</v>
      </c>
      <c r="C2183" s="128" t="s">
        <v>22</v>
      </c>
      <c r="D2183" s="128" t="s">
        <v>76</v>
      </c>
      <c r="E2183" s="128" t="s">
        <v>133</v>
      </c>
      <c r="F2183" s="128">
        <v>0</v>
      </c>
      <c r="G2183" s="128">
        <v>0</v>
      </c>
      <c r="H2183" s="128">
        <v>0</v>
      </c>
      <c r="I2183" s="128">
        <v>0</v>
      </c>
    </row>
    <row r="2184" spans="1:9" ht="13.5">
      <c r="A2184" s="128">
        <v>2000</v>
      </c>
      <c r="B2184" s="128" t="s">
        <v>138</v>
      </c>
      <c r="C2184" s="128" t="s">
        <v>22</v>
      </c>
      <c r="D2184" s="128" t="s">
        <v>76</v>
      </c>
      <c r="E2184" s="128" t="s">
        <v>134</v>
      </c>
      <c r="F2184" s="128">
        <v>0</v>
      </c>
      <c r="G2184" s="128">
        <v>0</v>
      </c>
      <c r="H2184" s="128">
        <v>0</v>
      </c>
      <c r="I2184" s="128">
        <v>0</v>
      </c>
    </row>
    <row r="2185" spans="1:9" ht="13.5">
      <c r="A2185" s="128">
        <v>2000</v>
      </c>
      <c r="B2185" s="128" t="s">
        <v>138</v>
      </c>
      <c r="C2185" s="128" t="s">
        <v>22</v>
      </c>
      <c r="D2185" s="128" t="s">
        <v>76</v>
      </c>
      <c r="E2185" s="128" t="s">
        <v>135</v>
      </c>
      <c r="F2185" s="128">
        <v>0</v>
      </c>
      <c r="G2185" s="128">
        <v>0</v>
      </c>
      <c r="H2185" s="128">
        <v>0</v>
      </c>
      <c r="I2185" s="128">
        <v>0</v>
      </c>
    </row>
    <row r="2186" spans="1:9" ht="13.5">
      <c r="A2186" s="128">
        <v>2000</v>
      </c>
      <c r="B2186" s="128" t="s">
        <v>138</v>
      </c>
      <c r="C2186" s="128" t="s">
        <v>22</v>
      </c>
      <c r="D2186" s="128" t="s">
        <v>76</v>
      </c>
      <c r="E2186" s="128" t="s">
        <v>136</v>
      </c>
      <c r="F2186" s="128">
        <v>0</v>
      </c>
      <c r="G2186" s="128">
        <v>0</v>
      </c>
      <c r="H2186" s="128">
        <v>0</v>
      </c>
      <c r="I2186" s="128">
        <v>0</v>
      </c>
    </row>
    <row r="2187" spans="1:9" ht="13.5">
      <c r="A2187" s="128">
        <v>2000</v>
      </c>
      <c r="B2187" s="128" t="s">
        <v>138</v>
      </c>
      <c r="C2187" s="128" t="s">
        <v>23</v>
      </c>
      <c r="D2187" s="128" t="s">
        <v>77</v>
      </c>
      <c r="E2187" s="128" t="s">
        <v>132</v>
      </c>
      <c r="F2187" s="128">
        <v>0</v>
      </c>
      <c r="G2187" s="128">
        <v>0</v>
      </c>
      <c r="H2187" s="128">
        <v>0</v>
      </c>
      <c r="I2187" s="128">
        <v>0</v>
      </c>
    </row>
    <row r="2188" spans="1:9" ht="13.5">
      <c r="A2188" s="128">
        <v>2000</v>
      </c>
      <c r="B2188" s="128" t="s">
        <v>138</v>
      </c>
      <c r="C2188" s="128" t="s">
        <v>23</v>
      </c>
      <c r="D2188" s="128" t="s">
        <v>77</v>
      </c>
      <c r="E2188" s="128" t="s">
        <v>133</v>
      </c>
      <c r="F2188" s="128">
        <v>0</v>
      </c>
      <c r="G2188" s="128">
        <v>0</v>
      </c>
      <c r="H2188" s="128">
        <v>0</v>
      </c>
      <c r="I2188" s="128">
        <v>0</v>
      </c>
    </row>
    <row r="2189" spans="1:9" ht="13.5">
      <c r="A2189" s="128">
        <v>2000</v>
      </c>
      <c r="B2189" s="128" t="s">
        <v>138</v>
      </c>
      <c r="C2189" s="128" t="s">
        <v>23</v>
      </c>
      <c r="D2189" s="128" t="s">
        <v>77</v>
      </c>
      <c r="E2189" s="128" t="s">
        <v>134</v>
      </c>
      <c r="F2189" s="128">
        <v>0</v>
      </c>
      <c r="G2189" s="128">
        <v>0</v>
      </c>
      <c r="H2189" s="128">
        <v>0</v>
      </c>
      <c r="I2189" s="128">
        <v>0</v>
      </c>
    </row>
    <row r="2190" spans="1:9" ht="13.5">
      <c r="A2190" s="128">
        <v>2000</v>
      </c>
      <c r="B2190" s="128" t="s">
        <v>138</v>
      </c>
      <c r="C2190" s="128" t="s">
        <v>23</v>
      </c>
      <c r="D2190" s="128" t="s">
        <v>77</v>
      </c>
      <c r="E2190" s="128" t="s">
        <v>135</v>
      </c>
      <c r="F2190" s="128">
        <v>0</v>
      </c>
      <c r="G2190" s="128">
        <v>0</v>
      </c>
      <c r="H2190" s="128">
        <v>0</v>
      </c>
      <c r="I2190" s="128">
        <v>0</v>
      </c>
    </row>
    <row r="2191" spans="1:9" ht="13.5">
      <c r="A2191" s="128">
        <v>2000</v>
      </c>
      <c r="B2191" s="128" t="s">
        <v>138</v>
      </c>
      <c r="C2191" s="128" t="s">
        <v>23</v>
      </c>
      <c r="D2191" s="128" t="s">
        <v>79</v>
      </c>
      <c r="E2191" s="128" t="s">
        <v>132</v>
      </c>
      <c r="F2191" s="128">
        <v>0</v>
      </c>
      <c r="G2191" s="128">
        <v>0</v>
      </c>
      <c r="H2191" s="128">
        <v>0</v>
      </c>
      <c r="I2191" s="128">
        <v>0</v>
      </c>
    </row>
    <row r="2192" spans="1:9" ht="13.5">
      <c r="A2192" s="128">
        <v>2000</v>
      </c>
      <c r="B2192" s="128" t="s">
        <v>138</v>
      </c>
      <c r="C2192" s="128" t="s">
        <v>23</v>
      </c>
      <c r="D2192" s="128" t="s">
        <v>79</v>
      </c>
      <c r="E2192" s="128" t="s">
        <v>133</v>
      </c>
      <c r="F2192" s="128">
        <v>0</v>
      </c>
      <c r="G2192" s="128">
        <v>0</v>
      </c>
      <c r="H2192" s="128">
        <v>0</v>
      </c>
      <c r="I2192" s="128">
        <v>0</v>
      </c>
    </row>
    <row r="2193" spans="1:9" ht="13.5">
      <c r="A2193" s="128">
        <v>2000</v>
      </c>
      <c r="B2193" s="128" t="s">
        <v>138</v>
      </c>
      <c r="C2193" s="128" t="s">
        <v>23</v>
      </c>
      <c r="D2193" s="128" t="s">
        <v>79</v>
      </c>
      <c r="E2193" s="128" t="s">
        <v>134</v>
      </c>
      <c r="F2193" s="128">
        <v>0</v>
      </c>
      <c r="G2193" s="128">
        <v>0</v>
      </c>
      <c r="H2193" s="128">
        <v>0</v>
      </c>
      <c r="I2193" s="128">
        <v>0</v>
      </c>
    </row>
    <row r="2194" spans="1:9" ht="13.5">
      <c r="A2194" s="128">
        <v>2000</v>
      </c>
      <c r="B2194" s="128" t="s">
        <v>138</v>
      </c>
      <c r="C2194" s="128" t="s">
        <v>23</v>
      </c>
      <c r="D2194" s="128" t="s">
        <v>79</v>
      </c>
      <c r="E2194" s="128" t="s">
        <v>135</v>
      </c>
      <c r="F2194" s="128">
        <v>0</v>
      </c>
      <c r="G2194" s="128">
        <v>0</v>
      </c>
      <c r="H2194" s="128">
        <v>0</v>
      </c>
      <c r="I2194" s="128">
        <v>0</v>
      </c>
    </row>
    <row r="2195" spans="1:9" ht="13.5">
      <c r="A2195" s="128">
        <v>2000</v>
      </c>
      <c r="B2195" s="128" t="s">
        <v>138</v>
      </c>
      <c r="C2195" s="128" t="s">
        <v>23</v>
      </c>
      <c r="D2195" s="128" t="s">
        <v>79</v>
      </c>
      <c r="E2195" s="128" t="s">
        <v>136</v>
      </c>
      <c r="F2195" s="128">
        <v>0</v>
      </c>
      <c r="G2195" s="128">
        <v>0</v>
      </c>
      <c r="H2195" s="128">
        <v>0</v>
      </c>
      <c r="I2195" s="128">
        <v>0</v>
      </c>
    </row>
    <row r="2196" spans="1:9" ht="13.5">
      <c r="A2196" s="128">
        <v>2000</v>
      </c>
      <c r="B2196" s="128" t="s">
        <v>138</v>
      </c>
      <c r="C2196" s="128" t="s">
        <v>23</v>
      </c>
      <c r="D2196" s="128" t="s">
        <v>76</v>
      </c>
      <c r="E2196" s="128" t="s">
        <v>132</v>
      </c>
      <c r="F2196" s="128">
        <v>0</v>
      </c>
      <c r="G2196" s="128">
        <v>0</v>
      </c>
      <c r="H2196" s="128">
        <v>0</v>
      </c>
      <c r="I2196" s="128">
        <v>0</v>
      </c>
    </row>
    <row r="2197" spans="1:9" ht="13.5">
      <c r="A2197" s="128">
        <v>2000</v>
      </c>
      <c r="B2197" s="128" t="s">
        <v>138</v>
      </c>
      <c r="C2197" s="128" t="s">
        <v>23</v>
      </c>
      <c r="D2197" s="128" t="s">
        <v>76</v>
      </c>
      <c r="E2197" s="128" t="s">
        <v>133</v>
      </c>
      <c r="F2197" s="128">
        <v>0</v>
      </c>
      <c r="G2197" s="128">
        <v>0</v>
      </c>
      <c r="H2197" s="128">
        <v>0</v>
      </c>
      <c r="I2197" s="128">
        <v>0</v>
      </c>
    </row>
    <row r="2198" spans="1:9" ht="13.5">
      <c r="A2198" s="128">
        <v>2000</v>
      </c>
      <c r="B2198" s="128" t="s">
        <v>138</v>
      </c>
      <c r="C2198" s="128" t="s">
        <v>23</v>
      </c>
      <c r="D2198" s="128" t="s">
        <v>76</v>
      </c>
      <c r="E2198" s="128" t="s">
        <v>134</v>
      </c>
      <c r="F2198" s="128">
        <v>0</v>
      </c>
      <c r="G2198" s="128">
        <v>0</v>
      </c>
      <c r="H2198" s="128">
        <v>0</v>
      </c>
      <c r="I2198" s="128">
        <v>0</v>
      </c>
    </row>
    <row r="2199" spans="1:9" ht="13.5">
      <c r="A2199" s="128">
        <v>2000</v>
      </c>
      <c r="B2199" s="128" t="s">
        <v>138</v>
      </c>
      <c r="C2199" s="128" t="s">
        <v>23</v>
      </c>
      <c r="D2199" s="128" t="s">
        <v>76</v>
      </c>
      <c r="E2199" s="128" t="s">
        <v>135</v>
      </c>
      <c r="F2199" s="128">
        <v>0</v>
      </c>
      <c r="G2199" s="128">
        <v>0</v>
      </c>
      <c r="H2199" s="128">
        <v>0</v>
      </c>
      <c r="I2199" s="128">
        <v>0</v>
      </c>
    </row>
    <row r="2200" spans="1:9" ht="13.5">
      <c r="A2200" s="128">
        <v>2000</v>
      </c>
      <c r="B2200" s="128" t="s">
        <v>138</v>
      </c>
      <c r="C2200" s="128" t="s">
        <v>23</v>
      </c>
      <c r="D2200" s="128" t="s">
        <v>76</v>
      </c>
      <c r="E2200" s="128" t="s">
        <v>136</v>
      </c>
      <c r="F2200" s="128">
        <v>0</v>
      </c>
      <c r="G2200" s="128">
        <v>0</v>
      </c>
      <c r="H2200" s="128">
        <v>0</v>
      </c>
      <c r="I2200" s="128">
        <v>0</v>
      </c>
    </row>
    <row r="2201" spans="1:9" ht="13.5">
      <c r="A2201" s="128">
        <v>2000</v>
      </c>
      <c r="B2201" s="128" t="s">
        <v>138</v>
      </c>
      <c r="C2201" s="128" t="s">
        <v>25</v>
      </c>
      <c r="D2201" s="128" t="s">
        <v>77</v>
      </c>
      <c r="E2201" s="128" t="s">
        <v>132</v>
      </c>
      <c r="F2201" s="128">
        <v>0</v>
      </c>
      <c r="G2201" s="128">
        <v>0</v>
      </c>
      <c r="H2201" s="128">
        <v>0</v>
      </c>
      <c r="I2201" s="128">
        <v>0</v>
      </c>
    </row>
    <row r="2202" spans="1:9" ht="13.5">
      <c r="A2202" s="128">
        <v>2000</v>
      </c>
      <c r="B2202" s="128" t="s">
        <v>138</v>
      </c>
      <c r="C2202" s="128" t="s">
        <v>25</v>
      </c>
      <c r="D2202" s="128" t="s">
        <v>77</v>
      </c>
      <c r="E2202" s="128" t="s">
        <v>133</v>
      </c>
      <c r="F2202" s="128">
        <v>0</v>
      </c>
      <c r="G2202" s="128">
        <v>0</v>
      </c>
      <c r="H2202" s="128">
        <v>0</v>
      </c>
      <c r="I2202" s="128">
        <v>0</v>
      </c>
    </row>
    <row r="2203" spans="1:9" ht="13.5">
      <c r="A2203" s="128">
        <v>2000</v>
      </c>
      <c r="B2203" s="128" t="s">
        <v>138</v>
      </c>
      <c r="C2203" s="128" t="s">
        <v>25</v>
      </c>
      <c r="D2203" s="128" t="s">
        <v>77</v>
      </c>
      <c r="E2203" s="128" t="s">
        <v>134</v>
      </c>
      <c r="F2203" s="128">
        <v>0</v>
      </c>
      <c r="G2203" s="128">
        <v>0</v>
      </c>
      <c r="H2203" s="128">
        <v>0</v>
      </c>
      <c r="I2203" s="128">
        <v>0</v>
      </c>
    </row>
    <row r="2204" spans="1:9" ht="13.5">
      <c r="A2204" s="128">
        <v>2000</v>
      </c>
      <c r="B2204" s="128" t="s">
        <v>138</v>
      </c>
      <c r="C2204" s="128" t="s">
        <v>25</v>
      </c>
      <c r="D2204" s="128" t="s">
        <v>77</v>
      </c>
      <c r="E2204" s="128" t="s">
        <v>135</v>
      </c>
      <c r="F2204" s="128">
        <v>0</v>
      </c>
      <c r="G2204" s="128">
        <v>0</v>
      </c>
      <c r="H2204" s="128">
        <v>0</v>
      </c>
      <c r="I2204" s="128">
        <v>0</v>
      </c>
    </row>
    <row r="2205" spans="1:9" ht="13.5">
      <c r="A2205" s="128">
        <v>2000</v>
      </c>
      <c r="B2205" s="128" t="s">
        <v>138</v>
      </c>
      <c r="C2205" s="128" t="s">
        <v>25</v>
      </c>
      <c r="D2205" s="128" t="s">
        <v>79</v>
      </c>
      <c r="E2205" s="128" t="s">
        <v>132</v>
      </c>
      <c r="F2205" s="128">
        <v>0</v>
      </c>
      <c r="G2205" s="128">
        <v>0</v>
      </c>
      <c r="H2205" s="128">
        <v>0</v>
      </c>
      <c r="I2205" s="128">
        <v>0</v>
      </c>
    </row>
    <row r="2206" spans="1:9" ht="13.5">
      <c r="A2206" s="128">
        <v>2000</v>
      </c>
      <c r="B2206" s="128" t="s">
        <v>138</v>
      </c>
      <c r="C2206" s="128" t="s">
        <v>25</v>
      </c>
      <c r="D2206" s="128" t="s">
        <v>79</v>
      </c>
      <c r="E2206" s="128" t="s">
        <v>133</v>
      </c>
      <c r="F2206" s="128">
        <v>0</v>
      </c>
      <c r="G2206" s="128">
        <v>0</v>
      </c>
      <c r="H2206" s="128">
        <v>0</v>
      </c>
      <c r="I2206" s="128">
        <v>0</v>
      </c>
    </row>
    <row r="2207" spans="1:9" ht="13.5">
      <c r="A2207" s="128">
        <v>2000</v>
      </c>
      <c r="B2207" s="128" t="s">
        <v>138</v>
      </c>
      <c r="C2207" s="128" t="s">
        <v>25</v>
      </c>
      <c r="D2207" s="128" t="s">
        <v>79</v>
      </c>
      <c r="E2207" s="128" t="s">
        <v>134</v>
      </c>
      <c r="F2207" s="128">
        <v>0</v>
      </c>
      <c r="G2207" s="128">
        <v>0</v>
      </c>
      <c r="H2207" s="128">
        <v>0</v>
      </c>
      <c r="I2207" s="128">
        <v>0</v>
      </c>
    </row>
    <row r="2208" spans="1:9" ht="13.5">
      <c r="A2208" s="128">
        <v>2000</v>
      </c>
      <c r="B2208" s="128" t="s">
        <v>138</v>
      </c>
      <c r="C2208" s="128" t="s">
        <v>25</v>
      </c>
      <c r="D2208" s="128" t="s">
        <v>79</v>
      </c>
      <c r="E2208" s="128" t="s">
        <v>135</v>
      </c>
      <c r="F2208" s="128">
        <v>0</v>
      </c>
      <c r="G2208" s="128">
        <v>0</v>
      </c>
      <c r="H2208" s="128">
        <v>0</v>
      </c>
      <c r="I2208" s="128">
        <v>0</v>
      </c>
    </row>
    <row r="2209" spans="1:9" ht="13.5">
      <c r="A2209" s="128">
        <v>2000</v>
      </c>
      <c r="B2209" s="128" t="s">
        <v>138</v>
      </c>
      <c r="C2209" s="128" t="s">
        <v>25</v>
      </c>
      <c r="D2209" s="128" t="s">
        <v>79</v>
      </c>
      <c r="E2209" s="128" t="s">
        <v>136</v>
      </c>
      <c r="F2209" s="128">
        <v>0</v>
      </c>
      <c r="G2209" s="128">
        <v>0</v>
      </c>
      <c r="H2209" s="128">
        <v>0</v>
      </c>
      <c r="I2209" s="128">
        <v>0</v>
      </c>
    </row>
    <row r="2210" spans="1:9" ht="13.5">
      <c r="A2210" s="128">
        <v>2000</v>
      </c>
      <c r="B2210" s="128" t="s">
        <v>138</v>
      </c>
      <c r="C2210" s="128" t="s">
        <v>25</v>
      </c>
      <c r="D2210" s="128" t="s">
        <v>76</v>
      </c>
      <c r="E2210" s="128" t="s">
        <v>132</v>
      </c>
      <c r="F2210" s="128">
        <v>0</v>
      </c>
      <c r="G2210" s="128">
        <v>0</v>
      </c>
      <c r="H2210" s="128">
        <v>0</v>
      </c>
      <c r="I2210" s="128">
        <v>0</v>
      </c>
    </row>
    <row r="2211" spans="1:9" ht="13.5">
      <c r="A2211" s="128">
        <v>2000</v>
      </c>
      <c r="B2211" s="128" t="s">
        <v>138</v>
      </c>
      <c r="C2211" s="128" t="s">
        <v>25</v>
      </c>
      <c r="D2211" s="128" t="s">
        <v>76</v>
      </c>
      <c r="E2211" s="128" t="s">
        <v>133</v>
      </c>
      <c r="F2211" s="128">
        <v>0</v>
      </c>
      <c r="G2211" s="128">
        <v>0</v>
      </c>
      <c r="H2211" s="128">
        <v>0</v>
      </c>
      <c r="I2211" s="128">
        <v>0</v>
      </c>
    </row>
    <row r="2212" spans="1:9" ht="13.5">
      <c r="A2212" s="128">
        <v>2000</v>
      </c>
      <c r="B2212" s="128" t="s">
        <v>138</v>
      </c>
      <c r="C2212" s="128" t="s">
        <v>25</v>
      </c>
      <c r="D2212" s="128" t="s">
        <v>76</v>
      </c>
      <c r="E2212" s="128" t="s">
        <v>134</v>
      </c>
      <c r="F2212" s="128">
        <v>0</v>
      </c>
      <c r="G2212" s="128">
        <v>0</v>
      </c>
      <c r="H2212" s="128">
        <v>0</v>
      </c>
      <c r="I2212" s="128">
        <v>0</v>
      </c>
    </row>
    <row r="2213" spans="1:9" ht="13.5">
      <c r="A2213" s="128">
        <v>2000</v>
      </c>
      <c r="B2213" s="128" t="s">
        <v>138</v>
      </c>
      <c r="C2213" s="128" t="s">
        <v>25</v>
      </c>
      <c r="D2213" s="128" t="s">
        <v>76</v>
      </c>
      <c r="E2213" s="128" t="s">
        <v>135</v>
      </c>
      <c r="F2213" s="128">
        <v>0</v>
      </c>
      <c r="G2213" s="128">
        <v>0</v>
      </c>
      <c r="H2213" s="128">
        <v>0</v>
      </c>
      <c r="I2213" s="128">
        <v>0</v>
      </c>
    </row>
    <row r="2214" spans="1:9" ht="13.5">
      <c r="A2214" s="128">
        <v>2000</v>
      </c>
      <c r="B2214" s="128" t="s">
        <v>138</v>
      </c>
      <c r="C2214" s="128" t="s">
        <v>25</v>
      </c>
      <c r="D2214" s="128" t="s">
        <v>76</v>
      </c>
      <c r="E2214" s="128" t="s">
        <v>136</v>
      </c>
      <c r="F2214" s="128">
        <v>0</v>
      </c>
      <c r="G2214" s="128">
        <v>0</v>
      </c>
      <c r="H2214" s="128">
        <v>0</v>
      </c>
      <c r="I2214" s="128">
        <v>0</v>
      </c>
    </row>
    <row r="2215" spans="1:9" ht="13.5">
      <c r="A2215" s="128">
        <v>2000</v>
      </c>
      <c r="B2215" s="128" t="s">
        <v>138</v>
      </c>
      <c r="C2215" s="128" t="s">
        <v>21</v>
      </c>
      <c r="D2215" s="128" t="s">
        <v>77</v>
      </c>
      <c r="E2215" s="128" t="s">
        <v>132</v>
      </c>
      <c r="F2215" s="128">
        <v>0</v>
      </c>
      <c r="G2215" s="128">
        <v>0</v>
      </c>
      <c r="H2215" s="128">
        <v>0</v>
      </c>
      <c r="I2215" s="128">
        <v>0</v>
      </c>
    </row>
    <row r="2216" spans="1:9" ht="13.5">
      <c r="A2216" s="128">
        <v>2000</v>
      </c>
      <c r="B2216" s="128" t="s">
        <v>138</v>
      </c>
      <c r="C2216" s="128" t="s">
        <v>21</v>
      </c>
      <c r="D2216" s="128" t="s">
        <v>77</v>
      </c>
      <c r="E2216" s="128" t="s">
        <v>133</v>
      </c>
      <c r="F2216" s="128">
        <v>0</v>
      </c>
      <c r="G2216" s="128">
        <v>0</v>
      </c>
      <c r="H2216" s="128">
        <v>0</v>
      </c>
      <c r="I2216" s="128">
        <v>0</v>
      </c>
    </row>
    <row r="2217" spans="1:9" ht="13.5">
      <c r="A2217" s="128">
        <v>2000</v>
      </c>
      <c r="B2217" s="128" t="s">
        <v>138</v>
      </c>
      <c r="C2217" s="128" t="s">
        <v>21</v>
      </c>
      <c r="D2217" s="128" t="s">
        <v>77</v>
      </c>
      <c r="E2217" s="128" t="s">
        <v>134</v>
      </c>
      <c r="F2217" s="128">
        <v>0</v>
      </c>
      <c r="G2217" s="128">
        <v>0</v>
      </c>
      <c r="H2217" s="128">
        <v>0</v>
      </c>
      <c r="I2217" s="128">
        <v>0</v>
      </c>
    </row>
    <row r="2218" spans="1:9" ht="13.5">
      <c r="A2218" s="128">
        <v>2000</v>
      </c>
      <c r="B2218" s="128" t="s">
        <v>138</v>
      </c>
      <c r="C2218" s="128" t="s">
        <v>21</v>
      </c>
      <c r="D2218" s="128" t="s">
        <v>77</v>
      </c>
      <c r="E2218" s="128" t="s">
        <v>135</v>
      </c>
      <c r="F2218" s="128">
        <v>0</v>
      </c>
      <c r="G2218" s="128">
        <v>0</v>
      </c>
      <c r="H2218" s="128">
        <v>0</v>
      </c>
      <c r="I2218" s="128">
        <v>0</v>
      </c>
    </row>
    <row r="2219" spans="1:9" ht="13.5">
      <c r="A2219" s="128">
        <v>2000</v>
      </c>
      <c r="B2219" s="128" t="s">
        <v>138</v>
      </c>
      <c r="C2219" s="128" t="s">
        <v>21</v>
      </c>
      <c r="D2219" s="128" t="s">
        <v>79</v>
      </c>
      <c r="E2219" s="128" t="s">
        <v>132</v>
      </c>
      <c r="F2219" s="128">
        <v>0</v>
      </c>
      <c r="G2219" s="128">
        <v>0</v>
      </c>
      <c r="H2219" s="128">
        <v>0</v>
      </c>
      <c r="I2219" s="128">
        <v>0</v>
      </c>
    </row>
    <row r="2220" spans="1:9" ht="13.5">
      <c r="A2220" s="128">
        <v>2000</v>
      </c>
      <c r="B2220" s="128" t="s">
        <v>138</v>
      </c>
      <c r="C2220" s="128" t="s">
        <v>21</v>
      </c>
      <c r="D2220" s="128" t="s">
        <v>79</v>
      </c>
      <c r="E2220" s="128" t="s">
        <v>133</v>
      </c>
      <c r="F2220" s="128">
        <v>0</v>
      </c>
      <c r="G2220" s="128">
        <v>0</v>
      </c>
      <c r="H2220" s="128">
        <v>0</v>
      </c>
      <c r="I2220" s="128">
        <v>0</v>
      </c>
    </row>
    <row r="2221" spans="1:9" ht="13.5">
      <c r="A2221" s="128">
        <v>2000</v>
      </c>
      <c r="B2221" s="128" t="s">
        <v>138</v>
      </c>
      <c r="C2221" s="128" t="s">
        <v>21</v>
      </c>
      <c r="D2221" s="128" t="s">
        <v>79</v>
      </c>
      <c r="E2221" s="128" t="s">
        <v>134</v>
      </c>
      <c r="F2221" s="128">
        <v>0</v>
      </c>
      <c r="G2221" s="128">
        <v>0</v>
      </c>
      <c r="H2221" s="128">
        <v>0</v>
      </c>
      <c r="I2221" s="128">
        <v>0</v>
      </c>
    </row>
    <row r="2222" spans="1:9" ht="13.5">
      <c r="A2222" s="128">
        <v>2000</v>
      </c>
      <c r="B2222" s="128" t="s">
        <v>138</v>
      </c>
      <c r="C2222" s="128" t="s">
        <v>21</v>
      </c>
      <c r="D2222" s="128" t="s">
        <v>79</v>
      </c>
      <c r="E2222" s="128" t="s">
        <v>135</v>
      </c>
      <c r="F2222" s="128">
        <v>0</v>
      </c>
      <c r="G2222" s="128">
        <v>0</v>
      </c>
      <c r="H2222" s="128">
        <v>0</v>
      </c>
      <c r="I2222" s="128">
        <v>0</v>
      </c>
    </row>
    <row r="2223" spans="1:9" ht="13.5">
      <c r="A2223" s="128">
        <v>2000</v>
      </c>
      <c r="B2223" s="128" t="s">
        <v>138</v>
      </c>
      <c r="C2223" s="128" t="s">
        <v>21</v>
      </c>
      <c r="D2223" s="128" t="s">
        <v>79</v>
      </c>
      <c r="E2223" s="128" t="s">
        <v>136</v>
      </c>
      <c r="F2223" s="128">
        <v>0</v>
      </c>
      <c r="G2223" s="128">
        <v>0</v>
      </c>
      <c r="H2223" s="128">
        <v>0</v>
      </c>
      <c r="I2223" s="128">
        <v>0</v>
      </c>
    </row>
    <row r="2224" spans="1:9" ht="13.5">
      <c r="A2224" s="128">
        <v>2000</v>
      </c>
      <c r="B2224" s="128" t="s">
        <v>138</v>
      </c>
      <c r="C2224" s="128" t="s">
        <v>21</v>
      </c>
      <c r="D2224" s="128" t="s">
        <v>76</v>
      </c>
      <c r="E2224" s="128" t="s">
        <v>132</v>
      </c>
      <c r="F2224" s="128">
        <v>0</v>
      </c>
      <c r="G2224" s="128">
        <v>0</v>
      </c>
      <c r="H2224" s="128">
        <v>0</v>
      </c>
      <c r="I2224" s="128">
        <v>0</v>
      </c>
    </row>
    <row r="2225" spans="1:9" ht="13.5">
      <c r="A2225" s="128">
        <v>2000</v>
      </c>
      <c r="B2225" s="128" t="s">
        <v>138</v>
      </c>
      <c r="C2225" s="128" t="s">
        <v>21</v>
      </c>
      <c r="D2225" s="128" t="s">
        <v>76</v>
      </c>
      <c r="E2225" s="128" t="s">
        <v>133</v>
      </c>
      <c r="F2225" s="128">
        <v>0</v>
      </c>
      <c r="G2225" s="128">
        <v>0</v>
      </c>
      <c r="H2225" s="128">
        <v>0</v>
      </c>
      <c r="I2225" s="128">
        <v>0</v>
      </c>
    </row>
    <row r="2226" spans="1:9" ht="13.5">
      <c r="A2226" s="128">
        <v>2000</v>
      </c>
      <c r="B2226" s="128" t="s">
        <v>138</v>
      </c>
      <c r="C2226" s="128" t="s">
        <v>21</v>
      </c>
      <c r="D2226" s="128" t="s">
        <v>76</v>
      </c>
      <c r="E2226" s="128" t="s">
        <v>134</v>
      </c>
      <c r="F2226" s="128">
        <v>0</v>
      </c>
      <c r="G2226" s="128">
        <v>0</v>
      </c>
      <c r="H2226" s="128">
        <v>0</v>
      </c>
      <c r="I2226" s="128">
        <v>0</v>
      </c>
    </row>
    <row r="2227" spans="1:9" ht="13.5">
      <c r="A2227" s="128">
        <v>2000</v>
      </c>
      <c r="B2227" s="128" t="s">
        <v>138</v>
      </c>
      <c r="C2227" s="128" t="s">
        <v>21</v>
      </c>
      <c r="D2227" s="128" t="s">
        <v>76</v>
      </c>
      <c r="E2227" s="128" t="s">
        <v>135</v>
      </c>
      <c r="F2227" s="128">
        <v>0</v>
      </c>
      <c r="G2227" s="128">
        <v>0</v>
      </c>
      <c r="H2227" s="128">
        <v>0</v>
      </c>
      <c r="I2227" s="128">
        <v>0</v>
      </c>
    </row>
    <row r="2228" spans="1:9" ht="13.5">
      <c r="A2228" s="128">
        <v>2000</v>
      </c>
      <c r="B2228" s="128" t="s">
        <v>138</v>
      </c>
      <c r="C2228" s="128" t="s">
        <v>21</v>
      </c>
      <c r="D2228" s="128" t="s">
        <v>76</v>
      </c>
      <c r="E2228" s="128" t="s">
        <v>136</v>
      </c>
      <c r="F2228" s="128">
        <v>0</v>
      </c>
      <c r="G2228" s="128">
        <v>0</v>
      </c>
      <c r="H2228" s="128">
        <v>0</v>
      </c>
      <c r="I2228" s="128">
        <v>0</v>
      </c>
    </row>
    <row r="2229" spans="1:9" ht="13.5">
      <c r="A2229" s="128">
        <v>2000</v>
      </c>
      <c r="B2229" s="128" t="s">
        <v>138</v>
      </c>
      <c r="C2229" s="128" t="s">
        <v>24</v>
      </c>
      <c r="D2229" s="128" t="s">
        <v>77</v>
      </c>
      <c r="E2229" s="128" t="s">
        <v>132</v>
      </c>
      <c r="F2229" s="128">
        <v>0</v>
      </c>
      <c r="G2229" s="128">
        <v>0</v>
      </c>
      <c r="H2229" s="128">
        <v>0</v>
      </c>
      <c r="I2229" s="128">
        <v>0</v>
      </c>
    </row>
    <row r="2230" spans="1:9" ht="13.5">
      <c r="A2230" s="128">
        <v>2000</v>
      </c>
      <c r="B2230" s="128" t="s">
        <v>138</v>
      </c>
      <c r="C2230" s="128" t="s">
        <v>24</v>
      </c>
      <c r="D2230" s="128" t="s">
        <v>77</v>
      </c>
      <c r="E2230" s="128" t="s">
        <v>133</v>
      </c>
      <c r="F2230" s="128">
        <v>0</v>
      </c>
      <c r="G2230" s="128">
        <v>0</v>
      </c>
      <c r="H2230" s="128">
        <v>0</v>
      </c>
      <c r="I2230" s="128">
        <v>0</v>
      </c>
    </row>
    <row r="2231" spans="1:9" ht="13.5">
      <c r="A2231" s="128">
        <v>2000</v>
      </c>
      <c r="B2231" s="128" t="s">
        <v>138</v>
      </c>
      <c r="C2231" s="128" t="s">
        <v>24</v>
      </c>
      <c r="D2231" s="128" t="s">
        <v>77</v>
      </c>
      <c r="E2231" s="128" t="s">
        <v>134</v>
      </c>
      <c r="F2231" s="128">
        <v>0</v>
      </c>
      <c r="G2231" s="128">
        <v>0</v>
      </c>
      <c r="H2231" s="128">
        <v>0</v>
      </c>
      <c r="I2231" s="128">
        <v>0</v>
      </c>
    </row>
    <row r="2232" spans="1:9" ht="13.5">
      <c r="A2232" s="128">
        <v>2000</v>
      </c>
      <c r="B2232" s="128" t="s">
        <v>138</v>
      </c>
      <c r="C2232" s="128" t="s">
        <v>24</v>
      </c>
      <c r="D2232" s="128" t="s">
        <v>77</v>
      </c>
      <c r="E2232" s="128" t="s">
        <v>135</v>
      </c>
      <c r="F2232" s="128">
        <v>0</v>
      </c>
      <c r="G2232" s="128">
        <v>0</v>
      </c>
      <c r="H2232" s="128">
        <v>0</v>
      </c>
      <c r="I2232" s="128">
        <v>0</v>
      </c>
    </row>
    <row r="2233" spans="1:9" ht="13.5">
      <c r="A2233" s="128">
        <v>2000</v>
      </c>
      <c r="B2233" s="128" t="s">
        <v>138</v>
      </c>
      <c r="C2233" s="128" t="s">
        <v>24</v>
      </c>
      <c r="D2233" s="128" t="s">
        <v>79</v>
      </c>
      <c r="E2233" s="128" t="s">
        <v>132</v>
      </c>
      <c r="F2233" s="128">
        <v>0</v>
      </c>
      <c r="G2233" s="128">
        <v>0</v>
      </c>
      <c r="H2233" s="128">
        <v>0</v>
      </c>
      <c r="I2233" s="128">
        <v>0</v>
      </c>
    </row>
    <row r="2234" spans="1:9" ht="13.5">
      <c r="A2234" s="128">
        <v>2000</v>
      </c>
      <c r="B2234" s="128" t="s">
        <v>138</v>
      </c>
      <c r="C2234" s="128" t="s">
        <v>24</v>
      </c>
      <c r="D2234" s="128" t="s">
        <v>79</v>
      </c>
      <c r="E2234" s="128" t="s">
        <v>133</v>
      </c>
      <c r="F2234" s="128">
        <v>0</v>
      </c>
      <c r="G2234" s="128">
        <v>0</v>
      </c>
      <c r="H2234" s="128">
        <v>0</v>
      </c>
      <c r="I2234" s="128">
        <v>0</v>
      </c>
    </row>
    <row r="2235" spans="1:9" ht="13.5">
      <c r="A2235" s="128">
        <v>2000</v>
      </c>
      <c r="B2235" s="128" t="s">
        <v>138</v>
      </c>
      <c r="C2235" s="128" t="s">
        <v>24</v>
      </c>
      <c r="D2235" s="128" t="s">
        <v>79</v>
      </c>
      <c r="E2235" s="128" t="s">
        <v>134</v>
      </c>
      <c r="F2235" s="128">
        <v>0</v>
      </c>
      <c r="G2235" s="128">
        <v>0</v>
      </c>
      <c r="H2235" s="128">
        <v>0</v>
      </c>
      <c r="I2235" s="128">
        <v>0</v>
      </c>
    </row>
    <row r="2236" spans="1:9" ht="13.5">
      <c r="A2236" s="128">
        <v>2000</v>
      </c>
      <c r="B2236" s="128" t="s">
        <v>138</v>
      </c>
      <c r="C2236" s="128" t="s">
        <v>24</v>
      </c>
      <c r="D2236" s="128" t="s">
        <v>79</v>
      </c>
      <c r="E2236" s="128" t="s">
        <v>135</v>
      </c>
      <c r="F2236" s="128">
        <v>0</v>
      </c>
      <c r="G2236" s="128">
        <v>0</v>
      </c>
      <c r="H2236" s="128">
        <v>0</v>
      </c>
      <c r="I2236" s="128">
        <v>0</v>
      </c>
    </row>
    <row r="2237" spans="1:9" ht="13.5">
      <c r="A2237" s="128">
        <v>2000</v>
      </c>
      <c r="B2237" s="128" t="s">
        <v>138</v>
      </c>
      <c r="C2237" s="128" t="s">
        <v>24</v>
      </c>
      <c r="D2237" s="128" t="s">
        <v>79</v>
      </c>
      <c r="E2237" s="128" t="s">
        <v>136</v>
      </c>
      <c r="F2237" s="128">
        <v>0</v>
      </c>
      <c r="G2237" s="128">
        <v>0</v>
      </c>
      <c r="H2237" s="128">
        <v>0</v>
      </c>
      <c r="I2237" s="128">
        <v>0</v>
      </c>
    </row>
    <row r="2238" spans="1:9" ht="13.5">
      <c r="A2238" s="128">
        <v>2000</v>
      </c>
      <c r="B2238" s="128" t="s">
        <v>138</v>
      </c>
      <c r="C2238" s="128" t="s">
        <v>24</v>
      </c>
      <c r="D2238" s="128" t="s">
        <v>76</v>
      </c>
      <c r="E2238" s="128" t="s">
        <v>132</v>
      </c>
      <c r="F2238" s="128">
        <v>0</v>
      </c>
      <c r="G2238" s="128">
        <v>0</v>
      </c>
      <c r="H2238" s="128">
        <v>0</v>
      </c>
      <c r="I2238" s="128">
        <v>0</v>
      </c>
    </row>
    <row r="2239" spans="1:9" ht="13.5">
      <c r="A2239" s="128">
        <v>2000</v>
      </c>
      <c r="B2239" s="128" t="s">
        <v>138</v>
      </c>
      <c r="C2239" s="128" t="s">
        <v>24</v>
      </c>
      <c r="D2239" s="128" t="s">
        <v>76</v>
      </c>
      <c r="E2239" s="128" t="s">
        <v>133</v>
      </c>
      <c r="F2239" s="128">
        <v>0</v>
      </c>
      <c r="G2239" s="128">
        <v>0</v>
      </c>
      <c r="H2239" s="128">
        <v>0</v>
      </c>
      <c r="I2239" s="128">
        <v>0</v>
      </c>
    </row>
    <row r="2240" spans="1:9" ht="13.5">
      <c r="A2240" s="128">
        <v>2000</v>
      </c>
      <c r="B2240" s="128" t="s">
        <v>138</v>
      </c>
      <c r="C2240" s="128" t="s">
        <v>24</v>
      </c>
      <c r="D2240" s="128" t="s">
        <v>76</v>
      </c>
      <c r="E2240" s="128" t="s">
        <v>134</v>
      </c>
      <c r="F2240" s="128">
        <v>0</v>
      </c>
      <c r="G2240" s="128">
        <v>0</v>
      </c>
      <c r="H2240" s="128">
        <v>0</v>
      </c>
      <c r="I2240" s="128">
        <v>0</v>
      </c>
    </row>
    <row r="2241" spans="1:9" ht="13.5">
      <c r="A2241" s="128">
        <v>2000</v>
      </c>
      <c r="B2241" s="128" t="s">
        <v>138</v>
      </c>
      <c r="C2241" s="128" t="s">
        <v>24</v>
      </c>
      <c r="D2241" s="128" t="s">
        <v>76</v>
      </c>
      <c r="E2241" s="128" t="s">
        <v>135</v>
      </c>
      <c r="F2241" s="128">
        <v>0</v>
      </c>
      <c r="G2241" s="128">
        <v>0</v>
      </c>
      <c r="H2241" s="128">
        <v>0</v>
      </c>
      <c r="I2241" s="128">
        <v>0</v>
      </c>
    </row>
    <row r="2242" spans="1:9" ht="13.5">
      <c r="A2242" s="128">
        <v>2000</v>
      </c>
      <c r="B2242" s="128" t="s">
        <v>138</v>
      </c>
      <c r="C2242" s="128" t="s">
        <v>24</v>
      </c>
      <c r="D2242" s="128" t="s">
        <v>76</v>
      </c>
      <c r="E2242" s="128" t="s">
        <v>136</v>
      </c>
      <c r="F2242" s="128">
        <v>0</v>
      </c>
      <c r="G2242" s="128">
        <v>0</v>
      </c>
      <c r="H2242" s="128">
        <v>0</v>
      </c>
      <c r="I2242" s="128">
        <v>0</v>
      </c>
    </row>
    <row r="2243" spans="1:9" ht="13.5">
      <c r="A2243" s="128">
        <v>2000</v>
      </c>
      <c r="B2243" s="128" t="s">
        <v>139</v>
      </c>
      <c r="C2243" s="128" t="s">
        <v>26</v>
      </c>
      <c r="D2243" s="128" t="s">
        <v>77</v>
      </c>
      <c r="E2243" s="128" t="s">
        <v>132</v>
      </c>
      <c r="F2243" s="128">
        <v>0</v>
      </c>
      <c r="G2243" s="128">
        <v>0</v>
      </c>
      <c r="H2243" s="128">
        <v>0</v>
      </c>
      <c r="I2243" s="128">
        <v>0</v>
      </c>
    </row>
    <row r="2244" spans="1:9" ht="13.5">
      <c r="A2244" s="128">
        <v>2000</v>
      </c>
      <c r="B2244" s="128" t="s">
        <v>139</v>
      </c>
      <c r="C2244" s="128" t="s">
        <v>26</v>
      </c>
      <c r="D2244" s="128" t="s">
        <v>77</v>
      </c>
      <c r="E2244" s="128" t="s">
        <v>133</v>
      </c>
      <c r="F2244" s="128">
        <v>0</v>
      </c>
      <c r="G2244" s="128">
        <v>0</v>
      </c>
      <c r="H2244" s="128">
        <v>0</v>
      </c>
      <c r="I2244" s="128">
        <v>0</v>
      </c>
    </row>
    <row r="2245" spans="1:9" ht="13.5">
      <c r="A2245" s="128">
        <v>2000</v>
      </c>
      <c r="B2245" s="128" t="s">
        <v>139</v>
      </c>
      <c r="C2245" s="128" t="s">
        <v>26</v>
      </c>
      <c r="D2245" s="128" t="s">
        <v>77</v>
      </c>
      <c r="E2245" s="128" t="s">
        <v>134</v>
      </c>
      <c r="F2245" s="128">
        <v>0</v>
      </c>
      <c r="G2245" s="128">
        <v>0</v>
      </c>
      <c r="H2245" s="128">
        <v>0</v>
      </c>
      <c r="I2245" s="128">
        <v>0</v>
      </c>
    </row>
    <row r="2246" spans="1:9" ht="13.5">
      <c r="A2246" s="128">
        <v>2000</v>
      </c>
      <c r="B2246" s="128" t="s">
        <v>139</v>
      </c>
      <c r="C2246" s="128" t="s">
        <v>26</v>
      </c>
      <c r="D2246" s="128" t="s">
        <v>77</v>
      </c>
      <c r="E2246" s="128" t="s">
        <v>135</v>
      </c>
      <c r="F2246" s="128">
        <v>0</v>
      </c>
      <c r="G2246" s="128">
        <v>0</v>
      </c>
      <c r="H2246" s="128">
        <v>0</v>
      </c>
      <c r="I2246" s="128">
        <v>0</v>
      </c>
    </row>
    <row r="2247" spans="1:9" ht="13.5">
      <c r="A2247" s="128">
        <v>2000</v>
      </c>
      <c r="B2247" s="128" t="s">
        <v>139</v>
      </c>
      <c r="C2247" s="128" t="s">
        <v>26</v>
      </c>
      <c r="D2247" s="128" t="s">
        <v>79</v>
      </c>
      <c r="E2247" s="128" t="s">
        <v>132</v>
      </c>
      <c r="F2247" s="128">
        <v>0</v>
      </c>
      <c r="G2247" s="128">
        <v>0</v>
      </c>
      <c r="H2247" s="128">
        <v>0</v>
      </c>
      <c r="I2247" s="128">
        <v>0</v>
      </c>
    </row>
    <row r="2248" spans="1:9" ht="13.5">
      <c r="A2248" s="128">
        <v>2000</v>
      </c>
      <c r="B2248" s="128" t="s">
        <v>139</v>
      </c>
      <c r="C2248" s="128" t="s">
        <v>26</v>
      </c>
      <c r="D2248" s="128" t="s">
        <v>79</v>
      </c>
      <c r="E2248" s="128" t="s">
        <v>133</v>
      </c>
      <c r="F2248" s="128">
        <v>0</v>
      </c>
      <c r="G2248" s="128">
        <v>0</v>
      </c>
      <c r="H2248" s="128">
        <v>0</v>
      </c>
      <c r="I2248" s="128">
        <v>0</v>
      </c>
    </row>
    <row r="2249" spans="1:9" ht="13.5">
      <c r="A2249" s="128">
        <v>2000</v>
      </c>
      <c r="B2249" s="128" t="s">
        <v>139</v>
      </c>
      <c r="C2249" s="128" t="s">
        <v>26</v>
      </c>
      <c r="D2249" s="128" t="s">
        <v>79</v>
      </c>
      <c r="E2249" s="128" t="s">
        <v>134</v>
      </c>
      <c r="F2249" s="128">
        <v>0</v>
      </c>
      <c r="G2249" s="128">
        <v>0</v>
      </c>
      <c r="H2249" s="128">
        <v>0</v>
      </c>
      <c r="I2249" s="128">
        <v>0</v>
      </c>
    </row>
    <row r="2250" spans="1:9" ht="13.5">
      <c r="A2250" s="128">
        <v>2000</v>
      </c>
      <c r="B2250" s="128" t="s">
        <v>139</v>
      </c>
      <c r="C2250" s="128" t="s">
        <v>26</v>
      </c>
      <c r="D2250" s="128" t="s">
        <v>79</v>
      </c>
      <c r="E2250" s="128" t="s">
        <v>135</v>
      </c>
      <c r="F2250" s="128">
        <v>0</v>
      </c>
      <c r="G2250" s="128">
        <v>0</v>
      </c>
      <c r="H2250" s="128">
        <v>0</v>
      </c>
      <c r="I2250" s="128">
        <v>0</v>
      </c>
    </row>
    <row r="2251" spans="1:9" ht="13.5">
      <c r="A2251" s="128">
        <v>2000</v>
      </c>
      <c r="B2251" s="128" t="s">
        <v>139</v>
      </c>
      <c r="C2251" s="128" t="s">
        <v>26</v>
      </c>
      <c r="D2251" s="128" t="s">
        <v>79</v>
      </c>
      <c r="E2251" s="128" t="s">
        <v>136</v>
      </c>
      <c r="F2251" s="128">
        <v>0</v>
      </c>
      <c r="G2251" s="128">
        <v>0</v>
      </c>
      <c r="H2251" s="128">
        <v>0</v>
      </c>
      <c r="I2251" s="128">
        <v>0</v>
      </c>
    </row>
    <row r="2252" spans="1:9" ht="13.5">
      <c r="A2252" s="128">
        <v>2000</v>
      </c>
      <c r="B2252" s="128" t="s">
        <v>139</v>
      </c>
      <c r="C2252" s="128" t="s">
        <v>26</v>
      </c>
      <c r="D2252" s="128" t="s">
        <v>76</v>
      </c>
      <c r="E2252" s="128" t="s">
        <v>132</v>
      </c>
      <c r="F2252" s="128">
        <v>0</v>
      </c>
      <c r="G2252" s="128">
        <v>0</v>
      </c>
      <c r="H2252" s="128">
        <v>0</v>
      </c>
      <c r="I2252" s="128">
        <v>0</v>
      </c>
    </row>
    <row r="2253" spans="1:9" ht="13.5">
      <c r="A2253" s="128">
        <v>2000</v>
      </c>
      <c r="B2253" s="128" t="s">
        <v>139</v>
      </c>
      <c r="C2253" s="128" t="s">
        <v>26</v>
      </c>
      <c r="D2253" s="128" t="s">
        <v>76</v>
      </c>
      <c r="E2253" s="128" t="s">
        <v>133</v>
      </c>
      <c r="F2253" s="128">
        <v>0</v>
      </c>
      <c r="G2253" s="128">
        <v>0</v>
      </c>
      <c r="H2253" s="128">
        <v>0</v>
      </c>
      <c r="I2253" s="128">
        <v>0</v>
      </c>
    </row>
    <row r="2254" spans="1:9" ht="13.5">
      <c r="A2254" s="128">
        <v>2000</v>
      </c>
      <c r="B2254" s="128" t="s">
        <v>139</v>
      </c>
      <c r="C2254" s="128" t="s">
        <v>26</v>
      </c>
      <c r="D2254" s="128" t="s">
        <v>76</v>
      </c>
      <c r="E2254" s="128" t="s">
        <v>134</v>
      </c>
      <c r="F2254" s="128">
        <v>0</v>
      </c>
      <c r="G2254" s="128">
        <v>0</v>
      </c>
      <c r="H2254" s="128">
        <v>0</v>
      </c>
      <c r="I2254" s="128">
        <v>0</v>
      </c>
    </row>
    <row r="2255" spans="1:9" ht="13.5">
      <c r="A2255" s="128">
        <v>2000</v>
      </c>
      <c r="B2255" s="128" t="s">
        <v>139</v>
      </c>
      <c r="C2255" s="128" t="s">
        <v>26</v>
      </c>
      <c r="D2255" s="128" t="s">
        <v>76</v>
      </c>
      <c r="E2255" s="128" t="s">
        <v>135</v>
      </c>
      <c r="F2255" s="128">
        <v>0</v>
      </c>
      <c r="G2255" s="128">
        <v>0</v>
      </c>
      <c r="H2255" s="128">
        <v>0</v>
      </c>
      <c r="I2255" s="128">
        <v>0</v>
      </c>
    </row>
    <row r="2256" spans="1:9" ht="13.5">
      <c r="A2256" s="128">
        <v>2000</v>
      </c>
      <c r="B2256" s="128" t="s">
        <v>139</v>
      </c>
      <c r="C2256" s="128" t="s">
        <v>26</v>
      </c>
      <c r="D2256" s="128" t="s">
        <v>76</v>
      </c>
      <c r="E2256" s="128" t="s">
        <v>136</v>
      </c>
      <c r="F2256" s="128">
        <v>0</v>
      </c>
      <c r="G2256" s="128">
        <v>0</v>
      </c>
      <c r="H2256" s="128">
        <v>0</v>
      </c>
      <c r="I2256" s="128">
        <v>0</v>
      </c>
    </row>
    <row r="2257" spans="1:9" ht="13.5">
      <c r="A2257" s="128">
        <v>2000</v>
      </c>
      <c r="B2257" s="128" t="s">
        <v>139</v>
      </c>
      <c r="C2257" s="128" t="s">
        <v>20</v>
      </c>
      <c r="D2257" s="128" t="s">
        <v>77</v>
      </c>
      <c r="E2257" s="128" t="s">
        <v>132</v>
      </c>
      <c r="F2257" s="128">
        <v>0</v>
      </c>
      <c r="G2257" s="128">
        <v>0</v>
      </c>
      <c r="H2257" s="128">
        <v>0</v>
      </c>
      <c r="I2257" s="128">
        <v>0</v>
      </c>
    </row>
    <row r="2258" spans="1:9" ht="13.5">
      <c r="A2258" s="128">
        <v>2000</v>
      </c>
      <c r="B2258" s="128" t="s">
        <v>139</v>
      </c>
      <c r="C2258" s="128" t="s">
        <v>20</v>
      </c>
      <c r="D2258" s="128" t="s">
        <v>77</v>
      </c>
      <c r="E2258" s="128" t="s">
        <v>133</v>
      </c>
      <c r="F2258" s="128">
        <v>0</v>
      </c>
      <c r="G2258" s="128">
        <v>0</v>
      </c>
      <c r="H2258" s="128">
        <v>0</v>
      </c>
      <c r="I2258" s="128">
        <v>0</v>
      </c>
    </row>
    <row r="2259" spans="1:9" ht="13.5">
      <c r="A2259" s="128">
        <v>2000</v>
      </c>
      <c r="B2259" s="128" t="s">
        <v>139</v>
      </c>
      <c r="C2259" s="128" t="s">
        <v>20</v>
      </c>
      <c r="D2259" s="128" t="s">
        <v>77</v>
      </c>
      <c r="E2259" s="128" t="s">
        <v>134</v>
      </c>
      <c r="F2259" s="128">
        <v>0</v>
      </c>
      <c r="G2259" s="128">
        <v>0</v>
      </c>
      <c r="H2259" s="128">
        <v>0</v>
      </c>
      <c r="I2259" s="128">
        <v>0</v>
      </c>
    </row>
    <row r="2260" spans="1:9" ht="13.5">
      <c r="A2260" s="128">
        <v>2000</v>
      </c>
      <c r="B2260" s="128" t="s">
        <v>139</v>
      </c>
      <c r="C2260" s="128" t="s">
        <v>20</v>
      </c>
      <c r="D2260" s="128" t="s">
        <v>77</v>
      </c>
      <c r="E2260" s="128" t="s">
        <v>135</v>
      </c>
      <c r="F2260" s="128">
        <v>0</v>
      </c>
      <c r="G2260" s="128">
        <v>0</v>
      </c>
      <c r="H2260" s="128">
        <v>0</v>
      </c>
      <c r="I2260" s="128">
        <v>0</v>
      </c>
    </row>
    <row r="2261" spans="1:9" ht="13.5">
      <c r="A2261" s="128">
        <v>2000</v>
      </c>
      <c r="B2261" s="128" t="s">
        <v>139</v>
      </c>
      <c r="C2261" s="128" t="s">
        <v>20</v>
      </c>
      <c r="D2261" s="128" t="s">
        <v>79</v>
      </c>
      <c r="E2261" s="128" t="s">
        <v>132</v>
      </c>
      <c r="F2261" s="128">
        <v>0</v>
      </c>
      <c r="G2261" s="128">
        <v>0</v>
      </c>
      <c r="H2261" s="128">
        <v>0</v>
      </c>
      <c r="I2261" s="128">
        <v>0</v>
      </c>
    </row>
    <row r="2262" spans="1:9" ht="13.5">
      <c r="A2262" s="128">
        <v>2000</v>
      </c>
      <c r="B2262" s="128" t="s">
        <v>139</v>
      </c>
      <c r="C2262" s="128" t="s">
        <v>20</v>
      </c>
      <c r="D2262" s="128" t="s">
        <v>79</v>
      </c>
      <c r="E2262" s="128" t="s">
        <v>133</v>
      </c>
      <c r="F2262" s="128">
        <v>0</v>
      </c>
      <c r="G2262" s="128">
        <v>0</v>
      </c>
      <c r="H2262" s="128">
        <v>0</v>
      </c>
      <c r="I2262" s="128">
        <v>0</v>
      </c>
    </row>
    <row r="2263" spans="1:9" ht="13.5">
      <c r="A2263" s="128">
        <v>2000</v>
      </c>
      <c r="B2263" s="128" t="s">
        <v>139</v>
      </c>
      <c r="C2263" s="128" t="s">
        <v>20</v>
      </c>
      <c r="D2263" s="128" t="s">
        <v>79</v>
      </c>
      <c r="E2263" s="128" t="s">
        <v>134</v>
      </c>
      <c r="F2263" s="128">
        <v>0</v>
      </c>
      <c r="G2263" s="128">
        <v>0</v>
      </c>
      <c r="H2263" s="128">
        <v>0</v>
      </c>
      <c r="I2263" s="128">
        <v>0</v>
      </c>
    </row>
    <row r="2264" spans="1:9" ht="13.5">
      <c r="A2264" s="128">
        <v>2000</v>
      </c>
      <c r="B2264" s="128" t="s">
        <v>139</v>
      </c>
      <c r="C2264" s="128" t="s">
        <v>20</v>
      </c>
      <c r="D2264" s="128" t="s">
        <v>79</v>
      </c>
      <c r="E2264" s="128" t="s">
        <v>135</v>
      </c>
      <c r="F2264" s="128">
        <v>0</v>
      </c>
      <c r="G2264" s="128">
        <v>0</v>
      </c>
      <c r="H2264" s="128">
        <v>0</v>
      </c>
      <c r="I2264" s="128">
        <v>0</v>
      </c>
    </row>
    <row r="2265" spans="1:9" ht="13.5">
      <c r="A2265" s="128">
        <v>2000</v>
      </c>
      <c r="B2265" s="128" t="s">
        <v>139</v>
      </c>
      <c r="C2265" s="128" t="s">
        <v>20</v>
      </c>
      <c r="D2265" s="128" t="s">
        <v>79</v>
      </c>
      <c r="E2265" s="128" t="s">
        <v>136</v>
      </c>
      <c r="F2265" s="128">
        <v>0</v>
      </c>
      <c r="G2265" s="128">
        <v>0</v>
      </c>
      <c r="H2265" s="128">
        <v>0</v>
      </c>
      <c r="I2265" s="128">
        <v>0</v>
      </c>
    </row>
    <row r="2266" spans="1:9" ht="13.5">
      <c r="A2266" s="128">
        <v>2000</v>
      </c>
      <c r="B2266" s="128" t="s">
        <v>139</v>
      </c>
      <c r="C2266" s="128" t="s">
        <v>20</v>
      </c>
      <c r="D2266" s="128" t="s">
        <v>76</v>
      </c>
      <c r="E2266" s="128" t="s">
        <v>132</v>
      </c>
      <c r="F2266" s="128">
        <v>0</v>
      </c>
      <c r="G2266" s="128">
        <v>0</v>
      </c>
      <c r="H2266" s="128">
        <v>0</v>
      </c>
      <c r="I2266" s="128">
        <v>0</v>
      </c>
    </row>
    <row r="2267" spans="1:9" ht="13.5">
      <c r="A2267" s="128">
        <v>2000</v>
      </c>
      <c r="B2267" s="128" t="s">
        <v>139</v>
      </c>
      <c r="C2267" s="128" t="s">
        <v>20</v>
      </c>
      <c r="D2267" s="128" t="s">
        <v>76</v>
      </c>
      <c r="E2267" s="128" t="s">
        <v>133</v>
      </c>
      <c r="F2267" s="128">
        <v>0</v>
      </c>
      <c r="G2267" s="128">
        <v>0</v>
      </c>
      <c r="H2267" s="128">
        <v>0</v>
      </c>
      <c r="I2267" s="128">
        <v>0</v>
      </c>
    </row>
    <row r="2268" spans="1:9" ht="13.5">
      <c r="A2268" s="128">
        <v>2000</v>
      </c>
      <c r="B2268" s="128" t="s">
        <v>139</v>
      </c>
      <c r="C2268" s="128" t="s">
        <v>20</v>
      </c>
      <c r="D2268" s="128" t="s">
        <v>76</v>
      </c>
      <c r="E2268" s="128" t="s">
        <v>134</v>
      </c>
      <c r="F2268" s="128">
        <v>0</v>
      </c>
      <c r="G2268" s="128">
        <v>0</v>
      </c>
      <c r="H2268" s="128">
        <v>0</v>
      </c>
      <c r="I2268" s="128">
        <v>0</v>
      </c>
    </row>
    <row r="2269" spans="1:9" ht="13.5">
      <c r="A2269" s="128">
        <v>2000</v>
      </c>
      <c r="B2269" s="128" t="s">
        <v>139</v>
      </c>
      <c r="C2269" s="128" t="s">
        <v>20</v>
      </c>
      <c r="D2269" s="128" t="s">
        <v>76</v>
      </c>
      <c r="E2269" s="128" t="s">
        <v>135</v>
      </c>
      <c r="F2269" s="128">
        <v>0</v>
      </c>
      <c r="G2269" s="128">
        <v>0</v>
      </c>
      <c r="H2269" s="128">
        <v>0</v>
      </c>
      <c r="I2269" s="128">
        <v>0</v>
      </c>
    </row>
    <row r="2270" spans="1:9" ht="13.5">
      <c r="A2270" s="128">
        <v>2000</v>
      </c>
      <c r="B2270" s="128" t="s">
        <v>139</v>
      </c>
      <c r="C2270" s="128" t="s">
        <v>20</v>
      </c>
      <c r="D2270" s="128" t="s">
        <v>76</v>
      </c>
      <c r="E2270" s="128" t="s">
        <v>136</v>
      </c>
      <c r="F2270" s="128">
        <v>0</v>
      </c>
      <c r="G2270" s="128">
        <v>0</v>
      </c>
      <c r="H2270" s="128">
        <v>0</v>
      </c>
      <c r="I2270" s="128">
        <v>0</v>
      </c>
    </row>
    <row r="2271" spans="1:9" ht="13.5">
      <c r="A2271" s="128">
        <v>2000</v>
      </c>
      <c r="B2271" s="128" t="s">
        <v>139</v>
      </c>
      <c r="C2271" s="128" t="s">
        <v>27</v>
      </c>
      <c r="D2271" s="128" t="s">
        <v>77</v>
      </c>
      <c r="E2271" s="128" t="s">
        <v>132</v>
      </c>
      <c r="F2271" s="128">
        <v>0</v>
      </c>
      <c r="G2271" s="128">
        <v>0</v>
      </c>
      <c r="H2271" s="128">
        <v>0</v>
      </c>
      <c r="I2271" s="128">
        <v>0</v>
      </c>
    </row>
    <row r="2272" spans="1:9" ht="13.5">
      <c r="A2272" s="128">
        <v>2000</v>
      </c>
      <c r="B2272" s="128" t="s">
        <v>139</v>
      </c>
      <c r="C2272" s="128" t="s">
        <v>27</v>
      </c>
      <c r="D2272" s="128" t="s">
        <v>77</v>
      </c>
      <c r="E2272" s="128" t="s">
        <v>133</v>
      </c>
      <c r="F2272" s="128">
        <v>0</v>
      </c>
      <c r="G2272" s="128">
        <v>0</v>
      </c>
      <c r="H2272" s="128">
        <v>0</v>
      </c>
      <c r="I2272" s="128">
        <v>0</v>
      </c>
    </row>
    <row r="2273" spans="1:9" ht="13.5">
      <c r="A2273" s="128">
        <v>2000</v>
      </c>
      <c r="B2273" s="128" t="s">
        <v>139</v>
      </c>
      <c r="C2273" s="128" t="s">
        <v>27</v>
      </c>
      <c r="D2273" s="128" t="s">
        <v>77</v>
      </c>
      <c r="E2273" s="128" t="s">
        <v>134</v>
      </c>
      <c r="F2273" s="128">
        <v>0</v>
      </c>
      <c r="G2273" s="128">
        <v>0</v>
      </c>
      <c r="H2273" s="128">
        <v>0</v>
      </c>
      <c r="I2273" s="128">
        <v>0</v>
      </c>
    </row>
    <row r="2274" spans="1:9" ht="13.5">
      <c r="A2274" s="128">
        <v>2000</v>
      </c>
      <c r="B2274" s="128" t="s">
        <v>139</v>
      </c>
      <c r="C2274" s="128" t="s">
        <v>27</v>
      </c>
      <c r="D2274" s="128" t="s">
        <v>77</v>
      </c>
      <c r="E2274" s="128" t="s">
        <v>135</v>
      </c>
      <c r="F2274" s="128">
        <v>0</v>
      </c>
      <c r="G2274" s="128">
        <v>0</v>
      </c>
      <c r="H2274" s="128">
        <v>0</v>
      </c>
      <c r="I2274" s="128">
        <v>0</v>
      </c>
    </row>
    <row r="2275" spans="1:9" ht="13.5">
      <c r="A2275" s="128">
        <v>2000</v>
      </c>
      <c r="B2275" s="128" t="s">
        <v>139</v>
      </c>
      <c r="C2275" s="128" t="s">
        <v>27</v>
      </c>
      <c r="D2275" s="128" t="s">
        <v>79</v>
      </c>
      <c r="E2275" s="128" t="s">
        <v>132</v>
      </c>
      <c r="F2275" s="128">
        <v>0</v>
      </c>
      <c r="G2275" s="128">
        <v>0</v>
      </c>
      <c r="H2275" s="128">
        <v>0</v>
      </c>
      <c r="I2275" s="128">
        <v>0</v>
      </c>
    </row>
    <row r="2276" spans="1:9" ht="13.5">
      <c r="A2276" s="128">
        <v>2000</v>
      </c>
      <c r="B2276" s="128" t="s">
        <v>139</v>
      </c>
      <c r="C2276" s="128" t="s">
        <v>27</v>
      </c>
      <c r="D2276" s="128" t="s">
        <v>79</v>
      </c>
      <c r="E2276" s="128" t="s">
        <v>133</v>
      </c>
      <c r="F2276" s="128">
        <v>0</v>
      </c>
      <c r="G2276" s="128">
        <v>0</v>
      </c>
      <c r="H2276" s="128">
        <v>0</v>
      </c>
      <c r="I2276" s="128">
        <v>0</v>
      </c>
    </row>
    <row r="2277" spans="1:9" ht="13.5">
      <c r="A2277" s="128">
        <v>2000</v>
      </c>
      <c r="B2277" s="128" t="s">
        <v>139</v>
      </c>
      <c r="C2277" s="128" t="s">
        <v>27</v>
      </c>
      <c r="D2277" s="128" t="s">
        <v>79</v>
      </c>
      <c r="E2277" s="128" t="s">
        <v>134</v>
      </c>
      <c r="F2277" s="128">
        <v>0</v>
      </c>
      <c r="G2277" s="128">
        <v>0</v>
      </c>
      <c r="H2277" s="128">
        <v>0</v>
      </c>
      <c r="I2277" s="128">
        <v>0</v>
      </c>
    </row>
    <row r="2278" spans="1:9" ht="13.5">
      <c r="A2278" s="128">
        <v>2000</v>
      </c>
      <c r="B2278" s="128" t="s">
        <v>139</v>
      </c>
      <c r="C2278" s="128" t="s">
        <v>27</v>
      </c>
      <c r="D2278" s="128" t="s">
        <v>79</v>
      </c>
      <c r="E2278" s="128" t="s">
        <v>135</v>
      </c>
      <c r="F2278" s="128">
        <v>0</v>
      </c>
      <c r="G2278" s="128">
        <v>0</v>
      </c>
      <c r="H2278" s="128">
        <v>0</v>
      </c>
      <c r="I2278" s="128">
        <v>0</v>
      </c>
    </row>
    <row r="2279" spans="1:9" ht="13.5">
      <c r="A2279" s="128">
        <v>2000</v>
      </c>
      <c r="B2279" s="128" t="s">
        <v>139</v>
      </c>
      <c r="C2279" s="128" t="s">
        <v>27</v>
      </c>
      <c r="D2279" s="128" t="s">
        <v>79</v>
      </c>
      <c r="E2279" s="128" t="s">
        <v>136</v>
      </c>
      <c r="F2279" s="128">
        <v>0</v>
      </c>
      <c r="G2279" s="128">
        <v>0</v>
      </c>
      <c r="H2279" s="128">
        <v>0</v>
      </c>
      <c r="I2279" s="128">
        <v>0</v>
      </c>
    </row>
    <row r="2280" spans="1:9" ht="13.5">
      <c r="A2280" s="128">
        <v>2000</v>
      </c>
      <c r="B2280" s="128" t="s">
        <v>139</v>
      </c>
      <c r="C2280" s="128" t="s">
        <v>27</v>
      </c>
      <c r="D2280" s="128" t="s">
        <v>76</v>
      </c>
      <c r="E2280" s="128" t="s">
        <v>132</v>
      </c>
      <c r="F2280" s="128">
        <v>0</v>
      </c>
      <c r="G2280" s="128">
        <v>0</v>
      </c>
      <c r="H2280" s="128">
        <v>0</v>
      </c>
      <c r="I2280" s="128">
        <v>0</v>
      </c>
    </row>
    <row r="2281" spans="1:9" ht="13.5">
      <c r="A2281" s="128">
        <v>2000</v>
      </c>
      <c r="B2281" s="128" t="s">
        <v>139</v>
      </c>
      <c r="C2281" s="128" t="s">
        <v>27</v>
      </c>
      <c r="D2281" s="128" t="s">
        <v>76</v>
      </c>
      <c r="E2281" s="128" t="s">
        <v>133</v>
      </c>
      <c r="F2281" s="128">
        <v>0</v>
      </c>
      <c r="G2281" s="128">
        <v>0</v>
      </c>
      <c r="H2281" s="128">
        <v>0</v>
      </c>
      <c r="I2281" s="128">
        <v>0</v>
      </c>
    </row>
    <row r="2282" spans="1:9" ht="13.5">
      <c r="A2282" s="128">
        <v>2000</v>
      </c>
      <c r="B2282" s="128" t="s">
        <v>139</v>
      </c>
      <c r="C2282" s="128" t="s">
        <v>27</v>
      </c>
      <c r="D2282" s="128" t="s">
        <v>76</v>
      </c>
      <c r="E2282" s="128" t="s">
        <v>134</v>
      </c>
      <c r="F2282" s="128">
        <v>0</v>
      </c>
      <c r="G2282" s="128">
        <v>0</v>
      </c>
      <c r="H2282" s="128">
        <v>0</v>
      </c>
      <c r="I2282" s="128">
        <v>0</v>
      </c>
    </row>
    <row r="2283" spans="1:9" ht="13.5">
      <c r="A2283" s="128">
        <v>2000</v>
      </c>
      <c r="B2283" s="128" t="s">
        <v>139</v>
      </c>
      <c r="C2283" s="128" t="s">
        <v>27</v>
      </c>
      <c r="D2283" s="128" t="s">
        <v>76</v>
      </c>
      <c r="E2283" s="128" t="s">
        <v>135</v>
      </c>
      <c r="F2283" s="128">
        <v>0</v>
      </c>
      <c r="G2283" s="128">
        <v>0</v>
      </c>
      <c r="H2283" s="128">
        <v>0</v>
      </c>
      <c r="I2283" s="128">
        <v>0</v>
      </c>
    </row>
    <row r="2284" spans="1:9" ht="13.5">
      <c r="A2284" s="128">
        <v>2000</v>
      </c>
      <c r="B2284" s="128" t="s">
        <v>139</v>
      </c>
      <c r="C2284" s="128" t="s">
        <v>27</v>
      </c>
      <c r="D2284" s="128" t="s">
        <v>76</v>
      </c>
      <c r="E2284" s="128" t="s">
        <v>136</v>
      </c>
      <c r="F2284" s="128">
        <v>0</v>
      </c>
      <c r="G2284" s="128">
        <v>0</v>
      </c>
      <c r="H2284" s="128">
        <v>0</v>
      </c>
      <c r="I2284" s="128">
        <v>0</v>
      </c>
    </row>
    <row r="2285" spans="1:9" ht="13.5">
      <c r="A2285" s="128">
        <v>2000</v>
      </c>
      <c r="B2285" s="128" t="s">
        <v>139</v>
      </c>
      <c r="C2285" s="128" t="s">
        <v>22</v>
      </c>
      <c r="D2285" s="128" t="s">
        <v>77</v>
      </c>
      <c r="E2285" s="128" t="s">
        <v>132</v>
      </c>
      <c r="F2285" s="128">
        <v>0</v>
      </c>
      <c r="G2285" s="128">
        <v>0</v>
      </c>
      <c r="H2285" s="128">
        <v>0</v>
      </c>
      <c r="I2285" s="128">
        <v>0</v>
      </c>
    </row>
    <row r="2286" spans="1:9" ht="13.5">
      <c r="A2286" s="128">
        <v>2000</v>
      </c>
      <c r="B2286" s="128" t="s">
        <v>139</v>
      </c>
      <c r="C2286" s="128" t="s">
        <v>22</v>
      </c>
      <c r="D2286" s="128" t="s">
        <v>77</v>
      </c>
      <c r="E2286" s="128" t="s">
        <v>133</v>
      </c>
      <c r="F2286" s="128">
        <v>0</v>
      </c>
      <c r="G2286" s="128">
        <v>0</v>
      </c>
      <c r="H2286" s="128">
        <v>0</v>
      </c>
      <c r="I2286" s="128">
        <v>0</v>
      </c>
    </row>
    <row r="2287" spans="1:9" ht="13.5">
      <c r="A2287" s="128">
        <v>2000</v>
      </c>
      <c r="B2287" s="128" t="s">
        <v>139</v>
      </c>
      <c r="C2287" s="128" t="s">
        <v>22</v>
      </c>
      <c r="D2287" s="128" t="s">
        <v>77</v>
      </c>
      <c r="E2287" s="128" t="s">
        <v>134</v>
      </c>
      <c r="F2287" s="128">
        <v>0</v>
      </c>
      <c r="G2287" s="128">
        <v>0</v>
      </c>
      <c r="H2287" s="128">
        <v>0</v>
      </c>
      <c r="I2287" s="128">
        <v>0</v>
      </c>
    </row>
    <row r="2288" spans="1:9" ht="13.5">
      <c r="A2288" s="128">
        <v>2000</v>
      </c>
      <c r="B2288" s="128" t="s">
        <v>139</v>
      </c>
      <c r="C2288" s="128" t="s">
        <v>22</v>
      </c>
      <c r="D2288" s="128" t="s">
        <v>77</v>
      </c>
      <c r="E2288" s="128" t="s">
        <v>135</v>
      </c>
      <c r="F2288" s="128">
        <v>0</v>
      </c>
      <c r="G2288" s="128">
        <v>0</v>
      </c>
      <c r="H2288" s="128">
        <v>0</v>
      </c>
      <c r="I2288" s="128">
        <v>0</v>
      </c>
    </row>
    <row r="2289" spans="1:9" ht="13.5">
      <c r="A2289" s="128">
        <v>2000</v>
      </c>
      <c r="B2289" s="128" t="s">
        <v>139</v>
      </c>
      <c r="C2289" s="128" t="s">
        <v>22</v>
      </c>
      <c r="D2289" s="128" t="s">
        <v>79</v>
      </c>
      <c r="E2289" s="128" t="s">
        <v>132</v>
      </c>
      <c r="F2289" s="128">
        <v>0</v>
      </c>
      <c r="G2289" s="128">
        <v>0</v>
      </c>
      <c r="H2289" s="128">
        <v>0</v>
      </c>
      <c r="I2289" s="128">
        <v>0</v>
      </c>
    </row>
    <row r="2290" spans="1:9" ht="13.5">
      <c r="A2290" s="128">
        <v>2000</v>
      </c>
      <c r="B2290" s="128" t="s">
        <v>139</v>
      </c>
      <c r="C2290" s="128" t="s">
        <v>22</v>
      </c>
      <c r="D2290" s="128" t="s">
        <v>79</v>
      </c>
      <c r="E2290" s="128" t="s">
        <v>133</v>
      </c>
      <c r="F2290" s="128">
        <v>0</v>
      </c>
      <c r="G2290" s="128">
        <v>0</v>
      </c>
      <c r="H2290" s="128">
        <v>0</v>
      </c>
      <c r="I2290" s="128">
        <v>0</v>
      </c>
    </row>
    <row r="2291" spans="1:9" ht="13.5">
      <c r="A2291" s="128">
        <v>2000</v>
      </c>
      <c r="B2291" s="128" t="s">
        <v>139</v>
      </c>
      <c r="C2291" s="128" t="s">
        <v>22</v>
      </c>
      <c r="D2291" s="128" t="s">
        <v>79</v>
      </c>
      <c r="E2291" s="128" t="s">
        <v>134</v>
      </c>
      <c r="F2291" s="128">
        <v>0</v>
      </c>
      <c r="G2291" s="128">
        <v>0</v>
      </c>
      <c r="H2291" s="128">
        <v>0</v>
      </c>
      <c r="I2291" s="128">
        <v>0</v>
      </c>
    </row>
    <row r="2292" spans="1:9" ht="13.5">
      <c r="A2292" s="128">
        <v>2000</v>
      </c>
      <c r="B2292" s="128" t="s">
        <v>139</v>
      </c>
      <c r="C2292" s="128" t="s">
        <v>22</v>
      </c>
      <c r="D2292" s="128" t="s">
        <v>79</v>
      </c>
      <c r="E2292" s="128" t="s">
        <v>135</v>
      </c>
      <c r="F2292" s="128">
        <v>0</v>
      </c>
      <c r="G2292" s="128">
        <v>0</v>
      </c>
      <c r="H2292" s="128">
        <v>0</v>
      </c>
      <c r="I2292" s="128">
        <v>0</v>
      </c>
    </row>
    <row r="2293" spans="1:9" ht="13.5">
      <c r="A2293" s="128">
        <v>2000</v>
      </c>
      <c r="B2293" s="128" t="s">
        <v>139</v>
      </c>
      <c r="C2293" s="128" t="s">
        <v>22</v>
      </c>
      <c r="D2293" s="128" t="s">
        <v>79</v>
      </c>
      <c r="E2293" s="128" t="s">
        <v>136</v>
      </c>
      <c r="F2293" s="128">
        <v>0</v>
      </c>
      <c r="G2293" s="128">
        <v>0</v>
      </c>
      <c r="H2293" s="128">
        <v>0</v>
      </c>
      <c r="I2293" s="128">
        <v>0</v>
      </c>
    </row>
    <row r="2294" spans="1:9" ht="13.5">
      <c r="A2294" s="128">
        <v>2000</v>
      </c>
      <c r="B2294" s="128" t="s">
        <v>139</v>
      </c>
      <c r="C2294" s="128" t="s">
        <v>22</v>
      </c>
      <c r="D2294" s="128" t="s">
        <v>76</v>
      </c>
      <c r="E2294" s="128" t="s">
        <v>132</v>
      </c>
      <c r="F2294" s="128">
        <v>0</v>
      </c>
      <c r="G2294" s="128">
        <v>0</v>
      </c>
      <c r="H2294" s="128">
        <v>0</v>
      </c>
      <c r="I2294" s="128">
        <v>0</v>
      </c>
    </row>
    <row r="2295" spans="1:9" ht="13.5">
      <c r="A2295" s="128">
        <v>2000</v>
      </c>
      <c r="B2295" s="128" t="s">
        <v>139</v>
      </c>
      <c r="C2295" s="128" t="s">
        <v>22</v>
      </c>
      <c r="D2295" s="128" t="s">
        <v>76</v>
      </c>
      <c r="E2295" s="128" t="s">
        <v>133</v>
      </c>
      <c r="F2295" s="128">
        <v>0</v>
      </c>
      <c r="G2295" s="128">
        <v>0</v>
      </c>
      <c r="H2295" s="128">
        <v>0</v>
      </c>
      <c r="I2295" s="128">
        <v>0</v>
      </c>
    </row>
    <row r="2296" spans="1:9" ht="13.5">
      <c r="A2296" s="128">
        <v>2000</v>
      </c>
      <c r="B2296" s="128" t="s">
        <v>139</v>
      </c>
      <c r="C2296" s="128" t="s">
        <v>22</v>
      </c>
      <c r="D2296" s="128" t="s">
        <v>76</v>
      </c>
      <c r="E2296" s="128" t="s">
        <v>134</v>
      </c>
      <c r="F2296" s="128">
        <v>0</v>
      </c>
      <c r="G2296" s="128">
        <v>0</v>
      </c>
      <c r="H2296" s="128">
        <v>0</v>
      </c>
      <c r="I2296" s="128">
        <v>0</v>
      </c>
    </row>
    <row r="2297" spans="1:9" ht="13.5">
      <c r="A2297" s="128">
        <v>2000</v>
      </c>
      <c r="B2297" s="128" t="s">
        <v>139</v>
      </c>
      <c r="C2297" s="128" t="s">
        <v>22</v>
      </c>
      <c r="D2297" s="128" t="s">
        <v>76</v>
      </c>
      <c r="E2297" s="128" t="s">
        <v>135</v>
      </c>
      <c r="F2297" s="128">
        <v>0</v>
      </c>
      <c r="G2297" s="128">
        <v>0</v>
      </c>
      <c r="H2297" s="128">
        <v>0</v>
      </c>
      <c r="I2297" s="128">
        <v>0</v>
      </c>
    </row>
    <row r="2298" spans="1:9" ht="13.5">
      <c r="A2298" s="128">
        <v>2000</v>
      </c>
      <c r="B2298" s="128" t="s">
        <v>139</v>
      </c>
      <c r="C2298" s="128" t="s">
        <v>22</v>
      </c>
      <c r="D2298" s="128" t="s">
        <v>76</v>
      </c>
      <c r="E2298" s="128" t="s">
        <v>136</v>
      </c>
      <c r="F2298" s="128">
        <v>0</v>
      </c>
      <c r="G2298" s="128">
        <v>0</v>
      </c>
      <c r="H2298" s="128">
        <v>0</v>
      </c>
      <c r="I2298" s="128">
        <v>0</v>
      </c>
    </row>
    <row r="2299" spans="1:9" ht="13.5">
      <c r="A2299" s="128">
        <v>2000</v>
      </c>
      <c r="B2299" s="128" t="s">
        <v>139</v>
      </c>
      <c r="C2299" s="128" t="s">
        <v>23</v>
      </c>
      <c r="D2299" s="128" t="s">
        <v>77</v>
      </c>
      <c r="E2299" s="128" t="s">
        <v>132</v>
      </c>
      <c r="F2299" s="128">
        <v>0</v>
      </c>
      <c r="G2299" s="128">
        <v>0</v>
      </c>
      <c r="H2299" s="128">
        <v>0</v>
      </c>
      <c r="I2299" s="128">
        <v>0</v>
      </c>
    </row>
    <row r="2300" spans="1:9" ht="13.5">
      <c r="A2300" s="128">
        <v>2000</v>
      </c>
      <c r="B2300" s="128" t="s">
        <v>139</v>
      </c>
      <c r="C2300" s="128" t="s">
        <v>23</v>
      </c>
      <c r="D2300" s="128" t="s">
        <v>77</v>
      </c>
      <c r="E2300" s="128" t="s">
        <v>133</v>
      </c>
      <c r="F2300" s="128">
        <v>0</v>
      </c>
      <c r="G2300" s="128">
        <v>0</v>
      </c>
      <c r="H2300" s="128">
        <v>0</v>
      </c>
      <c r="I2300" s="128">
        <v>0</v>
      </c>
    </row>
    <row r="2301" spans="1:9" ht="13.5">
      <c r="A2301" s="128">
        <v>2000</v>
      </c>
      <c r="B2301" s="128" t="s">
        <v>139</v>
      </c>
      <c r="C2301" s="128" t="s">
        <v>23</v>
      </c>
      <c r="D2301" s="128" t="s">
        <v>77</v>
      </c>
      <c r="E2301" s="128" t="s">
        <v>134</v>
      </c>
      <c r="F2301" s="128">
        <v>0</v>
      </c>
      <c r="G2301" s="128">
        <v>0</v>
      </c>
      <c r="H2301" s="128">
        <v>0</v>
      </c>
      <c r="I2301" s="128">
        <v>0</v>
      </c>
    </row>
    <row r="2302" spans="1:9" ht="13.5">
      <c r="A2302" s="128">
        <v>2000</v>
      </c>
      <c r="B2302" s="128" t="s">
        <v>139</v>
      </c>
      <c r="C2302" s="128" t="s">
        <v>23</v>
      </c>
      <c r="D2302" s="128" t="s">
        <v>77</v>
      </c>
      <c r="E2302" s="128" t="s">
        <v>135</v>
      </c>
      <c r="F2302" s="128">
        <v>0</v>
      </c>
      <c r="G2302" s="128">
        <v>0</v>
      </c>
      <c r="H2302" s="128">
        <v>0</v>
      </c>
      <c r="I2302" s="128">
        <v>0</v>
      </c>
    </row>
    <row r="2303" spans="1:9" ht="13.5">
      <c r="A2303" s="128">
        <v>2000</v>
      </c>
      <c r="B2303" s="128" t="s">
        <v>139</v>
      </c>
      <c r="C2303" s="128" t="s">
        <v>23</v>
      </c>
      <c r="D2303" s="128" t="s">
        <v>79</v>
      </c>
      <c r="E2303" s="128" t="s">
        <v>132</v>
      </c>
      <c r="F2303" s="128">
        <v>0</v>
      </c>
      <c r="G2303" s="128">
        <v>0</v>
      </c>
      <c r="H2303" s="128">
        <v>0</v>
      </c>
      <c r="I2303" s="128">
        <v>0</v>
      </c>
    </row>
    <row r="2304" spans="1:9" ht="13.5">
      <c r="A2304" s="128">
        <v>2000</v>
      </c>
      <c r="B2304" s="128" t="s">
        <v>139</v>
      </c>
      <c r="C2304" s="128" t="s">
        <v>23</v>
      </c>
      <c r="D2304" s="128" t="s">
        <v>79</v>
      </c>
      <c r="E2304" s="128" t="s">
        <v>133</v>
      </c>
      <c r="F2304" s="128">
        <v>0</v>
      </c>
      <c r="G2304" s="128">
        <v>0</v>
      </c>
      <c r="H2304" s="128">
        <v>0</v>
      </c>
      <c r="I2304" s="128">
        <v>0</v>
      </c>
    </row>
    <row r="2305" spans="1:9" ht="13.5">
      <c r="A2305" s="128">
        <v>2000</v>
      </c>
      <c r="B2305" s="128" t="s">
        <v>139</v>
      </c>
      <c r="C2305" s="128" t="s">
        <v>23</v>
      </c>
      <c r="D2305" s="128" t="s">
        <v>79</v>
      </c>
      <c r="E2305" s="128" t="s">
        <v>134</v>
      </c>
      <c r="F2305" s="128">
        <v>0</v>
      </c>
      <c r="G2305" s="128">
        <v>0</v>
      </c>
      <c r="H2305" s="128">
        <v>0</v>
      </c>
      <c r="I2305" s="128">
        <v>0</v>
      </c>
    </row>
    <row r="2306" spans="1:9" ht="13.5">
      <c r="A2306" s="128">
        <v>2000</v>
      </c>
      <c r="B2306" s="128" t="s">
        <v>139</v>
      </c>
      <c r="C2306" s="128" t="s">
        <v>23</v>
      </c>
      <c r="D2306" s="128" t="s">
        <v>79</v>
      </c>
      <c r="E2306" s="128" t="s">
        <v>135</v>
      </c>
      <c r="F2306" s="128">
        <v>0</v>
      </c>
      <c r="G2306" s="128">
        <v>0</v>
      </c>
      <c r="H2306" s="128">
        <v>0</v>
      </c>
      <c r="I2306" s="128">
        <v>0</v>
      </c>
    </row>
    <row r="2307" spans="1:9" ht="13.5">
      <c r="A2307" s="128">
        <v>2000</v>
      </c>
      <c r="B2307" s="128" t="s">
        <v>139</v>
      </c>
      <c r="C2307" s="128" t="s">
        <v>23</v>
      </c>
      <c r="D2307" s="128" t="s">
        <v>79</v>
      </c>
      <c r="E2307" s="128" t="s">
        <v>136</v>
      </c>
      <c r="F2307" s="128">
        <v>0</v>
      </c>
      <c r="G2307" s="128">
        <v>0</v>
      </c>
      <c r="H2307" s="128">
        <v>0</v>
      </c>
      <c r="I2307" s="128">
        <v>0</v>
      </c>
    </row>
    <row r="2308" spans="1:9" ht="13.5">
      <c r="A2308" s="128">
        <v>2000</v>
      </c>
      <c r="B2308" s="128" t="s">
        <v>139</v>
      </c>
      <c r="C2308" s="128" t="s">
        <v>23</v>
      </c>
      <c r="D2308" s="128" t="s">
        <v>76</v>
      </c>
      <c r="E2308" s="128" t="s">
        <v>132</v>
      </c>
      <c r="F2308" s="128">
        <v>0</v>
      </c>
      <c r="G2308" s="128">
        <v>0</v>
      </c>
      <c r="H2308" s="128">
        <v>0</v>
      </c>
      <c r="I2308" s="128">
        <v>0</v>
      </c>
    </row>
    <row r="2309" spans="1:9" ht="13.5">
      <c r="A2309" s="128">
        <v>2000</v>
      </c>
      <c r="B2309" s="128" t="s">
        <v>139</v>
      </c>
      <c r="C2309" s="128" t="s">
        <v>23</v>
      </c>
      <c r="D2309" s="128" t="s">
        <v>76</v>
      </c>
      <c r="E2309" s="128" t="s">
        <v>133</v>
      </c>
      <c r="F2309" s="128">
        <v>0</v>
      </c>
      <c r="G2309" s="128">
        <v>0</v>
      </c>
      <c r="H2309" s="128">
        <v>0</v>
      </c>
      <c r="I2309" s="128">
        <v>0</v>
      </c>
    </row>
    <row r="2310" spans="1:9" ht="13.5">
      <c r="A2310" s="128">
        <v>2000</v>
      </c>
      <c r="B2310" s="128" t="s">
        <v>139</v>
      </c>
      <c r="C2310" s="128" t="s">
        <v>23</v>
      </c>
      <c r="D2310" s="128" t="s">
        <v>76</v>
      </c>
      <c r="E2310" s="128" t="s">
        <v>134</v>
      </c>
      <c r="F2310" s="128">
        <v>0</v>
      </c>
      <c r="G2310" s="128">
        <v>0</v>
      </c>
      <c r="H2310" s="128">
        <v>0</v>
      </c>
      <c r="I2310" s="128">
        <v>0</v>
      </c>
    </row>
    <row r="2311" spans="1:9" ht="13.5">
      <c r="A2311" s="128">
        <v>2000</v>
      </c>
      <c r="B2311" s="128" t="s">
        <v>139</v>
      </c>
      <c r="C2311" s="128" t="s">
        <v>23</v>
      </c>
      <c r="D2311" s="128" t="s">
        <v>76</v>
      </c>
      <c r="E2311" s="128" t="s">
        <v>135</v>
      </c>
      <c r="F2311" s="128">
        <v>0</v>
      </c>
      <c r="G2311" s="128">
        <v>0</v>
      </c>
      <c r="H2311" s="128">
        <v>0</v>
      </c>
      <c r="I2311" s="128">
        <v>0</v>
      </c>
    </row>
    <row r="2312" spans="1:9" ht="13.5">
      <c r="A2312" s="128">
        <v>2000</v>
      </c>
      <c r="B2312" s="128" t="s">
        <v>139</v>
      </c>
      <c r="C2312" s="128" t="s">
        <v>23</v>
      </c>
      <c r="D2312" s="128" t="s">
        <v>76</v>
      </c>
      <c r="E2312" s="128" t="s">
        <v>136</v>
      </c>
      <c r="F2312" s="128">
        <v>0</v>
      </c>
      <c r="G2312" s="128">
        <v>0</v>
      </c>
      <c r="H2312" s="128">
        <v>0</v>
      </c>
      <c r="I2312" s="128">
        <v>0</v>
      </c>
    </row>
    <row r="2313" spans="1:9" ht="13.5">
      <c r="A2313" s="128">
        <v>2000</v>
      </c>
      <c r="B2313" s="128" t="s">
        <v>139</v>
      </c>
      <c r="C2313" s="128" t="s">
        <v>25</v>
      </c>
      <c r="D2313" s="128" t="s">
        <v>77</v>
      </c>
      <c r="E2313" s="128" t="s">
        <v>132</v>
      </c>
      <c r="F2313" s="128">
        <v>0</v>
      </c>
      <c r="G2313" s="128">
        <v>0</v>
      </c>
      <c r="H2313" s="128">
        <v>0</v>
      </c>
      <c r="I2313" s="128">
        <v>0</v>
      </c>
    </row>
    <row r="2314" spans="1:9" ht="13.5">
      <c r="A2314" s="128">
        <v>2000</v>
      </c>
      <c r="B2314" s="128" t="s">
        <v>139</v>
      </c>
      <c r="C2314" s="128" t="s">
        <v>25</v>
      </c>
      <c r="D2314" s="128" t="s">
        <v>77</v>
      </c>
      <c r="E2314" s="128" t="s">
        <v>133</v>
      </c>
      <c r="F2314" s="128">
        <v>0</v>
      </c>
      <c r="G2314" s="128">
        <v>0</v>
      </c>
      <c r="H2314" s="128">
        <v>0</v>
      </c>
      <c r="I2314" s="128">
        <v>0</v>
      </c>
    </row>
    <row r="2315" spans="1:9" ht="13.5">
      <c r="A2315" s="128">
        <v>2000</v>
      </c>
      <c r="B2315" s="128" t="s">
        <v>139</v>
      </c>
      <c r="C2315" s="128" t="s">
        <v>25</v>
      </c>
      <c r="D2315" s="128" t="s">
        <v>77</v>
      </c>
      <c r="E2315" s="128" t="s">
        <v>134</v>
      </c>
      <c r="F2315" s="128">
        <v>0</v>
      </c>
      <c r="G2315" s="128">
        <v>0</v>
      </c>
      <c r="H2315" s="128">
        <v>0</v>
      </c>
      <c r="I2315" s="128">
        <v>0</v>
      </c>
    </row>
    <row r="2316" spans="1:9" ht="13.5">
      <c r="A2316" s="128">
        <v>2000</v>
      </c>
      <c r="B2316" s="128" t="s">
        <v>139</v>
      </c>
      <c r="C2316" s="128" t="s">
        <v>25</v>
      </c>
      <c r="D2316" s="128" t="s">
        <v>77</v>
      </c>
      <c r="E2316" s="128" t="s">
        <v>135</v>
      </c>
      <c r="F2316" s="128">
        <v>0</v>
      </c>
      <c r="G2316" s="128">
        <v>0</v>
      </c>
      <c r="H2316" s="128">
        <v>0</v>
      </c>
      <c r="I2316" s="128">
        <v>0</v>
      </c>
    </row>
    <row r="2317" spans="1:9" ht="13.5">
      <c r="A2317" s="128">
        <v>2000</v>
      </c>
      <c r="B2317" s="128" t="s">
        <v>139</v>
      </c>
      <c r="C2317" s="128" t="s">
        <v>25</v>
      </c>
      <c r="D2317" s="128" t="s">
        <v>79</v>
      </c>
      <c r="E2317" s="128" t="s">
        <v>132</v>
      </c>
      <c r="F2317" s="128">
        <v>0</v>
      </c>
      <c r="G2317" s="128">
        <v>0</v>
      </c>
      <c r="H2317" s="128">
        <v>0</v>
      </c>
      <c r="I2317" s="128">
        <v>0</v>
      </c>
    </row>
    <row r="2318" spans="1:9" ht="13.5">
      <c r="A2318" s="128">
        <v>2000</v>
      </c>
      <c r="B2318" s="128" t="s">
        <v>139</v>
      </c>
      <c r="C2318" s="128" t="s">
        <v>25</v>
      </c>
      <c r="D2318" s="128" t="s">
        <v>79</v>
      </c>
      <c r="E2318" s="128" t="s">
        <v>133</v>
      </c>
      <c r="F2318" s="128">
        <v>0</v>
      </c>
      <c r="G2318" s="128">
        <v>0</v>
      </c>
      <c r="H2318" s="128">
        <v>0</v>
      </c>
      <c r="I2318" s="128">
        <v>0</v>
      </c>
    </row>
    <row r="2319" spans="1:9" ht="13.5">
      <c r="A2319" s="128">
        <v>2000</v>
      </c>
      <c r="B2319" s="128" t="s">
        <v>139</v>
      </c>
      <c r="C2319" s="128" t="s">
        <v>25</v>
      </c>
      <c r="D2319" s="128" t="s">
        <v>79</v>
      </c>
      <c r="E2319" s="128" t="s">
        <v>134</v>
      </c>
      <c r="F2319" s="128">
        <v>0</v>
      </c>
      <c r="G2319" s="128">
        <v>0</v>
      </c>
      <c r="H2319" s="128">
        <v>0</v>
      </c>
      <c r="I2319" s="128">
        <v>0</v>
      </c>
    </row>
    <row r="2320" spans="1:9" ht="13.5">
      <c r="A2320" s="128">
        <v>2000</v>
      </c>
      <c r="B2320" s="128" t="s">
        <v>139</v>
      </c>
      <c r="C2320" s="128" t="s">
        <v>25</v>
      </c>
      <c r="D2320" s="128" t="s">
        <v>79</v>
      </c>
      <c r="E2320" s="128" t="s">
        <v>135</v>
      </c>
      <c r="F2320" s="128">
        <v>0</v>
      </c>
      <c r="G2320" s="128">
        <v>0</v>
      </c>
      <c r="H2320" s="128">
        <v>0</v>
      </c>
      <c r="I2320" s="128">
        <v>0</v>
      </c>
    </row>
    <row r="2321" spans="1:9" ht="13.5">
      <c r="A2321" s="128">
        <v>2000</v>
      </c>
      <c r="B2321" s="128" t="s">
        <v>139</v>
      </c>
      <c r="C2321" s="128" t="s">
        <v>25</v>
      </c>
      <c r="D2321" s="128" t="s">
        <v>79</v>
      </c>
      <c r="E2321" s="128" t="s">
        <v>136</v>
      </c>
      <c r="F2321" s="128">
        <v>0</v>
      </c>
      <c r="G2321" s="128">
        <v>0</v>
      </c>
      <c r="H2321" s="128">
        <v>0</v>
      </c>
      <c r="I2321" s="128">
        <v>0</v>
      </c>
    </row>
    <row r="2322" spans="1:9" ht="13.5">
      <c r="A2322" s="128">
        <v>2000</v>
      </c>
      <c r="B2322" s="128" t="s">
        <v>139</v>
      </c>
      <c r="C2322" s="128" t="s">
        <v>25</v>
      </c>
      <c r="D2322" s="128" t="s">
        <v>76</v>
      </c>
      <c r="E2322" s="128" t="s">
        <v>132</v>
      </c>
      <c r="F2322" s="128">
        <v>0</v>
      </c>
      <c r="G2322" s="128">
        <v>0</v>
      </c>
      <c r="H2322" s="128">
        <v>0</v>
      </c>
      <c r="I2322" s="128">
        <v>0</v>
      </c>
    </row>
    <row r="2323" spans="1:9" ht="13.5">
      <c r="A2323" s="128">
        <v>2000</v>
      </c>
      <c r="B2323" s="128" t="s">
        <v>139</v>
      </c>
      <c r="C2323" s="128" t="s">
        <v>25</v>
      </c>
      <c r="D2323" s="128" t="s">
        <v>76</v>
      </c>
      <c r="E2323" s="128" t="s">
        <v>133</v>
      </c>
      <c r="F2323" s="128">
        <v>0</v>
      </c>
      <c r="G2323" s="128">
        <v>0</v>
      </c>
      <c r="H2323" s="128">
        <v>0</v>
      </c>
      <c r="I2323" s="128">
        <v>0</v>
      </c>
    </row>
    <row r="2324" spans="1:9" ht="13.5">
      <c r="A2324" s="128">
        <v>2000</v>
      </c>
      <c r="B2324" s="128" t="s">
        <v>139</v>
      </c>
      <c r="C2324" s="128" t="s">
        <v>25</v>
      </c>
      <c r="D2324" s="128" t="s">
        <v>76</v>
      </c>
      <c r="E2324" s="128" t="s">
        <v>134</v>
      </c>
      <c r="F2324" s="128">
        <v>0</v>
      </c>
      <c r="G2324" s="128">
        <v>0</v>
      </c>
      <c r="H2324" s="128">
        <v>0</v>
      </c>
      <c r="I2324" s="128">
        <v>0</v>
      </c>
    </row>
    <row r="2325" spans="1:9" ht="13.5">
      <c r="A2325" s="128">
        <v>2000</v>
      </c>
      <c r="B2325" s="128" t="s">
        <v>139</v>
      </c>
      <c r="C2325" s="128" t="s">
        <v>25</v>
      </c>
      <c r="D2325" s="128" t="s">
        <v>76</v>
      </c>
      <c r="E2325" s="128" t="s">
        <v>135</v>
      </c>
      <c r="F2325" s="128">
        <v>0</v>
      </c>
      <c r="G2325" s="128">
        <v>0</v>
      </c>
      <c r="H2325" s="128">
        <v>0</v>
      </c>
      <c r="I2325" s="128">
        <v>0</v>
      </c>
    </row>
    <row r="2326" spans="1:9" ht="13.5">
      <c r="A2326" s="128">
        <v>2000</v>
      </c>
      <c r="B2326" s="128" t="s">
        <v>139</v>
      </c>
      <c r="C2326" s="128" t="s">
        <v>25</v>
      </c>
      <c r="D2326" s="128" t="s">
        <v>76</v>
      </c>
      <c r="E2326" s="128" t="s">
        <v>136</v>
      </c>
      <c r="F2326" s="128">
        <v>0</v>
      </c>
      <c r="G2326" s="128">
        <v>0</v>
      </c>
      <c r="H2326" s="128">
        <v>0</v>
      </c>
      <c r="I2326" s="128">
        <v>0</v>
      </c>
    </row>
    <row r="2327" spans="1:9" ht="13.5">
      <c r="A2327" s="128">
        <v>2000</v>
      </c>
      <c r="B2327" s="128" t="s">
        <v>139</v>
      </c>
      <c r="C2327" s="128" t="s">
        <v>21</v>
      </c>
      <c r="D2327" s="128" t="s">
        <v>77</v>
      </c>
      <c r="E2327" s="128" t="s">
        <v>132</v>
      </c>
      <c r="F2327" s="128">
        <v>0</v>
      </c>
      <c r="G2327" s="128">
        <v>0</v>
      </c>
      <c r="H2327" s="128">
        <v>0</v>
      </c>
      <c r="I2327" s="128">
        <v>0</v>
      </c>
    </row>
    <row r="2328" spans="1:9" ht="13.5">
      <c r="A2328" s="128">
        <v>2000</v>
      </c>
      <c r="B2328" s="128" t="s">
        <v>139</v>
      </c>
      <c r="C2328" s="128" t="s">
        <v>21</v>
      </c>
      <c r="D2328" s="128" t="s">
        <v>77</v>
      </c>
      <c r="E2328" s="128" t="s">
        <v>133</v>
      </c>
      <c r="F2328" s="128">
        <v>0</v>
      </c>
      <c r="G2328" s="128">
        <v>0</v>
      </c>
      <c r="H2328" s="128">
        <v>0</v>
      </c>
      <c r="I2328" s="128">
        <v>0</v>
      </c>
    </row>
    <row r="2329" spans="1:9" ht="13.5">
      <c r="A2329" s="128">
        <v>2000</v>
      </c>
      <c r="B2329" s="128" t="s">
        <v>139</v>
      </c>
      <c r="C2329" s="128" t="s">
        <v>21</v>
      </c>
      <c r="D2329" s="128" t="s">
        <v>77</v>
      </c>
      <c r="E2329" s="128" t="s">
        <v>134</v>
      </c>
      <c r="F2329" s="128">
        <v>0</v>
      </c>
      <c r="G2329" s="128">
        <v>0</v>
      </c>
      <c r="H2329" s="128">
        <v>0</v>
      </c>
      <c r="I2329" s="128">
        <v>0</v>
      </c>
    </row>
    <row r="2330" spans="1:9" ht="13.5">
      <c r="A2330" s="128">
        <v>2000</v>
      </c>
      <c r="B2330" s="128" t="s">
        <v>139</v>
      </c>
      <c r="C2330" s="128" t="s">
        <v>21</v>
      </c>
      <c r="D2330" s="128" t="s">
        <v>77</v>
      </c>
      <c r="E2330" s="128" t="s">
        <v>135</v>
      </c>
      <c r="F2330" s="128">
        <v>0</v>
      </c>
      <c r="G2330" s="128">
        <v>0</v>
      </c>
      <c r="H2330" s="128">
        <v>0</v>
      </c>
      <c r="I2330" s="128">
        <v>0</v>
      </c>
    </row>
    <row r="2331" spans="1:9" ht="13.5">
      <c r="A2331" s="128">
        <v>2000</v>
      </c>
      <c r="B2331" s="128" t="s">
        <v>139</v>
      </c>
      <c r="C2331" s="128" t="s">
        <v>21</v>
      </c>
      <c r="D2331" s="128" t="s">
        <v>79</v>
      </c>
      <c r="E2331" s="128" t="s">
        <v>132</v>
      </c>
      <c r="F2331" s="128">
        <v>0</v>
      </c>
      <c r="G2331" s="128">
        <v>0</v>
      </c>
      <c r="H2331" s="128">
        <v>0</v>
      </c>
      <c r="I2331" s="128">
        <v>0</v>
      </c>
    </row>
    <row r="2332" spans="1:9" ht="13.5">
      <c r="A2332" s="128">
        <v>2000</v>
      </c>
      <c r="B2332" s="128" t="s">
        <v>139</v>
      </c>
      <c r="C2332" s="128" t="s">
        <v>21</v>
      </c>
      <c r="D2332" s="128" t="s">
        <v>79</v>
      </c>
      <c r="E2332" s="128" t="s">
        <v>133</v>
      </c>
      <c r="F2332" s="128">
        <v>0</v>
      </c>
      <c r="G2332" s="128">
        <v>0</v>
      </c>
      <c r="H2332" s="128">
        <v>0</v>
      </c>
      <c r="I2332" s="128">
        <v>0</v>
      </c>
    </row>
    <row r="2333" spans="1:9" ht="13.5">
      <c r="A2333" s="128">
        <v>2000</v>
      </c>
      <c r="B2333" s="128" t="s">
        <v>139</v>
      </c>
      <c r="C2333" s="128" t="s">
        <v>21</v>
      </c>
      <c r="D2333" s="128" t="s">
        <v>79</v>
      </c>
      <c r="E2333" s="128" t="s">
        <v>134</v>
      </c>
      <c r="F2333" s="128">
        <v>0</v>
      </c>
      <c r="G2333" s="128">
        <v>0</v>
      </c>
      <c r="H2333" s="128">
        <v>0</v>
      </c>
      <c r="I2333" s="128">
        <v>0</v>
      </c>
    </row>
    <row r="2334" spans="1:9" ht="13.5">
      <c r="A2334" s="128">
        <v>2000</v>
      </c>
      <c r="B2334" s="128" t="s">
        <v>139</v>
      </c>
      <c r="C2334" s="128" t="s">
        <v>21</v>
      </c>
      <c r="D2334" s="128" t="s">
        <v>79</v>
      </c>
      <c r="E2334" s="128" t="s">
        <v>135</v>
      </c>
      <c r="F2334" s="128">
        <v>0</v>
      </c>
      <c r="G2334" s="128">
        <v>0</v>
      </c>
      <c r="H2334" s="128">
        <v>0</v>
      </c>
      <c r="I2334" s="128">
        <v>0</v>
      </c>
    </row>
    <row r="2335" spans="1:9" ht="13.5">
      <c r="A2335" s="128">
        <v>2000</v>
      </c>
      <c r="B2335" s="128" t="s">
        <v>139</v>
      </c>
      <c r="C2335" s="128" t="s">
        <v>21</v>
      </c>
      <c r="D2335" s="128" t="s">
        <v>79</v>
      </c>
      <c r="E2335" s="128" t="s">
        <v>136</v>
      </c>
      <c r="F2335" s="128">
        <v>0</v>
      </c>
      <c r="G2335" s="128">
        <v>0</v>
      </c>
      <c r="H2335" s="128">
        <v>0</v>
      </c>
      <c r="I2335" s="128">
        <v>0</v>
      </c>
    </row>
    <row r="2336" spans="1:9" ht="13.5">
      <c r="A2336" s="128">
        <v>2000</v>
      </c>
      <c r="B2336" s="128" t="s">
        <v>139</v>
      </c>
      <c r="C2336" s="128" t="s">
        <v>21</v>
      </c>
      <c r="D2336" s="128" t="s">
        <v>76</v>
      </c>
      <c r="E2336" s="128" t="s">
        <v>132</v>
      </c>
      <c r="F2336" s="128">
        <v>0</v>
      </c>
      <c r="G2336" s="128">
        <v>0</v>
      </c>
      <c r="H2336" s="128">
        <v>0</v>
      </c>
      <c r="I2336" s="128">
        <v>0</v>
      </c>
    </row>
    <row r="2337" spans="1:9" ht="13.5">
      <c r="A2337" s="128">
        <v>2000</v>
      </c>
      <c r="B2337" s="128" t="s">
        <v>139</v>
      </c>
      <c r="C2337" s="128" t="s">
        <v>21</v>
      </c>
      <c r="D2337" s="128" t="s">
        <v>76</v>
      </c>
      <c r="E2337" s="128" t="s">
        <v>133</v>
      </c>
      <c r="F2337" s="128">
        <v>0</v>
      </c>
      <c r="G2337" s="128">
        <v>0</v>
      </c>
      <c r="H2337" s="128">
        <v>0</v>
      </c>
      <c r="I2337" s="128">
        <v>0</v>
      </c>
    </row>
    <row r="2338" spans="1:9" ht="13.5">
      <c r="A2338" s="128">
        <v>2000</v>
      </c>
      <c r="B2338" s="128" t="s">
        <v>139</v>
      </c>
      <c r="C2338" s="128" t="s">
        <v>21</v>
      </c>
      <c r="D2338" s="128" t="s">
        <v>76</v>
      </c>
      <c r="E2338" s="128" t="s">
        <v>134</v>
      </c>
      <c r="F2338" s="128">
        <v>0</v>
      </c>
      <c r="G2338" s="128">
        <v>0</v>
      </c>
      <c r="H2338" s="128">
        <v>0</v>
      </c>
      <c r="I2338" s="128">
        <v>0</v>
      </c>
    </row>
    <row r="2339" spans="1:9" ht="13.5">
      <c r="A2339" s="128">
        <v>2000</v>
      </c>
      <c r="B2339" s="128" t="s">
        <v>139</v>
      </c>
      <c r="C2339" s="128" t="s">
        <v>21</v>
      </c>
      <c r="D2339" s="128" t="s">
        <v>76</v>
      </c>
      <c r="E2339" s="128" t="s">
        <v>135</v>
      </c>
      <c r="F2339" s="128">
        <v>0</v>
      </c>
      <c r="G2339" s="128">
        <v>0</v>
      </c>
      <c r="H2339" s="128">
        <v>0</v>
      </c>
      <c r="I2339" s="128">
        <v>0</v>
      </c>
    </row>
    <row r="2340" spans="1:9" ht="13.5">
      <c r="A2340" s="128">
        <v>2000</v>
      </c>
      <c r="B2340" s="128" t="s">
        <v>139</v>
      </c>
      <c r="C2340" s="128" t="s">
        <v>21</v>
      </c>
      <c r="D2340" s="128" t="s">
        <v>76</v>
      </c>
      <c r="E2340" s="128" t="s">
        <v>136</v>
      </c>
      <c r="F2340" s="128">
        <v>0</v>
      </c>
      <c r="G2340" s="128">
        <v>0</v>
      </c>
      <c r="H2340" s="128">
        <v>0</v>
      </c>
      <c r="I2340" s="128">
        <v>0</v>
      </c>
    </row>
    <row r="2341" spans="1:9" ht="13.5">
      <c r="A2341" s="128">
        <v>2000</v>
      </c>
      <c r="B2341" s="128" t="s">
        <v>139</v>
      </c>
      <c r="C2341" s="128" t="s">
        <v>24</v>
      </c>
      <c r="D2341" s="128" t="s">
        <v>77</v>
      </c>
      <c r="E2341" s="128" t="s">
        <v>132</v>
      </c>
      <c r="F2341" s="128">
        <v>0</v>
      </c>
      <c r="G2341" s="128">
        <v>0</v>
      </c>
      <c r="H2341" s="128">
        <v>0</v>
      </c>
      <c r="I2341" s="128">
        <v>0</v>
      </c>
    </row>
    <row r="2342" spans="1:9" ht="13.5">
      <c r="A2342" s="128">
        <v>2000</v>
      </c>
      <c r="B2342" s="128" t="s">
        <v>139</v>
      </c>
      <c r="C2342" s="128" t="s">
        <v>24</v>
      </c>
      <c r="D2342" s="128" t="s">
        <v>77</v>
      </c>
      <c r="E2342" s="128" t="s">
        <v>133</v>
      </c>
      <c r="F2342" s="128">
        <v>0</v>
      </c>
      <c r="G2342" s="128">
        <v>0</v>
      </c>
      <c r="H2342" s="128">
        <v>0</v>
      </c>
      <c r="I2342" s="128">
        <v>0</v>
      </c>
    </row>
    <row r="2343" spans="1:9" ht="13.5">
      <c r="A2343" s="128">
        <v>2000</v>
      </c>
      <c r="B2343" s="128" t="s">
        <v>139</v>
      </c>
      <c r="C2343" s="128" t="s">
        <v>24</v>
      </c>
      <c r="D2343" s="128" t="s">
        <v>77</v>
      </c>
      <c r="E2343" s="128" t="s">
        <v>134</v>
      </c>
      <c r="F2343" s="128">
        <v>0</v>
      </c>
      <c r="G2343" s="128">
        <v>0</v>
      </c>
      <c r="H2343" s="128">
        <v>0</v>
      </c>
      <c r="I2343" s="128">
        <v>0</v>
      </c>
    </row>
    <row r="2344" spans="1:9" ht="13.5">
      <c r="A2344" s="128">
        <v>2000</v>
      </c>
      <c r="B2344" s="128" t="s">
        <v>139</v>
      </c>
      <c r="C2344" s="128" t="s">
        <v>24</v>
      </c>
      <c r="D2344" s="128" t="s">
        <v>77</v>
      </c>
      <c r="E2344" s="128" t="s">
        <v>135</v>
      </c>
      <c r="F2344" s="128">
        <v>0</v>
      </c>
      <c r="G2344" s="128">
        <v>0</v>
      </c>
      <c r="H2344" s="128">
        <v>0</v>
      </c>
      <c r="I2344" s="128">
        <v>0</v>
      </c>
    </row>
    <row r="2345" spans="1:9" ht="13.5">
      <c r="A2345" s="128">
        <v>2000</v>
      </c>
      <c r="B2345" s="128" t="s">
        <v>139</v>
      </c>
      <c r="C2345" s="128" t="s">
        <v>24</v>
      </c>
      <c r="D2345" s="128" t="s">
        <v>79</v>
      </c>
      <c r="E2345" s="128" t="s">
        <v>132</v>
      </c>
      <c r="F2345" s="128">
        <v>0</v>
      </c>
      <c r="G2345" s="128">
        <v>0</v>
      </c>
      <c r="H2345" s="128">
        <v>0</v>
      </c>
      <c r="I2345" s="128">
        <v>0</v>
      </c>
    </row>
    <row r="2346" spans="1:9" ht="13.5">
      <c r="A2346" s="128">
        <v>2000</v>
      </c>
      <c r="B2346" s="128" t="s">
        <v>139</v>
      </c>
      <c r="C2346" s="128" t="s">
        <v>24</v>
      </c>
      <c r="D2346" s="128" t="s">
        <v>79</v>
      </c>
      <c r="E2346" s="128" t="s">
        <v>133</v>
      </c>
      <c r="F2346" s="128">
        <v>0</v>
      </c>
      <c r="G2346" s="128">
        <v>0</v>
      </c>
      <c r="H2346" s="128">
        <v>0</v>
      </c>
      <c r="I2346" s="128">
        <v>0</v>
      </c>
    </row>
    <row r="2347" spans="1:9" ht="13.5">
      <c r="A2347" s="128">
        <v>2000</v>
      </c>
      <c r="B2347" s="128" t="s">
        <v>139</v>
      </c>
      <c r="C2347" s="128" t="s">
        <v>24</v>
      </c>
      <c r="D2347" s="128" t="s">
        <v>79</v>
      </c>
      <c r="E2347" s="128" t="s">
        <v>134</v>
      </c>
      <c r="F2347" s="128">
        <v>0</v>
      </c>
      <c r="G2347" s="128">
        <v>0</v>
      </c>
      <c r="H2347" s="128">
        <v>0</v>
      </c>
      <c r="I2347" s="128">
        <v>0</v>
      </c>
    </row>
    <row r="2348" spans="1:9" ht="13.5">
      <c r="A2348" s="128">
        <v>2000</v>
      </c>
      <c r="B2348" s="128" t="s">
        <v>139</v>
      </c>
      <c r="C2348" s="128" t="s">
        <v>24</v>
      </c>
      <c r="D2348" s="128" t="s">
        <v>79</v>
      </c>
      <c r="E2348" s="128" t="s">
        <v>135</v>
      </c>
      <c r="F2348" s="128">
        <v>0</v>
      </c>
      <c r="G2348" s="128">
        <v>0</v>
      </c>
      <c r="H2348" s="128">
        <v>0</v>
      </c>
      <c r="I2348" s="128">
        <v>0</v>
      </c>
    </row>
    <row r="2349" spans="1:9" ht="13.5">
      <c r="A2349" s="128">
        <v>2000</v>
      </c>
      <c r="B2349" s="128" t="s">
        <v>139</v>
      </c>
      <c r="C2349" s="128" t="s">
        <v>24</v>
      </c>
      <c r="D2349" s="128" t="s">
        <v>79</v>
      </c>
      <c r="E2349" s="128" t="s">
        <v>136</v>
      </c>
      <c r="F2349" s="128">
        <v>0</v>
      </c>
      <c r="G2349" s="128">
        <v>0</v>
      </c>
      <c r="H2349" s="128">
        <v>0</v>
      </c>
      <c r="I2349" s="128">
        <v>0</v>
      </c>
    </row>
    <row r="2350" spans="1:9" ht="13.5">
      <c r="A2350" s="128">
        <v>2000</v>
      </c>
      <c r="B2350" s="128" t="s">
        <v>139</v>
      </c>
      <c r="C2350" s="128" t="s">
        <v>24</v>
      </c>
      <c r="D2350" s="128" t="s">
        <v>76</v>
      </c>
      <c r="E2350" s="128" t="s">
        <v>132</v>
      </c>
      <c r="F2350" s="128">
        <v>0</v>
      </c>
      <c r="G2350" s="128">
        <v>0</v>
      </c>
      <c r="H2350" s="128">
        <v>0</v>
      </c>
      <c r="I2350" s="128">
        <v>0</v>
      </c>
    </row>
    <row r="2351" spans="1:9" ht="13.5">
      <c r="A2351" s="128">
        <v>2000</v>
      </c>
      <c r="B2351" s="128" t="s">
        <v>139</v>
      </c>
      <c r="C2351" s="128" t="s">
        <v>24</v>
      </c>
      <c r="D2351" s="128" t="s">
        <v>76</v>
      </c>
      <c r="E2351" s="128" t="s">
        <v>133</v>
      </c>
      <c r="F2351" s="128">
        <v>0</v>
      </c>
      <c r="G2351" s="128">
        <v>0</v>
      </c>
      <c r="H2351" s="128">
        <v>0</v>
      </c>
      <c r="I2351" s="128">
        <v>0</v>
      </c>
    </row>
    <row r="2352" spans="1:9" ht="13.5">
      <c r="A2352" s="128">
        <v>2000</v>
      </c>
      <c r="B2352" s="128" t="s">
        <v>139</v>
      </c>
      <c r="C2352" s="128" t="s">
        <v>24</v>
      </c>
      <c r="D2352" s="128" t="s">
        <v>76</v>
      </c>
      <c r="E2352" s="128" t="s">
        <v>134</v>
      </c>
      <c r="F2352" s="128">
        <v>0</v>
      </c>
      <c r="G2352" s="128">
        <v>0</v>
      </c>
      <c r="H2352" s="128">
        <v>0</v>
      </c>
      <c r="I2352" s="128">
        <v>0</v>
      </c>
    </row>
    <row r="2353" spans="1:9" ht="13.5">
      <c r="A2353" s="128">
        <v>2000</v>
      </c>
      <c r="B2353" s="128" t="s">
        <v>139</v>
      </c>
      <c r="C2353" s="128" t="s">
        <v>24</v>
      </c>
      <c r="D2353" s="128" t="s">
        <v>76</v>
      </c>
      <c r="E2353" s="128" t="s">
        <v>135</v>
      </c>
      <c r="F2353" s="128">
        <v>0</v>
      </c>
      <c r="G2353" s="128">
        <v>0</v>
      </c>
      <c r="H2353" s="128">
        <v>0</v>
      </c>
      <c r="I2353" s="128">
        <v>0</v>
      </c>
    </row>
    <row r="2354" spans="1:9" ht="13.5">
      <c r="A2354" s="128">
        <v>2000</v>
      </c>
      <c r="B2354" s="128" t="s">
        <v>139</v>
      </c>
      <c r="C2354" s="128" t="s">
        <v>24</v>
      </c>
      <c r="D2354" s="128" t="s">
        <v>76</v>
      </c>
      <c r="E2354" s="128" t="s">
        <v>136</v>
      </c>
      <c r="F2354" s="128">
        <v>0</v>
      </c>
      <c r="G2354" s="128">
        <v>0</v>
      </c>
      <c r="H2354" s="128">
        <v>0</v>
      </c>
      <c r="I2354" s="128">
        <v>0</v>
      </c>
    </row>
    <row r="2355" spans="1:9" ht="13.5">
      <c r="A2355" s="128">
        <v>2000</v>
      </c>
      <c r="B2355" s="128" t="s">
        <v>137</v>
      </c>
      <c r="C2355" s="128" t="s">
        <v>26</v>
      </c>
      <c r="D2355" s="128" t="s">
        <v>77</v>
      </c>
      <c r="E2355" s="128" t="s">
        <v>132</v>
      </c>
      <c r="F2355" s="128">
        <v>0</v>
      </c>
      <c r="G2355" s="128">
        <v>0</v>
      </c>
      <c r="H2355" s="128">
        <v>0</v>
      </c>
      <c r="I2355" s="128">
        <v>0</v>
      </c>
    </row>
    <row r="2356" spans="1:9" ht="13.5">
      <c r="A2356" s="128">
        <v>2000</v>
      </c>
      <c r="B2356" s="128" t="s">
        <v>137</v>
      </c>
      <c r="C2356" s="128" t="s">
        <v>26</v>
      </c>
      <c r="D2356" s="128" t="s">
        <v>77</v>
      </c>
      <c r="E2356" s="128" t="s">
        <v>133</v>
      </c>
      <c r="F2356" s="128">
        <v>0</v>
      </c>
      <c r="G2356" s="128">
        <v>0</v>
      </c>
      <c r="H2356" s="128">
        <v>0</v>
      </c>
      <c r="I2356" s="128">
        <v>0</v>
      </c>
    </row>
    <row r="2357" spans="1:9" ht="13.5">
      <c r="A2357" s="128">
        <v>2000</v>
      </c>
      <c r="B2357" s="128" t="s">
        <v>137</v>
      </c>
      <c r="C2357" s="128" t="s">
        <v>26</v>
      </c>
      <c r="D2357" s="128" t="s">
        <v>77</v>
      </c>
      <c r="E2357" s="128" t="s">
        <v>134</v>
      </c>
      <c r="F2357" s="128">
        <v>0</v>
      </c>
      <c r="G2357" s="128">
        <v>0</v>
      </c>
      <c r="H2357" s="128">
        <v>0</v>
      </c>
      <c r="I2357" s="128">
        <v>0</v>
      </c>
    </row>
    <row r="2358" spans="1:9" ht="13.5">
      <c r="A2358" s="128">
        <v>2000</v>
      </c>
      <c r="B2358" s="128" t="s">
        <v>137</v>
      </c>
      <c r="C2358" s="128" t="s">
        <v>26</v>
      </c>
      <c r="D2358" s="128" t="s">
        <v>77</v>
      </c>
      <c r="E2358" s="128" t="s">
        <v>135</v>
      </c>
      <c r="F2358" s="128">
        <v>0</v>
      </c>
      <c r="G2358" s="128">
        <v>0</v>
      </c>
      <c r="H2358" s="128">
        <v>0</v>
      </c>
      <c r="I2358" s="128">
        <v>0</v>
      </c>
    </row>
    <row r="2359" spans="1:9" ht="13.5">
      <c r="A2359" s="128">
        <v>2000</v>
      </c>
      <c r="B2359" s="128" t="s">
        <v>137</v>
      </c>
      <c r="C2359" s="128" t="s">
        <v>26</v>
      </c>
      <c r="D2359" s="128" t="s">
        <v>79</v>
      </c>
      <c r="E2359" s="128" t="s">
        <v>132</v>
      </c>
      <c r="F2359" s="128">
        <v>0</v>
      </c>
      <c r="G2359" s="128">
        <v>0</v>
      </c>
      <c r="H2359" s="128">
        <v>0</v>
      </c>
      <c r="I2359" s="128">
        <v>0</v>
      </c>
    </row>
    <row r="2360" spans="1:9" ht="13.5">
      <c r="A2360" s="128">
        <v>2000</v>
      </c>
      <c r="B2360" s="128" t="s">
        <v>137</v>
      </c>
      <c r="C2360" s="128" t="s">
        <v>26</v>
      </c>
      <c r="D2360" s="128" t="s">
        <v>79</v>
      </c>
      <c r="E2360" s="128" t="s">
        <v>133</v>
      </c>
      <c r="F2360" s="128">
        <v>0</v>
      </c>
      <c r="G2360" s="128">
        <v>0</v>
      </c>
      <c r="H2360" s="128">
        <v>0</v>
      </c>
      <c r="I2360" s="128">
        <v>0</v>
      </c>
    </row>
    <row r="2361" spans="1:9" ht="13.5">
      <c r="A2361" s="128">
        <v>2000</v>
      </c>
      <c r="B2361" s="128" t="s">
        <v>137</v>
      </c>
      <c r="C2361" s="128" t="s">
        <v>26</v>
      </c>
      <c r="D2361" s="128" t="s">
        <v>79</v>
      </c>
      <c r="E2361" s="128" t="s">
        <v>134</v>
      </c>
      <c r="F2361" s="128">
        <v>0</v>
      </c>
      <c r="G2361" s="128">
        <v>0</v>
      </c>
      <c r="H2361" s="128">
        <v>0</v>
      </c>
      <c r="I2361" s="128">
        <v>0</v>
      </c>
    </row>
    <row r="2362" spans="1:9" ht="13.5">
      <c r="A2362" s="128">
        <v>2000</v>
      </c>
      <c r="B2362" s="128" t="s">
        <v>137</v>
      </c>
      <c r="C2362" s="128" t="s">
        <v>26</v>
      </c>
      <c r="D2362" s="128" t="s">
        <v>79</v>
      </c>
      <c r="E2362" s="128" t="s">
        <v>135</v>
      </c>
      <c r="F2362" s="128">
        <v>0</v>
      </c>
      <c r="G2362" s="128">
        <v>0</v>
      </c>
      <c r="H2362" s="128">
        <v>0</v>
      </c>
      <c r="I2362" s="128">
        <v>0</v>
      </c>
    </row>
    <row r="2363" spans="1:9" ht="13.5">
      <c r="A2363" s="128">
        <v>2000</v>
      </c>
      <c r="B2363" s="128" t="s">
        <v>137</v>
      </c>
      <c r="C2363" s="128" t="s">
        <v>26</v>
      </c>
      <c r="D2363" s="128" t="s">
        <v>79</v>
      </c>
      <c r="E2363" s="128" t="s">
        <v>136</v>
      </c>
      <c r="F2363" s="128">
        <v>0</v>
      </c>
      <c r="G2363" s="128">
        <v>0</v>
      </c>
      <c r="H2363" s="128">
        <v>0</v>
      </c>
      <c r="I2363" s="128">
        <v>0</v>
      </c>
    </row>
    <row r="2364" spans="1:9" ht="13.5">
      <c r="A2364" s="128">
        <v>2000</v>
      </c>
      <c r="B2364" s="128" t="s">
        <v>137</v>
      </c>
      <c r="C2364" s="128" t="s">
        <v>26</v>
      </c>
      <c r="D2364" s="128" t="s">
        <v>76</v>
      </c>
      <c r="E2364" s="128" t="s">
        <v>132</v>
      </c>
      <c r="F2364" s="128">
        <v>0</v>
      </c>
      <c r="G2364" s="128">
        <v>0</v>
      </c>
      <c r="H2364" s="128">
        <v>0</v>
      </c>
      <c r="I2364" s="128">
        <v>0</v>
      </c>
    </row>
    <row r="2365" spans="1:9" ht="13.5">
      <c r="A2365" s="128">
        <v>2000</v>
      </c>
      <c r="B2365" s="128" t="s">
        <v>137</v>
      </c>
      <c r="C2365" s="128" t="s">
        <v>26</v>
      </c>
      <c r="D2365" s="128" t="s">
        <v>76</v>
      </c>
      <c r="E2365" s="128" t="s">
        <v>133</v>
      </c>
      <c r="F2365" s="128">
        <v>0</v>
      </c>
      <c r="G2365" s="128">
        <v>0</v>
      </c>
      <c r="H2365" s="128">
        <v>0</v>
      </c>
      <c r="I2365" s="128">
        <v>0</v>
      </c>
    </row>
    <row r="2366" spans="1:9" ht="13.5">
      <c r="A2366" s="128">
        <v>2000</v>
      </c>
      <c r="B2366" s="128" t="s">
        <v>137</v>
      </c>
      <c r="C2366" s="128" t="s">
        <v>26</v>
      </c>
      <c r="D2366" s="128" t="s">
        <v>76</v>
      </c>
      <c r="E2366" s="128" t="s">
        <v>134</v>
      </c>
      <c r="F2366" s="128">
        <v>0</v>
      </c>
      <c r="G2366" s="128">
        <v>0</v>
      </c>
      <c r="H2366" s="128">
        <v>0</v>
      </c>
      <c r="I2366" s="128">
        <v>0</v>
      </c>
    </row>
    <row r="2367" spans="1:9" ht="13.5">
      <c r="A2367" s="128">
        <v>2000</v>
      </c>
      <c r="B2367" s="128" t="s">
        <v>137</v>
      </c>
      <c r="C2367" s="128" t="s">
        <v>26</v>
      </c>
      <c r="D2367" s="128" t="s">
        <v>76</v>
      </c>
      <c r="E2367" s="128" t="s">
        <v>135</v>
      </c>
      <c r="F2367" s="128">
        <v>0</v>
      </c>
      <c r="G2367" s="128">
        <v>0</v>
      </c>
      <c r="H2367" s="128">
        <v>0</v>
      </c>
      <c r="I2367" s="128">
        <v>0</v>
      </c>
    </row>
    <row r="2368" spans="1:9" ht="13.5">
      <c r="A2368" s="128">
        <v>2000</v>
      </c>
      <c r="B2368" s="128" t="s">
        <v>137</v>
      </c>
      <c r="C2368" s="128" t="s">
        <v>26</v>
      </c>
      <c r="D2368" s="128" t="s">
        <v>76</v>
      </c>
      <c r="E2368" s="128" t="s">
        <v>136</v>
      </c>
      <c r="F2368" s="128">
        <v>0</v>
      </c>
      <c r="G2368" s="128">
        <v>0</v>
      </c>
      <c r="H2368" s="128">
        <v>0</v>
      </c>
      <c r="I2368" s="128">
        <v>0</v>
      </c>
    </row>
    <row r="2369" spans="1:9" ht="13.5">
      <c r="A2369" s="128">
        <v>2000</v>
      </c>
      <c r="B2369" s="128" t="s">
        <v>137</v>
      </c>
      <c r="C2369" s="128" t="s">
        <v>20</v>
      </c>
      <c r="D2369" s="128" t="s">
        <v>77</v>
      </c>
      <c r="E2369" s="128" t="s">
        <v>132</v>
      </c>
      <c r="F2369" s="128">
        <v>0</v>
      </c>
      <c r="G2369" s="128">
        <v>0</v>
      </c>
      <c r="H2369" s="128">
        <v>0</v>
      </c>
      <c r="I2369" s="128">
        <v>0</v>
      </c>
    </row>
    <row r="2370" spans="1:9" ht="13.5">
      <c r="A2370" s="128">
        <v>2000</v>
      </c>
      <c r="B2370" s="128" t="s">
        <v>137</v>
      </c>
      <c r="C2370" s="128" t="s">
        <v>20</v>
      </c>
      <c r="D2370" s="128" t="s">
        <v>77</v>
      </c>
      <c r="E2370" s="128" t="s">
        <v>133</v>
      </c>
      <c r="F2370" s="128">
        <v>0</v>
      </c>
      <c r="G2370" s="128">
        <v>0</v>
      </c>
      <c r="H2370" s="128">
        <v>0</v>
      </c>
      <c r="I2370" s="128">
        <v>0</v>
      </c>
    </row>
    <row r="2371" spans="1:9" ht="13.5">
      <c r="A2371" s="128">
        <v>2000</v>
      </c>
      <c r="B2371" s="128" t="s">
        <v>137</v>
      </c>
      <c r="C2371" s="128" t="s">
        <v>20</v>
      </c>
      <c r="D2371" s="128" t="s">
        <v>77</v>
      </c>
      <c r="E2371" s="128" t="s">
        <v>134</v>
      </c>
      <c r="F2371" s="128">
        <v>0</v>
      </c>
      <c r="G2371" s="128">
        <v>0</v>
      </c>
      <c r="H2371" s="128">
        <v>0</v>
      </c>
      <c r="I2371" s="128">
        <v>0</v>
      </c>
    </row>
    <row r="2372" spans="1:9" ht="13.5">
      <c r="A2372" s="128">
        <v>2000</v>
      </c>
      <c r="B2372" s="128" t="s">
        <v>137</v>
      </c>
      <c r="C2372" s="128" t="s">
        <v>20</v>
      </c>
      <c r="D2372" s="128" t="s">
        <v>77</v>
      </c>
      <c r="E2372" s="128" t="s">
        <v>135</v>
      </c>
      <c r="F2372" s="128">
        <v>0</v>
      </c>
      <c r="G2372" s="128">
        <v>0</v>
      </c>
      <c r="H2372" s="128">
        <v>0</v>
      </c>
      <c r="I2372" s="128">
        <v>0</v>
      </c>
    </row>
    <row r="2373" spans="1:9" ht="13.5">
      <c r="A2373" s="128">
        <v>2000</v>
      </c>
      <c r="B2373" s="128" t="s">
        <v>137</v>
      </c>
      <c r="C2373" s="128" t="s">
        <v>20</v>
      </c>
      <c r="D2373" s="128" t="s">
        <v>79</v>
      </c>
      <c r="E2373" s="128" t="s">
        <v>132</v>
      </c>
      <c r="F2373" s="128">
        <v>0</v>
      </c>
      <c r="G2373" s="128">
        <v>0</v>
      </c>
      <c r="H2373" s="128">
        <v>0</v>
      </c>
      <c r="I2373" s="128">
        <v>0</v>
      </c>
    </row>
    <row r="2374" spans="1:9" ht="13.5">
      <c r="A2374" s="128">
        <v>2000</v>
      </c>
      <c r="B2374" s="128" t="s">
        <v>137</v>
      </c>
      <c r="C2374" s="128" t="s">
        <v>20</v>
      </c>
      <c r="D2374" s="128" t="s">
        <v>79</v>
      </c>
      <c r="E2374" s="128" t="s">
        <v>133</v>
      </c>
      <c r="F2374" s="128">
        <v>0</v>
      </c>
      <c r="G2374" s="128">
        <v>0</v>
      </c>
      <c r="H2374" s="128">
        <v>0</v>
      </c>
      <c r="I2374" s="128">
        <v>0</v>
      </c>
    </row>
    <row r="2375" spans="1:9" ht="13.5">
      <c r="A2375" s="128">
        <v>2000</v>
      </c>
      <c r="B2375" s="128" t="s">
        <v>137</v>
      </c>
      <c r="C2375" s="128" t="s">
        <v>20</v>
      </c>
      <c r="D2375" s="128" t="s">
        <v>79</v>
      </c>
      <c r="E2375" s="128" t="s">
        <v>134</v>
      </c>
      <c r="F2375" s="128">
        <v>0</v>
      </c>
      <c r="G2375" s="128">
        <v>0</v>
      </c>
      <c r="H2375" s="128">
        <v>0</v>
      </c>
      <c r="I2375" s="128">
        <v>0</v>
      </c>
    </row>
    <row r="2376" spans="1:9" ht="13.5">
      <c r="A2376" s="128">
        <v>2000</v>
      </c>
      <c r="B2376" s="128" t="s">
        <v>137</v>
      </c>
      <c r="C2376" s="128" t="s">
        <v>20</v>
      </c>
      <c r="D2376" s="128" t="s">
        <v>79</v>
      </c>
      <c r="E2376" s="128" t="s">
        <v>135</v>
      </c>
      <c r="F2376" s="128">
        <v>0</v>
      </c>
      <c r="G2376" s="128">
        <v>0</v>
      </c>
      <c r="H2376" s="128">
        <v>0</v>
      </c>
      <c r="I2376" s="128">
        <v>0</v>
      </c>
    </row>
    <row r="2377" spans="1:9" ht="13.5">
      <c r="A2377" s="128">
        <v>2000</v>
      </c>
      <c r="B2377" s="128" t="s">
        <v>137</v>
      </c>
      <c r="C2377" s="128" t="s">
        <v>20</v>
      </c>
      <c r="D2377" s="128" t="s">
        <v>79</v>
      </c>
      <c r="E2377" s="128" t="s">
        <v>136</v>
      </c>
      <c r="F2377" s="128">
        <v>0</v>
      </c>
      <c r="G2377" s="128">
        <v>0</v>
      </c>
      <c r="H2377" s="128">
        <v>0</v>
      </c>
      <c r="I2377" s="128">
        <v>0</v>
      </c>
    </row>
    <row r="2378" spans="1:9" ht="13.5">
      <c r="A2378" s="128">
        <v>2000</v>
      </c>
      <c r="B2378" s="128" t="s">
        <v>137</v>
      </c>
      <c r="C2378" s="128" t="s">
        <v>20</v>
      </c>
      <c r="D2378" s="128" t="s">
        <v>76</v>
      </c>
      <c r="E2378" s="128" t="s">
        <v>132</v>
      </c>
      <c r="F2378" s="128">
        <v>0</v>
      </c>
      <c r="G2378" s="128">
        <v>0</v>
      </c>
      <c r="H2378" s="128">
        <v>0</v>
      </c>
      <c r="I2378" s="128">
        <v>0</v>
      </c>
    </row>
    <row r="2379" spans="1:9" ht="13.5">
      <c r="A2379" s="128">
        <v>2000</v>
      </c>
      <c r="B2379" s="128" t="s">
        <v>137</v>
      </c>
      <c r="C2379" s="128" t="s">
        <v>20</v>
      </c>
      <c r="D2379" s="128" t="s">
        <v>76</v>
      </c>
      <c r="E2379" s="128" t="s">
        <v>133</v>
      </c>
      <c r="F2379" s="128">
        <v>0</v>
      </c>
      <c r="G2379" s="128">
        <v>0</v>
      </c>
      <c r="H2379" s="128">
        <v>0</v>
      </c>
      <c r="I2379" s="128">
        <v>0</v>
      </c>
    </row>
    <row r="2380" spans="1:9" ht="13.5">
      <c r="A2380" s="128">
        <v>2000</v>
      </c>
      <c r="B2380" s="128" t="s">
        <v>137</v>
      </c>
      <c r="C2380" s="128" t="s">
        <v>20</v>
      </c>
      <c r="D2380" s="128" t="s">
        <v>76</v>
      </c>
      <c r="E2380" s="128" t="s">
        <v>134</v>
      </c>
      <c r="F2380" s="128">
        <v>0</v>
      </c>
      <c r="G2380" s="128">
        <v>0</v>
      </c>
      <c r="H2380" s="128">
        <v>0</v>
      </c>
      <c r="I2380" s="128">
        <v>0</v>
      </c>
    </row>
    <row r="2381" spans="1:9" ht="13.5">
      <c r="A2381" s="128">
        <v>2000</v>
      </c>
      <c r="B2381" s="128" t="s">
        <v>137</v>
      </c>
      <c r="C2381" s="128" t="s">
        <v>20</v>
      </c>
      <c r="D2381" s="128" t="s">
        <v>76</v>
      </c>
      <c r="E2381" s="128" t="s">
        <v>135</v>
      </c>
      <c r="F2381" s="128">
        <v>0</v>
      </c>
      <c r="G2381" s="128">
        <v>0</v>
      </c>
      <c r="H2381" s="128">
        <v>0</v>
      </c>
      <c r="I2381" s="128">
        <v>0</v>
      </c>
    </row>
    <row r="2382" spans="1:9" ht="13.5">
      <c r="A2382" s="128">
        <v>2000</v>
      </c>
      <c r="B2382" s="128" t="s">
        <v>137</v>
      </c>
      <c r="C2382" s="128" t="s">
        <v>20</v>
      </c>
      <c r="D2382" s="128" t="s">
        <v>76</v>
      </c>
      <c r="E2382" s="128" t="s">
        <v>136</v>
      </c>
      <c r="F2382" s="128">
        <v>0</v>
      </c>
      <c r="G2382" s="128">
        <v>0</v>
      </c>
      <c r="H2382" s="128">
        <v>0</v>
      </c>
      <c r="I2382" s="128">
        <v>0</v>
      </c>
    </row>
    <row r="2383" spans="1:9" ht="13.5">
      <c r="A2383" s="128">
        <v>2000</v>
      </c>
      <c r="B2383" s="128" t="s">
        <v>137</v>
      </c>
      <c r="C2383" s="128" t="s">
        <v>27</v>
      </c>
      <c r="D2383" s="128" t="s">
        <v>77</v>
      </c>
      <c r="E2383" s="128" t="s">
        <v>132</v>
      </c>
      <c r="F2383" s="128">
        <v>0</v>
      </c>
      <c r="G2383" s="128">
        <v>0</v>
      </c>
      <c r="H2383" s="128">
        <v>0</v>
      </c>
      <c r="I2383" s="128">
        <v>0</v>
      </c>
    </row>
    <row r="2384" spans="1:9" ht="13.5">
      <c r="A2384" s="128">
        <v>2000</v>
      </c>
      <c r="B2384" s="128" t="s">
        <v>137</v>
      </c>
      <c r="C2384" s="128" t="s">
        <v>27</v>
      </c>
      <c r="D2384" s="128" t="s">
        <v>77</v>
      </c>
      <c r="E2384" s="128" t="s">
        <v>133</v>
      </c>
      <c r="F2384" s="128">
        <v>0</v>
      </c>
      <c r="G2384" s="128">
        <v>0</v>
      </c>
      <c r="H2384" s="128">
        <v>0</v>
      </c>
      <c r="I2384" s="128">
        <v>0</v>
      </c>
    </row>
    <row r="2385" spans="1:9" ht="13.5">
      <c r="A2385" s="128">
        <v>2000</v>
      </c>
      <c r="B2385" s="128" t="s">
        <v>137</v>
      </c>
      <c r="C2385" s="128" t="s">
        <v>27</v>
      </c>
      <c r="D2385" s="128" t="s">
        <v>77</v>
      </c>
      <c r="E2385" s="128" t="s">
        <v>134</v>
      </c>
      <c r="F2385" s="128">
        <v>0</v>
      </c>
      <c r="G2385" s="128">
        <v>0</v>
      </c>
      <c r="H2385" s="128">
        <v>0</v>
      </c>
      <c r="I2385" s="128">
        <v>0</v>
      </c>
    </row>
    <row r="2386" spans="1:9" ht="13.5">
      <c r="A2386" s="128">
        <v>2000</v>
      </c>
      <c r="B2386" s="128" t="s">
        <v>137</v>
      </c>
      <c r="C2386" s="128" t="s">
        <v>27</v>
      </c>
      <c r="D2386" s="128" t="s">
        <v>77</v>
      </c>
      <c r="E2386" s="128" t="s">
        <v>135</v>
      </c>
      <c r="F2386" s="128">
        <v>0</v>
      </c>
      <c r="G2386" s="128">
        <v>0</v>
      </c>
      <c r="H2386" s="128">
        <v>0</v>
      </c>
      <c r="I2386" s="128">
        <v>0</v>
      </c>
    </row>
    <row r="2387" spans="1:9" ht="13.5">
      <c r="A2387" s="128">
        <v>2000</v>
      </c>
      <c r="B2387" s="128" t="s">
        <v>137</v>
      </c>
      <c r="C2387" s="128" t="s">
        <v>27</v>
      </c>
      <c r="D2387" s="128" t="s">
        <v>79</v>
      </c>
      <c r="E2387" s="128" t="s">
        <v>132</v>
      </c>
      <c r="F2387" s="128">
        <v>0</v>
      </c>
      <c r="G2387" s="128">
        <v>0</v>
      </c>
      <c r="H2387" s="128">
        <v>0</v>
      </c>
      <c r="I2387" s="128">
        <v>0</v>
      </c>
    </row>
    <row r="2388" spans="1:9" ht="13.5">
      <c r="A2388" s="128">
        <v>2000</v>
      </c>
      <c r="B2388" s="128" t="s">
        <v>137</v>
      </c>
      <c r="C2388" s="128" t="s">
        <v>27</v>
      </c>
      <c r="D2388" s="128" t="s">
        <v>79</v>
      </c>
      <c r="E2388" s="128" t="s">
        <v>133</v>
      </c>
      <c r="F2388" s="128">
        <v>0</v>
      </c>
      <c r="G2388" s="128">
        <v>0</v>
      </c>
      <c r="H2388" s="128">
        <v>0</v>
      </c>
      <c r="I2388" s="128">
        <v>0</v>
      </c>
    </row>
    <row r="2389" spans="1:9" ht="13.5">
      <c r="A2389" s="128">
        <v>2000</v>
      </c>
      <c r="B2389" s="128" t="s">
        <v>137</v>
      </c>
      <c r="C2389" s="128" t="s">
        <v>27</v>
      </c>
      <c r="D2389" s="128" t="s">
        <v>79</v>
      </c>
      <c r="E2389" s="128" t="s">
        <v>134</v>
      </c>
      <c r="F2389" s="128">
        <v>0</v>
      </c>
      <c r="G2389" s="128">
        <v>0</v>
      </c>
      <c r="H2389" s="128">
        <v>0</v>
      </c>
      <c r="I2389" s="128">
        <v>0</v>
      </c>
    </row>
    <row r="2390" spans="1:9" ht="13.5">
      <c r="A2390" s="128">
        <v>2000</v>
      </c>
      <c r="B2390" s="128" t="s">
        <v>137</v>
      </c>
      <c r="C2390" s="128" t="s">
        <v>27</v>
      </c>
      <c r="D2390" s="128" t="s">
        <v>79</v>
      </c>
      <c r="E2390" s="128" t="s">
        <v>135</v>
      </c>
      <c r="F2390" s="128">
        <v>0</v>
      </c>
      <c r="G2390" s="128">
        <v>0</v>
      </c>
      <c r="H2390" s="128">
        <v>0</v>
      </c>
      <c r="I2390" s="128">
        <v>0</v>
      </c>
    </row>
    <row r="2391" spans="1:9" ht="13.5">
      <c r="A2391" s="128">
        <v>2000</v>
      </c>
      <c r="B2391" s="128" t="s">
        <v>137</v>
      </c>
      <c r="C2391" s="128" t="s">
        <v>27</v>
      </c>
      <c r="D2391" s="128" t="s">
        <v>79</v>
      </c>
      <c r="E2391" s="128" t="s">
        <v>136</v>
      </c>
      <c r="F2391" s="128">
        <v>0</v>
      </c>
      <c r="G2391" s="128">
        <v>0</v>
      </c>
      <c r="H2391" s="128">
        <v>0</v>
      </c>
      <c r="I2391" s="128">
        <v>0</v>
      </c>
    </row>
    <row r="2392" spans="1:9" ht="13.5">
      <c r="A2392" s="128">
        <v>2000</v>
      </c>
      <c r="B2392" s="128" t="s">
        <v>137</v>
      </c>
      <c r="C2392" s="128" t="s">
        <v>27</v>
      </c>
      <c r="D2392" s="128" t="s">
        <v>76</v>
      </c>
      <c r="E2392" s="128" t="s">
        <v>132</v>
      </c>
      <c r="F2392" s="128">
        <v>0</v>
      </c>
      <c r="G2392" s="128">
        <v>0</v>
      </c>
      <c r="H2392" s="128">
        <v>0</v>
      </c>
      <c r="I2392" s="128">
        <v>0</v>
      </c>
    </row>
    <row r="2393" spans="1:9" ht="13.5">
      <c r="A2393" s="128">
        <v>2000</v>
      </c>
      <c r="B2393" s="128" t="s">
        <v>137</v>
      </c>
      <c r="C2393" s="128" t="s">
        <v>27</v>
      </c>
      <c r="D2393" s="128" t="s">
        <v>76</v>
      </c>
      <c r="E2393" s="128" t="s">
        <v>133</v>
      </c>
      <c r="F2393" s="128">
        <v>0</v>
      </c>
      <c r="G2393" s="128">
        <v>0</v>
      </c>
      <c r="H2393" s="128">
        <v>0</v>
      </c>
      <c r="I2393" s="128">
        <v>0</v>
      </c>
    </row>
    <row r="2394" spans="1:9" ht="13.5">
      <c r="A2394" s="128">
        <v>2000</v>
      </c>
      <c r="B2394" s="128" t="s">
        <v>137</v>
      </c>
      <c r="C2394" s="128" t="s">
        <v>27</v>
      </c>
      <c r="D2394" s="128" t="s">
        <v>76</v>
      </c>
      <c r="E2394" s="128" t="s">
        <v>134</v>
      </c>
      <c r="F2394" s="128">
        <v>0</v>
      </c>
      <c r="G2394" s="128">
        <v>0</v>
      </c>
      <c r="H2394" s="128">
        <v>0</v>
      </c>
      <c r="I2394" s="128">
        <v>0</v>
      </c>
    </row>
    <row r="2395" spans="1:9" ht="13.5">
      <c r="A2395" s="128">
        <v>2000</v>
      </c>
      <c r="B2395" s="128" t="s">
        <v>137</v>
      </c>
      <c r="C2395" s="128" t="s">
        <v>27</v>
      </c>
      <c r="D2395" s="128" t="s">
        <v>76</v>
      </c>
      <c r="E2395" s="128" t="s">
        <v>135</v>
      </c>
      <c r="F2395" s="128">
        <v>0</v>
      </c>
      <c r="G2395" s="128">
        <v>0</v>
      </c>
      <c r="H2395" s="128">
        <v>0</v>
      </c>
      <c r="I2395" s="128">
        <v>0</v>
      </c>
    </row>
    <row r="2396" spans="1:9" ht="13.5">
      <c r="A2396" s="128">
        <v>2000</v>
      </c>
      <c r="B2396" s="128" t="s">
        <v>137</v>
      </c>
      <c r="C2396" s="128" t="s">
        <v>27</v>
      </c>
      <c r="D2396" s="128" t="s">
        <v>76</v>
      </c>
      <c r="E2396" s="128" t="s">
        <v>136</v>
      </c>
      <c r="F2396" s="128">
        <v>0</v>
      </c>
      <c r="G2396" s="128">
        <v>0</v>
      </c>
      <c r="H2396" s="128">
        <v>0</v>
      </c>
      <c r="I2396" s="128">
        <v>0</v>
      </c>
    </row>
    <row r="2397" spans="1:9" ht="13.5">
      <c r="A2397" s="128">
        <v>2000</v>
      </c>
      <c r="B2397" s="128" t="s">
        <v>137</v>
      </c>
      <c r="C2397" s="128" t="s">
        <v>22</v>
      </c>
      <c r="D2397" s="128" t="s">
        <v>77</v>
      </c>
      <c r="E2397" s="128" t="s">
        <v>132</v>
      </c>
      <c r="F2397" s="128">
        <v>0</v>
      </c>
      <c r="G2397" s="128">
        <v>0</v>
      </c>
      <c r="H2397" s="128">
        <v>0</v>
      </c>
      <c r="I2397" s="128">
        <v>0</v>
      </c>
    </row>
    <row r="2398" spans="1:9" ht="13.5">
      <c r="A2398" s="128">
        <v>2000</v>
      </c>
      <c r="B2398" s="128" t="s">
        <v>137</v>
      </c>
      <c r="C2398" s="128" t="s">
        <v>22</v>
      </c>
      <c r="D2398" s="128" t="s">
        <v>77</v>
      </c>
      <c r="E2398" s="128" t="s">
        <v>133</v>
      </c>
      <c r="F2398" s="128">
        <v>0</v>
      </c>
      <c r="G2398" s="128">
        <v>0</v>
      </c>
      <c r="H2398" s="128">
        <v>0</v>
      </c>
      <c r="I2398" s="128">
        <v>0</v>
      </c>
    </row>
    <row r="2399" spans="1:9" ht="13.5">
      <c r="A2399" s="128">
        <v>2000</v>
      </c>
      <c r="B2399" s="128" t="s">
        <v>137</v>
      </c>
      <c r="C2399" s="128" t="s">
        <v>22</v>
      </c>
      <c r="D2399" s="128" t="s">
        <v>77</v>
      </c>
      <c r="E2399" s="128" t="s">
        <v>134</v>
      </c>
      <c r="F2399" s="128">
        <v>0</v>
      </c>
      <c r="G2399" s="128">
        <v>0</v>
      </c>
      <c r="H2399" s="128">
        <v>0</v>
      </c>
      <c r="I2399" s="128">
        <v>0</v>
      </c>
    </row>
    <row r="2400" spans="1:9" ht="13.5">
      <c r="A2400" s="128">
        <v>2000</v>
      </c>
      <c r="B2400" s="128" t="s">
        <v>137</v>
      </c>
      <c r="C2400" s="128" t="s">
        <v>22</v>
      </c>
      <c r="D2400" s="128" t="s">
        <v>77</v>
      </c>
      <c r="E2400" s="128" t="s">
        <v>135</v>
      </c>
      <c r="F2400" s="128">
        <v>0</v>
      </c>
      <c r="G2400" s="128">
        <v>0</v>
      </c>
      <c r="H2400" s="128">
        <v>0</v>
      </c>
      <c r="I2400" s="128">
        <v>0</v>
      </c>
    </row>
    <row r="2401" spans="1:9" ht="13.5">
      <c r="A2401" s="128">
        <v>2000</v>
      </c>
      <c r="B2401" s="128" t="s">
        <v>137</v>
      </c>
      <c r="C2401" s="128" t="s">
        <v>22</v>
      </c>
      <c r="D2401" s="128" t="s">
        <v>79</v>
      </c>
      <c r="E2401" s="128" t="s">
        <v>132</v>
      </c>
      <c r="F2401" s="128">
        <v>0</v>
      </c>
      <c r="G2401" s="128">
        <v>0</v>
      </c>
      <c r="H2401" s="128">
        <v>0</v>
      </c>
      <c r="I2401" s="128">
        <v>0</v>
      </c>
    </row>
    <row r="2402" spans="1:9" ht="13.5">
      <c r="A2402" s="128">
        <v>2000</v>
      </c>
      <c r="B2402" s="128" t="s">
        <v>137</v>
      </c>
      <c r="C2402" s="128" t="s">
        <v>22</v>
      </c>
      <c r="D2402" s="128" t="s">
        <v>79</v>
      </c>
      <c r="E2402" s="128" t="s">
        <v>133</v>
      </c>
      <c r="F2402" s="128">
        <v>0</v>
      </c>
      <c r="G2402" s="128">
        <v>0</v>
      </c>
      <c r="H2402" s="128">
        <v>0</v>
      </c>
      <c r="I2402" s="128">
        <v>0</v>
      </c>
    </row>
    <row r="2403" spans="1:9" ht="13.5">
      <c r="A2403" s="128">
        <v>2000</v>
      </c>
      <c r="B2403" s="128" t="s">
        <v>137</v>
      </c>
      <c r="C2403" s="128" t="s">
        <v>22</v>
      </c>
      <c r="D2403" s="128" t="s">
        <v>79</v>
      </c>
      <c r="E2403" s="128" t="s">
        <v>134</v>
      </c>
      <c r="F2403" s="128">
        <v>0</v>
      </c>
      <c r="G2403" s="128">
        <v>0</v>
      </c>
      <c r="H2403" s="128">
        <v>0</v>
      </c>
      <c r="I2403" s="128">
        <v>0</v>
      </c>
    </row>
    <row r="2404" spans="1:9" ht="13.5">
      <c r="A2404" s="128">
        <v>2000</v>
      </c>
      <c r="B2404" s="128" t="s">
        <v>137</v>
      </c>
      <c r="C2404" s="128" t="s">
        <v>22</v>
      </c>
      <c r="D2404" s="128" t="s">
        <v>79</v>
      </c>
      <c r="E2404" s="128" t="s">
        <v>135</v>
      </c>
      <c r="F2404" s="128">
        <v>0</v>
      </c>
      <c r="G2404" s="128">
        <v>0</v>
      </c>
      <c r="H2404" s="128">
        <v>0</v>
      </c>
      <c r="I2404" s="128">
        <v>0</v>
      </c>
    </row>
    <row r="2405" spans="1:9" ht="13.5">
      <c r="A2405" s="128">
        <v>2000</v>
      </c>
      <c r="B2405" s="128" t="s">
        <v>137</v>
      </c>
      <c r="C2405" s="128" t="s">
        <v>22</v>
      </c>
      <c r="D2405" s="128" t="s">
        <v>79</v>
      </c>
      <c r="E2405" s="128" t="s">
        <v>136</v>
      </c>
      <c r="F2405" s="128">
        <v>0</v>
      </c>
      <c r="G2405" s="128">
        <v>0</v>
      </c>
      <c r="H2405" s="128">
        <v>0</v>
      </c>
      <c r="I2405" s="128">
        <v>0</v>
      </c>
    </row>
    <row r="2406" spans="1:9" ht="13.5">
      <c r="A2406" s="128">
        <v>2000</v>
      </c>
      <c r="B2406" s="128" t="s">
        <v>137</v>
      </c>
      <c r="C2406" s="128" t="s">
        <v>22</v>
      </c>
      <c r="D2406" s="128" t="s">
        <v>76</v>
      </c>
      <c r="E2406" s="128" t="s">
        <v>132</v>
      </c>
      <c r="F2406" s="128">
        <v>0</v>
      </c>
      <c r="G2406" s="128">
        <v>0</v>
      </c>
      <c r="H2406" s="128">
        <v>0</v>
      </c>
      <c r="I2406" s="128">
        <v>0</v>
      </c>
    </row>
    <row r="2407" spans="1:9" ht="13.5">
      <c r="A2407" s="128">
        <v>2000</v>
      </c>
      <c r="B2407" s="128" t="s">
        <v>137</v>
      </c>
      <c r="C2407" s="128" t="s">
        <v>22</v>
      </c>
      <c r="D2407" s="128" t="s">
        <v>76</v>
      </c>
      <c r="E2407" s="128" t="s">
        <v>133</v>
      </c>
      <c r="F2407" s="128">
        <v>0</v>
      </c>
      <c r="G2407" s="128">
        <v>0</v>
      </c>
      <c r="H2407" s="128">
        <v>0</v>
      </c>
      <c r="I2407" s="128">
        <v>0</v>
      </c>
    </row>
    <row r="2408" spans="1:9" ht="13.5">
      <c r="A2408" s="128">
        <v>2000</v>
      </c>
      <c r="B2408" s="128" t="s">
        <v>137</v>
      </c>
      <c r="C2408" s="128" t="s">
        <v>22</v>
      </c>
      <c r="D2408" s="128" t="s">
        <v>76</v>
      </c>
      <c r="E2408" s="128" t="s">
        <v>134</v>
      </c>
      <c r="F2408" s="128">
        <v>0</v>
      </c>
      <c r="G2408" s="128">
        <v>0</v>
      </c>
      <c r="H2408" s="128">
        <v>0</v>
      </c>
      <c r="I2408" s="128">
        <v>0</v>
      </c>
    </row>
    <row r="2409" spans="1:9" ht="13.5">
      <c r="A2409" s="128">
        <v>2000</v>
      </c>
      <c r="B2409" s="128" t="s">
        <v>137</v>
      </c>
      <c r="C2409" s="128" t="s">
        <v>22</v>
      </c>
      <c r="D2409" s="128" t="s">
        <v>76</v>
      </c>
      <c r="E2409" s="128" t="s">
        <v>135</v>
      </c>
      <c r="F2409" s="128">
        <v>0</v>
      </c>
      <c r="G2409" s="128">
        <v>0</v>
      </c>
      <c r="H2409" s="128">
        <v>0</v>
      </c>
      <c r="I2409" s="128">
        <v>0</v>
      </c>
    </row>
    <row r="2410" spans="1:9" ht="13.5">
      <c r="A2410" s="128">
        <v>2000</v>
      </c>
      <c r="B2410" s="128" t="s">
        <v>137</v>
      </c>
      <c r="C2410" s="128" t="s">
        <v>22</v>
      </c>
      <c r="D2410" s="128" t="s">
        <v>76</v>
      </c>
      <c r="E2410" s="128" t="s">
        <v>136</v>
      </c>
      <c r="F2410" s="128">
        <v>0</v>
      </c>
      <c r="G2410" s="128">
        <v>0</v>
      </c>
      <c r="H2410" s="128">
        <v>0</v>
      </c>
      <c r="I2410" s="128">
        <v>0</v>
      </c>
    </row>
    <row r="2411" spans="1:9" ht="13.5">
      <c r="A2411" s="128">
        <v>2000</v>
      </c>
      <c r="B2411" s="128" t="s">
        <v>137</v>
      </c>
      <c r="C2411" s="128" t="s">
        <v>23</v>
      </c>
      <c r="D2411" s="128" t="s">
        <v>77</v>
      </c>
      <c r="E2411" s="128" t="s">
        <v>132</v>
      </c>
      <c r="F2411" s="128">
        <v>0</v>
      </c>
      <c r="G2411" s="128">
        <v>0</v>
      </c>
      <c r="H2411" s="128">
        <v>0</v>
      </c>
      <c r="I2411" s="128">
        <v>0</v>
      </c>
    </row>
    <row r="2412" spans="1:9" ht="13.5">
      <c r="A2412" s="128">
        <v>2000</v>
      </c>
      <c r="B2412" s="128" t="s">
        <v>137</v>
      </c>
      <c r="C2412" s="128" t="s">
        <v>23</v>
      </c>
      <c r="D2412" s="128" t="s">
        <v>77</v>
      </c>
      <c r="E2412" s="128" t="s">
        <v>133</v>
      </c>
      <c r="F2412" s="128">
        <v>0</v>
      </c>
      <c r="G2412" s="128">
        <v>0</v>
      </c>
      <c r="H2412" s="128">
        <v>0</v>
      </c>
      <c r="I2412" s="128">
        <v>0</v>
      </c>
    </row>
    <row r="2413" spans="1:9" ht="13.5">
      <c r="A2413" s="128">
        <v>2000</v>
      </c>
      <c r="B2413" s="128" t="s">
        <v>137</v>
      </c>
      <c r="C2413" s="128" t="s">
        <v>23</v>
      </c>
      <c r="D2413" s="128" t="s">
        <v>77</v>
      </c>
      <c r="E2413" s="128" t="s">
        <v>134</v>
      </c>
      <c r="F2413" s="128">
        <v>0</v>
      </c>
      <c r="G2413" s="128">
        <v>0</v>
      </c>
      <c r="H2413" s="128">
        <v>0</v>
      </c>
      <c r="I2413" s="128">
        <v>0</v>
      </c>
    </row>
    <row r="2414" spans="1:9" ht="13.5">
      <c r="A2414" s="128">
        <v>2000</v>
      </c>
      <c r="B2414" s="128" t="s">
        <v>137</v>
      </c>
      <c r="C2414" s="128" t="s">
        <v>23</v>
      </c>
      <c r="D2414" s="128" t="s">
        <v>77</v>
      </c>
      <c r="E2414" s="128" t="s">
        <v>135</v>
      </c>
      <c r="F2414" s="128">
        <v>0</v>
      </c>
      <c r="G2414" s="128">
        <v>0</v>
      </c>
      <c r="H2414" s="128">
        <v>0</v>
      </c>
      <c r="I2414" s="128">
        <v>0</v>
      </c>
    </row>
    <row r="2415" spans="1:9" ht="13.5">
      <c r="A2415" s="128">
        <v>2000</v>
      </c>
      <c r="B2415" s="128" t="s">
        <v>137</v>
      </c>
      <c r="C2415" s="128" t="s">
        <v>23</v>
      </c>
      <c r="D2415" s="128" t="s">
        <v>79</v>
      </c>
      <c r="E2415" s="128" t="s">
        <v>132</v>
      </c>
      <c r="F2415" s="128">
        <v>0</v>
      </c>
      <c r="G2415" s="128">
        <v>0</v>
      </c>
      <c r="H2415" s="128">
        <v>0</v>
      </c>
      <c r="I2415" s="128">
        <v>0</v>
      </c>
    </row>
    <row r="2416" spans="1:9" ht="13.5">
      <c r="A2416" s="128">
        <v>2000</v>
      </c>
      <c r="B2416" s="128" t="s">
        <v>137</v>
      </c>
      <c r="C2416" s="128" t="s">
        <v>23</v>
      </c>
      <c r="D2416" s="128" t="s">
        <v>79</v>
      </c>
      <c r="E2416" s="128" t="s">
        <v>133</v>
      </c>
      <c r="F2416" s="128">
        <v>0</v>
      </c>
      <c r="G2416" s="128">
        <v>0</v>
      </c>
      <c r="H2416" s="128">
        <v>0</v>
      </c>
      <c r="I2416" s="128">
        <v>0</v>
      </c>
    </row>
    <row r="2417" spans="1:9" ht="13.5">
      <c r="A2417" s="128">
        <v>2000</v>
      </c>
      <c r="B2417" s="128" t="s">
        <v>137</v>
      </c>
      <c r="C2417" s="128" t="s">
        <v>23</v>
      </c>
      <c r="D2417" s="128" t="s">
        <v>79</v>
      </c>
      <c r="E2417" s="128" t="s">
        <v>134</v>
      </c>
      <c r="F2417" s="128">
        <v>0</v>
      </c>
      <c r="G2417" s="128">
        <v>0</v>
      </c>
      <c r="H2417" s="128">
        <v>0</v>
      </c>
      <c r="I2417" s="128">
        <v>0</v>
      </c>
    </row>
    <row r="2418" spans="1:9" ht="13.5">
      <c r="A2418" s="128">
        <v>2000</v>
      </c>
      <c r="B2418" s="128" t="s">
        <v>137</v>
      </c>
      <c r="C2418" s="128" t="s">
        <v>23</v>
      </c>
      <c r="D2418" s="128" t="s">
        <v>79</v>
      </c>
      <c r="E2418" s="128" t="s">
        <v>135</v>
      </c>
      <c r="F2418" s="128">
        <v>0</v>
      </c>
      <c r="G2418" s="128">
        <v>0</v>
      </c>
      <c r="H2418" s="128">
        <v>0</v>
      </c>
      <c r="I2418" s="128">
        <v>0</v>
      </c>
    </row>
    <row r="2419" spans="1:9" ht="13.5">
      <c r="A2419" s="128">
        <v>2000</v>
      </c>
      <c r="B2419" s="128" t="s">
        <v>137</v>
      </c>
      <c r="C2419" s="128" t="s">
        <v>23</v>
      </c>
      <c r="D2419" s="128" t="s">
        <v>79</v>
      </c>
      <c r="E2419" s="128" t="s">
        <v>136</v>
      </c>
      <c r="F2419" s="128">
        <v>0</v>
      </c>
      <c r="G2419" s="128">
        <v>0</v>
      </c>
      <c r="H2419" s="128">
        <v>0</v>
      </c>
      <c r="I2419" s="128">
        <v>0</v>
      </c>
    </row>
    <row r="2420" spans="1:9" ht="13.5">
      <c r="A2420" s="128">
        <v>2000</v>
      </c>
      <c r="B2420" s="128" t="s">
        <v>137</v>
      </c>
      <c r="C2420" s="128" t="s">
        <v>23</v>
      </c>
      <c r="D2420" s="128" t="s">
        <v>76</v>
      </c>
      <c r="E2420" s="128" t="s">
        <v>132</v>
      </c>
      <c r="F2420" s="128">
        <v>0</v>
      </c>
      <c r="G2420" s="128">
        <v>0</v>
      </c>
      <c r="H2420" s="128">
        <v>0</v>
      </c>
      <c r="I2420" s="128">
        <v>0</v>
      </c>
    </row>
    <row r="2421" spans="1:9" ht="13.5">
      <c r="A2421" s="128">
        <v>2000</v>
      </c>
      <c r="B2421" s="128" t="s">
        <v>137</v>
      </c>
      <c r="C2421" s="128" t="s">
        <v>23</v>
      </c>
      <c r="D2421" s="128" t="s">
        <v>76</v>
      </c>
      <c r="E2421" s="128" t="s">
        <v>133</v>
      </c>
      <c r="F2421" s="128">
        <v>0</v>
      </c>
      <c r="G2421" s="128">
        <v>0</v>
      </c>
      <c r="H2421" s="128">
        <v>0</v>
      </c>
      <c r="I2421" s="128">
        <v>0</v>
      </c>
    </row>
    <row r="2422" spans="1:9" ht="13.5">
      <c r="A2422" s="128">
        <v>2000</v>
      </c>
      <c r="B2422" s="128" t="s">
        <v>137</v>
      </c>
      <c r="C2422" s="128" t="s">
        <v>23</v>
      </c>
      <c r="D2422" s="128" t="s">
        <v>76</v>
      </c>
      <c r="E2422" s="128" t="s">
        <v>134</v>
      </c>
      <c r="F2422" s="128">
        <v>0</v>
      </c>
      <c r="G2422" s="128">
        <v>0</v>
      </c>
      <c r="H2422" s="128">
        <v>0</v>
      </c>
      <c r="I2422" s="128">
        <v>0</v>
      </c>
    </row>
    <row r="2423" spans="1:9" ht="13.5">
      <c r="A2423" s="128">
        <v>2000</v>
      </c>
      <c r="B2423" s="128" t="s">
        <v>137</v>
      </c>
      <c r="C2423" s="128" t="s">
        <v>23</v>
      </c>
      <c r="D2423" s="128" t="s">
        <v>76</v>
      </c>
      <c r="E2423" s="128" t="s">
        <v>135</v>
      </c>
      <c r="F2423" s="128">
        <v>0</v>
      </c>
      <c r="G2423" s="128">
        <v>0</v>
      </c>
      <c r="H2423" s="128">
        <v>0</v>
      </c>
      <c r="I2423" s="128">
        <v>0</v>
      </c>
    </row>
    <row r="2424" spans="1:9" ht="13.5">
      <c r="A2424" s="128">
        <v>2000</v>
      </c>
      <c r="B2424" s="128" t="s">
        <v>137</v>
      </c>
      <c r="C2424" s="128" t="s">
        <v>23</v>
      </c>
      <c r="D2424" s="128" t="s">
        <v>76</v>
      </c>
      <c r="E2424" s="128" t="s">
        <v>136</v>
      </c>
      <c r="F2424" s="128">
        <v>0</v>
      </c>
      <c r="G2424" s="128">
        <v>0</v>
      </c>
      <c r="H2424" s="128">
        <v>0</v>
      </c>
      <c r="I2424" s="128">
        <v>0</v>
      </c>
    </row>
    <row r="2425" spans="1:9" ht="13.5">
      <c r="A2425" s="128">
        <v>2000</v>
      </c>
      <c r="B2425" s="128" t="s">
        <v>137</v>
      </c>
      <c r="C2425" s="128" t="s">
        <v>25</v>
      </c>
      <c r="D2425" s="128" t="s">
        <v>77</v>
      </c>
      <c r="E2425" s="128" t="s">
        <v>132</v>
      </c>
      <c r="F2425" s="128">
        <v>0</v>
      </c>
      <c r="G2425" s="128">
        <v>0</v>
      </c>
      <c r="H2425" s="128">
        <v>0</v>
      </c>
      <c r="I2425" s="128">
        <v>0</v>
      </c>
    </row>
    <row r="2426" spans="1:9" ht="13.5">
      <c r="A2426" s="128">
        <v>2000</v>
      </c>
      <c r="B2426" s="128" t="s">
        <v>137</v>
      </c>
      <c r="C2426" s="128" t="s">
        <v>25</v>
      </c>
      <c r="D2426" s="128" t="s">
        <v>77</v>
      </c>
      <c r="E2426" s="128" t="s">
        <v>133</v>
      </c>
      <c r="F2426" s="128">
        <v>0</v>
      </c>
      <c r="G2426" s="128">
        <v>0</v>
      </c>
      <c r="H2426" s="128">
        <v>0</v>
      </c>
      <c r="I2426" s="128">
        <v>0</v>
      </c>
    </row>
    <row r="2427" spans="1:9" ht="13.5">
      <c r="A2427" s="128">
        <v>2000</v>
      </c>
      <c r="B2427" s="128" t="s">
        <v>137</v>
      </c>
      <c r="C2427" s="128" t="s">
        <v>25</v>
      </c>
      <c r="D2427" s="128" t="s">
        <v>77</v>
      </c>
      <c r="E2427" s="128" t="s">
        <v>134</v>
      </c>
      <c r="F2427" s="128">
        <v>0</v>
      </c>
      <c r="G2427" s="128">
        <v>0</v>
      </c>
      <c r="H2427" s="128">
        <v>0</v>
      </c>
      <c r="I2427" s="128">
        <v>0</v>
      </c>
    </row>
    <row r="2428" spans="1:9" ht="13.5">
      <c r="A2428" s="128">
        <v>2000</v>
      </c>
      <c r="B2428" s="128" t="s">
        <v>137</v>
      </c>
      <c r="C2428" s="128" t="s">
        <v>25</v>
      </c>
      <c r="D2428" s="128" t="s">
        <v>77</v>
      </c>
      <c r="E2428" s="128" t="s">
        <v>135</v>
      </c>
      <c r="F2428" s="128">
        <v>0</v>
      </c>
      <c r="G2428" s="128">
        <v>0</v>
      </c>
      <c r="H2428" s="128">
        <v>0</v>
      </c>
      <c r="I2428" s="128">
        <v>0</v>
      </c>
    </row>
    <row r="2429" spans="1:9" ht="13.5">
      <c r="A2429" s="128">
        <v>2000</v>
      </c>
      <c r="B2429" s="128" t="s">
        <v>137</v>
      </c>
      <c r="C2429" s="128" t="s">
        <v>25</v>
      </c>
      <c r="D2429" s="128" t="s">
        <v>79</v>
      </c>
      <c r="E2429" s="128" t="s">
        <v>132</v>
      </c>
      <c r="F2429" s="128">
        <v>0</v>
      </c>
      <c r="G2429" s="128">
        <v>0</v>
      </c>
      <c r="H2429" s="128">
        <v>0</v>
      </c>
      <c r="I2429" s="128">
        <v>0</v>
      </c>
    </row>
    <row r="2430" spans="1:9" ht="13.5">
      <c r="A2430" s="128">
        <v>2000</v>
      </c>
      <c r="B2430" s="128" t="s">
        <v>137</v>
      </c>
      <c r="C2430" s="128" t="s">
        <v>25</v>
      </c>
      <c r="D2430" s="128" t="s">
        <v>79</v>
      </c>
      <c r="E2430" s="128" t="s">
        <v>133</v>
      </c>
      <c r="F2430" s="128">
        <v>0</v>
      </c>
      <c r="G2430" s="128">
        <v>0</v>
      </c>
      <c r="H2430" s="128">
        <v>0</v>
      </c>
      <c r="I2430" s="128">
        <v>0</v>
      </c>
    </row>
    <row r="2431" spans="1:9" ht="13.5">
      <c r="A2431" s="128">
        <v>2000</v>
      </c>
      <c r="B2431" s="128" t="s">
        <v>137</v>
      </c>
      <c r="C2431" s="128" t="s">
        <v>25</v>
      </c>
      <c r="D2431" s="128" t="s">
        <v>79</v>
      </c>
      <c r="E2431" s="128" t="s">
        <v>134</v>
      </c>
      <c r="F2431" s="128">
        <v>0</v>
      </c>
      <c r="G2431" s="128">
        <v>0</v>
      </c>
      <c r="H2431" s="128">
        <v>0</v>
      </c>
      <c r="I2431" s="128">
        <v>0</v>
      </c>
    </row>
    <row r="2432" spans="1:9" ht="13.5">
      <c r="A2432" s="128">
        <v>2000</v>
      </c>
      <c r="B2432" s="128" t="s">
        <v>137</v>
      </c>
      <c r="C2432" s="128" t="s">
        <v>25</v>
      </c>
      <c r="D2432" s="128" t="s">
        <v>79</v>
      </c>
      <c r="E2432" s="128" t="s">
        <v>135</v>
      </c>
      <c r="F2432" s="128">
        <v>0</v>
      </c>
      <c r="G2432" s="128">
        <v>0</v>
      </c>
      <c r="H2432" s="128">
        <v>0</v>
      </c>
      <c r="I2432" s="128">
        <v>0</v>
      </c>
    </row>
    <row r="2433" spans="1:9" ht="13.5">
      <c r="A2433" s="128">
        <v>2000</v>
      </c>
      <c r="B2433" s="128" t="s">
        <v>137</v>
      </c>
      <c r="C2433" s="128" t="s">
        <v>25</v>
      </c>
      <c r="D2433" s="128" t="s">
        <v>79</v>
      </c>
      <c r="E2433" s="128" t="s">
        <v>136</v>
      </c>
      <c r="F2433" s="128">
        <v>0</v>
      </c>
      <c r="G2433" s="128">
        <v>0</v>
      </c>
      <c r="H2433" s="128">
        <v>0</v>
      </c>
      <c r="I2433" s="128">
        <v>0</v>
      </c>
    </row>
    <row r="2434" spans="1:9" ht="13.5">
      <c r="A2434" s="128">
        <v>2000</v>
      </c>
      <c r="B2434" s="128" t="s">
        <v>137</v>
      </c>
      <c r="C2434" s="128" t="s">
        <v>25</v>
      </c>
      <c r="D2434" s="128" t="s">
        <v>76</v>
      </c>
      <c r="E2434" s="128" t="s">
        <v>132</v>
      </c>
      <c r="F2434" s="128">
        <v>0</v>
      </c>
      <c r="G2434" s="128">
        <v>0</v>
      </c>
      <c r="H2434" s="128">
        <v>0</v>
      </c>
      <c r="I2434" s="128">
        <v>0</v>
      </c>
    </row>
    <row r="2435" spans="1:9" ht="13.5">
      <c r="A2435" s="128">
        <v>2000</v>
      </c>
      <c r="B2435" s="128" t="s">
        <v>137</v>
      </c>
      <c r="C2435" s="128" t="s">
        <v>25</v>
      </c>
      <c r="D2435" s="128" t="s">
        <v>76</v>
      </c>
      <c r="E2435" s="128" t="s">
        <v>133</v>
      </c>
      <c r="F2435" s="128">
        <v>0</v>
      </c>
      <c r="G2435" s="128">
        <v>0</v>
      </c>
      <c r="H2435" s="128">
        <v>0</v>
      </c>
      <c r="I2435" s="128">
        <v>0</v>
      </c>
    </row>
    <row r="2436" spans="1:9" ht="13.5">
      <c r="A2436" s="128">
        <v>2000</v>
      </c>
      <c r="B2436" s="128" t="s">
        <v>137</v>
      </c>
      <c r="C2436" s="128" t="s">
        <v>25</v>
      </c>
      <c r="D2436" s="128" t="s">
        <v>76</v>
      </c>
      <c r="E2436" s="128" t="s">
        <v>134</v>
      </c>
      <c r="F2436" s="128">
        <v>0</v>
      </c>
      <c r="G2436" s="128">
        <v>0</v>
      </c>
      <c r="H2436" s="128">
        <v>0</v>
      </c>
      <c r="I2436" s="128">
        <v>0</v>
      </c>
    </row>
    <row r="2437" spans="1:9" ht="13.5">
      <c r="A2437" s="128">
        <v>2000</v>
      </c>
      <c r="B2437" s="128" t="s">
        <v>137</v>
      </c>
      <c r="C2437" s="128" t="s">
        <v>25</v>
      </c>
      <c r="D2437" s="128" t="s">
        <v>76</v>
      </c>
      <c r="E2437" s="128" t="s">
        <v>135</v>
      </c>
      <c r="F2437" s="128">
        <v>0</v>
      </c>
      <c r="G2437" s="128">
        <v>0</v>
      </c>
      <c r="H2437" s="128">
        <v>0</v>
      </c>
      <c r="I2437" s="128">
        <v>0</v>
      </c>
    </row>
    <row r="2438" spans="1:9" ht="13.5">
      <c r="A2438" s="128">
        <v>2000</v>
      </c>
      <c r="B2438" s="128" t="s">
        <v>137</v>
      </c>
      <c r="C2438" s="128" t="s">
        <v>25</v>
      </c>
      <c r="D2438" s="128" t="s">
        <v>76</v>
      </c>
      <c r="E2438" s="128" t="s">
        <v>136</v>
      </c>
      <c r="F2438" s="128">
        <v>0</v>
      </c>
      <c r="G2438" s="128">
        <v>0</v>
      </c>
      <c r="H2438" s="128">
        <v>0</v>
      </c>
      <c r="I2438" s="128">
        <v>0</v>
      </c>
    </row>
    <row r="2439" spans="1:9" ht="13.5">
      <c r="A2439" s="128">
        <v>2000</v>
      </c>
      <c r="B2439" s="128" t="s">
        <v>137</v>
      </c>
      <c r="C2439" s="128" t="s">
        <v>21</v>
      </c>
      <c r="D2439" s="128" t="s">
        <v>77</v>
      </c>
      <c r="E2439" s="128" t="s">
        <v>132</v>
      </c>
      <c r="F2439" s="128">
        <v>0</v>
      </c>
      <c r="G2439" s="128">
        <v>0</v>
      </c>
      <c r="H2439" s="128">
        <v>0</v>
      </c>
      <c r="I2439" s="128">
        <v>0</v>
      </c>
    </row>
    <row r="2440" spans="1:9" ht="13.5">
      <c r="A2440" s="128">
        <v>2000</v>
      </c>
      <c r="B2440" s="128" t="s">
        <v>137</v>
      </c>
      <c r="C2440" s="128" t="s">
        <v>21</v>
      </c>
      <c r="D2440" s="128" t="s">
        <v>77</v>
      </c>
      <c r="E2440" s="128" t="s">
        <v>133</v>
      </c>
      <c r="F2440" s="128">
        <v>0</v>
      </c>
      <c r="G2440" s="128">
        <v>0</v>
      </c>
      <c r="H2440" s="128">
        <v>0</v>
      </c>
      <c r="I2440" s="128">
        <v>0</v>
      </c>
    </row>
    <row r="2441" spans="1:9" ht="13.5">
      <c r="A2441" s="128">
        <v>2000</v>
      </c>
      <c r="B2441" s="128" t="s">
        <v>137</v>
      </c>
      <c r="C2441" s="128" t="s">
        <v>21</v>
      </c>
      <c r="D2441" s="128" t="s">
        <v>77</v>
      </c>
      <c r="E2441" s="128" t="s">
        <v>134</v>
      </c>
      <c r="F2441" s="128">
        <v>0</v>
      </c>
      <c r="G2441" s="128">
        <v>0</v>
      </c>
      <c r="H2441" s="128">
        <v>0</v>
      </c>
      <c r="I2441" s="128">
        <v>0</v>
      </c>
    </row>
    <row r="2442" spans="1:9" ht="13.5">
      <c r="A2442" s="128">
        <v>2000</v>
      </c>
      <c r="B2442" s="128" t="s">
        <v>137</v>
      </c>
      <c r="C2442" s="128" t="s">
        <v>21</v>
      </c>
      <c r="D2442" s="128" t="s">
        <v>77</v>
      </c>
      <c r="E2442" s="128" t="s">
        <v>135</v>
      </c>
      <c r="F2442" s="128">
        <v>0</v>
      </c>
      <c r="G2442" s="128">
        <v>0</v>
      </c>
      <c r="H2442" s="128">
        <v>0</v>
      </c>
      <c r="I2442" s="128">
        <v>0</v>
      </c>
    </row>
    <row r="2443" spans="1:9" ht="13.5">
      <c r="A2443" s="128">
        <v>2000</v>
      </c>
      <c r="B2443" s="128" t="s">
        <v>137</v>
      </c>
      <c r="C2443" s="128" t="s">
        <v>21</v>
      </c>
      <c r="D2443" s="128" t="s">
        <v>79</v>
      </c>
      <c r="E2443" s="128" t="s">
        <v>132</v>
      </c>
      <c r="F2443" s="128">
        <v>0</v>
      </c>
      <c r="G2443" s="128">
        <v>0</v>
      </c>
      <c r="H2443" s="128">
        <v>0</v>
      </c>
      <c r="I2443" s="128">
        <v>0</v>
      </c>
    </row>
    <row r="2444" spans="1:9" ht="13.5">
      <c r="A2444" s="128">
        <v>2000</v>
      </c>
      <c r="B2444" s="128" t="s">
        <v>137</v>
      </c>
      <c r="C2444" s="128" t="s">
        <v>21</v>
      </c>
      <c r="D2444" s="128" t="s">
        <v>79</v>
      </c>
      <c r="E2444" s="128" t="s">
        <v>133</v>
      </c>
      <c r="F2444" s="128">
        <v>0</v>
      </c>
      <c r="G2444" s="128">
        <v>0</v>
      </c>
      <c r="H2444" s="128">
        <v>0</v>
      </c>
      <c r="I2444" s="128">
        <v>0</v>
      </c>
    </row>
    <row r="2445" spans="1:9" ht="13.5">
      <c r="A2445" s="128">
        <v>2000</v>
      </c>
      <c r="B2445" s="128" t="s">
        <v>137</v>
      </c>
      <c r="C2445" s="128" t="s">
        <v>21</v>
      </c>
      <c r="D2445" s="128" t="s">
        <v>79</v>
      </c>
      <c r="E2445" s="128" t="s">
        <v>134</v>
      </c>
      <c r="F2445" s="128">
        <v>0</v>
      </c>
      <c r="G2445" s="128">
        <v>0</v>
      </c>
      <c r="H2445" s="128">
        <v>0</v>
      </c>
      <c r="I2445" s="128">
        <v>0</v>
      </c>
    </row>
    <row r="2446" spans="1:9" ht="13.5">
      <c r="A2446" s="128">
        <v>2000</v>
      </c>
      <c r="B2446" s="128" t="s">
        <v>137</v>
      </c>
      <c r="C2446" s="128" t="s">
        <v>21</v>
      </c>
      <c r="D2446" s="128" t="s">
        <v>79</v>
      </c>
      <c r="E2446" s="128" t="s">
        <v>135</v>
      </c>
      <c r="F2446" s="128">
        <v>0</v>
      </c>
      <c r="G2446" s="128">
        <v>0</v>
      </c>
      <c r="H2446" s="128">
        <v>0</v>
      </c>
      <c r="I2446" s="128">
        <v>0</v>
      </c>
    </row>
    <row r="2447" spans="1:9" ht="13.5">
      <c r="A2447" s="128">
        <v>2000</v>
      </c>
      <c r="B2447" s="128" t="s">
        <v>137</v>
      </c>
      <c r="C2447" s="128" t="s">
        <v>21</v>
      </c>
      <c r="D2447" s="128" t="s">
        <v>79</v>
      </c>
      <c r="E2447" s="128" t="s">
        <v>136</v>
      </c>
      <c r="F2447" s="128">
        <v>0</v>
      </c>
      <c r="G2447" s="128">
        <v>0</v>
      </c>
      <c r="H2447" s="128">
        <v>0</v>
      </c>
      <c r="I2447" s="128">
        <v>0</v>
      </c>
    </row>
    <row r="2448" spans="1:9" ht="13.5">
      <c r="A2448" s="128">
        <v>2000</v>
      </c>
      <c r="B2448" s="128" t="s">
        <v>137</v>
      </c>
      <c r="C2448" s="128" t="s">
        <v>21</v>
      </c>
      <c r="D2448" s="128" t="s">
        <v>76</v>
      </c>
      <c r="E2448" s="128" t="s">
        <v>132</v>
      </c>
      <c r="F2448" s="128">
        <v>0</v>
      </c>
      <c r="G2448" s="128">
        <v>0</v>
      </c>
      <c r="H2448" s="128">
        <v>0</v>
      </c>
      <c r="I2448" s="128">
        <v>0</v>
      </c>
    </row>
    <row r="2449" spans="1:9" ht="13.5">
      <c r="A2449" s="128">
        <v>2000</v>
      </c>
      <c r="B2449" s="128" t="s">
        <v>137</v>
      </c>
      <c r="C2449" s="128" t="s">
        <v>21</v>
      </c>
      <c r="D2449" s="128" t="s">
        <v>76</v>
      </c>
      <c r="E2449" s="128" t="s">
        <v>133</v>
      </c>
      <c r="F2449" s="128">
        <v>0</v>
      </c>
      <c r="G2449" s="128">
        <v>0</v>
      </c>
      <c r="H2449" s="128">
        <v>0</v>
      </c>
      <c r="I2449" s="128">
        <v>0</v>
      </c>
    </row>
    <row r="2450" spans="1:9" ht="13.5">
      <c r="A2450" s="128">
        <v>2000</v>
      </c>
      <c r="B2450" s="128" t="s">
        <v>137</v>
      </c>
      <c r="C2450" s="128" t="s">
        <v>21</v>
      </c>
      <c r="D2450" s="128" t="s">
        <v>76</v>
      </c>
      <c r="E2450" s="128" t="s">
        <v>134</v>
      </c>
      <c r="F2450" s="128">
        <v>0</v>
      </c>
      <c r="G2450" s="128">
        <v>0</v>
      </c>
      <c r="H2450" s="128">
        <v>0</v>
      </c>
      <c r="I2450" s="128">
        <v>0</v>
      </c>
    </row>
    <row r="2451" spans="1:9" ht="13.5">
      <c r="A2451" s="128">
        <v>2000</v>
      </c>
      <c r="B2451" s="128" t="s">
        <v>137</v>
      </c>
      <c r="C2451" s="128" t="s">
        <v>21</v>
      </c>
      <c r="D2451" s="128" t="s">
        <v>76</v>
      </c>
      <c r="E2451" s="128" t="s">
        <v>135</v>
      </c>
      <c r="F2451" s="128">
        <v>0</v>
      </c>
      <c r="G2451" s="128">
        <v>0</v>
      </c>
      <c r="H2451" s="128">
        <v>0</v>
      </c>
      <c r="I2451" s="128">
        <v>0</v>
      </c>
    </row>
    <row r="2452" spans="1:9" ht="13.5">
      <c r="A2452" s="128">
        <v>2000</v>
      </c>
      <c r="B2452" s="128" t="s">
        <v>137</v>
      </c>
      <c r="C2452" s="128" t="s">
        <v>21</v>
      </c>
      <c r="D2452" s="128" t="s">
        <v>76</v>
      </c>
      <c r="E2452" s="128" t="s">
        <v>136</v>
      </c>
      <c r="F2452" s="128">
        <v>0</v>
      </c>
      <c r="G2452" s="128">
        <v>0</v>
      </c>
      <c r="H2452" s="128">
        <v>0</v>
      </c>
      <c r="I2452" s="128">
        <v>0</v>
      </c>
    </row>
    <row r="2453" spans="1:9" ht="13.5">
      <c r="A2453" s="128">
        <v>2000</v>
      </c>
      <c r="B2453" s="128" t="s">
        <v>137</v>
      </c>
      <c r="C2453" s="128" t="s">
        <v>24</v>
      </c>
      <c r="D2453" s="128" t="s">
        <v>77</v>
      </c>
      <c r="E2453" s="128" t="s">
        <v>132</v>
      </c>
      <c r="F2453" s="128">
        <v>0</v>
      </c>
      <c r="G2453" s="128">
        <v>0</v>
      </c>
      <c r="H2453" s="128">
        <v>0</v>
      </c>
      <c r="I2453" s="128">
        <v>0</v>
      </c>
    </row>
    <row r="2454" spans="1:9" ht="13.5">
      <c r="A2454" s="128">
        <v>2000</v>
      </c>
      <c r="B2454" s="128" t="s">
        <v>137</v>
      </c>
      <c r="C2454" s="128" t="s">
        <v>24</v>
      </c>
      <c r="D2454" s="128" t="s">
        <v>77</v>
      </c>
      <c r="E2454" s="128" t="s">
        <v>133</v>
      </c>
      <c r="F2454" s="128">
        <v>0</v>
      </c>
      <c r="G2454" s="128">
        <v>0</v>
      </c>
      <c r="H2454" s="128">
        <v>0</v>
      </c>
      <c r="I2454" s="128">
        <v>0</v>
      </c>
    </row>
    <row r="2455" spans="1:9" ht="13.5">
      <c r="A2455" s="128">
        <v>2000</v>
      </c>
      <c r="B2455" s="128" t="s">
        <v>137</v>
      </c>
      <c r="C2455" s="128" t="s">
        <v>24</v>
      </c>
      <c r="D2455" s="128" t="s">
        <v>77</v>
      </c>
      <c r="E2455" s="128" t="s">
        <v>134</v>
      </c>
      <c r="F2455" s="128">
        <v>0</v>
      </c>
      <c r="G2455" s="128">
        <v>0</v>
      </c>
      <c r="H2455" s="128">
        <v>0</v>
      </c>
      <c r="I2455" s="128">
        <v>0</v>
      </c>
    </row>
    <row r="2456" spans="1:9" ht="13.5">
      <c r="A2456" s="128">
        <v>2000</v>
      </c>
      <c r="B2456" s="128" t="s">
        <v>137</v>
      </c>
      <c r="C2456" s="128" t="s">
        <v>24</v>
      </c>
      <c r="D2456" s="128" t="s">
        <v>77</v>
      </c>
      <c r="E2456" s="128" t="s">
        <v>135</v>
      </c>
      <c r="F2456" s="128">
        <v>0</v>
      </c>
      <c r="G2456" s="128">
        <v>0</v>
      </c>
      <c r="H2456" s="128">
        <v>0</v>
      </c>
      <c r="I2456" s="128">
        <v>0</v>
      </c>
    </row>
    <row r="2457" spans="1:9" ht="13.5">
      <c r="A2457" s="128">
        <v>2000</v>
      </c>
      <c r="B2457" s="128" t="s">
        <v>137</v>
      </c>
      <c r="C2457" s="128" t="s">
        <v>24</v>
      </c>
      <c r="D2457" s="128" t="s">
        <v>79</v>
      </c>
      <c r="E2457" s="128" t="s">
        <v>132</v>
      </c>
      <c r="F2457" s="128">
        <v>0</v>
      </c>
      <c r="G2457" s="128">
        <v>0</v>
      </c>
      <c r="H2457" s="128">
        <v>0</v>
      </c>
      <c r="I2457" s="128">
        <v>0</v>
      </c>
    </row>
    <row r="2458" spans="1:9" ht="13.5">
      <c r="A2458" s="128">
        <v>2000</v>
      </c>
      <c r="B2458" s="128" t="s">
        <v>137</v>
      </c>
      <c r="C2458" s="128" t="s">
        <v>24</v>
      </c>
      <c r="D2458" s="128" t="s">
        <v>79</v>
      </c>
      <c r="E2458" s="128" t="s">
        <v>133</v>
      </c>
      <c r="F2458" s="128">
        <v>0</v>
      </c>
      <c r="G2458" s="128">
        <v>0</v>
      </c>
      <c r="H2458" s="128">
        <v>0</v>
      </c>
      <c r="I2458" s="128">
        <v>0</v>
      </c>
    </row>
    <row r="2459" spans="1:9" ht="13.5">
      <c r="A2459" s="128">
        <v>2000</v>
      </c>
      <c r="B2459" s="128" t="s">
        <v>137</v>
      </c>
      <c r="C2459" s="128" t="s">
        <v>24</v>
      </c>
      <c r="D2459" s="128" t="s">
        <v>79</v>
      </c>
      <c r="E2459" s="128" t="s">
        <v>134</v>
      </c>
      <c r="F2459" s="128">
        <v>0</v>
      </c>
      <c r="G2459" s="128">
        <v>0</v>
      </c>
      <c r="H2459" s="128">
        <v>0</v>
      </c>
      <c r="I2459" s="128">
        <v>0</v>
      </c>
    </row>
    <row r="2460" spans="1:9" ht="13.5">
      <c r="A2460" s="128">
        <v>2000</v>
      </c>
      <c r="B2460" s="128" t="s">
        <v>137</v>
      </c>
      <c r="C2460" s="128" t="s">
        <v>24</v>
      </c>
      <c r="D2460" s="128" t="s">
        <v>79</v>
      </c>
      <c r="E2460" s="128" t="s">
        <v>135</v>
      </c>
      <c r="F2460" s="128">
        <v>0</v>
      </c>
      <c r="G2460" s="128">
        <v>0</v>
      </c>
      <c r="H2460" s="128">
        <v>0</v>
      </c>
      <c r="I2460" s="128">
        <v>0</v>
      </c>
    </row>
    <row r="2461" spans="1:9" ht="13.5">
      <c r="A2461" s="128">
        <v>2000</v>
      </c>
      <c r="B2461" s="128" t="s">
        <v>137</v>
      </c>
      <c r="C2461" s="128" t="s">
        <v>24</v>
      </c>
      <c r="D2461" s="128" t="s">
        <v>79</v>
      </c>
      <c r="E2461" s="128" t="s">
        <v>136</v>
      </c>
      <c r="F2461" s="128">
        <v>0</v>
      </c>
      <c r="G2461" s="128">
        <v>0</v>
      </c>
      <c r="H2461" s="128">
        <v>0</v>
      </c>
      <c r="I2461" s="128">
        <v>0</v>
      </c>
    </row>
    <row r="2462" spans="1:9" ht="13.5">
      <c r="A2462" s="128">
        <v>2000</v>
      </c>
      <c r="B2462" s="128" t="s">
        <v>137</v>
      </c>
      <c r="C2462" s="128" t="s">
        <v>24</v>
      </c>
      <c r="D2462" s="128" t="s">
        <v>76</v>
      </c>
      <c r="E2462" s="128" t="s">
        <v>132</v>
      </c>
      <c r="F2462" s="128">
        <v>0</v>
      </c>
      <c r="G2462" s="128">
        <v>0</v>
      </c>
      <c r="H2462" s="128">
        <v>0</v>
      </c>
      <c r="I2462" s="128">
        <v>0</v>
      </c>
    </row>
    <row r="2463" spans="1:9" ht="13.5">
      <c r="A2463" s="128">
        <v>2000</v>
      </c>
      <c r="B2463" s="128" t="s">
        <v>137</v>
      </c>
      <c r="C2463" s="128" t="s">
        <v>24</v>
      </c>
      <c r="D2463" s="128" t="s">
        <v>76</v>
      </c>
      <c r="E2463" s="128" t="s">
        <v>133</v>
      </c>
      <c r="F2463" s="128">
        <v>0</v>
      </c>
      <c r="G2463" s="128">
        <v>0</v>
      </c>
      <c r="H2463" s="128">
        <v>0</v>
      </c>
      <c r="I2463" s="128">
        <v>0</v>
      </c>
    </row>
    <row r="2464" spans="1:9" ht="13.5">
      <c r="A2464" s="128">
        <v>2000</v>
      </c>
      <c r="B2464" s="128" t="s">
        <v>137</v>
      </c>
      <c r="C2464" s="128" t="s">
        <v>24</v>
      </c>
      <c r="D2464" s="128" t="s">
        <v>76</v>
      </c>
      <c r="E2464" s="128" t="s">
        <v>134</v>
      </c>
      <c r="F2464" s="128">
        <v>0</v>
      </c>
      <c r="G2464" s="128">
        <v>0</v>
      </c>
      <c r="H2464" s="128">
        <v>0</v>
      </c>
      <c r="I2464" s="128">
        <v>0</v>
      </c>
    </row>
    <row r="2465" spans="1:9" ht="13.5">
      <c r="A2465" s="128">
        <v>2000</v>
      </c>
      <c r="B2465" s="128" t="s">
        <v>137</v>
      </c>
      <c r="C2465" s="128" t="s">
        <v>24</v>
      </c>
      <c r="D2465" s="128" t="s">
        <v>76</v>
      </c>
      <c r="E2465" s="128" t="s">
        <v>135</v>
      </c>
      <c r="F2465" s="128">
        <v>0</v>
      </c>
      <c r="G2465" s="128">
        <v>0</v>
      </c>
      <c r="H2465" s="128">
        <v>0</v>
      </c>
      <c r="I2465" s="128">
        <v>0</v>
      </c>
    </row>
    <row r="2466" spans="1:9" ht="13.5">
      <c r="A2466" s="128">
        <v>2000</v>
      </c>
      <c r="B2466" s="128" t="s">
        <v>137</v>
      </c>
      <c r="C2466" s="128" t="s">
        <v>24</v>
      </c>
      <c r="D2466" s="128" t="s">
        <v>76</v>
      </c>
      <c r="E2466" s="128" t="s">
        <v>136</v>
      </c>
      <c r="F2466" s="128">
        <v>0</v>
      </c>
      <c r="G2466" s="128">
        <v>0</v>
      </c>
      <c r="H2466" s="128">
        <v>0</v>
      </c>
      <c r="I2466" s="128">
        <v>0</v>
      </c>
    </row>
    <row r="2467" spans="1:9" ht="13.5">
      <c r="A2467" s="128">
        <v>2001</v>
      </c>
      <c r="B2467" s="128" t="s">
        <v>131</v>
      </c>
      <c r="C2467" s="128" t="s">
        <v>26</v>
      </c>
      <c r="D2467" s="128" t="s">
        <v>77</v>
      </c>
      <c r="E2467" s="128" t="s">
        <v>132</v>
      </c>
      <c r="F2467" s="128">
        <v>0</v>
      </c>
      <c r="G2467" s="128">
        <v>0</v>
      </c>
      <c r="H2467" s="128">
        <v>0</v>
      </c>
      <c r="I2467" s="128">
        <v>0</v>
      </c>
    </row>
    <row r="2468" spans="1:9" ht="13.5">
      <c r="A2468" s="128">
        <v>2001</v>
      </c>
      <c r="B2468" s="128" t="s">
        <v>131</v>
      </c>
      <c r="C2468" s="128" t="s">
        <v>26</v>
      </c>
      <c r="D2468" s="128" t="s">
        <v>77</v>
      </c>
      <c r="E2468" s="128" t="s">
        <v>133</v>
      </c>
      <c r="F2468" s="128">
        <v>0</v>
      </c>
      <c r="G2468" s="128">
        <v>0</v>
      </c>
      <c r="H2468" s="128">
        <v>0</v>
      </c>
      <c r="I2468" s="128">
        <v>0</v>
      </c>
    </row>
    <row r="2469" spans="1:9" ht="13.5">
      <c r="A2469" s="128">
        <v>2001</v>
      </c>
      <c r="B2469" s="128" t="s">
        <v>131</v>
      </c>
      <c r="C2469" s="128" t="s">
        <v>26</v>
      </c>
      <c r="D2469" s="128" t="s">
        <v>77</v>
      </c>
      <c r="E2469" s="128" t="s">
        <v>134</v>
      </c>
      <c r="F2469" s="128">
        <v>0</v>
      </c>
      <c r="G2469" s="128">
        <v>0</v>
      </c>
      <c r="H2469" s="128">
        <v>0</v>
      </c>
      <c r="I2469" s="128">
        <v>0</v>
      </c>
    </row>
    <row r="2470" spans="1:9" ht="13.5">
      <c r="A2470" s="128">
        <v>2001</v>
      </c>
      <c r="B2470" s="128" t="s">
        <v>131</v>
      </c>
      <c r="C2470" s="128" t="s">
        <v>26</v>
      </c>
      <c r="D2470" s="128" t="s">
        <v>77</v>
      </c>
      <c r="E2470" s="128" t="s">
        <v>135</v>
      </c>
      <c r="F2470" s="128">
        <v>0</v>
      </c>
      <c r="G2470" s="128">
        <v>0</v>
      </c>
      <c r="H2470" s="128">
        <v>0</v>
      </c>
      <c r="I2470" s="128">
        <v>0</v>
      </c>
    </row>
    <row r="2471" spans="1:9" ht="13.5">
      <c r="A2471" s="128">
        <v>2001</v>
      </c>
      <c r="B2471" s="128" t="s">
        <v>131</v>
      </c>
      <c r="C2471" s="128" t="s">
        <v>26</v>
      </c>
      <c r="D2471" s="128" t="s">
        <v>79</v>
      </c>
      <c r="E2471" s="128" t="s">
        <v>132</v>
      </c>
      <c r="F2471" s="128">
        <v>0</v>
      </c>
      <c r="G2471" s="128">
        <v>0</v>
      </c>
      <c r="H2471" s="128">
        <v>0</v>
      </c>
      <c r="I2471" s="128">
        <v>0</v>
      </c>
    </row>
    <row r="2472" spans="1:9" ht="13.5">
      <c r="A2472" s="128">
        <v>2001</v>
      </c>
      <c r="B2472" s="128" t="s">
        <v>131</v>
      </c>
      <c r="C2472" s="128" t="s">
        <v>26</v>
      </c>
      <c r="D2472" s="128" t="s">
        <v>79</v>
      </c>
      <c r="E2472" s="128" t="s">
        <v>133</v>
      </c>
      <c r="F2472" s="128">
        <v>0</v>
      </c>
      <c r="G2472" s="128">
        <v>0</v>
      </c>
      <c r="H2472" s="128">
        <v>0</v>
      </c>
      <c r="I2472" s="128">
        <v>0</v>
      </c>
    </row>
    <row r="2473" spans="1:9" ht="13.5">
      <c r="A2473" s="128">
        <v>2001</v>
      </c>
      <c r="B2473" s="128" t="s">
        <v>131</v>
      </c>
      <c r="C2473" s="128" t="s">
        <v>26</v>
      </c>
      <c r="D2473" s="128" t="s">
        <v>79</v>
      </c>
      <c r="E2473" s="128" t="s">
        <v>134</v>
      </c>
      <c r="F2473" s="128">
        <v>0</v>
      </c>
      <c r="G2473" s="128">
        <v>0</v>
      </c>
      <c r="H2473" s="128">
        <v>0</v>
      </c>
      <c r="I2473" s="128">
        <v>0</v>
      </c>
    </row>
    <row r="2474" spans="1:9" ht="13.5">
      <c r="A2474" s="128">
        <v>2001</v>
      </c>
      <c r="B2474" s="128" t="s">
        <v>131</v>
      </c>
      <c r="C2474" s="128" t="s">
        <v>26</v>
      </c>
      <c r="D2474" s="128" t="s">
        <v>79</v>
      </c>
      <c r="E2474" s="128" t="s">
        <v>135</v>
      </c>
      <c r="F2474" s="128">
        <v>0</v>
      </c>
      <c r="G2474" s="128">
        <v>0</v>
      </c>
      <c r="H2474" s="128">
        <v>0</v>
      </c>
      <c r="I2474" s="128">
        <v>0</v>
      </c>
    </row>
    <row r="2475" spans="1:9" ht="13.5">
      <c r="A2475" s="128">
        <v>2001</v>
      </c>
      <c r="B2475" s="128" t="s">
        <v>131</v>
      </c>
      <c r="C2475" s="128" t="s">
        <v>26</v>
      </c>
      <c r="D2475" s="128" t="s">
        <v>79</v>
      </c>
      <c r="E2475" s="128" t="s">
        <v>136</v>
      </c>
      <c r="F2475" s="128">
        <v>0</v>
      </c>
      <c r="G2475" s="128">
        <v>0</v>
      </c>
      <c r="H2475" s="128">
        <v>0</v>
      </c>
      <c r="I2475" s="128">
        <v>0</v>
      </c>
    </row>
    <row r="2476" spans="1:9" ht="13.5">
      <c r="A2476" s="128">
        <v>2001</v>
      </c>
      <c r="B2476" s="128" t="s">
        <v>131</v>
      </c>
      <c r="C2476" s="128" t="s">
        <v>26</v>
      </c>
      <c r="D2476" s="128" t="s">
        <v>76</v>
      </c>
      <c r="E2476" s="128" t="s">
        <v>132</v>
      </c>
      <c r="F2476" s="128">
        <v>0</v>
      </c>
      <c r="G2476" s="128">
        <v>0</v>
      </c>
      <c r="H2476" s="128">
        <v>0</v>
      </c>
      <c r="I2476" s="128">
        <v>0</v>
      </c>
    </row>
    <row r="2477" spans="1:9" ht="13.5">
      <c r="A2477" s="128">
        <v>2001</v>
      </c>
      <c r="B2477" s="128" t="s">
        <v>131</v>
      </c>
      <c r="C2477" s="128" t="s">
        <v>26</v>
      </c>
      <c r="D2477" s="128" t="s">
        <v>76</v>
      </c>
      <c r="E2477" s="128" t="s">
        <v>133</v>
      </c>
      <c r="F2477" s="128">
        <v>0</v>
      </c>
      <c r="G2477" s="128">
        <v>0</v>
      </c>
      <c r="H2477" s="128">
        <v>0</v>
      </c>
      <c r="I2477" s="128">
        <v>0</v>
      </c>
    </row>
    <row r="2478" spans="1:9" ht="13.5">
      <c r="A2478" s="128">
        <v>2001</v>
      </c>
      <c r="B2478" s="128" t="s">
        <v>131</v>
      </c>
      <c r="C2478" s="128" t="s">
        <v>26</v>
      </c>
      <c r="D2478" s="128" t="s">
        <v>76</v>
      </c>
      <c r="E2478" s="128" t="s">
        <v>134</v>
      </c>
      <c r="F2478" s="128">
        <v>0</v>
      </c>
      <c r="G2478" s="128">
        <v>0</v>
      </c>
      <c r="H2478" s="128">
        <v>0</v>
      </c>
      <c r="I2478" s="128">
        <v>0</v>
      </c>
    </row>
    <row r="2479" spans="1:9" ht="13.5">
      <c r="A2479" s="128">
        <v>2001</v>
      </c>
      <c r="B2479" s="128" t="s">
        <v>131</v>
      </c>
      <c r="C2479" s="128" t="s">
        <v>26</v>
      </c>
      <c r="D2479" s="128" t="s">
        <v>76</v>
      </c>
      <c r="E2479" s="128" t="s">
        <v>135</v>
      </c>
      <c r="F2479" s="128">
        <v>0</v>
      </c>
      <c r="G2479" s="128">
        <v>0</v>
      </c>
      <c r="H2479" s="128">
        <v>0</v>
      </c>
      <c r="I2479" s="128">
        <v>0</v>
      </c>
    </row>
    <row r="2480" spans="1:9" ht="13.5">
      <c r="A2480" s="128">
        <v>2001</v>
      </c>
      <c r="B2480" s="128" t="s">
        <v>131</v>
      </c>
      <c r="C2480" s="128" t="s">
        <v>26</v>
      </c>
      <c r="D2480" s="128" t="s">
        <v>76</v>
      </c>
      <c r="E2480" s="128" t="s">
        <v>136</v>
      </c>
      <c r="F2480" s="128">
        <v>0</v>
      </c>
      <c r="G2480" s="128">
        <v>0</v>
      </c>
      <c r="H2480" s="128">
        <v>0</v>
      </c>
      <c r="I2480" s="128">
        <v>0</v>
      </c>
    </row>
    <row r="2481" spans="1:9" ht="13.5">
      <c r="A2481" s="128">
        <v>2001</v>
      </c>
      <c r="B2481" s="128" t="s">
        <v>131</v>
      </c>
      <c r="C2481" s="128" t="s">
        <v>20</v>
      </c>
      <c r="D2481" s="128" t="s">
        <v>77</v>
      </c>
      <c r="E2481" s="128" t="s">
        <v>132</v>
      </c>
      <c r="F2481" s="128">
        <v>1418037</v>
      </c>
      <c r="G2481" s="128">
        <v>911363</v>
      </c>
      <c r="H2481" s="128">
        <v>467806</v>
      </c>
      <c r="I2481" s="128">
        <v>11927</v>
      </c>
    </row>
    <row r="2482" spans="1:9" ht="13.5">
      <c r="A2482" s="128">
        <v>2001</v>
      </c>
      <c r="B2482" s="128" t="s">
        <v>131</v>
      </c>
      <c r="C2482" s="128" t="s">
        <v>20</v>
      </c>
      <c r="D2482" s="128" t="s">
        <v>77</v>
      </c>
      <c r="E2482" s="128" t="s">
        <v>133</v>
      </c>
      <c r="F2482" s="128">
        <v>2726704</v>
      </c>
      <c r="G2482" s="128">
        <v>1474826</v>
      </c>
      <c r="H2482" s="128">
        <v>1161411</v>
      </c>
      <c r="I2482" s="128">
        <v>14598</v>
      </c>
    </row>
    <row r="2483" spans="1:9" ht="13.5">
      <c r="A2483" s="128">
        <v>2001</v>
      </c>
      <c r="B2483" s="128" t="s">
        <v>131</v>
      </c>
      <c r="C2483" s="128" t="s">
        <v>20</v>
      </c>
      <c r="D2483" s="128" t="s">
        <v>77</v>
      </c>
      <c r="E2483" s="128" t="s">
        <v>134</v>
      </c>
      <c r="F2483" s="128">
        <v>1044528</v>
      </c>
      <c r="G2483" s="128">
        <v>462257</v>
      </c>
      <c r="H2483" s="128">
        <v>379505</v>
      </c>
      <c r="I2483" s="128">
        <v>3680</v>
      </c>
    </row>
    <row r="2484" spans="1:9" ht="13.5">
      <c r="A2484" s="128">
        <v>2001</v>
      </c>
      <c r="B2484" s="128" t="s">
        <v>131</v>
      </c>
      <c r="C2484" s="128" t="s">
        <v>20</v>
      </c>
      <c r="D2484" s="128" t="s">
        <v>77</v>
      </c>
      <c r="E2484" s="128" t="s">
        <v>135</v>
      </c>
      <c r="F2484" s="128">
        <v>1072738</v>
      </c>
      <c r="G2484" s="128">
        <v>282883</v>
      </c>
      <c r="H2484" s="128">
        <v>352460</v>
      </c>
      <c r="I2484" s="128">
        <v>2789</v>
      </c>
    </row>
    <row r="2485" spans="1:9" ht="13.5">
      <c r="A2485" s="128">
        <v>2001</v>
      </c>
      <c r="B2485" s="128" t="s">
        <v>131</v>
      </c>
      <c r="C2485" s="128" t="s">
        <v>20</v>
      </c>
      <c r="D2485" s="128" t="s">
        <v>79</v>
      </c>
      <c r="E2485" s="128" t="s">
        <v>132</v>
      </c>
      <c r="F2485" s="128">
        <v>9573068</v>
      </c>
      <c r="G2485" s="128">
        <v>6400830</v>
      </c>
      <c r="H2485" s="128">
        <v>2166915</v>
      </c>
      <c r="I2485" s="128">
        <v>78044</v>
      </c>
    </row>
    <row r="2486" spans="1:9" ht="13.5">
      <c r="A2486" s="128">
        <v>2001</v>
      </c>
      <c r="B2486" s="128" t="s">
        <v>131</v>
      </c>
      <c r="C2486" s="128" t="s">
        <v>20</v>
      </c>
      <c r="D2486" s="128" t="s">
        <v>79</v>
      </c>
      <c r="E2486" s="128" t="s">
        <v>133</v>
      </c>
      <c r="F2486" s="128">
        <v>11580562</v>
      </c>
      <c r="G2486" s="128">
        <v>6284652</v>
      </c>
      <c r="H2486" s="128">
        <v>2109582</v>
      </c>
      <c r="I2486" s="128">
        <v>65877</v>
      </c>
    </row>
    <row r="2487" spans="1:9" ht="13.5">
      <c r="A2487" s="128">
        <v>2001</v>
      </c>
      <c r="B2487" s="128" t="s">
        <v>131</v>
      </c>
      <c r="C2487" s="128" t="s">
        <v>20</v>
      </c>
      <c r="D2487" s="128" t="s">
        <v>79</v>
      </c>
      <c r="E2487" s="128" t="s">
        <v>134</v>
      </c>
      <c r="F2487" s="128">
        <v>23033072</v>
      </c>
      <c r="G2487" s="128">
        <v>9973545</v>
      </c>
      <c r="H2487" s="128">
        <v>3382809</v>
      </c>
      <c r="I2487" s="128">
        <v>92267</v>
      </c>
    </row>
    <row r="2488" spans="1:9" ht="13.5">
      <c r="A2488" s="128">
        <v>2001</v>
      </c>
      <c r="B2488" s="128" t="s">
        <v>131</v>
      </c>
      <c r="C2488" s="128" t="s">
        <v>20</v>
      </c>
      <c r="D2488" s="128" t="s">
        <v>79</v>
      </c>
      <c r="E2488" s="128" t="s">
        <v>135</v>
      </c>
      <c r="F2488" s="128">
        <v>26089844</v>
      </c>
      <c r="G2488" s="128">
        <v>7442312</v>
      </c>
      <c r="H2488" s="128">
        <v>2636338</v>
      </c>
      <c r="I2488" s="128">
        <v>54284</v>
      </c>
    </row>
    <row r="2489" spans="1:9" ht="13.5">
      <c r="A2489" s="128">
        <v>2001</v>
      </c>
      <c r="B2489" s="128" t="s">
        <v>131</v>
      </c>
      <c r="C2489" s="128" t="s">
        <v>20</v>
      </c>
      <c r="D2489" s="128" t="s">
        <v>79</v>
      </c>
      <c r="E2489" s="128" t="s">
        <v>136</v>
      </c>
      <c r="F2489" s="128">
        <v>26919196</v>
      </c>
      <c r="G2489" s="128">
        <v>20245610</v>
      </c>
      <c r="H2489" s="128">
        <v>6673603</v>
      </c>
      <c r="I2489" s="128">
        <v>411789</v>
      </c>
    </row>
    <row r="2490" spans="1:9" ht="13.5">
      <c r="A2490" s="128">
        <v>2001</v>
      </c>
      <c r="B2490" s="128" t="s">
        <v>131</v>
      </c>
      <c r="C2490" s="128" t="s">
        <v>20</v>
      </c>
      <c r="D2490" s="128" t="s">
        <v>76</v>
      </c>
      <c r="E2490" s="128" t="s">
        <v>132</v>
      </c>
      <c r="F2490" s="128">
        <v>19628176</v>
      </c>
      <c r="G2490" s="128">
        <v>12713250</v>
      </c>
      <c r="H2490" s="128">
        <v>6914926</v>
      </c>
      <c r="I2490" s="128">
        <v>226465</v>
      </c>
    </row>
    <row r="2491" spans="1:9" ht="13.5">
      <c r="A2491" s="128">
        <v>2001</v>
      </c>
      <c r="B2491" s="128" t="s">
        <v>131</v>
      </c>
      <c r="C2491" s="128" t="s">
        <v>20</v>
      </c>
      <c r="D2491" s="128" t="s">
        <v>76</v>
      </c>
      <c r="E2491" s="128" t="s">
        <v>133</v>
      </c>
      <c r="F2491" s="128">
        <v>24547681</v>
      </c>
      <c r="G2491" s="128">
        <v>13406328</v>
      </c>
      <c r="H2491" s="128">
        <v>11141353</v>
      </c>
      <c r="I2491" s="128">
        <v>136807</v>
      </c>
    </row>
    <row r="2492" spans="1:9" ht="13.5">
      <c r="A2492" s="128">
        <v>2001</v>
      </c>
      <c r="B2492" s="128" t="s">
        <v>131</v>
      </c>
      <c r="C2492" s="128" t="s">
        <v>20</v>
      </c>
      <c r="D2492" s="128" t="s">
        <v>76</v>
      </c>
      <c r="E2492" s="128" t="s">
        <v>134</v>
      </c>
      <c r="F2492" s="128">
        <v>1521952</v>
      </c>
      <c r="G2492" s="128">
        <v>726511</v>
      </c>
      <c r="H2492" s="128">
        <v>795439</v>
      </c>
      <c r="I2492" s="128">
        <v>6470</v>
      </c>
    </row>
    <row r="2493" spans="1:9" ht="13.5">
      <c r="A2493" s="128">
        <v>2001</v>
      </c>
      <c r="B2493" s="128" t="s">
        <v>131</v>
      </c>
      <c r="C2493" s="128" t="s">
        <v>20</v>
      </c>
      <c r="D2493" s="128" t="s">
        <v>76</v>
      </c>
      <c r="E2493" s="128" t="s">
        <v>135</v>
      </c>
      <c r="F2493" s="128">
        <v>3262839</v>
      </c>
      <c r="G2493" s="128">
        <v>1130593</v>
      </c>
      <c r="H2493" s="128">
        <v>2132246</v>
      </c>
      <c r="I2493" s="128">
        <v>7275</v>
      </c>
    </row>
    <row r="2494" spans="1:9" ht="13.5">
      <c r="A2494" s="128">
        <v>2001</v>
      </c>
      <c r="B2494" s="128" t="s">
        <v>131</v>
      </c>
      <c r="C2494" s="128" t="s">
        <v>20</v>
      </c>
      <c r="D2494" s="128" t="s">
        <v>76</v>
      </c>
      <c r="E2494" s="128" t="s">
        <v>136</v>
      </c>
      <c r="F2494" s="128">
        <v>1532956</v>
      </c>
      <c r="G2494" s="128">
        <v>1246871</v>
      </c>
      <c r="H2494" s="128">
        <v>286094</v>
      </c>
      <c r="I2494" s="128">
        <v>31570</v>
      </c>
    </row>
    <row r="2495" spans="1:9" ht="13.5">
      <c r="A2495" s="128">
        <v>2001</v>
      </c>
      <c r="B2495" s="128" t="s">
        <v>131</v>
      </c>
      <c r="C2495" s="128" t="s">
        <v>27</v>
      </c>
      <c r="D2495" s="128" t="s">
        <v>77</v>
      </c>
      <c r="E2495" s="128" t="s">
        <v>132</v>
      </c>
      <c r="F2495" s="128">
        <v>28336</v>
      </c>
      <c r="G2495" s="128">
        <v>17868</v>
      </c>
      <c r="H2495" s="128">
        <v>10184</v>
      </c>
      <c r="I2495" s="128">
        <v>282</v>
      </c>
    </row>
    <row r="2496" spans="1:9" ht="13.5">
      <c r="A2496" s="128">
        <v>2001</v>
      </c>
      <c r="B2496" s="128" t="s">
        <v>131</v>
      </c>
      <c r="C2496" s="128" t="s">
        <v>27</v>
      </c>
      <c r="D2496" s="128" t="s">
        <v>77</v>
      </c>
      <c r="E2496" s="128" t="s">
        <v>133</v>
      </c>
      <c r="F2496" s="128">
        <v>69865</v>
      </c>
      <c r="G2496" s="128">
        <v>38258</v>
      </c>
      <c r="H2496" s="128">
        <v>31023</v>
      </c>
      <c r="I2496" s="128">
        <v>246</v>
      </c>
    </row>
    <row r="2497" spans="1:9" ht="13.5">
      <c r="A2497" s="128">
        <v>2001</v>
      </c>
      <c r="B2497" s="128" t="s">
        <v>131</v>
      </c>
      <c r="C2497" s="128" t="s">
        <v>27</v>
      </c>
      <c r="D2497" s="128" t="s">
        <v>77</v>
      </c>
      <c r="E2497" s="128" t="s">
        <v>134</v>
      </c>
      <c r="F2497" s="128">
        <v>15257</v>
      </c>
      <c r="G2497" s="128">
        <v>6668</v>
      </c>
      <c r="H2497" s="128">
        <v>5231</v>
      </c>
      <c r="I2497" s="128">
        <v>40</v>
      </c>
    </row>
    <row r="2498" spans="1:9" ht="13.5">
      <c r="A2498" s="128">
        <v>2001</v>
      </c>
      <c r="B2498" s="128" t="s">
        <v>131</v>
      </c>
      <c r="C2498" s="128" t="s">
        <v>27</v>
      </c>
      <c r="D2498" s="128" t="s">
        <v>77</v>
      </c>
      <c r="E2498" s="128" t="s">
        <v>135</v>
      </c>
      <c r="F2498" s="128">
        <v>3341</v>
      </c>
      <c r="G2498" s="128">
        <v>949</v>
      </c>
      <c r="H2498" s="128">
        <v>658</v>
      </c>
      <c r="I2498" s="128">
        <v>19</v>
      </c>
    </row>
    <row r="2499" spans="1:9" ht="13.5">
      <c r="A2499" s="128">
        <v>2001</v>
      </c>
      <c r="B2499" s="128" t="s">
        <v>131</v>
      </c>
      <c r="C2499" s="128" t="s">
        <v>27</v>
      </c>
      <c r="D2499" s="128" t="s">
        <v>79</v>
      </c>
      <c r="E2499" s="128" t="s">
        <v>132</v>
      </c>
      <c r="F2499" s="128">
        <v>134104</v>
      </c>
      <c r="G2499" s="128">
        <v>90962</v>
      </c>
      <c r="H2499" s="128">
        <v>30295</v>
      </c>
      <c r="I2499" s="128">
        <v>775</v>
      </c>
    </row>
    <row r="2500" spans="1:9" ht="13.5">
      <c r="A2500" s="128">
        <v>2001</v>
      </c>
      <c r="B2500" s="128" t="s">
        <v>131</v>
      </c>
      <c r="C2500" s="128" t="s">
        <v>27</v>
      </c>
      <c r="D2500" s="128" t="s">
        <v>79</v>
      </c>
      <c r="E2500" s="128" t="s">
        <v>133</v>
      </c>
      <c r="F2500" s="128">
        <v>112395</v>
      </c>
      <c r="G2500" s="128">
        <v>61149</v>
      </c>
      <c r="H2500" s="128">
        <v>20393</v>
      </c>
      <c r="I2500" s="128">
        <v>732</v>
      </c>
    </row>
    <row r="2501" spans="1:9" ht="13.5">
      <c r="A2501" s="128">
        <v>2001</v>
      </c>
      <c r="B2501" s="128" t="s">
        <v>131</v>
      </c>
      <c r="C2501" s="128" t="s">
        <v>27</v>
      </c>
      <c r="D2501" s="128" t="s">
        <v>79</v>
      </c>
      <c r="E2501" s="128" t="s">
        <v>134</v>
      </c>
      <c r="F2501" s="128">
        <v>266336</v>
      </c>
      <c r="G2501" s="128">
        <v>113293</v>
      </c>
      <c r="H2501" s="128">
        <v>38193</v>
      </c>
      <c r="I2501" s="128">
        <v>1386</v>
      </c>
    </row>
    <row r="2502" spans="1:9" ht="13.5">
      <c r="A2502" s="128">
        <v>2001</v>
      </c>
      <c r="B2502" s="128" t="s">
        <v>131</v>
      </c>
      <c r="C2502" s="128" t="s">
        <v>27</v>
      </c>
      <c r="D2502" s="128" t="s">
        <v>79</v>
      </c>
      <c r="E2502" s="128" t="s">
        <v>135</v>
      </c>
      <c r="F2502" s="128">
        <v>285364</v>
      </c>
      <c r="G2502" s="128">
        <v>78031</v>
      </c>
      <c r="H2502" s="128">
        <v>25705</v>
      </c>
      <c r="I2502" s="128">
        <v>474</v>
      </c>
    </row>
    <row r="2503" spans="1:9" ht="13.5">
      <c r="A2503" s="128">
        <v>2001</v>
      </c>
      <c r="B2503" s="128" t="s">
        <v>131</v>
      </c>
      <c r="C2503" s="128" t="s">
        <v>27</v>
      </c>
      <c r="D2503" s="128" t="s">
        <v>79</v>
      </c>
      <c r="E2503" s="128" t="s">
        <v>136</v>
      </c>
      <c r="F2503" s="128">
        <v>283214</v>
      </c>
      <c r="G2503" s="128">
        <v>213303</v>
      </c>
      <c r="H2503" s="128">
        <v>69911</v>
      </c>
      <c r="I2503" s="128">
        <v>3827</v>
      </c>
    </row>
    <row r="2504" spans="1:9" ht="13.5">
      <c r="A2504" s="128">
        <v>2001</v>
      </c>
      <c r="B2504" s="128" t="s">
        <v>131</v>
      </c>
      <c r="C2504" s="128" t="s">
        <v>27</v>
      </c>
      <c r="D2504" s="128" t="s">
        <v>76</v>
      </c>
      <c r="E2504" s="128" t="s">
        <v>132</v>
      </c>
      <c r="F2504" s="128">
        <v>239025</v>
      </c>
      <c r="G2504" s="128">
        <v>153503</v>
      </c>
      <c r="H2504" s="128">
        <v>85522</v>
      </c>
      <c r="I2504" s="128">
        <v>2697</v>
      </c>
    </row>
    <row r="2505" spans="1:9" ht="13.5">
      <c r="A2505" s="128">
        <v>2001</v>
      </c>
      <c r="B2505" s="128" t="s">
        <v>131</v>
      </c>
      <c r="C2505" s="128" t="s">
        <v>27</v>
      </c>
      <c r="D2505" s="128" t="s">
        <v>76</v>
      </c>
      <c r="E2505" s="128" t="s">
        <v>133</v>
      </c>
      <c r="F2505" s="128">
        <v>583888</v>
      </c>
      <c r="G2505" s="128">
        <v>321659</v>
      </c>
      <c r="H2505" s="128">
        <v>262229</v>
      </c>
      <c r="I2505" s="128">
        <v>2881</v>
      </c>
    </row>
    <row r="2506" spans="1:9" ht="13.5">
      <c r="A2506" s="128">
        <v>2001</v>
      </c>
      <c r="B2506" s="128" t="s">
        <v>131</v>
      </c>
      <c r="C2506" s="128" t="s">
        <v>27</v>
      </c>
      <c r="D2506" s="128" t="s">
        <v>76</v>
      </c>
      <c r="E2506" s="128" t="s">
        <v>134</v>
      </c>
      <c r="F2506" s="128">
        <v>114852</v>
      </c>
      <c r="G2506" s="128">
        <v>56393</v>
      </c>
      <c r="H2506" s="128">
        <v>58459</v>
      </c>
      <c r="I2506" s="128">
        <v>470</v>
      </c>
    </row>
    <row r="2507" spans="1:9" ht="13.5">
      <c r="A2507" s="128">
        <v>2001</v>
      </c>
      <c r="B2507" s="128" t="s">
        <v>131</v>
      </c>
      <c r="C2507" s="128" t="s">
        <v>27</v>
      </c>
      <c r="D2507" s="128" t="s">
        <v>76</v>
      </c>
      <c r="E2507" s="128" t="s">
        <v>135</v>
      </c>
      <c r="F2507" s="128">
        <v>112029</v>
      </c>
      <c r="G2507" s="128">
        <v>38904</v>
      </c>
      <c r="H2507" s="128">
        <v>73125</v>
      </c>
      <c r="I2507" s="128">
        <v>278</v>
      </c>
    </row>
    <row r="2508" spans="1:9" ht="13.5">
      <c r="A2508" s="128">
        <v>2001</v>
      </c>
      <c r="B2508" s="128" t="s">
        <v>131</v>
      </c>
      <c r="C2508" s="128" t="s">
        <v>27</v>
      </c>
      <c r="D2508" s="128" t="s">
        <v>76</v>
      </c>
      <c r="E2508" s="128" t="s">
        <v>136</v>
      </c>
      <c r="F2508" s="128">
        <v>35040</v>
      </c>
      <c r="G2508" s="128">
        <v>28901</v>
      </c>
      <c r="H2508" s="128">
        <v>6140</v>
      </c>
      <c r="I2508" s="128">
        <v>475</v>
      </c>
    </row>
    <row r="2509" spans="1:9" ht="13.5">
      <c r="A2509" s="128">
        <v>2001</v>
      </c>
      <c r="B2509" s="128" t="s">
        <v>131</v>
      </c>
      <c r="C2509" s="128" t="s">
        <v>22</v>
      </c>
      <c r="D2509" s="128" t="s">
        <v>77</v>
      </c>
      <c r="E2509" s="128" t="s">
        <v>132</v>
      </c>
      <c r="F2509" s="128">
        <v>1179817</v>
      </c>
      <c r="G2509" s="128">
        <v>750012</v>
      </c>
      <c r="H2509" s="128">
        <v>414494</v>
      </c>
      <c r="I2509" s="128">
        <v>11958</v>
      </c>
    </row>
    <row r="2510" spans="1:9" ht="13.5">
      <c r="A2510" s="128">
        <v>2001</v>
      </c>
      <c r="B2510" s="128" t="s">
        <v>131</v>
      </c>
      <c r="C2510" s="128" t="s">
        <v>22</v>
      </c>
      <c r="D2510" s="128" t="s">
        <v>77</v>
      </c>
      <c r="E2510" s="128" t="s">
        <v>133</v>
      </c>
      <c r="F2510" s="128">
        <v>2360437</v>
      </c>
      <c r="G2510" s="128">
        <v>1276088</v>
      </c>
      <c r="H2510" s="128">
        <v>1020642</v>
      </c>
      <c r="I2510" s="128">
        <v>10580</v>
      </c>
    </row>
    <row r="2511" spans="1:9" ht="13.5">
      <c r="A2511" s="128">
        <v>2001</v>
      </c>
      <c r="B2511" s="128" t="s">
        <v>131</v>
      </c>
      <c r="C2511" s="128" t="s">
        <v>22</v>
      </c>
      <c r="D2511" s="128" t="s">
        <v>77</v>
      </c>
      <c r="E2511" s="128" t="s">
        <v>134</v>
      </c>
      <c r="F2511" s="128">
        <v>1024307</v>
      </c>
      <c r="G2511" s="128">
        <v>451785</v>
      </c>
      <c r="H2511" s="128">
        <v>372506</v>
      </c>
      <c r="I2511" s="128">
        <v>3616</v>
      </c>
    </row>
    <row r="2512" spans="1:9" ht="13.5">
      <c r="A2512" s="128">
        <v>2001</v>
      </c>
      <c r="B2512" s="128" t="s">
        <v>131</v>
      </c>
      <c r="C2512" s="128" t="s">
        <v>22</v>
      </c>
      <c r="D2512" s="128" t="s">
        <v>77</v>
      </c>
      <c r="E2512" s="128" t="s">
        <v>135</v>
      </c>
      <c r="F2512" s="128">
        <v>701545</v>
      </c>
      <c r="G2512" s="128">
        <v>205508</v>
      </c>
      <c r="H2512" s="128">
        <v>253131</v>
      </c>
      <c r="I2512" s="128">
        <v>1569</v>
      </c>
    </row>
    <row r="2513" spans="1:9" ht="13.5">
      <c r="A2513" s="128">
        <v>2001</v>
      </c>
      <c r="B2513" s="128" t="s">
        <v>131</v>
      </c>
      <c r="C2513" s="128" t="s">
        <v>22</v>
      </c>
      <c r="D2513" s="128" t="s">
        <v>79</v>
      </c>
      <c r="E2513" s="128" t="s">
        <v>132</v>
      </c>
      <c r="F2513" s="128">
        <v>7204040</v>
      </c>
      <c r="G2513" s="128">
        <v>4811079</v>
      </c>
      <c r="H2513" s="128">
        <v>1648423</v>
      </c>
      <c r="I2513" s="128">
        <v>58953</v>
      </c>
    </row>
    <row r="2514" spans="1:9" ht="13.5">
      <c r="A2514" s="128">
        <v>2001</v>
      </c>
      <c r="B2514" s="128" t="s">
        <v>131</v>
      </c>
      <c r="C2514" s="128" t="s">
        <v>22</v>
      </c>
      <c r="D2514" s="128" t="s">
        <v>79</v>
      </c>
      <c r="E2514" s="128" t="s">
        <v>133</v>
      </c>
      <c r="F2514" s="128">
        <v>7678098</v>
      </c>
      <c r="G2514" s="128">
        <v>4205069</v>
      </c>
      <c r="H2514" s="128">
        <v>1415127</v>
      </c>
      <c r="I2514" s="128">
        <v>46822</v>
      </c>
    </row>
    <row r="2515" spans="1:9" ht="13.5">
      <c r="A2515" s="128">
        <v>2001</v>
      </c>
      <c r="B2515" s="128" t="s">
        <v>131</v>
      </c>
      <c r="C2515" s="128" t="s">
        <v>22</v>
      </c>
      <c r="D2515" s="128" t="s">
        <v>79</v>
      </c>
      <c r="E2515" s="128" t="s">
        <v>134</v>
      </c>
      <c r="F2515" s="128">
        <v>11584073</v>
      </c>
      <c r="G2515" s="128">
        <v>5070276</v>
      </c>
      <c r="H2515" s="128">
        <v>1726852</v>
      </c>
      <c r="I2515" s="128">
        <v>50856</v>
      </c>
    </row>
    <row r="2516" spans="1:9" ht="13.5">
      <c r="A2516" s="128">
        <v>2001</v>
      </c>
      <c r="B2516" s="128" t="s">
        <v>131</v>
      </c>
      <c r="C2516" s="128" t="s">
        <v>22</v>
      </c>
      <c r="D2516" s="128" t="s">
        <v>79</v>
      </c>
      <c r="E2516" s="128" t="s">
        <v>135</v>
      </c>
      <c r="F2516" s="128">
        <v>8791726</v>
      </c>
      <c r="G2516" s="128">
        <v>2444534</v>
      </c>
      <c r="H2516" s="128">
        <v>846006</v>
      </c>
      <c r="I2516" s="128">
        <v>18690</v>
      </c>
    </row>
    <row r="2517" spans="1:9" ht="13.5">
      <c r="A2517" s="128">
        <v>2001</v>
      </c>
      <c r="B2517" s="128" t="s">
        <v>131</v>
      </c>
      <c r="C2517" s="128" t="s">
        <v>22</v>
      </c>
      <c r="D2517" s="128" t="s">
        <v>79</v>
      </c>
      <c r="E2517" s="128" t="s">
        <v>136</v>
      </c>
      <c r="F2517" s="128">
        <v>13576123</v>
      </c>
      <c r="G2517" s="128">
        <v>10208145</v>
      </c>
      <c r="H2517" s="128">
        <v>3367953</v>
      </c>
      <c r="I2517" s="128">
        <v>188185</v>
      </c>
    </row>
    <row r="2518" spans="1:9" ht="13.5">
      <c r="A2518" s="128">
        <v>2001</v>
      </c>
      <c r="B2518" s="128" t="s">
        <v>131</v>
      </c>
      <c r="C2518" s="128" t="s">
        <v>22</v>
      </c>
      <c r="D2518" s="128" t="s">
        <v>76</v>
      </c>
      <c r="E2518" s="128" t="s">
        <v>132</v>
      </c>
      <c r="F2518" s="128">
        <v>16400529</v>
      </c>
      <c r="G2518" s="128">
        <v>10622893</v>
      </c>
      <c r="H2518" s="128">
        <v>5777636</v>
      </c>
      <c r="I2518" s="128">
        <v>270260</v>
      </c>
    </row>
    <row r="2519" spans="1:9" ht="13.5">
      <c r="A2519" s="128">
        <v>2001</v>
      </c>
      <c r="B2519" s="128" t="s">
        <v>131</v>
      </c>
      <c r="C2519" s="128" t="s">
        <v>22</v>
      </c>
      <c r="D2519" s="128" t="s">
        <v>76</v>
      </c>
      <c r="E2519" s="128" t="s">
        <v>133</v>
      </c>
      <c r="F2519" s="128">
        <v>20211967</v>
      </c>
      <c r="G2519" s="128">
        <v>11012431</v>
      </c>
      <c r="H2519" s="128">
        <v>9199537</v>
      </c>
      <c r="I2519" s="128">
        <v>102350</v>
      </c>
    </row>
    <row r="2520" spans="1:9" ht="13.5">
      <c r="A2520" s="128">
        <v>2001</v>
      </c>
      <c r="B2520" s="128" t="s">
        <v>131</v>
      </c>
      <c r="C2520" s="128" t="s">
        <v>22</v>
      </c>
      <c r="D2520" s="128" t="s">
        <v>76</v>
      </c>
      <c r="E2520" s="128" t="s">
        <v>134</v>
      </c>
      <c r="F2520" s="128">
        <v>1314394</v>
      </c>
      <c r="G2520" s="128">
        <v>617531</v>
      </c>
      <c r="H2520" s="128">
        <v>696862</v>
      </c>
      <c r="I2520" s="128">
        <v>5739</v>
      </c>
    </row>
    <row r="2521" spans="1:9" ht="13.5">
      <c r="A2521" s="128">
        <v>2001</v>
      </c>
      <c r="B2521" s="128" t="s">
        <v>131</v>
      </c>
      <c r="C2521" s="128" t="s">
        <v>22</v>
      </c>
      <c r="D2521" s="128" t="s">
        <v>76</v>
      </c>
      <c r="E2521" s="128" t="s">
        <v>135</v>
      </c>
      <c r="F2521" s="128">
        <v>2713350</v>
      </c>
      <c r="G2521" s="128">
        <v>903599</v>
      </c>
      <c r="H2521" s="128">
        <v>1809751</v>
      </c>
      <c r="I2521" s="128">
        <v>7183</v>
      </c>
    </row>
    <row r="2522" spans="1:9" ht="13.5">
      <c r="A2522" s="128">
        <v>2001</v>
      </c>
      <c r="B2522" s="128" t="s">
        <v>131</v>
      </c>
      <c r="C2522" s="128" t="s">
        <v>22</v>
      </c>
      <c r="D2522" s="128" t="s">
        <v>76</v>
      </c>
      <c r="E2522" s="128" t="s">
        <v>136</v>
      </c>
      <c r="F2522" s="128">
        <v>847120</v>
      </c>
      <c r="G2522" s="128">
        <v>739941</v>
      </c>
      <c r="H2522" s="128">
        <v>107211</v>
      </c>
      <c r="I2522" s="128">
        <v>18707</v>
      </c>
    </row>
    <row r="2523" spans="1:9" ht="13.5">
      <c r="A2523" s="128">
        <v>2001</v>
      </c>
      <c r="B2523" s="128" t="s">
        <v>131</v>
      </c>
      <c r="C2523" s="128" t="s">
        <v>23</v>
      </c>
      <c r="D2523" s="128" t="s">
        <v>77</v>
      </c>
      <c r="E2523" s="128" t="s">
        <v>132</v>
      </c>
      <c r="F2523" s="128">
        <v>239487</v>
      </c>
      <c r="G2523" s="128">
        <v>152334</v>
      </c>
      <c r="H2523" s="128">
        <v>83386</v>
      </c>
      <c r="I2523" s="128">
        <v>1812</v>
      </c>
    </row>
    <row r="2524" spans="1:9" ht="13.5">
      <c r="A2524" s="128">
        <v>2001</v>
      </c>
      <c r="B2524" s="128" t="s">
        <v>131</v>
      </c>
      <c r="C2524" s="128" t="s">
        <v>23</v>
      </c>
      <c r="D2524" s="128" t="s">
        <v>77</v>
      </c>
      <c r="E2524" s="128" t="s">
        <v>133</v>
      </c>
      <c r="F2524" s="128">
        <v>636984</v>
      </c>
      <c r="G2524" s="128">
        <v>347169</v>
      </c>
      <c r="H2524" s="128">
        <v>280013</v>
      </c>
      <c r="I2524" s="128">
        <v>3053</v>
      </c>
    </row>
    <row r="2525" spans="1:9" ht="13.5">
      <c r="A2525" s="128">
        <v>2001</v>
      </c>
      <c r="B2525" s="128" t="s">
        <v>131</v>
      </c>
      <c r="C2525" s="128" t="s">
        <v>23</v>
      </c>
      <c r="D2525" s="128" t="s">
        <v>77</v>
      </c>
      <c r="E2525" s="128" t="s">
        <v>134</v>
      </c>
      <c r="F2525" s="128">
        <v>121157</v>
      </c>
      <c r="G2525" s="128">
        <v>55935</v>
      </c>
      <c r="H2525" s="128">
        <v>50095</v>
      </c>
      <c r="I2525" s="128">
        <v>532</v>
      </c>
    </row>
    <row r="2526" spans="1:9" ht="13.5">
      <c r="A2526" s="128">
        <v>2001</v>
      </c>
      <c r="B2526" s="128" t="s">
        <v>131</v>
      </c>
      <c r="C2526" s="128" t="s">
        <v>23</v>
      </c>
      <c r="D2526" s="128" t="s">
        <v>77</v>
      </c>
      <c r="E2526" s="128" t="s">
        <v>135</v>
      </c>
      <c r="F2526" s="128">
        <v>87847</v>
      </c>
      <c r="G2526" s="128">
        <v>23259</v>
      </c>
      <c r="H2526" s="128">
        <v>34548</v>
      </c>
      <c r="I2526" s="128">
        <v>193</v>
      </c>
    </row>
    <row r="2527" spans="1:9" ht="13.5">
      <c r="A2527" s="128">
        <v>2001</v>
      </c>
      <c r="B2527" s="128" t="s">
        <v>131</v>
      </c>
      <c r="C2527" s="128" t="s">
        <v>23</v>
      </c>
      <c r="D2527" s="128" t="s">
        <v>79</v>
      </c>
      <c r="E2527" s="128" t="s">
        <v>132</v>
      </c>
      <c r="F2527" s="128">
        <v>1809963</v>
      </c>
      <c r="G2527" s="128">
        <v>1222422</v>
      </c>
      <c r="H2527" s="128">
        <v>413876</v>
      </c>
      <c r="I2527" s="128">
        <v>21929</v>
      </c>
    </row>
    <row r="2528" spans="1:9" ht="13.5">
      <c r="A2528" s="128">
        <v>2001</v>
      </c>
      <c r="B2528" s="128" t="s">
        <v>131</v>
      </c>
      <c r="C2528" s="128" t="s">
        <v>23</v>
      </c>
      <c r="D2528" s="128" t="s">
        <v>79</v>
      </c>
      <c r="E2528" s="128" t="s">
        <v>133</v>
      </c>
      <c r="F2528" s="128">
        <v>690986</v>
      </c>
      <c r="G2528" s="128">
        <v>380331</v>
      </c>
      <c r="H2528" s="128">
        <v>132732</v>
      </c>
      <c r="I2528" s="128">
        <v>4536</v>
      </c>
    </row>
    <row r="2529" spans="1:9" ht="13.5">
      <c r="A2529" s="128">
        <v>2001</v>
      </c>
      <c r="B2529" s="128" t="s">
        <v>131</v>
      </c>
      <c r="C2529" s="128" t="s">
        <v>23</v>
      </c>
      <c r="D2529" s="128" t="s">
        <v>79</v>
      </c>
      <c r="E2529" s="128" t="s">
        <v>134</v>
      </c>
      <c r="F2529" s="128">
        <v>687523</v>
      </c>
      <c r="G2529" s="128">
        <v>296383</v>
      </c>
      <c r="H2529" s="128">
        <v>103177</v>
      </c>
      <c r="I2529" s="128">
        <v>3140</v>
      </c>
    </row>
    <row r="2530" spans="1:9" ht="13.5">
      <c r="A2530" s="128">
        <v>2001</v>
      </c>
      <c r="B2530" s="128" t="s">
        <v>131</v>
      </c>
      <c r="C2530" s="128" t="s">
        <v>23</v>
      </c>
      <c r="D2530" s="128" t="s">
        <v>79</v>
      </c>
      <c r="E2530" s="128" t="s">
        <v>135</v>
      </c>
      <c r="F2530" s="128">
        <v>496099</v>
      </c>
      <c r="G2530" s="128">
        <v>149992</v>
      </c>
      <c r="H2530" s="128">
        <v>67041</v>
      </c>
      <c r="I2530" s="128">
        <v>1450</v>
      </c>
    </row>
    <row r="2531" spans="1:9" ht="13.5">
      <c r="A2531" s="128">
        <v>2001</v>
      </c>
      <c r="B2531" s="128" t="s">
        <v>131</v>
      </c>
      <c r="C2531" s="128" t="s">
        <v>23</v>
      </c>
      <c r="D2531" s="128" t="s">
        <v>79</v>
      </c>
      <c r="E2531" s="128" t="s">
        <v>136</v>
      </c>
      <c r="F2531" s="128">
        <v>4600308</v>
      </c>
      <c r="G2531" s="128">
        <v>3452628</v>
      </c>
      <c r="H2531" s="128">
        <v>1146640</v>
      </c>
      <c r="I2531" s="128">
        <v>85122</v>
      </c>
    </row>
    <row r="2532" spans="1:9" ht="13.5">
      <c r="A2532" s="128">
        <v>2001</v>
      </c>
      <c r="B2532" s="128" t="s">
        <v>131</v>
      </c>
      <c r="C2532" s="128" t="s">
        <v>23</v>
      </c>
      <c r="D2532" s="128" t="s">
        <v>76</v>
      </c>
      <c r="E2532" s="128" t="s">
        <v>132</v>
      </c>
      <c r="F2532" s="128">
        <v>9134941</v>
      </c>
      <c r="G2532" s="128">
        <v>5991040</v>
      </c>
      <c r="H2532" s="128">
        <v>3143901</v>
      </c>
      <c r="I2532" s="128">
        <v>126928</v>
      </c>
    </row>
    <row r="2533" spans="1:9" ht="13.5">
      <c r="A2533" s="128">
        <v>2001</v>
      </c>
      <c r="B2533" s="128" t="s">
        <v>131</v>
      </c>
      <c r="C2533" s="128" t="s">
        <v>23</v>
      </c>
      <c r="D2533" s="128" t="s">
        <v>76</v>
      </c>
      <c r="E2533" s="128" t="s">
        <v>133</v>
      </c>
      <c r="F2533" s="128">
        <v>18830761</v>
      </c>
      <c r="G2533" s="128">
        <v>10296435</v>
      </c>
      <c r="H2533" s="128">
        <v>8534325</v>
      </c>
      <c r="I2533" s="128">
        <v>87814</v>
      </c>
    </row>
    <row r="2534" spans="1:9" ht="13.5">
      <c r="A2534" s="128">
        <v>2001</v>
      </c>
      <c r="B2534" s="128" t="s">
        <v>131</v>
      </c>
      <c r="C2534" s="128" t="s">
        <v>23</v>
      </c>
      <c r="D2534" s="128" t="s">
        <v>76</v>
      </c>
      <c r="E2534" s="128" t="s">
        <v>134</v>
      </c>
      <c r="F2534" s="128">
        <v>2023624</v>
      </c>
      <c r="G2534" s="128">
        <v>938096</v>
      </c>
      <c r="H2534" s="128">
        <v>1085527</v>
      </c>
      <c r="I2534" s="128">
        <v>11807</v>
      </c>
    </row>
    <row r="2535" spans="1:9" ht="13.5">
      <c r="A2535" s="128">
        <v>2001</v>
      </c>
      <c r="B2535" s="128" t="s">
        <v>131</v>
      </c>
      <c r="C2535" s="128" t="s">
        <v>23</v>
      </c>
      <c r="D2535" s="128" t="s">
        <v>76</v>
      </c>
      <c r="E2535" s="128" t="s">
        <v>135</v>
      </c>
      <c r="F2535" s="128">
        <v>895661</v>
      </c>
      <c r="G2535" s="128">
        <v>303137</v>
      </c>
      <c r="H2535" s="128">
        <v>592523</v>
      </c>
      <c r="I2535" s="128">
        <v>1476</v>
      </c>
    </row>
    <row r="2536" spans="1:9" ht="13.5">
      <c r="A2536" s="128">
        <v>2001</v>
      </c>
      <c r="B2536" s="128" t="s">
        <v>131</v>
      </c>
      <c r="C2536" s="128" t="s">
        <v>23</v>
      </c>
      <c r="D2536" s="128" t="s">
        <v>76</v>
      </c>
      <c r="E2536" s="128" t="s">
        <v>136</v>
      </c>
      <c r="F2536" s="128">
        <v>1385531</v>
      </c>
      <c r="G2536" s="128">
        <v>1052911</v>
      </c>
      <c r="H2536" s="128">
        <v>334112</v>
      </c>
      <c r="I2536" s="128">
        <v>11180</v>
      </c>
    </row>
    <row r="2537" spans="1:9" ht="13.5">
      <c r="A2537" s="128">
        <v>2001</v>
      </c>
      <c r="B2537" s="128" t="s">
        <v>131</v>
      </c>
      <c r="C2537" s="128" t="s">
        <v>25</v>
      </c>
      <c r="D2537" s="128" t="s">
        <v>77</v>
      </c>
      <c r="E2537" s="128" t="s">
        <v>132</v>
      </c>
      <c r="F2537" s="128">
        <v>101372</v>
      </c>
      <c r="G2537" s="128">
        <v>63933</v>
      </c>
      <c r="H2537" s="128">
        <v>35200</v>
      </c>
      <c r="I2537" s="128">
        <v>956</v>
      </c>
    </row>
    <row r="2538" spans="1:9" ht="13.5">
      <c r="A2538" s="128">
        <v>2001</v>
      </c>
      <c r="B2538" s="128" t="s">
        <v>131</v>
      </c>
      <c r="C2538" s="128" t="s">
        <v>25</v>
      </c>
      <c r="D2538" s="128" t="s">
        <v>77</v>
      </c>
      <c r="E2538" s="128" t="s">
        <v>133</v>
      </c>
      <c r="F2538" s="128">
        <v>313934</v>
      </c>
      <c r="G2538" s="128">
        <v>168915</v>
      </c>
      <c r="H2538" s="128">
        <v>140252</v>
      </c>
      <c r="I2538" s="128">
        <v>1652</v>
      </c>
    </row>
    <row r="2539" spans="1:9" ht="13.5">
      <c r="A2539" s="128">
        <v>2001</v>
      </c>
      <c r="B2539" s="128" t="s">
        <v>131</v>
      </c>
      <c r="C2539" s="128" t="s">
        <v>25</v>
      </c>
      <c r="D2539" s="128" t="s">
        <v>77</v>
      </c>
      <c r="E2539" s="128" t="s">
        <v>134</v>
      </c>
      <c r="F2539" s="128">
        <v>45856</v>
      </c>
      <c r="G2539" s="128">
        <v>20458</v>
      </c>
      <c r="H2539" s="128">
        <v>16536</v>
      </c>
      <c r="I2539" s="128">
        <v>300</v>
      </c>
    </row>
    <row r="2540" spans="1:9" ht="13.5">
      <c r="A2540" s="128">
        <v>2001</v>
      </c>
      <c r="B2540" s="128" t="s">
        <v>131</v>
      </c>
      <c r="C2540" s="128" t="s">
        <v>25</v>
      </c>
      <c r="D2540" s="128" t="s">
        <v>77</v>
      </c>
      <c r="E2540" s="128" t="s">
        <v>135</v>
      </c>
      <c r="F2540" s="128">
        <v>47461</v>
      </c>
      <c r="G2540" s="128">
        <v>13159</v>
      </c>
      <c r="H2540" s="128">
        <v>12323</v>
      </c>
      <c r="I2540" s="128">
        <v>108</v>
      </c>
    </row>
    <row r="2541" spans="1:9" ht="13.5">
      <c r="A2541" s="128">
        <v>2001</v>
      </c>
      <c r="B2541" s="128" t="s">
        <v>131</v>
      </c>
      <c r="C2541" s="128" t="s">
        <v>25</v>
      </c>
      <c r="D2541" s="128" t="s">
        <v>79</v>
      </c>
      <c r="E2541" s="128" t="s">
        <v>132</v>
      </c>
      <c r="F2541" s="128">
        <v>750410</v>
      </c>
      <c r="G2541" s="128">
        <v>499810</v>
      </c>
      <c r="H2541" s="128">
        <v>168666</v>
      </c>
      <c r="I2541" s="128">
        <v>6667</v>
      </c>
    </row>
    <row r="2542" spans="1:9" ht="13.5">
      <c r="A2542" s="128">
        <v>2001</v>
      </c>
      <c r="B2542" s="128" t="s">
        <v>131</v>
      </c>
      <c r="C2542" s="128" t="s">
        <v>25</v>
      </c>
      <c r="D2542" s="128" t="s">
        <v>79</v>
      </c>
      <c r="E2542" s="128" t="s">
        <v>133</v>
      </c>
      <c r="F2542" s="128">
        <v>686098</v>
      </c>
      <c r="G2542" s="128">
        <v>375517</v>
      </c>
      <c r="H2542" s="128">
        <v>126506</v>
      </c>
      <c r="I2542" s="128">
        <v>4690</v>
      </c>
    </row>
    <row r="2543" spans="1:9" ht="13.5">
      <c r="A2543" s="128">
        <v>2001</v>
      </c>
      <c r="B2543" s="128" t="s">
        <v>131</v>
      </c>
      <c r="C2543" s="128" t="s">
        <v>25</v>
      </c>
      <c r="D2543" s="128" t="s">
        <v>79</v>
      </c>
      <c r="E2543" s="128" t="s">
        <v>134</v>
      </c>
      <c r="F2543" s="128">
        <v>810926</v>
      </c>
      <c r="G2543" s="128">
        <v>354267</v>
      </c>
      <c r="H2543" s="128">
        <v>118425</v>
      </c>
      <c r="I2543" s="128">
        <v>3974</v>
      </c>
    </row>
    <row r="2544" spans="1:9" ht="13.5">
      <c r="A2544" s="128">
        <v>2001</v>
      </c>
      <c r="B2544" s="128" t="s">
        <v>131</v>
      </c>
      <c r="C2544" s="128" t="s">
        <v>25</v>
      </c>
      <c r="D2544" s="128" t="s">
        <v>79</v>
      </c>
      <c r="E2544" s="128" t="s">
        <v>135</v>
      </c>
      <c r="F2544" s="128">
        <v>1551412</v>
      </c>
      <c r="G2544" s="128">
        <v>412165</v>
      </c>
      <c r="H2544" s="128">
        <v>138706</v>
      </c>
      <c r="I2544" s="128">
        <v>3741</v>
      </c>
    </row>
    <row r="2545" spans="1:9" ht="13.5">
      <c r="A2545" s="128">
        <v>2001</v>
      </c>
      <c r="B2545" s="128" t="s">
        <v>131</v>
      </c>
      <c r="C2545" s="128" t="s">
        <v>25</v>
      </c>
      <c r="D2545" s="128" t="s">
        <v>79</v>
      </c>
      <c r="E2545" s="128" t="s">
        <v>136</v>
      </c>
      <c r="F2545" s="128">
        <v>1977882</v>
      </c>
      <c r="G2545" s="128">
        <v>1485716</v>
      </c>
      <c r="H2545" s="128">
        <v>492167</v>
      </c>
      <c r="I2545" s="128">
        <v>29016</v>
      </c>
    </row>
    <row r="2546" spans="1:9" ht="13.5">
      <c r="A2546" s="128">
        <v>2001</v>
      </c>
      <c r="B2546" s="128" t="s">
        <v>131</v>
      </c>
      <c r="C2546" s="128" t="s">
        <v>25</v>
      </c>
      <c r="D2546" s="128" t="s">
        <v>76</v>
      </c>
      <c r="E2546" s="128" t="s">
        <v>132</v>
      </c>
      <c r="F2546" s="128">
        <v>1893221</v>
      </c>
      <c r="G2546" s="128">
        <v>1228469</v>
      </c>
      <c r="H2546" s="128">
        <v>664753</v>
      </c>
      <c r="I2546" s="128">
        <v>23602</v>
      </c>
    </row>
    <row r="2547" spans="1:9" ht="13.5">
      <c r="A2547" s="128">
        <v>2001</v>
      </c>
      <c r="B2547" s="128" t="s">
        <v>131</v>
      </c>
      <c r="C2547" s="128" t="s">
        <v>25</v>
      </c>
      <c r="D2547" s="128" t="s">
        <v>76</v>
      </c>
      <c r="E2547" s="128" t="s">
        <v>133</v>
      </c>
      <c r="F2547" s="128">
        <v>2002903</v>
      </c>
      <c r="G2547" s="128">
        <v>1097602</v>
      </c>
      <c r="H2547" s="128">
        <v>905301</v>
      </c>
      <c r="I2547" s="128">
        <v>7674</v>
      </c>
    </row>
    <row r="2548" spans="1:9" ht="13.5">
      <c r="A2548" s="128">
        <v>2001</v>
      </c>
      <c r="B2548" s="128" t="s">
        <v>131</v>
      </c>
      <c r="C2548" s="128" t="s">
        <v>25</v>
      </c>
      <c r="D2548" s="128" t="s">
        <v>76</v>
      </c>
      <c r="E2548" s="128" t="s">
        <v>134</v>
      </c>
      <c r="F2548" s="128">
        <v>377874</v>
      </c>
      <c r="G2548" s="128">
        <v>179207</v>
      </c>
      <c r="H2548" s="128">
        <v>198667</v>
      </c>
      <c r="I2548" s="128">
        <v>821</v>
      </c>
    </row>
    <row r="2549" spans="1:9" ht="13.5">
      <c r="A2549" s="128">
        <v>2001</v>
      </c>
      <c r="B2549" s="128" t="s">
        <v>131</v>
      </c>
      <c r="C2549" s="128" t="s">
        <v>25</v>
      </c>
      <c r="D2549" s="128" t="s">
        <v>76</v>
      </c>
      <c r="E2549" s="128" t="s">
        <v>135</v>
      </c>
      <c r="F2549" s="128">
        <v>347158</v>
      </c>
      <c r="G2549" s="128">
        <v>121404</v>
      </c>
      <c r="H2549" s="128">
        <v>225753</v>
      </c>
      <c r="I2549" s="128">
        <v>1113</v>
      </c>
    </row>
    <row r="2550" spans="1:9" ht="13.5">
      <c r="A2550" s="128">
        <v>2001</v>
      </c>
      <c r="B2550" s="128" t="s">
        <v>131</v>
      </c>
      <c r="C2550" s="128" t="s">
        <v>25</v>
      </c>
      <c r="D2550" s="128" t="s">
        <v>76</v>
      </c>
      <c r="E2550" s="128" t="s">
        <v>136</v>
      </c>
      <c r="F2550" s="128">
        <v>220536</v>
      </c>
      <c r="G2550" s="128">
        <v>180357</v>
      </c>
      <c r="H2550" s="128">
        <v>40179</v>
      </c>
      <c r="I2550" s="128">
        <v>5013</v>
      </c>
    </row>
    <row r="2551" spans="1:9" ht="13.5">
      <c r="A2551" s="128">
        <v>2001</v>
      </c>
      <c r="B2551" s="128" t="s">
        <v>131</v>
      </c>
      <c r="C2551" s="128" t="s">
        <v>21</v>
      </c>
      <c r="D2551" s="128" t="s">
        <v>77</v>
      </c>
      <c r="E2551" s="128" t="s">
        <v>132</v>
      </c>
      <c r="F2551" s="128">
        <v>1622669</v>
      </c>
      <c r="G2551" s="128">
        <v>1034043</v>
      </c>
      <c r="H2551" s="128">
        <v>546907</v>
      </c>
      <c r="I2551" s="128">
        <v>13525</v>
      </c>
    </row>
    <row r="2552" spans="1:9" ht="13.5">
      <c r="A2552" s="128">
        <v>2001</v>
      </c>
      <c r="B2552" s="128" t="s">
        <v>131</v>
      </c>
      <c r="C2552" s="128" t="s">
        <v>21</v>
      </c>
      <c r="D2552" s="128" t="s">
        <v>77</v>
      </c>
      <c r="E2552" s="128" t="s">
        <v>133</v>
      </c>
      <c r="F2552" s="128">
        <v>4185691</v>
      </c>
      <c r="G2552" s="128">
        <v>2261573</v>
      </c>
      <c r="H2552" s="128">
        <v>1717338</v>
      </c>
      <c r="I2552" s="128">
        <v>19377</v>
      </c>
    </row>
    <row r="2553" spans="1:9" ht="13.5">
      <c r="A2553" s="128">
        <v>2001</v>
      </c>
      <c r="B2553" s="128" t="s">
        <v>131</v>
      </c>
      <c r="C2553" s="128" t="s">
        <v>21</v>
      </c>
      <c r="D2553" s="128" t="s">
        <v>77</v>
      </c>
      <c r="E2553" s="128" t="s">
        <v>134</v>
      </c>
      <c r="F2553" s="128">
        <v>2199098</v>
      </c>
      <c r="G2553" s="128">
        <v>984748</v>
      </c>
      <c r="H2553" s="128">
        <v>727410</v>
      </c>
      <c r="I2553" s="128">
        <v>8368</v>
      </c>
    </row>
    <row r="2554" spans="1:9" ht="13.5">
      <c r="A2554" s="128">
        <v>2001</v>
      </c>
      <c r="B2554" s="128" t="s">
        <v>131</v>
      </c>
      <c r="C2554" s="128" t="s">
        <v>21</v>
      </c>
      <c r="D2554" s="128" t="s">
        <v>77</v>
      </c>
      <c r="E2554" s="128" t="s">
        <v>135</v>
      </c>
      <c r="F2554" s="128">
        <v>1119570</v>
      </c>
      <c r="G2554" s="128">
        <v>334363</v>
      </c>
      <c r="H2554" s="128">
        <v>314598</v>
      </c>
      <c r="I2554" s="128">
        <v>3079</v>
      </c>
    </row>
    <row r="2555" spans="1:9" ht="13.5">
      <c r="A2555" s="128">
        <v>2001</v>
      </c>
      <c r="B2555" s="128" t="s">
        <v>131</v>
      </c>
      <c r="C2555" s="128" t="s">
        <v>21</v>
      </c>
      <c r="D2555" s="128" t="s">
        <v>79</v>
      </c>
      <c r="E2555" s="128" t="s">
        <v>132</v>
      </c>
      <c r="F2555" s="128">
        <v>6627191</v>
      </c>
      <c r="G2555" s="128">
        <v>4447612</v>
      </c>
      <c r="H2555" s="128">
        <v>1517624</v>
      </c>
      <c r="I2555" s="128">
        <v>52175</v>
      </c>
    </row>
    <row r="2556" spans="1:9" ht="13.5">
      <c r="A2556" s="128">
        <v>2001</v>
      </c>
      <c r="B2556" s="128" t="s">
        <v>131</v>
      </c>
      <c r="C2556" s="128" t="s">
        <v>21</v>
      </c>
      <c r="D2556" s="128" t="s">
        <v>79</v>
      </c>
      <c r="E2556" s="128" t="s">
        <v>133</v>
      </c>
      <c r="F2556" s="128">
        <v>6201103</v>
      </c>
      <c r="G2556" s="128">
        <v>3382473</v>
      </c>
      <c r="H2556" s="128">
        <v>1140804</v>
      </c>
      <c r="I2556" s="128">
        <v>37453</v>
      </c>
    </row>
    <row r="2557" spans="1:9" ht="13.5">
      <c r="A2557" s="128">
        <v>2001</v>
      </c>
      <c r="B2557" s="128" t="s">
        <v>131</v>
      </c>
      <c r="C2557" s="128" t="s">
        <v>21</v>
      </c>
      <c r="D2557" s="128" t="s">
        <v>79</v>
      </c>
      <c r="E2557" s="128" t="s">
        <v>134</v>
      </c>
      <c r="F2557" s="128">
        <v>8585529</v>
      </c>
      <c r="G2557" s="128">
        <v>3777831</v>
      </c>
      <c r="H2557" s="128">
        <v>1296319</v>
      </c>
      <c r="I2557" s="128">
        <v>48955</v>
      </c>
    </row>
    <row r="2558" spans="1:9" ht="13.5">
      <c r="A2558" s="128">
        <v>2001</v>
      </c>
      <c r="B2558" s="128" t="s">
        <v>131</v>
      </c>
      <c r="C2558" s="128" t="s">
        <v>21</v>
      </c>
      <c r="D2558" s="128" t="s">
        <v>79</v>
      </c>
      <c r="E2558" s="128" t="s">
        <v>135</v>
      </c>
      <c r="F2558" s="128">
        <v>5674567</v>
      </c>
      <c r="G2558" s="128">
        <v>1496282</v>
      </c>
      <c r="H2558" s="128">
        <v>517956</v>
      </c>
      <c r="I2558" s="128">
        <v>12166</v>
      </c>
    </row>
    <row r="2559" spans="1:9" ht="13.5">
      <c r="A2559" s="128">
        <v>2001</v>
      </c>
      <c r="B2559" s="128" t="s">
        <v>131</v>
      </c>
      <c r="C2559" s="128" t="s">
        <v>21</v>
      </c>
      <c r="D2559" s="128" t="s">
        <v>79</v>
      </c>
      <c r="E2559" s="128" t="s">
        <v>136</v>
      </c>
      <c r="F2559" s="128">
        <v>15619001</v>
      </c>
      <c r="G2559" s="128">
        <v>11761963</v>
      </c>
      <c r="H2559" s="128">
        <v>3857019</v>
      </c>
      <c r="I2559" s="128">
        <v>218370</v>
      </c>
    </row>
    <row r="2560" spans="1:9" ht="13.5">
      <c r="A2560" s="128">
        <v>2001</v>
      </c>
      <c r="B2560" s="128" t="s">
        <v>131</v>
      </c>
      <c r="C2560" s="128" t="s">
        <v>21</v>
      </c>
      <c r="D2560" s="128" t="s">
        <v>76</v>
      </c>
      <c r="E2560" s="128" t="s">
        <v>132</v>
      </c>
      <c r="F2560" s="128">
        <v>21144648</v>
      </c>
      <c r="G2560" s="128">
        <v>13427175</v>
      </c>
      <c r="H2560" s="128">
        <v>7717472</v>
      </c>
      <c r="I2560" s="128">
        <v>236933</v>
      </c>
    </row>
    <row r="2561" spans="1:9" ht="13.5">
      <c r="A2561" s="128">
        <v>2001</v>
      </c>
      <c r="B2561" s="128" t="s">
        <v>131</v>
      </c>
      <c r="C2561" s="128" t="s">
        <v>21</v>
      </c>
      <c r="D2561" s="128" t="s">
        <v>76</v>
      </c>
      <c r="E2561" s="128" t="s">
        <v>133</v>
      </c>
      <c r="F2561" s="128">
        <v>33143996</v>
      </c>
      <c r="G2561" s="128">
        <v>18207387</v>
      </c>
      <c r="H2561" s="128">
        <v>14936609</v>
      </c>
      <c r="I2561" s="128">
        <v>253784</v>
      </c>
    </row>
    <row r="2562" spans="1:9" ht="13.5">
      <c r="A2562" s="128">
        <v>2001</v>
      </c>
      <c r="B2562" s="128" t="s">
        <v>131</v>
      </c>
      <c r="C2562" s="128" t="s">
        <v>21</v>
      </c>
      <c r="D2562" s="128" t="s">
        <v>76</v>
      </c>
      <c r="E2562" s="128" t="s">
        <v>134</v>
      </c>
      <c r="F2562" s="128">
        <v>5357151</v>
      </c>
      <c r="G2562" s="128">
        <v>2505189</v>
      </c>
      <c r="H2562" s="128">
        <v>2851960</v>
      </c>
      <c r="I2562" s="128">
        <v>26523</v>
      </c>
    </row>
    <row r="2563" spans="1:9" ht="13.5">
      <c r="A2563" s="128">
        <v>2001</v>
      </c>
      <c r="B2563" s="128" t="s">
        <v>131</v>
      </c>
      <c r="C2563" s="128" t="s">
        <v>21</v>
      </c>
      <c r="D2563" s="128" t="s">
        <v>76</v>
      </c>
      <c r="E2563" s="128" t="s">
        <v>135</v>
      </c>
      <c r="F2563" s="128">
        <v>2310043</v>
      </c>
      <c r="G2563" s="128">
        <v>794101</v>
      </c>
      <c r="H2563" s="128">
        <v>1515943</v>
      </c>
      <c r="I2563" s="128">
        <v>4353</v>
      </c>
    </row>
    <row r="2564" spans="1:9" ht="13.5">
      <c r="A2564" s="128">
        <v>2001</v>
      </c>
      <c r="B2564" s="128" t="s">
        <v>131</v>
      </c>
      <c r="C2564" s="128" t="s">
        <v>21</v>
      </c>
      <c r="D2564" s="128" t="s">
        <v>76</v>
      </c>
      <c r="E2564" s="128" t="s">
        <v>136</v>
      </c>
      <c r="F2564" s="128">
        <v>2156825</v>
      </c>
      <c r="G2564" s="128">
        <v>1644447</v>
      </c>
      <c r="H2564" s="128">
        <v>512171</v>
      </c>
      <c r="I2564" s="128">
        <v>18622</v>
      </c>
    </row>
    <row r="2565" spans="1:9" ht="13.5">
      <c r="A2565" s="128">
        <v>2001</v>
      </c>
      <c r="B2565" s="128" t="s">
        <v>131</v>
      </c>
      <c r="C2565" s="128" t="s">
        <v>24</v>
      </c>
      <c r="D2565" s="128" t="s">
        <v>77</v>
      </c>
      <c r="E2565" s="128" t="s">
        <v>132</v>
      </c>
      <c r="F2565" s="128">
        <v>441580</v>
      </c>
      <c r="G2565" s="128">
        <v>289564</v>
      </c>
      <c r="H2565" s="128">
        <v>132047</v>
      </c>
      <c r="I2565" s="128">
        <v>4340</v>
      </c>
    </row>
    <row r="2566" spans="1:9" ht="13.5">
      <c r="A2566" s="128">
        <v>2001</v>
      </c>
      <c r="B2566" s="128" t="s">
        <v>131</v>
      </c>
      <c r="C2566" s="128" t="s">
        <v>24</v>
      </c>
      <c r="D2566" s="128" t="s">
        <v>77</v>
      </c>
      <c r="E2566" s="128" t="s">
        <v>133</v>
      </c>
      <c r="F2566" s="128">
        <v>894374</v>
      </c>
      <c r="G2566" s="128">
        <v>483910</v>
      </c>
      <c r="H2566" s="128">
        <v>366350</v>
      </c>
      <c r="I2566" s="128">
        <v>3872</v>
      </c>
    </row>
    <row r="2567" spans="1:9" ht="13.5">
      <c r="A2567" s="128">
        <v>2001</v>
      </c>
      <c r="B2567" s="128" t="s">
        <v>131</v>
      </c>
      <c r="C2567" s="128" t="s">
        <v>24</v>
      </c>
      <c r="D2567" s="128" t="s">
        <v>77</v>
      </c>
      <c r="E2567" s="128" t="s">
        <v>134</v>
      </c>
      <c r="F2567" s="128">
        <v>753468</v>
      </c>
      <c r="G2567" s="128">
        <v>336067</v>
      </c>
      <c r="H2567" s="128">
        <v>264047</v>
      </c>
      <c r="I2567" s="128">
        <v>3223</v>
      </c>
    </row>
    <row r="2568" spans="1:9" ht="13.5">
      <c r="A2568" s="128">
        <v>2001</v>
      </c>
      <c r="B2568" s="128" t="s">
        <v>131</v>
      </c>
      <c r="C2568" s="128" t="s">
        <v>24</v>
      </c>
      <c r="D2568" s="128" t="s">
        <v>77</v>
      </c>
      <c r="E2568" s="128" t="s">
        <v>135</v>
      </c>
      <c r="F2568" s="128">
        <v>540493</v>
      </c>
      <c r="G2568" s="128">
        <v>154173</v>
      </c>
      <c r="H2568" s="128">
        <v>178046</v>
      </c>
      <c r="I2568" s="128">
        <v>1484</v>
      </c>
    </row>
    <row r="2569" spans="1:9" ht="13.5">
      <c r="A2569" s="128">
        <v>2001</v>
      </c>
      <c r="B2569" s="128" t="s">
        <v>131</v>
      </c>
      <c r="C2569" s="128" t="s">
        <v>24</v>
      </c>
      <c r="D2569" s="128" t="s">
        <v>79</v>
      </c>
      <c r="E2569" s="128" t="s">
        <v>132</v>
      </c>
      <c r="F2569" s="128">
        <v>2112028</v>
      </c>
      <c r="G2569" s="128">
        <v>1377050</v>
      </c>
      <c r="H2569" s="128">
        <v>468739</v>
      </c>
      <c r="I2569" s="128">
        <v>20176</v>
      </c>
    </row>
    <row r="2570" spans="1:9" ht="13.5">
      <c r="A2570" s="128">
        <v>2001</v>
      </c>
      <c r="B2570" s="128" t="s">
        <v>131</v>
      </c>
      <c r="C2570" s="128" t="s">
        <v>24</v>
      </c>
      <c r="D2570" s="128" t="s">
        <v>79</v>
      </c>
      <c r="E2570" s="128" t="s">
        <v>133</v>
      </c>
      <c r="F2570" s="128">
        <v>2249082</v>
      </c>
      <c r="G2570" s="128">
        <v>1226866</v>
      </c>
      <c r="H2570" s="128">
        <v>424745</v>
      </c>
      <c r="I2570" s="128">
        <v>10702</v>
      </c>
    </row>
    <row r="2571" spans="1:9" ht="13.5">
      <c r="A2571" s="128">
        <v>2001</v>
      </c>
      <c r="B2571" s="128" t="s">
        <v>131</v>
      </c>
      <c r="C2571" s="128" t="s">
        <v>24</v>
      </c>
      <c r="D2571" s="128" t="s">
        <v>79</v>
      </c>
      <c r="E2571" s="128" t="s">
        <v>134</v>
      </c>
      <c r="F2571" s="128">
        <v>2708052</v>
      </c>
      <c r="G2571" s="128">
        <v>1179580</v>
      </c>
      <c r="H2571" s="128">
        <v>415136</v>
      </c>
      <c r="I2571" s="128">
        <v>10900</v>
      </c>
    </row>
    <row r="2572" spans="1:9" ht="13.5">
      <c r="A2572" s="128">
        <v>2001</v>
      </c>
      <c r="B2572" s="128" t="s">
        <v>131</v>
      </c>
      <c r="C2572" s="128" t="s">
        <v>24</v>
      </c>
      <c r="D2572" s="128" t="s">
        <v>79</v>
      </c>
      <c r="E2572" s="128" t="s">
        <v>135</v>
      </c>
      <c r="F2572" s="128">
        <v>2097817</v>
      </c>
      <c r="G2572" s="128">
        <v>565290</v>
      </c>
      <c r="H2572" s="128">
        <v>259088</v>
      </c>
      <c r="I2572" s="128">
        <v>4993</v>
      </c>
    </row>
    <row r="2573" spans="1:9" ht="13.5">
      <c r="A2573" s="128">
        <v>2001</v>
      </c>
      <c r="B2573" s="128" t="s">
        <v>131</v>
      </c>
      <c r="C2573" s="128" t="s">
        <v>24</v>
      </c>
      <c r="D2573" s="128" t="s">
        <v>79</v>
      </c>
      <c r="E2573" s="128" t="s">
        <v>136</v>
      </c>
      <c r="F2573" s="128">
        <v>2919131</v>
      </c>
      <c r="G2573" s="128">
        <v>2192967</v>
      </c>
      <c r="H2573" s="128">
        <v>726165</v>
      </c>
      <c r="I2573" s="128">
        <v>36308</v>
      </c>
    </row>
    <row r="2574" spans="1:9" ht="13.5">
      <c r="A2574" s="128">
        <v>2001</v>
      </c>
      <c r="B2574" s="128" t="s">
        <v>131</v>
      </c>
      <c r="C2574" s="128" t="s">
        <v>24</v>
      </c>
      <c r="D2574" s="128" t="s">
        <v>76</v>
      </c>
      <c r="E2574" s="128" t="s">
        <v>132</v>
      </c>
      <c r="F2574" s="128">
        <v>8314210</v>
      </c>
      <c r="G2574" s="128">
        <v>5402713</v>
      </c>
      <c r="H2574" s="128">
        <v>2911496</v>
      </c>
      <c r="I2574" s="128">
        <v>91474</v>
      </c>
    </row>
    <row r="2575" spans="1:9" ht="13.5">
      <c r="A2575" s="128">
        <v>2001</v>
      </c>
      <c r="B2575" s="128" t="s">
        <v>131</v>
      </c>
      <c r="C2575" s="128" t="s">
        <v>24</v>
      </c>
      <c r="D2575" s="128" t="s">
        <v>76</v>
      </c>
      <c r="E2575" s="128" t="s">
        <v>133</v>
      </c>
      <c r="F2575" s="128">
        <v>8326814</v>
      </c>
      <c r="G2575" s="128">
        <v>4564234</v>
      </c>
      <c r="H2575" s="128">
        <v>3762581</v>
      </c>
      <c r="I2575" s="128">
        <v>41532</v>
      </c>
    </row>
    <row r="2576" spans="1:9" ht="13.5">
      <c r="A2576" s="128">
        <v>2001</v>
      </c>
      <c r="B2576" s="128" t="s">
        <v>131</v>
      </c>
      <c r="C2576" s="128" t="s">
        <v>24</v>
      </c>
      <c r="D2576" s="128" t="s">
        <v>76</v>
      </c>
      <c r="E2576" s="128" t="s">
        <v>134</v>
      </c>
      <c r="F2576" s="128">
        <v>4473431</v>
      </c>
      <c r="G2576" s="128">
        <v>2000599</v>
      </c>
      <c r="H2576" s="128">
        <v>2472832</v>
      </c>
      <c r="I2576" s="128">
        <v>20654</v>
      </c>
    </row>
    <row r="2577" spans="1:9" ht="13.5">
      <c r="A2577" s="128">
        <v>2001</v>
      </c>
      <c r="B2577" s="128" t="s">
        <v>131</v>
      </c>
      <c r="C2577" s="128" t="s">
        <v>24</v>
      </c>
      <c r="D2577" s="128" t="s">
        <v>76</v>
      </c>
      <c r="E2577" s="128" t="s">
        <v>135</v>
      </c>
      <c r="F2577" s="128">
        <v>2341261</v>
      </c>
      <c r="G2577" s="128">
        <v>700477</v>
      </c>
      <c r="H2577" s="128">
        <v>1640785</v>
      </c>
      <c r="I2577" s="128">
        <v>5878</v>
      </c>
    </row>
    <row r="2578" spans="1:9" ht="13.5">
      <c r="A2578" s="128">
        <v>2001</v>
      </c>
      <c r="B2578" s="128" t="s">
        <v>131</v>
      </c>
      <c r="C2578" s="128" t="s">
        <v>24</v>
      </c>
      <c r="D2578" s="128" t="s">
        <v>76</v>
      </c>
      <c r="E2578" s="128" t="s">
        <v>136</v>
      </c>
      <c r="F2578" s="128">
        <v>3055791</v>
      </c>
      <c r="G2578" s="128">
        <v>2313133</v>
      </c>
      <c r="H2578" s="128">
        <v>742658</v>
      </c>
      <c r="I2578" s="128">
        <v>42262</v>
      </c>
    </row>
    <row r="2579" spans="1:9" ht="13.5">
      <c r="A2579" s="128">
        <v>2001</v>
      </c>
      <c r="B2579" s="128" t="s">
        <v>138</v>
      </c>
      <c r="C2579" s="128" t="s">
        <v>26</v>
      </c>
      <c r="D2579" s="128" t="s">
        <v>77</v>
      </c>
      <c r="E2579" s="128" t="s">
        <v>132</v>
      </c>
      <c r="F2579" s="128">
        <v>0</v>
      </c>
      <c r="G2579" s="128">
        <v>0</v>
      </c>
      <c r="H2579" s="128">
        <v>0</v>
      </c>
      <c r="I2579" s="128">
        <v>0</v>
      </c>
    </row>
    <row r="2580" spans="1:9" ht="13.5">
      <c r="A2580" s="128">
        <v>2001</v>
      </c>
      <c r="B2580" s="128" t="s">
        <v>138</v>
      </c>
      <c r="C2580" s="128" t="s">
        <v>26</v>
      </c>
      <c r="D2580" s="128" t="s">
        <v>77</v>
      </c>
      <c r="E2580" s="128" t="s">
        <v>133</v>
      </c>
      <c r="F2580" s="128">
        <v>0</v>
      </c>
      <c r="G2580" s="128">
        <v>0</v>
      </c>
      <c r="H2580" s="128">
        <v>0</v>
      </c>
      <c r="I2580" s="128">
        <v>0</v>
      </c>
    </row>
    <row r="2581" spans="1:9" ht="13.5">
      <c r="A2581" s="128">
        <v>2001</v>
      </c>
      <c r="B2581" s="128" t="s">
        <v>138</v>
      </c>
      <c r="C2581" s="128" t="s">
        <v>26</v>
      </c>
      <c r="D2581" s="128" t="s">
        <v>77</v>
      </c>
      <c r="E2581" s="128" t="s">
        <v>134</v>
      </c>
      <c r="F2581" s="128">
        <v>0</v>
      </c>
      <c r="G2581" s="128">
        <v>0</v>
      </c>
      <c r="H2581" s="128">
        <v>0</v>
      </c>
      <c r="I2581" s="128">
        <v>0</v>
      </c>
    </row>
    <row r="2582" spans="1:9" ht="13.5">
      <c r="A2582" s="128">
        <v>2001</v>
      </c>
      <c r="B2582" s="128" t="s">
        <v>138</v>
      </c>
      <c r="C2582" s="128" t="s">
        <v>26</v>
      </c>
      <c r="D2582" s="128" t="s">
        <v>77</v>
      </c>
      <c r="E2582" s="128" t="s">
        <v>135</v>
      </c>
      <c r="F2582" s="128">
        <v>0</v>
      </c>
      <c r="G2582" s="128">
        <v>0</v>
      </c>
      <c r="H2582" s="128">
        <v>0</v>
      </c>
      <c r="I2582" s="128">
        <v>0</v>
      </c>
    </row>
    <row r="2583" spans="1:9" ht="13.5">
      <c r="A2583" s="128">
        <v>2001</v>
      </c>
      <c r="B2583" s="128" t="s">
        <v>138</v>
      </c>
      <c r="C2583" s="128" t="s">
        <v>26</v>
      </c>
      <c r="D2583" s="128" t="s">
        <v>79</v>
      </c>
      <c r="E2583" s="128" t="s">
        <v>132</v>
      </c>
      <c r="F2583" s="128">
        <v>0</v>
      </c>
      <c r="G2583" s="128">
        <v>0</v>
      </c>
      <c r="H2583" s="128">
        <v>0</v>
      </c>
      <c r="I2583" s="128">
        <v>0</v>
      </c>
    </row>
    <row r="2584" spans="1:9" ht="13.5">
      <c r="A2584" s="128">
        <v>2001</v>
      </c>
      <c r="B2584" s="128" t="s">
        <v>138</v>
      </c>
      <c r="C2584" s="128" t="s">
        <v>26</v>
      </c>
      <c r="D2584" s="128" t="s">
        <v>79</v>
      </c>
      <c r="E2584" s="128" t="s">
        <v>133</v>
      </c>
      <c r="F2584" s="128">
        <v>0</v>
      </c>
      <c r="G2584" s="128">
        <v>0</v>
      </c>
      <c r="H2584" s="128">
        <v>0</v>
      </c>
      <c r="I2584" s="128">
        <v>0</v>
      </c>
    </row>
    <row r="2585" spans="1:9" ht="13.5">
      <c r="A2585" s="128">
        <v>2001</v>
      </c>
      <c r="B2585" s="128" t="s">
        <v>138</v>
      </c>
      <c r="C2585" s="128" t="s">
        <v>26</v>
      </c>
      <c r="D2585" s="128" t="s">
        <v>79</v>
      </c>
      <c r="E2585" s="128" t="s">
        <v>134</v>
      </c>
      <c r="F2585" s="128">
        <v>0</v>
      </c>
      <c r="G2585" s="128">
        <v>0</v>
      </c>
      <c r="H2585" s="128">
        <v>0</v>
      </c>
      <c r="I2585" s="128">
        <v>0</v>
      </c>
    </row>
    <row r="2586" spans="1:9" ht="13.5">
      <c r="A2586" s="128">
        <v>2001</v>
      </c>
      <c r="B2586" s="128" t="s">
        <v>138</v>
      </c>
      <c r="C2586" s="128" t="s">
        <v>26</v>
      </c>
      <c r="D2586" s="128" t="s">
        <v>79</v>
      </c>
      <c r="E2586" s="128" t="s">
        <v>135</v>
      </c>
      <c r="F2586" s="128">
        <v>0</v>
      </c>
      <c r="G2586" s="128">
        <v>0</v>
      </c>
      <c r="H2586" s="128">
        <v>0</v>
      </c>
      <c r="I2586" s="128">
        <v>0</v>
      </c>
    </row>
    <row r="2587" spans="1:9" ht="13.5">
      <c r="A2587" s="128">
        <v>2001</v>
      </c>
      <c r="B2587" s="128" t="s">
        <v>138</v>
      </c>
      <c r="C2587" s="128" t="s">
        <v>26</v>
      </c>
      <c r="D2587" s="128" t="s">
        <v>79</v>
      </c>
      <c r="E2587" s="128" t="s">
        <v>136</v>
      </c>
      <c r="F2587" s="128">
        <v>0</v>
      </c>
      <c r="G2587" s="128">
        <v>0</v>
      </c>
      <c r="H2587" s="128">
        <v>0</v>
      </c>
      <c r="I2587" s="128">
        <v>0</v>
      </c>
    </row>
    <row r="2588" spans="1:9" ht="13.5">
      <c r="A2588" s="128">
        <v>2001</v>
      </c>
      <c r="B2588" s="128" t="s">
        <v>138</v>
      </c>
      <c r="C2588" s="128" t="s">
        <v>26</v>
      </c>
      <c r="D2588" s="128" t="s">
        <v>76</v>
      </c>
      <c r="E2588" s="128" t="s">
        <v>132</v>
      </c>
      <c r="F2588" s="128">
        <v>0</v>
      </c>
      <c r="G2588" s="128">
        <v>0</v>
      </c>
      <c r="H2588" s="128">
        <v>0</v>
      </c>
      <c r="I2588" s="128">
        <v>0</v>
      </c>
    </row>
    <row r="2589" spans="1:9" ht="13.5">
      <c r="A2589" s="128">
        <v>2001</v>
      </c>
      <c r="B2589" s="128" t="s">
        <v>138</v>
      </c>
      <c r="C2589" s="128" t="s">
        <v>26</v>
      </c>
      <c r="D2589" s="128" t="s">
        <v>76</v>
      </c>
      <c r="E2589" s="128" t="s">
        <v>133</v>
      </c>
      <c r="F2589" s="128">
        <v>0</v>
      </c>
      <c r="G2589" s="128">
        <v>0</v>
      </c>
      <c r="H2589" s="128">
        <v>0</v>
      </c>
      <c r="I2589" s="128">
        <v>0</v>
      </c>
    </row>
    <row r="2590" spans="1:9" ht="13.5">
      <c r="A2590" s="128">
        <v>2001</v>
      </c>
      <c r="B2590" s="128" t="s">
        <v>138</v>
      </c>
      <c r="C2590" s="128" t="s">
        <v>26</v>
      </c>
      <c r="D2590" s="128" t="s">
        <v>76</v>
      </c>
      <c r="E2590" s="128" t="s">
        <v>134</v>
      </c>
      <c r="F2590" s="128">
        <v>0</v>
      </c>
      <c r="G2590" s="128">
        <v>0</v>
      </c>
      <c r="H2590" s="128">
        <v>0</v>
      </c>
      <c r="I2590" s="128">
        <v>0</v>
      </c>
    </row>
    <row r="2591" spans="1:9" ht="13.5">
      <c r="A2591" s="128">
        <v>2001</v>
      </c>
      <c r="B2591" s="128" t="s">
        <v>138</v>
      </c>
      <c r="C2591" s="128" t="s">
        <v>26</v>
      </c>
      <c r="D2591" s="128" t="s">
        <v>76</v>
      </c>
      <c r="E2591" s="128" t="s">
        <v>135</v>
      </c>
      <c r="F2591" s="128">
        <v>0</v>
      </c>
      <c r="G2591" s="128">
        <v>0</v>
      </c>
      <c r="H2591" s="128">
        <v>0</v>
      </c>
      <c r="I2591" s="128">
        <v>0</v>
      </c>
    </row>
    <row r="2592" spans="1:9" ht="13.5">
      <c r="A2592" s="128">
        <v>2001</v>
      </c>
      <c r="B2592" s="128" t="s">
        <v>138</v>
      </c>
      <c r="C2592" s="128" t="s">
        <v>26</v>
      </c>
      <c r="D2592" s="128" t="s">
        <v>76</v>
      </c>
      <c r="E2592" s="128" t="s">
        <v>136</v>
      </c>
      <c r="F2592" s="128">
        <v>0</v>
      </c>
      <c r="G2592" s="128">
        <v>0</v>
      </c>
      <c r="H2592" s="128">
        <v>0</v>
      </c>
      <c r="I2592" s="128">
        <v>0</v>
      </c>
    </row>
    <row r="2593" spans="1:9" ht="13.5">
      <c r="A2593" s="128">
        <v>2001</v>
      </c>
      <c r="B2593" s="128" t="s">
        <v>138</v>
      </c>
      <c r="C2593" s="128" t="s">
        <v>20</v>
      </c>
      <c r="D2593" s="128" t="s">
        <v>77</v>
      </c>
      <c r="E2593" s="128" t="s">
        <v>132</v>
      </c>
      <c r="F2593" s="128">
        <v>1022537</v>
      </c>
      <c r="G2593" s="128">
        <v>662370</v>
      </c>
      <c r="H2593" s="128">
        <v>329977</v>
      </c>
      <c r="I2593" s="128">
        <v>8478</v>
      </c>
    </row>
    <row r="2594" spans="1:9" ht="13.5">
      <c r="A2594" s="128">
        <v>2001</v>
      </c>
      <c r="B2594" s="128" t="s">
        <v>138</v>
      </c>
      <c r="C2594" s="128" t="s">
        <v>20</v>
      </c>
      <c r="D2594" s="128" t="s">
        <v>77</v>
      </c>
      <c r="E2594" s="128" t="s">
        <v>133</v>
      </c>
      <c r="F2594" s="128">
        <v>1238741</v>
      </c>
      <c r="G2594" s="128">
        <v>673308</v>
      </c>
      <c r="H2594" s="128">
        <v>504339</v>
      </c>
      <c r="I2594" s="128">
        <v>5729</v>
      </c>
    </row>
    <row r="2595" spans="1:9" ht="13.5">
      <c r="A2595" s="128">
        <v>2001</v>
      </c>
      <c r="B2595" s="128" t="s">
        <v>138</v>
      </c>
      <c r="C2595" s="128" t="s">
        <v>20</v>
      </c>
      <c r="D2595" s="128" t="s">
        <v>77</v>
      </c>
      <c r="E2595" s="128" t="s">
        <v>134</v>
      </c>
      <c r="F2595" s="128">
        <v>343186</v>
      </c>
      <c r="G2595" s="128">
        <v>149953</v>
      </c>
      <c r="H2595" s="128">
        <v>92728</v>
      </c>
      <c r="I2595" s="128">
        <v>1422</v>
      </c>
    </row>
    <row r="2596" spans="1:9" ht="13.5">
      <c r="A2596" s="128">
        <v>2001</v>
      </c>
      <c r="B2596" s="128" t="s">
        <v>138</v>
      </c>
      <c r="C2596" s="128" t="s">
        <v>20</v>
      </c>
      <c r="D2596" s="128" t="s">
        <v>77</v>
      </c>
      <c r="E2596" s="128" t="s">
        <v>135</v>
      </c>
      <c r="F2596" s="128">
        <v>550204</v>
      </c>
      <c r="G2596" s="128">
        <v>155012</v>
      </c>
      <c r="H2596" s="128">
        <v>169547</v>
      </c>
      <c r="I2596" s="128">
        <v>1367</v>
      </c>
    </row>
    <row r="2597" spans="1:9" ht="13.5">
      <c r="A2597" s="128">
        <v>2001</v>
      </c>
      <c r="B2597" s="128" t="s">
        <v>138</v>
      </c>
      <c r="C2597" s="128" t="s">
        <v>20</v>
      </c>
      <c r="D2597" s="128" t="s">
        <v>79</v>
      </c>
      <c r="E2597" s="128" t="s">
        <v>132</v>
      </c>
      <c r="F2597" s="128">
        <v>13412779</v>
      </c>
      <c r="G2597" s="128">
        <v>8990753</v>
      </c>
      <c r="H2597" s="128">
        <v>3015734</v>
      </c>
      <c r="I2597" s="128">
        <v>113563</v>
      </c>
    </row>
    <row r="2598" spans="1:9" ht="13.5">
      <c r="A2598" s="128">
        <v>2001</v>
      </c>
      <c r="B2598" s="128" t="s">
        <v>138</v>
      </c>
      <c r="C2598" s="128" t="s">
        <v>20</v>
      </c>
      <c r="D2598" s="128" t="s">
        <v>79</v>
      </c>
      <c r="E2598" s="128" t="s">
        <v>133</v>
      </c>
      <c r="F2598" s="128">
        <v>14427379</v>
      </c>
      <c r="G2598" s="128">
        <v>7840008</v>
      </c>
      <c r="H2598" s="128">
        <v>2636909</v>
      </c>
      <c r="I2598" s="128">
        <v>90251</v>
      </c>
    </row>
    <row r="2599" spans="1:9" ht="13.5">
      <c r="A2599" s="128">
        <v>2001</v>
      </c>
      <c r="B2599" s="128" t="s">
        <v>138</v>
      </c>
      <c r="C2599" s="128" t="s">
        <v>20</v>
      </c>
      <c r="D2599" s="128" t="s">
        <v>79</v>
      </c>
      <c r="E2599" s="128" t="s">
        <v>134</v>
      </c>
      <c r="F2599" s="128">
        <v>23762738</v>
      </c>
      <c r="G2599" s="128">
        <v>10314128</v>
      </c>
      <c r="H2599" s="128">
        <v>3459241</v>
      </c>
      <c r="I2599" s="128">
        <v>94399</v>
      </c>
    </row>
    <row r="2600" spans="1:9" ht="13.5">
      <c r="A2600" s="128">
        <v>2001</v>
      </c>
      <c r="B2600" s="128" t="s">
        <v>138</v>
      </c>
      <c r="C2600" s="128" t="s">
        <v>20</v>
      </c>
      <c r="D2600" s="128" t="s">
        <v>79</v>
      </c>
      <c r="E2600" s="128" t="s">
        <v>135</v>
      </c>
      <c r="F2600" s="128">
        <v>24259455</v>
      </c>
      <c r="G2600" s="128">
        <v>6837875</v>
      </c>
      <c r="H2600" s="128">
        <v>2323750</v>
      </c>
      <c r="I2600" s="128">
        <v>47767</v>
      </c>
    </row>
    <row r="2601" spans="1:9" ht="13.5">
      <c r="A2601" s="128">
        <v>2001</v>
      </c>
      <c r="B2601" s="128" t="s">
        <v>138</v>
      </c>
      <c r="C2601" s="128" t="s">
        <v>20</v>
      </c>
      <c r="D2601" s="128" t="s">
        <v>79</v>
      </c>
      <c r="E2601" s="128" t="s">
        <v>136</v>
      </c>
      <c r="F2601" s="128">
        <v>29609028</v>
      </c>
      <c r="G2601" s="128">
        <v>22267174</v>
      </c>
      <c r="H2601" s="128">
        <v>7341855</v>
      </c>
      <c r="I2601" s="128">
        <v>453232</v>
      </c>
    </row>
    <row r="2602" spans="1:9" ht="13.5">
      <c r="A2602" s="128">
        <v>2001</v>
      </c>
      <c r="B2602" s="128" t="s">
        <v>138</v>
      </c>
      <c r="C2602" s="128" t="s">
        <v>20</v>
      </c>
      <c r="D2602" s="128" t="s">
        <v>76</v>
      </c>
      <c r="E2602" s="128" t="s">
        <v>132</v>
      </c>
      <c r="F2602" s="128">
        <v>14873848</v>
      </c>
      <c r="G2602" s="128">
        <v>9717016</v>
      </c>
      <c r="H2602" s="128">
        <v>5156832</v>
      </c>
      <c r="I2602" s="128">
        <v>163404</v>
      </c>
    </row>
    <row r="2603" spans="1:9" ht="13.5">
      <c r="A2603" s="128">
        <v>2001</v>
      </c>
      <c r="B2603" s="128" t="s">
        <v>138</v>
      </c>
      <c r="C2603" s="128" t="s">
        <v>20</v>
      </c>
      <c r="D2603" s="128" t="s">
        <v>76</v>
      </c>
      <c r="E2603" s="128" t="s">
        <v>133</v>
      </c>
      <c r="F2603" s="128">
        <v>15509142</v>
      </c>
      <c r="G2603" s="128">
        <v>8467641</v>
      </c>
      <c r="H2603" s="128">
        <v>7041502</v>
      </c>
      <c r="I2603" s="128">
        <v>78132</v>
      </c>
    </row>
    <row r="2604" spans="1:9" ht="13.5">
      <c r="A2604" s="128">
        <v>2001</v>
      </c>
      <c r="B2604" s="128" t="s">
        <v>138</v>
      </c>
      <c r="C2604" s="128" t="s">
        <v>20</v>
      </c>
      <c r="D2604" s="128" t="s">
        <v>76</v>
      </c>
      <c r="E2604" s="128" t="s">
        <v>134</v>
      </c>
      <c r="F2604" s="128">
        <v>828987</v>
      </c>
      <c r="G2604" s="128">
        <v>392771</v>
      </c>
      <c r="H2604" s="128">
        <v>436216</v>
      </c>
      <c r="I2604" s="128">
        <v>2673</v>
      </c>
    </row>
    <row r="2605" spans="1:9" ht="13.5">
      <c r="A2605" s="128">
        <v>2001</v>
      </c>
      <c r="B2605" s="128" t="s">
        <v>138</v>
      </c>
      <c r="C2605" s="128" t="s">
        <v>20</v>
      </c>
      <c r="D2605" s="128" t="s">
        <v>76</v>
      </c>
      <c r="E2605" s="128" t="s">
        <v>135</v>
      </c>
      <c r="F2605" s="128">
        <v>1571154</v>
      </c>
      <c r="G2605" s="128">
        <v>535988</v>
      </c>
      <c r="H2605" s="128">
        <v>1035167</v>
      </c>
      <c r="I2605" s="128">
        <v>3522</v>
      </c>
    </row>
    <row r="2606" spans="1:9" ht="13.5">
      <c r="A2606" s="128">
        <v>2001</v>
      </c>
      <c r="B2606" s="128" t="s">
        <v>138</v>
      </c>
      <c r="C2606" s="128" t="s">
        <v>20</v>
      </c>
      <c r="D2606" s="128" t="s">
        <v>76</v>
      </c>
      <c r="E2606" s="128" t="s">
        <v>136</v>
      </c>
      <c r="F2606" s="128">
        <v>1235212</v>
      </c>
      <c r="G2606" s="128">
        <v>935755</v>
      </c>
      <c r="H2606" s="128">
        <v>299456</v>
      </c>
      <c r="I2606" s="128">
        <v>11375</v>
      </c>
    </row>
    <row r="2607" spans="1:9" ht="13.5">
      <c r="A2607" s="128">
        <v>2001</v>
      </c>
      <c r="B2607" s="128" t="s">
        <v>138</v>
      </c>
      <c r="C2607" s="128" t="s">
        <v>27</v>
      </c>
      <c r="D2607" s="128" t="s">
        <v>77</v>
      </c>
      <c r="E2607" s="128" t="s">
        <v>132</v>
      </c>
      <c r="F2607" s="128">
        <v>13238</v>
      </c>
      <c r="G2607" s="128">
        <v>8296</v>
      </c>
      <c r="H2607" s="128">
        <v>4883</v>
      </c>
      <c r="I2607" s="128">
        <v>103</v>
      </c>
    </row>
    <row r="2608" spans="1:9" ht="13.5">
      <c r="A2608" s="128">
        <v>2001</v>
      </c>
      <c r="B2608" s="128" t="s">
        <v>138</v>
      </c>
      <c r="C2608" s="128" t="s">
        <v>27</v>
      </c>
      <c r="D2608" s="128" t="s">
        <v>77</v>
      </c>
      <c r="E2608" s="128" t="s">
        <v>133</v>
      </c>
      <c r="F2608" s="128">
        <v>133126</v>
      </c>
      <c r="G2608" s="128">
        <v>69977</v>
      </c>
      <c r="H2608" s="128">
        <v>62817</v>
      </c>
      <c r="I2608" s="128">
        <v>814</v>
      </c>
    </row>
    <row r="2609" spans="1:9" ht="13.5">
      <c r="A2609" s="128">
        <v>2001</v>
      </c>
      <c r="B2609" s="128" t="s">
        <v>138</v>
      </c>
      <c r="C2609" s="128" t="s">
        <v>27</v>
      </c>
      <c r="D2609" s="128" t="s">
        <v>77</v>
      </c>
      <c r="E2609" s="128" t="s">
        <v>134</v>
      </c>
      <c r="F2609" s="128">
        <v>10853</v>
      </c>
      <c r="G2609" s="128">
        <v>4561</v>
      </c>
      <c r="H2609" s="128">
        <v>3520</v>
      </c>
      <c r="I2609" s="128">
        <v>22</v>
      </c>
    </row>
    <row r="2610" spans="1:9" ht="13.5">
      <c r="A2610" s="128">
        <v>2001</v>
      </c>
      <c r="B2610" s="128" t="s">
        <v>138</v>
      </c>
      <c r="C2610" s="128" t="s">
        <v>27</v>
      </c>
      <c r="D2610" s="128" t="s">
        <v>77</v>
      </c>
      <c r="E2610" s="128" t="s">
        <v>135</v>
      </c>
      <c r="F2610" s="128">
        <v>34134</v>
      </c>
      <c r="G2610" s="128">
        <v>9434</v>
      </c>
      <c r="H2610" s="128">
        <v>18990</v>
      </c>
      <c r="I2610" s="128">
        <v>49</v>
      </c>
    </row>
    <row r="2611" spans="1:9" ht="13.5">
      <c r="A2611" s="128">
        <v>2001</v>
      </c>
      <c r="B2611" s="128" t="s">
        <v>138</v>
      </c>
      <c r="C2611" s="128" t="s">
        <v>27</v>
      </c>
      <c r="D2611" s="128" t="s">
        <v>79</v>
      </c>
      <c r="E2611" s="128" t="s">
        <v>132</v>
      </c>
      <c r="F2611" s="128">
        <v>127724</v>
      </c>
      <c r="G2611" s="128">
        <v>85088</v>
      </c>
      <c r="H2611" s="128">
        <v>28590</v>
      </c>
      <c r="I2611" s="128">
        <v>889</v>
      </c>
    </row>
    <row r="2612" spans="1:9" ht="13.5">
      <c r="A2612" s="128">
        <v>2001</v>
      </c>
      <c r="B2612" s="128" t="s">
        <v>138</v>
      </c>
      <c r="C2612" s="128" t="s">
        <v>27</v>
      </c>
      <c r="D2612" s="128" t="s">
        <v>79</v>
      </c>
      <c r="E2612" s="128" t="s">
        <v>133</v>
      </c>
      <c r="F2612" s="128">
        <v>172355</v>
      </c>
      <c r="G2612" s="128">
        <v>94035</v>
      </c>
      <c r="H2612" s="128">
        <v>31311</v>
      </c>
      <c r="I2612" s="128">
        <v>1433</v>
      </c>
    </row>
    <row r="2613" spans="1:9" ht="13.5">
      <c r="A2613" s="128">
        <v>2001</v>
      </c>
      <c r="B2613" s="128" t="s">
        <v>138</v>
      </c>
      <c r="C2613" s="128" t="s">
        <v>27</v>
      </c>
      <c r="D2613" s="128" t="s">
        <v>79</v>
      </c>
      <c r="E2613" s="128" t="s">
        <v>134</v>
      </c>
      <c r="F2613" s="128">
        <v>305782</v>
      </c>
      <c r="G2613" s="128">
        <v>131490</v>
      </c>
      <c r="H2613" s="128">
        <v>43794</v>
      </c>
      <c r="I2613" s="128">
        <v>1324</v>
      </c>
    </row>
    <row r="2614" spans="1:9" ht="13.5">
      <c r="A2614" s="128">
        <v>2001</v>
      </c>
      <c r="B2614" s="128" t="s">
        <v>138</v>
      </c>
      <c r="C2614" s="128" t="s">
        <v>27</v>
      </c>
      <c r="D2614" s="128" t="s">
        <v>79</v>
      </c>
      <c r="E2614" s="128" t="s">
        <v>135</v>
      </c>
      <c r="F2614" s="128">
        <v>330389</v>
      </c>
      <c r="G2614" s="128">
        <v>98224</v>
      </c>
      <c r="H2614" s="128">
        <v>32712</v>
      </c>
      <c r="I2614" s="128">
        <v>562</v>
      </c>
    </row>
    <row r="2615" spans="1:9" ht="13.5">
      <c r="A2615" s="128">
        <v>2001</v>
      </c>
      <c r="B2615" s="128" t="s">
        <v>138</v>
      </c>
      <c r="C2615" s="128" t="s">
        <v>27</v>
      </c>
      <c r="D2615" s="128" t="s">
        <v>79</v>
      </c>
      <c r="E2615" s="128" t="s">
        <v>136</v>
      </c>
      <c r="F2615" s="128">
        <v>297711</v>
      </c>
      <c r="G2615" s="128">
        <v>224600</v>
      </c>
      <c r="H2615" s="128">
        <v>73111</v>
      </c>
      <c r="I2615" s="128">
        <v>3842</v>
      </c>
    </row>
    <row r="2616" spans="1:9" ht="13.5">
      <c r="A2616" s="128">
        <v>2001</v>
      </c>
      <c r="B2616" s="128" t="s">
        <v>138</v>
      </c>
      <c r="C2616" s="128" t="s">
        <v>27</v>
      </c>
      <c r="D2616" s="128" t="s">
        <v>76</v>
      </c>
      <c r="E2616" s="128" t="s">
        <v>132</v>
      </c>
      <c r="F2616" s="128">
        <v>124890</v>
      </c>
      <c r="G2616" s="128">
        <v>81972</v>
      </c>
      <c r="H2616" s="128">
        <v>42917</v>
      </c>
      <c r="I2616" s="128">
        <v>1189</v>
      </c>
    </row>
    <row r="2617" spans="1:9" ht="13.5">
      <c r="A2617" s="128">
        <v>2001</v>
      </c>
      <c r="B2617" s="128" t="s">
        <v>138</v>
      </c>
      <c r="C2617" s="128" t="s">
        <v>27</v>
      </c>
      <c r="D2617" s="128" t="s">
        <v>76</v>
      </c>
      <c r="E2617" s="128" t="s">
        <v>133</v>
      </c>
      <c r="F2617" s="128">
        <v>334725</v>
      </c>
      <c r="G2617" s="128">
        <v>188321</v>
      </c>
      <c r="H2617" s="128">
        <v>146404</v>
      </c>
      <c r="I2617" s="128">
        <v>1330</v>
      </c>
    </row>
    <row r="2618" spans="1:9" ht="13.5">
      <c r="A2618" s="128">
        <v>2001</v>
      </c>
      <c r="B2618" s="128" t="s">
        <v>138</v>
      </c>
      <c r="C2618" s="128" t="s">
        <v>27</v>
      </c>
      <c r="D2618" s="128" t="s">
        <v>76</v>
      </c>
      <c r="E2618" s="128" t="s">
        <v>134</v>
      </c>
      <c r="F2618" s="128">
        <v>41514</v>
      </c>
      <c r="G2618" s="128">
        <v>20004</v>
      </c>
      <c r="H2618" s="128">
        <v>21510</v>
      </c>
      <c r="I2618" s="128">
        <v>195</v>
      </c>
    </row>
    <row r="2619" spans="1:9" ht="13.5">
      <c r="A2619" s="128">
        <v>2001</v>
      </c>
      <c r="B2619" s="128" t="s">
        <v>138</v>
      </c>
      <c r="C2619" s="128" t="s">
        <v>27</v>
      </c>
      <c r="D2619" s="128" t="s">
        <v>76</v>
      </c>
      <c r="E2619" s="128" t="s">
        <v>135</v>
      </c>
      <c r="F2619" s="128">
        <v>51947</v>
      </c>
      <c r="G2619" s="128">
        <v>15723</v>
      </c>
      <c r="H2619" s="128">
        <v>36224</v>
      </c>
      <c r="I2619" s="128">
        <v>60</v>
      </c>
    </row>
    <row r="2620" spans="1:9" ht="13.5">
      <c r="A2620" s="128">
        <v>2001</v>
      </c>
      <c r="B2620" s="128" t="s">
        <v>138</v>
      </c>
      <c r="C2620" s="128" t="s">
        <v>27</v>
      </c>
      <c r="D2620" s="128" t="s">
        <v>76</v>
      </c>
      <c r="E2620" s="128" t="s">
        <v>136</v>
      </c>
      <c r="F2620" s="128">
        <v>14757</v>
      </c>
      <c r="G2620" s="128">
        <v>11273</v>
      </c>
      <c r="H2620" s="128">
        <v>3484</v>
      </c>
      <c r="I2620" s="128">
        <v>66</v>
      </c>
    </row>
    <row r="2621" spans="1:9" ht="13.5">
      <c r="A2621" s="128">
        <v>2001</v>
      </c>
      <c r="B2621" s="128" t="s">
        <v>138</v>
      </c>
      <c r="C2621" s="128" t="s">
        <v>22</v>
      </c>
      <c r="D2621" s="128" t="s">
        <v>77</v>
      </c>
      <c r="E2621" s="128" t="s">
        <v>132</v>
      </c>
      <c r="F2621" s="128">
        <v>709279</v>
      </c>
      <c r="G2621" s="128">
        <v>449599</v>
      </c>
      <c r="H2621" s="128">
        <v>251208</v>
      </c>
      <c r="I2621" s="128">
        <v>5598</v>
      </c>
    </row>
    <row r="2622" spans="1:9" ht="13.5">
      <c r="A2622" s="128">
        <v>2001</v>
      </c>
      <c r="B2622" s="128" t="s">
        <v>138</v>
      </c>
      <c r="C2622" s="128" t="s">
        <v>22</v>
      </c>
      <c r="D2622" s="128" t="s">
        <v>77</v>
      </c>
      <c r="E2622" s="128" t="s">
        <v>133</v>
      </c>
      <c r="F2622" s="128">
        <v>1960613</v>
      </c>
      <c r="G2622" s="128">
        <v>1055911</v>
      </c>
      <c r="H2622" s="128">
        <v>867009</v>
      </c>
      <c r="I2622" s="128">
        <v>10230</v>
      </c>
    </row>
    <row r="2623" spans="1:9" ht="13.5">
      <c r="A2623" s="128">
        <v>2001</v>
      </c>
      <c r="B2623" s="128" t="s">
        <v>138</v>
      </c>
      <c r="C2623" s="128" t="s">
        <v>22</v>
      </c>
      <c r="D2623" s="128" t="s">
        <v>77</v>
      </c>
      <c r="E2623" s="128" t="s">
        <v>134</v>
      </c>
      <c r="F2623" s="128">
        <v>340695</v>
      </c>
      <c r="G2623" s="128">
        <v>150590</v>
      </c>
      <c r="H2623" s="128">
        <v>105901</v>
      </c>
      <c r="I2623" s="128">
        <v>1013</v>
      </c>
    </row>
    <row r="2624" spans="1:9" ht="13.5">
      <c r="A2624" s="128">
        <v>2001</v>
      </c>
      <c r="B2624" s="128" t="s">
        <v>138</v>
      </c>
      <c r="C2624" s="128" t="s">
        <v>22</v>
      </c>
      <c r="D2624" s="128" t="s">
        <v>77</v>
      </c>
      <c r="E2624" s="128" t="s">
        <v>135</v>
      </c>
      <c r="F2624" s="128">
        <v>497693</v>
      </c>
      <c r="G2624" s="128">
        <v>140217</v>
      </c>
      <c r="H2624" s="128">
        <v>206349</v>
      </c>
      <c r="I2624" s="128">
        <v>696</v>
      </c>
    </row>
    <row r="2625" spans="1:9" ht="13.5">
      <c r="A2625" s="128">
        <v>2001</v>
      </c>
      <c r="B2625" s="128" t="s">
        <v>138</v>
      </c>
      <c r="C2625" s="128" t="s">
        <v>22</v>
      </c>
      <c r="D2625" s="128" t="s">
        <v>79</v>
      </c>
      <c r="E2625" s="128" t="s">
        <v>132</v>
      </c>
      <c r="F2625" s="128">
        <v>10106814</v>
      </c>
      <c r="G2625" s="128">
        <v>6759929</v>
      </c>
      <c r="H2625" s="128">
        <v>2251954</v>
      </c>
      <c r="I2625" s="128">
        <v>79468</v>
      </c>
    </row>
    <row r="2626" spans="1:9" ht="13.5">
      <c r="A2626" s="128">
        <v>2001</v>
      </c>
      <c r="B2626" s="128" t="s">
        <v>138</v>
      </c>
      <c r="C2626" s="128" t="s">
        <v>22</v>
      </c>
      <c r="D2626" s="128" t="s">
        <v>79</v>
      </c>
      <c r="E2626" s="128" t="s">
        <v>133</v>
      </c>
      <c r="F2626" s="128">
        <v>10196028</v>
      </c>
      <c r="G2626" s="128">
        <v>5612659</v>
      </c>
      <c r="H2626" s="128">
        <v>1865643</v>
      </c>
      <c r="I2626" s="128">
        <v>75661</v>
      </c>
    </row>
    <row r="2627" spans="1:9" ht="13.5">
      <c r="A2627" s="128">
        <v>2001</v>
      </c>
      <c r="B2627" s="128" t="s">
        <v>138</v>
      </c>
      <c r="C2627" s="128" t="s">
        <v>22</v>
      </c>
      <c r="D2627" s="128" t="s">
        <v>79</v>
      </c>
      <c r="E2627" s="128" t="s">
        <v>134</v>
      </c>
      <c r="F2627" s="128">
        <v>12593482</v>
      </c>
      <c r="G2627" s="128">
        <v>5543682</v>
      </c>
      <c r="H2627" s="128">
        <v>1843675</v>
      </c>
      <c r="I2627" s="128">
        <v>50688</v>
      </c>
    </row>
    <row r="2628" spans="1:9" ht="13.5">
      <c r="A2628" s="128">
        <v>2001</v>
      </c>
      <c r="B2628" s="128" t="s">
        <v>138</v>
      </c>
      <c r="C2628" s="128" t="s">
        <v>22</v>
      </c>
      <c r="D2628" s="128" t="s">
        <v>79</v>
      </c>
      <c r="E2628" s="128" t="s">
        <v>135</v>
      </c>
      <c r="F2628" s="128">
        <v>8454464</v>
      </c>
      <c r="G2628" s="128">
        <v>2387263</v>
      </c>
      <c r="H2628" s="128">
        <v>802803</v>
      </c>
      <c r="I2628" s="128">
        <v>17082</v>
      </c>
    </row>
    <row r="2629" spans="1:9" ht="13.5">
      <c r="A2629" s="128">
        <v>2001</v>
      </c>
      <c r="B2629" s="128" t="s">
        <v>138</v>
      </c>
      <c r="C2629" s="128" t="s">
        <v>22</v>
      </c>
      <c r="D2629" s="128" t="s">
        <v>79</v>
      </c>
      <c r="E2629" s="128" t="s">
        <v>136</v>
      </c>
      <c r="F2629" s="128">
        <v>17243940</v>
      </c>
      <c r="G2629" s="128">
        <v>12978661</v>
      </c>
      <c r="H2629" s="128">
        <v>4265279</v>
      </c>
      <c r="I2629" s="128">
        <v>259245</v>
      </c>
    </row>
    <row r="2630" spans="1:9" ht="13.5">
      <c r="A2630" s="128">
        <v>2001</v>
      </c>
      <c r="B2630" s="128" t="s">
        <v>138</v>
      </c>
      <c r="C2630" s="128" t="s">
        <v>22</v>
      </c>
      <c r="D2630" s="128" t="s">
        <v>76</v>
      </c>
      <c r="E2630" s="128" t="s">
        <v>132</v>
      </c>
      <c r="F2630" s="128">
        <v>9073199</v>
      </c>
      <c r="G2630" s="128">
        <v>5922670</v>
      </c>
      <c r="H2630" s="128">
        <v>3150529</v>
      </c>
      <c r="I2630" s="128">
        <v>132640</v>
      </c>
    </row>
    <row r="2631" spans="1:9" ht="13.5">
      <c r="A2631" s="128">
        <v>2001</v>
      </c>
      <c r="B2631" s="128" t="s">
        <v>138</v>
      </c>
      <c r="C2631" s="128" t="s">
        <v>22</v>
      </c>
      <c r="D2631" s="128" t="s">
        <v>76</v>
      </c>
      <c r="E2631" s="128" t="s">
        <v>133</v>
      </c>
      <c r="F2631" s="128">
        <v>12529015</v>
      </c>
      <c r="G2631" s="128">
        <v>6783238</v>
      </c>
      <c r="H2631" s="128">
        <v>5745762</v>
      </c>
      <c r="I2631" s="128">
        <v>66487</v>
      </c>
    </row>
    <row r="2632" spans="1:9" ht="13.5">
      <c r="A2632" s="128">
        <v>2001</v>
      </c>
      <c r="B2632" s="128" t="s">
        <v>138</v>
      </c>
      <c r="C2632" s="128" t="s">
        <v>22</v>
      </c>
      <c r="D2632" s="128" t="s">
        <v>76</v>
      </c>
      <c r="E2632" s="128" t="s">
        <v>134</v>
      </c>
      <c r="F2632" s="128">
        <v>266741</v>
      </c>
      <c r="G2632" s="128">
        <v>123818</v>
      </c>
      <c r="H2632" s="128">
        <v>142924</v>
      </c>
      <c r="I2632" s="128">
        <v>1181</v>
      </c>
    </row>
    <row r="2633" spans="1:9" ht="13.5">
      <c r="A2633" s="128">
        <v>2001</v>
      </c>
      <c r="B2633" s="128" t="s">
        <v>138</v>
      </c>
      <c r="C2633" s="128" t="s">
        <v>22</v>
      </c>
      <c r="D2633" s="128" t="s">
        <v>76</v>
      </c>
      <c r="E2633" s="128" t="s">
        <v>135</v>
      </c>
      <c r="F2633" s="128">
        <v>1907180</v>
      </c>
      <c r="G2633" s="128">
        <v>624158</v>
      </c>
      <c r="H2633" s="128">
        <v>1283021</v>
      </c>
      <c r="I2633" s="128">
        <v>5137</v>
      </c>
    </row>
    <row r="2634" spans="1:9" ht="13.5">
      <c r="A2634" s="128">
        <v>2001</v>
      </c>
      <c r="B2634" s="128" t="s">
        <v>138</v>
      </c>
      <c r="C2634" s="128" t="s">
        <v>22</v>
      </c>
      <c r="D2634" s="128" t="s">
        <v>76</v>
      </c>
      <c r="E2634" s="128" t="s">
        <v>136</v>
      </c>
      <c r="F2634" s="128">
        <v>670193</v>
      </c>
      <c r="G2634" s="128">
        <v>508250</v>
      </c>
      <c r="H2634" s="128">
        <v>161944</v>
      </c>
      <c r="I2634" s="128">
        <v>8988</v>
      </c>
    </row>
    <row r="2635" spans="1:9" ht="13.5">
      <c r="A2635" s="128">
        <v>2001</v>
      </c>
      <c r="B2635" s="128" t="s">
        <v>138</v>
      </c>
      <c r="C2635" s="128" t="s">
        <v>23</v>
      </c>
      <c r="D2635" s="128" t="s">
        <v>77</v>
      </c>
      <c r="E2635" s="128" t="s">
        <v>132</v>
      </c>
      <c r="F2635" s="128">
        <v>448416</v>
      </c>
      <c r="G2635" s="128">
        <v>286904</v>
      </c>
      <c r="H2635" s="128">
        <v>155604</v>
      </c>
      <c r="I2635" s="128">
        <v>3563</v>
      </c>
    </row>
    <row r="2636" spans="1:9" ht="13.5">
      <c r="A2636" s="128">
        <v>2001</v>
      </c>
      <c r="B2636" s="128" t="s">
        <v>138</v>
      </c>
      <c r="C2636" s="128" t="s">
        <v>23</v>
      </c>
      <c r="D2636" s="128" t="s">
        <v>77</v>
      </c>
      <c r="E2636" s="128" t="s">
        <v>133</v>
      </c>
      <c r="F2636" s="128">
        <v>1585988</v>
      </c>
      <c r="G2636" s="128">
        <v>859535</v>
      </c>
      <c r="H2636" s="128">
        <v>688289</v>
      </c>
      <c r="I2636" s="128">
        <v>8743</v>
      </c>
    </row>
    <row r="2637" spans="1:9" ht="13.5">
      <c r="A2637" s="128">
        <v>2001</v>
      </c>
      <c r="B2637" s="128" t="s">
        <v>138</v>
      </c>
      <c r="C2637" s="128" t="s">
        <v>23</v>
      </c>
      <c r="D2637" s="128" t="s">
        <v>77</v>
      </c>
      <c r="E2637" s="128" t="s">
        <v>134</v>
      </c>
      <c r="F2637" s="128">
        <v>78128</v>
      </c>
      <c r="G2637" s="128">
        <v>33577</v>
      </c>
      <c r="H2637" s="128">
        <v>27729</v>
      </c>
      <c r="I2637" s="128">
        <v>176</v>
      </c>
    </row>
    <row r="2638" spans="1:9" ht="13.5">
      <c r="A2638" s="128">
        <v>2001</v>
      </c>
      <c r="B2638" s="128" t="s">
        <v>138</v>
      </c>
      <c r="C2638" s="128" t="s">
        <v>23</v>
      </c>
      <c r="D2638" s="128" t="s">
        <v>77</v>
      </c>
      <c r="E2638" s="128" t="s">
        <v>135</v>
      </c>
      <c r="F2638" s="128">
        <v>138737</v>
      </c>
      <c r="G2638" s="128">
        <v>38080</v>
      </c>
      <c r="H2638" s="128">
        <v>51186</v>
      </c>
      <c r="I2638" s="128">
        <v>213</v>
      </c>
    </row>
    <row r="2639" spans="1:9" ht="13.5">
      <c r="A2639" s="128">
        <v>2001</v>
      </c>
      <c r="B2639" s="128" t="s">
        <v>138</v>
      </c>
      <c r="C2639" s="128" t="s">
        <v>23</v>
      </c>
      <c r="D2639" s="128" t="s">
        <v>79</v>
      </c>
      <c r="E2639" s="128" t="s">
        <v>132</v>
      </c>
      <c r="F2639" s="128">
        <v>2095753</v>
      </c>
      <c r="G2639" s="128">
        <v>1395465</v>
      </c>
      <c r="H2639" s="128">
        <v>466981</v>
      </c>
      <c r="I2639" s="128">
        <v>22228</v>
      </c>
    </row>
    <row r="2640" spans="1:9" ht="13.5">
      <c r="A2640" s="128">
        <v>2001</v>
      </c>
      <c r="B2640" s="128" t="s">
        <v>138</v>
      </c>
      <c r="C2640" s="128" t="s">
        <v>23</v>
      </c>
      <c r="D2640" s="128" t="s">
        <v>79</v>
      </c>
      <c r="E2640" s="128" t="s">
        <v>133</v>
      </c>
      <c r="F2640" s="128">
        <v>923944</v>
      </c>
      <c r="G2640" s="128">
        <v>511121</v>
      </c>
      <c r="H2640" s="128">
        <v>174160</v>
      </c>
      <c r="I2640" s="128">
        <v>5321</v>
      </c>
    </row>
    <row r="2641" spans="1:9" ht="13.5">
      <c r="A2641" s="128">
        <v>2001</v>
      </c>
      <c r="B2641" s="128" t="s">
        <v>138</v>
      </c>
      <c r="C2641" s="128" t="s">
        <v>23</v>
      </c>
      <c r="D2641" s="128" t="s">
        <v>79</v>
      </c>
      <c r="E2641" s="128" t="s">
        <v>134</v>
      </c>
      <c r="F2641" s="128">
        <v>871147</v>
      </c>
      <c r="G2641" s="128">
        <v>384645</v>
      </c>
      <c r="H2641" s="128">
        <v>129740</v>
      </c>
      <c r="I2641" s="128">
        <v>4058</v>
      </c>
    </row>
    <row r="2642" spans="1:9" ht="13.5">
      <c r="A2642" s="128">
        <v>2001</v>
      </c>
      <c r="B2642" s="128" t="s">
        <v>138</v>
      </c>
      <c r="C2642" s="128" t="s">
        <v>23</v>
      </c>
      <c r="D2642" s="128" t="s">
        <v>79</v>
      </c>
      <c r="E2642" s="128" t="s">
        <v>135</v>
      </c>
      <c r="F2642" s="128">
        <v>580367</v>
      </c>
      <c r="G2642" s="128">
        <v>129064</v>
      </c>
      <c r="H2642" s="128">
        <v>44013</v>
      </c>
      <c r="I2642" s="128">
        <v>1195</v>
      </c>
    </row>
    <row r="2643" spans="1:9" ht="13.5">
      <c r="A2643" s="128">
        <v>2001</v>
      </c>
      <c r="B2643" s="128" t="s">
        <v>138</v>
      </c>
      <c r="C2643" s="128" t="s">
        <v>23</v>
      </c>
      <c r="D2643" s="128" t="s">
        <v>79</v>
      </c>
      <c r="E2643" s="128" t="s">
        <v>136</v>
      </c>
      <c r="F2643" s="128">
        <v>4963202</v>
      </c>
      <c r="G2643" s="128">
        <v>3728004</v>
      </c>
      <c r="H2643" s="128">
        <v>1234946</v>
      </c>
      <c r="I2643" s="128">
        <v>83441</v>
      </c>
    </row>
    <row r="2644" spans="1:9" ht="13.5">
      <c r="A2644" s="128">
        <v>2001</v>
      </c>
      <c r="B2644" s="128" t="s">
        <v>138</v>
      </c>
      <c r="C2644" s="128" t="s">
        <v>23</v>
      </c>
      <c r="D2644" s="128" t="s">
        <v>76</v>
      </c>
      <c r="E2644" s="128" t="s">
        <v>132</v>
      </c>
      <c r="F2644" s="128">
        <v>7385714</v>
      </c>
      <c r="G2644" s="128">
        <v>4849194</v>
      </c>
      <c r="H2644" s="128">
        <v>2536521</v>
      </c>
      <c r="I2644" s="128">
        <v>101101</v>
      </c>
    </row>
    <row r="2645" spans="1:9" ht="13.5">
      <c r="A2645" s="128">
        <v>2001</v>
      </c>
      <c r="B2645" s="128" t="s">
        <v>138</v>
      </c>
      <c r="C2645" s="128" t="s">
        <v>23</v>
      </c>
      <c r="D2645" s="128" t="s">
        <v>76</v>
      </c>
      <c r="E2645" s="128" t="s">
        <v>133</v>
      </c>
      <c r="F2645" s="128">
        <v>16098186</v>
      </c>
      <c r="G2645" s="128">
        <v>8899991</v>
      </c>
      <c r="H2645" s="128">
        <v>7198197</v>
      </c>
      <c r="I2645" s="128">
        <v>75295</v>
      </c>
    </row>
    <row r="2646" spans="1:9" ht="13.5">
      <c r="A2646" s="128">
        <v>2001</v>
      </c>
      <c r="B2646" s="128" t="s">
        <v>138</v>
      </c>
      <c r="C2646" s="128" t="s">
        <v>23</v>
      </c>
      <c r="D2646" s="128" t="s">
        <v>76</v>
      </c>
      <c r="E2646" s="128" t="s">
        <v>134</v>
      </c>
      <c r="F2646" s="128">
        <v>173150</v>
      </c>
      <c r="G2646" s="128">
        <v>81529</v>
      </c>
      <c r="H2646" s="128">
        <v>91621</v>
      </c>
      <c r="I2646" s="128">
        <v>706</v>
      </c>
    </row>
    <row r="2647" spans="1:9" ht="13.5">
      <c r="A2647" s="128">
        <v>2001</v>
      </c>
      <c r="B2647" s="128" t="s">
        <v>138</v>
      </c>
      <c r="C2647" s="128" t="s">
        <v>23</v>
      </c>
      <c r="D2647" s="128" t="s">
        <v>76</v>
      </c>
      <c r="E2647" s="128" t="s">
        <v>135</v>
      </c>
      <c r="F2647" s="128">
        <v>629562</v>
      </c>
      <c r="G2647" s="128">
        <v>203372</v>
      </c>
      <c r="H2647" s="128">
        <v>426189</v>
      </c>
      <c r="I2647" s="128">
        <v>1039</v>
      </c>
    </row>
    <row r="2648" spans="1:9" ht="13.5">
      <c r="A2648" s="128">
        <v>2001</v>
      </c>
      <c r="B2648" s="128" t="s">
        <v>138</v>
      </c>
      <c r="C2648" s="128" t="s">
        <v>23</v>
      </c>
      <c r="D2648" s="128" t="s">
        <v>76</v>
      </c>
      <c r="E2648" s="128" t="s">
        <v>136</v>
      </c>
      <c r="F2648" s="128">
        <v>925124</v>
      </c>
      <c r="G2648" s="128">
        <v>700842</v>
      </c>
      <c r="H2648" s="128">
        <v>224328</v>
      </c>
      <c r="I2648" s="128">
        <v>4725</v>
      </c>
    </row>
    <row r="2649" spans="1:9" ht="13.5">
      <c r="A2649" s="128">
        <v>2001</v>
      </c>
      <c r="B2649" s="128" t="s">
        <v>138</v>
      </c>
      <c r="C2649" s="128" t="s">
        <v>25</v>
      </c>
      <c r="D2649" s="128" t="s">
        <v>77</v>
      </c>
      <c r="E2649" s="128" t="s">
        <v>132</v>
      </c>
      <c r="F2649" s="128">
        <v>45867</v>
      </c>
      <c r="G2649" s="128">
        <v>29349</v>
      </c>
      <c r="H2649" s="128">
        <v>15763</v>
      </c>
      <c r="I2649" s="128">
        <v>355</v>
      </c>
    </row>
    <row r="2650" spans="1:9" ht="13.5">
      <c r="A2650" s="128">
        <v>2001</v>
      </c>
      <c r="B2650" s="128" t="s">
        <v>138</v>
      </c>
      <c r="C2650" s="128" t="s">
        <v>25</v>
      </c>
      <c r="D2650" s="128" t="s">
        <v>77</v>
      </c>
      <c r="E2650" s="128" t="s">
        <v>133</v>
      </c>
      <c r="F2650" s="128">
        <v>64018</v>
      </c>
      <c r="G2650" s="128">
        <v>34322</v>
      </c>
      <c r="H2650" s="128">
        <v>28299</v>
      </c>
      <c r="I2650" s="128">
        <v>304</v>
      </c>
    </row>
    <row r="2651" spans="1:9" ht="13.5">
      <c r="A2651" s="128">
        <v>2001</v>
      </c>
      <c r="B2651" s="128" t="s">
        <v>138</v>
      </c>
      <c r="C2651" s="128" t="s">
        <v>25</v>
      </c>
      <c r="D2651" s="128" t="s">
        <v>77</v>
      </c>
      <c r="E2651" s="128" t="s">
        <v>134</v>
      </c>
      <c r="F2651" s="128">
        <v>25048</v>
      </c>
      <c r="G2651" s="128">
        <v>11519</v>
      </c>
      <c r="H2651" s="128">
        <v>10243</v>
      </c>
      <c r="I2651" s="128">
        <v>131</v>
      </c>
    </row>
    <row r="2652" spans="1:9" ht="13.5">
      <c r="A2652" s="128">
        <v>2001</v>
      </c>
      <c r="B2652" s="128" t="s">
        <v>138</v>
      </c>
      <c r="C2652" s="128" t="s">
        <v>25</v>
      </c>
      <c r="D2652" s="128" t="s">
        <v>77</v>
      </c>
      <c r="E2652" s="128" t="s">
        <v>135</v>
      </c>
      <c r="F2652" s="128">
        <v>21630</v>
      </c>
      <c r="G2652" s="128">
        <v>6037</v>
      </c>
      <c r="H2652" s="128">
        <v>10500</v>
      </c>
      <c r="I2652" s="128">
        <v>53</v>
      </c>
    </row>
    <row r="2653" spans="1:9" ht="13.5">
      <c r="A2653" s="128">
        <v>2001</v>
      </c>
      <c r="B2653" s="128" t="s">
        <v>138</v>
      </c>
      <c r="C2653" s="128" t="s">
        <v>25</v>
      </c>
      <c r="D2653" s="128" t="s">
        <v>79</v>
      </c>
      <c r="E2653" s="128" t="s">
        <v>132</v>
      </c>
      <c r="F2653" s="128">
        <v>1286065</v>
      </c>
      <c r="G2653" s="128">
        <v>856686</v>
      </c>
      <c r="H2653" s="128">
        <v>288110</v>
      </c>
      <c r="I2653" s="128">
        <v>9580</v>
      </c>
    </row>
    <row r="2654" spans="1:9" ht="13.5">
      <c r="A2654" s="128">
        <v>2001</v>
      </c>
      <c r="B2654" s="128" t="s">
        <v>138</v>
      </c>
      <c r="C2654" s="128" t="s">
        <v>25</v>
      </c>
      <c r="D2654" s="128" t="s">
        <v>79</v>
      </c>
      <c r="E2654" s="128" t="s">
        <v>133</v>
      </c>
      <c r="F2654" s="128">
        <v>931176</v>
      </c>
      <c r="G2654" s="128">
        <v>511465</v>
      </c>
      <c r="H2654" s="128">
        <v>170338</v>
      </c>
      <c r="I2654" s="128">
        <v>6435</v>
      </c>
    </row>
    <row r="2655" spans="1:9" ht="13.5">
      <c r="A2655" s="128">
        <v>2001</v>
      </c>
      <c r="B2655" s="128" t="s">
        <v>138</v>
      </c>
      <c r="C2655" s="128" t="s">
        <v>25</v>
      </c>
      <c r="D2655" s="128" t="s">
        <v>79</v>
      </c>
      <c r="E2655" s="128" t="s">
        <v>134</v>
      </c>
      <c r="F2655" s="128">
        <v>1001366</v>
      </c>
      <c r="G2655" s="128">
        <v>442342</v>
      </c>
      <c r="H2655" s="128">
        <v>147814</v>
      </c>
      <c r="I2655" s="128">
        <v>4497</v>
      </c>
    </row>
    <row r="2656" spans="1:9" ht="13.5">
      <c r="A2656" s="128">
        <v>2001</v>
      </c>
      <c r="B2656" s="128" t="s">
        <v>138</v>
      </c>
      <c r="C2656" s="128" t="s">
        <v>25</v>
      </c>
      <c r="D2656" s="128" t="s">
        <v>79</v>
      </c>
      <c r="E2656" s="128" t="s">
        <v>135</v>
      </c>
      <c r="F2656" s="128">
        <v>1736109</v>
      </c>
      <c r="G2656" s="128">
        <v>465317</v>
      </c>
      <c r="H2656" s="128">
        <v>158913</v>
      </c>
      <c r="I2656" s="128">
        <v>4161</v>
      </c>
    </row>
    <row r="2657" spans="1:9" ht="13.5">
      <c r="A2657" s="128">
        <v>2001</v>
      </c>
      <c r="B2657" s="128" t="s">
        <v>138</v>
      </c>
      <c r="C2657" s="128" t="s">
        <v>25</v>
      </c>
      <c r="D2657" s="128" t="s">
        <v>79</v>
      </c>
      <c r="E2657" s="128" t="s">
        <v>136</v>
      </c>
      <c r="F2657" s="128">
        <v>2575010</v>
      </c>
      <c r="G2657" s="128">
        <v>1935543</v>
      </c>
      <c r="H2657" s="128">
        <v>639413</v>
      </c>
      <c r="I2657" s="128">
        <v>43207</v>
      </c>
    </row>
    <row r="2658" spans="1:9" ht="13.5">
      <c r="A2658" s="128">
        <v>2001</v>
      </c>
      <c r="B2658" s="128" t="s">
        <v>138</v>
      </c>
      <c r="C2658" s="128" t="s">
        <v>25</v>
      </c>
      <c r="D2658" s="128" t="s">
        <v>76</v>
      </c>
      <c r="E2658" s="128" t="s">
        <v>132</v>
      </c>
      <c r="F2658" s="128">
        <v>1333488</v>
      </c>
      <c r="G2658" s="128">
        <v>877824</v>
      </c>
      <c r="H2658" s="128">
        <v>455663</v>
      </c>
      <c r="I2658" s="128">
        <v>13126</v>
      </c>
    </row>
    <row r="2659" spans="1:9" ht="13.5">
      <c r="A2659" s="128">
        <v>2001</v>
      </c>
      <c r="B2659" s="128" t="s">
        <v>138</v>
      </c>
      <c r="C2659" s="128" t="s">
        <v>25</v>
      </c>
      <c r="D2659" s="128" t="s">
        <v>76</v>
      </c>
      <c r="E2659" s="128" t="s">
        <v>133</v>
      </c>
      <c r="F2659" s="128">
        <v>921428</v>
      </c>
      <c r="G2659" s="128">
        <v>503602</v>
      </c>
      <c r="H2659" s="128">
        <v>417827</v>
      </c>
      <c r="I2659" s="128">
        <v>3611</v>
      </c>
    </row>
    <row r="2660" spans="1:9" ht="13.5">
      <c r="A2660" s="128">
        <v>2001</v>
      </c>
      <c r="B2660" s="128" t="s">
        <v>138</v>
      </c>
      <c r="C2660" s="128" t="s">
        <v>25</v>
      </c>
      <c r="D2660" s="128" t="s">
        <v>76</v>
      </c>
      <c r="E2660" s="128" t="s">
        <v>134</v>
      </c>
      <c r="F2660" s="128">
        <v>312921</v>
      </c>
      <c r="G2660" s="128">
        <v>147035</v>
      </c>
      <c r="H2660" s="128">
        <v>165885</v>
      </c>
      <c r="I2660" s="128">
        <v>394</v>
      </c>
    </row>
    <row r="2661" spans="1:9" ht="13.5">
      <c r="A2661" s="128">
        <v>2001</v>
      </c>
      <c r="B2661" s="128" t="s">
        <v>138</v>
      </c>
      <c r="C2661" s="128" t="s">
        <v>25</v>
      </c>
      <c r="D2661" s="128" t="s">
        <v>76</v>
      </c>
      <c r="E2661" s="128" t="s">
        <v>135</v>
      </c>
      <c r="F2661" s="128">
        <v>245723</v>
      </c>
      <c r="G2661" s="128">
        <v>75652</v>
      </c>
      <c r="H2661" s="128">
        <v>170072</v>
      </c>
      <c r="I2661" s="128">
        <v>279</v>
      </c>
    </row>
    <row r="2662" spans="1:9" ht="13.5">
      <c r="A2662" s="128">
        <v>2001</v>
      </c>
      <c r="B2662" s="128" t="s">
        <v>138</v>
      </c>
      <c r="C2662" s="128" t="s">
        <v>25</v>
      </c>
      <c r="D2662" s="128" t="s">
        <v>76</v>
      </c>
      <c r="E2662" s="128" t="s">
        <v>136</v>
      </c>
      <c r="F2662" s="128">
        <v>95377</v>
      </c>
      <c r="G2662" s="128">
        <v>72296</v>
      </c>
      <c r="H2662" s="128">
        <v>23080</v>
      </c>
      <c r="I2662" s="128">
        <v>1001</v>
      </c>
    </row>
    <row r="2663" spans="1:9" ht="13.5">
      <c r="A2663" s="128">
        <v>2001</v>
      </c>
      <c r="B2663" s="128" t="s">
        <v>138</v>
      </c>
      <c r="C2663" s="128" t="s">
        <v>21</v>
      </c>
      <c r="D2663" s="128" t="s">
        <v>77</v>
      </c>
      <c r="E2663" s="128" t="s">
        <v>132</v>
      </c>
      <c r="F2663" s="128">
        <v>2229690</v>
      </c>
      <c r="G2663" s="128">
        <v>1422058</v>
      </c>
      <c r="H2663" s="128">
        <v>772901</v>
      </c>
      <c r="I2663" s="128">
        <v>16545</v>
      </c>
    </row>
    <row r="2664" spans="1:9" ht="13.5">
      <c r="A2664" s="128">
        <v>2001</v>
      </c>
      <c r="B2664" s="128" t="s">
        <v>138</v>
      </c>
      <c r="C2664" s="128" t="s">
        <v>21</v>
      </c>
      <c r="D2664" s="128" t="s">
        <v>77</v>
      </c>
      <c r="E2664" s="128" t="s">
        <v>133</v>
      </c>
      <c r="F2664" s="128">
        <v>5198222</v>
      </c>
      <c r="G2664" s="128">
        <v>2816074</v>
      </c>
      <c r="H2664" s="128">
        <v>2254520</v>
      </c>
      <c r="I2664" s="128">
        <v>26876</v>
      </c>
    </row>
    <row r="2665" spans="1:9" ht="13.5">
      <c r="A2665" s="128">
        <v>2001</v>
      </c>
      <c r="B2665" s="128" t="s">
        <v>138</v>
      </c>
      <c r="C2665" s="128" t="s">
        <v>21</v>
      </c>
      <c r="D2665" s="128" t="s">
        <v>77</v>
      </c>
      <c r="E2665" s="128" t="s">
        <v>134</v>
      </c>
      <c r="F2665" s="128">
        <v>1202913</v>
      </c>
      <c r="G2665" s="128">
        <v>528720</v>
      </c>
      <c r="H2665" s="128">
        <v>400136</v>
      </c>
      <c r="I2665" s="128">
        <v>4065</v>
      </c>
    </row>
    <row r="2666" spans="1:9" ht="13.5">
      <c r="A2666" s="128">
        <v>2001</v>
      </c>
      <c r="B2666" s="128" t="s">
        <v>138</v>
      </c>
      <c r="C2666" s="128" t="s">
        <v>21</v>
      </c>
      <c r="D2666" s="128" t="s">
        <v>77</v>
      </c>
      <c r="E2666" s="128" t="s">
        <v>135</v>
      </c>
      <c r="F2666" s="128">
        <v>1204776</v>
      </c>
      <c r="G2666" s="128">
        <v>291815</v>
      </c>
      <c r="H2666" s="128">
        <v>423159</v>
      </c>
      <c r="I2666" s="128">
        <v>2108</v>
      </c>
    </row>
    <row r="2667" spans="1:9" ht="13.5">
      <c r="A2667" s="128">
        <v>2001</v>
      </c>
      <c r="B2667" s="128" t="s">
        <v>138</v>
      </c>
      <c r="C2667" s="128" t="s">
        <v>21</v>
      </c>
      <c r="D2667" s="128" t="s">
        <v>79</v>
      </c>
      <c r="E2667" s="128" t="s">
        <v>132</v>
      </c>
      <c r="F2667" s="128">
        <v>9392639</v>
      </c>
      <c r="G2667" s="128">
        <v>6298887</v>
      </c>
      <c r="H2667" s="128">
        <v>2144524</v>
      </c>
      <c r="I2667" s="128">
        <v>70294</v>
      </c>
    </row>
    <row r="2668" spans="1:9" ht="13.5">
      <c r="A2668" s="128">
        <v>2001</v>
      </c>
      <c r="B2668" s="128" t="s">
        <v>138</v>
      </c>
      <c r="C2668" s="128" t="s">
        <v>21</v>
      </c>
      <c r="D2668" s="128" t="s">
        <v>79</v>
      </c>
      <c r="E2668" s="128" t="s">
        <v>133</v>
      </c>
      <c r="F2668" s="128">
        <v>7902428</v>
      </c>
      <c r="G2668" s="128">
        <v>4314583</v>
      </c>
      <c r="H2668" s="128">
        <v>1448153</v>
      </c>
      <c r="I2668" s="128">
        <v>45095</v>
      </c>
    </row>
    <row r="2669" spans="1:9" ht="13.5">
      <c r="A2669" s="128">
        <v>2001</v>
      </c>
      <c r="B2669" s="128" t="s">
        <v>138</v>
      </c>
      <c r="C2669" s="128" t="s">
        <v>21</v>
      </c>
      <c r="D2669" s="128" t="s">
        <v>79</v>
      </c>
      <c r="E2669" s="128" t="s">
        <v>134</v>
      </c>
      <c r="F2669" s="128">
        <v>10518477</v>
      </c>
      <c r="G2669" s="128">
        <v>4658351</v>
      </c>
      <c r="H2669" s="128">
        <v>1560560</v>
      </c>
      <c r="I2669" s="128">
        <v>45926</v>
      </c>
    </row>
    <row r="2670" spans="1:9" ht="13.5">
      <c r="A2670" s="128">
        <v>2001</v>
      </c>
      <c r="B2670" s="128" t="s">
        <v>138</v>
      </c>
      <c r="C2670" s="128" t="s">
        <v>21</v>
      </c>
      <c r="D2670" s="128" t="s">
        <v>79</v>
      </c>
      <c r="E2670" s="128" t="s">
        <v>135</v>
      </c>
      <c r="F2670" s="128">
        <v>6080948</v>
      </c>
      <c r="G2670" s="128">
        <v>1616179</v>
      </c>
      <c r="H2670" s="128">
        <v>556650</v>
      </c>
      <c r="I2670" s="128">
        <v>12975</v>
      </c>
    </row>
    <row r="2671" spans="1:9" ht="13.5">
      <c r="A2671" s="128">
        <v>2001</v>
      </c>
      <c r="B2671" s="128" t="s">
        <v>138</v>
      </c>
      <c r="C2671" s="128" t="s">
        <v>21</v>
      </c>
      <c r="D2671" s="128" t="s">
        <v>79</v>
      </c>
      <c r="E2671" s="128" t="s">
        <v>136</v>
      </c>
      <c r="F2671" s="128">
        <v>18401930</v>
      </c>
      <c r="G2671" s="128">
        <v>13838433</v>
      </c>
      <c r="H2671" s="128">
        <v>4563495</v>
      </c>
      <c r="I2671" s="128">
        <v>251593</v>
      </c>
    </row>
    <row r="2672" spans="1:9" ht="13.5">
      <c r="A2672" s="128">
        <v>2001</v>
      </c>
      <c r="B2672" s="128" t="s">
        <v>138</v>
      </c>
      <c r="C2672" s="128" t="s">
        <v>21</v>
      </c>
      <c r="D2672" s="128" t="s">
        <v>76</v>
      </c>
      <c r="E2672" s="128" t="s">
        <v>132</v>
      </c>
      <c r="F2672" s="128">
        <v>17179867</v>
      </c>
      <c r="G2672" s="128">
        <v>10981923</v>
      </c>
      <c r="H2672" s="128">
        <v>6197936</v>
      </c>
      <c r="I2672" s="128">
        <v>193138</v>
      </c>
    </row>
    <row r="2673" spans="1:9" ht="13.5">
      <c r="A2673" s="128">
        <v>2001</v>
      </c>
      <c r="B2673" s="128" t="s">
        <v>138</v>
      </c>
      <c r="C2673" s="128" t="s">
        <v>21</v>
      </c>
      <c r="D2673" s="128" t="s">
        <v>76</v>
      </c>
      <c r="E2673" s="128" t="s">
        <v>133</v>
      </c>
      <c r="F2673" s="128">
        <v>21946542</v>
      </c>
      <c r="G2673" s="128">
        <v>12025556</v>
      </c>
      <c r="H2673" s="128">
        <v>9920986</v>
      </c>
      <c r="I2673" s="128">
        <v>149206</v>
      </c>
    </row>
    <row r="2674" spans="1:9" ht="13.5">
      <c r="A2674" s="128">
        <v>2001</v>
      </c>
      <c r="B2674" s="128" t="s">
        <v>138</v>
      </c>
      <c r="C2674" s="128" t="s">
        <v>21</v>
      </c>
      <c r="D2674" s="128" t="s">
        <v>76</v>
      </c>
      <c r="E2674" s="128" t="s">
        <v>134</v>
      </c>
      <c r="F2674" s="128">
        <v>3413088</v>
      </c>
      <c r="G2674" s="128">
        <v>1644682</v>
      </c>
      <c r="H2674" s="128">
        <v>1768406</v>
      </c>
      <c r="I2674" s="128">
        <v>15139</v>
      </c>
    </row>
    <row r="2675" spans="1:9" ht="13.5">
      <c r="A2675" s="128">
        <v>2001</v>
      </c>
      <c r="B2675" s="128" t="s">
        <v>138</v>
      </c>
      <c r="C2675" s="128" t="s">
        <v>21</v>
      </c>
      <c r="D2675" s="128" t="s">
        <v>76</v>
      </c>
      <c r="E2675" s="128" t="s">
        <v>135</v>
      </c>
      <c r="F2675" s="128">
        <v>1254713</v>
      </c>
      <c r="G2675" s="128">
        <v>407867</v>
      </c>
      <c r="H2675" s="128">
        <v>846846</v>
      </c>
      <c r="I2675" s="128">
        <v>1791</v>
      </c>
    </row>
    <row r="2676" spans="1:9" ht="13.5">
      <c r="A2676" s="128">
        <v>2001</v>
      </c>
      <c r="B2676" s="128" t="s">
        <v>138</v>
      </c>
      <c r="C2676" s="128" t="s">
        <v>21</v>
      </c>
      <c r="D2676" s="128" t="s">
        <v>76</v>
      </c>
      <c r="E2676" s="128" t="s">
        <v>136</v>
      </c>
      <c r="F2676" s="128">
        <v>2067051</v>
      </c>
      <c r="G2676" s="128">
        <v>1568597</v>
      </c>
      <c r="H2676" s="128">
        <v>498454</v>
      </c>
      <c r="I2676" s="128">
        <v>14700</v>
      </c>
    </row>
    <row r="2677" spans="1:9" ht="13.5">
      <c r="A2677" s="128">
        <v>2001</v>
      </c>
      <c r="B2677" s="128" t="s">
        <v>138</v>
      </c>
      <c r="C2677" s="128" t="s">
        <v>24</v>
      </c>
      <c r="D2677" s="128" t="s">
        <v>77</v>
      </c>
      <c r="E2677" s="128" t="s">
        <v>132</v>
      </c>
      <c r="F2677" s="128">
        <v>366432</v>
      </c>
      <c r="G2677" s="128">
        <v>243322</v>
      </c>
      <c r="H2677" s="128">
        <v>109287</v>
      </c>
      <c r="I2677" s="128">
        <v>3197</v>
      </c>
    </row>
    <row r="2678" spans="1:9" ht="13.5">
      <c r="A2678" s="128">
        <v>2001</v>
      </c>
      <c r="B2678" s="128" t="s">
        <v>138</v>
      </c>
      <c r="C2678" s="128" t="s">
        <v>24</v>
      </c>
      <c r="D2678" s="128" t="s">
        <v>77</v>
      </c>
      <c r="E2678" s="128" t="s">
        <v>133</v>
      </c>
      <c r="F2678" s="128">
        <v>759802</v>
      </c>
      <c r="G2678" s="128">
        <v>407562</v>
      </c>
      <c r="H2678" s="128">
        <v>319496</v>
      </c>
      <c r="I2678" s="128">
        <v>3675</v>
      </c>
    </row>
    <row r="2679" spans="1:9" ht="13.5">
      <c r="A2679" s="128">
        <v>2001</v>
      </c>
      <c r="B2679" s="128" t="s">
        <v>138</v>
      </c>
      <c r="C2679" s="128" t="s">
        <v>24</v>
      </c>
      <c r="D2679" s="128" t="s">
        <v>77</v>
      </c>
      <c r="E2679" s="128" t="s">
        <v>134</v>
      </c>
      <c r="F2679" s="128">
        <v>553034</v>
      </c>
      <c r="G2679" s="128">
        <v>246018</v>
      </c>
      <c r="H2679" s="128">
        <v>197277</v>
      </c>
      <c r="I2679" s="128">
        <v>1904</v>
      </c>
    </row>
    <row r="2680" spans="1:9" ht="13.5">
      <c r="A2680" s="128">
        <v>2001</v>
      </c>
      <c r="B2680" s="128" t="s">
        <v>138</v>
      </c>
      <c r="C2680" s="128" t="s">
        <v>24</v>
      </c>
      <c r="D2680" s="128" t="s">
        <v>77</v>
      </c>
      <c r="E2680" s="128" t="s">
        <v>135</v>
      </c>
      <c r="F2680" s="128">
        <v>356564</v>
      </c>
      <c r="G2680" s="128">
        <v>103279</v>
      </c>
      <c r="H2680" s="128">
        <v>150736</v>
      </c>
      <c r="I2680" s="128">
        <v>769</v>
      </c>
    </row>
    <row r="2681" spans="1:9" ht="13.5">
      <c r="A2681" s="128">
        <v>2001</v>
      </c>
      <c r="B2681" s="128" t="s">
        <v>138</v>
      </c>
      <c r="C2681" s="128" t="s">
        <v>24</v>
      </c>
      <c r="D2681" s="128" t="s">
        <v>79</v>
      </c>
      <c r="E2681" s="128" t="s">
        <v>132</v>
      </c>
      <c r="F2681" s="128">
        <v>2330921</v>
      </c>
      <c r="G2681" s="128">
        <v>1560690</v>
      </c>
      <c r="H2681" s="128">
        <v>521678</v>
      </c>
      <c r="I2681" s="128">
        <v>20845</v>
      </c>
    </row>
    <row r="2682" spans="1:9" ht="13.5">
      <c r="A2682" s="128">
        <v>2001</v>
      </c>
      <c r="B2682" s="128" t="s">
        <v>138</v>
      </c>
      <c r="C2682" s="128" t="s">
        <v>24</v>
      </c>
      <c r="D2682" s="128" t="s">
        <v>79</v>
      </c>
      <c r="E2682" s="128" t="s">
        <v>133</v>
      </c>
      <c r="F2682" s="128">
        <v>2367165</v>
      </c>
      <c r="G2682" s="128">
        <v>1297236</v>
      </c>
      <c r="H2682" s="128">
        <v>444212</v>
      </c>
      <c r="I2682" s="128">
        <v>12694</v>
      </c>
    </row>
    <row r="2683" spans="1:9" ht="13.5">
      <c r="A2683" s="128">
        <v>2001</v>
      </c>
      <c r="B2683" s="128" t="s">
        <v>138</v>
      </c>
      <c r="C2683" s="128" t="s">
        <v>24</v>
      </c>
      <c r="D2683" s="128" t="s">
        <v>79</v>
      </c>
      <c r="E2683" s="128" t="s">
        <v>134</v>
      </c>
      <c r="F2683" s="128">
        <v>2755847</v>
      </c>
      <c r="G2683" s="128">
        <v>1207901</v>
      </c>
      <c r="H2683" s="128">
        <v>414709</v>
      </c>
      <c r="I2683" s="128">
        <v>11079</v>
      </c>
    </row>
    <row r="2684" spans="1:9" ht="13.5">
      <c r="A2684" s="128">
        <v>2001</v>
      </c>
      <c r="B2684" s="128" t="s">
        <v>138</v>
      </c>
      <c r="C2684" s="128" t="s">
        <v>24</v>
      </c>
      <c r="D2684" s="128" t="s">
        <v>79</v>
      </c>
      <c r="E2684" s="128" t="s">
        <v>135</v>
      </c>
      <c r="F2684" s="128">
        <v>2005517</v>
      </c>
      <c r="G2684" s="128">
        <v>565764</v>
      </c>
      <c r="H2684" s="128">
        <v>218105</v>
      </c>
      <c r="I2684" s="128">
        <v>5126</v>
      </c>
    </row>
    <row r="2685" spans="1:9" ht="13.5">
      <c r="A2685" s="128">
        <v>2001</v>
      </c>
      <c r="B2685" s="128" t="s">
        <v>138</v>
      </c>
      <c r="C2685" s="128" t="s">
        <v>24</v>
      </c>
      <c r="D2685" s="128" t="s">
        <v>79</v>
      </c>
      <c r="E2685" s="128" t="s">
        <v>136</v>
      </c>
      <c r="F2685" s="128">
        <v>3417594</v>
      </c>
      <c r="G2685" s="128">
        <v>2590661</v>
      </c>
      <c r="H2685" s="128">
        <v>826933</v>
      </c>
      <c r="I2685" s="128">
        <v>36521</v>
      </c>
    </row>
    <row r="2686" spans="1:9" ht="13.5">
      <c r="A2686" s="128">
        <v>2001</v>
      </c>
      <c r="B2686" s="128" t="s">
        <v>138</v>
      </c>
      <c r="C2686" s="128" t="s">
        <v>24</v>
      </c>
      <c r="D2686" s="128" t="s">
        <v>76</v>
      </c>
      <c r="E2686" s="128" t="s">
        <v>132</v>
      </c>
      <c r="F2686" s="128">
        <v>7333736</v>
      </c>
      <c r="G2686" s="128">
        <v>4805531</v>
      </c>
      <c r="H2686" s="128">
        <v>2528205</v>
      </c>
      <c r="I2686" s="128">
        <v>78512</v>
      </c>
    </row>
    <row r="2687" spans="1:9" ht="13.5">
      <c r="A2687" s="128">
        <v>2001</v>
      </c>
      <c r="B2687" s="128" t="s">
        <v>138</v>
      </c>
      <c r="C2687" s="128" t="s">
        <v>24</v>
      </c>
      <c r="D2687" s="128" t="s">
        <v>76</v>
      </c>
      <c r="E2687" s="128" t="s">
        <v>133</v>
      </c>
      <c r="F2687" s="128">
        <v>6964450</v>
      </c>
      <c r="G2687" s="128">
        <v>3836122</v>
      </c>
      <c r="H2687" s="128">
        <v>3128327</v>
      </c>
      <c r="I2687" s="128">
        <v>36106</v>
      </c>
    </row>
    <row r="2688" spans="1:9" ht="13.5">
      <c r="A2688" s="128">
        <v>2001</v>
      </c>
      <c r="B2688" s="128" t="s">
        <v>138</v>
      </c>
      <c r="C2688" s="128" t="s">
        <v>24</v>
      </c>
      <c r="D2688" s="128" t="s">
        <v>76</v>
      </c>
      <c r="E2688" s="128" t="s">
        <v>134</v>
      </c>
      <c r="F2688" s="128">
        <v>4201498</v>
      </c>
      <c r="G2688" s="128">
        <v>1880435</v>
      </c>
      <c r="H2688" s="128">
        <v>2321063</v>
      </c>
      <c r="I2688" s="128">
        <v>18060</v>
      </c>
    </row>
    <row r="2689" spans="1:9" ht="13.5">
      <c r="A2689" s="128">
        <v>2001</v>
      </c>
      <c r="B2689" s="128" t="s">
        <v>138</v>
      </c>
      <c r="C2689" s="128" t="s">
        <v>24</v>
      </c>
      <c r="D2689" s="128" t="s">
        <v>76</v>
      </c>
      <c r="E2689" s="128" t="s">
        <v>135</v>
      </c>
      <c r="F2689" s="128">
        <v>2184178</v>
      </c>
      <c r="G2689" s="128">
        <v>653138</v>
      </c>
      <c r="H2689" s="128">
        <v>1531040</v>
      </c>
      <c r="I2689" s="128">
        <v>5238</v>
      </c>
    </row>
    <row r="2690" spans="1:9" ht="13.5">
      <c r="A2690" s="128">
        <v>2001</v>
      </c>
      <c r="B2690" s="128" t="s">
        <v>138</v>
      </c>
      <c r="C2690" s="128" t="s">
        <v>24</v>
      </c>
      <c r="D2690" s="128" t="s">
        <v>76</v>
      </c>
      <c r="E2690" s="128" t="s">
        <v>136</v>
      </c>
      <c r="F2690" s="128">
        <v>3592826</v>
      </c>
      <c r="G2690" s="128">
        <v>2735202</v>
      </c>
      <c r="H2690" s="128">
        <v>857625</v>
      </c>
      <c r="I2690" s="128">
        <v>43409</v>
      </c>
    </row>
    <row r="2691" spans="1:9" ht="13.5">
      <c r="A2691" s="128">
        <v>2001</v>
      </c>
      <c r="B2691" s="128" t="s">
        <v>139</v>
      </c>
      <c r="C2691" s="128" t="s">
        <v>26</v>
      </c>
      <c r="D2691" s="128" t="s">
        <v>77</v>
      </c>
      <c r="E2691" s="128" t="s">
        <v>132</v>
      </c>
      <c r="F2691" s="128">
        <v>0</v>
      </c>
      <c r="G2691" s="128">
        <v>0</v>
      </c>
      <c r="H2691" s="128">
        <v>0</v>
      </c>
      <c r="I2691" s="128">
        <v>0</v>
      </c>
    </row>
    <row r="2692" spans="1:9" ht="13.5">
      <c r="A2692" s="128">
        <v>2001</v>
      </c>
      <c r="B2692" s="128" t="s">
        <v>139</v>
      </c>
      <c r="C2692" s="128" t="s">
        <v>26</v>
      </c>
      <c r="D2692" s="128" t="s">
        <v>77</v>
      </c>
      <c r="E2692" s="128" t="s">
        <v>133</v>
      </c>
      <c r="F2692" s="128">
        <v>0</v>
      </c>
      <c r="G2692" s="128">
        <v>0</v>
      </c>
      <c r="H2692" s="128">
        <v>0</v>
      </c>
      <c r="I2692" s="128">
        <v>0</v>
      </c>
    </row>
    <row r="2693" spans="1:9" ht="13.5">
      <c r="A2693" s="128">
        <v>2001</v>
      </c>
      <c r="B2693" s="128" t="s">
        <v>139</v>
      </c>
      <c r="C2693" s="128" t="s">
        <v>26</v>
      </c>
      <c r="D2693" s="128" t="s">
        <v>77</v>
      </c>
      <c r="E2693" s="128" t="s">
        <v>134</v>
      </c>
      <c r="F2693" s="128">
        <v>0</v>
      </c>
      <c r="G2693" s="128">
        <v>0</v>
      </c>
      <c r="H2693" s="128">
        <v>0</v>
      </c>
      <c r="I2693" s="128">
        <v>0</v>
      </c>
    </row>
    <row r="2694" spans="1:9" ht="13.5">
      <c r="A2694" s="128">
        <v>2001</v>
      </c>
      <c r="B2694" s="128" t="s">
        <v>139</v>
      </c>
      <c r="C2694" s="128" t="s">
        <v>26</v>
      </c>
      <c r="D2694" s="128" t="s">
        <v>77</v>
      </c>
      <c r="E2694" s="128" t="s">
        <v>135</v>
      </c>
      <c r="F2694" s="128">
        <v>0</v>
      </c>
      <c r="G2694" s="128">
        <v>0</v>
      </c>
      <c r="H2694" s="128">
        <v>0</v>
      </c>
      <c r="I2694" s="128">
        <v>0</v>
      </c>
    </row>
    <row r="2695" spans="1:9" ht="13.5">
      <c r="A2695" s="128">
        <v>2001</v>
      </c>
      <c r="B2695" s="128" t="s">
        <v>139</v>
      </c>
      <c r="C2695" s="128" t="s">
        <v>26</v>
      </c>
      <c r="D2695" s="128" t="s">
        <v>79</v>
      </c>
      <c r="E2695" s="128" t="s">
        <v>132</v>
      </c>
      <c r="F2695" s="128">
        <v>0</v>
      </c>
      <c r="G2695" s="128">
        <v>0</v>
      </c>
      <c r="H2695" s="128">
        <v>0</v>
      </c>
      <c r="I2695" s="128">
        <v>0</v>
      </c>
    </row>
    <row r="2696" spans="1:9" ht="13.5">
      <c r="A2696" s="128">
        <v>2001</v>
      </c>
      <c r="B2696" s="128" t="s">
        <v>139</v>
      </c>
      <c r="C2696" s="128" t="s">
        <v>26</v>
      </c>
      <c r="D2696" s="128" t="s">
        <v>79</v>
      </c>
      <c r="E2696" s="128" t="s">
        <v>133</v>
      </c>
      <c r="F2696" s="128">
        <v>0</v>
      </c>
      <c r="G2696" s="128">
        <v>0</v>
      </c>
      <c r="H2696" s="128">
        <v>0</v>
      </c>
      <c r="I2696" s="128">
        <v>0</v>
      </c>
    </row>
    <row r="2697" spans="1:9" ht="13.5">
      <c r="A2697" s="128">
        <v>2001</v>
      </c>
      <c r="B2697" s="128" t="s">
        <v>139</v>
      </c>
      <c r="C2697" s="128" t="s">
        <v>26</v>
      </c>
      <c r="D2697" s="128" t="s">
        <v>79</v>
      </c>
      <c r="E2697" s="128" t="s">
        <v>134</v>
      </c>
      <c r="F2697" s="128">
        <v>0</v>
      </c>
      <c r="G2697" s="128">
        <v>0</v>
      </c>
      <c r="H2697" s="128">
        <v>0</v>
      </c>
      <c r="I2697" s="128">
        <v>0</v>
      </c>
    </row>
    <row r="2698" spans="1:9" ht="13.5">
      <c r="A2698" s="128">
        <v>2001</v>
      </c>
      <c r="B2698" s="128" t="s">
        <v>139</v>
      </c>
      <c r="C2698" s="128" t="s">
        <v>26</v>
      </c>
      <c r="D2698" s="128" t="s">
        <v>79</v>
      </c>
      <c r="E2698" s="128" t="s">
        <v>135</v>
      </c>
      <c r="F2698" s="128">
        <v>0</v>
      </c>
      <c r="G2698" s="128">
        <v>0</v>
      </c>
      <c r="H2698" s="128">
        <v>0</v>
      </c>
      <c r="I2698" s="128">
        <v>0</v>
      </c>
    </row>
    <row r="2699" spans="1:9" ht="13.5">
      <c r="A2699" s="128">
        <v>2001</v>
      </c>
      <c r="B2699" s="128" t="s">
        <v>139</v>
      </c>
      <c r="C2699" s="128" t="s">
        <v>26</v>
      </c>
      <c r="D2699" s="128" t="s">
        <v>79</v>
      </c>
      <c r="E2699" s="128" t="s">
        <v>136</v>
      </c>
      <c r="F2699" s="128">
        <v>0</v>
      </c>
      <c r="G2699" s="128">
        <v>0</v>
      </c>
      <c r="H2699" s="128">
        <v>0</v>
      </c>
      <c r="I2699" s="128">
        <v>0</v>
      </c>
    </row>
    <row r="2700" spans="1:9" ht="13.5">
      <c r="A2700" s="128">
        <v>2001</v>
      </c>
      <c r="B2700" s="128" t="s">
        <v>139</v>
      </c>
      <c r="C2700" s="128" t="s">
        <v>26</v>
      </c>
      <c r="D2700" s="128" t="s">
        <v>76</v>
      </c>
      <c r="E2700" s="128" t="s">
        <v>132</v>
      </c>
      <c r="F2700" s="128">
        <v>0</v>
      </c>
      <c r="G2700" s="128">
        <v>0</v>
      </c>
      <c r="H2700" s="128">
        <v>0</v>
      </c>
      <c r="I2700" s="128">
        <v>0</v>
      </c>
    </row>
    <row r="2701" spans="1:9" ht="13.5">
      <c r="A2701" s="128">
        <v>2001</v>
      </c>
      <c r="B2701" s="128" t="s">
        <v>139</v>
      </c>
      <c r="C2701" s="128" t="s">
        <v>26</v>
      </c>
      <c r="D2701" s="128" t="s">
        <v>76</v>
      </c>
      <c r="E2701" s="128" t="s">
        <v>133</v>
      </c>
      <c r="F2701" s="128">
        <v>0</v>
      </c>
      <c r="G2701" s="128">
        <v>0</v>
      </c>
      <c r="H2701" s="128">
        <v>0</v>
      </c>
      <c r="I2701" s="128">
        <v>0</v>
      </c>
    </row>
    <row r="2702" spans="1:9" ht="13.5">
      <c r="A2702" s="128">
        <v>2001</v>
      </c>
      <c r="B2702" s="128" t="s">
        <v>139</v>
      </c>
      <c r="C2702" s="128" t="s">
        <v>26</v>
      </c>
      <c r="D2702" s="128" t="s">
        <v>76</v>
      </c>
      <c r="E2702" s="128" t="s">
        <v>134</v>
      </c>
      <c r="F2702" s="128">
        <v>0</v>
      </c>
      <c r="G2702" s="128">
        <v>0</v>
      </c>
      <c r="H2702" s="128">
        <v>0</v>
      </c>
      <c r="I2702" s="128">
        <v>0</v>
      </c>
    </row>
    <row r="2703" spans="1:9" ht="13.5">
      <c r="A2703" s="128">
        <v>2001</v>
      </c>
      <c r="B2703" s="128" t="s">
        <v>139</v>
      </c>
      <c r="C2703" s="128" t="s">
        <v>26</v>
      </c>
      <c r="D2703" s="128" t="s">
        <v>76</v>
      </c>
      <c r="E2703" s="128" t="s">
        <v>135</v>
      </c>
      <c r="F2703" s="128">
        <v>0</v>
      </c>
      <c r="G2703" s="128">
        <v>0</v>
      </c>
      <c r="H2703" s="128">
        <v>0</v>
      </c>
      <c r="I2703" s="128">
        <v>0</v>
      </c>
    </row>
    <row r="2704" spans="1:9" ht="13.5">
      <c r="A2704" s="128">
        <v>2001</v>
      </c>
      <c r="B2704" s="128" t="s">
        <v>139</v>
      </c>
      <c r="C2704" s="128" t="s">
        <v>26</v>
      </c>
      <c r="D2704" s="128" t="s">
        <v>76</v>
      </c>
      <c r="E2704" s="128" t="s">
        <v>136</v>
      </c>
      <c r="F2704" s="128">
        <v>0</v>
      </c>
      <c r="G2704" s="128">
        <v>0</v>
      </c>
      <c r="H2704" s="128">
        <v>0</v>
      </c>
      <c r="I2704" s="128">
        <v>0</v>
      </c>
    </row>
    <row r="2705" spans="1:9" ht="13.5">
      <c r="A2705" s="128">
        <v>2001</v>
      </c>
      <c r="B2705" s="128" t="s">
        <v>139</v>
      </c>
      <c r="C2705" s="128" t="s">
        <v>20</v>
      </c>
      <c r="D2705" s="128" t="s">
        <v>77</v>
      </c>
      <c r="E2705" s="128" t="s">
        <v>132</v>
      </c>
      <c r="F2705" s="128">
        <v>850553</v>
      </c>
      <c r="G2705" s="128">
        <v>555114</v>
      </c>
      <c r="H2705" s="128">
        <v>269019</v>
      </c>
      <c r="I2705" s="128">
        <v>7146</v>
      </c>
    </row>
    <row r="2706" spans="1:9" ht="13.5">
      <c r="A2706" s="128">
        <v>2001</v>
      </c>
      <c r="B2706" s="128" t="s">
        <v>139</v>
      </c>
      <c r="C2706" s="128" t="s">
        <v>20</v>
      </c>
      <c r="D2706" s="128" t="s">
        <v>77</v>
      </c>
      <c r="E2706" s="128" t="s">
        <v>133</v>
      </c>
      <c r="F2706" s="128">
        <v>834071</v>
      </c>
      <c r="G2706" s="128">
        <v>458563</v>
      </c>
      <c r="H2706" s="128">
        <v>331772</v>
      </c>
      <c r="I2706" s="128">
        <v>3607</v>
      </c>
    </row>
    <row r="2707" spans="1:9" ht="13.5">
      <c r="A2707" s="128">
        <v>2001</v>
      </c>
      <c r="B2707" s="128" t="s">
        <v>139</v>
      </c>
      <c r="C2707" s="128" t="s">
        <v>20</v>
      </c>
      <c r="D2707" s="128" t="s">
        <v>77</v>
      </c>
      <c r="E2707" s="128" t="s">
        <v>134</v>
      </c>
      <c r="F2707" s="128">
        <v>252288</v>
      </c>
      <c r="G2707" s="128">
        <v>110474</v>
      </c>
      <c r="H2707" s="128">
        <v>66303</v>
      </c>
      <c r="I2707" s="128">
        <v>1019</v>
      </c>
    </row>
    <row r="2708" spans="1:9" ht="13.5">
      <c r="A2708" s="128">
        <v>2001</v>
      </c>
      <c r="B2708" s="128" t="s">
        <v>139</v>
      </c>
      <c r="C2708" s="128" t="s">
        <v>20</v>
      </c>
      <c r="D2708" s="128" t="s">
        <v>77</v>
      </c>
      <c r="E2708" s="128" t="s">
        <v>135</v>
      </c>
      <c r="F2708" s="128">
        <v>332141</v>
      </c>
      <c r="G2708" s="128">
        <v>95431</v>
      </c>
      <c r="H2708" s="128">
        <v>110789</v>
      </c>
      <c r="I2708" s="128">
        <v>850</v>
      </c>
    </row>
    <row r="2709" spans="1:9" ht="13.5">
      <c r="A2709" s="128">
        <v>2001</v>
      </c>
      <c r="B2709" s="128" t="s">
        <v>139</v>
      </c>
      <c r="C2709" s="128" t="s">
        <v>20</v>
      </c>
      <c r="D2709" s="128" t="s">
        <v>79</v>
      </c>
      <c r="E2709" s="128" t="s">
        <v>132</v>
      </c>
      <c r="F2709" s="128">
        <v>14591302</v>
      </c>
      <c r="G2709" s="128">
        <v>9743149</v>
      </c>
      <c r="H2709" s="128">
        <v>3236792</v>
      </c>
      <c r="I2709" s="128">
        <v>121624</v>
      </c>
    </row>
    <row r="2710" spans="1:9" ht="13.5">
      <c r="A2710" s="128">
        <v>2001</v>
      </c>
      <c r="B2710" s="128" t="s">
        <v>139</v>
      </c>
      <c r="C2710" s="128" t="s">
        <v>20</v>
      </c>
      <c r="D2710" s="128" t="s">
        <v>79</v>
      </c>
      <c r="E2710" s="128" t="s">
        <v>133</v>
      </c>
      <c r="F2710" s="128">
        <v>14884107</v>
      </c>
      <c r="G2710" s="128">
        <v>8073306</v>
      </c>
      <c r="H2710" s="128">
        <v>2692123</v>
      </c>
      <c r="I2710" s="128">
        <v>94609</v>
      </c>
    </row>
    <row r="2711" spans="1:9" ht="13.5">
      <c r="A2711" s="128">
        <v>2001</v>
      </c>
      <c r="B2711" s="128" t="s">
        <v>139</v>
      </c>
      <c r="C2711" s="128" t="s">
        <v>20</v>
      </c>
      <c r="D2711" s="128" t="s">
        <v>79</v>
      </c>
      <c r="E2711" s="128" t="s">
        <v>134</v>
      </c>
      <c r="F2711" s="128">
        <v>21891692</v>
      </c>
      <c r="G2711" s="128">
        <v>9461921</v>
      </c>
      <c r="H2711" s="128">
        <v>3168867</v>
      </c>
      <c r="I2711" s="128">
        <v>86123</v>
      </c>
    </row>
    <row r="2712" spans="1:9" ht="13.5">
      <c r="A2712" s="128">
        <v>2001</v>
      </c>
      <c r="B2712" s="128" t="s">
        <v>139</v>
      </c>
      <c r="C2712" s="128" t="s">
        <v>20</v>
      </c>
      <c r="D2712" s="128" t="s">
        <v>79</v>
      </c>
      <c r="E2712" s="128" t="s">
        <v>135</v>
      </c>
      <c r="F2712" s="128">
        <v>21915144</v>
      </c>
      <c r="G2712" s="128">
        <v>6114999</v>
      </c>
      <c r="H2712" s="128">
        <v>2023853</v>
      </c>
      <c r="I2712" s="128">
        <v>40778</v>
      </c>
    </row>
    <row r="2713" spans="1:9" ht="13.5">
      <c r="A2713" s="128">
        <v>2001</v>
      </c>
      <c r="B2713" s="128" t="s">
        <v>139</v>
      </c>
      <c r="C2713" s="128" t="s">
        <v>20</v>
      </c>
      <c r="D2713" s="128" t="s">
        <v>79</v>
      </c>
      <c r="E2713" s="128" t="s">
        <v>136</v>
      </c>
      <c r="F2713" s="128">
        <v>30266411</v>
      </c>
      <c r="G2713" s="128">
        <v>22672719</v>
      </c>
      <c r="H2713" s="128">
        <v>7339934</v>
      </c>
      <c r="I2713" s="128">
        <v>456126</v>
      </c>
    </row>
    <row r="2714" spans="1:9" ht="13.5">
      <c r="A2714" s="128">
        <v>2001</v>
      </c>
      <c r="B2714" s="128" t="s">
        <v>139</v>
      </c>
      <c r="C2714" s="128" t="s">
        <v>20</v>
      </c>
      <c r="D2714" s="128" t="s">
        <v>76</v>
      </c>
      <c r="E2714" s="128" t="s">
        <v>132</v>
      </c>
      <c r="F2714" s="128">
        <v>11328418</v>
      </c>
      <c r="G2714" s="128">
        <v>7452551</v>
      </c>
      <c r="H2714" s="128">
        <v>3873973</v>
      </c>
      <c r="I2714" s="128">
        <v>119086</v>
      </c>
    </row>
    <row r="2715" spans="1:9" ht="13.5">
      <c r="A2715" s="128">
        <v>2001</v>
      </c>
      <c r="B2715" s="128" t="s">
        <v>139</v>
      </c>
      <c r="C2715" s="128" t="s">
        <v>20</v>
      </c>
      <c r="D2715" s="128" t="s">
        <v>76</v>
      </c>
      <c r="E2715" s="128" t="s">
        <v>133</v>
      </c>
      <c r="F2715" s="128">
        <v>10140944</v>
      </c>
      <c r="G2715" s="128">
        <v>5595841</v>
      </c>
      <c r="H2715" s="128">
        <v>4538951</v>
      </c>
      <c r="I2715" s="128">
        <v>48177</v>
      </c>
    </row>
    <row r="2716" spans="1:9" ht="13.5">
      <c r="A2716" s="128">
        <v>2001</v>
      </c>
      <c r="B2716" s="128" t="s">
        <v>139</v>
      </c>
      <c r="C2716" s="128" t="s">
        <v>20</v>
      </c>
      <c r="D2716" s="128" t="s">
        <v>76</v>
      </c>
      <c r="E2716" s="128" t="s">
        <v>134</v>
      </c>
      <c r="F2716" s="128">
        <v>669435</v>
      </c>
      <c r="G2716" s="128">
        <v>314578</v>
      </c>
      <c r="H2716" s="128">
        <v>354315</v>
      </c>
      <c r="I2716" s="128">
        <v>2450</v>
      </c>
    </row>
    <row r="2717" spans="1:9" ht="13.5">
      <c r="A2717" s="128">
        <v>2001</v>
      </c>
      <c r="B2717" s="128" t="s">
        <v>139</v>
      </c>
      <c r="C2717" s="128" t="s">
        <v>20</v>
      </c>
      <c r="D2717" s="128" t="s">
        <v>76</v>
      </c>
      <c r="E2717" s="128" t="s">
        <v>135</v>
      </c>
      <c r="F2717" s="128">
        <v>1207450</v>
      </c>
      <c r="G2717" s="128">
        <v>408292</v>
      </c>
      <c r="H2717" s="128">
        <v>798966</v>
      </c>
      <c r="I2717" s="128">
        <v>2581</v>
      </c>
    </row>
    <row r="2718" spans="1:9" ht="13.5">
      <c r="A2718" s="128">
        <v>2001</v>
      </c>
      <c r="B2718" s="128" t="s">
        <v>139</v>
      </c>
      <c r="C2718" s="128" t="s">
        <v>20</v>
      </c>
      <c r="D2718" s="128" t="s">
        <v>76</v>
      </c>
      <c r="E2718" s="128" t="s">
        <v>136</v>
      </c>
      <c r="F2718" s="128">
        <v>1204310</v>
      </c>
      <c r="G2718" s="128">
        <v>921023</v>
      </c>
      <c r="H2718" s="128">
        <v>283243</v>
      </c>
      <c r="I2718" s="128">
        <v>16858</v>
      </c>
    </row>
    <row r="2719" spans="1:9" ht="13.5">
      <c r="A2719" s="128">
        <v>2001</v>
      </c>
      <c r="B2719" s="128" t="s">
        <v>139</v>
      </c>
      <c r="C2719" s="128" t="s">
        <v>27</v>
      </c>
      <c r="D2719" s="128" t="s">
        <v>77</v>
      </c>
      <c r="E2719" s="128" t="s">
        <v>132</v>
      </c>
      <c r="F2719" s="128">
        <v>28277</v>
      </c>
      <c r="G2719" s="128">
        <v>18246</v>
      </c>
      <c r="H2719" s="128">
        <v>9519</v>
      </c>
      <c r="I2719" s="128">
        <v>280</v>
      </c>
    </row>
    <row r="2720" spans="1:9" ht="13.5">
      <c r="A2720" s="128">
        <v>2001</v>
      </c>
      <c r="B2720" s="128" t="s">
        <v>139</v>
      </c>
      <c r="C2720" s="128" t="s">
        <v>27</v>
      </c>
      <c r="D2720" s="128" t="s">
        <v>77</v>
      </c>
      <c r="E2720" s="128" t="s">
        <v>133</v>
      </c>
      <c r="F2720" s="128">
        <v>166149</v>
      </c>
      <c r="G2720" s="128">
        <v>90120</v>
      </c>
      <c r="H2720" s="128">
        <v>75962</v>
      </c>
      <c r="I2720" s="128">
        <v>901</v>
      </c>
    </row>
    <row r="2721" spans="1:9" ht="13.5">
      <c r="A2721" s="128">
        <v>2001</v>
      </c>
      <c r="B2721" s="128" t="s">
        <v>139</v>
      </c>
      <c r="C2721" s="128" t="s">
        <v>27</v>
      </c>
      <c r="D2721" s="128" t="s">
        <v>77</v>
      </c>
      <c r="E2721" s="128" t="s">
        <v>134</v>
      </c>
      <c r="F2721" s="128">
        <v>10400</v>
      </c>
      <c r="G2721" s="128">
        <v>4416</v>
      </c>
      <c r="H2721" s="128">
        <v>3229</v>
      </c>
      <c r="I2721" s="128">
        <v>32</v>
      </c>
    </row>
    <row r="2722" spans="1:9" ht="13.5">
      <c r="A2722" s="128">
        <v>2001</v>
      </c>
      <c r="B2722" s="128" t="s">
        <v>139</v>
      </c>
      <c r="C2722" s="128" t="s">
        <v>27</v>
      </c>
      <c r="D2722" s="128" t="s">
        <v>77</v>
      </c>
      <c r="E2722" s="128" t="s">
        <v>135</v>
      </c>
      <c r="F2722" s="128">
        <v>41759</v>
      </c>
      <c r="G2722" s="128">
        <v>11806</v>
      </c>
      <c r="H2722" s="128">
        <v>26714</v>
      </c>
      <c r="I2722" s="128">
        <v>66</v>
      </c>
    </row>
    <row r="2723" spans="1:9" ht="13.5">
      <c r="A2723" s="128">
        <v>2001</v>
      </c>
      <c r="B2723" s="128" t="s">
        <v>139</v>
      </c>
      <c r="C2723" s="128" t="s">
        <v>27</v>
      </c>
      <c r="D2723" s="128" t="s">
        <v>79</v>
      </c>
      <c r="E2723" s="128" t="s">
        <v>132</v>
      </c>
      <c r="F2723" s="128">
        <v>151590</v>
      </c>
      <c r="G2723" s="128">
        <v>104146</v>
      </c>
      <c r="H2723" s="128">
        <v>29204</v>
      </c>
      <c r="I2723" s="128">
        <v>1034</v>
      </c>
    </row>
    <row r="2724" spans="1:9" ht="13.5">
      <c r="A2724" s="128">
        <v>2001</v>
      </c>
      <c r="B2724" s="128" t="s">
        <v>139</v>
      </c>
      <c r="C2724" s="128" t="s">
        <v>27</v>
      </c>
      <c r="D2724" s="128" t="s">
        <v>79</v>
      </c>
      <c r="E2724" s="128" t="s">
        <v>133</v>
      </c>
      <c r="F2724" s="128">
        <v>191675</v>
      </c>
      <c r="G2724" s="128">
        <v>105345</v>
      </c>
      <c r="H2724" s="128">
        <v>29987</v>
      </c>
      <c r="I2724" s="128">
        <v>1549</v>
      </c>
    </row>
    <row r="2725" spans="1:9" ht="13.5">
      <c r="A2725" s="128">
        <v>2001</v>
      </c>
      <c r="B2725" s="128" t="s">
        <v>139</v>
      </c>
      <c r="C2725" s="128" t="s">
        <v>27</v>
      </c>
      <c r="D2725" s="128" t="s">
        <v>79</v>
      </c>
      <c r="E2725" s="128" t="s">
        <v>134</v>
      </c>
      <c r="F2725" s="128">
        <v>317220</v>
      </c>
      <c r="G2725" s="128">
        <v>138939</v>
      </c>
      <c r="H2725" s="128">
        <v>37588</v>
      </c>
      <c r="I2725" s="128">
        <v>1069</v>
      </c>
    </row>
    <row r="2726" spans="1:9" ht="13.5">
      <c r="A2726" s="128">
        <v>2001</v>
      </c>
      <c r="B2726" s="128" t="s">
        <v>139</v>
      </c>
      <c r="C2726" s="128" t="s">
        <v>27</v>
      </c>
      <c r="D2726" s="128" t="s">
        <v>79</v>
      </c>
      <c r="E2726" s="128" t="s">
        <v>135</v>
      </c>
      <c r="F2726" s="128">
        <v>288401</v>
      </c>
      <c r="G2726" s="128">
        <v>91131</v>
      </c>
      <c r="H2726" s="128">
        <v>20935</v>
      </c>
      <c r="I2726" s="128">
        <v>417</v>
      </c>
    </row>
    <row r="2727" spans="1:9" ht="13.5">
      <c r="A2727" s="128">
        <v>2001</v>
      </c>
      <c r="B2727" s="128" t="s">
        <v>139</v>
      </c>
      <c r="C2727" s="128" t="s">
        <v>27</v>
      </c>
      <c r="D2727" s="128" t="s">
        <v>79</v>
      </c>
      <c r="E2727" s="128" t="s">
        <v>136</v>
      </c>
      <c r="F2727" s="128">
        <v>369767</v>
      </c>
      <c r="G2727" s="128">
        <v>283648</v>
      </c>
      <c r="H2727" s="128">
        <v>86120</v>
      </c>
      <c r="I2727" s="128">
        <v>4567</v>
      </c>
    </row>
    <row r="2728" spans="1:9" ht="13.5">
      <c r="A2728" s="128">
        <v>2001</v>
      </c>
      <c r="B2728" s="128" t="s">
        <v>139</v>
      </c>
      <c r="C2728" s="128" t="s">
        <v>27</v>
      </c>
      <c r="D2728" s="128" t="s">
        <v>76</v>
      </c>
      <c r="E2728" s="128" t="s">
        <v>132</v>
      </c>
      <c r="F2728" s="128">
        <v>137189</v>
      </c>
      <c r="G2728" s="128">
        <v>90184</v>
      </c>
      <c r="H2728" s="128">
        <v>47005</v>
      </c>
      <c r="I2728" s="128">
        <v>1227</v>
      </c>
    </row>
    <row r="2729" spans="1:9" ht="13.5">
      <c r="A2729" s="128">
        <v>2001</v>
      </c>
      <c r="B2729" s="128" t="s">
        <v>139</v>
      </c>
      <c r="C2729" s="128" t="s">
        <v>27</v>
      </c>
      <c r="D2729" s="128" t="s">
        <v>76</v>
      </c>
      <c r="E2729" s="128" t="s">
        <v>133</v>
      </c>
      <c r="F2729" s="128">
        <v>289801</v>
      </c>
      <c r="G2729" s="128">
        <v>163464</v>
      </c>
      <c r="H2729" s="128">
        <v>126337</v>
      </c>
      <c r="I2729" s="128">
        <v>1014</v>
      </c>
    </row>
    <row r="2730" spans="1:9" ht="13.5">
      <c r="A2730" s="128">
        <v>2001</v>
      </c>
      <c r="B2730" s="128" t="s">
        <v>139</v>
      </c>
      <c r="C2730" s="128" t="s">
        <v>27</v>
      </c>
      <c r="D2730" s="128" t="s">
        <v>76</v>
      </c>
      <c r="E2730" s="128" t="s">
        <v>134</v>
      </c>
      <c r="F2730" s="128">
        <v>50418</v>
      </c>
      <c r="G2730" s="128">
        <v>23422</v>
      </c>
      <c r="H2730" s="128">
        <v>26996</v>
      </c>
      <c r="I2730" s="128">
        <v>261</v>
      </c>
    </row>
    <row r="2731" spans="1:9" ht="13.5">
      <c r="A2731" s="128">
        <v>2001</v>
      </c>
      <c r="B2731" s="128" t="s">
        <v>139</v>
      </c>
      <c r="C2731" s="128" t="s">
        <v>27</v>
      </c>
      <c r="D2731" s="128" t="s">
        <v>76</v>
      </c>
      <c r="E2731" s="128" t="s">
        <v>135</v>
      </c>
      <c r="F2731" s="128">
        <v>41810</v>
      </c>
      <c r="G2731" s="128">
        <v>12985</v>
      </c>
      <c r="H2731" s="128">
        <v>28825</v>
      </c>
      <c r="I2731" s="128">
        <v>46</v>
      </c>
    </row>
    <row r="2732" spans="1:9" ht="13.5">
      <c r="A2732" s="128">
        <v>2001</v>
      </c>
      <c r="B2732" s="128" t="s">
        <v>139</v>
      </c>
      <c r="C2732" s="128" t="s">
        <v>27</v>
      </c>
      <c r="D2732" s="128" t="s">
        <v>76</v>
      </c>
      <c r="E2732" s="128" t="s">
        <v>136</v>
      </c>
      <c r="F2732" s="128">
        <v>17952</v>
      </c>
      <c r="G2732" s="128">
        <v>14056</v>
      </c>
      <c r="H2732" s="128">
        <v>3896</v>
      </c>
      <c r="I2732" s="128">
        <v>261</v>
      </c>
    </row>
    <row r="2733" spans="1:9" ht="13.5">
      <c r="A2733" s="128">
        <v>2001</v>
      </c>
      <c r="B2733" s="128" t="s">
        <v>139</v>
      </c>
      <c r="C2733" s="128" t="s">
        <v>22</v>
      </c>
      <c r="D2733" s="128" t="s">
        <v>77</v>
      </c>
      <c r="E2733" s="128" t="s">
        <v>132</v>
      </c>
      <c r="F2733" s="128">
        <v>837934</v>
      </c>
      <c r="G2733" s="128">
        <v>548010</v>
      </c>
      <c r="H2733" s="128">
        <v>282298</v>
      </c>
      <c r="I2733" s="128">
        <v>6870</v>
      </c>
    </row>
    <row r="2734" spans="1:9" ht="13.5">
      <c r="A2734" s="128">
        <v>2001</v>
      </c>
      <c r="B2734" s="128" t="s">
        <v>139</v>
      </c>
      <c r="C2734" s="128" t="s">
        <v>22</v>
      </c>
      <c r="D2734" s="128" t="s">
        <v>77</v>
      </c>
      <c r="E2734" s="128" t="s">
        <v>133</v>
      </c>
      <c r="F2734" s="128">
        <v>1527857</v>
      </c>
      <c r="G2734" s="128">
        <v>839696</v>
      </c>
      <c r="H2734" s="128">
        <v>661757</v>
      </c>
      <c r="I2734" s="128">
        <v>7314</v>
      </c>
    </row>
    <row r="2735" spans="1:9" ht="13.5">
      <c r="A2735" s="128">
        <v>2001</v>
      </c>
      <c r="B2735" s="128" t="s">
        <v>139</v>
      </c>
      <c r="C2735" s="128" t="s">
        <v>22</v>
      </c>
      <c r="D2735" s="128" t="s">
        <v>77</v>
      </c>
      <c r="E2735" s="128" t="s">
        <v>134</v>
      </c>
      <c r="F2735" s="128">
        <v>255297</v>
      </c>
      <c r="G2735" s="128">
        <v>114402</v>
      </c>
      <c r="H2735" s="128">
        <v>78336</v>
      </c>
      <c r="I2735" s="128">
        <v>574</v>
      </c>
    </row>
    <row r="2736" spans="1:9" ht="13.5">
      <c r="A2736" s="128">
        <v>2001</v>
      </c>
      <c r="B2736" s="128" t="s">
        <v>139</v>
      </c>
      <c r="C2736" s="128" t="s">
        <v>22</v>
      </c>
      <c r="D2736" s="128" t="s">
        <v>77</v>
      </c>
      <c r="E2736" s="128" t="s">
        <v>135</v>
      </c>
      <c r="F2736" s="128">
        <v>495940</v>
      </c>
      <c r="G2736" s="128">
        <v>136645</v>
      </c>
      <c r="H2736" s="128">
        <v>221930</v>
      </c>
      <c r="I2736" s="128">
        <v>775</v>
      </c>
    </row>
    <row r="2737" spans="1:9" ht="13.5">
      <c r="A2737" s="128">
        <v>2001</v>
      </c>
      <c r="B2737" s="128" t="s">
        <v>139</v>
      </c>
      <c r="C2737" s="128" t="s">
        <v>22</v>
      </c>
      <c r="D2737" s="128" t="s">
        <v>79</v>
      </c>
      <c r="E2737" s="128" t="s">
        <v>132</v>
      </c>
      <c r="F2737" s="128">
        <v>10900262</v>
      </c>
      <c r="G2737" s="128">
        <v>7222612</v>
      </c>
      <c r="H2737" s="128">
        <v>2410452</v>
      </c>
      <c r="I2737" s="128">
        <v>92294</v>
      </c>
    </row>
    <row r="2738" spans="1:9" ht="13.5">
      <c r="A2738" s="128">
        <v>2001</v>
      </c>
      <c r="B2738" s="128" t="s">
        <v>139</v>
      </c>
      <c r="C2738" s="128" t="s">
        <v>22</v>
      </c>
      <c r="D2738" s="128" t="s">
        <v>79</v>
      </c>
      <c r="E2738" s="128" t="s">
        <v>133</v>
      </c>
      <c r="F2738" s="128">
        <v>10644216</v>
      </c>
      <c r="G2738" s="128">
        <v>5796637</v>
      </c>
      <c r="H2738" s="128">
        <v>1931908</v>
      </c>
      <c r="I2738" s="128">
        <v>72415</v>
      </c>
    </row>
    <row r="2739" spans="1:9" ht="13.5">
      <c r="A2739" s="128">
        <v>2001</v>
      </c>
      <c r="B2739" s="128" t="s">
        <v>139</v>
      </c>
      <c r="C2739" s="128" t="s">
        <v>22</v>
      </c>
      <c r="D2739" s="128" t="s">
        <v>79</v>
      </c>
      <c r="E2739" s="128" t="s">
        <v>134</v>
      </c>
      <c r="F2739" s="128">
        <v>12127242</v>
      </c>
      <c r="G2739" s="128">
        <v>5298015</v>
      </c>
      <c r="H2739" s="128">
        <v>1766324</v>
      </c>
      <c r="I2739" s="128">
        <v>46505</v>
      </c>
    </row>
    <row r="2740" spans="1:9" ht="13.5">
      <c r="A2740" s="128">
        <v>2001</v>
      </c>
      <c r="B2740" s="128" t="s">
        <v>139</v>
      </c>
      <c r="C2740" s="128" t="s">
        <v>22</v>
      </c>
      <c r="D2740" s="128" t="s">
        <v>79</v>
      </c>
      <c r="E2740" s="128" t="s">
        <v>135</v>
      </c>
      <c r="F2740" s="128">
        <v>8011264</v>
      </c>
      <c r="G2740" s="128">
        <v>2292438</v>
      </c>
      <c r="H2740" s="128">
        <v>723249</v>
      </c>
      <c r="I2740" s="128">
        <v>13909</v>
      </c>
    </row>
    <row r="2741" spans="1:9" ht="13.5">
      <c r="A2741" s="128">
        <v>2001</v>
      </c>
      <c r="B2741" s="128" t="s">
        <v>139</v>
      </c>
      <c r="C2741" s="128" t="s">
        <v>22</v>
      </c>
      <c r="D2741" s="128" t="s">
        <v>79</v>
      </c>
      <c r="E2741" s="128" t="s">
        <v>136</v>
      </c>
      <c r="F2741" s="128">
        <v>18922948</v>
      </c>
      <c r="G2741" s="128">
        <v>14238921</v>
      </c>
      <c r="H2741" s="128">
        <v>4603674</v>
      </c>
      <c r="I2741" s="128">
        <v>292402</v>
      </c>
    </row>
    <row r="2742" spans="1:9" ht="13.5">
      <c r="A2742" s="128">
        <v>2001</v>
      </c>
      <c r="B2742" s="128" t="s">
        <v>139</v>
      </c>
      <c r="C2742" s="128" t="s">
        <v>22</v>
      </c>
      <c r="D2742" s="128" t="s">
        <v>76</v>
      </c>
      <c r="E2742" s="128" t="s">
        <v>132</v>
      </c>
      <c r="F2742" s="128">
        <v>6318421</v>
      </c>
      <c r="G2742" s="128">
        <v>4158144</v>
      </c>
      <c r="H2742" s="128">
        <v>2160047</v>
      </c>
      <c r="I2742" s="128">
        <v>70247</v>
      </c>
    </row>
    <row r="2743" spans="1:9" ht="13.5">
      <c r="A2743" s="128">
        <v>2001</v>
      </c>
      <c r="B2743" s="128" t="s">
        <v>139</v>
      </c>
      <c r="C2743" s="128" t="s">
        <v>22</v>
      </c>
      <c r="D2743" s="128" t="s">
        <v>76</v>
      </c>
      <c r="E2743" s="128" t="s">
        <v>133</v>
      </c>
      <c r="F2743" s="128">
        <v>7892646</v>
      </c>
      <c r="G2743" s="128">
        <v>4344259</v>
      </c>
      <c r="H2743" s="128">
        <v>3551121</v>
      </c>
      <c r="I2743" s="128">
        <v>41924</v>
      </c>
    </row>
    <row r="2744" spans="1:9" ht="13.5">
      <c r="A2744" s="128">
        <v>2001</v>
      </c>
      <c r="B2744" s="128" t="s">
        <v>139</v>
      </c>
      <c r="C2744" s="128" t="s">
        <v>22</v>
      </c>
      <c r="D2744" s="128" t="s">
        <v>76</v>
      </c>
      <c r="E2744" s="128" t="s">
        <v>134</v>
      </c>
      <c r="F2744" s="128">
        <v>167490</v>
      </c>
      <c r="G2744" s="128">
        <v>77003</v>
      </c>
      <c r="H2744" s="128">
        <v>90487</v>
      </c>
      <c r="I2744" s="128">
        <v>899</v>
      </c>
    </row>
    <row r="2745" spans="1:9" ht="13.5">
      <c r="A2745" s="128">
        <v>2001</v>
      </c>
      <c r="B2745" s="128" t="s">
        <v>139</v>
      </c>
      <c r="C2745" s="128" t="s">
        <v>22</v>
      </c>
      <c r="D2745" s="128" t="s">
        <v>76</v>
      </c>
      <c r="E2745" s="128" t="s">
        <v>135</v>
      </c>
      <c r="F2745" s="128">
        <v>1549077</v>
      </c>
      <c r="G2745" s="128">
        <v>532122</v>
      </c>
      <c r="H2745" s="128">
        <v>1016036</v>
      </c>
      <c r="I2745" s="128">
        <v>5834</v>
      </c>
    </row>
    <row r="2746" spans="1:9" ht="13.5">
      <c r="A2746" s="128">
        <v>2001</v>
      </c>
      <c r="B2746" s="128" t="s">
        <v>139</v>
      </c>
      <c r="C2746" s="128" t="s">
        <v>22</v>
      </c>
      <c r="D2746" s="128" t="s">
        <v>76</v>
      </c>
      <c r="E2746" s="128" t="s">
        <v>136</v>
      </c>
      <c r="F2746" s="128">
        <v>371148</v>
      </c>
      <c r="G2746" s="128">
        <v>292157</v>
      </c>
      <c r="H2746" s="128">
        <v>78769</v>
      </c>
      <c r="I2746" s="128">
        <v>7053</v>
      </c>
    </row>
    <row r="2747" spans="1:9" ht="13.5">
      <c r="A2747" s="128">
        <v>2001</v>
      </c>
      <c r="B2747" s="128" t="s">
        <v>139</v>
      </c>
      <c r="C2747" s="128" t="s">
        <v>23</v>
      </c>
      <c r="D2747" s="128" t="s">
        <v>77</v>
      </c>
      <c r="E2747" s="128" t="s">
        <v>132</v>
      </c>
      <c r="F2747" s="128">
        <v>466947</v>
      </c>
      <c r="G2747" s="128">
        <v>313171</v>
      </c>
      <c r="H2747" s="128">
        <v>147327</v>
      </c>
      <c r="I2747" s="128">
        <v>4231</v>
      </c>
    </row>
    <row r="2748" spans="1:9" ht="13.5">
      <c r="A2748" s="128">
        <v>2001</v>
      </c>
      <c r="B2748" s="128" t="s">
        <v>139</v>
      </c>
      <c r="C2748" s="128" t="s">
        <v>23</v>
      </c>
      <c r="D2748" s="128" t="s">
        <v>77</v>
      </c>
      <c r="E2748" s="128" t="s">
        <v>133</v>
      </c>
      <c r="F2748" s="128">
        <v>1516786</v>
      </c>
      <c r="G2748" s="128">
        <v>815805</v>
      </c>
      <c r="H2748" s="128">
        <v>652749</v>
      </c>
      <c r="I2748" s="128">
        <v>7512</v>
      </c>
    </row>
    <row r="2749" spans="1:9" ht="13.5">
      <c r="A2749" s="128">
        <v>2001</v>
      </c>
      <c r="B2749" s="128" t="s">
        <v>139</v>
      </c>
      <c r="C2749" s="128" t="s">
        <v>23</v>
      </c>
      <c r="D2749" s="128" t="s">
        <v>77</v>
      </c>
      <c r="E2749" s="128" t="s">
        <v>134</v>
      </c>
      <c r="F2749" s="128">
        <v>58493</v>
      </c>
      <c r="G2749" s="128">
        <v>25411</v>
      </c>
      <c r="H2749" s="128">
        <v>18052</v>
      </c>
      <c r="I2749" s="128">
        <v>182</v>
      </c>
    </row>
    <row r="2750" spans="1:9" ht="13.5">
      <c r="A2750" s="128">
        <v>2001</v>
      </c>
      <c r="B2750" s="128" t="s">
        <v>139</v>
      </c>
      <c r="C2750" s="128" t="s">
        <v>23</v>
      </c>
      <c r="D2750" s="128" t="s">
        <v>77</v>
      </c>
      <c r="E2750" s="128" t="s">
        <v>135</v>
      </c>
      <c r="F2750" s="128">
        <v>204332</v>
      </c>
      <c r="G2750" s="128">
        <v>57448</v>
      </c>
      <c r="H2750" s="128">
        <v>82428</v>
      </c>
      <c r="I2750" s="128">
        <v>395</v>
      </c>
    </row>
    <row r="2751" spans="1:9" ht="13.5">
      <c r="A2751" s="128">
        <v>2001</v>
      </c>
      <c r="B2751" s="128" t="s">
        <v>139</v>
      </c>
      <c r="C2751" s="128" t="s">
        <v>23</v>
      </c>
      <c r="D2751" s="128" t="s">
        <v>79</v>
      </c>
      <c r="E2751" s="128" t="s">
        <v>132</v>
      </c>
      <c r="F2751" s="128">
        <v>2042930</v>
      </c>
      <c r="G2751" s="128">
        <v>1383508</v>
      </c>
      <c r="H2751" s="128">
        <v>542502</v>
      </c>
      <c r="I2751" s="128">
        <v>23006</v>
      </c>
    </row>
    <row r="2752" spans="1:9" ht="13.5">
      <c r="A2752" s="128">
        <v>2001</v>
      </c>
      <c r="B2752" s="128" t="s">
        <v>139</v>
      </c>
      <c r="C2752" s="128" t="s">
        <v>23</v>
      </c>
      <c r="D2752" s="128" t="s">
        <v>79</v>
      </c>
      <c r="E2752" s="128" t="s">
        <v>133</v>
      </c>
      <c r="F2752" s="128">
        <v>984450</v>
      </c>
      <c r="G2752" s="128">
        <v>540351</v>
      </c>
      <c r="H2752" s="128">
        <v>180877</v>
      </c>
      <c r="I2752" s="128">
        <v>5778</v>
      </c>
    </row>
    <row r="2753" spans="1:9" ht="13.5">
      <c r="A2753" s="128">
        <v>2001</v>
      </c>
      <c r="B2753" s="128" t="s">
        <v>139</v>
      </c>
      <c r="C2753" s="128" t="s">
        <v>23</v>
      </c>
      <c r="D2753" s="128" t="s">
        <v>79</v>
      </c>
      <c r="E2753" s="128" t="s">
        <v>134</v>
      </c>
      <c r="F2753" s="128">
        <v>1651464</v>
      </c>
      <c r="G2753" s="128">
        <v>727511</v>
      </c>
      <c r="H2753" s="128">
        <v>241661</v>
      </c>
      <c r="I2753" s="128">
        <v>8818</v>
      </c>
    </row>
    <row r="2754" spans="1:9" ht="13.5">
      <c r="A2754" s="128">
        <v>2001</v>
      </c>
      <c r="B2754" s="128" t="s">
        <v>139</v>
      </c>
      <c r="C2754" s="128" t="s">
        <v>23</v>
      </c>
      <c r="D2754" s="128" t="s">
        <v>79</v>
      </c>
      <c r="E2754" s="128" t="s">
        <v>135</v>
      </c>
      <c r="F2754" s="128">
        <v>1246838</v>
      </c>
      <c r="G2754" s="128">
        <v>159153</v>
      </c>
      <c r="H2754" s="128">
        <v>49585</v>
      </c>
      <c r="I2754" s="128">
        <v>1359</v>
      </c>
    </row>
    <row r="2755" spans="1:9" ht="13.5">
      <c r="A2755" s="128">
        <v>2001</v>
      </c>
      <c r="B2755" s="128" t="s">
        <v>139</v>
      </c>
      <c r="C2755" s="128" t="s">
        <v>23</v>
      </c>
      <c r="D2755" s="128" t="s">
        <v>79</v>
      </c>
      <c r="E2755" s="128" t="s">
        <v>136</v>
      </c>
      <c r="F2755" s="128">
        <v>4613106</v>
      </c>
      <c r="G2755" s="128">
        <v>3382284</v>
      </c>
      <c r="H2755" s="128">
        <v>1150795</v>
      </c>
      <c r="I2755" s="128">
        <v>80303</v>
      </c>
    </row>
    <row r="2756" spans="1:9" ht="13.5">
      <c r="A2756" s="128">
        <v>2001</v>
      </c>
      <c r="B2756" s="128" t="s">
        <v>139</v>
      </c>
      <c r="C2756" s="128" t="s">
        <v>23</v>
      </c>
      <c r="D2756" s="128" t="s">
        <v>76</v>
      </c>
      <c r="E2756" s="128" t="s">
        <v>132</v>
      </c>
      <c r="F2756" s="128">
        <v>7714694</v>
      </c>
      <c r="G2756" s="128">
        <v>5051168</v>
      </c>
      <c r="H2756" s="128">
        <v>2662455</v>
      </c>
      <c r="I2756" s="128">
        <v>95335</v>
      </c>
    </row>
    <row r="2757" spans="1:9" ht="13.5">
      <c r="A2757" s="128">
        <v>2001</v>
      </c>
      <c r="B2757" s="128" t="s">
        <v>139</v>
      </c>
      <c r="C2757" s="128" t="s">
        <v>23</v>
      </c>
      <c r="D2757" s="128" t="s">
        <v>76</v>
      </c>
      <c r="E2757" s="128" t="s">
        <v>133</v>
      </c>
      <c r="F2757" s="128">
        <v>15228065</v>
      </c>
      <c r="G2757" s="128">
        <v>8383593</v>
      </c>
      <c r="H2757" s="128">
        <v>6844161</v>
      </c>
      <c r="I2757" s="128">
        <v>72255</v>
      </c>
    </row>
    <row r="2758" spans="1:9" ht="13.5">
      <c r="A2758" s="128">
        <v>2001</v>
      </c>
      <c r="B2758" s="128" t="s">
        <v>139</v>
      </c>
      <c r="C2758" s="128" t="s">
        <v>23</v>
      </c>
      <c r="D2758" s="128" t="s">
        <v>76</v>
      </c>
      <c r="E2758" s="128" t="s">
        <v>134</v>
      </c>
      <c r="F2758" s="128">
        <v>139752</v>
      </c>
      <c r="G2758" s="128">
        <v>66403</v>
      </c>
      <c r="H2758" s="128">
        <v>69470</v>
      </c>
      <c r="I2758" s="128">
        <v>757</v>
      </c>
    </row>
    <row r="2759" spans="1:9" ht="13.5">
      <c r="A2759" s="128">
        <v>2001</v>
      </c>
      <c r="B2759" s="128" t="s">
        <v>139</v>
      </c>
      <c r="C2759" s="128" t="s">
        <v>23</v>
      </c>
      <c r="D2759" s="128" t="s">
        <v>76</v>
      </c>
      <c r="E2759" s="128" t="s">
        <v>135</v>
      </c>
      <c r="F2759" s="128">
        <v>735404</v>
      </c>
      <c r="G2759" s="128">
        <v>234956</v>
      </c>
      <c r="H2759" s="128">
        <v>496389</v>
      </c>
      <c r="I2759" s="128">
        <v>1222</v>
      </c>
    </row>
    <row r="2760" spans="1:9" ht="13.5">
      <c r="A2760" s="128">
        <v>2001</v>
      </c>
      <c r="B2760" s="128" t="s">
        <v>139</v>
      </c>
      <c r="C2760" s="128" t="s">
        <v>23</v>
      </c>
      <c r="D2760" s="128" t="s">
        <v>76</v>
      </c>
      <c r="E2760" s="128" t="s">
        <v>136</v>
      </c>
      <c r="F2760" s="128">
        <v>820793</v>
      </c>
      <c r="G2760" s="128">
        <v>589141</v>
      </c>
      <c r="H2760" s="128">
        <v>235840</v>
      </c>
      <c r="I2760" s="128">
        <v>8381</v>
      </c>
    </row>
    <row r="2761" spans="1:9" ht="13.5">
      <c r="A2761" s="128">
        <v>2001</v>
      </c>
      <c r="B2761" s="128" t="s">
        <v>139</v>
      </c>
      <c r="C2761" s="128" t="s">
        <v>25</v>
      </c>
      <c r="D2761" s="128" t="s">
        <v>77</v>
      </c>
      <c r="E2761" s="128" t="s">
        <v>132</v>
      </c>
      <c r="F2761" s="128">
        <v>36565</v>
      </c>
      <c r="G2761" s="128">
        <v>24268</v>
      </c>
      <c r="H2761" s="128">
        <v>11766</v>
      </c>
      <c r="I2761" s="128">
        <v>313</v>
      </c>
    </row>
    <row r="2762" spans="1:9" ht="13.5">
      <c r="A2762" s="128">
        <v>2001</v>
      </c>
      <c r="B2762" s="128" t="s">
        <v>139</v>
      </c>
      <c r="C2762" s="128" t="s">
        <v>25</v>
      </c>
      <c r="D2762" s="128" t="s">
        <v>77</v>
      </c>
      <c r="E2762" s="128" t="s">
        <v>133</v>
      </c>
      <c r="F2762" s="128">
        <v>58037</v>
      </c>
      <c r="G2762" s="128">
        <v>31286</v>
      </c>
      <c r="H2762" s="128">
        <v>24866</v>
      </c>
      <c r="I2762" s="128">
        <v>310</v>
      </c>
    </row>
    <row r="2763" spans="1:9" ht="13.5">
      <c r="A2763" s="128">
        <v>2001</v>
      </c>
      <c r="B2763" s="128" t="s">
        <v>139</v>
      </c>
      <c r="C2763" s="128" t="s">
        <v>25</v>
      </c>
      <c r="D2763" s="128" t="s">
        <v>77</v>
      </c>
      <c r="E2763" s="128" t="s">
        <v>134</v>
      </c>
      <c r="F2763" s="128">
        <v>9703</v>
      </c>
      <c r="G2763" s="128">
        <v>4416</v>
      </c>
      <c r="H2763" s="128">
        <v>3279</v>
      </c>
      <c r="I2763" s="128">
        <v>25</v>
      </c>
    </row>
    <row r="2764" spans="1:9" ht="13.5">
      <c r="A2764" s="128">
        <v>2001</v>
      </c>
      <c r="B2764" s="128" t="s">
        <v>139</v>
      </c>
      <c r="C2764" s="128" t="s">
        <v>25</v>
      </c>
      <c r="D2764" s="128" t="s">
        <v>77</v>
      </c>
      <c r="E2764" s="128" t="s">
        <v>135</v>
      </c>
      <c r="F2764" s="128">
        <v>29025</v>
      </c>
      <c r="G2764" s="128">
        <v>8554</v>
      </c>
      <c r="H2764" s="128">
        <v>15738</v>
      </c>
      <c r="I2764" s="128">
        <v>50</v>
      </c>
    </row>
    <row r="2765" spans="1:9" ht="13.5">
      <c r="A2765" s="128">
        <v>2001</v>
      </c>
      <c r="B2765" s="128" t="s">
        <v>139</v>
      </c>
      <c r="C2765" s="128" t="s">
        <v>25</v>
      </c>
      <c r="D2765" s="128" t="s">
        <v>79</v>
      </c>
      <c r="E2765" s="128" t="s">
        <v>132</v>
      </c>
      <c r="F2765" s="128">
        <v>1361596</v>
      </c>
      <c r="G2765" s="128">
        <v>906768</v>
      </c>
      <c r="H2765" s="128">
        <v>302252</v>
      </c>
      <c r="I2765" s="128">
        <v>9547</v>
      </c>
    </row>
    <row r="2766" spans="1:9" ht="13.5">
      <c r="A2766" s="128">
        <v>2001</v>
      </c>
      <c r="B2766" s="128" t="s">
        <v>139</v>
      </c>
      <c r="C2766" s="128" t="s">
        <v>25</v>
      </c>
      <c r="D2766" s="128" t="s">
        <v>79</v>
      </c>
      <c r="E2766" s="128" t="s">
        <v>133</v>
      </c>
      <c r="F2766" s="128">
        <v>895963</v>
      </c>
      <c r="G2766" s="128">
        <v>489267</v>
      </c>
      <c r="H2766" s="128">
        <v>165251</v>
      </c>
      <c r="I2766" s="128">
        <v>6577</v>
      </c>
    </row>
    <row r="2767" spans="1:9" ht="13.5">
      <c r="A2767" s="128">
        <v>2001</v>
      </c>
      <c r="B2767" s="128" t="s">
        <v>139</v>
      </c>
      <c r="C2767" s="128" t="s">
        <v>25</v>
      </c>
      <c r="D2767" s="128" t="s">
        <v>79</v>
      </c>
      <c r="E2767" s="128" t="s">
        <v>134</v>
      </c>
      <c r="F2767" s="128">
        <v>807764</v>
      </c>
      <c r="G2767" s="128">
        <v>353165</v>
      </c>
      <c r="H2767" s="128">
        <v>118204</v>
      </c>
      <c r="I2767" s="128">
        <v>3884</v>
      </c>
    </row>
    <row r="2768" spans="1:9" ht="13.5">
      <c r="A2768" s="128">
        <v>2001</v>
      </c>
      <c r="B2768" s="128" t="s">
        <v>139</v>
      </c>
      <c r="C2768" s="128" t="s">
        <v>25</v>
      </c>
      <c r="D2768" s="128" t="s">
        <v>79</v>
      </c>
      <c r="E2768" s="128" t="s">
        <v>135</v>
      </c>
      <c r="F2768" s="128">
        <v>1571160</v>
      </c>
      <c r="G2768" s="128">
        <v>437808</v>
      </c>
      <c r="H2768" s="128">
        <v>143875</v>
      </c>
      <c r="I2768" s="128">
        <v>3673</v>
      </c>
    </row>
    <row r="2769" spans="1:9" ht="13.5">
      <c r="A2769" s="128">
        <v>2001</v>
      </c>
      <c r="B2769" s="128" t="s">
        <v>139</v>
      </c>
      <c r="C2769" s="128" t="s">
        <v>25</v>
      </c>
      <c r="D2769" s="128" t="s">
        <v>79</v>
      </c>
      <c r="E2769" s="128" t="s">
        <v>136</v>
      </c>
      <c r="F2769" s="128">
        <v>2323224</v>
      </c>
      <c r="G2769" s="128">
        <v>1748724</v>
      </c>
      <c r="H2769" s="128">
        <v>572199</v>
      </c>
      <c r="I2769" s="128">
        <v>35208</v>
      </c>
    </row>
    <row r="2770" spans="1:9" ht="13.5">
      <c r="A2770" s="128">
        <v>2001</v>
      </c>
      <c r="B2770" s="128" t="s">
        <v>139</v>
      </c>
      <c r="C2770" s="128" t="s">
        <v>25</v>
      </c>
      <c r="D2770" s="128" t="s">
        <v>76</v>
      </c>
      <c r="E2770" s="128" t="s">
        <v>132</v>
      </c>
      <c r="F2770" s="128">
        <v>869499</v>
      </c>
      <c r="G2770" s="128">
        <v>582739</v>
      </c>
      <c r="H2770" s="128">
        <v>286436</v>
      </c>
      <c r="I2770" s="128">
        <v>7695</v>
      </c>
    </row>
    <row r="2771" spans="1:9" ht="13.5">
      <c r="A2771" s="128">
        <v>2001</v>
      </c>
      <c r="B2771" s="128" t="s">
        <v>139</v>
      </c>
      <c r="C2771" s="128" t="s">
        <v>25</v>
      </c>
      <c r="D2771" s="128" t="s">
        <v>76</v>
      </c>
      <c r="E2771" s="128" t="s">
        <v>133</v>
      </c>
      <c r="F2771" s="128">
        <v>641345</v>
      </c>
      <c r="G2771" s="128">
        <v>358590</v>
      </c>
      <c r="H2771" s="128">
        <v>281073</v>
      </c>
      <c r="I2771" s="128">
        <v>2476</v>
      </c>
    </row>
    <row r="2772" spans="1:9" ht="13.5">
      <c r="A2772" s="128">
        <v>2001</v>
      </c>
      <c r="B2772" s="128" t="s">
        <v>139</v>
      </c>
      <c r="C2772" s="128" t="s">
        <v>25</v>
      </c>
      <c r="D2772" s="128" t="s">
        <v>76</v>
      </c>
      <c r="E2772" s="128" t="s">
        <v>134</v>
      </c>
      <c r="F2772" s="128">
        <v>130803</v>
      </c>
      <c r="G2772" s="128">
        <v>61494</v>
      </c>
      <c r="H2772" s="128">
        <v>68563</v>
      </c>
      <c r="I2772" s="128">
        <v>195</v>
      </c>
    </row>
    <row r="2773" spans="1:9" ht="13.5">
      <c r="A2773" s="128">
        <v>2001</v>
      </c>
      <c r="B2773" s="128" t="s">
        <v>139</v>
      </c>
      <c r="C2773" s="128" t="s">
        <v>25</v>
      </c>
      <c r="D2773" s="128" t="s">
        <v>76</v>
      </c>
      <c r="E2773" s="128" t="s">
        <v>135</v>
      </c>
      <c r="F2773" s="128">
        <v>190554</v>
      </c>
      <c r="G2773" s="128">
        <v>58712</v>
      </c>
      <c r="H2773" s="128">
        <v>129673</v>
      </c>
      <c r="I2773" s="128">
        <v>255</v>
      </c>
    </row>
    <row r="2774" spans="1:9" ht="13.5">
      <c r="A2774" s="128">
        <v>2001</v>
      </c>
      <c r="B2774" s="128" t="s">
        <v>139</v>
      </c>
      <c r="C2774" s="128" t="s">
        <v>25</v>
      </c>
      <c r="D2774" s="128" t="s">
        <v>76</v>
      </c>
      <c r="E2774" s="128" t="s">
        <v>136</v>
      </c>
      <c r="F2774" s="128">
        <v>80651</v>
      </c>
      <c r="G2774" s="128">
        <v>60592</v>
      </c>
      <c r="H2774" s="128">
        <v>19950</v>
      </c>
      <c r="I2774" s="128">
        <v>974</v>
      </c>
    </row>
    <row r="2775" spans="1:9" ht="13.5">
      <c r="A2775" s="128">
        <v>2001</v>
      </c>
      <c r="B2775" s="128" t="s">
        <v>139</v>
      </c>
      <c r="C2775" s="128" t="s">
        <v>21</v>
      </c>
      <c r="D2775" s="128" t="s">
        <v>77</v>
      </c>
      <c r="E2775" s="128" t="s">
        <v>132</v>
      </c>
      <c r="F2775" s="128">
        <v>3060784</v>
      </c>
      <c r="G2775" s="128">
        <v>1772448</v>
      </c>
      <c r="H2775" s="128">
        <v>1031248</v>
      </c>
      <c r="I2775" s="128">
        <v>22630</v>
      </c>
    </row>
    <row r="2776" spans="1:9" ht="13.5">
      <c r="A2776" s="128">
        <v>2001</v>
      </c>
      <c r="B2776" s="128" t="s">
        <v>139</v>
      </c>
      <c r="C2776" s="128" t="s">
        <v>21</v>
      </c>
      <c r="D2776" s="128" t="s">
        <v>77</v>
      </c>
      <c r="E2776" s="128" t="s">
        <v>133</v>
      </c>
      <c r="F2776" s="128">
        <v>4231082</v>
      </c>
      <c r="G2776" s="128">
        <v>2512516</v>
      </c>
      <c r="H2776" s="128">
        <v>1759412</v>
      </c>
      <c r="I2776" s="128">
        <v>19910</v>
      </c>
    </row>
    <row r="2777" spans="1:9" ht="13.5">
      <c r="A2777" s="128">
        <v>2001</v>
      </c>
      <c r="B2777" s="128" t="s">
        <v>139</v>
      </c>
      <c r="C2777" s="128" t="s">
        <v>21</v>
      </c>
      <c r="D2777" s="128" t="s">
        <v>77</v>
      </c>
      <c r="E2777" s="128" t="s">
        <v>134</v>
      </c>
      <c r="F2777" s="128">
        <v>1537002</v>
      </c>
      <c r="G2777" s="128">
        <v>672790</v>
      </c>
      <c r="H2777" s="128">
        <v>604896</v>
      </c>
      <c r="I2777" s="128">
        <v>15607</v>
      </c>
    </row>
    <row r="2778" spans="1:9" ht="13.5">
      <c r="A2778" s="128">
        <v>2001</v>
      </c>
      <c r="B2778" s="128" t="s">
        <v>139</v>
      </c>
      <c r="C2778" s="128" t="s">
        <v>21</v>
      </c>
      <c r="D2778" s="128" t="s">
        <v>77</v>
      </c>
      <c r="E2778" s="128" t="s">
        <v>135</v>
      </c>
      <c r="F2778" s="128">
        <v>1087971</v>
      </c>
      <c r="G2778" s="128">
        <v>341351</v>
      </c>
      <c r="H2778" s="128">
        <v>440371</v>
      </c>
      <c r="I2778" s="128">
        <v>2784</v>
      </c>
    </row>
    <row r="2779" spans="1:9" ht="13.5">
      <c r="A2779" s="128">
        <v>2001</v>
      </c>
      <c r="B2779" s="128" t="s">
        <v>139</v>
      </c>
      <c r="C2779" s="128" t="s">
        <v>21</v>
      </c>
      <c r="D2779" s="128" t="s">
        <v>79</v>
      </c>
      <c r="E2779" s="128" t="s">
        <v>132</v>
      </c>
      <c r="F2779" s="128">
        <v>9738098</v>
      </c>
      <c r="G2779" s="128">
        <v>6535108</v>
      </c>
      <c r="H2779" s="128">
        <v>2181098</v>
      </c>
      <c r="I2779" s="128">
        <v>79487</v>
      </c>
    </row>
    <row r="2780" spans="1:9" ht="13.5">
      <c r="A2780" s="128">
        <v>2001</v>
      </c>
      <c r="B2780" s="128" t="s">
        <v>139</v>
      </c>
      <c r="C2780" s="128" t="s">
        <v>21</v>
      </c>
      <c r="D2780" s="128" t="s">
        <v>79</v>
      </c>
      <c r="E2780" s="128" t="s">
        <v>133</v>
      </c>
      <c r="F2780" s="128">
        <v>8384081</v>
      </c>
      <c r="G2780" s="128">
        <v>4547566</v>
      </c>
      <c r="H2780" s="128">
        <v>1521110</v>
      </c>
      <c r="I2780" s="128">
        <v>51282</v>
      </c>
    </row>
    <row r="2781" spans="1:9" ht="13.5">
      <c r="A2781" s="128">
        <v>2001</v>
      </c>
      <c r="B2781" s="128" t="s">
        <v>139</v>
      </c>
      <c r="C2781" s="128" t="s">
        <v>21</v>
      </c>
      <c r="D2781" s="128" t="s">
        <v>79</v>
      </c>
      <c r="E2781" s="128" t="s">
        <v>134</v>
      </c>
      <c r="F2781" s="128">
        <v>9760789</v>
      </c>
      <c r="G2781" s="128">
        <v>4268292</v>
      </c>
      <c r="H2781" s="128">
        <v>1427789</v>
      </c>
      <c r="I2781" s="128">
        <v>40245</v>
      </c>
    </row>
    <row r="2782" spans="1:9" ht="13.5">
      <c r="A2782" s="128">
        <v>2001</v>
      </c>
      <c r="B2782" s="128" t="s">
        <v>139</v>
      </c>
      <c r="C2782" s="128" t="s">
        <v>21</v>
      </c>
      <c r="D2782" s="128" t="s">
        <v>79</v>
      </c>
      <c r="E2782" s="128" t="s">
        <v>135</v>
      </c>
      <c r="F2782" s="128">
        <v>5669500</v>
      </c>
      <c r="G2782" s="128">
        <v>1534124</v>
      </c>
      <c r="H2782" s="128">
        <v>524612</v>
      </c>
      <c r="I2782" s="128">
        <v>12820</v>
      </c>
    </row>
    <row r="2783" spans="1:9" ht="13.5">
      <c r="A2783" s="128">
        <v>2001</v>
      </c>
      <c r="B2783" s="128" t="s">
        <v>139</v>
      </c>
      <c r="C2783" s="128" t="s">
        <v>21</v>
      </c>
      <c r="D2783" s="128" t="s">
        <v>79</v>
      </c>
      <c r="E2783" s="128" t="s">
        <v>136</v>
      </c>
      <c r="F2783" s="128">
        <v>18785994</v>
      </c>
      <c r="G2783" s="128">
        <v>14122560</v>
      </c>
      <c r="H2783" s="128">
        <v>4664763</v>
      </c>
      <c r="I2783" s="128">
        <v>270208</v>
      </c>
    </row>
    <row r="2784" spans="1:9" ht="13.5">
      <c r="A2784" s="128">
        <v>2001</v>
      </c>
      <c r="B2784" s="128" t="s">
        <v>139</v>
      </c>
      <c r="C2784" s="128" t="s">
        <v>21</v>
      </c>
      <c r="D2784" s="128" t="s">
        <v>76</v>
      </c>
      <c r="E2784" s="128" t="s">
        <v>132</v>
      </c>
      <c r="F2784" s="128">
        <v>13821236</v>
      </c>
      <c r="G2784" s="128">
        <v>8995010</v>
      </c>
      <c r="H2784" s="128">
        <v>4826226</v>
      </c>
      <c r="I2784" s="128">
        <v>149426</v>
      </c>
    </row>
    <row r="2785" spans="1:9" ht="13.5">
      <c r="A2785" s="128">
        <v>2001</v>
      </c>
      <c r="B2785" s="128" t="s">
        <v>139</v>
      </c>
      <c r="C2785" s="128" t="s">
        <v>21</v>
      </c>
      <c r="D2785" s="128" t="s">
        <v>76</v>
      </c>
      <c r="E2785" s="128" t="s">
        <v>133</v>
      </c>
      <c r="F2785" s="128">
        <v>17961594</v>
      </c>
      <c r="G2785" s="128">
        <v>9881812</v>
      </c>
      <c r="H2785" s="128">
        <v>8079783</v>
      </c>
      <c r="I2785" s="128">
        <v>104431</v>
      </c>
    </row>
    <row r="2786" spans="1:9" ht="13.5">
      <c r="A2786" s="128">
        <v>2001</v>
      </c>
      <c r="B2786" s="128" t="s">
        <v>139</v>
      </c>
      <c r="C2786" s="128" t="s">
        <v>21</v>
      </c>
      <c r="D2786" s="128" t="s">
        <v>76</v>
      </c>
      <c r="E2786" s="128" t="s">
        <v>134</v>
      </c>
      <c r="F2786" s="128">
        <v>2690154</v>
      </c>
      <c r="G2786" s="128">
        <v>1237546</v>
      </c>
      <c r="H2786" s="128">
        <v>1452609</v>
      </c>
      <c r="I2786" s="128">
        <v>12322</v>
      </c>
    </row>
    <row r="2787" spans="1:9" ht="13.5">
      <c r="A2787" s="128">
        <v>2001</v>
      </c>
      <c r="B2787" s="128" t="s">
        <v>139</v>
      </c>
      <c r="C2787" s="128" t="s">
        <v>21</v>
      </c>
      <c r="D2787" s="128" t="s">
        <v>76</v>
      </c>
      <c r="E2787" s="128" t="s">
        <v>135</v>
      </c>
      <c r="F2787" s="128">
        <v>1347536</v>
      </c>
      <c r="G2787" s="128">
        <v>424583</v>
      </c>
      <c r="H2787" s="128">
        <v>922954</v>
      </c>
      <c r="I2787" s="128">
        <v>2422</v>
      </c>
    </row>
    <row r="2788" spans="1:9" ht="13.5">
      <c r="A2788" s="128">
        <v>2001</v>
      </c>
      <c r="B2788" s="128" t="s">
        <v>139</v>
      </c>
      <c r="C2788" s="128" t="s">
        <v>21</v>
      </c>
      <c r="D2788" s="128" t="s">
        <v>76</v>
      </c>
      <c r="E2788" s="128" t="s">
        <v>136</v>
      </c>
      <c r="F2788" s="128">
        <v>2109086</v>
      </c>
      <c r="G2788" s="128">
        <v>1633941</v>
      </c>
      <c r="H2788" s="128">
        <v>475144</v>
      </c>
      <c r="I2788" s="128">
        <v>29612</v>
      </c>
    </row>
    <row r="2789" spans="1:9" ht="13.5">
      <c r="A2789" s="128">
        <v>2001</v>
      </c>
      <c r="B2789" s="128" t="s">
        <v>139</v>
      </c>
      <c r="C2789" s="128" t="s">
        <v>24</v>
      </c>
      <c r="D2789" s="128" t="s">
        <v>77</v>
      </c>
      <c r="E2789" s="128" t="s">
        <v>132</v>
      </c>
      <c r="F2789" s="128">
        <v>241593</v>
      </c>
      <c r="G2789" s="128">
        <v>160183</v>
      </c>
      <c r="H2789" s="128">
        <v>76472</v>
      </c>
      <c r="I2789" s="128">
        <v>1568</v>
      </c>
    </row>
    <row r="2790" spans="1:9" ht="13.5">
      <c r="A2790" s="128">
        <v>2001</v>
      </c>
      <c r="B2790" s="128" t="s">
        <v>139</v>
      </c>
      <c r="C2790" s="128" t="s">
        <v>24</v>
      </c>
      <c r="D2790" s="128" t="s">
        <v>77</v>
      </c>
      <c r="E2790" s="128" t="s">
        <v>133</v>
      </c>
      <c r="F2790" s="128">
        <v>530405</v>
      </c>
      <c r="G2790" s="128">
        <v>289107</v>
      </c>
      <c r="H2790" s="128">
        <v>219690</v>
      </c>
      <c r="I2790" s="128">
        <v>1900</v>
      </c>
    </row>
    <row r="2791" spans="1:9" ht="13.5">
      <c r="A2791" s="128">
        <v>2001</v>
      </c>
      <c r="B2791" s="128" t="s">
        <v>139</v>
      </c>
      <c r="C2791" s="128" t="s">
        <v>24</v>
      </c>
      <c r="D2791" s="128" t="s">
        <v>77</v>
      </c>
      <c r="E2791" s="128" t="s">
        <v>134</v>
      </c>
      <c r="F2791" s="128">
        <v>351197</v>
      </c>
      <c r="G2791" s="128">
        <v>156270</v>
      </c>
      <c r="H2791" s="128">
        <v>120986</v>
      </c>
      <c r="I2791" s="128">
        <v>1092</v>
      </c>
    </row>
    <row r="2792" spans="1:9" ht="13.5">
      <c r="A2792" s="128">
        <v>2001</v>
      </c>
      <c r="B2792" s="128" t="s">
        <v>139</v>
      </c>
      <c r="C2792" s="128" t="s">
        <v>24</v>
      </c>
      <c r="D2792" s="128" t="s">
        <v>77</v>
      </c>
      <c r="E2792" s="128" t="s">
        <v>135</v>
      </c>
      <c r="F2792" s="128">
        <v>280772</v>
      </c>
      <c r="G2792" s="128">
        <v>79932</v>
      </c>
      <c r="H2792" s="128">
        <v>125954</v>
      </c>
      <c r="I2792" s="128">
        <v>527</v>
      </c>
    </row>
    <row r="2793" spans="1:9" ht="13.5">
      <c r="A2793" s="128">
        <v>2001</v>
      </c>
      <c r="B2793" s="128" t="s">
        <v>139</v>
      </c>
      <c r="C2793" s="128" t="s">
        <v>24</v>
      </c>
      <c r="D2793" s="128" t="s">
        <v>79</v>
      </c>
      <c r="E2793" s="128" t="s">
        <v>132</v>
      </c>
      <c r="F2793" s="128">
        <v>2666365</v>
      </c>
      <c r="G2793" s="128">
        <v>1770095</v>
      </c>
      <c r="H2793" s="128">
        <v>597994</v>
      </c>
      <c r="I2793" s="128">
        <v>23225</v>
      </c>
    </row>
    <row r="2794" spans="1:9" ht="13.5">
      <c r="A2794" s="128">
        <v>2001</v>
      </c>
      <c r="B2794" s="128" t="s">
        <v>139</v>
      </c>
      <c r="C2794" s="128" t="s">
        <v>24</v>
      </c>
      <c r="D2794" s="128" t="s">
        <v>79</v>
      </c>
      <c r="E2794" s="128" t="s">
        <v>133</v>
      </c>
      <c r="F2794" s="128">
        <v>2418027</v>
      </c>
      <c r="G2794" s="128">
        <v>1321655</v>
      </c>
      <c r="H2794" s="128">
        <v>484896</v>
      </c>
      <c r="I2794" s="128">
        <v>13287</v>
      </c>
    </row>
    <row r="2795" spans="1:9" ht="13.5">
      <c r="A2795" s="128">
        <v>2001</v>
      </c>
      <c r="B2795" s="128" t="s">
        <v>139</v>
      </c>
      <c r="C2795" s="128" t="s">
        <v>24</v>
      </c>
      <c r="D2795" s="128" t="s">
        <v>79</v>
      </c>
      <c r="E2795" s="128" t="s">
        <v>134</v>
      </c>
      <c r="F2795" s="128">
        <v>2814007</v>
      </c>
      <c r="G2795" s="128">
        <v>1239143</v>
      </c>
      <c r="H2795" s="128">
        <v>462596</v>
      </c>
      <c r="I2795" s="128">
        <v>13772</v>
      </c>
    </row>
    <row r="2796" spans="1:9" ht="13.5">
      <c r="A2796" s="128">
        <v>2001</v>
      </c>
      <c r="B2796" s="128" t="s">
        <v>139</v>
      </c>
      <c r="C2796" s="128" t="s">
        <v>24</v>
      </c>
      <c r="D2796" s="128" t="s">
        <v>79</v>
      </c>
      <c r="E2796" s="128" t="s">
        <v>135</v>
      </c>
      <c r="F2796" s="128">
        <v>2182298</v>
      </c>
      <c r="G2796" s="128">
        <v>617718</v>
      </c>
      <c r="H2796" s="128">
        <v>232348</v>
      </c>
      <c r="I2796" s="128">
        <v>5697</v>
      </c>
    </row>
    <row r="2797" spans="1:9" ht="13.5">
      <c r="A2797" s="128">
        <v>2001</v>
      </c>
      <c r="B2797" s="128" t="s">
        <v>139</v>
      </c>
      <c r="C2797" s="128" t="s">
        <v>24</v>
      </c>
      <c r="D2797" s="128" t="s">
        <v>79</v>
      </c>
      <c r="E2797" s="128" t="s">
        <v>136</v>
      </c>
      <c r="F2797" s="128">
        <v>3335154</v>
      </c>
      <c r="G2797" s="128">
        <v>2514972</v>
      </c>
      <c r="H2797" s="128">
        <v>808924</v>
      </c>
      <c r="I2797" s="128">
        <v>37291</v>
      </c>
    </row>
    <row r="2798" spans="1:9" ht="13.5">
      <c r="A2798" s="128">
        <v>2001</v>
      </c>
      <c r="B2798" s="128" t="s">
        <v>139</v>
      </c>
      <c r="C2798" s="128" t="s">
        <v>24</v>
      </c>
      <c r="D2798" s="128" t="s">
        <v>76</v>
      </c>
      <c r="E2798" s="128" t="s">
        <v>132</v>
      </c>
      <c r="F2798" s="128">
        <v>7106870</v>
      </c>
      <c r="G2798" s="128">
        <v>4693435</v>
      </c>
      <c r="H2798" s="128">
        <v>2413210</v>
      </c>
      <c r="I2798" s="128">
        <v>75472</v>
      </c>
    </row>
    <row r="2799" spans="1:9" ht="13.5">
      <c r="A2799" s="128">
        <v>2001</v>
      </c>
      <c r="B2799" s="128" t="s">
        <v>139</v>
      </c>
      <c r="C2799" s="128" t="s">
        <v>24</v>
      </c>
      <c r="D2799" s="128" t="s">
        <v>76</v>
      </c>
      <c r="E2799" s="128" t="s">
        <v>133</v>
      </c>
      <c r="F2799" s="128">
        <v>6161453</v>
      </c>
      <c r="G2799" s="128">
        <v>3404412</v>
      </c>
      <c r="H2799" s="128">
        <v>2756991</v>
      </c>
      <c r="I2799" s="128">
        <v>31830</v>
      </c>
    </row>
    <row r="2800" spans="1:9" ht="13.5">
      <c r="A2800" s="128">
        <v>2001</v>
      </c>
      <c r="B2800" s="128" t="s">
        <v>139</v>
      </c>
      <c r="C2800" s="128" t="s">
        <v>24</v>
      </c>
      <c r="D2800" s="128" t="s">
        <v>76</v>
      </c>
      <c r="E2800" s="128" t="s">
        <v>134</v>
      </c>
      <c r="F2800" s="128">
        <v>4051869</v>
      </c>
      <c r="G2800" s="128">
        <v>1824672</v>
      </c>
      <c r="H2800" s="128">
        <v>2227314</v>
      </c>
      <c r="I2800" s="128">
        <v>15215</v>
      </c>
    </row>
    <row r="2801" spans="1:9" ht="13.5">
      <c r="A2801" s="128">
        <v>2001</v>
      </c>
      <c r="B2801" s="128" t="s">
        <v>139</v>
      </c>
      <c r="C2801" s="128" t="s">
        <v>24</v>
      </c>
      <c r="D2801" s="128" t="s">
        <v>76</v>
      </c>
      <c r="E2801" s="128" t="s">
        <v>135</v>
      </c>
      <c r="F2801" s="128">
        <v>1876497</v>
      </c>
      <c r="G2801" s="128">
        <v>578722</v>
      </c>
      <c r="H2801" s="128">
        <v>1297380</v>
      </c>
      <c r="I2801" s="128">
        <v>4405</v>
      </c>
    </row>
    <row r="2802" spans="1:9" ht="13.5">
      <c r="A2802" s="128">
        <v>2001</v>
      </c>
      <c r="B2802" s="128" t="s">
        <v>139</v>
      </c>
      <c r="C2802" s="128" t="s">
        <v>24</v>
      </c>
      <c r="D2802" s="128" t="s">
        <v>76</v>
      </c>
      <c r="E2802" s="128" t="s">
        <v>136</v>
      </c>
      <c r="F2802" s="128">
        <v>3704203</v>
      </c>
      <c r="G2802" s="128">
        <v>2811293</v>
      </c>
      <c r="H2802" s="128">
        <v>893338</v>
      </c>
      <c r="I2802" s="128">
        <v>44932</v>
      </c>
    </row>
    <row r="2803" spans="1:9" ht="13.5">
      <c r="A2803" s="128">
        <v>2001</v>
      </c>
      <c r="B2803" s="128" t="s">
        <v>137</v>
      </c>
      <c r="C2803" s="128" t="s">
        <v>26</v>
      </c>
      <c r="D2803" s="128" t="s">
        <v>77</v>
      </c>
      <c r="E2803" s="128" t="s">
        <v>132</v>
      </c>
      <c r="F2803" s="128">
        <v>0</v>
      </c>
      <c r="G2803" s="128">
        <v>0</v>
      </c>
      <c r="H2803" s="128">
        <v>0</v>
      </c>
      <c r="I2803" s="128">
        <v>0</v>
      </c>
    </row>
    <row r="2804" spans="1:9" ht="13.5">
      <c r="A2804" s="128">
        <v>2001</v>
      </c>
      <c r="B2804" s="128" t="s">
        <v>137</v>
      </c>
      <c r="C2804" s="128" t="s">
        <v>26</v>
      </c>
      <c r="D2804" s="128" t="s">
        <v>77</v>
      </c>
      <c r="E2804" s="128" t="s">
        <v>133</v>
      </c>
      <c r="F2804" s="128">
        <v>0</v>
      </c>
      <c r="G2804" s="128">
        <v>0</v>
      </c>
      <c r="H2804" s="128">
        <v>0</v>
      </c>
      <c r="I2804" s="128">
        <v>0</v>
      </c>
    </row>
    <row r="2805" spans="1:9" ht="13.5">
      <c r="A2805" s="128">
        <v>2001</v>
      </c>
      <c r="B2805" s="128" t="s">
        <v>137</v>
      </c>
      <c r="C2805" s="128" t="s">
        <v>26</v>
      </c>
      <c r="D2805" s="128" t="s">
        <v>77</v>
      </c>
      <c r="E2805" s="128" t="s">
        <v>134</v>
      </c>
      <c r="F2805" s="128">
        <v>0</v>
      </c>
      <c r="G2805" s="128">
        <v>0</v>
      </c>
      <c r="H2805" s="128">
        <v>0</v>
      </c>
      <c r="I2805" s="128">
        <v>0</v>
      </c>
    </row>
    <row r="2806" spans="1:9" ht="13.5">
      <c r="A2806" s="128">
        <v>2001</v>
      </c>
      <c r="B2806" s="128" t="s">
        <v>137</v>
      </c>
      <c r="C2806" s="128" t="s">
        <v>26</v>
      </c>
      <c r="D2806" s="128" t="s">
        <v>77</v>
      </c>
      <c r="E2806" s="128" t="s">
        <v>135</v>
      </c>
      <c r="F2806" s="128">
        <v>0</v>
      </c>
      <c r="G2806" s="128">
        <v>0</v>
      </c>
      <c r="H2806" s="128">
        <v>0</v>
      </c>
      <c r="I2806" s="128">
        <v>0</v>
      </c>
    </row>
    <row r="2807" spans="1:9" ht="13.5">
      <c r="A2807" s="128">
        <v>2001</v>
      </c>
      <c r="B2807" s="128" t="s">
        <v>137</v>
      </c>
      <c r="C2807" s="128" t="s">
        <v>26</v>
      </c>
      <c r="D2807" s="128" t="s">
        <v>79</v>
      </c>
      <c r="E2807" s="128" t="s">
        <v>132</v>
      </c>
      <c r="F2807" s="128">
        <v>0</v>
      </c>
      <c r="G2807" s="128">
        <v>0</v>
      </c>
      <c r="H2807" s="128">
        <v>0</v>
      </c>
      <c r="I2807" s="128">
        <v>0</v>
      </c>
    </row>
    <row r="2808" spans="1:9" ht="13.5">
      <c r="A2808" s="128">
        <v>2001</v>
      </c>
      <c r="B2808" s="128" t="s">
        <v>137</v>
      </c>
      <c r="C2808" s="128" t="s">
        <v>26</v>
      </c>
      <c r="D2808" s="128" t="s">
        <v>79</v>
      </c>
      <c r="E2808" s="128" t="s">
        <v>133</v>
      </c>
      <c r="F2808" s="128">
        <v>0</v>
      </c>
      <c r="G2808" s="128">
        <v>0</v>
      </c>
      <c r="H2808" s="128">
        <v>0</v>
      </c>
      <c r="I2808" s="128">
        <v>0</v>
      </c>
    </row>
    <row r="2809" spans="1:9" ht="13.5">
      <c r="A2809" s="128">
        <v>2001</v>
      </c>
      <c r="B2809" s="128" t="s">
        <v>137</v>
      </c>
      <c r="C2809" s="128" t="s">
        <v>26</v>
      </c>
      <c r="D2809" s="128" t="s">
        <v>79</v>
      </c>
      <c r="E2809" s="128" t="s">
        <v>134</v>
      </c>
      <c r="F2809" s="128">
        <v>0</v>
      </c>
      <c r="G2809" s="128">
        <v>0</v>
      </c>
      <c r="H2809" s="128">
        <v>0</v>
      </c>
      <c r="I2809" s="128">
        <v>0</v>
      </c>
    </row>
    <row r="2810" spans="1:9" ht="13.5">
      <c r="A2810" s="128">
        <v>2001</v>
      </c>
      <c r="B2810" s="128" t="s">
        <v>137</v>
      </c>
      <c r="C2810" s="128" t="s">
        <v>26</v>
      </c>
      <c r="D2810" s="128" t="s">
        <v>79</v>
      </c>
      <c r="E2810" s="128" t="s">
        <v>135</v>
      </c>
      <c r="F2810" s="128">
        <v>0</v>
      </c>
      <c r="G2810" s="128">
        <v>0</v>
      </c>
      <c r="H2810" s="128">
        <v>0</v>
      </c>
      <c r="I2810" s="128">
        <v>0</v>
      </c>
    </row>
    <row r="2811" spans="1:9" ht="13.5">
      <c r="A2811" s="128">
        <v>2001</v>
      </c>
      <c r="B2811" s="128" t="s">
        <v>137</v>
      </c>
      <c r="C2811" s="128" t="s">
        <v>26</v>
      </c>
      <c r="D2811" s="128" t="s">
        <v>79</v>
      </c>
      <c r="E2811" s="128" t="s">
        <v>136</v>
      </c>
      <c r="F2811" s="128">
        <v>0</v>
      </c>
      <c r="G2811" s="128">
        <v>0</v>
      </c>
      <c r="H2811" s="128">
        <v>0</v>
      </c>
      <c r="I2811" s="128">
        <v>0</v>
      </c>
    </row>
    <row r="2812" spans="1:9" ht="13.5">
      <c r="A2812" s="128">
        <v>2001</v>
      </c>
      <c r="B2812" s="128" t="s">
        <v>137</v>
      </c>
      <c r="C2812" s="128" t="s">
        <v>26</v>
      </c>
      <c r="D2812" s="128" t="s">
        <v>76</v>
      </c>
      <c r="E2812" s="128" t="s">
        <v>132</v>
      </c>
      <c r="F2812" s="128">
        <v>0</v>
      </c>
      <c r="G2812" s="128">
        <v>0</v>
      </c>
      <c r="H2812" s="128">
        <v>0</v>
      </c>
      <c r="I2812" s="128">
        <v>0</v>
      </c>
    </row>
    <row r="2813" spans="1:9" ht="13.5">
      <c r="A2813" s="128">
        <v>2001</v>
      </c>
      <c r="B2813" s="128" t="s">
        <v>137</v>
      </c>
      <c r="C2813" s="128" t="s">
        <v>26</v>
      </c>
      <c r="D2813" s="128" t="s">
        <v>76</v>
      </c>
      <c r="E2813" s="128" t="s">
        <v>133</v>
      </c>
      <c r="F2813" s="128">
        <v>0</v>
      </c>
      <c r="G2813" s="128">
        <v>0</v>
      </c>
      <c r="H2813" s="128">
        <v>0</v>
      </c>
      <c r="I2813" s="128">
        <v>0</v>
      </c>
    </row>
    <row r="2814" spans="1:9" ht="13.5">
      <c r="A2814" s="128">
        <v>2001</v>
      </c>
      <c r="B2814" s="128" t="s">
        <v>137</v>
      </c>
      <c r="C2814" s="128" t="s">
        <v>26</v>
      </c>
      <c r="D2814" s="128" t="s">
        <v>76</v>
      </c>
      <c r="E2814" s="128" t="s">
        <v>134</v>
      </c>
      <c r="F2814" s="128">
        <v>0</v>
      </c>
      <c r="G2814" s="128">
        <v>0</v>
      </c>
      <c r="H2814" s="128">
        <v>0</v>
      </c>
      <c r="I2814" s="128">
        <v>0</v>
      </c>
    </row>
    <row r="2815" spans="1:9" ht="13.5">
      <c r="A2815" s="128">
        <v>2001</v>
      </c>
      <c r="B2815" s="128" t="s">
        <v>137</v>
      </c>
      <c r="C2815" s="128" t="s">
        <v>26</v>
      </c>
      <c r="D2815" s="128" t="s">
        <v>76</v>
      </c>
      <c r="E2815" s="128" t="s">
        <v>135</v>
      </c>
      <c r="F2815" s="128">
        <v>0</v>
      </c>
      <c r="G2815" s="128">
        <v>0</v>
      </c>
      <c r="H2815" s="128">
        <v>0</v>
      </c>
      <c r="I2815" s="128">
        <v>0</v>
      </c>
    </row>
    <row r="2816" spans="1:9" ht="13.5">
      <c r="A2816" s="128">
        <v>2001</v>
      </c>
      <c r="B2816" s="128" t="s">
        <v>137</v>
      </c>
      <c r="C2816" s="128" t="s">
        <v>26</v>
      </c>
      <c r="D2816" s="128" t="s">
        <v>76</v>
      </c>
      <c r="E2816" s="128" t="s">
        <v>136</v>
      </c>
      <c r="F2816" s="128">
        <v>0</v>
      </c>
      <c r="G2816" s="128">
        <v>0</v>
      </c>
      <c r="H2816" s="128">
        <v>0</v>
      </c>
      <c r="I2816" s="128">
        <v>0</v>
      </c>
    </row>
    <row r="2817" spans="1:9" ht="13.5">
      <c r="A2817" s="128">
        <v>2001</v>
      </c>
      <c r="B2817" s="128" t="s">
        <v>137</v>
      </c>
      <c r="C2817" s="128" t="s">
        <v>20</v>
      </c>
      <c r="D2817" s="128" t="s">
        <v>77</v>
      </c>
      <c r="E2817" s="128" t="s">
        <v>132</v>
      </c>
      <c r="F2817" s="128">
        <v>1013685</v>
      </c>
      <c r="G2817" s="128">
        <v>661279</v>
      </c>
      <c r="H2817" s="128">
        <v>321495</v>
      </c>
      <c r="I2817" s="128">
        <v>10092</v>
      </c>
    </row>
    <row r="2818" spans="1:9" ht="13.5">
      <c r="A2818" s="128">
        <v>2001</v>
      </c>
      <c r="B2818" s="128" t="s">
        <v>137</v>
      </c>
      <c r="C2818" s="128" t="s">
        <v>20</v>
      </c>
      <c r="D2818" s="128" t="s">
        <v>77</v>
      </c>
      <c r="E2818" s="128" t="s">
        <v>133</v>
      </c>
      <c r="F2818" s="128">
        <v>1972051</v>
      </c>
      <c r="G2818" s="128">
        <v>1067113</v>
      </c>
      <c r="H2818" s="128">
        <v>830852</v>
      </c>
      <c r="I2818" s="128">
        <v>10799</v>
      </c>
    </row>
    <row r="2819" spans="1:9" ht="13.5">
      <c r="A2819" s="128">
        <v>2001</v>
      </c>
      <c r="B2819" s="128" t="s">
        <v>137</v>
      </c>
      <c r="C2819" s="128" t="s">
        <v>20</v>
      </c>
      <c r="D2819" s="128" t="s">
        <v>77</v>
      </c>
      <c r="E2819" s="128" t="s">
        <v>134</v>
      </c>
      <c r="F2819" s="128">
        <v>704885</v>
      </c>
      <c r="G2819" s="128">
        <v>315474</v>
      </c>
      <c r="H2819" s="128">
        <v>239921</v>
      </c>
      <c r="I2819" s="128">
        <v>2242</v>
      </c>
    </row>
    <row r="2820" spans="1:9" ht="13.5">
      <c r="A2820" s="128">
        <v>2001</v>
      </c>
      <c r="B2820" s="128" t="s">
        <v>137</v>
      </c>
      <c r="C2820" s="128" t="s">
        <v>20</v>
      </c>
      <c r="D2820" s="128" t="s">
        <v>77</v>
      </c>
      <c r="E2820" s="128" t="s">
        <v>135</v>
      </c>
      <c r="F2820" s="128">
        <v>645676</v>
      </c>
      <c r="G2820" s="128">
        <v>178758</v>
      </c>
      <c r="H2820" s="128">
        <v>200113</v>
      </c>
      <c r="I2820" s="128">
        <v>1513</v>
      </c>
    </row>
    <row r="2821" spans="1:9" ht="13.5">
      <c r="A2821" s="128">
        <v>2001</v>
      </c>
      <c r="B2821" s="128" t="s">
        <v>137</v>
      </c>
      <c r="C2821" s="128" t="s">
        <v>20</v>
      </c>
      <c r="D2821" s="128" t="s">
        <v>79</v>
      </c>
      <c r="E2821" s="128" t="s">
        <v>132</v>
      </c>
      <c r="F2821" s="128">
        <v>12290000</v>
      </c>
      <c r="G2821" s="128">
        <v>8178233</v>
      </c>
      <c r="H2821" s="128">
        <v>2736621</v>
      </c>
      <c r="I2821" s="128">
        <v>103264</v>
      </c>
    </row>
    <row r="2822" spans="1:9" ht="13.5">
      <c r="A2822" s="128">
        <v>2001</v>
      </c>
      <c r="B2822" s="128" t="s">
        <v>137</v>
      </c>
      <c r="C2822" s="128" t="s">
        <v>20</v>
      </c>
      <c r="D2822" s="128" t="s">
        <v>79</v>
      </c>
      <c r="E2822" s="128" t="s">
        <v>133</v>
      </c>
      <c r="F2822" s="128">
        <v>13711517</v>
      </c>
      <c r="G2822" s="128">
        <v>7441735</v>
      </c>
      <c r="H2822" s="128">
        <v>2500378</v>
      </c>
      <c r="I2822" s="128">
        <v>80696</v>
      </c>
    </row>
    <row r="2823" spans="1:9" ht="13.5">
      <c r="A2823" s="128">
        <v>2001</v>
      </c>
      <c r="B2823" s="128" t="s">
        <v>137</v>
      </c>
      <c r="C2823" s="128" t="s">
        <v>20</v>
      </c>
      <c r="D2823" s="128" t="s">
        <v>79</v>
      </c>
      <c r="E2823" s="128" t="s">
        <v>134</v>
      </c>
      <c r="F2823" s="128">
        <v>25589880</v>
      </c>
      <c r="G2823" s="128">
        <v>11085060</v>
      </c>
      <c r="H2823" s="128">
        <v>3723620</v>
      </c>
      <c r="I2823" s="128">
        <v>99783</v>
      </c>
    </row>
    <row r="2824" spans="1:9" ht="13.5">
      <c r="A2824" s="128">
        <v>2001</v>
      </c>
      <c r="B2824" s="128" t="s">
        <v>137</v>
      </c>
      <c r="C2824" s="128" t="s">
        <v>20</v>
      </c>
      <c r="D2824" s="128" t="s">
        <v>79</v>
      </c>
      <c r="E2824" s="128" t="s">
        <v>135</v>
      </c>
      <c r="F2824" s="128">
        <v>27182685</v>
      </c>
      <c r="G2824" s="128">
        <v>7670180</v>
      </c>
      <c r="H2824" s="128">
        <v>2646490</v>
      </c>
      <c r="I2824" s="128">
        <v>53948</v>
      </c>
    </row>
    <row r="2825" spans="1:9" ht="13.5">
      <c r="A2825" s="128">
        <v>2001</v>
      </c>
      <c r="B2825" s="128" t="s">
        <v>137</v>
      </c>
      <c r="C2825" s="128" t="s">
        <v>20</v>
      </c>
      <c r="D2825" s="128" t="s">
        <v>79</v>
      </c>
      <c r="E2825" s="128" t="s">
        <v>136</v>
      </c>
      <c r="F2825" s="128">
        <v>30300803</v>
      </c>
      <c r="G2825" s="128">
        <v>22794100</v>
      </c>
      <c r="H2825" s="128">
        <v>7506552</v>
      </c>
      <c r="I2825" s="128">
        <v>458062</v>
      </c>
    </row>
    <row r="2826" spans="1:9" ht="13.5">
      <c r="A2826" s="128">
        <v>2001</v>
      </c>
      <c r="B2826" s="128" t="s">
        <v>137</v>
      </c>
      <c r="C2826" s="128" t="s">
        <v>20</v>
      </c>
      <c r="D2826" s="128" t="s">
        <v>76</v>
      </c>
      <c r="E2826" s="128" t="s">
        <v>132</v>
      </c>
      <c r="F2826" s="128">
        <v>18571251</v>
      </c>
      <c r="G2826" s="128">
        <v>12074728</v>
      </c>
      <c r="H2826" s="128">
        <v>6496523</v>
      </c>
      <c r="I2826" s="128">
        <v>209213</v>
      </c>
    </row>
    <row r="2827" spans="1:9" ht="13.5">
      <c r="A2827" s="128">
        <v>2001</v>
      </c>
      <c r="B2827" s="128" t="s">
        <v>137</v>
      </c>
      <c r="C2827" s="128" t="s">
        <v>20</v>
      </c>
      <c r="D2827" s="128" t="s">
        <v>76</v>
      </c>
      <c r="E2827" s="128" t="s">
        <v>133</v>
      </c>
      <c r="F2827" s="128">
        <v>21464925</v>
      </c>
      <c r="G2827" s="128">
        <v>11726584</v>
      </c>
      <c r="H2827" s="128">
        <v>9738342</v>
      </c>
      <c r="I2827" s="128">
        <v>111663</v>
      </c>
    </row>
    <row r="2828" spans="1:9" ht="13.5">
      <c r="A2828" s="128">
        <v>2001</v>
      </c>
      <c r="B2828" s="128" t="s">
        <v>137</v>
      </c>
      <c r="C2828" s="128" t="s">
        <v>20</v>
      </c>
      <c r="D2828" s="128" t="s">
        <v>76</v>
      </c>
      <c r="E2828" s="128" t="s">
        <v>134</v>
      </c>
      <c r="F2828" s="128">
        <v>1180723</v>
      </c>
      <c r="G2828" s="128">
        <v>562627</v>
      </c>
      <c r="H2828" s="128">
        <v>618097</v>
      </c>
      <c r="I2828" s="128">
        <v>4513</v>
      </c>
    </row>
    <row r="2829" spans="1:9" ht="13.5">
      <c r="A2829" s="128">
        <v>2001</v>
      </c>
      <c r="B2829" s="128" t="s">
        <v>137</v>
      </c>
      <c r="C2829" s="128" t="s">
        <v>20</v>
      </c>
      <c r="D2829" s="128" t="s">
        <v>76</v>
      </c>
      <c r="E2829" s="128" t="s">
        <v>135</v>
      </c>
      <c r="F2829" s="128">
        <v>2545522</v>
      </c>
      <c r="G2829" s="128">
        <v>910968</v>
      </c>
      <c r="H2829" s="128">
        <v>1634555</v>
      </c>
      <c r="I2829" s="128">
        <v>5918</v>
      </c>
    </row>
    <row r="2830" spans="1:9" ht="13.5">
      <c r="A2830" s="128">
        <v>2001</v>
      </c>
      <c r="B2830" s="128" t="s">
        <v>137</v>
      </c>
      <c r="C2830" s="128" t="s">
        <v>20</v>
      </c>
      <c r="D2830" s="128" t="s">
        <v>76</v>
      </c>
      <c r="E2830" s="128" t="s">
        <v>136</v>
      </c>
      <c r="F2830" s="128">
        <v>1154322</v>
      </c>
      <c r="G2830" s="128">
        <v>955168</v>
      </c>
      <c r="H2830" s="128">
        <v>199154</v>
      </c>
      <c r="I2830" s="128">
        <v>21948</v>
      </c>
    </row>
    <row r="2831" spans="1:9" ht="13.5">
      <c r="A2831" s="128">
        <v>2001</v>
      </c>
      <c r="B2831" s="128" t="s">
        <v>137</v>
      </c>
      <c r="C2831" s="128" t="s">
        <v>27</v>
      </c>
      <c r="D2831" s="128" t="s">
        <v>77</v>
      </c>
      <c r="E2831" s="128" t="s">
        <v>132</v>
      </c>
      <c r="F2831" s="128">
        <v>25572</v>
      </c>
      <c r="G2831" s="128">
        <v>16019</v>
      </c>
      <c r="H2831" s="128">
        <v>9391</v>
      </c>
      <c r="I2831" s="128">
        <v>226</v>
      </c>
    </row>
    <row r="2832" spans="1:9" ht="13.5">
      <c r="A2832" s="128">
        <v>2001</v>
      </c>
      <c r="B2832" s="128" t="s">
        <v>137</v>
      </c>
      <c r="C2832" s="128" t="s">
        <v>27</v>
      </c>
      <c r="D2832" s="128" t="s">
        <v>77</v>
      </c>
      <c r="E2832" s="128" t="s">
        <v>133</v>
      </c>
      <c r="F2832" s="128">
        <v>45276</v>
      </c>
      <c r="G2832" s="128">
        <v>24665</v>
      </c>
      <c r="H2832" s="128">
        <v>19983</v>
      </c>
      <c r="I2832" s="128">
        <v>135</v>
      </c>
    </row>
    <row r="2833" spans="1:9" ht="13.5">
      <c r="A2833" s="128">
        <v>2001</v>
      </c>
      <c r="B2833" s="128" t="s">
        <v>137</v>
      </c>
      <c r="C2833" s="128" t="s">
        <v>27</v>
      </c>
      <c r="D2833" s="128" t="s">
        <v>77</v>
      </c>
      <c r="E2833" s="128" t="s">
        <v>134</v>
      </c>
      <c r="F2833" s="128">
        <v>10260</v>
      </c>
      <c r="G2833" s="128">
        <v>4527</v>
      </c>
      <c r="H2833" s="128">
        <v>3317</v>
      </c>
      <c r="I2833" s="128">
        <v>35</v>
      </c>
    </row>
    <row r="2834" spans="1:9" ht="13.5">
      <c r="A2834" s="128">
        <v>2001</v>
      </c>
      <c r="B2834" s="128" t="s">
        <v>137</v>
      </c>
      <c r="C2834" s="128" t="s">
        <v>27</v>
      </c>
      <c r="D2834" s="128" t="s">
        <v>77</v>
      </c>
      <c r="E2834" s="128" t="s">
        <v>135</v>
      </c>
      <c r="F2834" s="128">
        <v>3472</v>
      </c>
      <c r="G2834" s="128">
        <v>1095</v>
      </c>
      <c r="H2834" s="128">
        <v>777</v>
      </c>
      <c r="I2834" s="128">
        <v>11</v>
      </c>
    </row>
    <row r="2835" spans="1:9" ht="13.5">
      <c r="A2835" s="128">
        <v>2001</v>
      </c>
      <c r="B2835" s="128" t="s">
        <v>137</v>
      </c>
      <c r="C2835" s="128" t="s">
        <v>27</v>
      </c>
      <c r="D2835" s="128" t="s">
        <v>79</v>
      </c>
      <c r="E2835" s="128" t="s">
        <v>132</v>
      </c>
      <c r="F2835" s="128">
        <v>162679</v>
      </c>
      <c r="G2835" s="128">
        <v>110114</v>
      </c>
      <c r="H2835" s="128">
        <v>27815</v>
      </c>
      <c r="I2835" s="128">
        <v>793</v>
      </c>
    </row>
    <row r="2836" spans="1:9" ht="13.5">
      <c r="A2836" s="128">
        <v>2001</v>
      </c>
      <c r="B2836" s="128" t="s">
        <v>137</v>
      </c>
      <c r="C2836" s="128" t="s">
        <v>27</v>
      </c>
      <c r="D2836" s="128" t="s">
        <v>79</v>
      </c>
      <c r="E2836" s="128" t="s">
        <v>133</v>
      </c>
      <c r="F2836" s="128">
        <v>153454</v>
      </c>
      <c r="G2836" s="128">
        <v>83610</v>
      </c>
      <c r="H2836" s="128">
        <v>27011</v>
      </c>
      <c r="I2836" s="128">
        <v>935</v>
      </c>
    </row>
    <row r="2837" spans="1:9" ht="13.5">
      <c r="A2837" s="128">
        <v>2001</v>
      </c>
      <c r="B2837" s="128" t="s">
        <v>137</v>
      </c>
      <c r="C2837" s="128" t="s">
        <v>27</v>
      </c>
      <c r="D2837" s="128" t="s">
        <v>79</v>
      </c>
      <c r="E2837" s="128" t="s">
        <v>134</v>
      </c>
      <c r="F2837" s="128">
        <v>269372</v>
      </c>
      <c r="G2837" s="128">
        <v>117011</v>
      </c>
      <c r="H2837" s="128">
        <v>37017</v>
      </c>
      <c r="I2837" s="128">
        <v>1227</v>
      </c>
    </row>
    <row r="2838" spans="1:9" ht="13.5">
      <c r="A2838" s="128">
        <v>2001</v>
      </c>
      <c r="B2838" s="128" t="s">
        <v>137</v>
      </c>
      <c r="C2838" s="128" t="s">
        <v>27</v>
      </c>
      <c r="D2838" s="128" t="s">
        <v>79</v>
      </c>
      <c r="E2838" s="128" t="s">
        <v>135</v>
      </c>
      <c r="F2838" s="128">
        <v>328756</v>
      </c>
      <c r="G2838" s="128">
        <v>95453</v>
      </c>
      <c r="H2838" s="128">
        <v>31066</v>
      </c>
      <c r="I2838" s="128">
        <v>559</v>
      </c>
    </row>
    <row r="2839" spans="1:9" ht="13.5">
      <c r="A2839" s="128">
        <v>2001</v>
      </c>
      <c r="B2839" s="128" t="s">
        <v>137</v>
      </c>
      <c r="C2839" s="128" t="s">
        <v>27</v>
      </c>
      <c r="D2839" s="128" t="s">
        <v>79</v>
      </c>
      <c r="E2839" s="128" t="s">
        <v>136</v>
      </c>
      <c r="F2839" s="128">
        <v>269486</v>
      </c>
      <c r="G2839" s="128">
        <v>203432</v>
      </c>
      <c r="H2839" s="128">
        <v>66054</v>
      </c>
      <c r="I2839" s="128">
        <v>3611</v>
      </c>
    </row>
    <row r="2840" spans="1:9" ht="13.5">
      <c r="A2840" s="128">
        <v>2001</v>
      </c>
      <c r="B2840" s="128" t="s">
        <v>137</v>
      </c>
      <c r="C2840" s="128" t="s">
        <v>27</v>
      </c>
      <c r="D2840" s="128" t="s">
        <v>76</v>
      </c>
      <c r="E2840" s="128" t="s">
        <v>132</v>
      </c>
      <c r="F2840" s="128">
        <v>203005</v>
      </c>
      <c r="G2840" s="128">
        <v>131510</v>
      </c>
      <c r="H2840" s="128">
        <v>71495</v>
      </c>
      <c r="I2840" s="128">
        <v>1764</v>
      </c>
    </row>
    <row r="2841" spans="1:9" ht="13.5">
      <c r="A2841" s="128">
        <v>2001</v>
      </c>
      <c r="B2841" s="128" t="s">
        <v>137</v>
      </c>
      <c r="C2841" s="128" t="s">
        <v>27</v>
      </c>
      <c r="D2841" s="128" t="s">
        <v>76</v>
      </c>
      <c r="E2841" s="128" t="s">
        <v>133</v>
      </c>
      <c r="F2841" s="128">
        <v>588601</v>
      </c>
      <c r="G2841" s="128">
        <v>325949</v>
      </c>
      <c r="H2841" s="128">
        <v>262652</v>
      </c>
      <c r="I2841" s="128">
        <v>3003</v>
      </c>
    </row>
    <row r="2842" spans="1:9" ht="13.5">
      <c r="A2842" s="128">
        <v>2001</v>
      </c>
      <c r="B2842" s="128" t="s">
        <v>137</v>
      </c>
      <c r="C2842" s="128" t="s">
        <v>27</v>
      </c>
      <c r="D2842" s="128" t="s">
        <v>76</v>
      </c>
      <c r="E2842" s="128" t="s">
        <v>134</v>
      </c>
      <c r="F2842" s="128">
        <v>75634</v>
      </c>
      <c r="G2842" s="128">
        <v>35825</v>
      </c>
      <c r="H2842" s="128">
        <v>39810</v>
      </c>
      <c r="I2842" s="128">
        <v>291</v>
      </c>
    </row>
    <row r="2843" spans="1:9" ht="13.5">
      <c r="A2843" s="128">
        <v>2001</v>
      </c>
      <c r="B2843" s="128" t="s">
        <v>137</v>
      </c>
      <c r="C2843" s="128" t="s">
        <v>27</v>
      </c>
      <c r="D2843" s="128" t="s">
        <v>76</v>
      </c>
      <c r="E2843" s="128" t="s">
        <v>135</v>
      </c>
      <c r="F2843" s="128">
        <v>119811</v>
      </c>
      <c r="G2843" s="128">
        <v>39755</v>
      </c>
      <c r="H2843" s="128">
        <v>80056</v>
      </c>
      <c r="I2843" s="128">
        <v>197</v>
      </c>
    </row>
    <row r="2844" spans="1:9" ht="13.5">
      <c r="A2844" s="128">
        <v>2001</v>
      </c>
      <c r="B2844" s="128" t="s">
        <v>137</v>
      </c>
      <c r="C2844" s="128" t="s">
        <v>27</v>
      </c>
      <c r="D2844" s="128" t="s">
        <v>76</v>
      </c>
      <c r="E2844" s="128" t="s">
        <v>136</v>
      </c>
      <c r="F2844" s="128">
        <v>20586</v>
      </c>
      <c r="G2844" s="128">
        <v>16969</v>
      </c>
      <c r="H2844" s="128">
        <v>3617</v>
      </c>
      <c r="I2844" s="128">
        <v>213</v>
      </c>
    </row>
    <row r="2845" spans="1:9" ht="13.5">
      <c r="A2845" s="128">
        <v>2001</v>
      </c>
      <c r="B2845" s="128" t="s">
        <v>137</v>
      </c>
      <c r="C2845" s="128" t="s">
        <v>22</v>
      </c>
      <c r="D2845" s="128" t="s">
        <v>77</v>
      </c>
      <c r="E2845" s="128" t="s">
        <v>132</v>
      </c>
      <c r="F2845" s="128">
        <v>627009</v>
      </c>
      <c r="G2845" s="128">
        <v>399207</v>
      </c>
      <c r="H2845" s="128">
        <v>218534</v>
      </c>
      <c r="I2845" s="128">
        <v>5746</v>
      </c>
    </row>
    <row r="2846" spans="1:9" ht="13.5">
      <c r="A2846" s="128">
        <v>2001</v>
      </c>
      <c r="B2846" s="128" t="s">
        <v>137</v>
      </c>
      <c r="C2846" s="128" t="s">
        <v>22</v>
      </c>
      <c r="D2846" s="128" t="s">
        <v>77</v>
      </c>
      <c r="E2846" s="128" t="s">
        <v>133</v>
      </c>
      <c r="F2846" s="128">
        <v>1321008</v>
      </c>
      <c r="G2846" s="128">
        <v>714167</v>
      </c>
      <c r="H2846" s="128">
        <v>562614</v>
      </c>
      <c r="I2846" s="128">
        <v>6590</v>
      </c>
    </row>
    <row r="2847" spans="1:9" ht="13.5">
      <c r="A2847" s="128">
        <v>2001</v>
      </c>
      <c r="B2847" s="128" t="s">
        <v>137</v>
      </c>
      <c r="C2847" s="128" t="s">
        <v>22</v>
      </c>
      <c r="D2847" s="128" t="s">
        <v>77</v>
      </c>
      <c r="E2847" s="128" t="s">
        <v>134</v>
      </c>
      <c r="F2847" s="128">
        <v>369769</v>
      </c>
      <c r="G2847" s="128">
        <v>165996</v>
      </c>
      <c r="H2847" s="128">
        <v>129266</v>
      </c>
      <c r="I2847" s="128">
        <v>1075</v>
      </c>
    </row>
    <row r="2848" spans="1:9" ht="13.5">
      <c r="A2848" s="128">
        <v>2001</v>
      </c>
      <c r="B2848" s="128" t="s">
        <v>137</v>
      </c>
      <c r="C2848" s="128" t="s">
        <v>22</v>
      </c>
      <c r="D2848" s="128" t="s">
        <v>77</v>
      </c>
      <c r="E2848" s="128" t="s">
        <v>135</v>
      </c>
      <c r="F2848" s="128">
        <v>347439</v>
      </c>
      <c r="G2848" s="128">
        <v>99384</v>
      </c>
      <c r="H2848" s="128">
        <v>115780</v>
      </c>
      <c r="I2848" s="128">
        <v>654</v>
      </c>
    </row>
    <row r="2849" spans="1:9" ht="13.5">
      <c r="A2849" s="128">
        <v>2001</v>
      </c>
      <c r="B2849" s="128" t="s">
        <v>137</v>
      </c>
      <c r="C2849" s="128" t="s">
        <v>22</v>
      </c>
      <c r="D2849" s="128" t="s">
        <v>79</v>
      </c>
      <c r="E2849" s="128" t="s">
        <v>132</v>
      </c>
      <c r="F2849" s="128">
        <v>9142854</v>
      </c>
      <c r="G2849" s="128">
        <v>6141135</v>
      </c>
      <c r="H2849" s="128">
        <v>2008871</v>
      </c>
      <c r="I2849" s="128">
        <v>75089</v>
      </c>
    </row>
    <row r="2850" spans="1:9" ht="13.5">
      <c r="A2850" s="128">
        <v>2001</v>
      </c>
      <c r="B2850" s="128" t="s">
        <v>137</v>
      </c>
      <c r="C2850" s="128" t="s">
        <v>22</v>
      </c>
      <c r="D2850" s="128" t="s">
        <v>79</v>
      </c>
      <c r="E2850" s="128" t="s">
        <v>133</v>
      </c>
      <c r="F2850" s="128">
        <v>9645683</v>
      </c>
      <c r="G2850" s="128">
        <v>5300087</v>
      </c>
      <c r="H2850" s="128">
        <v>1768896</v>
      </c>
      <c r="I2850" s="128">
        <v>70469</v>
      </c>
    </row>
    <row r="2851" spans="1:9" ht="13.5">
      <c r="A2851" s="128">
        <v>2001</v>
      </c>
      <c r="B2851" s="128" t="s">
        <v>137</v>
      </c>
      <c r="C2851" s="128" t="s">
        <v>22</v>
      </c>
      <c r="D2851" s="128" t="s">
        <v>79</v>
      </c>
      <c r="E2851" s="128" t="s">
        <v>134</v>
      </c>
      <c r="F2851" s="128">
        <v>12798282</v>
      </c>
      <c r="G2851" s="128">
        <v>5620965</v>
      </c>
      <c r="H2851" s="128">
        <v>1869291</v>
      </c>
      <c r="I2851" s="128">
        <v>51932</v>
      </c>
    </row>
    <row r="2852" spans="1:9" ht="13.5">
      <c r="A2852" s="128">
        <v>2001</v>
      </c>
      <c r="B2852" s="128" t="s">
        <v>137</v>
      </c>
      <c r="C2852" s="128" t="s">
        <v>22</v>
      </c>
      <c r="D2852" s="128" t="s">
        <v>79</v>
      </c>
      <c r="E2852" s="128" t="s">
        <v>135</v>
      </c>
      <c r="F2852" s="128">
        <v>9099437</v>
      </c>
      <c r="G2852" s="128">
        <v>2538607</v>
      </c>
      <c r="H2852" s="128">
        <v>852671</v>
      </c>
      <c r="I2852" s="128">
        <v>17714</v>
      </c>
    </row>
    <row r="2853" spans="1:9" ht="13.5">
      <c r="A2853" s="128">
        <v>2001</v>
      </c>
      <c r="B2853" s="128" t="s">
        <v>137</v>
      </c>
      <c r="C2853" s="128" t="s">
        <v>22</v>
      </c>
      <c r="D2853" s="128" t="s">
        <v>79</v>
      </c>
      <c r="E2853" s="128" t="s">
        <v>136</v>
      </c>
      <c r="F2853" s="128">
        <v>16692328</v>
      </c>
      <c r="G2853" s="128">
        <v>12561522</v>
      </c>
      <c r="H2853" s="128">
        <v>4130801</v>
      </c>
      <c r="I2853" s="128">
        <v>244265</v>
      </c>
    </row>
    <row r="2854" spans="1:9" ht="13.5">
      <c r="A2854" s="128">
        <v>2001</v>
      </c>
      <c r="B2854" s="128" t="s">
        <v>137</v>
      </c>
      <c r="C2854" s="128" t="s">
        <v>22</v>
      </c>
      <c r="D2854" s="128" t="s">
        <v>76</v>
      </c>
      <c r="E2854" s="128" t="s">
        <v>132</v>
      </c>
      <c r="F2854" s="128">
        <v>12360274</v>
      </c>
      <c r="G2854" s="128">
        <v>8010798</v>
      </c>
      <c r="H2854" s="128">
        <v>4349476</v>
      </c>
      <c r="I2854" s="128">
        <v>183064</v>
      </c>
    </row>
    <row r="2855" spans="1:9" ht="13.5">
      <c r="A2855" s="128">
        <v>2001</v>
      </c>
      <c r="B2855" s="128" t="s">
        <v>137</v>
      </c>
      <c r="C2855" s="128" t="s">
        <v>22</v>
      </c>
      <c r="D2855" s="128" t="s">
        <v>76</v>
      </c>
      <c r="E2855" s="128" t="s">
        <v>133</v>
      </c>
      <c r="F2855" s="128">
        <v>17644699</v>
      </c>
      <c r="G2855" s="128">
        <v>9618883</v>
      </c>
      <c r="H2855" s="128">
        <v>8025817</v>
      </c>
      <c r="I2855" s="128">
        <v>91314</v>
      </c>
    </row>
    <row r="2856" spans="1:9" ht="13.5">
      <c r="A2856" s="128">
        <v>2001</v>
      </c>
      <c r="B2856" s="128" t="s">
        <v>137</v>
      </c>
      <c r="C2856" s="128" t="s">
        <v>22</v>
      </c>
      <c r="D2856" s="128" t="s">
        <v>76</v>
      </c>
      <c r="E2856" s="128" t="s">
        <v>134</v>
      </c>
      <c r="F2856" s="128">
        <v>914717</v>
      </c>
      <c r="G2856" s="128">
        <v>433820</v>
      </c>
      <c r="H2856" s="128">
        <v>480896</v>
      </c>
      <c r="I2856" s="128">
        <v>3025</v>
      </c>
    </row>
    <row r="2857" spans="1:9" ht="13.5">
      <c r="A2857" s="128">
        <v>2001</v>
      </c>
      <c r="B2857" s="128" t="s">
        <v>137</v>
      </c>
      <c r="C2857" s="128" t="s">
        <v>22</v>
      </c>
      <c r="D2857" s="128" t="s">
        <v>76</v>
      </c>
      <c r="E2857" s="128" t="s">
        <v>135</v>
      </c>
      <c r="F2857" s="128">
        <v>2523233</v>
      </c>
      <c r="G2857" s="128">
        <v>846933</v>
      </c>
      <c r="H2857" s="128">
        <v>1676300</v>
      </c>
      <c r="I2857" s="128">
        <v>6520</v>
      </c>
    </row>
    <row r="2858" spans="1:9" ht="13.5">
      <c r="A2858" s="128">
        <v>2001</v>
      </c>
      <c r="B2858" s="128" t="s">
        <v>137</v>
      </c>
      <c r="C2858" s="128" t="s">
        <v>22</v>
      </c>
      <c r="D2858" s="128" t="s">
        <v>76</v>
      </c>
      <c r="E2858" s="128" t="s">
        <v>136</v>
      </c>
      <c r="F2858" s="128">
        <v>780472</v>
      </c>
      <c r="G2858" s="128">
        <v>672902</v>
      </c>
      <c r="H2858" s="128">
        <v>107567</v>
      </c>
      <c r="I2858" s="128">
        <v>15815</v>
      </c>
    </row>
    <row r="2859" spans="1:9" ht="13.5">
      <c r="A2859" s="128">
        <v>2001</v>
      </c>
      <c r="B2859" s="128" t="s">
        <v>137</v>
      </c>
      <c r="C2859" s="128" t="s">
        <v>23</v>
      </c>
      <c r="D2859" s="128" t="s">
        <v>77</v>
      </c>
      <c r="E2859" s="128" t="s">
        <v>132</v>
      </c>
      <c r="F2859" s="128">
        <v>153170</v>
      </c>
      <c r="G2859" s="128">
        <v>99463</v>
      </c>
      <c r="H2859" s="128">
        <v>53899</v>
      </c>
      <c r="I2859" s="128">
        <v>1460</v>
      </c>
    </row>
    <row r="2860" spans="1:9" ht="13.5">
      <c r="A2860" s="128">
        <v>2001</v>
      </c>
      <c r="B2860" s="128" t="s">
        <v>137</v>
      </c>
      <c r="C2860" s="128" t="s">
        <v>23</v>
      </c>
      <c r="D2860" s="128" t="s">
        <v>77</v>
      </c>
      <c r="E2860" s="128" t="s">
        <v>133</v>
      </c>
      <c r="F2860" s="128">
        <v>693952</v>
      </c>
      <c r="G2860" s="128">
        <v>380249</v>
      </c>
      <c r="H2860" s="128">
        <v>314968</v>
      </c>
      <c r="I2860" s="128">
        <v>3568</v>
      </c>
    </row>
    <row r="2861" spans="1:9" ht="13.5">
      <c r="A2861" s="128">
        <v>2001</v>
      </c>
      <c r="B2861" s="128" t="s">
        <v>137</v>
      </c>
      <c r="C2861" s="128" t="s">
        <v>23</v>
      </c>
      <c r="D2861" s="128" t="s">
        <v>77</v>
      </c>
      <c r="E2861" s="128" t="s">
        <v>134</v>
      </c>
      <c r="F2861" s="128">
        <v>69529</v>
      </c>
      <c r="G2861" s="128">
        <v>30607</v>
      </c>
      <c r="H2861" s="128">
        <v>25442</v>
      </c>
      <c r="I2861" s="128">
        <v>272</v>
      </c>
    </row>
    <row r="2862" spans="1:9" ht="13.5">
      <c r="A2862" s="128">
        <v>2001</v>
      </c>
      <c r="B2862" s="128" t="s">
        <v>137</v>
      </c>
      <c r="C2862" s="128" t="s">
        <v>23</v>
      </c>
      <c r="D2862" s="128" t="s">
        <v>77</v>
      </c>
      <c r="E2862" s="128" t="s">
        <v>135</v>
      </c>
      <c r="F2862" s="128">
        <v>169474</v>
      </c>
      <c r="G2862" s="128">
        <v>51346</v>
      </c>
      <c r="H2862" s="128">
        <v>55313</v>
      </c>
      <c r="I2862" s="128">
        <v>275</v>
      </c>
    </row>
    <row r="2863" spans="1:9" ht="13.5">
      <c r="A2863" s="128">
        <v>2001</v>
      </c>
      <c r="B2863" s="128" t="s">
        <v>137</v>
      </c>
      <c r="C2863" s="128" t="s">
        <v>23</v>
      </c>
      <c r="D2863" s="128" t="s">
        <v>79</v>
      </c>
      <c r="E2863" s="128" t="s">
        <v>132</v>
      </c>
      <c r="F2863" s="128">
        <v>2156140</v>
      </c>
      <c r="G2863" s="128">
        <v>1446746</v>
      </c>
      <c r="H2863" s="128">
        <v>494480</v>
      </c>
      <c r="I2863" s="128">
        <v>26094</v>
      </c>
    </row>
    <row r="2864" spans="1:9" ht="13.5">
      <c r="A2864" s="128">
        <v>2001</v>
      </c>
      <c r="B2864" s="128" t="s">
        <v>137</v>
      </c>
      <c r="C2864" s="128" t="s">
        <v>23</v>
      </c>
      <c r="D2864" s="128" t="s">
        <v>79</v>
      </c>
      <c r="E2864" s="128" t="s">
        <v>133</v>
      </c>
      <c r="F2864" s="128">
        <v>896764</v>
      </c>
      <c r="G2864" s="128">
        <v>493281</v>
      </c>
      <c r="H2864" s="128">
        <v>174334</v>
      </c>
      <c r="I2864" s="128">
        <v>5399</v>
      </c>
    </row>
    <row r="2865" spans="1:9" ht="13.5">
      <c r="A2865" s="128">
        <v>2001</v>
      </c>
      <c r="B2865" s="128" t="s">
        <v>137</v>
      </c>
      <c r="C2865" s="128" t="s">
        <v>23</v>
      </c>
      <c r="D2865" s="128" t="s">
        <v>79</v>
      </c>
      <c r="E2865" s="128" t="s">
        <v>134</v>
      </c>
      <c r="F2865" s="128">
        <v>787861</v>
      </c>
      <c r="G2865" s="128">
        <v>340219</v>
      </c>
      <c r="H2865" s="128">
        <v>116628</v>
      </c>
      <c r="I2865" s="128">
        <v>3355</v>
      </c>
    </row>
    <row r="2866" spans="1:9" ht="13.5">
      <c r="A2866" s="128">
        <v>2001</v>
      </c>
      <c r="B2866" s="128" t="s">
        <v>137</v>
      </c>
      <c r="C2866" s="128" t="s">
        <v>23</v>
      </c>
      <c r="D2866" s="128" t="s">
        <v>79</v>
      </c>
      <c r="E2866" s="128" t="s">
        <v>135</v>
      </c>
      <c r="F2866" s="128">
        <v>387540</v>
      </c>
      <c r="G2866" s="128">
        <v>144047</v>
      </c>
      <c r="H2866" s="128">
        <v>55444</v>
      </c>
      <c r="I2866" s="128">
        <v>1404</v>
      </c>
    </row>
    <row r="2867" spans="1:9" ht="13.5">
      <c r="A2867" s="128">
        <v>2001</v>
      </c>
      <c r="B2867" s="128" t="s">
        <v>137</v>
      </c>
      <c r="C2867" s="128" t="s">
        <v>23</v>
      </c>
      <c r="D2867" s="128" t="s">
        <v>79</v>
      </c>
      <c r="E2867" s="128" t="s">
        <v>136</v>
      </c>
      <c r="F2867" s="128">
        <v>5383823</v>
      </c>
      <c r="G2867" s="128">
        <v>4060988</v>
      </c>
      <c r="H2867" s="128">
        <v>1322723</v>
      </c>
      <c r="I2867" s="128">
        <v>89563</v>
      </c>
    </row>
    <row r="2868" spans="1:9" ht="13.5">
      <c r="A2868" s="128">
        <v>2001</v>
      </c>
      <c r="B2868" s="128" t="s">
        <v>137</v>
      </c>
      <c r="C2868" s="128" t="s">
        <v>23</v>
      </c>
      <c r="D2868" s="128" t="s">
        <v>76</v>
      </c>
      <c r="E2868" s="128" t="s">
        <v>132</v>
      </c>
      <c r="F2868" s="128">
        <v>9215964</v>
      </c>
      <c r="G2868" s="128">
        <v>6070964</v>
      </c>
      <c r="H2868" s="128">
        <v>3145001</v>
      </c>
      <c r="I2868" s="128">
        <v>120143</v>
      </c>
    </row>
    <row r="2869" spans="1:9" ht="13.5">
      <c r="A2869" s="128">
        <v>2001</v>
      </c>
      <c r="B2869" s="128" t="s">
        <v>137</v>
      </c>
      <c r="C2869" s="128" t="s">
        <v>23</v>
      </c>
      <c r="D2869" s="128" t="s">
        <v>76</v>
      </c>
      <c r="E2869" s="128" t="s">
        <v>133</v>
      </c>
      <c r="F2869" s="128">
        <v>21264045</v>
      </c>
      <c r="G2869" s="128">
        <v>11738560</v>
      </c>
      <c r="H2869" s="128">
        <v>9525520</v>
      </c>
      <c r="I2869" s="128">
        <v>101909</v>
      </c>
    </row>
    <row r="2870" spans="1:9" ht="13.5">
      <c r="A2870" s="128">
        <v>2001</v>
      </c>
      <c r="B2870" s="128" t="s">
        <v>137</v>
      </c>
      <c r="C2870" s="128" t="s">
        <v>23</v>
      </c>
      <c r="D2870" s="128" t="s">
        <v>76</v>
      </c>
      <c r="E2870" s="128" t="s">
        <v>134</v>
      </c>
      <c r="F2870" s="128">
        <v>727778</v>
      </c>
      <c r="G2870" s="128">
        <v>358100</v>
      </c>
      <c r="H2870" s="128">
        <v>369678</v>
      </c>
      <c r="I2870" s="128">
        <v>2574</v>
      </c>
    </row>
    <row r="2871" spans="1:9" ht="13.5">
      <c r="A2871" s="128">
        <v>2001</v>
      </c>
      <c r="B2871" s="128" t="s">
        <v>137</v>
      </c>
      <c r="C2871" s="128" t="s">
        <v>23</v>
      </c>
      <c r="D2871" s="128" t="s">
        <v>76</v>
      </c>
      <c r="E2871" s="128" t="s">
        <v>135</v>
      </c>
      <c r="F2871" s="128">
        <v>865948</v>
      </c>
      <c r="G2871" s="128">
        <v>292277</v>
      </c>
      <c r="H2871" s="128">
        <v>573670</v>
      </c>
      <c r="I2871" s="128">
        <v>1465</v>
      </c>
    </row>
    <row r="2872" spans="1:9" ht="13.5">
      <c r="A2872" s="128">
        <v>2001</v>
      </c>
      <c r="B2872" s="128" t="s">
        <v>137</v>
      </c>
      <c r="C2872" s="128" t="s">
        <v>23</v>
      </c>
      <c r="D2872" s="128" t="s">
        <v>76</v>
      </c>
      <c r="E2872" s="128" t="s">
        <v>136</v>
      </c>
      <c r="F2872" s="128">
        <v>925028</v>
      </c>
      <c r="G2872" s="128">
        <v>713182</v>
      </c>
      <c r="H2872" s="128">
        <v>211937</v>
      </c>
      <c r="I2872" s="128">
        <v>5420</v>
      </c>
    </row>
    <row r="2873" spans="1:9" ht="13.5">
      <c r="A2873" s="128">
        <v>2001</v>
      </c>
      <c r="B2873" s="128" t="s">
        <v>137</v>
      </c>
      <c r="C2873" s="128" t="s">
        <v>25</v>
      </c>
      <c r="D2873" s="128" t="s">
        <v>77</v>
      </c>
      <c r="E2873" s="128" t="s">
        <v>132</v>
      </c>
      <c r="F2873" s="128">
        <v>66219</v>
      </c>
      <c r="G2873" s="128">
        <v>42035</v>
      </c>
      <c r="H2873" s="128">
        <v>23536</v>
      </c>
      <c r="I2873" s="128">
        <v>666</v>
      </c>
    </row>
    <row r="2874" spans="1:9" ht="13.5">
      <c r="A2874" s="128">
        <v>2001</v>
      </c>
      <c r="B2874" s="128" t="s">
        <v>137</v>
      </c>
      <c r="C2874" s="128" t="s">
        <v>25</v>
      </c>
      <c r="D2874" s="128" t="s">
        <v>77</v>
      </c>
      <c r="E2874" s="128" t="s">
        <v>133</v>
      </c>
      <c r="F2874" s="128">
        <v>142114</v>
      </c>
      <c r="G2874" s="128">
        <v>78693</v>
      </c>
      <c r="H2874" s="128">
        <v>61511</v>
      </c>
      <c r="I2874" s="128">
        <v>394</v>
      </c>
    </row>
    <row r="2875" spans="1:9" ht="13.5">
      <c r="A2875" s="128">
        <v>2001</v>
      </c>
      <c r="B2875" s="128" t="s">
        <v>137</v>
      </c>
      <c r="C2875" s="128" t="s">
        <v>25</v>
      </c>
      <c r="D2875" s="128" t="s">
        <v>77</v>
      </c>
      <c r="E2875" s="128" t="s">
        <v>134</v>
      </c>
      <c r="F2875" s="128">
        <v>29533</v>
      </c>
      <c r="G2875" s="128">
        <v>13786</v>
      </c>
      <c r="H2875" s="128">
        <v>12201</v>
      </c>
      <c r="I2875" s="128">
        <v>150</v>
      </c>
    </row>
    <row r="2876" spans="1:9" ht="13.5">
      <c r="A2876" s="128">
        <v>2001</v>
      </c>
      <c r="B2876" s="128" t="s">
        <v>137</v>
      </c>
      <c r="C2876" s="128" t="s">
        <v>25</v>
      </c>
      <c r="D2876" s="128" t="s">
        <v>77</v>
      </c>
      <c r="E2876" s="128" t="s">
        <v>135</v>
      </c>
      <c r="F2876" s="128">
        <v>24080</v>
      </c>
      <c r="G2876" s="128">
        <v>5745</v>
      </c>
      <c r="H2876" s="128">
        <v>4808</v>
      </c>
      <c r="I2876" s="128">
        <v>37</v>
      </c>
    </row>
    <row r="2877" spans="1:9" ht="13.5">
      <c r="A2877" s="128">
        <v>2001</v>
      </c>
      <c r="B2877" s="128" t="s">
        <v>137</v>
      </c>
      <c r="C2877" s="128" t="s">
        <v>25</v>
      </c>
      <c r="D2877" s="128" t="s">
        <v>79</v>
      </c>
      <c r="E2877" s="128" t="s">
        <v>132</v>
      </c>
      <c r="F2877" s="128">
        <v>1009424</v>
      </c>
      <c r="G2877" s="128">
        <v>670001</v>
      </c>
      <c r="H2877" s="128">
        <v>222483</v>
      </c>
      <c r="I2877" s="128">
        <v>8171</v>
      </c>
    </row>
    <row r="2878" spans="1:9" ht="13.5">
      <c r="A2878" s="128">
        <v>2001</v>
      </c>
      <c r="B2878" s="128" t="s">
        <v>137</v>
      </c>
      <c r="C2878" s="128" t="s">
        <v>25</v>
      </c>
      <c r="D2878" s="128" t="s">
        <v>79</v>
      </c>
      <c r="E2878" s="128" t="s">
        <v>133</v>
      </c>
      <c r="F2878" s="128">
        <v>914195</v>
      </c>
      <c r="G2878" s="128">
        <v>500733</v>
      </c>
      <c r="H2878" s="128">
        <v>167675</v>
      </c>
      <c r="I2878" s="128">
        <v>6269</v>
      </c>
    </row>
    <row r="2879" spans="1:9" ht="13.5">
      <c r="A2879" s="128">
        <v>2001</v>
      </c>
      <c r="B2879" s="128" t="s">
        <v>137</v>
      </c>
      <c r="C2879" s="128" t="s">
        <v>25</v>
      </c>
      <c r="D2879" s="128" t="s">
        <v>79</v>
      </c>
      <c r="E2879" s="128" t="s">
        <v>134</v>
      </c>
      <c r="F2879" s="128">
        <v>1087231</v>
      </c>
      <c r="G2879" s="128">
        <v>478040</v>
      </c>
      <c r="H2879" s="128">
        <v>161628</v>
      </c>
      <c r="I2879" s="128">
        <v>4774</v>
      </c>
    </row>
    <row r="2880" spans="1:9" ht="13.5">
      <c r="A2880" s="128">
        <v>2001</v>
      </c>
      <c r="B2880" s="128" t="s">
        <v>137</v>
      </c>
      <c r="C2880" s="128" t="s">
        <v>25</v>
      </c>
      <c r="D2880" s="128" t="s">
        <v>79</v>
      </c>
      <c r="E2880" s="128" t="s">
        <v>135</v>
      </c>
      <c r="F2880" s="128">
        <v>1830011</v>
      </c>
      <c r="G2880" s="128">
        <v>483393</v>
      </c>
      <c r="H2880" s="128">
        <v>162333</v>
      </c>
      <c r="I2880" s="128">
        <v>4331</v>
      </c>
    </row>
    <row r="2881" spans="1:9" ht="13.5">
      <c r="A2881" s="128">
        <v>2001</v>
      </c>
      <c r="B2881" s="128" t="s">
        <v>137</v>
      </c>
      <c r="C2881" s="128" t="s">
        <v>25</v>
      </c>
      <c r="D2881" s="128" t="s">
        <v>79</v>
      </c>
      <c r="E2881" s="128" t="s">
        <v>136</v>
      </c>
      <c r="F2881" s="128">
        <v>2298363</v>
      </c>
      <c r="G2881" s="128">
        <v>1725651</v>
      </c>
      <c r="H2881" s="128">
        <v>572712</v>
      </c>
      <c r="I2881" s="128">
        <v>34913</v>
      </c>
    </row>
    <row r="2882" spans="1:9" ht="13.5">
      <c r="A2882" s="128">
        <v>2001</v>
      </c>
      <c r="B2882" s="128" t="s">
        <v>137</v>
      </c>
      <c r="C2882" s="128" t="s">
        <v>25</v>
      </c>
      <c r="D2882" s="128" t="s">
        <v>76</v>
      </c>
      <c r="E2882" s="128" t="s">
        <v>132</v>
      </c>
      <c r="F2882" s="128">
        <v>1739110</v>
      </c>
      <c r="G2882" s="128">
        <v>1132239</v>
      </c>
      <c r="H2882" s="128">
        <v>606871</v>
      </c>
      <c r="I2882" s="128">
        <v>18395</v>
      </c>
    </row>
    <row r="2883" spans="1:9" ht="13.5">
      <c r="A2883" s="128">
        <v>2001</v>
      </c>
      <c r="B2883" s="128" t="s">
        <v>137</v>
      </c>
      <c r="C2883" s="128" t="s">
        <v>25</v>
      </c>
      <c r="D2883" s="128" t="s">
        <v>76</v>
      </c>
      <c r="E2883" s="128" t="s">
        <v>133</v>
      </c>
      <c r="F2883" s="128">
        <v>1755712</v>
      </c>
      <c r="G2883" s="128">
        <v>965203</v>
      </c>
      <c r="H2883" s="128">
        <v>790508</v>
      </c>
      <c r="I2883" s="128">
        <v>6088</v>
      </c>
    </row>
    <row r="2884" spans="1:9" ht="13.5">
      <c r="A2884" s="128">
        <v>2001</v>
      </c>
      <c r="B2884" s="128" t="s">
        <v>137</v>
      </c>
      <c r="C2884" s="128" t="s">
        <v>25</v>
      </c>
      <c r="D2884" s="128" t="s">
        <v>76</v>
      </c>
      <c r="E2884" s="128" t="s">
        <v>134</v>
      </c>
      <c r="F2884" s="128">
        <v>389811</v>
      </c>
      <c r="G2884" s="128">
        <v>183575</v>
      </c>
      <c r="H2884" s="128">
        <v>206236</v>
      </c>
      <c r="I2884" s="128">
        <v>560</v>
      </c>
    </row>
    <row r="2885" spans="1:9" ht="13.5">
      <c r="A2885" s="128">
        <v>2001</v>
      </c>
      <c r="B2885" s="128" t="s">
        <v>137</v>
      </c>
      <c r="C2885" s="128" t="s">
        <v>25</v>
      </c>
      <c r="D2885" s="128" t="s">
        <v>76</v>
      </c>
      <c r="E2885" s="128" t="s">
        <v>135</v>
      </c>
      <c r="F2885" s="128">
        <v>320299</v>
      </c>
      <c r="G2885" s="128">
        <v>103653</v>
      </c>
      <c r="H2885" s="128">
        <v>216645</v>
      </c>
      <c r="I2885" s="128">
        <v>577</v>
      </c>
    </row>
    <row r="2886" spans="1:9" ht="13.5">
      <c r="A2886" s="128">
        <v>2001</v>
      </c>
      <c r="B2886" s="128" t="s">
        <v>137</v>
      </c>
      <c r="C2886" s="128" t="s">
        <v>25</v>
      </c>
      <c r="D2886" s="128" t="s">
        <v>76</v>
      </c>
      <c r="E2886" s="128" t="s">
        <v>136</v>
      </c>
      <c r="F2886" s="128">
        <v>201890</v>
      </c>
      <c r="G2886" s="128">
        <v>163025</v>
      </c>
      <c r="H2886" s="128">
        <v>38804</v>
      </c>
      <c r="I2886" s="128">
        <v>4178</v>
      </c>
    </row>
    <row r="2887" spans="1:9" ht="13.5">
      <c r="A2887" s="128">
        <v>2001</v>
      </c>
      <c r="B2887" s="128" t="s">
        <v>137</v>
      </c>
      <c r="C2887" s="128" t="s">
        <v>21</v>
      </c>
      <c r="D2887" s="128" t="s">
        <v>77</v>
      </c>
      <c r="E2887" s="128" t="s">
        <v>132</v>
      </c>
      <c r="F2887" s="128">
        <v>1402838</v>
      </c>
      <c r="G2887" s="128">
        <v>897970</v>
      </c>
      <c r="H2887" s="128">
        <v>461098</v>
      </c>
      <c r="I2887" s="128">
        <v>11001</v>
      </c>
    </row>
    <row r="2888" spans="1:9" ht="13.5">
      <c r="A2888" s="128">
        <v>2001</v>
      </c>
      <c r="B2888" s="128" t="s">
        <v>137</v>
      </c>
      <c r="C2888" s="128" t="s">
        <v>21</v>
      </c>
      <c r="D2888" s="128" t="s">
        <v>77</v>
      </c>
      <c r="E2888" s="128" t="s">
        <v>133</v>
      </c>
      <c r="F2888" s="128">
        <v>3110869</v>
      </c>
      <c r="G2888" s="128">
        <v>1684320</v>
      </c>
      <c r="H2888" s="128">
        <v>1239834</v>
      </c>
      <c r="I2888" s="128">
        <v>15208</v>
      </c>
    </row>
    <row r="2889" spans="1:9" ht="13.5">
      <c r="A2889" s="128">
        <v>2001</v>
      </c>
      <c r="B2889" s="128" t="s">
        <v>137</v>
      </c>
      <c r="C2889" s="128" t="s">
        <v>21</v>
      </c>
      <c r="D2889" s="128" t="s">
        <v>77</v>
      </c>
      <c r="E2889" s="128" t="s">
        <v>134</v>
      </c>
      <c r="F2889" s="128">
        <v>1484811</v>
      </c>
      <c r="G2889" s="128">
        <v>659221</v>
      </c>
      <c r="H2889" s="128">
        <v>469236</v>
      </c>
      <c r="I2889" s="128">
        <v>5769</v>
      </c>
    </row>
    <row r="2890" spans="1:9" ht="13.5">
      <c r="A2890" s="128">
        <v>2001</v>
      </c>
      <c r="B2890" s="128" t="s">
        <v>137</v>
      </c>
      <c r="C2890" s="128" t="s">
        <v>21</v>
      </c>
      <c r="D2890" s="128" t="s">
        <v>77</v>
      </c>
      <c r="E2890" s="128" t="s">
        <v>135</v>
      </c>
      <c r="F2890" s="128">
        <v>967095</v>
      </c>
      <c r="G2890" s="128">
        <v>274906</v>
      </c>
      <c r="H2890" s="128">
        <v>241994</v>
      </c>
      <c r="I2890" s="128">
        <v>2395</v>
      </c>
    </row>
    <row r="2891" spans="1:9" ht="13.5">
      <c r="A2891" s="128">
        <v>2001</v>
      </c>
      <c r="B2891" s="128" t="s">
        <v>137</v>
      </c>
      <c r="C2891" s="128" t="s">
        <v>21</v>
      </c>
      <c r="D2891" s="128" t="s">
        <v>79</v>
      </c>
      <c r="E2891" s="128" t="s">
        <v>132</v>
      </c>
      <c r="F2891" s="128">
        <v>8566240</v>
      </c>
      <c r="G2891" s="128">
        <v>5802644</v>
      </c>
      <c r="H2891" s="128">
        <v>1960117</v>
      </c>
      <c r="I2891" s="128">
        <v>70050</v>
      </c>
    </row>
    <row r="2892" spans="1:9" ht="13.5">
      <c r="A2892" s="128">
        <v>2001</v>
      </c>
      <c r="B2892" s="128" t="s">
        <v>137</v>
      </c>
      <c r="C2892" s="128" t="s">
        <v>21</v>
      </c>
      <c r="D2892" s="128" t="s">
        <v>79</v>
      </c>
      <c r="E2892" s="128" t="s">
        <v>133</v>
      </c>
      <c r="F2892" s="128">
        <v>7946856</v>
      </c>
      <c r="G2892" s="128">
        <v>4344720</v>
      </c>
      <c r="H2892" s="128">
        <v>1459878</v>
      </c>
      <c r="I2892" s="128">
        <v>46874</v>
      </c>
    </row>
    <row r="2893" spans="1:9" ht="13.5">
      <c r="A2893" s="128">
        <v>2001</v>
      </c>
      <c r="B2893" s="128" t="s">
        <v>137</v>
      </c>
      <c r="C2893" s="128" t="s">
        <v>21</v>
      </c>
      <c r="D2893" s="128" t="s">
        <v>79</v>
      </c>
      <c r="E2893" s="128" t="s">
        <v>134</v>
      </c>
      <c r="F2893" s="128">
        <v>10791640</v>
      </c>
      <c r="G2893" s="128">
        <v>4745868</v>
      </c>
      <c r="H2893" s="128">
        <v>1589923</v>
      </c>
      <c r="I2893" s="128">
        <v>54519</v>
      </c>
    </row>
    <row r="2894" spans="1:9" ht="13.5">
      <c r="A2894" s="128">
        <v>2001</v>
      </c>
      <c r="B2894" s="128" t="s">
        <v>137</v>
      </c>
      <c r="C2894" s="128" t="s">
        <v>21</v>
      </c>
      <c r="D2894" s="128" t="s">
        <v>79</v>
      </c>
      <c r="E2894" s="128" t="s">
        <v>135</v>
      </c>
      <c r="F2894" s="128">
        <v>6185386</v>
      </c>
      <c r="G2894" s="128">
        <v>1771974</v>
      </c>
      <c r="H2894" s="128">
        <v>599062</v>
      </c>
      <c r="I2894" s="128">
        <v>13394</v>
      </c>
    </row>
    <row r="2895" spans="1:9" ht="13.5">
      <c r="A2895" s="128">
        <v>2001</v>
      </c>
      <c r="B2895" s="128" t="s">
        <v>137</v>
      </c>
      <c r="C2895" s="128" t="s">
        <v>21</v>
      </c>
      <c r="D2895" s="128" t="s">
        <v>79</v>
      </c>
      <c r="E2895" s="128" t="s">
        <v>136</v>
      </c>
      <c r="F2895" s="128">
        <v>18686223</v>
      </c>
      <c r="G2895" s="128">
        <v>14074280</v>
      </c>
      <c r="H2895" s="128">
        <v>4611855</v>
      </c>
      <c r="I2895" s="128">
        <v>249357</v>
      </c>
    </row>
    <row r="2896" spans="1:9" ht="13.5">
      <c r="A2896" s="128">
        <v>2001</v>
      </c>
      <c r="B2896" s="128" t="s">
        <v>137</v>
      </c>
      <c r="C2896" s="128" t="s">
        <v>21</v>
      </c>
      <c r="D2896" s="128" t="s">
        <v>76</v>
      </c>
      <c r="E2896" s="128" t="s">
        <v>132</v>
      </c>
      <c r="F2896" s="128">
        <v>22669777</v>
      </c>
      <c r="G2896" s="128">
        <v>14432064</v>
      </c>
      <c r="H2896" s="128">
        <v>8237713</v>
      </c>
      <c r="I2896" s="128">
        <v>247060</v>
      </c>
    </row>
    <row r="2897" spans="1:9" ht="13.5">
      <c r="A2897" s="128">
        <v>2001</v>
      </c>
      <c r="B2897" s="128" t="s">
        <v>137</v>
      </c>
      <c r="C2897" s="128" t="s">
        <v>21</v>
      </c>
      <c r="D2897" s="128" t="s">
        <v>76</v>
      </c>
      <c r="E2897" s="128" t="s">
        <v>133</v>
      </c>
      <c r="F2897" s="128">
        <v>31004715</v>
      </c>
      <c r="G2897" s="128">
        <v>16959741</v>
      </c>
      <c r="H2897" s="128">
        <v>14044973</v>
      </c>
      <c r="I2897" s="128">
        <v>188862</v>
      </c>
    </row>
    <row r="2898" spans="1:9" ht="13.5">
      <c r="A2898" s="128">
        <v>2001</v>
      </c>
      <c r="B2898" s="128" t="s">
        <v>137</v>
      </c>
      <c r="C2898" s="128" t="s">
        <v>21</v>
      </c>
      <c r="D2898" s="128" t="s">
        <v>76</v>
      </c>
      <c r="E2898" s="128" t="s">
        <v>134</v>
      </c>
      <c r="F2898" s="128">
        <v>4697271</v>
      </c>
      <c r="G2898" s="128">
        <v>2185630</v>
      </c>
      <c r="H2898" s="128">
        <v>2511641</v>
      </c>
      <c r="I2898" s="128">
        <v>20469</v>
      </c>
    </row>
    <row r="2899" spans="1:9" ht="13.5">
      <c r="A2899" s="128">
        <v>2001</v>
      </c>
      <c r="B2899" s="128" t="s">
        <v>137</v>
      </c>
      <c r="C2899" s="128" t="s">
        <v>21</v>
      </c>
      <c r="D2899" s="128" t="s">
        <v>76</v>
      </c>
      <c r="E2899" s="128" t="s">
        <v>135</v>
      </c>
      <c r="F2899" s="128">
        <v>2159497</v>
      </c>
      <c r="G2899" s="128">
        <v>735534</v>
      </c>
      <c r="H2899" s="128">
        <v>1423963</v>
      </c>
      <c r="I2899" s="128">
        <v>3772</v>
      </c>
    </row>
    <row r="2900" spans="1:9" ht="13.5">
      <c r="A2900" s="128">
        <v>2001</v>
      </c>
      <c r="B2900" s="128" t="s">
        <v>137</v>
      </c>
      <c r="C2900" s="128" t="s">
        <v>21</v>
      </c>
      <c r="D2900" s="128" t="s">
        <v>76</v>
      </c>
      <c r="E2900" s="128" t="s">
        <v>136</v>
      </c>
      <c r="F2900" s="128">
        <v>1907919</v>
      </c>
      <c r="G2900" s="128">
        <v>1470260</v>
      </c>
      <c r="H2900" s="128">
        <v>437697</v>
      </c>
      <c r="I2900" s="128">
        <v>15901</v>
      </c>
    </row>
    <row r="2901" spans="1:9" ht="13.5">
      <c r="A2901" s="128">
        <v>2001</v>
      </c>
      <c r="B2901" s="128" t="s">
        <v>137</v>
      </c>
      <c r="C2901" s="128" t="s">
        <v>24</v>
      </c>
      <c r="D2901" s="128" t="s">
        <v>77</v>
      </c>
      <c r="E2901" s="128" t="s">
        <v>132</v>
      </c>
      <c r="F2901" s="128">
        <v>418044</v>
      </c>
      <c r="G2901" s="128">
        <v>276047</v>
      </c>
      <c r="H2901" s="128">
        <v>121624</v>
      </c>
      <c r="I2901" s="128">
        <v>4154</v>
      </c>
    </row>
    <row r="2902" spans="1:9" ht="13.5">
      <c r="A2902" s="128">
        <v>2001</v>
      </c>
      <c r="B2902" s="128" t="s">
        <v>137</v>
      </c>
      <c r="C2902" s="128" t="s">
        <v>24</v>
      </c>
      <c r="D2902" s="128" t="s">
        <v>77</v>
      </c>
      <c r="E2902" s="128" t="s">
        <v>133</v>
      </c>
      <c r="F2902" s="128">
        <v>726820</v>
      </c>
      <c r="G2902" s="128">
        <v>393100</v>
      </c>
      <c r="H2902" s="128">
        <v>290125</v>
      </c>
      <c r="I2902" s="128">
        <v>3467</v>
      </c>
    </row>
    <row r="2903" spans="1:9" ht="13.5">
      <c r="A2903" s="128">
        <v>2001</v>
      </c>
      <c r="B2903" s="128" t="s">
        <v>137</v>
      </c>
      <c r="C2903" s="128" t="s">
        <v>24</v>
      </c>
      <c r="D2903" s="128" t="s">
        <v>77</v>
      </c>
      <c r="E2903" s="128" t="s">
        <v>134</v>
      </c>
      <c r="F2903" s="128">
        <v>645927</v>
      </c>
      <c r="G2903" s="128">
        <v>286749</v>
      </c>
      <c r="H2903" s="128">
        <v>221545</v>
      </c>
      <c r="I2903" s="128">
        <v>2450</v>
      </c>
    </row>
    <row r="2904" spans="1:9" ht="13.5">
      <c r="A2904" s="128">
        <v>2001</v>
      </c>
      <c r="B2904" s="128" t="s">
        <v>137</v>
      </c>
      <c r="C2904" s="128" t="s">
        <v>24</v>
      </c>
      <c r="D2904" s="128" t="s">
        <v>77</v>
      </c>
      <c r="E2904" s="128" t="s">
        <v>135</v>
      </c>
      <c r="F2904" s="128">
        <v>448576</v>
      </c>
      <c r="G2904" s="128">
        <v>125537</v>
      </c>
      <c r="H2904" s="128">
        <v>144167</v>
      </c>
      <c r="I2904" s="128">
        <v>1120</v>
      </c>
    </row>
    <row r="2905" spans="1:9" ht="13.5">
      <c r="A2905" s="128">
        <v>2001</v>
      </c>
      <c r="B2905" s="128" t="s">
        <v>137</v>
      </c>
      <c r="C2905" s="128" t="s">
        <v>24</v>
      </c>
      <c r="D2905" s="128" t="s">
        <v>79</v>
      </c>
      <c r="E2905" s="128" t="s">
        <v>132</v>
      </c>
      <c r="F2905" s="128">
        <v>2525000</v>
      </c>
      <c r="G2905" s="128">
        <v>1667002</v>
      </c>
      <c r="H2905" s="128">
        <v>519842</v>
      </c>
      <c r="I2905" s="128">
        <v>22646</v>
      </c>
    </row>
    <row r="2906" spans="1:9" ht="13.5">
      <c r="A2906" s="128">
        <v>2001</v>
      </c>
      <c r="B2906" s="128" t="s">
        <v>137</v>
      </c>
      <c r="C2906" s="128" t="s">
        <v>24</v>
      </c>
      <c r="D2906" s="128" t="s">
        <v>79</v>
      </c>
      <c r="E2906" s="128" t="s">
        <v>133</v>
      </c>
      <c r="F2906" s="128">
        <v>2435165</v>
      </c>
      <c r="G2906" s="128">
        <v>1311484</v>
      </c>
      <c r="H2906" s="128">
        <v>437458</v>
      </c>
      <c r="I2906" s="128">
        <v>11746</v>
      </c>
    </row>
    <row r="2907" spans="1:9" ht="13.5">
      <c r="A2907" s="128">
        <v>2001</v>
      </c>
      <c r="B2907" s="128" t="s">
        <v>137</v>
      </c>
      <c r="C2907" s="128" t="s">
        <v>24</v>
      </c>
      <c r="D2907" s="128" t="s">
        <v>79</v>
      </c>
      <c r="E2907" s="128" t="s">
        <v>134</v>
      </c>
      <c r="F2907" s="128">
        <v>3170846</v>
      </c>
      <c r="G2907" s="128">
        <v>1357461</v>
      </c>
      <c r="H2907" s="128">
        <v>468835</v>
      </c>
      <c r="I2907" s="128">
        <v>11931</v>
      </c>
    </row>
    <row r="2908" spans="1:9" ht="13.5">
      <c r="A2908" s="128">
        <v>2001</v>
      </c>
      <c r="B2908" s="128" t="s">
        <v>137</v>
      </c>
      <c r="C2908" s="128" t="s">
        <v>24</v>
      </c>
      <c r="D2908" s="128" t="s">
        <v>79</v>
      </c>
      <c r="E2908" s="128" t="s">
        <v>135</v>
      </c>
      <c r="F2908" s="128">
        <v>2409273</v>
      </c>
      <c r="G2908" s="128">
        <v>650111</v>
      </c>
      <c r="H2908" s="128">
        <v>256094</v>
      </c>
      <c r="I2908" s="128">
        <v>5474</v>
      </c>
    </row>
    <row r="2909" spans="1:9" ht="13.5">
      <c r="A2909" s="128">
        <v>2001</v>
      </c>
      <c r="B2909" s="128" t="s">
        <v>137</v>
      </c>
      <c r="C2909" s="128" t="s">
        <v>24</v>
      </c>
      <c r="D2909" s="128" t="s">
        <v>79</v>
      </c>
      <c r="E2909" s="128" t="s">
        <v>136</v>
      </c>
      <c r="F2909" s="128">
        <v>3584909</v>
      </c>
      <c r="G2909" s="128">
        <v>2720921</v>
      </c>
      <c r="H2909" s="128">
        <v>863988</v>
      </c>
      <c r="I2909" s="128">
        <v>38749</v>
      </c>
    </row>
    <row r="2910" spans="1:9" ht="13.5">
      <c r="A2910" s="128">
        <v>2001</v>
      </c>
      <c r="B2910" s="128" t="s">
        <v>137</v>
      </c>
      <c r="C2910" s="128" t="s">
        <v>24</v>
      </c>
      <c r="D2910" s="128" t="s">
        <v>76</v>
      </c>
      <c r="E2910" s="128" t="s">
        <v>132</v>
      </c>
      <c r="F2910" s="128">
        <v>8785540</v>
      </c>
      <c r="G2910" s="128">
        <v>5728270</v>
      </c>
      <c r="H2910" s="128">
        <v>3057268</v>
      </c>
      <c r="I2910" s="128">
        <v>95461</v>
      </c>
    </row>
    <row r="2911" spans="1:9" ht="13.5">
      <c r="A2911" s="128">
        <v>2001</v>
      </c>
      <c r="B2911" s="128" t="s">
        <v>137</v>
      </c>
      <c r="C2911" s="128" t="s">
        <v>24</v>
      </c>
      <c r="D2911" s="128" t="s">
        <v>76</v>
      </c>
      <c r="E2911" s="128" t="s">
        <v>133</v>
      </c>
      <c r="F2911" s="128">
        <v>8643891</v>
      </c>
      <c r="G2911" s="128">
        <v>4765680</v>
      </c>
      <c r="H2911" s="128">
        <v>3878212</v>
      </c>
      <c r="I2911" s="128">
        <v>46387</v>
      </c>
    </row>
    <row r="2912" spans="1:9" ht="13.5">
      <c r="A2912" s="128">
        <v>2001</v>
      </c>
      <c r="B2912" s="128" t="s">
        <v>137</v>
      </c>
      <c r="C2912" s="128" t="s">
        <v>24</v>
      </c>
      <c r="D2912" s="128" t="s">
        <v>76</v>
      </c>
      <c r="E2912" s="128" t="s">
        <v>134</v>
      </c>
      <c r="F2912" s="128">
        <v>4979621</v>
      </c>
      <c r="G2912" s="128">
        <v>2230838</v>
      </c>
      <c r="H2912" s="128">
        <v>2748783</v>
      </c>
      <c r="I2912" s="128">
        <v>21804</v>
      </c>
    </row>
    <row r="2913" spans="1:9" ht="13.5">
      <c r="A2913" s="128">
        <v>2001</v>
      </c>
      <c r="B2913" s="128" t="s">
        <v>137</v>
      </c>
      <c r="C2913" s="128" t="s">
        <v>24</v>
      </c>
      <c r="D2913" s="128" t="s">
        <v>76</v>
      </c>
      <c r="E2913" s="128" t="s">
        <v>135</v>
      </c>
      <c r="F2913" s="128">
        <v>2594326</v>
      </c>
      <c r="G2913" s="128">
        <v>781819</v>
      </c>
      <c r="H2913" s="128">
        <v>1812507</v>
      </c>
      <c r="I2913" s="128">
        <v>6773</v>
      </c>
    </row>
    <row r="2914" spans="1:9" ht="13.5">
      <c r="A2914" s="128">
        <v>2001</v>
      </c>
      <c r="B2914" s="128" t="s">
        <v>137</v>
      </c>
      <c r="C2914" s="128" t="s">
        <v>24</v>
      </c>
      <c r="D2914" s="128" t="s">
        <v>76</v>
      </c>
      <c r="E2914" s="128" t="s">
        <v>136</v>
      </c>
      <c r="F2914" s="128">
        <v>3524315</v>
      </c>
      <c r="G2914" s="128">
        <v>2684521</v>
      </c>
      <c r="H2914" s="128">
        <v>839795</v>
      </c>
      <c r="I2914" s="128">
        <v>43795</v>
      </c>
    </row>
    <row r="2915" spans="1:9" ht="13.5">
      <c r="A2915" s="128">
        <v>2002</v>
      </c>
      <c r="B2915" s="128" t="s">
        <v>131</v>
      </c>
      <c r="C2915" s="128" t="s">
        <v>26</v>
      </c>
      <c r="D2915" s="128" t="s">
        <v>77</v>
      </c>
      <c r="E2915" s="128" t="s">
        <v>132</v>
      </c>
      <c r="F2915" s="128">
        <v>0</v>
      </c>
      <c r="G2915" s="128">
        <v>0</v>
      </c>
      <c r="H2915" s="128">
        <v>0</v>
      </c>
      <c r="I2915" s="128">
        <v>0</v>
      </c>
    </row>
    <row r="2916" spans="1:9" ht="13.5">
      <c r="A2916" s="128">
        <v>2002</v>
      </c>
      <c r="B2916" s="128" t="s">
        <v>131</v>
      </c>
      <c r="C2916" s="128" t="s">
        <v>26</v>
      </c>
      <c r="D2916" s="128" t="s">
        <v>77</v>
      </c>
      <c r="E2916" s="128" t="s">
        <v>133</v>
      </c>
      <c r="F2916" s="128">
        <v>0</v>
      </c>
      <c r="G2916" s="128">
        <v>0</v>
      </c>
      <c r="H2916" s="128">
        <v>0</v>
      </c>
      <c r="I2916" s="128">
        <v>0</v>
      </c>
    </row>
    <row r="2917" spans="1:9" ht="13.5">
      <c r="A2917" s="128">
        <v>2002</v>
      </c>
      <c r="B2917" s="128" t="s">
        <v>131</v>
      </c>
      <c r="C2917" s="128" t="s">
        <v>26</v>
      </c>
      <c r="D2917" s="128" t="s">
        <v>77</v>
      </c>
      <c r="E2917" s="128" t="s">
        <v>134</v>
      </c>
      <c r="F2917" s="128">
        <v>0</v>
      </c>
      <c r="G2917" s="128">
        <v>0</v>
      </c>
      <c r="H2917" s="128">
        <v>0</v>
      </c>
      <c r="I2917" s="128">
        <v>0</v>
      </c>
    </row>
    <row r="2918" spans="1:9" ht="13.5">
      <c r="A2918" s="128">
        <v>2002</v>
      </c>
      <c r="B2918" s="128" t="s">
        <v>131</v>
      </c>
      <c r="C2918" s="128" t="s">
        <v>26</v>
      </c>
      <c r="D2918" s="128" t="s">
        <v>77</v>
      </c>
      <c r="E2918" s="128" t="s">
        <v>135</v>
      </c>
      <c r="F2918" s="128">
        <v>0</v>
      </c>
      <c r="G2918" s="128">
        <v>0</v>
      </c>
      <c r="H2918" s="128">
        <v>0</v>
      </c>
      <c r="I2918" s="128">
        <v>0</v>
      </c>
    </row>
    <row r="2919" spans="1:9" ht="13.5">
      <c r="A2919" s="128">
        <v>2002</v>
      </c>
      <c r="B2919" s="128" t="s">
        <v>131</v>
      </c>
      <c r="C2919" s="128" t="s">
        <v>26</v>
      </c>
      <c r="D2919" s="128" t="s">
        <v>79</v>
      </c>
      <c r="E2919" s="128" t="s">
        <v>132</v>
      </c>
      <c r="F2919" s="128">
        <v>0</v>
      </c>
      <c r="G2919" s="128">
        <v>0</v>
      </c>
      <c r="H2919" s="128">
        <v>0</v>
      </c>
      <c r="I2919" s="128">
        <v>0</v>
      </c>
    </row>
    <row r="2920" spans="1:9" ht="13.5">
      <c r="A2920" s="128">
        <v>2002</v>
      </c>
      <c r="B2920" s="128" t="s">
        <v>131</v>
      </c>
      <c r="C2920" s="128" t="s">
        <v>26</v>
      </c>
      <c r="D2920" s="128" t="s">
        <v>79</v>
      </c>
      <c r="E2920" s="128" t="s">
        <v>133</v>
      </c>
      <c r="F2920" s="128">
        <v>0</v>
      </c>
      <c r="G2920" s="128">
        <v>0</v>
      </c>
      <c r="H2920" s="128">
        <v>0</v>
      </c>
      <c r="I2920" s="128">
        <v>0</v>
      </c>
    </row>
    <row r="2921" spans="1:9" ht="13.5">
      <c r="A2921" s="128">
        <v>2002</v>
      </c>
      <c r="B2921" s="128" t="s">
        <v>131</v>
      </c>
      <c r="C2921" s="128" t="s">
        <v>26</v>
      </c>
      <c r="D2921" s="128" t="s">
        <v>79</v>
      </c>
      <c r="E2921" s="128" t="s">
        <v>134</v>
      </c>
      <c r="F2921" s="128">
        <v>0</v>
      </c>
      <c r="G2921" s="128">
        <v>0</v>
      </c>
      <c r="H2921" s="128">
        <v>0</v>
      </c>
      <c r="I2921" s="128">
        <v>0</v>
      </c>
    </row>
    <row r="2922" spans="1:9" ht="13.5">
      <c r="A2922" s="128">
        <v>2002</v>
      </c>
      <c r="B2922" s="128" t="s">
        <v>131</v>
      </c>
      <c r="C2922" s="128" t="s">
        <v>26</v>
      </c>
      <c r="D2922" s="128" t="s">
        <v>79</v>
      </c>
      <c r="E2922" s="128" t="s">
        <v>135</v>
      </c>
      <c r="F2922" s="128">
        <v>0</v>
      </c>
      <c r="G2922" s="128">
        <v>0</v>
      </c>
      <c r="H2922" s="128">
        <v>0</v>
      </c>
      <c r="I2922" s="128">
        <v>0</v>
      </c>
    </row>
    <row r="2923" spans="1:9" ht="13.5">
      <c r="A2923" s="128">
        <v>2002</v>
      </c>
      <c r="B2923" s="128" t="s">
        <v>131</v>
      </c>
      <c r="C2923" s="128" t="s">
        <v>26</v>
      </c>
      <c r="D2923" s="128" t="s">
        <v>79</v>
      </c>
      <c r="E2923" s="128" t="s">
        <v>136</v>
      </c>
      <c r="F2923" s="128">
        <v>0</v>
      </c>
      <c r="G2923" s="128">
        <v>0</v>
      </c>
      <c r="H2923" s="128">
        <v>0</v>
      </c>
      <c r="I2923" s="128">
        <v>0</v>
      </c>
    </row>
    <row r="2924" spans="1:9" ht="13.5">
      <c r="A2924" s="128">
        <v>2002</v>
      </c>
      <c r="B2924" s="128" t="s">
        <v>131</v>
      </c>
      <c r="C2924" s="128" t="s">
        <v>26</v>
      </c>
      <c r="D2924" s="128" t="s">
        <v>76</v>
      </c>
      <c r="E2924" s="128" t="s">
        <v>132</v>
      </c>
      <c r="F2924" s="128">
        <v>0</v>
      </c>
      <c r="G2924" s="128">
        <v>0</v>
      </c>
      <c r="H2924" s="128">
        <v>0</v>
      </c>
      <c r="I2924" s="128">
        <v>0</v>
      </c>
    </row>
    <row r="2925" spans="1:9" ht="13.5">
      <c r="A2925" s="128">
        <v>2002</v>
      </c>
      <c r="B2925" s="128" t="s">
        <v>131</v>
      </c>
      <c r="C2925" s="128" t="s">
        <v>26</v>
      </c>
      <c r="D2925" s="128" t="s">
        <v>76</v>
      </c>
      <c r="E2925" s="128" t="s">
        <v>133</v>
      </c>
      <c r="F2925" s="128">
        <v>0</v>
      </c>
      <c r="G2925" s="128">
        <v>0</v>
      </c>
      <c r="H2925" s="128">
        <v>0</v>
      </c>
      <c r="I2925" s="128">
        <v>0</v>
      </c>
    </row>
    <row r="2926" spans="1:9" ht="13.5">
      <c r="A2926" s="128">
        <v>2002</v>
      </c>
      <c r="B2926" s="128" t="s">
        <v>131</v>
      </c>
      <c r="C2926" s="128" t="s">
        <v>26</v>
      </c>
      <c r="D2926" s="128" t="s">
        <v>76</v>
      </c>
      <c r="E2926" s="128" t="s">
        <v>134</v>
      </c>
      <c r="F2926" s="128">
        <v>0</v>
      </c>
      <c r="G2926" s="128">
        <v>0</v>
      </c>
      <c r="H2926" s="128">
        <v>0</v>
      </c>
      <c r="I2926" s="128">
        <v>0</v>
      </c>
    </row>
    <row r="2927" spans="1:9" ht="13.5">
      <c r="A2927" s="128">
        <v>2002</v>
      </c>
      <c r="B2927" s="128" t="s">
        <v>131</v>
      </c>
      <c r="C2927" s="128" t="s">
        <v>26</v>
      </c>
      <c r="D2927" s="128" t="s">
        <v>76</v>
      </c>
      <c r="E2927" s="128" t="s">
        <v>135</v>
      </c>
      <c r="F2927" s="128">
        <v>0</v>
      </c>
      <c r="G2927" s="128">
        <v>0</v>
      </c>
      <c r="H2927" s="128">
        <v>0</v>
      </c>
      <c r="I2927" s="128">
        <v>0</v>
      </c>
    </row>
    <row r="2928" spans="1:9" ht="13.5">
      <c r="A2928" s="128">
        <v>2002</v>
      </c>
      <c r="B2928" s="128" t="s">
        <v>131</v>
      </c>
      <c r="C2928" s="128" t="s">
        <v>26</v>
      </c>
      <c r="D2928" s="128" t="s">
        <v>76</v>
      </c>
      <c r="E2928" s="128" t="s">
        <v>136</v>
      </c>
      <c r="F2928" s="128">
        <v>0</v>
      </c>
      <c r="G2928" s="128">
        <v>0</v>
      </c>
      <c r="H2928" s="128">
        <v>0</v>
      </c>
      <c r="I2928" s="128">
        <v>0</v>
      </c>
    </row>
    <row r="2929" spans="1:9" ht="13.5">
      <c r="A2929" s="128">
        <v>2002</v>
      </c>
      <c r="B2929" s="128" t="s">
        <v>131</v>
      </c>
      <c r="C2929" s="128" t="s">
        <v>20</v>
      </c>
      <c r="D2929" s="128" t="s">
        <v>77</v>
      </c>
      <c r="E2929" s="128" t="s">
        <v>132</v>
      </c>
      <c r="F2929" s="128">
        <v>755396</v>
      </c>
      <c r="G2929" s="128">
        <v>491505</v>
      </c>
      <c r="H2929" s="128">
        <v>212094</v>
      </c>
      <c r="I2929" s="128">
        <v>5641</v>
      </c>
    </row>
    <row r="2930" spans="1:9" ht="13.5">
      <c r="A2930" s="128">
        <v>2002</v>
      </c>
      <c r="B2930" s="128" t="s">
        <v>131</v>
      </c>
      <c r="C2930" s="128" t="s">
        <v>20</v>
      </c>
      <c r="D2930" s="128" t="s">
        <v>77</v>
      </c>
      <c r="E2930" s="128" t="s">
        <v>133</v>
      </c>
      <c r="F2930" s="128">
        <v>1721461</v>
      </c>
      <c r="G2930" s="128">
        <v>934361</v>
      </c>
      <c r="H2930" s="128">
        <v>593196</v>
      </c>
      <c r="I2930" s="128">
        <v>12635</v>
      </c>
    </row>
    <row r="2931" spans="1:9" ht="13.5">
      <c r="A2931" s="128">
        <v>2002</v>
      </c>
      <c r="B2931" s="128" t="s">
        <v>131</v>
      </c>
      <c r="C2931" s="128" t="s">
        <v>20</v>
      </c>
      <c r="D2931" s="128" t="s">
        <v>77</v>
      </c>
      <c r="E2931" s="128" t="s">
        <v>134</v>
      </c>
      <c r="F2931" s="128">
        <v>2497748</v>
      </c>
      <c r="G2931" s="128">
        <v>1100453</v>
      </c>
      <c r="H2931" s="128">
        <v>896802</v>
      </c>
      <c r="I2931" s="128">
        <v>11761</v>
      </c>
    </row>
    <row r="2932" spans="1:9" ht="13.5">
      <c r="A2932" s="128">
        <v>2002</v>
      </c>
      <c r="B2932" s="128" t="s">
        <v>131</v>
      </c>
      <c r="C2932" s="128" t="s">
        <v>20</v>
      </c>
      <c r="D2932" s="128" t="s">
        <v>77</v>
      </c>
      <c r="E2932" s="128" t="s">
        <v>135</v>
      </c>
      <c r="F2932" s="128">
        <v>2177359</v>
      </c>
      <c r="G2932" s="128">
        <v>632079</v>
      </c>
      <c r="H2932" s="128">
        <v>573056</v>
      </c>
      <c r="I2932" s="128">
        <v>6731</v>
      </c>
    </row>
    <row r="2933" spans="1:9" ht="13.5">
      <c r="A2933" s="128">
        <v>2002</v>
      </c>
      <c r="B2933" s="128" t="s">
        <v>131</v>
      </c>
      <c r="C2933" s="128" t="s">
        <v>20</v>
      </c>
      <c r="D2933" s="128" t="s">
        <v>79</v>
      </c>
      <c r="E2933" s="128" t="s">
        <v>132</v>
      </c>
      <c r="F2933" s="128">
        <v>6384066</v>
      </c>
      <c r="G2933" s="128">
        <v>4217330</v>
      </c>
      <c r="H2933" s="128">
        <v>1432689</v>
      </c>
      <c r="I2933" s="128">
        <v>52636</v>
      </c>
    </row>
    <row r="2934" spans="1:9" ht="13.5">
      <c r="A2934" s="128">
        <v>2002</v>
      </c>
      <c r="B2934" s="128" t="s">
        <v>131</v>
      </c>
      <c r="C2934" s="128" t="s">
        <v>20</v>
      </c>
      <c r="D2934" s="128" t="s">
        <v>79</v>
      </c>
      <c r="E2934" s="128" t="s">
        <v>133</v>
      </c>
      <c r="F2934" s="128">
        <v>8603323</v>
      </c>
      <c r="G2934" s="128">
        <v>4676539</v>
      </c>
      <c r="H2934" s="128">
        <v>1593783</v>
      </c>
      <c r="I2934" s="128">
        <v>55943</v>
      </c>
    </row>
    <row r="2935" spans="1:9" ht="13.5">
      <c r="A2935" s="128">
        <v>2002</v>
      </c>
      <c r="B2935" s="128" t="s">
        <v>131</v>
      </c>
      <c r="C2935" s="128" t="s">
        <v>20</v>
      </c>
      <c r="D2935" s="128" t="s">
        <v>79</v>
      </c>
      <c r="E2935" s="128" t="s">
        <v>134</v>
      </c>
      <c r="F2935" s="128">
        <v>22773267</v>
      </c>
      <c r="G2935" s="128">
        <v>9771511</v>
      </c>
      <c r="H2935" s="128">
        <v>3284331</v>
      </c>
      <c r="I2935" s="128">
        <v>98348</v>
      </c>
    </row>
    <row r="2936" spans="1:9" ht="13.5">
      <c r="A2936" s="128">
        <v>2002</v>
      </c>
      <c r="B2936" s="128" t="s">
        <v>131</v>
      </c>
      <c r="C2936" s="128" t="s">
        <v>20</v>
      </c>
      <c r="D2936" s="128" t="s">
        <v>79</v>
      </c>
      <c r="E2936" s="128" t="s">
        <v>135</v>
      </c>
      <c r="F2936" s="128">
        <v>33700512</v>
      </c>
      <c r="G2936" s="128">
        <v>9719402</v>
      </c>
      <c r="H2936" s="128">
        <v>3316897</v>
      </c>
      <c r="I2936" s="128">
        <v>82292</v>
      </c>
    </row>
    <row r="2937" spans="1:9" ht="13.5">
      <c r="A2937" s="128">
        <v>2002</v>
      </c>
      <c r="B2937" s="128" t="s">
        <v>131</v>
      </c>
      <c r="C2937" s="128" t="s">
        <v>20</v>
      </c>
      <c r="D2937" s="128" t="s">
        <v>79</v>
      </c>
      <c r="E2937" s="128" t="s">
        <v>136</v>
      </c>
      <c r="F2937" s="128">
        <v>22519744</v>
      </c>
      <c r="G2937" s="128">
        <v>17003110</v>
      </c>
      <c r="H2937" s="128">
        <v>5516635</v>
      </c>
      <c r="I2937" s="128">
        <v>374579</v>
      </c>
    </row>
    <row r="2938" spans="1:9" ht="13.5">
      <c r="A2938" s="128">
        <v>2002</v>
      </c>
      <c r="B2938" s="128" t="s">
        <v>131</v>
      </c>
      <c r="C2938" s="128" t="s">
        <v>20</v>
      </c>
      <c r="D2938" s="128" t="s">
        <v>76</v>
      </c>
      <c r="E2938" s="128" t="s">
        <v>132</v>
      </c>
      <c r="F2938" s="128">
        <v>21801407</v>
      </c>
      <c r="G2938" s="128">
        <v>14048208</v>
      </c>
      <c r="H2938" s="128">
        <v>7752699</v>
      </c>
      <c r="I2938" s="128">
        <v>269728</v>
      </c>
    </row>
    <row r="2939" spans="1:9" ht="13.5">
      <c r="A2939" s="128">
        <v>2002</v>
      </c>
      <c r="B2939" s="128" t="s">
        <v>131</v>
      </c>
      <c r="C2939" s="128" t="s">
        <v>20</v>
      </c>
      <c r="D2939" s="128" t="s">
        <v>76</v>
      </c>
      <c r="E2939" s="128" t="s">
        <v>133</v>
      </c>
      <c r="F2939" s="128">
        <v>36156147</v>
      </c>
      <c r="G2939" s="128">
        <v>19612879</v>
      </c>
      <c r="H2939" s="128">
        <v>16542598</v>
      </c>
      <c r="I2939" s="128">
        <v>215249</v>
      </c>
    </row>
    <row r="2940" spans="1:9" ht="13.5">
      <c r="A2940" s="128">
        <v>2002</v>
      </c>
      <c r="B2940" s="128" t="s">
        <v>131</v>
      </c>
      <c r="C2940" s="128" t="s">
        <v>20</v>
      </c>
      <c r="D2940" s="128" t="s">
        <v>76</v>
      </c>
      <c r="E2940" s="128" t="s">
        <v>134</v>
      </c>
      <c r="F2940" s="128">
        <v>4918226</v>
      </c>
      <c r="G2940" s="128">
        <v>2322626</v>
      </c>
      <c r="H2940" s="128">
        <v>2595493</v>
      </c>
      <c r="I2940" s="128">
        <v>34974</v>
      </c>
    </row>
    <row r="2941" spans="1:9" ht="13.5">
      <c r="A2941" s="128">
        <v>2002</v>
      </c>
      <c r="B2941" s="128" t="s">
        <v>131</v>
      </c>
      <c r="C2941" s="128" t="s">
        <v>20</v>
      </c>
      <c r="D2941" s="128" t="s">
        <v>76</v>
      </c>
      <c r="E2941" s="128" t="s">
        <v>135</v>
      </c>
      <c r="F2941" s="128">
        <v>5758326</v>
      </c>
      <c r="G2941" s="128">
        <v>1455880</v>
      </c>
      <c r="H2941" s="128">
        <v>4303756</v>
      </c>
      <c r="I2941" s="128">
        <v>5328</v>
      </c>
    </row>
    <row r="2942" spans="1:9" ht="13.5">
      <c r="A2942" s="128">
        <v>2002</v>
      </c>
      <c r="B2942" s="128" t="s">
        <v>131</v>
      </c>
      <c r="C2942" s="128" t="s">
        <v>20</v>
      </c>
      <c r="D2942" s="128" t="s">
        <v>76</v>
      </c>
      <c r="E2942" s="128" t="s">
        <v>136</v>
      </c>
      <c r="F2942" s="128">
        <v>1518316</v>
      </c>
      <c r="G2942" s="128">
        <v>1142843</v>
      </c>
      <c r="H2942" s="128">
        <v>375467</v>
      </c>
      <c r="I2942" s="128">
        <v>27592</v>
      </c>
    </row>
    <row r="2943" spans="1:9" ht="13.5">
      <c r="A2943" s="128">
        <v>2002</v>
      </c>
      <c r="B2943" s="128" t="s">
        <v>131</v>
      </c>
      <c r="C2943" s="128" t="s">
        <v>27</v>
      </c>
      <c r="D2943" s="128" t="s">
        <v>77</v>
      </c>
      <c r="E2943" s="128" t="s">
        <v>132</v>
      </c>
      <c r="F2943" s="128">
        <v>9891</v>
      </c>
      <c r="G2943" s="128">
        <v>6406</v>
      </c>
      <c r="H2943" s="128">
        <v>2843</v>
      </c>
      <c r="I2943" s="128">
        <v>51</v>
      </c>
    </row>
    <row r="2944" spans="1:9" ht="13.5">
      <c r="A2944" s="128">
        <v>2002</v>
      </c>
      <c r="B2944" s="128" t="s">
        <v>131</v>
      </c>
      <c r="C2944" s="128" t="s">
        <v>27</v>
      </c>
      <c r="D2944" s="128" t="s">
        <v>77</v>
      </c>
      <c r="E2944" s="128" t="s">
        <v>133</v>
      </c>
      <c r="F2944" s="128">
        <v>24958</v>
      </c>
      <c r="G2944" s="128">
        <v>13595</v>
      </c>
      <c r="H2944" s="128">
        <v>9008</v>
      </c>
      <c r="I2944" s="128">
        <v>112</v>
      </c>
    </row>
    <row r="2945" spans="1:9" ht="13.5">
      <c r="A2945" s="128">
        <v>2002</v>
      </c>
      <c r="B2945" s="128" t="s">
        <v>131</v>
      </c>
      <c r="C2945" s="128" t="s">
        <v>27</v>
      </c>
      <c r="D2945" s="128" t="s">
        <v>77</v>
      </c>
      <c r="E2945" s="128" t="s">
        <v>134</v>
      </c>
      <c r="F2945" s="128">
        <v>45014</v>
      </c>
      <c r="G2945" s="128">
        <v>19706</v>
      </c>
      <c r="H2945" s="128">
        <v>17151</v>
      </c>
      <c r="I2945" s="128">
        <v>152</v>
      </c>
    </row>
    <row r="2946" spans="1:9" ht="13.5">
      <c r="A2946" s="128">
        <v>2002</v>
      </c>
      <c r="B2946" s="128" t="s">
        <v>131</v>
      </c>
      <c r="C2946" s="128" t="s">
        <v>27</v>
      </c>
      <c r="D2946" s="128" t="s">
        <v>77</v>
      </c>
      <c r="E2946" s="128" t="s">
        <v>135</v>
      </c>
      <c r="F2946" s="128">
        <v>58674</v>
      </c>
      <c r="G2946" s="128">
        <v>14643</v>
      </c>
      <c r="H2946" s="128">
        <v>20835</v>
      </c>
      <c r="I2946" s="128">
        <v>101</v>
      </c>
    </row>
    <row r="2947" spans="1:9" ht="13.5">
      <c r="A2947" s="128">
        <v>2002</v>
      </c>
      <c r="B2947" s="128" t="s">
        <v>131</v>
      </c>
      <c r="C2947" s="128" t="s">
        <v>27</v>
      </c>
      <c r="D2947" s="128" t="s">
        <v>79</v>
      </c>
      <c r="E2947" s="128" t="s">
        <v>132</v>
      </c>
      <c r="F2947" s="128">
        <v>81038</v>
      </c>
      <c r="G2947" s="128">
        <v>55256</v>
      </c>
      <c r="H2947" s="128">
        <v>18394</v>
      </c>
      <c r="I2947" s="128">
        <v>366</v>
      </c>
    </row>
    <row r="2948" spans="1:9" ht="13.5">
      <c r="A2948" s="128">
        <v>2002</v>
      </c>
      <c r="B2948" s="128" t="s">
        <v>131</v>
      </c>
      <c r="C2948" s="128" t="s">
        <v>27</v>
      </c>
      <c r="D2948" s="128" t="s">
        <v>79</v>
      </c>
      <c r="E2948" s="128" t="s">
        <v>133</v>
      </c>
      <c r="F2948" s="128">
        <v>76861</v>
      </c>
      <c r="G2948" s="128">
        <v>42381</v>
      </c>
      <c r="H2948" s="128">
        <v>14088</v>
      </c>
      <c r="I2948" s="128">
        <v>426</v>
      </c>
    </row>
    <row r="2949" spans="1:9" ht="13.5">
      <c r="A2949" s="128">
        <v>2002</v>
      </c>
      <c r="B2949" s="128" t="s">
        <v>131</v>
      </c>
      <c r="C2949" s="128" t="s">
        <v>27</v>
      </c>
      <c r="D2949" s="128" t="s">
        <v>79</v>
      </c>
      <c r="E2949" s="128" t="s">
        <v>134</v>
      </c>
      <c r="F2949" s="128">
        <v>206749</v>
      </c>
      <c r="G2949" s="128">
        <v>88181</v>
      </c>
      <c r="H2949" s="128">
        <v>29203</v>
      </c>
      <c r="I2949" s="128">
        <v>1009</v>
      </c>
    </row>
    <row r="2950" spans="1:9" ht="13.5">
      <c r="A2950" s="128">
        <v>2002</v>
      </c>
      <c r="B2950" s="128" t="s">
        <v>131</v>
      </c>
      <c r="C2950" s="128" t="s">
        <v>27</v>
      </c>
      <c r="D2950" s="128" t="s">
        <v>79</v>
      </c>
      <c r="E2950" s="128" t="s">
        <v>135</v>
      </c>
      <c r="F2950" s="128">
        <v>290194</v>
      </c>
      <c r="G2950" s="128">
        <v>90989</v>
      </c>
      <c r="H2950" s="128">
        <v>30300</v>
      </c>
      <c r="I2950" s="128">
        <v>814</v>
      </c>
    </row>
    <row r="2951" spans="1:9" ht="13.5">
      <c r="A2951" s="128">
        <v>2002</v>
      </c>
      <c r="B2951" s="128" t="s">
        <v>131</v>
      </c>
      <c r="C2951" s="128" t="s">
        <v>27</v>
      </c>
      <c r="D2951" s="128" t="s">
        <v>79</v>
      </c>
      <c r="E2951" s="128" t="s">
        <v>136</v>
      </c>
      <c r="F2951" s="128">
        <v>218679</v>
      </c>
      <c r="G2951" s="128">
        <v>164984</v>
      </c>
      <c r="H2951" s="128">
        <v>53695</v>
      </c>
      <c r="I2951" s="128">
        <v>3002</v>
      </c>
    </row>
    <row r="2952" spans="1:9" ht="13.5">
      <c r="A2952" s="128">
        <v>2002</v>
      </c>
      <c r="B2952" s="128" t="s">
        <v>131</v>
      </c>
      <c r="C2952" s="128" t="s">
        <v>27</v>
      </c>
      <c r="D2952" s="128" t="s">
        <v>76</v>
      </c>
      <c r="E2952" s="128" t="s">
        <v>132</v>
      </c>
      <c r="F2952" s="128">
        <v>243588</v>
      </c>
      <c r="G2952" s="128">
        <v>155843</v>
      </c>
      <c r="H2952" s="128">
        <v>87745</v>
      </c>
      <c r="I2952" s="128">
        <v>2898</v>
      </c>
    </row>
    <row r="2953" spans="1:9" ht="13.5">
      <c r="A2953" s="128">
        <v>2002</v>
      </c>
      <c r="B2953" s="128" t="s">
        <v>131</v>
      </c>
      <c r="C2953" s="128" t="s">
        <v>27</v>
      </c>
      <c r="D2953" s="128" t="s">
        <v>76</v>
      </c>
      <c r="E2953" s="128" t="s">
        <v>133</v>
      </c>
      <c r="F2953" s="128">
        <v>689615</v>
      </c>
      <c r="G2953" s="128">
        <v>373704</v>
      </c>
      <c r="H2953" s="128">
        <v>315912</v>
      </c>
      <c r="I2953" s="128">
        <v>4332</v>
      </c>
    </row>
    <row r="2954" spans="1:9" ht="13.5">
      <c r="A2954" s="128">
        <v>2002</v>
      </c>
      <c r="B2954" s="128" t="s">
        <v>131</v>
      </c>
      <c r="C2954" s="128" t="s">
        <v>27</v>
      </c>
      <c r="D2954" s="128" t="s">
        <v>76</v>
      </c>
      <c r="E2954" s="128" t="s">
        <v>134</v>
      </c>
      <c r="F2954" s="128">
        <v>155348</v>
      </c>
      <c r="G2954" s="128">
        <v>73740</v>
      </c>
      <c r="H2954" s="128">
        <v>81606</v>
      </c>
      <c r="I2954" s="128">
        <v>1105</v>
      </c>
    </row>
    <row r="2955" spans="1:9" ht="13.5">
      <c r="A2955" s="128">
        <v>2002</v>
      </c>
      <c r="B2955" s="128" t="s">
        <v>131</v>
      </c>
      <c r="C2955" s="128" t="s">
        <v>27</v>
      </c>
      <c r="D2955" s="128" t="s">
        <v>76</v>
      </c>
      <c r="E2955" s="128" t="s">
        <v>135</v>
      </c>
      <c r="F2955" s="128">
        <v>110320</v>
      </c>
      <c r="G2955" s="128">
        <v>33250</v>
      </c>
      <c r="H2955" s="128">
        <v>77070</v>
      </c>
      <c r="I2955" s="128">
        <v>130</v>
      </c>
    </row>
    <row r="2956" spans="1:9" ht="13.5">
      <c r="A2956" s="128">
        <v>2002</v>
      </c>
      <c r="B2956" s="128" t="s">
        <v>131</v>
      </c>
      <c r="C2956" s="128" t="s">
        <v>27</v>
      </c>
      <c r="D2956" s="128" t="s">
        <v>76</v>
      </c>
      <c r="E2956" s="128" t="s">
        <v>136</v>
      </c>
      <c r="F2956" s="128">
        <v>22694</v>
      </c>
      <c r="G2956" s="128">
        <v>17195</v>
      </c>
      <c r="H2956" s="128">
        <v>5500</v>
      </c>
      <c r="I2956" s="128">
        <v>358</v>
      </c>
    </row>
    <row r="2957" spans="1:9" ht="13.5">
      <c r="A2957" s="128">
        <v>2002</v>
      </c>
      <c r="B2957" s="128" t="s">
        <v>131</v>
      </c>
      <c r="C2957" s="128" t="s">
        <v>22</v>
      </c>
      <c r="D2957" s="128" t="s">
        <v>77</v>
      </c>
      <c r="E2957" s="128" t="s">
        <v>132</v>
      </c>
      <c r="F2957" s="128">
        <v>760088</v>
      </c>
      <c r="G2957" s="128">
        <v>477781</v>
      </c>
      <c r="H2957" s="128">
        <v>230736</v>
      </c>
      <c r="I2957" s="128">
        <v>8502</v>
      </c>
    </row>
    <row r="2958" spans="1:9" ht="13.5">
      <c r="A2958" s="128">
        <v>2002</v>
      </c>
      <c r="B2958" s="128" t="s">
        <v>131</v>
      </c>
      <c r="C2958" s="128" t="s">
        <v>22</v>
      </c>
      <c r="D2958" s="128" t="s">
        <v>77</v>
      </c>
      <c r="E2958" s="128" t="s">
        <v>133</v>
      </c>
      <c r="F2958" s="128">
        <v>1199765</v>
      </c>
      <c r="G2958" s="128">
        <v>648524</v>
      </c>
      <c r="H2958" s="128">
        <v>424979</v>
      </c>
      <c r="I2958" s="128">
        <v>6421</v>
      </c>
    </row>
    <row r="2959" spans="1:9" ht="13.5">
      <c r="A2959" s="128">
        <v>2002</v>
      </c>
      <c r="B2959" s="128" t="s">
        <v>131</v>
      </c>
      <c r="C2959" s="128" t="s">
        <v>22</v>
      </c>
      <c r="D2959" s="128" t="s">
        <v>77</v>
      </c>
      <c r="E2959" s="128" t="s">
        <v>134</v>
      </c>
      <c r="F2959" s="128">
        <v>3683306</v>
      </c>
      <c r="G2959" s="128">
        <v>1596611</v>
      </c>
      <c r="H2959" s="128">
        <v>1399112</v>
      </c>
      <c r="I2959" s="128">
        <v>13573</v>
      </c>
    </row>
    <row r="2960" spans="1:9" ht="13.5">
      <c r="A2960" s="128">
        <v>2002</v>
      </c>
      <c r="B2960" s="128" t="s">
        <v>131</v>
      </c>
      <c r="C2960" s="128" t="s">
        <v>22</v>
      </c>
      <c r="D2960" s="128" t="s">
        <v>77</v>
      </c>
      <c r="E2960" s="128" t="s">
        <v>135</v>
      </c>
      <c r="F2960" s="128">
        <v>2510371</v>
      </c>
      <c r="G2960" s="128">
        <v>742771</v>
      </c>
      <c r="H2960" s="128">
        <v>745229</v>
      </c>
      <c r="I2960" s="128">
        <v>8122</v>
      </c>
    </row>
    <row r="2961" spans="1:9" ht="13.5">
      <c r="A2961" s="128">
        <v>2002</v>
      </c>
      <c r="B2961" s="128" t="s">
        <v>131</v>
      </c>
      <c r="C2961" s="128" t="s">
        <v>22</v>
      </c>
      <c r="D2961" s="128" t="s">
        <v>79</v>
      </c>
      <c r="E2961" s="128" t="s">
        <v>132</v>
      </c>
      <c r="F2961" s="128">
        <v>4740469</v>
      </c>
      <c r="G2961" s="128">
        <v>3140900</v>
      </c>
      <c r="H2961" s="128">
        <v>1093972</v>
      </c>
      <c r="I2961" s="128">
        <v>39515</v>
      </c>
    </row>
    <row r="2962" spans="1:9" ht="13.5">
      <c r="A2962" s="128">
        <v>2002</v>
      </c>
      <c r="B2962" s="128" t="s">
        <v>131</v>
      </c>
      <c r="C2962" s="128" t="s">
        <v>22</v>
      </c>
      <c r="D2962" s="128" t="s">
        <v>79</v>
      </c>
      <c r="E2962" s="128" t="s">
        <v>133</v>
      </c>
      <c r="F2962" s="128">
        <v>5931484</v>
      </c>
      <c r="G2962" s="128">
        <v>3268036</v>
      </c>
      <c r="H2962" s="128">
        <v>1123990</v>
      </c>
      <c r="I2962" s="128">
        <v>41177</v>
      </c>
    </row>
    <row r="2963" spans="1:9" ht="13.5">
      <c r="A2963" s="128">
        <v>2002</v>
      </c>
      <c r="B2963" s="128" t="s">
        <v>131</v>
      </c>
      <c r="C2963" s="128" t="s">
        <v>22</v>
      </c>
      <c r="D2963" s="128" t="s">
        <v>79</v>
      </c>
      <c r="E2963" s="128" t="s">
        <v>134</v>
      </c>
      <c r="F2963" s="128">
        <v>11071928</v>
      </c>
      <c r="G2963" s="128">
        <v>4786719</v>
      </c>
      <c r="H2963" s="128">
        <v>1588612</v>
      </c>
      <c r="I2963" s="128">
        <v>51219</v>
      </c>
    </row>
    <row r="2964" spans="1:9" ht="13.5">
      <c r="A2964" s="128">
        <v>2002</v>
      </c>
      <c r="B2964" s="128" t="s">
        <v>131</v>
      </c>
      <c r="C2964" s="128" t="s">
        <v>22</v>
      </c>
      <c r="D2964" s="128" t="s">
        <v>79</v>
      </c>
      <c r="E2964" s="128" t="s">
        <v>135</v>
      </c>
      <c r="F2964" s="128">
        <v>9407311</v>
      </c>
      <c r="G2964" s="128">
        <v>2777813</v>
      </c>
      <c r="H2964" s="128">
        <v>931432</v>
      </c>
      <c r="I2964" s="128">
        <v>29324</v>
      </c>
    </row>
    <row r="2965" spans="1:9" ht="13.5">
      <c r="A2965" s="128">
        <v>2002</v>
      </c>
      <c r="B2965" s="128" t="s">
        <v>131</v>
      </c>
      <c r="C2965" s="128" t="s">
        <v>22</v>
      </c>
      <c r="D2965" s="128" t="s">
        <v>79</v>
      </c>
      <c r="E2965" s="128" t="s">
        <v>136</v>
      </c>
      <c r="F2965" s="128">
        <v>10239899</v>
      </c>
      <c r="G2965" s="128">
        <v>7761011</v>
      </c>
      <c r="H2965" s="128">
        <v>2478887</v>
      </c>
      <c r="I2965" s="128">
        <v>150857</v>
      </c>
    </row>
    <row r="2966" spans="1:9" ht="13.5">
      <c r="A2966" s="128">
        <v>2002</v>
      </c>
      <c r="B2966" s="128" t="s">
        <v>131</v>
      </c>
      <c r="C2966" s="128" t="s">
        <v>22</v>
      </c>
      <c r="D2966" s="128" t="s">
        <v>76</v>
      </c>
      <c r="E2966" s="128" t="s">
        <v>132</v>
      </c>
      <c r="F2966" s="128">
        <v>19124272</v>
      </c>
      <c r="G2966" s="128">
        <v>12344581</v>
      </c>
      <c r="H2966" s="128">
        <v>6779635</v>
      </c>
      <c r="I2966" s="128">
        <v>329802</v>
      </c>
    </row>
    <row r="2967" spans="1:9" ht="13.5">
      <c r="A2967" s="128">
        <v>2002</v>
      </c>
      <c r="B2967" s="128" t="s">
        <v>131</v>
      </c>
      <c r="C2967" s="128" t="s">
        <v>22</v>
      </c>
      <c r="D2967" s="128" t="s">
        <v>76</v>
      </c>
      <c r="E2967" s="128" t="s">
        <v>133</v>
      </c>
      <c r="F2967" s="128">
        <v>30920892</v>
      </c>
      <c r="G2967" s="128">
        <v>16774388</v>
      </c>
      <c r="H2967" s="128">
        <v>14146292</v>
      </c>
      <c r="I2967" s="128">
        <v>187950</v>
      </c>
    </row>
    <row r="2968" spans="1:9" ht="13.5">
      <c r="A2968" s="128">
        <v>2002</v>
      </c>
      <c r="B2968" s="128" t="s">
        <v>131</v>
      </c>
      <c r="C2968" s="128" t="s">
        <v>22</v>
      </c>
      <c r="D2968" s="128" t="s">
        <v>76</v>
      </c>
      <c r="E2968" s="128" t="s">
        <v>134</v>
      </c>
      <c r="F2968" s="128">
        <v>4190749</v>
      </c>
      <c r="G2968" s="128">
        <v>1998744</v>
      </c>
      <c r="H2968" s="128">
        <v>2191964</v>
      </c>
      <c r="I2968" s="128">
        <v>36868</v>
      </c>
    </row>
    <row r="2969" spans="1:9" ht="13.5">
      <c r="A2969" s="128">
        <v>2002</v>
      </c>
      <c r="B2969" s="128" t="s">
        <v>131</v>
      </c>
      <c r="C2969" s="128" t="s">
        <v>22</v>
      </c>
      <c r="D2969" s="128" t="s">
        <v>76</v>
      </c>
      <c r="E2969" s="128" t="s">
        <v>135</v>
      </c>
      <c r="F2969" s="128">
        <v>2858186</v>
      </c>
      <c r="G2969" s="128">
        <v>845670</v>
      </c>
      <c r="H2969" s="128">
        <v>2012825</v>
      </c>
      <c r="I2969" s="128">
        <v>3407</v>
      </c>
    </row>
    <row r="2970" spans="1:9" ht="13.5">
      <c r="A2970" s="128">
        <v>2002</v>
      </c>
      <c r="B2970" s="128" t="s">
        <v>131</v>
      </c>
      <c r="C2970" s="128" t="s">
        <v>22</v>
      </c>
      <c r="D2970" s="128" t="s">
        <v>76</v>
      </c>
      <c r="E2970" s="128" t="s">
        <v>136</v>
      </c>
      <c r="F2970" s="128">
        <v>824836</v>
      </c>
      <c r="G2970" s="128">
        <v>624810</v>
      </c>
      <c r="H2970" s="128">
        <v>200026</v>
      </c>
      <c r="I2970" s="128">
        <v>11725</v>
      </c>
    </row>
    <row r="2971" spans="1:9" ht="13.5">
      <c r="A2971" s="128">
        <v>2002</v>
      </c>
      <c r="B2971" s="128" t="s">
        <v>131</v>
      </c>
      <c r="C2971" s="128" t="s">
        <v>23</v>
      </c>
      <c r="D2971" s="128" t="s">
        <v>77</v>
      </c>
      <c r="E2971" s="128" t="s">
        <v>132</v>
      </c>
      <c r="F2971" s="128">
        <v>361417</v>
      </c>
      <c r="G2971" s="128">
        <v>236634</v>
      </c>
      <c r="H2971" s="128">
        <v>106061</v>
      </c>
      <c r="I2971" s="128">
        <v>3418</v>
      </c>
    </row>
    <row r="2972" spans="1:9" ht="13.5">
      <c r="A2972" s="128">
        <v>2002</v>
      </c>
      <c r="B2972" s="128" t="s">
        <v>131</v>
      </c>
      <c r="C2972" s="128" t="s">
        <v>23</v>
      </c>
      <c r="D2972" s="128" t="s">
        <v>77</v>
      </c>
      <c r="E2972" s="128" t="s">
        <v>133</v>
      </c>
      <c r="F2972" s="128">
        <v>671026</v>
      </c>
      <c r="G2972" s="128">
        <v>365409</v>
      </c>
      <c r="H2972" s="128">
        <v>264325</v>
      </c>
      <c r="I2972" s="128">
        <v>2996</v>
      </c>
    </row>
    <row r="2973" spans="1:9" ht="13.5">
      <c r="A2973" s="128">
        <v>2002</v>
      </c>
      <c r="B2973" s="128" t="s">
        <v>131</v>
      </c>
      <c r="C2973" s="128" t="s">
        <v>23</v>
      </c>
      <c r="D2973" s="128" t="s">
        <v>77</v>
      </c>
      <c r="E2973" s="128" t="s">
        <v>134</v>
      </c>
      <c r="F2973" s="128">
        <v>691240</v>
      </c>
      <c r="G2973" s="128">
        <v>304018</v>
      </c>
      <c r="H2973" s="128">
        <v>274743</v>
      </c>
      <c r="I2973" s="128">
        <v>3533</v>
      </c>
    </row>
    <row r="2974" spans="1:9" ht="13.5">
      <c r="A2974" s="128">
        <v>2002</v>
      </c>
      <c r="B2974" s="128" t="s">
        <v>131</v>
      </c>
      <c r="C2974" s="128" t="s">
        <v>23</v>
      </c>
      <c r="D2974" s="128" t="s">
        <v>77</v>
      </c>
      <c r="E2974" s="128" t="s">
        <v>135</v>
      </c>
      <c r="F2974" s="128">
        <v>334758</v>
      </c>
      <c r="G2974" s="128">
        <v>81579</v>
      </c>
      <c r="H2974" s="128">
        <v>78507</v>
      </c>
      <c r="I2974" s="128">
        <v>711</v>
      </c>
    </row>
    <row r="2975" spans="1:9" ht="13.5">
      <c r="A2975" s="128">
        <v>2002</v>
      </c>
      <c r="B2975" s="128" t="s">
        <v>131</v>
      </c>
      <c r="C2975" s="128" t="s">
        <v>23</v>
      </c>
      <c r="D2975" s="128" t="s">
        <v>79</v>
      </c>
      <c r="E2975" s="128" t="s">
        <v>132</v>
      </c>
      <c r="F2975" s="128">
        <v>774367</v>
      </c>
      <c r="G2975" s="128">
        <v>521702</v>
      </c>
      <c r="H2975" s="128">
        <v>175980</v>
      </c>
      <c r="I2975" s="128">
        <v>6128</v>
      </c>
    </row>
    <row r="2976" spans="1:9" ht="13.5">
      <c r="A2976" s="128">
        <v>2002</v>
      </c>
      <c r="B2976" s="128" t="s">
        <v>131</v>
      </c>
      <c r="C2976" s="128" t="s">
        <v>23</v>
      </c>
      <c r="D2976" s="128" t="s">
        <v>79</v>
      </c>
      <c r="E2976" s="128" t="s">
        <v>133</v>
      </c>
      <c r="F2976" s="128">
        <v>603358</v>
      </c>
      <c r="G2976" s="128">
        <v>325254</v>
      </c>
      <c r="H2976" s="128">
        <v>112280</v>
      </c>
      <c r="I2976" s="128">
        <v>4597</v>
      </c>
    </row>
    <row r="2977" spans="1:9" ht="13.5">
      <c r="A2977" s="128">
        <v>2002</v>
      </c>
      <c r="B2977" s="128" t="s">
        <v>131</v>
      </c>
      <c r="C2977" s="128" t="s">
        <v>23</v>
      </c>
      <c r="D2977" s="128" t="s">
        <v>79</v>
      </c>
      <c r="E2977" s="128" t="s">
        <v>134</v>
      </c>
      <c r="F2977" s="128">
        <v>774208</v>
      </c>
      <c r="G2977" s="128">
        <v>338711</v>
      </c>
      <c r="H2977" s="128">
        <v>115126</v>
      </c>
      <c r="I2977" s="128">
        <v>4506</v>
      </c>
    </row>
    <row r="2978" spans="1:9" ht="13.5">
      <c r="A2978" s="128">
        <v>2002</v>
      </c>
      <c r="B2978" s="128" t="s">
        <v>131</v>
      </c>
      <c r="C2978" s="128" t="s">
        <v>23</v>
      </c>
      <c r="D2978" s="128" t="s">
        <v>79</v>
      </c>
      <c r="E2978" s="128" t="s">
        <v>135</v>
      </c>
      <c r="F2978" s="128">
        <v>646687</v>
      </c>
      <c r="G2978" s="128">
        <v>179287</v>
      </c>
      <c r="H2978" s="128">
        <v>62239</v>
      </c>
      <c r="I2978" s="128">
        <v>1990</v>
      </c>
    </row>
    <row r="2979" spans="1:9" ht="13.5">
      <c r="A2979" s="128">
        <v>2002</v>
      </c>
      <c r="B2979" s="128" t="s">
        <v>131</v>
      </c>
      <c r="C2979" s="128" t="s">
        <v>23</v>
      </c>
      <c r="D2979" s="128" t="s">
        <v>79</v>
      </c>
      <c r="E2979" s="128" t="s">
        <v>136</v>
      </c>
      <c r="F2979" s="128">
        <v>3919739</v>
      </c>
      <c r="G2979" s="128">
        <v>2952930</v>
      </c>
      <c r="H2979" s="128">
        <v>966773</v>
      </c>
      <c r="I2979" s="128">
        <v>71352</v>
      </c>
    </row>
    <row r="2980" spans="1:9" ht="13.5">
      <c r="A2980" s="128">
        <v>2002</v>
      </c>
      <c r="B2980" s="128" t="s">
        <v>131</v>
      </c>
      <c r="C2980" s="128" t="s">
        <v>23</v>
      </c>
      <c r="D2980" s="128" t="s">
        <v>76</v>
      </c>
      <c r="E2980" s="128" t="s">
        <v>132</v>
      </c>
      <c r="F2980" s="128">
        <v>9779294</v>
      </c>
      <c r="G2980" s="128">
        <v>6383878</v>
      </c>
      <c r="H2980" s="128">
        <v>3395419</v>
      </c>
      <c r="I2980" s="128">
        <v>155373</v>
      </c>
    </row>
    <row r="2981" spans="1:9" ht="13.5">
      <c r="A2981" s="128">
        <v>2002</v>
      </c>
      <c r="B2981" s="128" t="s">
        <v>131</v>
      </c>
      <c r="C2981" s="128" t="s">
        <v>23</v>
      </c>
      <c r="D2981" s="128" t="s">
        <v>76</v>
      </c>
      <c r="E2981" s="128" t="s">
        <v>133</v>
      </c>
      <c r="F2981" s="128">
        <v>17815140</v>
      </c>
      <c r="G2981" s="128">
        <v>9723330</v>
      </c>
      <c r="H2981" s="128">
        <v>8091810</v>
      </c>
      <c r="I2981" s="128">
        <v>79728</v>
      </c>
    </row>
    <row r="2982" spans="1:9" ht="13.5">
      <c r="A2982" s="128">
        <v>2002</v>
      </c>
      <c r="B2982" s="128" t="s">
        <v>131</v>
      </c>
      <c r="C2982" s="128" t="s">
        <v>23</v>
      </c>
      <c r="D2982" s="128" t="s">
        <v>76</v>
      </c>
      <c r="E2982" s="128" t="s">
        <v>134</v>
      </c>
      <c r="F2982" s="128">
        <v>6765808</v>
      </c>
      <c r="G2982" s="128">
        <v>3260645</v>
      </c>
      <c r="H2982" s="128">
        <v>3505163</v>
      </c>
      <c r="I2982" s="128">
        <v>47905</v>
      </c>
    </row>
    <row r="2983" spans="1:9" ht="13.5">
      <c r="A2983" s="128">
        <v>2002</v>
      </c>
      <c r="B2983" s="128" t="s">
        <v>131</v>
      </c>
      <c r="C2983" s="128" t="s">
        <v>23</v>
      </c>
      <c r="D2983" s="128" t="s">
        <v>76</v>
      </c>
      <c r="E2983" s="128" t="s">
        <v>135</v>
      </c>
      <c r="F2983" s="128">
        <v>1327682</v>
      </c>
      <c r="G2983" s="128">
        <v>391494</v>
      </c>
      <c r="H2983" s="128">
        <v>936188</v>
      </c>
      <c r="I2983" s="128">
        <v>1911</v>
      </c>
    </row>
    <row r="2984" spans="1:9" ht="13.5">
      <c r="A2984" s="128">
        <v>2002</v>
      </c>
      <c r="B2984" s="128" t="s">
        <v>131</v>
      </c>
      <c r="C2984" s="128" t="s">
        <v>23</v>
      </c>
      <c r="D2984" s="128" t="s">
        <v>76</v>
      </c>
      <c r="E2984" s="128" t="s">
        <v>136</v>
      </c>
      <c r="F2984" s="128">
        <v>1135235</v>
      </c>
      <c r="G2984" s="128">
        <v>856005</v>
      </c>
      <c r="H2984" s="128">
        <v>279228</v>
      </c>
      <c r="I2984" s="128">
        <v>12323</v>
      </c>
    </row>
    <row r="2985" spans="1:9" ht="13.5">
      <c r="A2985" s="128">
        <v>2002</v>
      </c>
      <c r="B2985" s="128" t="s">
        <v>131</v>
      </c>
      <c r="C2985" s="128" t="s">
        <v>25</v>
      </c>
      <c r="D2985" s="128" t="s">
        <v>77</v>
      </c>
      <c r="E2985" s="128" t="s">
        <v>132</v>
      </c>
      <c r="F2985" s="128">
        <v>27835</v>
      </c>
      <c r="G2985" s="128">
        <v>18097</v>
      </c>
      <c r="H2985" s="128">
        <v>7664</v>
      </c>
      <c r="I2985" s="128">
        <v>179</v>
      </c>
    </row>
    <row r="2986" spans="1:9" ht="13.5">
      <c r="A2986" s="128">
        <v>2002</v>
      </c>
      <c r="B2986" s="128" t="s">
        <v>131</v>
      </c>
      <c r="C2986" s="128" t="s">
        <v>25</v>
      </c>
      <c r="D2986" s="128" t="s">
        <v>77</v>
      </c>
      <c r="E2986" s="128" t="s">
        <v>133</v>
      </c>
      <c r="F2986" s="128">
        <v>79526</v>
      </c>
      <c r="G2986" s="128">
        <v>43386</v>
      </c>
      <c r="H2986" s="128">
        <v>27543</v>
      </c>
      <c r="I2986" s="128">
        <v>401</v>
      </c>
    </row>
    <row r="2987" spans="1:9" ht="13.5">
      <c r="A2987" s="128">
        <v>2002</v>
      </c>
      <c r="B2987" s="128" t="s">
        <v>131</v>
      </c>
      <c r="C2987" s="128" t="s">
        <v>25</v>
      </c>
      <c r="D2987" s="128" t="s">
        <v>77</v>
      </c>
      <c r="E2987" s="128" t="s">
        <v>134</v>
      </c>
      <c r="F2987" s="128">
        <v>196891</v>
      </c>
      <c r="G2987" s="128">
        <v>87641</v>
      </c>
      <c r="H2987" s="128">
        <v>77533</v>
      </c>
      <c r="I2987" s="128">
        <v>921</v>
      </c>
    </row>
    <row r="2988" spans="1:9" ht="13.5">
      <c r="A2988" s="128">
        <v>2002</v>
      </c>
      <c r="B2988" s="128" t="s">
        <v>131</v>
      </c>
      <c r="C2988" s="128" t="s">
        <v>25</v>
      </c>
      <c r="D2988" s="128" t="s">
        <v>77</v>
      </c>
      <c r="E2988" s="128" t="s">
        <v>135</v>
      </c>
      <c r="F2988" s="128">
        <v>167482</v>
      </c>
      <c r="G2988" s="128">
        <v>46943</v>
      </c>
      <c r="H2988" s="128">
        <v>45550</v>
      </c>
      <c r="I2988" s="128">
        <v>552</v>
      </c>
    </row>
    <row r="2989" spans="1:9" ht="13.5">
      <c r="A2989" s="128">
        <v>2002</v>
      </c>
      <c r="B2989" s="128" t="s">
        <v>131</v>
      </c>
      <c r="C2989" s="128" t="s">
        <v>25</v>
      </c>
      <c r="D2989" s="128" t="s">
        <v>79</v>
      </c>
      <c r="E2989" s="128" t="s">
        <v>132</v>
      </c>
      <c r="F2989" s="128">
        <v>456981</v>
      </c>
      <c r="G2989" s="128">
        <v>305536</v>
      </c>
      <c r="H2989" s="128">
        <v>103408</v>
      </c>
      <c r="I2989" s="128">
        <v>3227</v>
      </c>
    </row>
    <row r="2990" spans="1:9" ht="13.5">
      <c r="A2990" s="128">
        <v>2002</v>
      </c>
      <c r="B2990" s="128" t="s">
        <v>131</v>
      </c>
      <c r="C2990" s="128" t="s">
        <v>25</v>
      </c>
      <c r="D2990" s="128" t="s">
        <v>79</v>
      </c>
      <c r="E2990" s="128" t="s">
        <v>133</v>
      </c>
      <c r="F2990" s="128">
        <v>500135</v>
      </c>
      <c r="G2990" s="128">
        <v>273819</v>
      </c>
      <c r="H2990" s="128">
        <v>91733</v>
      </c>
      <c r="I2990" s="128">
        <v>3012</v>
      </c>
    </row>
    <row r="2991" spans="1:9" ht="13.5">
      <c r="A2991" s="128">
        <v>2002</v>
      </c>
      <c r="B2991" s="128" t="s">
        <v>131</v>
      </c>
      <c r="C2991" s="128" t="s">
        <v>25</v>
      </c>
      <c r="D2991" s="128" t="s">
        <v>79</v>
      </c>
      <c r="E2991" s="128" t="s">
        <v>134</v>
      </c>
      <c r="F2991" s="128">
        <v>714677</v>
      </c>
      <c r="G2991" s="128">
        <v>308100</v>
      </c>
      <c r="H2991" s="128">
        <v>103899</v>
      </c>
      <c r="I2991" s="128">
        <v>3717</v>
      </c>
    </row>
    <row r="2992" spans="1:9" ht="13.5">
      <c r="A2992" s="128">
        <v>2002</v>
      </c>
      <c r="B2992" s="128" t="s">
        <v>131</v>
      </c>
      <c r="C2992" s="128" t="s">
        <v>25</v>
      </c>
      <c r="D2992" s="128" t="s">
        <v>79</v>
      </c>
      <c r="E2992" s="128" t="s">
        <v>135</v>
      </c>
      <c r="F2992" s="128">
        <v>1142772</v>
      </c>
      <c r="G2992" s="128">
        <v>313379</v>
      </c>
      <c r="H2992" s="128">
        <v>109760</v>
      </c>
      <c r="I2992" s="128">
        <v>3221</v>
      </c>
    </row>
    <row r="2993" spans="1:9" ht="13.5">
      <c r="A2993" s="128">
        <v>2002</v>
      </c>
      <c r="B2993" s="128" t="s">
        <v>131</v>
      </c>
      <c r="C2993" s="128" t="s">
        <v>25</v>
      </c>
      <c r="D2993" s="128" t="s">
        <v>79</v>
      </c>
      <c r="E2993" s="128" t="s">
        <v>136</v>
      </c>
      <c r="F2993" s="128">
        <v>1285439</v>
      </c>
      <c r="G2993" s="128">
        <v>975052</v>
      </c>
      <c r="H2993" s="128">
        <v>310386</v>
      </c>
      <c r="I2993" s="128">
        <v>21423</v>
      </c>
    </row>
    <row r="2994" spans="1:9" ht="13.5">
      <c r="A2994" s="128">
        <v>2002</v>
      </c>
      <c r="B2994" s="128" t="s">
        <v>131</v>
      </c>
      <c r="C2994" s="128" t="s">
        <v>25</v>
      </c>
      <c r="D2994" s="128" t="s">
        <v>76</v>
      </c>
      <c r="E2994" s="128" t="s">
        <v>132</v>
      </c>
      <c r="F2994" s="128">
        <v>2393592</v>
      </c>
      <c r="G2994" s="128">
        <v>1546259</v>
      </c>
      <c r="H2994" s="128">
        <v>847424</v>
      </c>
      <c r="I2994" s="128">
        <v>33883</v>
      </c>
    </row>
    <row r="2995" spans="1:9" ht="13.5">
      <c r="A2995" s="128">
        <v>2002</v>
      </c>
      <c r="B2995" s="128" t="s">
        <v>131</v>
      </c>
      <c r="C2995" s="128" t="s">
        <v>25</v>
      </c>
      <c r="D2995" s="128" t="s">
        <v>76</v>
      </c>
      <c r="E2995" s="128" t="s">
        <v>133</v>
      </c>
      <c r="F2995" s="128">
        <v>3918693</v>
      </c>
      <c r="G2995" s="128">
        <v>2126966</v>
      </c>
      <c r="H2995" s="128">
        <v>1791728</v>
      </c>
      <c r="I2995" s="128">
        <v>21427</v>
      </c>
    </row>
    <row r="2996" spans="1:9" ht="13.5">
      <c r="A2996" s="128">
        <v>2002</v>
      </c>
      <c r="B2996" s="128" t="s">
        <v>131</v>
      </c>
      <c r="C2996" s="128" t="s">
        <v>25</v>
      </c>
      <c r="D2996" s="128" t="s">
        <v>76</v>
      </c>
      <c r="E2996" s="128" t="s">
        <v>134</v>
      </c>
      <c r="F2996" s="128">
        <v>913806</v>
      </c>
      <c r="G2996" s="128">
        <v>433353</v>
      </c>
      <c r="H2996" s="128">
        <v>480453</v>
      </c>
      <c r="I2996" s="128">
        <v>5230</v>
      </c>
    </row>
    <row r="2997" spans="1:9" ht="13.5">
      <c r="A2997" s="128">
        <v>2002</v>
      </c>
      <c r="B2997" s="128" t="s">
        <v>131</v>
      </c>
      <c r="C2997" s="128" t="s">
        <v>25</v>
      </c>
      <c r="D2997" s="128" t="s">
        <v>76</v>
      </c>
      <c r="E2997" s="128" t="s">
        <v>135</v>
      </c>
      <c r="F2997" s="128">
        <v>366159</v>
      </c>
      <c r="G2997" s="128">
        <v>108874</v>
      </c>
      <c r="H2997" s="128">
        <v>257285</v>
      </c>
      <c r="I2997" s="128">
        <v>405</v>
      </c>
    </row>
    <row r="2998" spans="1:9" ht="13.5">
      <c r="A2998" s="128">
        <v>2002</v>
      </c>
      <c r="B2998" s="128" t="s">
        <v>131</v>
      </c>
      <c r="C2998" s="128" t="s">
        <v>25</v>
      </c>
      <c r="D2998" s="128" t="s">
        <v>76</v>
      </c>
      <c r="E2998" s="128" t="s">
        <v>136</v>
      </c>
      <c r="F2998" s="128">
        <v>115719</v>
      </c>
      <c r="G2998" s="128">
        <v>92117</v>
      </c>
      <c r="H2998" s="128">
        <v>23601</v>
      </c>
      <c r="I2998" s="128">
        <v>1157</v>
      </c>
    </row>
    <row r="2999" spans="1:9" ht="13.5">
      <c r="A2999" s="128">
        <v>2002</v>
      </c>
      <c r="B2999" s="128" t="s">
        <v>131</v>
      </c>
      <c r="C2999" s="128" t="s">
        <v>21</v>
      </c>
      <c r="D2999" s="128" t="s">
        <v>77</v>
      </c>
      <c r="E2999" s="128" t="s">
        <v>132</v>
      </c>
      <c r="F2999" s="128">
        <v>1094517</v>
      </c>
      <c r="G2999" s="128">
        <v>716475</v>
      </c>
      <c r="H2999" s="128">
        <v>331127</v>
      </c>
      <c r="I2999" s="128">
        <v>7720</v>
      </c>
    </row>
    <row r="3000" spans="1:9" ht="13.5">
      <c r="A3000" s="128">
        <v>2002</v>
      </c>
      <c r="B3000" s="128" t="s">
        <v>131</v>
      </c>
      <c r="C3000" s="128" t="s">
        <v>21</v>
      </c>
      <c r="D3000" s="128" t="s">
        <v>77</v>
      </c>
      <c r="E3000" s="128" t="s">
        <v>133</v>
      </c>
      <c r="F3000" s="128">
        <v>2947798</v>
      </c>
      <c r="G3000" s="128">
        <v>1595070</v>
      </c>
      <c r="H3000" s="128">
        <v>1045533</v>
      </c>
      <c r="I3000" s="128">
        <v>16809</v>
      </c>
    </row>
    <row r="3001" spans="1:9" ht="13.5">
      <c r="A3001" s="128">
        <v>2002</v>
      </c>
      <c r="B3001" s="128" t="s">
        <v>131</v>
      </c>
      <c r="C3001" s="128" t="s">
        <v>21</v>
      </c>
      <c r="D3001" s="128" t="s">
        <v>77</v>
      </c>
      <c r="E3001" s="128" t="s">
        <v>134</v>
      </c>
      <c r="F3001" s="128">
        <v>5346967</v>
      </c>
      <c r="G3001" s="128">
        <v>2353824</v>
      </c>
      <c r="H3001" s="128">
        <v>1985373</v>
      </c>
      <c r="I3001" s="128">
        <v>27566</v>
      </c>
    </row>
    <row r="3002" spans="1:9" ht="13.5">
      <c r="A3002" s="128">
        <v>2002</v>
      </c>
      <c r="B3002" s="128" t="s">
        <v>131</v>
      </c>
      <c r="C3002" s="128" t="s">
        <v>21</v>
      </c>
      <c r="D3002" s="128" t="s">
        <v>77</v>
      </c>
      <c r="E3002" s="128" t="s">
        <v>135</v>
      </c>
      <c r="F3002" s="128">
        <v>3115983</v>
      </c>
      <c r="G3002" s="128">
        <v>879670</v>
      </c>
      <c r="H3002" s="128">
        <v>848498</v>
      </c>
      <c r="I3002" s="128">
        <v>11249</v>
      </c>
    </row>
    <row r="3003" spans="1:9" ht="13.5">
      <c r="A3003" s="128">
        <v>2002</v>
      </c>
      <c r="B3003" s="128" t="s">
        <v>131</v>
      </c>
      <c r="C3003" s="128" t="s">
        <v>21</v>
      </c>
      <c r="D3003" s="128" t="s">
        <v>79</v>
      </c>
      <c r="E3003" s="128" t="s">
        <v>132</v>
      </c>
      <c r="F3003" s="128">
        <v>4262897</v>
      </c>
      <c r="G3003" s="128">
        <v>2836233</v>
      </c>
      <c r="H3003" s="128">
        <v>957300</v>
      </c>
      <c r="I3003" s="128">
        <v>30459</v>
      </c>
    </row>
    <row r="3004" spans="1:9" ht="13.5">
      <c r="A3004" s="128">
        <v>2002</v>
      </c>
      <c r="B3004" s="128" t="s">
        <v>131</v>
      </c>
      <c r="C3004" s="128" t="s">
        <v>21</v>
      </c>
      <c r="D3004" s="128" t="s">
        <v>79</v>
      </c>
      <c r="E3004" s="128" t="s">
        <v>133</v>
      </c>
      <c r="F3004" s="128">
        <v>4314330</v>
      </c>
      <c r="G3004" s="128">
        <v>2343038</v>
      </c>
      <c r="H3004" s="128">
        <v>793757</v>
      </c>
      <c r="I3004" s="128">
        <v>27209</v>
      </c>
    </row>
    <row r="3005" spans="1:9" ht="13.5">
      <c r="A3005" s="128">
        <v>2002</v>
      </c>
      <c r="B3005" s="128" t="s">
        <v>131</v>
      </c>
      <c r="C3005" s="128" t="s">
        <v>21</v>
      </c>
      <c r="D3005" s="128" t="s">
        <v>79</v>
      </c>
      <c r="E3005" s="128" t="s">
        <v>134</v>
      </c>
      <c r="F3005" s="128">
        <v>7698362</v>
      </c>
      <c r="G3005" s="128">
        <v>3363298</v>
      </c>
      <c r="H3005" s="128">
        <v>1121689</v>
      </c>
      <c r="I3005" s="128">
        <v>43766</v>
      </c>
    </row>
    <row r="3006" spans="1:9" ht="13.5">
      <c r="A3006" s="128">
        <v>2002</v>
      </c>
      <c r="B3006" s="128" t="s">
        <v>131</v>
      </c>
      <c r="C3006" s="128" t="s">
        <v>21</v>
      </c>
      <c r="D3006" s="128" t="s">
        <v>79</v>
      </c>
      <c r="E3006" s="128" t="s">
        <v>135</v>
      </c>
      <c r="F3006" s="128">
        <v>6269045</v>
      </c>
      <c r="G3006" s="128">
        <v>1796345</v>
      </c>
      <c r="H3006" s="128">
        <v>615589</v>
      </c>
      <c r="I3006" s="128">
        <v>16944</v>
      </c>
    </row>
    <row r="3007" spans="1:9" ht="13.5">
      <c r="A3007" s="128">
        <v>2002</v>
      </c>
      <c r="B3007" s="128" t="s">
        <v>131</v>
      </c>
      <c r="C3007" s="128" t="s">
        <v>21</v>
      </c>
      <c r="D3007" s="128" t="s">
        <v>79</v>
      </c>
      <c r="E3007" s="128" t="s">
        <v>136</v>
      </c>
      <c r="F3007" s="128">
        <v>12393550</v>
      </c>
      <c r="G3007" s="128">
        <v>9360441</v>
      </c>
      <c r="H3007" s="128">
        <v>3032983</v>
      </c>
      <c r="I3007" s="128">
        <v>174837</v>
      </c>
    </row>
    <row r="3008" spans="1:9" ht="13.5">
      <c r="A3008" s="128">
        <v>2002</v>
      </c>
      <c r="B3008" s="128" t="s">
        <v>131</v>
      </c>
      <c r="C3008" s="128" t="s">
        <v>21</v>
      </c>
      <c r="D3008" s="128" t="s">
        <v>76</v>
      </c>
      <c r="E3008" s="128" t="s">
        <v>132</v>
      </c>
      <c r="F3008" s="128">
        <v>22617966</v>
      </c>
      <c r="G3008" s="128">
        <v>14341455</v>
      </c>
      <c r="H3008" s="128">
        <v>8276531</v>
      </c>
      <c r="I3008" s="128">
        <v>263461</v>
      </c>
    </row>
    <row r="3009" spans="1:9" ht="13.5">
      <c r="A3009" s="128">
        <v>2002</v>
      </c>
      <c r="B3009" s="128" t="s">
        <v>131</v>
      </c>
      <c r="C3009" s="128" t="s">
        <v>21</v>
      </c>
      <c r="D3009" s="128" t="s">
        <v>76</v>
      </c>
      <c r="E3009" s="128" t="s">
        <v>133</v>
      </c>
      <c r="F3009" s="128">
        <v>46802735</v>
      </c>
      <c r="G3009" s="128">
        <v>25768076</v>
      </c>
      <c r="H3009" s="128">
        <v>21034922</v>
      </c>
      <c r="I3009" s="128">
        <v>359603</v>
      </c>
    </row>
    <row r="3010" spans="1:9" ht="13.5">
      <c r="A3010" s="128">
        <v>2002</v>
      </c>
      <c r="B3010" s="128" t="s">
        <v>131</v>
      </c>
      <c r="C3010" s="128" t="s">
        <v>21</v>
      </c>
      <c r="D3010" s="128" t="s">
        <v>76</v>
      </c>
      <c r="E3010" s="128" t="s">
        <v>134</v>
      </c>
      <c r="F3010" s="128">
        <v>12135566</v>
      </c>
      <c r="G3010" s="128">
        <v>5867154</v>
      </c>
      <c r="H3010" s="128">
        <v>6268420</v>
      </c>
      <c r="I3010" s="128">
        <v>93976</v>
      </c>
    </row>
    <row r="3011" spans="1:9" ht="13.5">
      <c r="A3011" s="128">
        <v>2002</v>
      </c>
      <c r="B3011" s="128" t="s">
        <v>131</v>
      </c>
      <c r="C3011" s="128" t="s">
        <v>21</v>
      </c>
      <c r="D3011" s="128" t="s">
        <v>76</v>
      </c>
      <c r="E3011" s="128" t="s">
        <v>135</v>
      </c>
      <c r="F3011" s="128">
        <v>2630806</v>
      </c>
      <c r="G3011" s="128">
        <v>819971</v>
      </c>
      <c r="H3011" s="128">
        <v>1810542</v>
      </c>
      <c r="I3011" s="128">
        <v>3287</v>
      </c>
    </row>
    <row r="3012" spans="1:9" ht="13.5">
      <c r="A3012" s="128">
        <v>2002</v>
      </c>
      <c r="B3012" s="128" t="s">
        <v>131</v>
      </c>
      <c r="C3012" s="128" t="s">
        <v>21</v>
      </c>
      <c r="D3012" s="128" t="s">
        <v>76</v>
      </c>
      <c r="E3012" s="128" t="s">
        <v>136</v>
      </c>
      <c r="F3012" s="128">
        <v>2967681</v>
      </c>
      <c r="G3012" s="128">
        <v>2240724</v>
      </c>
      <c r="H3012" s="128">
        <v>726976</v>
      </c>
      <c r="I3012" s="128">
        <v>36405</v>
      </c>
    </row>
    <row r="3013" spans="1:9" ht="13.5">
      <c r="A3013" s="128">
        <v>2002</v>
      </c>
      <c r="B3013" s="128" t="s">
        <v>131</v>
      </c>
      <c r="C3013" s="128" t="s">
        <v>24</v>
      </c>
      <c r="D3013" s="128" t="s">
        <v>77</v>
      </c>
      <c r="E3013" s="128" t="s">
        <v>132</v>
      </c>
      <c r="F3013" s="128">
        <v>166276</v>
      </c>
      <c r="G3013" s="128">
        <v>108890</v>
      </c>
      <c r="H3013" s="128">
        <v>39679</v>
      </c>
      <c r="I3013" s="128">
        <v>1159</v>
      </c>
    </row>
    <row r="3014" spans="1:9" ht="13.5">
      <c r="A3014" s="128">
        <v>2002</v>
      </c>
      <c r="B3014" s="128" t="s">
        <v>131</v>
      </c>
      <c r="C3014" s="128" t="s">
        <v>24</v>
      </c>
      <c r="D3014" s="128" t="s">
        <v>77</v>
      </c>
      <c r="E3014" s="128" t="s">
        <v>133</v>
      </c>
      <c r="F3014" s="128">
        <v>753095</v>
      </c>
      <c r="G3014" s="128">
        <v>403452</v>
      </c>
      <c r="H3014" s="128">
        <v>277785</v>
      </c>
      <c r="I3014" s="128">
        <v>3557</v>
      </c>
    </row>
    <row r="3015" spans="1:9" ht="13.5">
      <c r="A3015" s="128">
        <v>2002</v>
      </c>
      <c r="B3015" s="128" t="s">
        <v>131</v>
      </c>
      <c r="C3015" s="128" t="s">
        <v>24</v>
      </c>
      <c r="D3015" s="128" t="s">
        <v>77</v>
      </c>
      <c r="E3015" s="128" t="s">
        <v>134</v>
      </c>
      <c r="F3015" s="128">
        <v>1458776</v>
      </c>
      <c r="G3015" s="128">
        <v>644865</v>
      </c>
      <c r="H3015" s="128">
        <v>552821</v>
      </c>
      <c r="I3015" s="128">
        <v>6439</v>
      </c>
    </row>
    <row r="3016" spans="1:9" ht="13.5">
      <c r="A3016" s="128">
        <v>2002</v>
      </c>
      <c r="B3016" s="128" t="s">
        <v>131</v>
      </c>
      <c r="C3016" s="128" t="s">
        <v>24</v>
      </c>
      <c r="D3016" s="128" t="s">
        <v>77</v>
      </c>
      <c r="E3016" s="128" t="s">
        <v>135</v>
      </c>
      <c r="F3016" s="128">
        <v>1143199</v>
      </c>
      <c r="G3016" s="128">
        <v>329855</v>
      </c>
      <c r="H3016" s="128">
        <v>364620</v>
      </c>
      <c r="I3016" s="128">
        <v>3815</v>
      </c>
    </row>
    <row r="3017" spans="1:9" ht="13.5">
      <c r="A3017" s="128">
        <v>2002</v>
      </c>
      <c r="B3017" s="128" t="s">
        <v>131</v>
      </c>
      <c r="C3017" s="128" t="s">
        <v>24</v>
      </c>
      <c r="D3017" s="128" t="s">
        <v>79</v>
      </c>
      <c r="E3017" s="128" t="s">
        <v>132</v>
      </c>
      <c r="F3017" s="128">
        <v>1703554</v>
      </c>
      <c r="G3017" s="128">
        <v>1121975</v>
      </c>
      <c r="H3017" s="128">
        <v>363653</v>
      </c>
      <c r="I3017" s="128">
        <v>12946</v>
      </c>
    </row>
    <row r="3018" spans="1:9" ht="13.5">
      <c r="A3018" s="128">
        <v>2002</v>
      </c>
      <c r="B3018" s="128" t="s">
        <v>131</v>
      </c>
      <c r="C3018" s="128" t="s">
        <v>24</v>
      </c>
      <c r="D3018" s="128" t="s">
        <v>79</v>
      </c>
      <c r="E3018" s="128" t="s">
        <v>133</v>
      </c>
      <c r="F3018" s="128">
        <v>2641554</v>
      </c>
      <c r="G3018" s="128">
        <v>1437782</v>
      </c>
      <c r="H3018" s="128">
        <v>489011</v>
      </c>
      <c r="I3018" s="128">
        <v>15849</v>
      </c>
    </row>
    <row r="3019" spans="1:9" ht="13.5">
      <c r="A3019" s="128">
        <v>2002</v>
      </c>
      <c r="B3019" s="128" t="s">
        <v>131</v>
      </c>
      <c r="C3019" s="128" t="s">
        <v>24</v>
      </c>
      <c r="D3019" s="128" t="s">
        <v>79</v>
      </c>
      <c r="E3019" s="128" t="s">
        <v>134</v>
      </c>
      <c r="F3019" s="128">
        <v>2994457</v>
      </c>
      <c r="G3019" s="128">
        <v>1308004</v>
      </c>
      <c r="H3019" s="128">
        <v>440640</v>
      </c>
      <c r="I3019" s="128">
        <v>14072</v>
      </c>
    </row>
    <row r="3020" spans="1:9" ht="13.5">
      <c r="A3020" s="128">
        <v>2002</v>
      </c>
      <c r="B3020" s="128" t="s">
        <v>131</v>
      </c>
      <c r="C3020" s="128" t="s">
        <v>24</v>
      </c>
      <c r="D3020" s="128" t="s">
        <v>79</v>
      </c>
      <c r="E3020" s="128" t="s">
        <v>135</v>
      </c>
      <c r="F3020" s="128">
        <v>2970022</v>
      </c>
      <c r="G3020" s="128">
        <v>742354</v>
      </c>
      <c r="H3020" s="128">
        <v>282095</v>
      </c>
      <c r="I3020" s="128">
        <v>7506</v>
      </c>
    </row>
    <row r="3021" spans="1:9" ht="13.5">
      <c r="A3021" s="128">
        <v>2002</v>
      </c>
      <c r="B3021" s="128" t="s">
        <v>131</v>
      </c>
      <c r="C3021" s="128" t="s">
        <v>24</v>
      </c>
      <c r="D3021" s="128" t="s">
        <v>79</v>
      </c>
      <c r="E3021" s="128" t="s">
        <v>136</v>
      </c>
      <c r="F3021" s="128">
        <v>2715292</v>
      </c>
      <c r="G3021" s="128">
        <v>2052306</v>
      </c>
      <c r="H3021" s="128">
        <v>662985</v>
      </c>
      <c r="I3021" s="128">
        <v>35820</v>
      </c>
    </row>
    <row r="3022" spans="1:9" ht="13.5">
      <c r="A3022" s="128">
        <v>2002</v>
      </c>
      <c r="B3022" s="128" t="s">
        <v>131</v>
      </c>
      <c r="C3022" s="128" t="s">
        <v>24</v>
      </c>
      <c r="D3022" s="128" t="s">
        <v>76</v>
      </c>
      <c r="E3022" s="128" t="s">
        <v>132</v>
      </c>
      <c r="F3022" s="128">
        <v>8665149</v>
      </c>
      <c r="G3022" s="128">
        <v>5609716</v>
      </c>
      <c r="H3022" s="128">
        <v>3055433</v>
      </c>
      <c r="I3022" s="128">
        <v>94466</v>
      </c>
    </row>
    <row r="3023" spans="1:9" ht="13.5">
      <c r="A3023" s="128">
        <v>2002</v>
      </c>
      <c r="B3023" s="128" t="s">
        <v>131</v>
      </c>
      <c r="C3023" s="128" t="s">
        <v>24</v>
      </c>
      <c r="D3023" s="128" t="s">
        <v>76</v>
      </c>
      <c r="E3023" s="128" t="s">
        <v>133</v>
      </c>
      <c r="F3023" s="128">
        <v>10394193</v>
      </c>
      <c r="G3023" s="128">
        <v>5681163</v>
      </c>
      <c r="H3023" s="128">
        <v>4713030</v>
      </c>
      <c r="I3023" s="128">
        <v>57262</v>
      </c>
    </row>
    <row r="3024" spans="1:9" ht="13.5">
      <c r="A3024" s="128">
        <v>2002</v>
      </c>
      <c r="B3024" s="128" t="s">
        <v>131</v>
      </c>
      <c r="C3024" s="128" t="s">
        <v>24</v>
      </c>
      <c r="D3024" s="128" t="s">
        <v>76</v>
      </c>
      <c r="E3024" s="128" t="s">
        <v>134</v>
      </c>
      <c r="F3024" s="128">
        <v>6666254</v>
      </c>
      <c r="G3024" s="128">
        <v>2962735</v>
      </c>
      <c r="H3024" s="128">
        <v>3703520</v>
      </c>
      <c r="I3024" s="128">
        <v>43821</v>
      </c>
    </row>
    <row r="3025" spans="1:9" ht="13.5">
      <c r="A3025" s="128">
        <v>2002</v>
      </c>
      <c r="B3025" s="128" t="s">
        <v>131</v>
      </c>
      <c r="C3025" s="128" t="s">
        <v>24</v>
      </c>
      <c r="D3025" s="128" t="s">
        <v>76</v>
      </c>
      <c r="E3025" s="128" t="s">
        <v>135</v>
      </c>
      <c r="F3025" s="128">
        <v>2817479</v>
      </c>
      <c r="G3025" s="128">
        <v>827406</v>
      </c>
      <c r="H3025" s="128">
        <v>1990076</v>
      </c>
      <c r="I3025" s="128">
        <v>7206</v>
      </c>
    </row>
    <row r="3026" spans="1:9" ht="13.5">
      <c r="A3026" s="128">
        <v>2002</v>
      </c>
      <c r="B3026" s="128" t="s">
        <v>131</v>
      </c>
      <c r="C3026" s="128" t="s">
        <v>24</v>
      </c>
      <c r="D3026" s="128" t="s">
        <v>76</v>
      </c>
      <c r="E3026" s="128" t="s">
        <v>136</v>
      </c>
      <c r="F3026" s="128">
        <v>2706822</v>
      </c>
      <c r="G3026" s="128">
        <v>2045646</v>
      </c>
      <c r="H3026" s="128">
        <v>661177</v>
      </c>
      <c r="I3026" s="128">
        <v>39121</v>
      </c>
    </row>
    <row r="3027" spans="1:9" ht="13.5">
      <c r="A3027" s="128">
        <v>2002</v>
      </c>
      <c r="B3027" s="128" t="s">
        <v>138</v>
      </c>
      <c r="C3027" s="128" t="s">
        <v>26</v>
      </c>
      <c r="D3027" s="128" t="s">
        <v>77</v>
      </c>
      <c r="E3027" s="128" t="s">
        <v>132</v>
      </c>
      <c r="F3027" s="128">
        <v>0</v>
      </c>
      <c r="G3027" s="128">
        <v>0</v>
      </c>
      <c r="H3027" s="128">
        <v>0</v>
      </c>
      <c r="I3027" s="128">
        <v>0</v>
      </c>
    </row>
    <row r="3028" spans="1:9" ht="13.5">
      <c r="A3028" s="128">
        <v>2002</v>
      </c>
      <c r="B3028" s="128" t="s">
        <v>138</v>
      </c>
      <c r="C3028" s="128" t="s">
        <v>26</v>
      </c>
      <c r="D3028" s="128" t="s">
        <v>77</v>
      </c>
      <c r="E3028" s="128" t="s">
        <v>133</v>
      </c>
      <c r="F3028" s="128">
        <v>0</v>
      </c>
      <c r="G3028" s="128">
        <v>0</v>
      </c>
      <c r="H3028" s="128">
        <v>0</v>
      </c>
      <c r="I3028" s="128">
        <v>0</v>
      </c>
    </row>
    <row r="3029" spans="1:9" ht="13.5">
      <c r="A3029" s="128">
        <v>2002</v>
      </c>
      <c r="B3029" s="128" t="s">
        <v>138</v>
      </c>
      <c r="C3029" s="128" t="s">
        <v>26</v>
      </c>
      <c r="D3029" s="128" t="s">
        <v>77</v>
      </c>
      <c r="E3029" s="128" t="s">
        <v>134</v>
      </c>
      <c r="F3029" s="128">
        <v>0</v>
      </c>
      <c r="G3029" s="128">
        <v>0</v>
      </c>
      <c r="H3029" s="128">
        <v>0</v>
      </c>
      <c r="I3029" s="128">
        <v>0</v>
      </c>
    </row>
    <row r="3030" spans="1:9" ht="13.5">
      <c r="A3030" s="128">
        <v>2002</v>
      </c>
      <c r="B3030" s="128" t="s">
        <v>138</v>
      </c>
      <c r="C3030" s="128" t="s">
        <v>26</v>
      </c>
      <c r="D3030" s="128" t="s">
        <v>77</v>
      </c>
      <c r="E3030" s="128" t="s">
        <v>135</v>
      </c>
      <c r="F3030" s="128">
        <v>0</v>
      </c>
      <c r="G3030" s="128">
        <v>0</v>
      </c>
      <c r="H3030" s="128">
        <v>0</v>
      </c>
      <c r="I3030" s="128">
        <v>0</v>
      </c>
    </row>
    <row r="3031" spans="1:9" ht="13.5">
      <c r="A3031" s="128">
        <v>2002</v>
      </c>
      <c r="B3031" s="128" t="s">
        <v>138</v>
      </c>
      <c r="C3031" s="128" t="s">
        <v>26</v>
      </c>
      <c r="D3031" s="128" t="s">
        <v>79</v>
      </c>
      <c r="E3031" s="128" t="s">
        <v>132</v>
      </c>
      <c r="F3031" s="128">
        <v>0</v>
      </c>
      <c r="G3031" s="128">
        <v>0</v>
      </c>
      <c r="H3031" s="128">
        <v>0</v>
      </c>
      <c r="I3031" s="128">
        <v>0</v>
      </c>
    </row>
    <row r="3032" spans="1:9" ht="13.5">
      <c r="A3032" s="128">
        <v>2002</v>
      </c>
      <c r="B3032" s="128" t="s">
        <v>138</v>
      </c>
      <c r="C3032" s="128" t="s">
        <v>26</v>
      </c>
      <c r="D3032" s="128" t="s">
        <v>79</v>
      </c>
      <c r="E3032" s="128" t="s">
        <v>133</v>
      </c>
      <c r="F3032" s="128">
        <v>0</v>
      </c>
      <c r="G3032" s="128">
        <v>0</v>
      </c>
      <c r="H3032" s="128">
        <v>0</v>
      </c>
      <c r="I3032" s="128">
        <v>0</v>
      </c>
    </row>
    <row r="3033" spans="1:9" ht="13.5">
      <c r="A3033" s="128">
        <v>2002</v>
      </c>
      <c r="B3033" s="128" t="s">
        <v>138</v>
      </c>
      <c r="C3033" s="128" t="s">
        <v>26</v>
      </c>
      <c r="D3033" s="128" t="s">
        <v>79</v>
      </c>
      <c r="E3033" s="128" t="s">
        <v>134</v>
      </c>
      <c r="F3033" s="128">
        <v>0</v>
      </c>
      <c r="G3033" s="128">
        <v>0</v>
      </c>
      <c r="H3033" s="128">
        <v>0</v>
      </c>
      <c r="I3033" s="128">
        <v>0</v>
      </c>
    </row>
    <row r="3034" spans="1:9" ht="13.5">
      <c r="A3034" s="128">
        <v>2002</v>
      </c>
      <c r="B3034" s="128" t="s">
        <v>138</v>
      </c>
      <c r="C3034" s="128" t="s">
        <v>26</v>
      </c>
      <c r="D3034" s="128" t="s">
        <v>79</v>
      </c>
      <c r="E3034" s="128" t="s">
        <v>135</v>
      </c>
      <c r="F3034" s="128">
        <v>0</v>
      </c>
      <c r="G3034" s="128">
        <v>0</v>
      </c>
      <c r="H3034" s="128">
        <v>0</v>
      </c>
      <c r="I3034" s="128">
        <v>0</v>
      </c>
    </row>
    <row r="3035" spans="1:9" ht="13.5">
      <c r="A3035" s="128">
        <v>2002</v>
      </c>
      <c r="B3035" s="128" t="s">
        <v>138</v>
      </c>
      <c r="C3035" s="128" t="s">
        <v>26</v>
      </c>
      <c r="D3035" s="128" t="s">
        <v>79</v>
      </c>
      <c r="E3035" s="128" t="s">
        <v>136</v>
      </c>
      <c r="F3035" s="128">
        <v>0</v>
      </c>
      <c r="G3035" s="128">
        <v>0</v>
      </c>
      <c r="H3035" s="128">
        <v>0</v>
      </c>
      <c r="I3035" s="128">
        <v>0</v>
      </c>
    </row>
    <row r="3036" spans="1:9" ht="13.5">
      <c r="A3036" s="128">
        <v>2002</v>
      </c>
      <c r="B3036" s="128" t="s">
        <v>138</v>
      </c>
      <c r="C3036" s="128" t="s">
        <v>26</v>
      </c>
      <c r="D3036" s="128" t="s">
        <v>76</v>
      </c>
      <c r="E3036" s="128" t="s">
        <v>132</v>
      </c>
      <c r="F3036" s="128">
        <v>0</v>
      </c>
      <c r="G3036" s="128">
        <v>0</v>
      </c>
      <c r="H3036" s="128">
        <v>0</v>
      </c>
      <c r="I3036" s="128">
        <v>0</v>
      </c>
    </row>
    <row r="3037" spans="1:9" ht="13.5">
      <c r="A3037" s="128">
        <v>2002</v>
      </c>
      <c r="B3037" s="128" t="s">
        <v>138</v>
      </c>
      <c r="C3037" s="128" t="s">
        <v>26</v>
      </c>
      <c r="D3037" s="128" t="s">
        <v>76</v>
      </c>
      <c r="E3037" s="128" t="s">
        <v>133</v>
      </c>
      <c r="F3037" s="128">
        <v>0</v>
      </c>
      <c r="G3037" s="128">
        <v>0</v>
      </c>
      <c r="H3037" s="128">
        <v>0</v>
      </c>
      <c r="I3037" s="128">
        <v>0</v>
      </c>
    </row>
    <row r="3038" spans="1:9" ht="13.5">
      <c r="A3038" s="128">
        <v>2002</v>
      </c>
      <c r="B3038" s="128" t="s">
        <v>138</v>
      </c>
      <c r="C3038" s="128" t="s">
        <v>26</v>
      </c>
      <c r="D3038" s="128" t="s">
        <v>76</v>
      </c>
      <c r="E3038" s="128" t="s">
        <v>134</v>
      </c>
      <c r="F3038" s="128">
        <v>0</v>
      </c>
      <c r="G3038" s="128">
        <v>0</v>
      </c>
      <c r="H3038" s="128">
        <v>0</v>
      </c>
      <c r="I3038" s="128">
        <v>0</v>
      </c>
    </row>
    <row r="3039" spans="1:9" ht="13.5">
      <c r="A3039" s="128">
        <v>2002</v>
      </c>
      <c r="B3039" s="128" t="s">
        <v>138</v>
      </c>
      <c r="C3039" s="128" t="s">
        <v>26</v>
      </c>
      <c r="D3039" s="128" t="s">
        <v>76</v>
      </c>
      <c r="E3039" s="128" t="s">
        <v>135</v>
      </c>
      <c r="F3039" s="128">
        <v>0</v>
      </c>
      <c r="G3039" s="128">
        <v>0</v>
      </c>
      <c r="H3039" s="128">
        <v>0</v>
      </c>
      <c r="I3039" s="128">
        <v>0</v>
      </c>
    </row>
    <row r="3040" spans="1:9" ht="13.5">
      <c r="A3040" s="128">
        <v>2002</v>
      </c>
      <c r="B3040" s="128" t="s">
        <v>138</v>
      </c>
      <c r="C3040" s="128" t="s">
        <v>26</v>
      </c>
      <c r="D3040" s="128" t="s">
        <v>76</v>
      </c>
      <c r="E3040" s="128" t="s">
        <v>136</v>
      </c>
      <c r="F3040" s="128">
        <v>0</v>
      </c>
      <c r="G3040" s="128">
        <v>0</v>
      </c>
      <c r="H3040" s="128">
        <v>0</v>
      </c>
      <c r="I3040" s="128">
        <v>0</v>
      </c>
    </row>
    <row r="3041" spans="1:9" ht="13.5">
      <c r="A3041" s="128">
        <v>2002</v>
      </c>
      <c r="B3041" s="128" t="s">
        <v>138</v>
      </c>
      <c r="C3041" s="128" t="s">
        <v>20</v>
      </c>
      <c r="D3041" s="128" t="s">
        <v>77</v>
      </c>
      <c r="E3041" s="128" t="s">
        <v>132</v>
      </c>
      <c r="F3041" s="128">
        <v>982477</v>
      </c>
      <c r="G3041" s="128">
        <v>656184</v>
      </c>
      <c r="H3041" s="128">
        <v>273831</v>
      </c>
      <c r="I3041" s="128">
        <v>9097</v>
      </c>
    </row>
    <row r="3042" spans="1:9" ht="13.5">
      <c r="A3042" s="128">
        <v>2002</v>
      </c>
      <c r="B3042" s="128" t="s">
        <v>138</v>
      </c>
      <c r="C3042" s="128" t="s">
        <v>20</v>
      </c>
      <c r="D3042" s="128" t="s">
        <v>77</v>
      </c>
      <c r="E3042" s="128" t="s">
        <v>133</v>
      </c>
      <c r="F3042" s="128">
        <v>1741879</v>
      </c>
      <c r="G3042" s="128">
        <v>946889</v>
      </c>
      <c r="H3042" s="128">
        <v>597069</v>
      </c>
      <c r="I3042" s="128">
        <v>11946</v>
      </c>
    </row>
    <row r="3043" spans="1:9" ht="13.5">
      <c r="A3043" s="128">
        <v>2002</v>
      </c>
      <c r="B3043" s="128" t="s">
        <v>138</v>
      </c>
      <c r="C3043" s="128" t="s">
        <v>20</v>
      </c>
      <c r="D3043" s="128" t="s">
        <v>77</v>
      </c>
      <c r="E3043" s="128" t="s">
        <v>134</v>
      </c>
      <c r="F3043" s="128">
        <v>1957694</v>
      </c>
      <c r="G3043" s="128">
        <v>851668</v>
      </c>
      <c r="H3043" s="128">
        <v>684094</v>
      </c>
      <c r="I3043" s="128">
        <v>7505</v>
      </c>
    </row>
    <row r="3044" spans="1:9" ht="13.5">
      <c r="A3044" s="128">
        <v>2002</v>
      </c>
      <c r="B3044" s="128" t="s">
        <v>138</v>
      </c>
      <c r="C3044" s="128" t="s">
        <v>20</v>
      </c>
      <c r="D3044" s="128" t="s">
        <v>77</v>
      </c>
      <c r="E3044" s="128" t="s">
        <v>135</v>
      </c>
      <c r="F3044" s="128">
        <v>2459958</v>
      </c>
      <c r="G3044" s="128">
        <v>595804</v>
      </c>
      <c r="H3044" s="128">
        <v>778661</v>
      </c>
      <c r="I3044" s="128">
        <v>6333</v>
      </c>
    </row>
    <row r="3045" spans="1:9" ht="13.5">
      <c r="A3045" s="128">
        <v>2002</v>
      </c>
      <c r="B3045" s="128" t="s">
        <v>138</v>
      </c>
      <c r="C3045" s="128" t="s">
        <v>20</v>
      </c>
      <c r="D3045" s="128" t="s">
        <v>79</v>
      </c>
      <c r="E3045" s="128" t="s">
        <v>132</v>
      </c>
      <c r="F3045" s="128">
        <v>8433111</v>
      </c>
      <c r="G3045" s="128">
        <v>5646033</v>
      </c>
      <c r="H3045" s="128">
        <v>1920783</v>
      </c>
      <c r="I3045" s="128">
        <v>75354</v>
      </c>
    </row>
    <row r="3046" spans="1:9" ht="13.5">
      <c r="A3046" s="128">
        <v>2002</v>
      </c>
      <c r="B3046" s="128" t="s">
        <v>138</v>
      </c>
      <c r="C3046" s="128" t="s">
        <v>20</v>
      </c>
      <c r="D3046" s="128" t="s">
        <v>79</v>
      </c>
      <c r="E3046" s="128" t="s">
        <v>133</v>
      </c>
      <c r="F3046" s="128">
        <v>10347718</v>
      </c>
      <c r="G3046" s="128">
        <v>5611460</v>
      </c>
      <c r="H3046" s="128">
        <v>1909576</v>
      </c>
      <c r="I3046" s="128">
        <v>65513</v>
      </c>
    </row>
    <row r="3047" spans="1:9" ht="13.5">
      <c r="A3047" s="128">
        <v>2002</v>
      </c>
      <c r="B3047" s="128" t="s">
        <v>138</v>
      </c>
      <c r="C3047" s="128" t="s">
        <v>20</v>
      </c>
      <c r="D3047" s="128" t="s">
        <v>79</v>
      </c>
      <c r="E3047" s="128" t="s">
        <v>134</v>
      </c>
      <c r="F3047" s="128">
        <v>24712160</v>
      </c>
      <c r="G3047" s="128">
        <v>10636676</v>
      </c>
      <c r="H3047" s="128">
        <v>3579637</v>
      </c>
      <c r="I3047" s="128">
        <v>105554</v>
      </c>
    </row>
    <row r="3048" spans="1:9" ht="13.5">
      <c r="A3048" s="128">
        <v>2002</v>
      </c>
      <c r="B3048" s="128" t="s">
        <v>138</v>
      </c>
      <c r="C3048" s="128" t="s">
        <v>20</v>
      </c>
      <c r="D3048" s="128" t="s">
        <v>79</v>
      </c>
      <c r="E3048" s="128" t="s">
        <v>135</v>
      </c>
      <c r="F3048" s="128">
        <v>30525517</v>
      </c>
      <c r="G3048" s="128">
        <v>8950528</v>
      </c>
      <c r="H3048" s="128">
        <v>3281036</v>
      </c>
      <c r="I3048" s="128">
        <v>74645</v>
      </c>
    </row>
    <row r="3049" spans="1:9" ht="13.5">
      <c r="A3049" s="128">
        <v>2002</v>
      </c>
      <c r="B3049" s="128" t="s">
        <v>138</v>
      </c>
      <c r="C3049" s="128" t="s">
        <v>20</v>
      </c>
      <c r="D3049" s="128" t="s">
        <v>79</v>
      </c>
      <c r="E3049" s="128" t="s">
        <v>136</v>
      </c>
      <c r="F3049" s="128">
        <v>23827989</v>
      </c>
      <c r="G3049" s="128">
        <v>18004061</v>
      </c>
      <c r="H3049" s="128">
        <v>5824113</v>
      </c>
      <c r="I3049" s="128">
        <v>387394</v>
      </c>
    </row>
    <row r="3050" spans="1:9" ht="13.5">
      <c r="A3050" s="128">
        <v>2002</v>
      </c>
      <c r="B3050" s="128" t="s">
        <v>138</v>
      </c>
      <c r="C3050" s="128" t="s">
        <v>20</v>
      </c>
      <c r="D3050" s="128" t="s">
        <v>76</v>
      </c>
      <c r="E3050" s="128" t="s">
        <v>132</v>
      </c>
      <c r="F3050" s="128">
        <v>20889003</v>
      </c>
      <c r="G3050" s="128">
        <v>13469398</v>
      </c>
      <c r="H3050" s="128">
        <v>7419607</v>
      </c>
      <c r="I3050" s="128">
        <v>255167</v>
      </c>
    </row>
    <row r="3051" spans="1:9" ht="13.5">
      <c r="A3051" s="128">
        <v>2002</v>
      </c>
      <c r="B3051" s="128" t="s">
        <v>138</v>
      </c>
      <c r="C3051" s="128" t="s">
        <v>20</v>
      </c>
      <c r="D3051" s="128" t="s">
        <v>76</v>
      </c>
      <c r="E3051" s="128" t="s">
        <v>133</v>
      </c>
      <c r="F3051" s="128">
        <v>37579117</v>
      </c>
      <c r="G3051" s="128">
        <v>20370087</v>
      </c>
      <c r="H3051" s="128">
        <v>17209033</v>
      </c>
      <c r="I3051" s="128">
        <v>227851</v>
      </c>
    </row>
    <row r="3052" spans="1:9" ht="13.5">
      <c r="A3052" s="128">
        <v>2002</v>
      </c>
      <c r="B3052" s="128" t="s">
        <v>138</v>
      </c>
      <c r="C3052" s="128" t="s">
        <v>20</v>
      </c>
      <c r="D3052" s="128" t="s">
        <v>76</v>
      </c>
      <c r="E3052" s="128" t="s">
        <v>134</v>
      </c>
      <c r="F3052" s="128">
        <v>2561333</v>
      </c>
      <c r="G3052" s="128">
        <v>1200520</v>
      </c>
      <c r="H3052" s="128">
        <v>1360815</v>
      </c>
      <c r="I3052" s="128">
        <v>15316</v>
      </c>
    </row>
    <row r="3053" spans="1:9" ht="13.5">
      <c r="A3053" s="128">
        <v>2002</v>
      </c>
      <c r="B3053" s="128" t="s">
        <v>138</v>
      </c>
      <c r="C3053" s="128" t="s">
        <v>20</v>
      </c>
      <c r="D3053" s="128" t="s">
        <v>76</v>
      </c>
      <c r="E3053" s="128" t="s">
        <v>135</v>
      </c>
      <c r="F3053" s="128">
        <v>4170030</v>
      </c>
      <c r="G3053" s="128">
        <v>1204813</v>
      </c>
      <c r="H3053" s="128">
        <v>2965215</v>
      </c>
      <c r="I3053" s="128">
        <v>4299</v>
      </c>
    </row>
    <row r="3054" spans="1:9" ht="13.5">
      <c r="A3054" s="128">
        <v>2002</v>
      </c>
      <c r="B3054" s="128" t="s">
        <v>138</v>
      </c>
      <c r="C3054" s="128" t="s">
        <v>20</v>
      </c>
      <c r="D3054" s="128" t="s">
        <v>76</v>
      </c>
      <c r="E3054" s="128" t="s">
        <v>136</v>
      </c>
      <c r="F3054" s="128">
        <v>1545548</v>
      </c>
      <c r="G3054" s="128">
        <v>1165858</v>
      </c>
      <c r="H3054" s="128">
        <v>379690</v>
      </c>
      <c r="I3054" s="128">
        <v>29963</v>
      </c>
    </row>
    <row r="3055" spans="1:9" ht="13.5">
      <c r="A3055" s="128">
        <v>2002</v>
      </c>
      <c r="B3055" s="128" t="s">
        <v>138</v>
      </c>
      <c r="C3055" s="128" t="s">
        <v>27</v>
      </c>
      <c r="D3055" s="128" t="s">
        <v>77</v>
      </c>
      <c r="E3055" s="128" t="s">
        <v>132</v>
      </c>
      <c r="F3055" s="128">
        <v>1657</v>
      </c>
      <c r="G3055" s="128">
        <v>1008</v>
      </c>
      <c r="H3055" s="128">
        <v>471</v>
      </c>
      <c r="I3055" s="128">
        <v>12</v>
      </c>
    </row>
    <row r="3056" spans="1:9" ht="13.5">
      <c r="A3056" s="128">
        <v>2002</v>
      </c>
      <c r="B3056" s="128" t="s">
        <v>138</v>
      </c>
      <c r="C3056" s="128" t="s">
        <v>27</v>
      </c>
      <c r="D3056" s="128" t="s">
        <v>77</v>
      </c>
      <c r="E3056" s="128" t="s">
        <v>133</v>
      </c>
      <c r="F3056" s="128">
        <v>29080</v>
      </c>
      <c r="G3056" s="128">
        <v>16104</v>
      </c>
      <c r="H3056" s="128">
        <v>10726</v>
      </c>
      <c r="I3056" s="128">
        <v>71</v>
      </c>
    </row>
    <row r="3057" spans="1:9" ht="13.5">
      <c r="A3057" s="128">
        <v>2002</v>
      </c>
      <c r="B3057" s="128" t="s">
        <v>138</v>
      </c>
      <c r="C3057" s="128" t="s">
        <v>27</v>
      </c>
      <c r="D3057" s="128" t="s">
        <v>77</v>
      </c>
      <c r="E3057" s="128" t="s">
        <v>134</v>
      </c>
      <c r="F3057" s="128">
        <v>24801</v>
      </c>
      <c r="G3057" s="128">
        <v>10796</v>
      </c>
      <c r="H3057" s="128">
        <v>9270</v>
      </c>
      <c r="I3057" s="128">
        <v>74</v>
      </c>
    </row>
    <row r="3058" spans="1:9" ht="13.5">
      <c r="A3058" s="128">
        <v>2002</v>
      </c>
      <c r="B3058" s="128" t="s">
        <v>138</v>
      </c>
      <c r="C3058" s="128" t="s">
        <v>27</v>
      </c>
      <c r="D3058" s="128" t="s">
        <v>77</v>
      </c>
      <c r="E3058" s="128" t="s">
        <v>135</v>
      </c>
      <c r="F3058" s="128">
        <v>34995</v>
      </c>
      <c r="G3058" s="128">
        <v>10415</v>
      </c>
      <c r="H3058" s="128">
        <v>10560</v>
      </c>
      <c r="I3058" s="128">
        <v>71</v>
      </c>
    </row>
    <row r="3059" spans="1:9" ht="13.5">
      <c r="A3059" s="128">
        <v>2002</v>
      </c>
      <c r="B3059" s="128" t="s">
        <v>138</v>
      </c>
      <c r="C3059" s="128" t="s">
        <v>27</v>
      </c>
      <c r="D3059" s="128" t="s">
        <v>79</v>
      </c>
      <c r="E3059" s="128" t="s">
        <v>132</v>
      </c>
      <c r="F3059" s="128">
        <v>107471</v>
      </c>
      <c r="G3059" s="128">
        <v>72691</v>
      </c>
      <c r="H3059" s="128">
        <v>24192</v>
      </c>
      <c r="I3059" s="128">
        <v>552</v>
      </c>
    </row>
    <row r="3060" spans="1:9" ht="13.5">
      <c r="A3060" s="128">
        <v>2002</v>
      </c>
      <c r="B3060" s="128" t="s">
        <v>138</v>
      </c>
      <c r="C3060" s="128" t="s">
        <v>27</v>
      </c>
      <c r="D3060" s="128" t="s">
        <v>79</v>
      </c>
      <c r="E3060" s="128" t="s">
        <v>133</v>
      </c>
      <c r="F3060" s="128">
        <v>92040</v>
      </c>
      <c r="G3060" s="128">
        <v>50297</v>
      </c>
      <c r="H3060" s="128">
        <v>16796</v>
      </c>
      <c r="I3060" s="128">
        <v>554</v>
      </c>
    </row>
    <row r="3061" spans="1:9" ht="13.5">
      <c r="A3061" s="128">
        <v>2002</v>
      </c>
      <c r="B3061" s="128" t="s">
        <v>138</v>
      </c>
      <c r="C3061" s="128" t="s">
        <v>27</v>
      </c>
      <c r="D3061" s="128" t="s">
        <v>79</v>
      </c>
      <c r="E3061" s="128" t="s">
        <v>134</v>
      </c>
      <c r="F3061" s="128">
        <v>209825</v>
      </c>
      <c r="G3061" s="128">
        <v>89931</v>
      </c>
      <c r="H3061" s="128">
        <v>29786</v>
      </c>
      <c r="I3061" s="128">
        <v>955</v>
      </c>
    </row>
    <row r="3062" spans="1:9" ht="13.5">
      <c r="A3062" s="128">
        <v>2002</v>
      </c>
      <c r="B3062" s="128" t="s">
        <v>138</v>
      </c>
      <c r="C3062" s="128" t="s">
        <v>27</v>
      </c>
      <c r="D3062" s="128" t="s">
        <v>79</v>
      </c>
      <c r="E3062" s="128" t="s">
        <v>135</v>
      </c>
      <c r="F3062" s="128">
        <v>303473</v>
      </c>
      <c r="G3062" s="128">
        <v>95320</v>
      </c>
      <c r="H3062" s="128">
        <v>31718</v>
      </c>
      <c r="I3062" s="128">
        <v>793</v>
      </c>
    </row>
    <row r="3063" spans="1:9" ht="13.5">
      <c r="A3063" s="128">
        <v>2002</v>
      </c>
      <c r="B3063" s="128" t="s">
        <v>138</v>
      </c>
      <c r="C3063" s="128" t="s">
        <v>27</v>
      </c>
      <c r="D3063" s="128" t="s">
        <v>79</v>
      </c>
      <c r="E3063" s="128" t="s">
        <v>136</v>
      </c>
      <c r="F3063" s="128">
        <v>234394</v>
      </c>
      <c r="G3063" s="128">
        <v>178282</v>
      </c>
      <c r="H3063" s="128">
        <v>56112</v>
      </c>
      <c r="I3063" s="128">
        <v>3447</v>
      </c>
    </row>
    <row r="3064" spans="1:9" ht="13.5">
      <c r="A3064" s="128">
        <v>2002</v>
      </c>
      <c r="B3064" s="128" t="s">
        <v>138</v>
      </c>
      <c r="C3064" s="128" t="s">
        <v>27</v>
      </c>
      <c r="D3064" s="128" t="s">
        <v>76</v>
      </c>
      <c r="E3064" s="128" t="s">
        <v>132</v>
      </c>
      <c r="F3064" s="128">
        <v>176651</v>
      </c>
      <c r="G3064" s="128">
        <v>112692</v>
      </c>
      <c r="H3064" s="128">
        <v>63958</v>
      </c>
      <c r="I3064" s="128">
        <v>1997</v>
      </c>
    </row>
    <row r="3065" spans="1:9" ht="13.5">
      <c r="A3065" s="128">
        <v>2002</v>
      </c>
      <c r="B3065" s="128" t="s">
        <v>138</v>
      </c>
      <c r="C3065" s="128" t="s">
        <v>27</v>
      </c>
      <c r="D3065" s="128" t="s">
        <v>76</v>
      </c>
      <c r="E3065" s="128" t="s">
        <v>133</v>
      </c>
      <c r="F3065" s="128">
        <v>742461</v>
      </c>
      <c r="G3065" s="128">
        <v>400431</v>
      </c>
      <c r="H3065" s="128">
        <v>342030</v>
      </c>
      <c r="I3065" s="128">
        <v>4502</v>
      </c>
    </row>
    <row r="3066" spans="1:9" ht="13.5">
      <c r="A3066" s="128">
        <v>2002</v>
      </c>
      <c r="B3066" s="128" t="s">
        <v>138</v>
      </c>
      <c r="C3066" s="128" t="s">
        <v>27</v>
      </c>
      <c r="D3066" s="128" t="s">
        <v>76</v>
      </c>
      <c r="E3066" s="128" t="s">
        <v>134</v>
      </c>
      <c r="F3066" s="128">
        <v>120232</v>
      </c>
      <c r="G3066" s="128">
        <v>56809</v>
      </c>
      <c r="H3066" s="128">
        <v>63424</v>
      </c>
      <c r="I3066" s="128">
        <v>694</v>
      </c>
    </row>
    <row r="3067" spans="1:9" ht="13.5">
      <c r="A3067" s="128">
        <v>2002</v>
      </c>
      <c r="B3067" s="128" t="s">
        <v>138</v>
      </c>
      <c r="C3067" s="128" t="s">
        <v>27</v>
      </c>
      <c r="D3067" s="128" t="s">
        <v>76</v>
      </c>
      <c r="E3067" s="128" t="s">
        <v>135</v>
      </c>
      <c r="F3067" s="128">
        <v>158672</v>
      </c>
      <c r="G3067" s="128">
        <v>46471</v>
      </c>
      <c r="H3067" s="128">
        <v>112200</v>
      </c>
      <c r="I3067" s="128">
        <v>180</v>
      </c>
    </row>
    <row r="3068" spans="1:9" ht="13.5">
      <c r="A3068" s="128">
        <v>2002</v>
      </c>
      <c r="B3068" s="128" t="s">
        <v>138</v>
      </c>
      <c r="C3068" s="128" t="s">
        <v>27</v>
      </c>
      <c r="D3068" s="128" t="s">
        <v>76</v>
      </c>
      <c r="E3068" s="128" t="s">
        <v>136</v>
      </c>
      <c r="F3068" s="128">
        <v>25044</v>
      </c>
      <c r="G3068" s="128">
        <v>18856</v>
      </c>
      <c r="H3068" s="128">
        <v>6187</v>
      </c>
      <c r="I3068" s="128">
        <v>465</v>
      </c>
    </row>
    <row r="3069" spans="1:9" ht="13.5">
      <c r="A3069" s="128">
        <v>2002</v>
      </c>
      <c r="B3069" s="128" t="s">
        <v>138</v>
      </c>
      <c r="C3069" s="128" t="s">
        <v>22</v>
      </c>
      <c r="D3069" s="128" t="s">
        <v>77</v>
      </c>
      <c r="E3069" s="128" t="s">
        <v>132</v>
      </c>
      <c r="F3069" s="128">
        <v>418348</v>
      </c>
      <c r="G3069" s="128">
        <v>278200</v>
      </c>
      <c r="H3069" s="128">
        <v>114346</v>
      </c>
      <c r="I3069" s="128">
        <v>5268</v>
      </c>
    </row>
    <row r="3070" spans="1:9" ht="13.5">
      <c r="A3070" s="128">
        <v>2002</v>
      </c>
      <c r="B3070" s="128" t="s">
        <v>138</v>
      </c>
      <c r="C3070" s="128" t="s">
        <v>22</v>
      </c>
      <c r="D3070" s="128" t="s">
        <v>77</v>
      </c>
      <c r="E3070" s="128" t="s">
        <v>133</v>
      </c>
      <c r="F3070" s="128">
        <v>1338190</v>
      </c>
      <c r="G3070" s="128">
        <v>718027</v>
      </c>
      <c r="H3070" s="128">
        <v>484304</v>
      </c>
      <c r="I3070" s="128">
        <v>6213</v>
      </c>
    </row>
    <row r="3071" spans="1:9" ht="13.5">
      <c r="A3071" s="128">
        <v>2002</v>
      </c>
      <c r="B3071" s="128" t="s">
        <v>138</v>
      </c>
      <c r="C3071" s="128" t="s">
        <v>22</v>
      </c>
      <c r="D3071" s="128" t="s">
        <v>77</v>
      </c>
      <c r="E3071" s="128" t="s">
        <v>134</v>
      </c>
      <c r="F3071" s="128">
        <v>2959947</v>
      </c>
      <c r="G3071" s="128">
        <v>1287538</v>
      </c>
      <c r="H3071" s="128">
        <v>1091146</v>
      </c>
      <c r="I3071" s="128">
        <v>9641</v>
      </c>
    </row>
    <row r="3072" spans="1:9" ht="13.5">
      <c r="A3072" s="128">
        <v>2002</v>
      </c>
      <c r="B3072" s="128" t="s">
        <v>138</v>
      </c>
      <c r="C3072" s="128" t="s">
        <v>22</v>
      </c>
      <c r="D3072" s="128" t="s">
        <v>77</v>
      </c>
      <c r="E3072" s="128" t="s">
        <v>135</v>
      </c>
      <c r="F3072" s="128">
        <v>2079427</v>
      </c>
      <c r="G3072" s="128">
        <v>627395</v>
      </c>
      <c r="H3072" s="128">
        <v>580059</v>
      </c>
      <c r="I3072" s="128">
        <v>7324</v>
      </c>
    </row>
    <row r="3073" spans="1:9" ht="13.5">
      <c r="A3073" s="128">
        <v>2002</v>
      </c>
      <c r="B3073" s="128" t="s">
        <v>138</v>
      </c>
      <c r="C3073" s="128" t="s">
        <v>22</v>
      </c>
      <c r="D3073" s="128" t="s">
        <v>79</v>
      </c>
      <c r="E3073" s="128" t="s">
        <v>132</v>
      </c>
      <c r="F3073" s="128">
        <v>6129489</v>
      </c>
      <c r="G3073" s="128">
        <v>4110980</v>
      </c>
      <c r="H3073" s="128">
        <v>1437425</v>
      </c>
      <c r="I3073" s="128">
        <v>54195</v>
      </c>
    </row>
    <row r="3074" spans="1:9" ht="13.5">
      <c r="A3074" s="128">
        <v>2002</v>
      </c>
      <c r="B3074" s="128" t="s">
        <v>138</v>
      </c>
      <c r="C3074" s="128" t="s">
        <v>22</v>
      </c>
      <c r="D3074" s="128" t="s">
        <v>79</v>
      </c>
      <c r="E3074" s="128" t="s">
        <v>133</v>
      </c>
      <c r="F3074" s="128">
        <v>6509269</v>
      </c>
      <c r="G3074" s="128">
        <v>3560316</v>
      </c>
      <c r="H3074" s="128">
        <v>1195722</v>
      </c>
      <c r="I3074" s="128">
        <v>41588</v>
      </c>
    </row>
    <row r="3075" spans="1:9" ht="13.5">
      <c r="A3075" s="128">
        <v>2002</v>
      </c>
      <c r="B3075" s="128" t="s">
        <v>138</v>
      </c>
      <c r="C3075" s="128" t="s">
        <v>22</v>
      </c>
      <c r="D3075" s="128" t="s">
        <v>79</v>
      </c>
      <c r="E3075" s="128" t="s">
        <v>134</v>
      </c>
      <c r="F3075" s="128">
        <v>11449519</v>
      </c>
      <c r="G3075" s="128">
        <v>4999827</v>
      </c>
      <c r="H3075" s="128">
        <v>1670214</v>
      </c>
      <c r="I3075" s="128">
        <v>55881</v>
      </c>
    </row>
    <row r="3076" spans="1:9" ht="13.5">
      <c r="A3076" s="128">
        <v>2002</v>
      </c>
      <c r="B3076" s="128" t="s">
        <v>138</v>
      </c>
      <c r="C3076" s="128" t="s">
        <v>22</v>
      </c>
      <c r="D3076" s="128" t="s">
        <v>79</v>
      </c>
      <c r="E3076" s="128" t="s">
        <v>135</v>
      </c>
      <c r="F3076" s="128">
        <v>8066461</v>
      </c>
      <c r="G3076" s="128">
        <v>2418287</v>
      </c>
      <c r="H3076" s="128">
        <v>824390</v>
      </c>
      <c r="I3076" s="128">
        <v>26069</v>
      </c>
    </row>
    <row r="3077" spans="1:9" ht="13.5">
      <c r="A3077" s="128">
        <v>2002</v>
      </c>
      <c r="B3077" s="128" t="s">
        <v>138</v>
      </c>
      <c r="C3077" s="128" t="s">
        <v>22</v>
      </c>
      <c r="D3077" s="128" t="s">
        <v>79</v>
      </c>
      <c r="E3077" s="128" t="s">
        <v>136</v>
      </c>
      <c r="F3077" s="128">
        <v>11223423</v>
      </c>
      <c r="G3077" s="128">
        <v>8527411</v>
      </c>
      <c r="H3077" s="128">
        <v>2696013</v>
      </c>
      <c r="I3077" s="128">
        <v>161515</v>
      </c>
    </row>
    <row r="3078" spans="1:9" ht="13.5">
      <c r="A3078" s="128">
        <v>2002</v>
      </c>
      <c r="B3078" s="128" t="s">
        <v>138</v>
      </c>
      <c r="C3078" s="128" t="s">
        <v>22</v>
      </c>
      <c r="D3078" s="128" t="s">
        <v>76</v>
      </c>
      <c r="E3078" s="128" t="s">
        <v>132</v>
      </c>
      <c r="F3078" s="128">
        <v>17356682</v>
      </c>
      <c r="G3078" s="128">
        <v>11196683</v>
      </c>
      <c r="H3078" s="128">
        <v>6158996</v>
      </c>
      <c r="I3078" s="128">
        <v>296066</v>
      </c>
    </row>
    <row r="3079" spans="1:9" ht="13.5">
      <c r="A3079" s="128">
        <v>2002</v>
      </c>
      <c r="B3079" s="128" t="s">
        <v>138</v>
      </c>
      <c r="C3079" s="128" t="s">
        <v>22</v>
      </c>
      <c r="D3079" s="128" t="s">
        <v>76</v>
      </c>
      <c r="E3079" s="128" t="s">
        <v>133</v>
      </c>
      <c r="F3079" s="128">
        <v>32439773</v>
      </c>
      <c r="G3079" s="128">
        <v>17574890</v>
      </c>
      <c r="H3079" s="128">
        <v>14864885</v>
      </c>
      <c r="I3079" s="128">
        <v>190621</v>
      </c>
    </row>
    <row r="3080" spans="1:9" ht="13.5">
      <c r="A3080" s="128">
        <v>2002</v>
      </c>
      <c r="B3080" s="128" t="s">
        <v>138</v>
      </c>
      <c r="C3080" s="128" t="s">
        <v>22</v>
      </c>
      <c r="D3080" s="128" t="s">
        <v>76</v>
      </c>
      <c r="E3080" s="128" t="s">
        <v>134</v>
      </c>
      <c r="F3080" s="128">
        <v>2311968</v>
      </c>
      <c r="G3080" s="128">
        <v>1102574</v>
      </c>
      <c r="H3080" s="128">
        <v>1209392</v>
      </c>
      <c r="I3080" s="128">
        <v>20994</v>
      </c>
    </row>
    <row r="3081" spans="1:9" ht="13.5">
      <c r="A3081" s="128">
        <v>2002</v>
      </c>
      <c r="B3081" s="128" t="s">
        <v>138</v>
      </c>
      <c r="C3081" s="128" t="s">
        <v>22</v>
      </c>
      <c r="D3081" s="128" t="s">
        <v>76</v>
      </c>
      <c r="E3081" s="128" t="s">
        <v>135</v>
      </c>
      <c r="F3081" s="128">
        <v>3132858</v>
      </c>
      <c r="G3081" s="128">
        <v>936321</v>
      </c>
      <c r="H3081" s="128">
        <v>2196540</v>
      </c>
      <c r="I3081" s="128">
        <v>3555</v>
      </c>
    </row>
    <row r="3082" spans="1:9" ht="13.5">
      <c r="A3082" s="128">
        <v>2002</v>
      </c>
      <c r="B3082" s="128" t="s">
        <v>138</v>
      </c>
      <c r="C3082" s="128" t="s">
        <v>22</v>
      </c>
      <c r="D3082" s="128" t="s">
        <v>76</v>
      </c>
      <c r="E3082" s="128" t="s">
        <v>136</v>
      </c>
      <c r="F3082" s="128">
        <v>737418</v>
      </c>
      <c r="G3082" s="128">
        <v>559661</v>
      </c>
      <c r="H3082" s="128">
        <v>178759</v>
      </c>
      <c r="I3082" s="128">
        <v>11296</v>
      </c>
    </row>
    <row r="3083" spans="1:9" ht="13.5">
      <c r="A3083" s="128">
        <v>2002</v>
      </c>
      <c r="B3083" s="128" t="s">
        <v>138</v>
      </c>
      <c r="C3083" s="128" t="s">
        <v>23</v>
      </c>
      <c r="D3083" s="128" t="s">
        <v>77</v>
      </c>
      <c r="E3083" s="128" t="s">
        <v>132</v>
      </c>
      <c r="F3083" s="128">
        <v>627318</v>
      </c>
      <c r="G3083" s="128">
        <v>429118</v>
      </c>
      <c r="H3083" s="128">
        <v>173477</v>
      </c>
      <c r="I3083" s="128">
        <v>10846</v>
      </c>
    </row>
    <row r="3084" spans="1:9" ht="13.5">
      <c r="A3084" s="128">
        <v>2002</v>
      </c>
      <c r="B3084" s="128" t="s">
        <v>138</v>
      </c>
      <c r="C3084" s="128" t="s">
        <v>23</v>
      </c>
      <c r="D3084" s="128" t="s">
        <v>77</v>
      </c>
      <c r="E3084" s="128" t="s">
        <v>133</v>
      </c>
      <c r="F3084" s="128">
        <v>680852</v>
      </c>
      <c r="G3084" s="128">
        <v>367051</v>
      </c>
      <c r="H3084" s="128">
        <v>274128</v>
      </c>
      <c r="I3084" s="128">
        <v>3314</v>
      </c>
    </row>
    <row r="3085" spans="1:9" ht="13.5">
      <c r="A3085" s="128">
        <v>2002</v>
      </c>
      <c r="B3085" s="128" t="s">
        <v>138</v>
      </c>
      <c r="C3085" s="128" t="s">
        <v>23</v>
      </c>
      <c r="D3085" s="128" t="s">
        <v>77</v>
      </c>
      <c r="E3085" s="128" t="s">
        <v>134</v>
      </c>
      <c r="F3085" s="128">
        <v>522380</v>
      </c>
      <c r="G3085" s="128">
        <v>234423</v>
      </c>
      <c r="H3085" s="128">
        <v>204697</v>
      </c>
      <c r="I3085" s="128">
        <v>2663</v>
      </c>
    </row>
    <row r="3086" spans="1:9" ht="13.5">
      <c r="A3086" s="128">
        <v>2002</v>
      </c>
      <c r="B3086" s="128" t="s">
        <v>138</v>
      </c>
      <c r="C3086" s="128" t="s">
        <v>23</v>
      </c>
      <c r="D3086" s="128" t="s">
        <v>77</v>
      </c>
      <c r="E3086" s="128" t="s">
        <v>135</v>
      </c>
      <c r="F3086" s="128">
        <v>324096</v>
      </c>
      <c r="G3086" s="128">
        <v>71498</v>
      </c>
      <c r="H3086" s="128">
        <v>78752</v>
      </c>
      <c r="I3086" s="128">
        <v>630</v>
      </c>
    </row>
    <row r="3087" spans="1:9" ht="13.5">
      <c r="A3087" s="128">
        <v>2002</v>
      </c>
      <c r="B3087" s="128" t="s">
        <v>138</v>
      </c>
      <c r="C3087" s="128" t="s">
        <v>23</v>
      </c>
      <c r="D3087" s="128" t="s">
        <v>79</v>
      </c>
      <c r="E3087" s="128" t="s">
        <v>132</v>
      </c>
      <c r="F3087" s="128">
        <v>1579926</v>
      </c>
      <c r="G3087" s="128">
        <v>1060358</v>
      </c>
      <c r="H3087" s="128">
        <v>353941</v>
      </c>
      <c r="I3087" s="128">
        <v>19685</v>
      </c>
    </row>
    <row r="3088" spans="1:9" ht="13.5">
      <c r="A3088" s="128">
        <v>2002</v>
      </c>
      <c r="B3088" s="128" t="s">
        <v>138</v>
      </c>
      <c r="C3088" s="128" t="s">
        <v>23</v>
      </c>
      <c r="D3088" s="128" t="s">
        <v>79</v>
      </c>
      <c r="E3088" s="128" t="s">
        <v>133</v>
      </c>
      <c r="F3088" s="128">
        <v>711008</v>
      </c>
      <c r="G3088" s="128">
        <v>385662</v>
      </c>
      <c r="H3088" s="128">
        <v>133302</v>
      </c>
      <c r="I3088" s="128">
        <v>4955</v>
      </c>
    </row>
    <row r="3089" spans="1:9" ht="13.5">
      <c r="A3089" s="128">
        <v>2002</v>
      </c>
      <c r="B3089" s="128" t="s">
        <v>138</v>
      </c>
      <c r="C3089" s="128" t="s">
        <v>23</v>
      </c>
      <c r="D3089" s="128" t="s">
        <v>79</v>
      </c>
      <c r="E3089" s="128" t="s">
        <v>134</v>
      </c>
      <c r="F3089" s="128">
        <v>742844</v>
      </c>
      <c r="G3089" s="128">
        <v>326031</v>
      </c>
      <c r="H3089" s="128">
        <v>109758</v>
      </c>
      <c r="I3089" s="128">
        <v>4396</v>
      </c>
    </row>
    <row r="3090" spans="1:9" ht="13.5">
      <c r="A3090" s="128">
        <v>2002</v>
      </c>
      <c r="B3090" s="128" t="s">
        <v>138</v>
      </c>
      <c r="C3090" s="128" t="s">
        <v>23</v>
      </c>
      <c r="D3090" s="128" t="s">
        <v>79</v>
      </c>
      <c r="E3090" s="128" t="s">
        <v>135</v>
      </c>
      <c r="F3090" s="128">
        <v>584734</v>
      </c>
      <c r="G3090" s="128">
        <v>170492</v>
      </c>
      <c r="H3090" s="128">
        <v>75390</v>
      </c>
      <c r="I3090" s="128">
        <v>2011</v>
      </c>
    </row>
    <row r="3091" spans="1:9" ht="13.5">
      <c r="A3091" s="128">
        <v>2002</v>
      </c>
      <c r="B3091" s="128" t="s">
        <v>138</v>
      </c>
      <c r="C3091" s="128" t="s">
        <v>23</v>
      </c>
      <c r="D3091" s="128" t="s">
        <v>79</v>
      </c>
      <c r="E3091" s="128" t="s">
        <v>136</v>
      </c>
      <c r="F3091" s="128">
        <v>4168913</v>
      </c>
      <c r="G3091" s="128">
        <v>3140531</v>
      </c>
      <c r="H3091" s="128">
        <v>1028400</v>
      </c>
      <c r="I3091" s="128">
        <v>82028</v>
      </c>
    </row>
    <row r="3092" spans="1:9" ht="13.5">
      <c r="A3092" s="128">
        <v>2002</v>
      </c>
      <c r="B3092" s="128" t="s">
        <v>138</v>
      </c>
      <c r="C3092" s="128" t="s">
        <v>23</v>
      </c>
      <c r="D3092" s="128" t="s">
        <v>76</v>
      </c>
      <c r="E3092" s="128" t="s">
        <v>132</v>
      </c>
      <c r="F3092" s="128">
        <v>8128913</v>
      </c>
      <c r="G3092" s="128">
        <v>5331348</v>
      </c>
      <c r="H3092" s="128">
        <v>2797565</v>
      </c>
      <c r="I3092" s="128">
        <v>132822</v>
      </c>
    </row>
    <row r="3093" spans="1:9" ht="13.5">
      <c r="A3093" s="128">
        <v>2002</v>
      </c>
      <c r="B3093" s="128" t="s">
        <v>138</v>
      </c>
      <c r="C3093" s="128" t="s">
        <v>23</v>
      </c>
      <c r="D3093" s="128" t="s">
        <v>76</v>
      </c>
      <c r="E3093" s="128" t="s">
        <v>133</v>
      </c>
      <c r="F3093" s="128">
        <v>18466064</v>
      </c>
      <c r="G3093" s="128">
        <v>10083230</v>
      </c>
      <c r="H3093" s="128">
        <v>8382835</v>
      </c>
      <c r="I3093" s="128">
        <v>86334</v>
      </c>
    </row>
    <row r="3094" spans="1:9" ht="13.5">
      <c r="A3094" s="128">
        <v>2002</v>
      </c>
      <c r="B3094" s="128" t="s">
        <v>138</v>
      </c>
      <c r="C3094" s="128" t="s">
        <v>23</v>
      </c>
      <c r="D3094" s="128" t="s">
        <v>76</v>
      </c>
      <c r="E3094" s="128" t="s">
        <v>134</v>
      </c>
      <c r="F3094" s="128">
        <v>5557223</v>
      </c>
      <c r="G3094" s="128">
        <v>2711416</v>
      </c>
      <c r="H3094" s="128">
        <v>2845806</v>
      </c>
      <c r="I3094" s="128">
        <v>41465</v>
      </c>
    </row>
    <row r="3095" spans="1:9" ht="13.5">
      <c r="A3095" s="128">
        <v>2002</v>
      </c>
      <c r="B3095" s="128" t="s">
        <v>138</v>
      </c>
      <c r="C3095" s="128" t="s">
        <v>23</v>
      </c>
      <c r="D3095" s="128" t="s">
        <v>76</v>
      </c>
      <c r="E3095" s="128" t="s">
        <v>135</v>
      </c>
      <c r="F3095" s="128">
        <v>1162707</v>
      </c>
      <c r="G3095" s="128">
        <v>357406</v>
      </c>
      <c r="H3095" s="128">
        <v>805301</v>
      </c>
      <c r="I3095" s="128">
        <v>1800</v>
      </c>
    </row>
    <row r="3096" spans="1:9" ht="13.5">
      <c r="A3096" s="128">
        <v>2002</v>
      </c>
      <c r="B3096" s="128" t="s">
        <v>138</v>
      </c>
      <c r="C3096" s="128" t="s">
        <v>23</v>
      </c>
      <c r="D3096" s="128" t="s">
        <v>76</v>
      </c>
      <c r="E3096" s="128" t="s">
        <v>136</v>
      </c>
      <c r="F3096" s="128">
        <v>770440</v>
      </c>
      <c r="G3096" s="128">
        <v>585043</v>
      </c>
      <c r="H3096" s="128">
        <v>185429</v>
      </c>
      <c r="I3096" s="128">
        <v>5319</v>
      </c>
    </row>
    <row r="3097" spans="1:9" ht="13.5">
      <c r="A3097" s="128">
        <v>2002</v>
      </c>
      <c r="B3097" s="128" t="s">
        <v>138</v>
      </c>
      <c r="C3097" s="128" t="s">
        <v>25</v>
      </c>
      <c r="D3097" s="128" t="s">
        <v>77</v>
      </c>
      <c r="E3097" s="128" t="s">
        <v>132</v>
      </c>
      <c r="F3097" s="128">
        <v>30290</v>
      </c>
      <c r="G3097" s="128">
        <v>20190</v>
      </c>
      <c r="H3097" s="128">
        <v>7490</v>
      </c>
      <c r="I3097" s="128">
        <v>243</v>
      </c>
    </row>
    <row r="3098" spans="1:9" ht="13.5">
      <c r="A3098" s="128">
        <v>2002</v>
      </c>
      <c r="B3098" s="128" t="s">
        <v>138</v>
      </c>
      <c r="C3098" s="128" t="s">
        <v>25</v>
      </c>
      <c r="D3098" s="128" t="s">
        <v>77</v>
      </c>
      <c r="E3098" s="128" t="s">
        <v>133</v>
      </c>
      <c r="F3098" s="128">
        <v>63277</v>
      </c>
      <c r="G3098" s="128">
        <v>33907</v>
      </c>
      <c r="H3098" s="128">
        <v>20956</v>
      </c>
      <c r="I3098" s="128">
        <v>262</v>
      </c>
    </row>
    <row r="3099" spans="1:9" ht="13.5">
      <c r="A3099" s="128">
        <v>2002</v>
      </c>
      <c r="B3099" s="128" t="s">
        <v>138</v>
      </c>
      <c r="C3099" s="128" t="s">
        <v>25</v>
      </c>
      <c r="D3099" s="128" t="s">
        <v>77</v>
      </c>
      <c r="E3099" s="128" t="s">
        <v>134</v>
      </c>
      <c r="F3099" s="128">
        <v>122298</v>
      </c>
      <c r="G3099" s="128">
        <v>54301</v>
      </c>
      <c r="H3099" s="128">
        <v>42535</v>
      </c>
      <c r="I3099" s="128">
        <v>578</v>
      </c>
    </row>
    <row r="3100" spans="1:9" ht="13.5">
      <c r="A3100" s="128">
        <v>2002</v>
      </c>
      <c r="B3100" s="128" t="s">
        <v>138</v>
      </c>
      <c r="C3100" s="128" t="s">
        <v>25</v>
      </c>
      <c r="D3100" s="128" t="s">
        <v>77</v>
      </c>
      <c r="E3100" s="128" t="s">
        <v>135</v>
      </c>
      <c r="F3100" s="128">
        <v>168467</v>
      </c>
      <c r="G3100" s="128">
        <v>41719</v>
      </c>
      <c r="H3100" s="128">
        <v>32932</v>
      </c>
      <c r="I3100" s="128">
        <v>532</v>
      </c>
    </row>
    <row r="3101" spans="1:9" ht="13.5">
      <c r="A3101" s="128">
        <v>2002</v>
      </c>
      <c r="B3101" s="128" t="s">
        <v>138</v>
      </c>
      <c r="C3101" s="128" t="s">
        <v>25</v>
      </c>
      <c r="D3101" s="128" t="s">
        <v>79</v>
      </c>
      <c r="E3101" s="128" t="s">
        <v>132</v>
      </c>
      <c r="F3101" s="128">
        <v>547564</v>
      </c>
      <c r="G3101" s="128">
        <v>366708</v>
      </c>
      <c r="H3101" s="128">
        <v>125256</v>
      </c>
      <c r="I3101" s="128">
        <v>3938</v>
      </c>
    </row>
    <row r="3102" spans="1:9" ht="13.5">
      <c r="A3102" s="128">
        <v>2002</v>
      </c>
      <c r="B3102" s="128" t="s">
        <v>138</v>
      </c>
      <c r="C3102" s="128" t="s">
        <v>25</v>
      </c>
      <c r="D3102" s="128" t="s">
        <v>79</v>
      </c>
      <c r="E3102" s="128" t="s">
        <v>133</v>
      </c>
      <c r="F3102" s="128">
        <v>586654</v>
      </c>
      <c r="G3102" s="128">
        <v>321093</v>
      </c>
      <c r="H3102" s="128">
        <v>122871</v>
      </c>
      <c r="I3102" s="128">
        <v>3585</v>
      </c>
    </row>
    <row r="3103" spans="1:9" ht="13.5">
      <c r="A3103" s="128">
        <v>2002</v>
      </c>
      <c r="B3103" s="128" t="s">
        <v>138</v>
      </c>
      <c r="C3103" s="128" t="s">
        <v>25</v>
      </c>
      <c r="D3103" s="128" t="s">
        <v>79</v>
      </c>
      <c r="E3103" s="128" t="s">
        <v>134</v>
      </c>
      <c r="F3103" s="128">
        <v>721357</v>
      </c>
      <c r="G3103" s="128">
        <v>312080</v>
      </c>
      <c r="H3103" s="128">
        <v>106713</v>
      </c>
      <c r="I3103" s="128">
        <v>3891</v>
      </c>
    </row>
    <row r="3104" spans="1:9" ht="13.5">
      <c r="A3104" s="128">
        <v>2002</v>
      </c>
      <c r="B3104" s="128" t="s">
        <v>138</v>
      </c>
      <c r="C3104" s="128" t="s">
        <v>25</v>
      </c>
      <c r="D3104" s="128" t="s">
        <v>79</v>
      </c>
      <c r="E3104" s="128" t="s">
        <v>135</v>
      </c>
      <c r="F3104" s="128">
        <v>1282436</v>
      </c>
      <c r="G3104" s="128">
        <v>361620</v>
      </c>
      <c r="H3104" s="128">
        <v>129228</v>
      </c>
      <c r="I3104" s="128">
        <v>3318</v>
      </c>
    </row>
    <row r="3105" spans="1:9" ht="13.5">
      <c r="A3105" s="128">
        <v>2002</v>
      </c>
      <c r="B3105" s="128" t="s">
        <v>138</v>
      </c>
      <c r="C3105" s="128" t="s">
        <v>25</v>
      </c>
      <c r="D3105" s="128" t="s">
        <v>79</v>
      </c>
      <c r="E3105" s="128" t="s">
        <v>136</v>
      </c>
      <c r="F3105" s="128">
        <v>1657366</v>
      </c>
      <c r="G3105" s="128">
        <v>1260470</v>
      </c>
      <c r="H3105" s="128">
        <v>398303</v>
      </c>
      <c r="I3105" s="128">
        <v>25383</v>
      </c>
    </row>
    <row r="3106" spans="1:9" ht="13.5">
      <c r="A3106" s="128">
        <v>2002</v>
      </c>
      <c r="B3106" s="128" t="s">
        <v>138</v>
      </c>
      <c r="C3106" s="128" t="s">
        <v>25</v>
      </c>
      <c r="D3106" s="128" t="s">
        <v>76</v>
      </c>
      <c r="E3106" s="128" t="s">
        <v>132</v>
      </c>
      <c r="F3106" s="128">
        <v>1969112</v>
      </c>
      <c r="G3106" s="128">
        <v>1273304</v>
      </c>
      <c r="H3106" s="128">
        <v>695809</v>
      </c>
      <c r="I3106" s="128">
        <v>27488</v>
      </c>
    </row>
    <row r="3107" spans="1:9" ht="13.5">
      <c r="A3107" s="128">
        <v>2002</v>
      </c>
      <c r="B3107" s="128" t="s">
        <v>138</v>
      </c>
      <c r="C3107" s="128" t="s">
        <v>25</v>
      </c>
      <c r="D3107" s="128" t="s">
        <v>76</v>
      </c>
      <c r="E3107" s="128" t="s">
        <v>133</v>
      </c>
      <c r="F3107" s="128">
        <v>3564756</v>
      </c>
      <c r="G3107" s="128">
        <v>1927402</v>
      </c>
      <c r="H3107" s="128">
        <v>1637354</v>
      </c>
      <c r="I3107" s="128">
        <v>19998</v>
      </c>
    </row>
    <row r="3108" spans="1:9" ht="13.5">
      <c r="A3108" s="128">
        <v>2002</v>
      </c>
      <c r="B3108" s="128" t="s">
        <v>138</v>
      </c>
      <c r="C3108" s="128" t="s">
        <v>25</v>
      </c>
      <c r="D3108" s="128" t="s">
        <v>76</v>
      </c>
      <c r="E3108" s="128" t="s">
        <v>134</v>
      </c>
      <c r="F3108" s="128">
        <v>662520</v>
      </c>
      <c r="G3108" s="128">
        <v>313850</v>
      </c>
      <c r="H3108" s="128">
        <v>348669</v>
      </c>
      <c r="I3108" s="128">
        <v>3541</v>
      </c>
    </row>
    <row r="3109" spans="1:9" ht="13.5">
      <c r="A3109" s="128">
        <v>2002</v>
      </c>
      <c r="B3109" s="128" t="s">
        <v>138</v>
      </c>
      <c r="C3109" s="128" t="s">
        <v>25</v>
      </c>
      <c r="D3109" s="128" t="s">
        <v>76</v>
      </c>
      <c r="E3109" s="128" t="s">
        <v>135</v>
      </c>
      <c r="F3109" s="128">
        <v>361283</v>
      </c>
      <c r="G3109" s="128">
        <v>107995</v>
      </c>
      <c r="H3109" s="128">
        <v>253289</v>
      </c>
      <c r="I3109" s="128">
        <v>370</v>
      </c>
    </row>
    <row r="3110" spans="1:9" ht="13.5">
      <c r="A3110" s="128">
        <v>2002</v>
      </c>
      <c r="B3110" s="128" t="s">
        <v>138</v>
      </c>
      <c r="C3110" s="128" t="s">
        <v>25</v>
      </c>
      <c r="D3110" s="128" t="s">
        <v>76</v>
      </c>
      <c r="E3110" s="128" t="s">
        <v>136</v>
      </c>
      <c r="F3110" s="128">
        <v>145498</v>
      </c>
      <c r="G3110" s="128">
        <v>110085</v>
      </c>
      <c r="H3110" s="128">
        <v>35412</v>
      </c>
      <c r="I3110" s="128">
        <v>1857</v>
      </c>
    </row>
    <row r="3111" spans="1:9" ht="13.5">
      <c r="A3111" s="128">
        <v>2002</v>
      </c>
      <c r="B3111" s="128" t="s">
        <v>138</v>
      </c>
      <c r="C3111" s="128" t="s">
        <v>21</v>
      </c>
      <c r="D3111" s="128" t="s">
        <v>77</v>
      </c>
      <c r="E3111" s="128" t="s">
        <v>132</v>
      </c>
      <c r="F3111" s="128">
        <v>1024942</v>
      </c>
      <c r="G3111" s="128">
        <v>675558</v>
      </c>
      <c r="H3111" s="128">
        <v>303681</v>
      </c>
      <c r="I3111" s="128">
        <v>5985</v>
      </c>
    </row>
    <row r="3112" spans="1:9" ht="13.5">
      <c r="A3112" s="128">
        <v>2002</v>
      </c>
      <c r="B3112" s="128" t="s">
        <v>138</v>
      </c>
      <c r="C3112" s="128" t="s">
        <v>21</v>
      </c>
      <c r="D3112" s="128" t="s">
        <v>77</v>
      </c>
      <c r="E3112" s="128" t="s">
        <v>133</v>
      </c>
      <c r="F3112" s="128">
        <v>2906809</v>
      </c>
      <c r="G3112" s="128">
        <v>1562884</v>
      </c>
      <c r="H3112" s="128">
        <v>1015010</v>
      </c>
      <c r="I3112" s="128">
        <v>17852</v>
      </c>
    </row>
    <row r="3113" spans="1:9" ht="13.5">
      <c r="A3113" s="128">
        <v>2002</v>
      </c>
      <c r="B3113" s="128" t="s">
        <v>138</v>
      </c>
      <c r="C3113" s="128" t="s">
        <v>21</v>
      </c>
      <c r="D3113" s="128" t="s">
        <v>77</v>
      </c>
      <c r="E3113" s="128" t="s">
        <v>134</v>
      </c>
      <c r="F3113" s="128">
        <v>4376969</v>
      </c>
      <c r="G3113" s="128">
        <v>1940987</v>
      </c>
      <c r="H3113" s="128">
        <v>1554343</v>
      </c>
      <c r="I3113" s="128">
        <v>21544</v>
      </c>
    </row>
    <row r="3114" spans="1:9" ht="13.5">
      <c r="A3114" s="128">
        <v>2002</v>
      </c>
      <c r="B3114" s="128" t="s">
        <v>138</v>
      </c>
      <c r="C3114" s="128" t="s">
        <v>21</v>
      </c>
      <c r="D3114" s="128" t="s">
        <v>77</v>
      </c>
      <c r="E3114" s="128" t="s">
        <v>135</v>
      </c>
      <c r="F3114" s="128">
        <v>2868177</v>
      </c>
      <c r="G3114" s="128">
        <v>751544</v>
      </c>
      <c r="H3114" s="128">
        <v>712470</v>
      </c>
      <c r="I3114" s="128">
        <v>9478</v>
      </c>
    </row>
    <row r="3115" spans="1:9" ht="13.5">
      <c r="A3115" s="128">
        <v>2002</v>
      </c>
      <c r="B3115" s="128" t="s">
        <v>138</v>
      </c>
      <c r="C3115" s="128" t="s">
        <v>21</v>
      </c>
      <c r="D3115" s="128" t="s">
        <v>79</v>
      </c>
      <c r="E3115" s="128" t="s">
        <v>132</v>
      </c>
      <c r="F3115" s="128">
        <v>5909495</v>
      </c>
      <c r="G3115" s="128">
        <v>3980990</v>
      </c>
      <c r="H3115" s="128">
        <v>1373618</v>
      </c>
      <c r="I3115" s="128">
        <v>47580</v>
      </c>
    </row>
    <row r="3116" spans="1:9" ht="13.5">
      <c r="A3116" s="128">
        <v>2002</v>
      </c>
      <c r="B3116" s="128" t="s">
        <v>138</v>
      </c>
      <c r="C3116" s="128" t="s">
        <v>21</v>
      </c>
      <c r="D3116" s="128" t="s">
        <v>79</v>
      </c>
      <c r="E3116" s="128" t="s">
        <v>133</v>
      </c>
      <c r="F3116" s="128">
        <v>5716256</v>
      </c>
      <c r="G3116" s="128">
        <v>3109388</v>
      </c>
      <c r="H3116" s="128">
        <v>1069224</v>
      </c>
      <c r="I3116" s="128">
        <v>38050</v>
      </c>
    </row>
    <row r="3117" spans="1:9" ht="13.5">
      <c r="A3117" s="128">
        <v>2002</v>
      </c>
      <c r="B3117" s="128" t="s">
        <v>138</v>
      </c>
      <c r="C3117" s="128" t="s">
        <v>21</v>
      </c>
      <c r="D3117" s="128" t="s">
        <v>79</v>
      </c>
      <c r="E3117" s="128" t="s">
        <v>134</v>
      </c>
      <c r="F3117" s="128">
        <v>8799581</v>
      </c>
      <c r="G3117" s="128">
        <v>3862661</v>
      </c>
      <c r="H3117" s="128">
        <v>1297131</v>
      </c>
      <c r="I3117" s="128">
        <v>54845</v>
      </c>
    </row>
    <row r="3118" spans="1:9" ht="13.5">
      <c r="A3118" s="128">
        <v>2002</v>
      </c>
      <c r="B3118" s="128" t="s">
        <v>138</v>
      </c>
      <c r="C3118" s="128" t="s">
        <v>21</v>
      </c>
      <c r="D3118" s="128" t="s">
        <v>79</v>
      </c>
      <c r="E3118" s="128" t="s">
        <v>135</v>
      </c>
      <c r="F3118" s="128">
        <v>6168551</v>
      </c>
      <c r="G3118" s="128">
        <v>1711055</v>
      </c>
      <c r="H3118" s="128">
        <v>586201</v>
      </c>
      <c r="I3118" s="128">
        <v>17436</v>
      </c>
    </row>
    <row r="3119" spans="1:9" ht="13.5">
      <c r="A3119" s="128">
        <v>2002</v>
      </c>
      <c r="B3119" s="128" t="s">
        <v>138</v>
      </c>
      <c r="C3119" s="128" t="s">
        <v>21</v>
      </c>
      <c r="D3119" s="128" t="s">
        <v>79</v>
      </c>
      <c r="E3119" s="128" t="s">
        <v>136</v>
      </c>
      <c r="F3119" s="128">
        <v>14306420</v>
      </c>
      <c r="G3119" s="128">
        <v>10798844</v>
      </c>
      <c r="H3119" s="128">
        <v>3508423</v>
      </c>
      <c r="I3119" s="128">
        <v>194291</v>
      </c>
    </row>
    <row r="3120" spans="1:9" ht="13.5">
      <c r="A3120" s="128">
        <v>2002</v>
      </c>
      <c r="B3120" s="128" t="s">
        <v>138</v>
      </c>
      <c r="C3120" s="128" t="s">
        <v>21</v>
      </c>
      <c r="D3120" s="128" t="s">
        <v>76</v>
      </c>
      <c r="E3120" s="128" t="s">
        <v>132</v>
      </c>
      <c r="F3120" s="128">
        <v>22035190</v>
      </c>
      <c r="G3120" s="128">
        <v>13957267</v>
      </c>
      <c r="H3120" s="128">
        <v>8077923</v>
      </c>
      <c r="I3120" s="128">
        <v>270957</v>
      </c>
    </row>
    <row r="3121" spans="1:9" ht="13.5">
      <c r="A3121" s="128">
        <v>2002</v>
      </c>
      <c r="B3121" s="128" t="s">
        <v>138</v>
      </c>
      <c r="C3121" s="128" t="s">
        <v>21</v>
      </c>
      <c r="D3121" s="128" t="s">
        <v>76</v>
      </c>
      <c r="E3121" s="128" t="s">
        <v>133</v>
      </c>
      <c r="F3121" s="128">
        <v>48198669</v>
      </c>
      <c r="G3121" s="128">
        <v>26456851</v>
      </c>
      <c r="H3121" s="128">
        <v>21741821</v>
      </c>
      <c r="I3121" s="128">
        <v>379675</v>
      </c>
    </row>
    <row r="3122" spans="1:9" ht="13.5">
      <c r="A3122" s="128">
        <v>2002</v>
      </c>
      <c r="B3122" s="128" t="s">
        <v>138</v>
      </c>
      <c r="C3122" s="128" t="s">
        <v>21</v>
      </c>
      <c r="D3122" s="128" t="s">
        <v>76</v>
      </c>
      <c r="E3122" s="128" t="s">
        <v>134</v>
      </c>
      <c r="F3122" s="128">
        <v>9280214</v>
      </c>
      <c r="G3122" s="128">
        <v>4527785</v>
      </c>
      <c r="H3122" s="128">
        <v>4752409</v>
      </c>
      <c r="I3122" s="128">
        <v>74172</v>
      </c>
    </row>
    <row r="3123" spans="1:9" ht="13.5">
      <c r="A3123" s="128">
        <v>2002</v>
      </c>
      <c r="B3123" s="128" t="s">
        <v>138</v>
      </c>
      <c r="C3123" s="128" t="s">
        <v>21</v>
      </c>
      <c r="D3123" s="128" t="s">
        <v>76</v>
      </c>
      <c r="E3123" s="128" t="s">
        <v>135</v>
      </c>
      <c r="F3123" s="128">
        <v>2551368</v>
      </c>
      <c r="G3123" s="128">
        <v>798417</v>
      </c>
      <c r="H3123" s="128">
        <v>1752953</v>
      </c>
      <c r="I3123" s="128">
        <v>3139</v>
      </c>
    </row>
    <row r="3124" spans="1:9" ht="13.5">
      <c r="A3124" s="128">
        <v>2002</v>
      </c>
      <c r="B3124" s="128" t="s">
        <v>138</v>
      </c>
      <c r="C3124" s="128" t="s">
        <v>21</v>
      </c>
      <c r="D3124" s="128" t="s">
        <v>76</v>
      </c>
      <c r="E3124" s="128" t="s">
        <v>136</v>
      </c>
      <c r="F3124" s="128">
        <v>2554416</v>
      </c>
      <c r="G3124" s="128">
        <v>1933390</v>
      </c>
      <c r="H3124" s="128">
        <v>621355</v>
      </c>
      <c r="I3124" s="128">
        <v>22581</v>
      </c>
    </row>
    <row r="3125" spans="1:9" ht="13.5">
      <c r="A3125" s="128">
        <v>2002</v>
      </c>
      <c r="B3125" s="128" t="s">
        <v>138</v>
      </c>
      <c r="C3125" s="128" t="s">
        <v>24</v>
      </c>
      <c r="D3125" s="128" t="s">
        <v>77</v>
      </c>
      <c r="E3125" s="128" t="s">
        <v>132</v>
      </c>
      <c r="F3125" s="128">
        <v>233116</v>
      </c>
      <c r="G3125" s="128">
        <v>154893</v>
      </c>
      <c r="H3125" s="128">
        <v>58834</v>
      </c>
      <c r="I3125" s="128">
        <v>2498</v>
      </c>
    </row>
    <row r="3126" spans="1:9" ht="13.5">
      <c r="A3126" s="128">
        <v>2002</v>
      </c>
      <c r="B3126" s="128" t="s">
        <v>138</v>
      </c>
      <c r="C3126" s="128" t="s">
        <v>24</v>
      </c>
      <c r="D3126" s="128" t="s">
        <v>77</v>
      </c>
      <c r="E3126" s="128" t="s">
        <v>133</v>
      </c>
      <c r="F3126" s="128">
        <v>675959</v>
      </c>
      <c r="G3126" s="128">
        <v>359832</v>
      </c>
      <c r="H3126" s="128">
        <v>241060</v>
      </c>
      <c r="I3126" s="128">
        <v>2712</v>
      </c>
    </row>
    <row r="3127" spans="1:9" ht="13.5">
      <c r="A3127" s="128">
        <v>2002</v>
      </c>
      <c r="B3127" s="128" t="s">
        <v>138</v>
      </c>
      <c r="C3127" s="128" t="s">
        <v>24</v>
      </c>
      <c r="D3127" s="128" t="s">
        <v>77</v>
      </c>
      <c r="E3127" s="128" t="s">
        <v>134</v>
      </c>
      <c r="F3127" s="128">
        <v>1422058</v>
      </c>
      <c r="G3127" s="128">
        <v>628556</v>
      </c>
      <c r="H3127" s="128">
        <v>531409</v>
      </c>
      <c r="I3127" s="128">
        <v>6363</v>
      </c>
    </row>
    <row r="3128" spans="1:9" ht="13.5">
      <c r="A3128" s="128">
        <v>2002</v>
      </c>
      <c r="B3128" s="128" t="s">
        <v>138</v>
      </c>
      <c r="C3128" s="128" t="s">
        <v>24</v>
      </c>
      <c r="D3128" s="128" t="s">
        <v>77</v>
      </c>
      <c r="E3128" s="128" t="s">
        <v>135</v>
      </c>
      <c r="F3128" s="128">
        <v>980477</v>
      </c>
      <c r="G3128" s="128">
        <v>270832</v>
      </c>
      <c r="H3128" s="128">
        <v>299281</v>
      </c>
      <c r="I3128" s="128">
        <v>2939</v>
      </c>
    </row>
    <row r="3129" spans="1:9" ht="13.5">
      <c r="A3129" s="128">
        <v>2002</v>
      </c>
      <c r="B3129" s="128" t="s">
        <v>138</v>
      </c>
      <c r="C3129" s="128" t="s">
        <v>24</v>
      </c>
      <c r="D3129" s="128" t="s">
        <v>79</v>
      </c>
      <c r="E3129" s="128" t="s">
        <v>132</v>
      </c>
      <c r="F3129" s="128">
        <v>2148132</v>
      </c>
      <c r="G3129" s="128">
        <v>1428346</v>
      </c>
      <c r="H3129" s="128">
        <v>469389</v>
      </c>
      <c r="I3129" s="128">
        <v>21011</v>
      </c>
    </row>
    <row r="3130" spans="1:9" ht="13.5">
      <c r="A3130" s="128">
        <v>2002</v>
      </c>
      <c r="B3130" s="128" t="s">
        <v>138</v>
      </c>
      <c r="C3130" s="128" t="s">
        <v>24</v>
      </c>
      <c r="D3130" s="128" t="s">
        <v>79</v>
      </c>
      <c r="E3130" s="128" t="s">
        <v>133</v>
      </c>
      <c r="F3130" s="128">
        <v>2888104</v>
      </c>
      <c r="G3130" s="128">
        <v>1571585</v>
      </c>
      <c r="H3130" s="128">
        <v>533449</v>
      </c>
      <c r="I3130" s="128">
        <v>13953</v>
      </c>
    </row>
    <row r="3131" spans="1:9" ht="13.5">
      <c r="A3131" s="128">
        <v>2002</v>
      </c>
      <c r="B3131" s="128" t="s">
        <v>138</v>
      </c>
      <c r="C3131" s="128" t="s">
        <v>24</v>
      </c>
      <c r="D3131" s="128" t="s">
        <v>79</v>
      </c>
      <c r="E3131" s="128" t="s">
        <v>134</v>
      </c>
      <c r="F3131" s="128">
        <v>3249160</v>
      </c>
      <c r="G3131" s="128">
        <v>1378935</v>
      </c>
      <c r="H3131" s="128">
        <v>482879</v>
      </c>
      <c r="I3131" s="128">
        <v>14467</v>
      </c>
    </row>
    <row r="3132" spans="1:9" ht="13.5">
      <c r="A3132" s="128">
        <v>2002</v>
      </c>
      <c r="B3132" s="128" t="s">
        <v>138</v>
      </c>
      <c r="C3132" s="128" t="s">
        <v>24</v>
      </c>
      <c r="D3132" s="128" t="s">
        <v>79</v>
      </c>
      <c r="E3132" s="128" t="s">
        <v>135</v>
      </c>
      <c r="F3132" s="128">
        <v>2577792</v>
      </c>
      <c r="G3132" s="128">
        <v>601382</v>
      </c>
      <c r="H3132" s="128">
        <v>409311</v>
      </c>
      <c r="I3132" s="128">
        <v>7130</v>
      </c>
    </row>
    <row r="3133" spans="1:9" ht="13.5">
      <c r="A3133" s="128">
        <v>2002</v>
      </c>
      <c r="B3133" s="128" t="s">
        <v>138</v>
      </c>
      <c r="C3133" s="128" t="s">
        <v>24</v>
      </c>
      <c r="D3133" s="128" t="s">
        <v>79</v>
      </c>
      <c r="E3133" s="128" t="s">
        <v>136</v>
      </c>
      <c r="F3133" s="128">
        <v>2932039</v>
      </c>
      <c r="G3133" s="128">
        <v>2226026</v>
      </c>
      <c r="H3133" s="128">
        <v>706013</v>
      </c>
      <c r="I3133" s="128">
        <v>34493</v>
      </c>
    </row>
    <row r="3134" spans="1:9" ht="13.5">
      <c r="A3134" s="128">
        <v>2002</v>
      </c>
      <c r="B3134" s="128" t="s">
        <v>138</v>
      </c>
      <c r="C3134" s="128" t="s">
        <v>24</v>
      </c>
      <c r="D3134" s="128" t="s">
        <v>76</v>
      </c>
      <c r="E3134" s="128" t="s">
        <v>132</v>
      </c>
      <c r="F3134" s="128">
        <v>9258241</v>
      </c>
      <c r="G3134" s="128">
        <v>6037241</v>
      </c>
      <c r="H3134" s="128">
        <v>3221002</v>
      </c>
      <c r="I3134" s="128">
        <v>97188</v>
      </c>
    </row>
    <row r="3135" spans="1:9" ht="13.5">
      <c r="A3135" s="128">
        <v>2002</v>
      </c>
      <c r="B3135" s="128" t="s">
        <v>138</v>
      </c>
      <c r="C3135" s="128" t="s">
        <v>24</v>
      </c>
      <c r="D3135" s="128" t="s">
        <v>76</v>
      </c>
      <c r="E3135" s="128" t="s">
        <v>133</v>
      </c>
      <c r="F3135" s="128">
        <v>10922657</v>
      </c>
      <c r="G3135" s="128">
        <v>5968846</v>
      </c>
      <c r="H3135" s="128">
        <v>4953814</v>
      </c>
      <c r="I3135" s="128">
        <v>60459</v>
      </c>
    </row>
    <row r="3136" spans="1:9" ht="13.5">
      <c r="A3136" s="128">
        <v>2002</v>
      </c>
      <c r="B3136" s="128" t="s">
        <v>138</v>
      </c>
      <c r="C3136" s="128" t="s">
        <v>24</v>
      </c>
      <c r="D3136" s="128" t="s">
        <v>76</v>
      </c>
      <c r="E3136" s="128" t="s">
        <v>134</v>
      </c>
      <c r="F3136" s="128">
        <v>6208259</v>
      </c>
      <c r="G3136" s="128">
        <v>2782032</v>
      </c>
      <c r="H3136" s="128">
        <v>3426227</v>
      </c>
      <c r="I3136" s="128">
        <v>40621</v>
      </c>
    </row>
    <row r="3137" spans="1:9" ht="13.5">
      <c r="A3137" s="128">
        <v>2002</v>
      </c>
      <c r="B3137" s="128" t="s">
        <v>138</v>
      </c>
      <c r="C3137" s="128" t="s">
        <v>24</v>
      </c>
      <c r="D3137" s="128" t="s">
        <v>76</v>
      </c>
      <c r="E3137" s="128" t="s">
        <v>135</v>
      </c>
      <c r="F3137" s="128">
        <v>2585799</v>
      </c>
      <c r="G3137" s="128">
        <v>777440</v>
      </c>
      <c r="H3137" s="128">
        <v>1808359</v>
      </c>
      <c r="I3137" s="128">
        <v>5852</v>
      </c>
    </row>
    <row r="3138" spans="1:9" ht="13.5">
      <c r="A3138" s="128">
        <v>2002</v>
      </c>
      <c r="B3138" s="128" t="s">
        <v>138</v>
      </c>
      <c r="C3138" s="128" t="s">
        <v>24</v>
      </c>
      <c r="D3138" s="128" t="s">
        <v>76</v>
      </c>
      <c r="E3138" s="128" t="s">
        <v>136</v>
      </c>
      <c r="F3138" s="128">
        <v>2984826</v>
      </c>
      <c r="G3138" s="128">
        <v>2260535</v>
      </c>
      <c r="H3138" s="128">
        <v>724290</v>
      </c>
      <c r="I3138" s="128">
        <v>41982</v>
      </c>
    </row>
    <row r="3139" spans="1:9" ht="13.5">
      <c r="A3139" s="128">
        <v>2002</v>
      </c>
      <c r="B3139" s="128" t="s">
        <v>139</v>
      </c>
      <c r="C3139" s="128" t="s">
        <v>26</v>
      </c>
      <c r="D3139" s="128" t="s">
        <v>77</v>
      </c>
      <c r="E3139" s="128" t="s">
        <v>132</v>
      </c>
      <c r="F3139" s="128">
        <v>0</v>
      </c>
      <c r="G3139" s="128">
        <v>0</v>
      </c>
      <c r="H3139" s="128">
        <v>0</v>
      </c>
      <c r="I3139" s="128">
        <v>0</v>
      </c>
    </row>
    <row r="3140" spans="1:9" ht="13.5">
      <c r="A3140" s="128">
        <v>2002</v>
      </c>
      <c r="B3140" s="128" t="s">
        <v>139</v>
      </c>
      <c r="C3140" s="128" t="s">
        <v>26</v>
      </c>
      <c r="D3140" s="128" t="s">
        <v>77</v>
      </c>
      <c r="E3140" s="128" t="s">
        <v>133</v>
      </c>
      <c r="F3140" s="128">
        <v>0</v>
      </c>
      <c r="G3140" s="128">
        <v>0</v>
      </c>
      <c r="H3140" s="128">
        <v>0</v>
      </c>
      <c r="I3140" s="128">
        <v>0</v>
      </c>
    </row>
    <row r="3141" spans="1:9" ht="13.5">
      <c r="A3141" s="128">
        <v>2002</v>
      </c>
      <c r="B3141" s="128" t="s">
        <v>139</v>
      </c>
      <c r="C3141" s="128" t="s">
        <v>26</v>
      </c>
      <c r="D3141" s="128" t="s">
        <v>77</v>
      </c>
      <c r="E3141" s="128" t="s">
        <v>134</v>
      </c>
      <c r="F3141" s="128">
        <v>0</v>
      </c>
      <c r="G3141" s="128">
        <v>0</v>
      </c>
      <c r="H3141" s="128">
        <v>0</v>
      </c>
      <c r="I3141" s="128">
        <v>0</v>
      </c>
    </row>
    <row r="3142" spans="1:9" ht="13.5">
      <c r="A3142" s="128">
        <v>2002</v>
      </c>
      <c r="B3142" s="128" t="s">
        <v>139</v>
      </c>
      <c r="C3142" s="128" t="s">
        <v>26</v>
      </c>
      <c r="D3142" s="128" t="s">
        <v>77</v>
      </c>
      <c r="E3142" s="128" t="s">
        <v>135</v>
      </c>
      <c r="F3142" s="128">
        <v>0</v>
      </c>
      <c r="G3142" s="128">
        <v>0</v>
      </c>
      <c r="H3142" s="128">
        <v>0</v>
      </c>
      <c r="I3142" s="128">
        <v>0</v>
      </c>
    </row>
    <row r="3143" spans="1:9" ht="13.5">
      <c r="A3143" s="128">
        <v>2002</v>
      </c>
      <c r="B3143" s="128" t="s">
        <v>139</v>
      </c>
      <c r="C3143" s="128" t="s">
        <v>26</v>
      </c>
      <c r="D3143" s="128" t="s">
        <v>79</v>
      </c>
      <c r="E3143" s="128" t="s">
        <v>132</v>
      </c>
      <c r="F3143" s="128">
        <v>0</v>
      </c>
      <c r="G3143" s="128">
        <v>0</v>
      </c>
      <c r="H3143" s="128">
        <v>0</v>
      </c>
      <c r="I3143" s="128">
        <v>0</v>
      </c>
    </row>
    <row r="3144" spans="1:9" ht="13.5">
      <c r="A3144" s="128">
        <v>2002</v>
      </c>
      <c r="B3144" s="128" t="s">
        <v>139</v>
      </c>
      <c r="C3144" s="128" t="s">
        <v>26</v>
      </c>
      <c r="D3144" s="128" t="s">
        <v>79</v>
      </c>
      <c r="E3144" s="128" t="s">
        <v>133</v>
      </c>
      <c r="F3144" s="128">
        <v>0</v>
      </c>
      <c r="G3144" s="128">
        <v>0</v>
      </c>
      <c r="H3144" s="128">
        <v>0</v>
      </c>
      <c r="I3144" s="128">
        <v>0</v>
      </c>
    </row>
    <row r="3145" spans="1:9" ht="13.5">
      <c r="A3145" s="128">
        <v>2002</v>
      </c>
      <c r="B3145" s="128" t="s">
        <v>139</v>
      </c>
      <c r="C3145" s="128" t="s">
        <v>26</v>
      </c>
      <c r="D3145" s="128" t="s">
        <v>79</v>
      </c>
      <c r="E3145" s="128" t="s">
        <v>134</v>
      </c>
      <c r="F3145" s="128">
        <v>0</v>
      </c>
      <c r="G3145" s="128">
        <v>0</v>
      </c>
      <c r="H3145" s="128">
        <v>0</v>
      </c>
      <c r="I3145" s="128">
        <v>0</v>
      </c>
    </row>
    <row r="3146" spans="1:9" ht="13.5">
      <c r="A3146" s="128">
        <v>2002</v>
      </c>
      <c r="B3146" s="128" t="s">
        <v>139</v>
      </c>
      <c r="C3146" s="128" t="s">
        <v>26</v>
      </c>
      <c r="D3146" s="128" t="s">
        <v>79</v>
      </c>
      <c r="E3146" s="128" t="s">
        <v>135</v>
      </c>
      <c r="F3146" s="128">
        <v>0</v>
      </c>
      <c r="G3146" s="128">
        <v>0</v>
      </c>
      <c r="H3146" s="128">
        <v>0</v>
      </c>
      <c r="I3146" s="128">
        <v>0</v>
      </c>
    </row>
    <row r="3147" spans="1:9" ht="13.5">
      <c r="A3147" s="128">
        <v>2002</v>
      </c>
      <c r="B3147" s="128" t="s">
        <v>139</v>
      </c>
      <c r="C3147" s="128" t="s">
        <v>26</v>
      </c>
      <c r="D3147" s="128" t="s">
        <v>79</v>
      </c>
      <c r="E3147" s="128" t="s">
        <v>136</v>
      </c>
      <c r="F3147" s="128">
        <v>0</v>
      </c>
      <c r="G3147" s="128">
        <v>0</v>
      </c>
      <c r="H3147" s="128">
        <v>0</v>
      </c>
      <c r="I3147" s="128">
        <v>0</v>
      </c>
    </row>
    <row r="3148" spans="1:9" ht="13.5">
      <c r="A3148" s="128">
        <v>2002</v>
      </c>
      <c r="B3148" s="128" t="s">
        <v>139</v>
      </c>
      <c r="C3148" s="128" t="s">
        <v>26</v>
      </c>
      <c r="D3148" s="128" t="s">
        <v>76</v>
      </c>
      <c r="E3148" s="128" t="s">
        <v>132</v>
      </c>
      <c r="F3148" s="128">
        <v>0</v>
      </c>
      <c r="G3148" s="128">
        <v>0</v>
      </c>
      <c r="H3148" s="128">
        <v>0</v>
      </c>
      <c r="I3148" s="128">
        <v>0</v>
      </c>
    </row>
    <row r="3149" spans="1:9" ht="13.5">
      <c r="A3149" s="128">
        <v>2002</v>
      </c>
      <c r="B3149" s="128" t="s">
        <v>139</v>
      </c>
      <c r="C3149" s="128" t="s">
        <v>26</v>
      </c>
      <c r="D3149" s="128" t="s">
        <v>76</v>
      </c>
      <c r="E3149" s="128" t="s">
        <v>133</v>
      </c>
      <c r="F3149" s="128">
        <v>0</v>
      </c>
      <c r="G3149" s="128">
        <v>0</v>
      </c>
      <c r="H3149" s="128">
        <v>0</v>
      </c>
      <c r="I3149" s="128">
        <v>0</v>
      </c>
    </row>
    <row r="3150" spans="1:9" ht="13.5">
      <c r="A3150" s="128">
        <v>2002</v>
      </c>
      <c r="B3150" s="128" t="s">
        <v>139</v>
      </c>
      <c r="C3150" s="128" t="s">
        <v>26</v>
      </c>
      <c r="D3150" s="128" t="s">
        <v>76</v>
      </c>
      <c r="E3150" s="128" t="s">
        <v>134</v>
      </c>
      <c r="F3150" s="128">
        <v>0</v>
      </c>
      <c r="G3150" s="128">
        <v>0</v>
      </c>
      <c r="H3150" s="128">
        <v>0</v>
      </c>
      <c r="I3150" s="128">
        <v>0</v>
      </c>
    </row>
    <row r="3151" spans="1:9" ht="13.5">
      <c r="A3151" s="128">
        <v>2002</v>
      </c>
      <c r="B3151" s="128" t="s">
        <v>139</v>
      </c>
      <c r="C3151" s="128" t="s">
        <v>26</v>
      </c>
      <c r="D3151" s="128" t="s">
        <v>76</v>
      </c>
      <c r="E3151" s="128" t="s">
        <v>135</v>
      </c>
      <c r="F3151" s="128">
        <v>0</v>
      </c>
      <c r="G3151" s="128">
        <v>0</v>
      </c>
      <c r="H3151" s="128">
        <v>0</v>
      </c>
      <c r="I3151" s="128">
        <v>0</v>
      </c>
    </row>
    <row r="3152" spans="1:9" ht="13.5">
      <c r="A3152" s="128">
        <v>2002</v>
      </c>
      <c r="B3152" s="128" t="s">
        <v>139</v>
      </c>
      <c r="C3152" s="128" t="s">
        <v>26</v>
      </c>
      <c r="D3152" s="128" t="s">
        <v>76</v>
      </c>
      <c r="E3152" s="128" t="s">
        <v>136</v>
      </c>
      <c r="F3152" s="128">
        <v>0</v>
      </c>
      <c r="G3152" s="128">
        <v>0</v>
      </c>
      <c r="H3152" s="128">
        <v>0</v>
      </c>
      <c r="I3152" s="128">
        <v>0</v>
      </c>
    </row>
    <row r="3153" spans="1:9" ht="13.5">
      <c r="A3153" s="128">
        <v>2002</v>
      </c>
      <c r="B3153" s="128" t="s">
        <v>139</v>
      </c>
      <c r="C3153" s="128" t="s">
        <v>20</v>
      </c>
      <c r="D3153" s="128" t="s">
        <v>77</v>
      </c>
      <c r="E3153" s="128" t="s">
        <v>132</v>
      </c>
      <c r="F3153" s="128">
        <v>1096843</v>
      </c>
      <c r="G3153" s="128">
        <v>707357</v>
      </c>
      <c r="H3153" s="128">
        <v>344728</v>
      </c>
      <c r="I3153" s="128">
        <v>9967</v>
      </c>
    </row>
    <row r="3154" spans="1:9" ht="13.5">
      <c r="A3154" s="128">
        <v>2002</v>
      </c>
      <c r="B3154" s="128" t="s">
        <v>139</v>
      </c>
      <c r="C3154" s="128" t="s">
        <v>20</v>
      </c>
      <c r="D3154" s="128" t="s">
        <v>77</v>
      </c>
      <c r="E3154" s="128" t="s">
        <v>133</v>
      </c>
      <c r="F3154" s="128">
        <v>2734624</v>
      </c>
      <c r="G3154" s="128">
        <v>1476428</v>
      </c>
      <c r="H3154" s="128">
        <v>1162509</v>
      </c>
      <c r="I3154" s="128">
        <v>15319</v>
      </c>
    </row>
    <row r="3155" spans="1:9" ht="13.5">
      <c r="A3155" s="128">
        <v>2002</v>
      </c>
      <c r="B3155" s="128" t="s">
        <v>139</v>
      </c>
      <c r="C3155" s="128" t="s">
        <v>20</v>
      </c>
      <c r="D3155" s="128" t="s">
        <v>77</v>
      </c>
      <c r="E3155" s="128" t="s">
        <v>134</v>
      </c>
      <c r="F3155" s="128">
        <v>1194969</v>
      </c>
      <c r="G3155" s="128">
        <v>531547</v>
      </c>
      <c r="H3155" s="128">
        <v>457636</v>
      </c>
      <c r="I3155" s="128">
        <v>6018</v>
      </c>
    </row>
    <row r="3156" spans="1:9" ht="13.5">
      <c r="A3156" s="128">
        <v>2002</v>
      </c>
      <c r="B3156" s="128" t="s">
        <v>139</v>
      </c>
      <c r="C3156" s="128" t="s">
        <v>20</v>
      </c>
      <c r="D3156" s="128" t="s">
        <v>77</v>
      </c>
      <c r="E3156" s="128" t="s">
        <v>135</v>
      </c>
      <c r="F3156" s="128">
        <v>1023215</v>
      </c>
      <c r="G3156" s="128">
        <v>289725</v>
      </c>
      <c r="H3156" s="128">
        <v>340616</v>
      </c>
      <c r="I3156" s="128">
        <v>3437</v>
      </c>
    </row>
    <row r="3157" spans="1:9" ht="13.5">
      <c r="A3157" s="128">
        <v>2002</v>
      </c>
      <c r="B3157" s="128" t="s">
        <v>139</v>
      </c>
      <c r="C3157" s="128" t="s">
        <v>20</v>
      </c>
      <c r="D3157" s="128" t="s">
        <v>79</v>
      </c>
      <c r="E3157" s="128" t="s">
        <v>132</v>
      </c>
      <c r="F3157" s="128">
        <v>8432295</v>
      </c>
      <c r="G3157" s="128">
        <v>5682819</v>
      </c>
      <c r="H3157" s="128">
        <v>1927103</v>
      </c>
      <c r="I3157" s="128">
        <v>73135</v>
      </c>
    </row>
    <row r="3158" spans="1:9" ht="13.5">
      <c r="A3158" s="128">
        <v>2002</v>
      </c>
      <c r="B3158" s="128" t="s">
        <v>139</v>
      </c>
      <c r="C3158" s="128" t="s">
        <v>20</v>
      </c>
      <c r="D3158" s="128" t="s">
        <v>79</v>
      </c>
      <c r="E3158" s="128" t="s">
        <v>133</v>
      </c>
      <c r="F3158" s="128">
        <v>10141524</v>
      </c>
      <c r="G3158" s="128">
        <v>5514470</v>
      </c>
      <c r="H3158" s="128">
        <v>1870693</v>
      </c>
      <c r="I3158" s="128">
        <v>64536</v>
      </c>
    </row>
    <row r="3159" spans="1:9" ht="13.5">
      <c r="A3159" s="128">
        <v>2002</v>
      </c>
      <c r="B3159" s="128" t="s">
        <v>139</v>
      </c>
      <c r="C3159" s="128" t="s">
        <v>20</v>
      </c>
      <c r="D3159" s="128" t="s">
        <v>79</v>
      </c>
      <c r="E3159" s="128" t="s">
        <v>134</v>
      </c>
      <c r="F3159" s="128">
        <v>21965081</v>
      </c>
      <c r="G3159" s="128">
        <v>9493249</v>
      </c>
      <c r="H3159" s="128">
        <v>3204200</v>
      </c>
      <c r="I3159" s="128">
        <v>94637</v>
      </c>
    </row>
    <row r="3160" spans="1:9" ht="13.5">
      <c r="A3160" s="128">
        <v>2002</v>
      </c>
      <c r="B3160" s="128" t="s">
        <v>139</v>
      </c>
      <c r="C3160" s="128" t="s">
        <v>20</v>
      </c>
      <c r="D3160" s="128" t="s">
        <v>79</v>
      </c>
      <c r="E3160" s="128" t="s">
        <v>135</v>
      </c>
      <c r="F3160" s="128">
        <v>26079673</v>
      </c>
      <c r="G3160" s="128">
        <v>7430666</v>
      </c>
      <c r="H3160" s="128">
        <v>2724133</v>
      </c>
      <c r="I3160" s="128">
        <v>61469</v>
      </c>
    </row>
    <row r="3161" spans="1:9" ht="13.5">
      <c r="A3161" s="128">
        <v>2002</v>
      </c>
      <c r="B3161" s="128" t="s">
        <v>139</v>
      </c>
      <c r="C3161" s="128" t="s">
        <v>20</v>
      </c>
      <c r="D3161" s="128" t="s">
        <v>79</v>
      </c>
      <c r="E3161" s="128" t="s">
        <v>136</v>
      </c>
      <c r="F3161" s="128">
        <v>23680999</v>
      </c>
      <c r="G3161" s="128">
        <v>17826551</v>
      </c>
      <c r="H3161" s="128">
        <v>5854725</v>
      </c>
      <c r="I3161" s="128">
        <v>367805</v>
      </c>
    </row>
    <row r="3162" spans="1:9" ht="13.5">
      <c r="A3162" s="128">
        <v>2002</v>
      </c>
      <c r="B3162" s="128" t="s">
        <v>139</v>
      </c>
      <c r="C3162" s="128" t="s">
        <v>20</v>
      </c>
      <c r="D3162" s="128" t="s">
        <v>76</v>
      </c>
      <c r="E3162" s="128" t="s">
        <v>132</v>
      </c>
      <c r="F3162" s="128">
        <v>17132641</v>
      </c>
      <c r="G3162" s="128">
        <v>11079341</v>
      </c>
      <c r="H3162" s="128">
        <v>6053301</v>
      </c>
      <c r="I3162" s="128">
        <v>209683</v>
      </c>
    </row>
    <row r="3163" spans="1:9" ht="13.5">
      <c r="A3163" s="128">
        <v>2002</v>
      </c>
      <c r="B3163" s="128" t="s">
        <v>139</v>
      </c>
      <c r="C3163" s="128" t="s">
        <v>20</v>
      </c>
      <c r="D3163" s="128" t="s">
        <v>76</v>
      </c>
      <c r="E3163" s="128" t="s">
        <v>133</v>
      </c>
      <c r="F3163" s="128">
        <v>27527646</v>
      </c>
      <c r="G3163" s="128">
        <v>14979960</v>
      </c>
      <c r="H3163" s="128">
        <v>12547687</v>
      </c>
      <c r="I3163" s="128">
        <v>167346</v>
      </c>
    </row>
    <row r="3164" spans="1:9" ht="13.5">
      <c r="A3164" s="128">
        <v>2002</v>
      </c>
      <c r="B3164" s="128" t="s">
        <v>139</v>
      </c>
      <c r="C3164" s="128" t="s">
        <v>20</v>
      </c>
      <c r="D3164" s="128" t="s">
        <v>76</v>
      </c>
      <c r="E3164" s="128" t="s">
        <v>134</v>
      </c>
      <c r="F3164" s="128">
        <v>1872176</v>
      </c>
      <c r="G3164" s="128">
        <v>887183</v>
      </c>
      <c r="H3164" s="128">
        <v>984992</v>
      </c>
      <c r="I3164" s="128">
        <v>9356</v>
      </c>
    </row>
    <row r="3165" spans="1:9" ht="13.5">
      <c r="A3165" s="128">
        <v>2002</v>
      </c>
      <c r="B3165" s="128" t="s">
        <v>139</v>
      </c>
      <c r="C3165" s="128" t="s">
        <v>20</v>
      </c>
      <c r="D3165" s="128" t="s">
        <v>76</v>
      </c>
      <c r="E3165" s="128" t="s">
        <v>135</v>
      </c>
      <c r="F3165" s="128">
        <v>3775897</v>
      </c>
      <c r="G3165" s="128">
        <v>1228639</v>
      </c>
      <c r="H3165" s="128">
        <v>2547258</v>
      </c>
      <c r="I3165" s="128">
        <v>5456</v>
      </c>
    </row>
    <row r="3166" spans="1:9" ht="13.5">
      <c r="A3166" s="128">
        <v>2002</v>
      </c>
      <c r="B3166" s="128" t="s">
        <v>139</v>
      </c>
      <c r="C3166" s="128" t="s">
        <v>20</v>
      </c>
      <c r="D3166" s="128" t="s">
        <v>76</v>
      </c>
      <c r="E3166" s="128" t="s">
        <v>136</v>
      </c>
      <c r="F3166" s="128">
        <v>1435109</v>
      </c>
      <c r="G3166" s="128">
        <v>1111106</v>
      </c>
      <c r="H3166" s="128">
        <v>324002</v>
      </c>
      <c r="I3166" s="128">
        <v>29076</v>
      </c>
    </row>
    <row r="3167" spans="1:9" ht="13.5">
      <c r="A3167" s="128">
        <v>2002</v>
      </c>
      <c r="B3167" s="128" t="s">
        <v>139</v>
      </c>
      <c r="C3167" s="128" t="s">
        <v>27</v>
      </c>
      <c r="D3167" s="128" t="s">
        <v>77</v>
      </c>
      <c r="E3167" s="128" t="s">
        <v>132</v>
      </c>
      <c r="F3167" s="128">
        <v>19937</v>
      </c>
      <c r="G3167" s="128">
        <v>12136</v>
      </c>
      <c r="H3167" s="128">
        <v>7446</v>
      </c>
      <c r="I3167" s="128">
        <v>246</v>
      </c>
    </row>
    <row r="3168" spans="1:9" ht="13.5">
      <c r="A3168" s="128">
        <v>2002</v>
      </c>
      <c r="B3168" s="128" t="s">
        <v>139</v>
      </c>
      <c r="C3168" s="128" t="s">
        <v>27</v>
      </c>
      <c r="D3168" s="128" t="s">
        <v>77</v>
      </c>
      <c r="E3168" s="128" t="s">
        <v>133</v>
      </c>
      <c r="F3168" s="128">
        <v>84015</v>
      </c>
      <c r="G3168" s="128">
        <v>45061</v>
      </c>
      <c r="H3168" s="128">
        <v>37967</v>
      </c>
      <c r="I3168" s="128">
        <v>290</v>
      </c>
    </row>
    <row r="3169" spans="1:9" ht="13.5">
      <c r="A3169" s="128">
        <v>2002</v>
      </c>
      <c r="B3169" s="128" t="s">
        <v>139</v>
      </c>
      <c r="C3169" s="128" t="s">
        <v>27</v>
      </c>
      <c r="D3169" s="128" t="s">
        <v>77</v>
      </c>
      <c r="E3169" s="128" t="s">
        <v>134</v>
      </c>
      <c r="F3169" s="128">
        <v>13544</v>
      </c>
      <c r="G3169" s="128">
        <v>6142</v>
      </c>
      <c r="H3169" s="128">
        <v>5521</v>
      </c>
      <c r="I3169" s="128">
        <v>77</v>
      </c>
    </row>
    <row r="3170" spans="1:9" ht="13.5">
      <c r="A3170" s="128">
        <v>2002</v>
      </c>
      <c r="B3170" s="128" t="s">
        <v>139</v>
      </c>
      <c r="C3170" s="128" t="s">
        <v>27</v>
      </c>
      <c r="D3170" s="128" t="s">
        <v>77</v>
      </c>
      <c r="E3170" s="128" t="s">
        <v>135</v>
      </c>
      <c r="F3170" s="128">
        <v>10293</v>
      </c>
      <c r="G3170" s="128">
        <v>3133</v>
      </c>
      <c r="H3170" s="128">
        <v>3913</v>
      </c>
      <c r="I3170" s="128">
        <v>31</v>
      </c>
    </row>
    <row r="3171" spans="1:9" ht="13.5">
      <c r="A3171" s="128">
        <v>2002</v>
      </c>
      <c r="B3171" s="128" t="s">
        <v>139</v>
      </c>
      <c r="C3171" s="128" t="s">
        <v>27</v>
      </c>
      <c r="D3171" s="128" t="s">
        <v>79</v>
      </c>
      <c r="E3171" s="128" t="s">
        <v>132</v>
      </c>
      <c r="F3171" s="128">
        <v>98480</v>
      </c>
      <c r="G3171" s="128">
        <v>66868</v>
      </c>
      <c r="H3171" s="128">
        <v>22376</v>
      </c>
      <c r="I3171" s="128">
        <v>679</v>
      </c>
    </row>
    <row r="3172" spans="1:9" ht="13.5">
      <c r="A3172" s="128">
        <v>2002</v>
      </c>
      <c r="B3172" s="128" t="s">
        <v>139</v>
      </c>
      <c r="C3172" s="128" t="s">
        <v>27</v>
      </c>
      <c r="D3172" s="128" t="s">
        <v>79</v>
      </c>
      <c r="E3172" s="128" t="s">
        <v>133</v>
      </c>
      <c r="F3172" s="128">
        <v>100596</v>
      </c>
      <c r="G3172" s="128">
        <v>54948</v>
      </c>
      <c r="H3172" s="128">
        <v>18346</v>
      </c>
      <c r="I3172" s="128">
        <v>592</v>
      </c>
    </row>
    <row r="3173" spans="1:9" ht="13.5">
      <c r="A3173" s="128">
        <v>2002</v>
      </c>
      <c r="B3173" s="128" t="s">
        <v>139</v>
      </c>
      <c r="C3173" s="128" t="s">
        <v>27</v>
      </c>
      <c r="D3173" s="128" t="s">
        <v>79</v>
      </c>
      <c r="E3173" s="128" t="s">
        <v>134</v>
      </c>
      <c r="F3173" s="128">
        <v>211038</v>
      </c>
      <c r="G3173" s="128">
        <v>91624</v>
      </c>
      <c r="H3173" s="128">
        <v>30597</v>
      </c>
      <c r="I3173" s="128">
        <v>1226</v>
      </c>
    </row>
    <row r="3174" spans="1:9" ht="13.5">
      <c r="A3174" s="128">
        <v>2002</v>
      </c>
      <c r="B3174" s="128" t="s">
        <v>139</v>
      </c>
      <c r="C3174" s="128" t="s">
        <v>27</v>
      </c>
      <c r="D3174" s="128" t="s">
        <v>79</v>
      </c>
      <c r="E3174" s="128" t="s">
        <v>135</v>
      </c>
      <c r="F3174" s="128">
        <v>299734</v>
      </c>
      <c r="G3174" s="128">
        <v>96879</v>
      </c>
      <c r="H3174" s="128">
        <v>31278</v>
      </c>
      <c r="I3174" s="128">
        <v>706</v>
      </c>
    </row>
    <row r="3175" spans="1:9" ht="13.5">
      <c r="A3175" s="128">
        <v>2002</v>
      </c>
      <c r="B3175" s="128" t="s">
        <v>139</v>
      </c>
      <c r="C3175" s="128" t="s">
        <v>27</v>
      </c>
      <c r="D3175" s="128" t="s">
        <v>79</v>
      </c>
      <c r="E3175" s="128" t="s">
        <v>136</v>
      </c>
      <c r="F3175" s="128">
        <v>296598</v>
      </c>
      <c r="G3175" s="128">
        <v>223117</v>
      </c>
      <c r="H3175" s="128">
        <v>73481</v>
      </c>
      <c r="I3175" s="128">
        <v>4090</v>
      </c>
    </row>
    <row r="3176" spans="1:9" ht="13.5">
      <c r="A3176" s="128">
        <v>2002</v>
      </c>
      <c r="B3176" s="128" t="s">
        <v>139</v>
      </c>
      <c r="C3176" s="128" t="s">
        <v>27</v>
      </c>
      <c r="D3176" s="128" t="s">
        <v>76</v>
      </c>
      <c r="E3176" s="128" t="s">
        <v>132</v>
      </c>
      <c r="F3176" s="128">
        <v>226145</v>
      </c>
      <c r="G3176" s="128">
        <v>145387</v>
      </c>
      <c r="H3176" s="128">
        <v>80758</v>
      </c>
      <c r="I3176" s="128">
        <v>2904</v>
      </c>
    </row>
    <row r="3177" spans="1:9" ht="13.5">
      <c r="A3177" s="128">
        <v>2002</v>
      </c>
      <c r="B3177" s="128" t="s">
        <v>139</v>
      </c>
      <c r="C3177" s="128" t="s">
        <v>27</v>
      </c>
      <c r="D3177" s="128" t="s">
        <v>76</v>
      </c>
      <c r="E3177" s="128" t="s">
        <v>133</v>
      </c>
      <c r="F3177" s="128">
        <v>629591</v>
      </c>
      <c r="G3177" s="128">
        <v>343589</v>
      </c>
      <c r="H3177" s="128">
        <v>286002</v>
      </c>
      <c r="I3177" s="128">
        <v>3736</v>
      </c>
    </row>
    <row r="3178" spans="1:9" ht="13.5">
      <c r="A3178" s="128">
        <v>2002</v>
      </c>
      <c r="B3178" s="128" t="s">
        <v>139</v>
      </c>
      <c r="C3178" s="128" t="s">
        <v>27</v>
      </c>
      <c r="D3178" s="128" t="s">
        <v>76</v>
      </c>
      <c r="E3178" s="128" t="s">
        <v>134</v>
      </c>
      <c r="F3178" s="128">
        <v>127298</v>
      </c>
      <c r="G3178" s="128">
        <v>62634</v>
      </c>
      <c r="H3178" s="128">
        <v>64664</v>
      </c>
      <c r="I3178" s="128">
        <v>722</v>
      </c>
    </row>
    <row r="3179" spans="1:9" ht="13.5">
      <c r="A3179" s="128">
        <v>2002</v>
      </c>
      <c r="B3179" s="128" t="s">
        <v>139</v>
      </c>
      <c r="C3179" s="128" t="s">
        <v>27</v>
      </c>
      <c r="D3179" s="128" t="s">
        <v>76</v>
      </c>
      <c r="E3179" s="128" t="s">
        <v>135</v>
      </c>
      <c r="F3179" s="128">
        <v>133085</v>
      </c>
      <c r="G3179" s="128">
        <v>43249</v>
      </c>
      <c r="H3179" s="128">
        <v>89836</v>
      </c>
      <c r="I3179" s="128">
        <v>233</v>
      </c>
    </row>
    <row r="3180" spans="1:9" ht="13.5">
      <c r="A3180" s="128">
        <v>2002</v>
      </c>
      <c r="B3180" s="128" t="s">
        <v>139</v>
      </c>
      <c r="C3180" s="128" t="s">
        <v>27</v>
      </c>
      <c r="D3180" s="128" t="s">
        <v>76</v>
      </c>
      <c r="E3180" s="128" t="s">
        <v>136</v>
      </c>
      <c r="F3180" s="128">
        <v>43874</v>
      </c>
      <c r="G3180" s="128">
        <v>33325</v>
      </c>
      <c r="H3180" s="128">
        <v>10549</v>
      </c>
      <c r="I3180" s="128">
        <v>519</v>
      </c>
    </row>
    <row r="3181" spans="1:9" ht="13.5">
      <c r="A3181" s="128">
        <v>2002</v>
      </c>
      <c r="B3181" s="128" t="s">
        <v>139</v>
      </c>
      <c r="C3181" s="128" t="s">
        <v>22</v>
      </c>
      <c r="D3181" s="128" t="s">
        <v>77</v>
      </c>
      <c r="E3181" s="128" t="s">
        <v>132</v>
      </c>
      <c r="F3181" s="128">
        <v>884218</v>
      </c>
      <c r="G3181" s="128">
        <v>562365</v>
      </c>
      <c r="H3181" s="128">
        <v>304892</v>
      </c>
      <c r="I3181" s="128">
        <v>10431</v>
      </c>
    </row>
    <row r="3182" spans="1:9" ht="13.5">
      <c r="A3182" s="128">
        <v>2002</v>
      </c>
      <c r="B3182" s="128" t="s">
        <v>139</v>
      </c>
      <c r="C3182" s="128" t="s">
        <v>22</v>
      </c>
      <c r="D3182" s="128" t="s">
        <v>77</v>
      </c>
      <c r="E3182" s="128" t="s">
        <v>133</v>
      </c>
      <c r="F3182" s="128">
        <v>2658737</v>
      </c>
      <c r="G3182" s="128">
        <v>1429994</v>
      </c>
      <c r="H3182" s="128">
        <v>1156190</v>
      </c>
      <c r="I3182" s="128">
        <v>12656</v>
      </c>
    </row>
    <row r="3183" spans="1:9" ht="13.5">
      <c r="A3183" s="128">
        <v>2002</v>
      </c>
      <c r="B3183" s="128" t="s">
        <v>139</v>
      </c>
      <c r="C3183" s="128" t="s">
        <v>22</v>
      </c>
      <c r="D3183" s="128" t="s">
        <v>77</v>
      </c>
      <c r="E3183" s="128" t="s">
        <v>134</v>
      </c>
      <c r="F3183" s="128">
        <v>1524894</v>
      </c>
      <c r="G3183" s="128">
        <v>669935</v>
      </c>
      <c r="H3183" s="128">
        <v>595996</v>
      </c>
      <c r="I3183" s="128">
        <v>7040</v>
      </c>
    </row>
    <row r="3184" spans="1:9" ht="13.5">
      <c r="A3184" s="128">
        <v>2002</v>
      </c>
      <c r="B3184" s="128" t="s">
        <v>139</v>
      </c>
      <c r="C3184" s="128" t="s">
        <v>22</v>
      </c>
      <c r="D3184" s="128" t="s">
        <v>77</v>
      </c>
      <c r="E3184" s="128" t="s">
        <v>135</v>
      </c>
      <c r="F3184" s="128">
        <v>1117937</v>
      </c>
      <c r="G3184" s="128">
        <v>332131</v>
      </c>
      <c r="H3184" s="128">
        <v>376440</v>
      </c>
      <c r="I3184" s="128">
        <v>3801</v>
      </c>
    </row>
    <row r="3185" spans="1:9" ht="13.5">
      <c r="A3185" s="128">
        <v>2002</v>
      </c>
      <c r="B3185" s="128" t="s">
        <v>139</v>
      </c>
      <c r="C3185" s="128" t="s">
        <v>22</v>
      </c>
      <c r="D3185" s="128" t="s">
        <v>79</v>
      </c>
      <c r="E3185" s="128" t="s">
        <v>132</v>
      </c>
      <c r="F3185" s="128">
        <v>6563491</v>
      </c>
      <c r="G3185" s="128">
        <v>4384694</v>
      </c>
      <c r="H3185" s="128">
        <v>1532852</v>
      </c>
      <c r="I3185" s="128">
        <v>57999</v>
      </c>
    </row>
    <row r="3186" spans="1:9" ht="13.5">
      <c r="A3186" s="128">
        <v>2002</v>
      </c>
      <c r="B3186" s="128" t="s">
        <v>139</v>
      </c>
      <c r="C3186" s="128" t="s">
        <v>22</v>
      </c>
      <c r="D3186" s="128" t="s">
        <v>79</v>
      </c>
      <c r="E3186" s="128" t="s">
        <v>133</v>
      </c>
      <c r="F3186" s="128">
        <v>6822643</v>
      </c>
      <c r="G3186" s="128">
        <v>3731891</v>
      </c>
      <c r="H3186" s="128">
        <v>1255563</v>
      </c>
      <c r="I3186" s="128">
        <v>42867</v>
      </c>
    </row>
    <row r="3187" spans="1:9" ht="13.5">
      <c r="A3187" s="128">
        <v>2002</v>
      </c>
      <c r="B3187" s="128" t="s">
        <v>139</v>
      </c>
      <c r="C3187" s="128" t="s">
        <v>22</v>
      </c>
      <c r="D3187" s="128" t="s">
        <v>79</v>
      </c>
      <c r="E3187" s="128" t="s">
        <v>134</v>
      </c>
      <c r="F3187" s="128">
        <v>10847386</v>
      </c>
      <c r="G3187" s="128">
        <v>4731998</v>
      </c>
      <c r="H3187" s="128">
        <v>1595319</v>
      </c>
      <c r="I3187" s="128">
        <v>54697</v>
      </c>
    </row>
    <row r="3188" spans="1:9" ht="13.5">
      <c r="A3188" s="128">
        <v>2002</v>
      </c>
      <c r="B3188" s="128" t="s">
        <v>139</v>
      </c>
      <c r="C3188" s="128" t="s">
        <v>22</v>
      </c>
      <c r="D3188" s="128" t="s">
        <v>79</v>
      </c>
      <c r="E3188" s="128" t="s">
        <v>135</v>
      </c>
      <c r="F3188" s="128">
        <v>7278169</v>
      </c>
      <c r="G3188" s="128">
        <v>2244533</v>
      </c>
      <c r="H3188" s="128">
        <v>767590</v>
      </c>
      <c r="I3188" s="128">
        <v>24231</v>
      </c>
    </row>
    <row r="3189" spans="1:9" ht="13.5">
      <c r="A3189" s="128">
        <v>2002</v>
      </c>
      <c r="B3189" s="128" t="s">
        <v>139</v>
      </c>
      <c r="C3189" s="128" t="s">
        <v>22</v>
      </c>
      <c r="D3189" s="128" t="s">
        <v>79</v>
      </c>
      <c r="E3189" s="128" t="s">
        <v>136</v>
      </c>
      <c r="F3189" s="128">
        <v>11269772</v>
      </c>
      <c r="G3189" s="128">
        <v>8481958</v>
      </c>
      <c r="H3189" s="128">
        <v>2787780</v>
      </c>
      <c r="I3189" s="128">
        <v>159092</v>
      </c>
    </row>
    <row r="3190" spans="1:9" ht="13.5">
      <c r="A3190" s="128">
        <v>2002</v>
      </c>
      <c r="B3190" s="128" t="s">
        <v>139</v>
      </c>
      <c r="C3190" s="128" t="s">
        <v>22</v>
      </c>
      <c r="D3190" s="128" t="s">
        <v>76</v>
      </c>
      <c r="E3190" s="128" t="s">
        <v>132</v>
      </c>
      <c r="F3190" s="128">
        <v>14973763</v>
      </c>
      <c r="G3190" s="128">
        <v>9690690</v>
      </c>
      <c r="H3190" s="128">
        <v>5283073</v>
      </c>
      <c r="I3190" s="128">
        <v>266944</v>
      </c>
    </row>
    <row r="3191" spans="1:9" ht="13.5">
      <c r="A3191" s="128">
        <v>2002</v>
      </c>
      <c r="B3191" s="128" t="s">
        <v>139</v>
      </c>
      <c r="C3191" s="128" t="s">
        <v>22</v>
      </c>
      <c r="D3191" s="128" t="s">
        <v>76</v>
      </c>
      <c r="E3191" s="128" t="s">
        <v>133</v>
      </c>
      <c r="F3191" s="128">
        <v>22834629</v>
      </c>
      <c r="G3191" s="128">
        <v>12415444</v>
      </c>
      <c r="H3191" s="128">
        <v>10419184</v>
      </c>
      <c r="I3191" s="128">
        <v>129870</v>
      </c>
    </row>
    <row r="3192" spans="1:9" ht="13.5">
      <c r="A3192" s="128">
        <v>2002</v>
      </c>
      <c r="B3192" s="128" t="s">
        <v>139</v>
      </c>
      <c r="C3192" s="128" t="s">
        <v>22</v>
      </c>
      <c r="D3192" s="128" t="s">
        <v>76</v>
      </c>
      <c r="E3192" s="128" t="s">
        <v>134</v>
      </c>
      <c r="F3192" s="128">
        <v>2105931</v>
      </c>
      <c r="G3192" s="128">
        <v>1006273</v>
      </c>
      <c r="H3192" s="128">
        <v>1099657</v>
      </c>
      <c r="I3192" s="128">
        <v>13287</v>
      </c>
    </row>
    <row r="3193" spans="1:9" ht="13.5">
      <c r="A3193" s="128">
        <v>2002</v>
      </c>
      <c r="B3193" s="128" t="s">
        <v>139</v>
      </c>
      <c r="C3193" s="128" t="s">
        <v>22</v>
      </c>
      <c r="D3193" s="128" t="s">
        <v>76</v>
      </c>
      <c r="E3193" s="128" t="s">
        <v>135</v>
      </c>
      <c r="F3193" s="128">
        <v>2723453</v>
      </c>
      <c r="G3193" s="128">
        <v>878317</v>
      </c>
      <c r="H3193" s="128">
        <v>1845136</v>
      </c>
      <c r="I3193" s="128">
        <v>4472</v>
      </c>
    </row>
    <row r="3194" spans="1:9" ht="13.5">
      <c r="A3194" s="128">
        <v>2002</v>
      </c>
      <c r="B3194" s="128" t="s">
        <v>139</v>
      </c>
      <c r="C3194" s="128" t="s">
        <v>22</v>
      </c>
      <c r="D3194" s="128" t="s">
        <v>76</v>
      </c>
      <c r="E3194" s="128" t="s">
        <v>136</v>
      </c>
      <c r="F3194" s="128">
        <v>681482</v>
      </c>
      <c r="G3194" s="128">
        <v>547182</v>
      </c>
      <c r="H3194" s="128">
        <v>134301</v>
      </c>
      <c r="I3194" s="128">
        <v>12152</v>
      </c>
    </row>
    <row r="3195" spans="1:9" ht="13.5">
      <c r="A3195" s="128">
        <v>2002</v>
      </c>
      <c r="B3195" s="128" t="s">
        <v>139</v>
      </c>
      <c r="C3195" s="128" t="s">
        <v>23</v>
      </c>
      <c r="D3195" s="128" t="s">
        <v>77</v>
      </c>
      <c r="E3195" s="128" t="s">
        <v>132</v>
      </c>
      <c r="F3195" s="128">
        <v>321953</v>
      </c>
      <c r="G3195" s="128">
        <v>203882</v>
      </c>
      <c r="H3195" s="128">
        <v>105658</v>
      </c>
      <c r="I3195" s="128">
        <v>2668</v>
      </c>
    </row>
    <row r="3196" spans="1:9" ht="13.5">
      <c r="A3196" s="128">
        <v>2002</v>
      </c>
      <c r="B3196" s="128" t="s">
        <v>139</v>
      </c>
      <c r="C3196" s="128" t="s">
        <v>23</v>
      </c>
      <c r="D3196" s="128" t="s">
        <v>77</v>
      </c>
      <c r="E3196" s="128" t="s">
        <v>133</v>
      </c>
      <c r="F3196" s="128">
        <v>622644</v>
      </c>
      <c r="G3196" s="128">
        <v>339493</v>
      </c>
      <c r="H3196" s="128">
        <v>269050</v>
      </c>
      <c r="I3196" s="128">
        <v>2752</v>
      </c>
    </row>
    <row r="3197" spans="1:9" ht="13.5">
      <c r="A3197" s="128">
        <v>2002</v>
      </c>
      <c r="B3197" s="128" t="s">
        <v>139</v>
      </c>
      <c r="C3197" s="128" t="s">
        <v>23</v>
      </c>
      <c r="D3197" s="128" t="s">
        <v>77</v>
      </c>
      <c r="E3197" s="128" t="s">
        <v>134</v>
      </c>
      <c r="F3197" s="128">
        <v>340165</v>
      </c>
      <c r="G3197" s="128">
        <v>159262</v>
      </c>
      <c r="H3197" s="128">
        <v>154169</v>
      </c>
      <c r="I3197" s="128">
        <v>2096</v>
      </c>
    </row>
    <row r="3198" spans="1:9" ht="13.5">
      <c r="A3198" s="128">
        <v>2002</v>
      </c>
      <c r="B3198" s="128" t="s">
        <v>139</v>
      </c>
      <c r="C3198" s="128" t="s">
        <v>23</v>
      </c>
      <c r="D3198" s="128" t="s">
        <v>77</v>
      </c>
      <c r="E3198" s="128" t="s">
        <v>135</v>
      </c>
      <c r="F3198" s="128">
        <v>96577</v>
      </c>
      <c r="G3198" s="128">
        <v>26556</v>
      </c>
      <c r="H3198" s="128">
        <v>32557</v>
      </c>
      <c r="I3198" s="128">
        <v>223</v>
      </c>
    </row>
    <row r="3199" spans="1:9" ht="13.5">
      <c r="A3199" s="128">
        <v>2002</v>
      </c>
      <c r="B3199" s="128" t="s">
        <v>139</v>
      </c>
      <c r="C3199" s="128" t="s">
        <v>23</v>
      </c>
      <c r="D3199" s="128" t="s">
        <v>79</v>
      </c>
      <c r="E3199" s="128" t="s">
        <v>132</v>
      </c>
      <c r="F3199" s="128">
        <v>1593590</v>
      </c>
      <c r="G3199" s="128">
        <v>1068336</v>
      </c>
      <c r="H3199" s="128">
        <v>355949</v>
      </c>
      <c r="I3199" s="128">
        <v>19050</v>
      </c>
    </row>
    <row r="3200" spans="1:9" ht="13.5">
      <c r="A3200" s="128">
        <v>2002</v>
      </c>
      <c r="B3200" s="128" t="s">
        <v>139</v>
      </c>
      <c r="C3200" s="128" t="s">
        <v>23</v>
      </c>
      <c r="D3200" s="128" t="s">
        <v>79</v>
      </c>
      <c r="E3200" s="128" t="s">
        <v>133</v>
      </c>
      <c r="F3200" s="128">
        <v>678301</v>
      </c>
      <c r="G3200" s="128">
        <v>367886</v>
      </c>
      <c r="H3200" s="128">
        <v>126665</v>
      </c>
      <c r="I3200" s="128">
        <v>4786</v>
      </c>
    </row>
    <row r="3201" spans="1:9" ht="13.5">
      <c r="A3201" s="128">
        <v>2002</v>
      </c>
      <c r="B3201" s="128" t="s">
        <v>139</v>
      </c>
      <c r="C3201" s="128" t="s">
        <v>23</v>
      </c>
      <c r="D3201" s="128" t="s">
        <v>79</v>
      </c>
      <c r="E3201" s="128" t="s">
        <v>134</v>
      </c>
      <c r="F3201" s="128">
        <v>839802</v>
      </c>
      <c r="G3201" s="128">
        <v>365541</v>
      </c>
      <c r="H3201" s="128">
        <v>128186</v>
      </c>
      <c r="I3201" s="128">
        <v>4418</v>
      </c>
    </row>
    <row r="3202" spans="1:9" ht="13.5">
      <c r="A3202" s="128">
        <v>2002</v>
      </c>
      <c r="B3202" s="128" t="s">
        <v>139</v>
      </c>
      <c r="C3202" s="128" t="s">
        <v>23</v>
      </c>
      <c r="D3202" s="128" t="s">
        <v>79</v>
      </c>
      <c r="E3202" s="128" t="s">
        <v>135</v>
      </c>
      <c r="F3202" s="128">
        <v>525464</v>
      </c>
      <c r="G3202" s="128">
        <v>154145</v>
      </c>
      <c r="H3202" s="128">
        <v>57298</v>
      </c>
      <c r="I3202" s="128">
        <v>1749</v>
      </c>
    </row>
    <row r="3203" spans="1:9" ht="13.5">
      <c r="A3203" s="128">
        <v>2002</v>
      </c>
      <c r="B3203" s="128" t="s">
        <v>139</v>
      </c>
      <c r="C3203" s="128" t="s">
        <v>23</v>
      </c>
      <c r="D3203" s="128" t="s">
        <v>79</v>
      </c>
      <c r="E3203" s="128" t="s">
        <v>136</v>
      </c>
      <c r="F3203" s="128">
        <v>4205836</v>
      </c>
      <c r="G3203" s="128">
        <v>3163949</v>
      </c>
      <c r="H3203" s="128">
        <v>1042024</v>
      </c>
      <c r="I3203" s="128">
        <v>80433</v>
      </c>
    </row>
    <row r="3204" spans="1:9" ht="13.5">
      <c r="A3204" s="128">
        <v>2002</v>
      </c>
      <c r="B3204" s="128" t="s">
        <v>139</v>
      </c>
      <c r="C3204" s="128" t="s">
        <v>23</v>
      </c>
      <c r="D3204" s="128" t="s">
        <v>76</v>
      </c>
      <c r="E3204" s="128" t="s">
        <v>132</v>
      </c>
      <c r="F3204" s="128">
        <v>7363672</v>
      </c>
      <c r="G3204" s="128">
        <v>4803858</v>
      </c>
      <c r="H3204" s="128">
        <v>2559814</v>
      </c>
      <c r="I3204" s="128">
        <v>111014</v>
      </c>
    </row>
    <row r="3205" spans="1:9" ht="13.5">
      <c r="A3205" s="128">
        <v>2002</v>
      </c>
      <c r="B3205" s="128" t="s">
        <v>139</v>
      </c>
      <c r="C3205" s="128" t="s">
        <v>23</v>
      </c>
      <c r="D3205" s="128" t="s">
        <v>76</v>
      </c>
      <c r="E3205" s="128" t="s">
        <v>133</v>
      </c>
      <c r="F3205" s="128">
        <v>15008093</v>
      </c>
      <c r="G3205" s="128">
        <v>8199975</v>
      </c>
      <c r="H3205" s="128">
        <v>6808116</v>
      </c>
      <c r="I3205" s="128">
        <v>68730</v>
      </c>
    </row>
    <row r="3206" spans="1:9" ht="13.5">
      <c r="A3206" s="128">
        <v>2002</v>
      </c>
      <c r="B3206" s="128" t="s">
        <v>139</v>
      </c>
      <c r="C3206" s="128" t="s">
        <v>23</v>
      </c>
      <c r="D3206" s="128" t="s">
        <v>76</v>
      </c>
      <c r="E3206" s="128" t="s">
        <v>134</v>
      </c>
      <c r="F3206" s="128">
        <v>4651426</v>
      </c>
      <c r="G3206" s="128">
        <v>2274081</v>
      </c>
      <c r="H3206" s="128">
        <v>2377343</v>
      </c>
      <c r="I3206" s="128">
        <v>33533</v>
      </c>
    </row>
    <row r="3207" spans="1:9" ht="13.5">
      <c r="A3207" s="128">
        <v>2002</v>
      </c>
      <c r="B3207" s="128" t="s">
        <v>139</v>
      </c>
      <c r="C3207" s="128" t="s">
        <v>23</v>
      </c>
      <c r="D3207" s="128" t="s">
        <v>76</v>
      </c>
      <c r="E3207" s="128" t="s">
        <v>135</v>
      </c>
      <c r="F3207" s="128">
        <v>999098</v>
      </c>
      <c r="G3207" s="128">
        <v>329965</v>
      </c>
      <c r="H3207" s="128">
        <v>669133</v>
      </c>
      <c r="I3207" s="128">
        <v>1686</v>
      </c>
    </row>
    <row r="3208" spans="1:9" ht="13.5">
      <c r="A3208" s="128">
        <v>2002</v>
      </c>
      <c r="B3208" s="128" t="s">
        <v>139</v>
      </c>
      <c r="C3208" s="128" t="s">
        <v>23</v>
      </c>
      <c r="D3208" s="128" t="s">
        <v>76</v>
      </c>
      <c r="E3208" s="128" t="s">
        <v>136</v>
      </c>
      <c r="F3208" s="128">
        <v>1380009</v>
      </c>
      <c r="G3208" s="128">
        <v>1061359</v>
      </c>
      <c r="H3208" s="128">
        <v>318672</v>
      </c>
      <c r="I3208" s="128">
        <v>12073</v>
      </c>
    </row>
    <row r="3209" spans="1:9" ht="13.5">
      <c r="A3209" s="128">
        <v>2002</v>
      </c>
      <c r="B3209" s="128" t="s">
        <v>139</v>
      </c>
      <c r="C3209" s="128" t="s">
        <v>25</v>
      </c>
      <c r="D3209" s="128" t="s">
        <v>77</v>
      </c>
      <c r="E3209" s="128" t="s">
        <v>132</v>
      </c>
      <c r="F3209" s="128">
        <v>64761</v>
      </c>
      <c r="G3209" s="128">
        <v>40919</v>
      </c>
      <c r="H3209" s="128">
        <v>22963</v>
      </c>
      <c r="I3209" s="128">
        <v>742</v>
      </c>
    </row>
    <row r="3210" spans="1:9" ht="13.5">
      <c r="A3210" s="128">
        <v>2002</v>
      </c>
      <c r="B3210" s="128" t="s">
        <v>139</v>
      </c>
      <c r="C3210" s="128" t="s">
        <v>25</v>
      </c>
      <c r="D3210" s="128" t="s">
        <v>77</v>
      </c>
      <c r="E3210" s="128" t="s">
        <v>133</v>
      </c>
      <c r="F3210" s="128">
        <v>339386</v>
      </c>
      <c r="G3210" s="128">
        <v>181863</v>
      </c>
      <c r="H3210" s="128">
        <v>153794</v>
      </c>
      <c r="I3210" s="128">
        <v>1987</v>
      </c>
    </row>
    <row r="3211" spans="1:9" ht="13.5">
      <c r="A3211" s="128">
        <v>2002</v>
      </c>
      <c r="B3211" s="128" t="s">
        <v>139</v>
      </c>
      <c r="C3211" s="128" t="s">
        <v>25</v>
      </c>
      <c r="D3211" s="128" t="s">
        <v>77</v>
      </c>
      <c r="E3211" s="128" t="s">
        <v>134</v>
      </c>
      <c r="F3211" s="128">
        <v>107409</v>
      </c>
      <c r="G3211" s="128">
        <v>49501</v>
      </c>
      <c r="H3211" s="128">
        <v>45788</v>
      </c>
      <c r="I3211" s="128">
        <v>1015</v>
      </c>
    </row>
    <row r="3212" spans="1:9" ht="13.5">
      <c r="A3212" s="128">
        <v>2002</v>
      </c>
      <c r="B3212" s="128" t="s">
        <v>139</v>
      </c>
      <c r="C3212" s="128" t="s">
        <v>25</v>
      </c>
      <c r="D3212" s="128" t="s">
        <v>77</v>
      </c>
      <c r="E3212" s="128" t="s">
        <v>135</v>
      </c>
      <c r="F3212" s="128">
        <v>84646</v>
      </c>
      <c r="G3212" s="128">
        <v>22522</v>
      </c>
      <c r="H3212" s="128">
        <v>22048</v>
      </c>
      <c r="I3212" s="128">
        <v>307</v>
      </c>
    </row>
    <row r="3213" spans="1:9" ht="13.5">
      <c r="A3213" s="128">
        <v>2002</v>
      </c>
      <c r="B3213" s="128" t="s">
        <v>139</v>
      </c>
      <c r="C3213" s="128" t="s">
        <v>25</v>
      </c>
      <c r="D3213" s="128" t="s">
        <v>79</v>
      </c>
      <c r="E3213" s="128" t="s">
        <v>132</v>
      </c>
      <c r="F3213" s="128">
        <v>559915</v>
      </c>
      <c r="G3213" s="128">
        <v>375164</v>
      </c>
      <c r="H3213" s="128">
        <v>124389</v>
      </c>
      <c r="I3213" s="128">
        <v>4377</v>
      </c>
    </row>
    <row r="3214" spans="1:9" ht="13.5">
      <c r="A3214" s="128">
        <v>2002</v>
      </c>
      <c r="B3214" s="128" t="s">
        <v>139</v>
      </c>
      <c r="C3214" s="128" t="s">
        <v>25</v>
      </c>
      <c r="D3214" s="128" t="s">
        <v>79</v>
      </c>
      <c r="E3214" s="128" t="s">
        <v>133</v>
      </c>
      <c r="F3214" s="128">
        <v>524596</v>
      </c>
      <c r="G3214" s="128">
        <v>286424</v>
      </c>
      <c r="H3214" s="128">
        <v>97479</v>
      </c>
      <c r="I3214" s="128">
        <v>3977</v>
      </c>
    </row>
    <row r="3215" spans="1:9" ht="13.5">
      <c r="A3215" s="128">
        <v>2002</v>
      </c>
      <c r="B3215" s="128" t="s">
        <v>139</v>
      </c>
      <c r="C3215" s="128" t="s">
        <v>25</v>
      </c>
      <c r="D3215" s="128" t="s">
        <v>79</v>
      </c>
      <c r="E3215" s="128" t="s">
        <v>134</v>
      </c>
      <c r="F3215" s="128">
        <v>662813</v>
      </c>
      <c r="G3215" s="128">
        <v>290685</v>
      </c>
      <c r="H3215" s="128">
        <v>99287</v>
      </c>
      <c r="I3215" s="128">
        <v>3633</v>
      </c>
    </row>
    <row r="3216" spans="1:9" ht="13.5">
      <c r="A3216" s="128">
        <v>2002</v>
      </c>
      <c r="B3216" s="128" t="s">
        <v>139</v>
      </c>
      <c r="C3216" s="128" t="s">
        <v>25</v>
      </c>
      <c r="D3216" s="128" t="s">
        <v>79</v>
      </c>
      <c r="E3216" s="128" t="s">
        <v>135</v>
      </c>
      <c r="F3216" s="128">
        <v>1138531</v>
      </c>
      <c r="G3216" s="128">
        <v>307399</v>
      </c>
      <c r="H3216" s="128">
        <v>103189</v>
      </c>
      <c r="I3216" s="128">
        <v>3288</v>
      </c>
    </row>
    <row r="3217" spans="1:9" ht="13.5">
      <c r="A3217" s="128">
        <v>2002</v>
      </c>
      <c r="B3217" s="128" t="s">
        <v>139</v>
      </c>
      <c r="C3217" s="128" t="s">
        <v>25</v>
      </c>
      <c r="D3217" s="128" t="s">
        <v>79</v>
      </c>
      <c r="E3217" s="128" t="s">
        <v>136</v>
      </c>
      <c r="F3217" s="128">
        <v>1431595</v>
      </c>
      <c r="G3217" s="128">
        <v>1078933</v>
      </c>
      <c r="H3217" s="128">
        <v>352662</v>
      </c>
      <c r="I3217" s="128">
        <v>20613</v>
      </c>
    </row>
    <row r="3218" spans="1:9" ht="13.5">
      <c r="A3218" s="128">
        <v>2002</v>
      </c>
      <c r="B3218" s="128" t="s">
        <v>139</v>
      </c>
      <c r="C3218" s="128" t="s">
        <v>25</v>
      </c>
      <c r="D3218" s="128" t="s">
        <v>76</v>
      </c>
      <c r="E3218" s="128" t="s">
        <v>132</v>
      </c>
      <c r="F3218" s="128">
        <v>1697263</v>
      </c>
      <c r="G3218" s="128">
        <v>1101096</v>
      </c>
      <c r="H3218" s="128">
        <v>596166</v>
      </c>
      <c r="I3218" s="128">
        <v>22297</v>
      </c>
    </row>
    <row r="3219" spans="1:9" ht="13.5">
      <c r="A3219" s="128">
        <v>2002</v>
      </c>
      <c r="B3219" s="128" t="s">
        <v>139</v>
      </c>
      <c r="C3219" s="128" t="s">
        <v>25</v>
      </c>
      <c r="D3219" s="128" t="s">
        <v>76</v>
      </c>
      <c r="E3219" s="128" t="s">
        <v>133</v>
      </c>
      <c r="F3219" s="128">
        <v>2169385</v>
      </c>
      <c r="G3219" s="128">
        <v>1179982</v>
      </c>
      <c r="H3219" s="128">
        <v>989403</v>
      </c>
      <c r="I3219" s="128">
        <v>10455</v>
      </c>
    </row>
    <row r="3220" spans="1:9" ht="13.5">
      <c r="A3220" s="128">
        <v>2002</v>
      </c>
      <c r="B3220" s="128" t="s">
        <v>139</v>
      </c>
      <c r="C3220" s="128" t="s">
        <v>25</v>
      </c>
      <c r="D3220" s="128" t="s">
        <v>76</v>
      </c>
      <c r="E3220" s="128" t="s">
        <v>134</v>
      </c>
      <c r="F3220" s="128">
        <v>392944</v>
      </c>
      <c r="G3220" s="128">
        <v>189977</v>
      </c>
      <c r="H3220" s="128">
        <v>202968</v>
      </c>
      <c r="I3220" s="128">
        <v>1938</v>
      </c>
    </row>
    <row r="3221" spans="1:9" ht="13.5">
      <c r="A3221" s="128">
        <v>2002</v>
      </c>
      <c r="B3221" s="128" t="s">
        <v>139</v>
      </c>
      <c r="C3221" s="128" t="s">
        <v>25</v>
      </c>
      <c r="D3221" s="128" t="s">
        <v>76</v>
      </c>
      <c r="E3221" s="128" t="s">
        <v>135</v>
      </c>
      <c r="F3221" s="128">
        <v>278714</v>
      </c>
      <c r="G3221" s="128">
        <v>89309</v>
      </c>
      <c r="H3221" s="128">
        <v>189405</v>
      </c>
      <c r="I3221" s="128">
        <v>396</v>
      </c>
    </row>
    <row r="3222" spans="1:9" ht="13.5">
      <c r="A3222" s="128">
        <v>2002</v>
      </c>
      <c r="B3222" s="128" t="s">
        <v>139</v>
      </c>
      <c r="C3222" s="128" t="s">
        <v>25</v>
      </c>
      <c r="D3222" s="128" t="s">
        <v>76</v>
      </c>
      <c r="E3222" s="128" t="s">
        <v>136</v>
      </c>
      <c r="F3222" s="128">
        <v>161818</v>
      </c>
      <c r="G3222" s="128">
        <v>128092</v>
      </c>
      <c r="H3222" s="128">
        <v>33725</v>
      </c>
      <c r="I3222" s="128">
        <v>2681</v>
      </c>
    </row>
    <row r="3223" spans="1:9" ht="13.5">
      <c r="A3223" s="128">
        <v>2002</v>
      </c>
      <c r="B3223" s="128" t="s">
        <v>139</v>
      </c>
      <c r="C3223" s="128" t="s">
        <v>21</v>
      </c>
      <c r="D3223" s="128" t="s">
        <v>77</v>
      </c>
      <c r="E3223" s="128" t="s">
        <v>132</v>
      </c>
      <c r="F3223" s="128">
        <v>1445860</v>
      </c>
      <c r="G3223" s="128">
        <v>921494</v>
      </c>
      <c r="H3223" s="128">
        <v>488139</v>
      </c>
      <c r="I3223" s="128">
        <v>12841</v>
      </c>
    </row>
    <row r="3224" spans="1:9" ht="13.5">
      <c r="A3224" s="128">
        <v>2002</v>
      </c>
      <c r="B3224" s="128" t="s">
        <v>139</v>
      </c>
      <c r="C3224" s="128" t="s">
        <v>21</v>
      </c>
      <c r="D3224" s="128" t="s">
        <v>77</v>
      </c>
      <c r="E3224" s="128" t="s">
        <v>133</v>
      </c>
      <c r="F3224" s="128">
        <v>4018689</v>
      </c>
      <c r="G3224" s="128">
        <v>2159982</v>
      </c>
      <c r="H3224" s="128">
        <v>1680480</v>
      </c>
      <c r="I3224" s="128">
        <v>20156</v>
      </c>
    </row>
    <row r="3225" spans="1:9" ht="13.5">
      <c r="A3225" s="128">
        <v>2002</v>
      </c>
      <c r="B3225" s="128" t="s">
        <v>139</v>
      </c>
      <c r="C3225" s="128" t="s">
        <v>21</v>
      </c>
      <c r="D3225" s="128" t="s">
        <v>77</v>
      </c>
      <c r="E3225" s="128" t="s">
        <v>134</v>
      </c>
      <c r="F3225" s="128">
        <v>2534091</v>
      </c>
      <c r="G3225" s="128">
        <v>1132997</v>
      </c>
      <c r="H3225" s="128">
        <v>898011</v>
      </c>
      <c r="I3225" s="128">
        <v>14490</v>
      </c>
    </row>
    <row r="3226" spans="1:9" ht="13.5">
      <c r="A3226" s="128">
        <v>2002</v>
      </c>
      <c r="B3226" s="128" t="s">
        <v>139</v>
      </c>
      <c r="C3226" s="128" t="s">
        <v>21</v>
      </c>
      <c r="D3226" s="128" t="s">
        <v>77</v>
      </c>
      <c r="E3226" s="128" t="s">
        <v>135</v>
      </c>
      <c r="F3226" s="128">
        <v>1427101</v>
      </c>
      <c r="G3226" s="128">
        <v>416205</v>
      </c>
      <c r="H3226" s="128">
        <v>394796</v>
      </c>
      <c r="I3226" s="128">
        <v>5367</v>
      </c>
    </row>
    <row r="3227" spans="1:9" ht="13.5">
      <c r="A3227" s="128">
        <v>2002</v>
      </c>
      <c r="B3227" s="128" t="s">
        <v>139</v>
      </c>
      <c r="C3227" s="128" t="s">
        <v>21</v>
      </c>
      <c r="D3227" s="128" t="s">
        <v>79</v>
      </c>
      <c r="E3227" s="128" t="s">
        <v>132</v>
      </c>
      <c r="F3227" s="128">
        <v>5677454</v>
      </c>
      <c r="G3227" s="128">
        <v>3834093</v>
      </c>
      <c r="H3227" s="128">
        <v>1305538</v>
      </c>
      <c r="I3227" s="128">
        <v>47158</v>
      </c>
    </row>
    <row r="3228" spans="1:9" ht="13.5">
      <c r="A3228" s="128">
        <v>2002</v>
      </c>
      <c r="B3228" s="128" t="s">
        <v>139</v>
      </c>
      <c r="C3228" s="128" t="s">
        <v>21</v>
      </c>
      <c r="D3228" s="128" t="s">
        <v>79</v>
      </c>
      <c r="E3228" s="128" t="s">
        <v>133</v>
      </c>
      <c r="F3228" s="128">
        <v>5489190</v>
      </c>
      <c r="G3228" s="128">
        <v>2988401</v>
      </c>
      <c r="H3228" s="128">
        <v>1021599</v>
      </c>
      <c r="I3228" s="128">
        <v>36651</v>
      </c>
    </row>
    <row r="3229" spans="1:9" ht="13.5">
      <c r="A3229" s="128">
        <v>2002</v>
      </c>
      <c r="B3229" s="128" t="s">
        <v>139</v>
      </c>
      <c r="C3229" s="128" t="s">
        <v>21</v>
      </c>
      <c r="D3229" s="128" t="s">
        <v>79</v>
      </c>
      <c r="E3229" s="128" t="s">
        <v>134</v>
      </c>
      <c r="F3229" s="128">
        <v>7438330</v>
      </c>
      <c r="G3229" s="128">
        <v>3256652</v>
      </c>
      <c r="H3229" s="128">
        <v>1092978</v>
      </c>
      <c r="I3229" s="128">
        <v>40481</v>
      </c>
    </row>
    <row r="3230" spans="1:9" ht="13.5">
      <c r="A3230" s="128">
        <v>2002</v>
      </c>
      <c r="B3230" s="128" t="s">
        <v>139</v>
      </c>
      <c r="C3230" s="128" t="s">
        <v>21</v>
      </c>
      <c r="D3230" s="128" t="s">
        <v>79</v>
      </c>
      <c r="E3230" s="128" t="s">
        <v>135</v>
      </c>
      <c r="F3230" s="128">
        <v>5417872</v>
      </c>
      <c r="G3230" s="128">
        <v>1519579</v>
      </c>
      <c r="H3230" s="128">
        <v>522093</v>
      </c>
      <c r="I3230" s="128">
        <v>14999</v>
      </c>
    </row>
    <row r="3231" spans="1:9" ht="13.5">
      <c r="A3231" s="128">
        <v>2002</v>
      </c>
      <c r="B3231" s="128" t="s">
        <v>139</v>
      </c>
      <c r="C3231" s="128" t="s">
        <v>21</v>
      </c>
      <c r="D3231" s="128" t="s">
        <v>79</v>
      </c>
      <c r="E3231" s="128" t="s">
        <v>136</v>
      </c>
      <c r="F3231" s="128">
        <v>13758843</v>
      </c>
      <c r="G3231" s="128">
        <v>10362164</v>
      </c>
      <c r="H3231" s="128">
        <v>3396309</v>
      </c>
      <c r="I3231" s="128">
        <v>192355</v>
      </c>
    </row>
    <row r="3232" spans="1:9" ht="13.5">
      <c r="A3232" s="128">
        <v>2002</v>
      </c>
      <c r="B3232" s="128" t="s">
        <v>139</v>
      </c>
      <c r="C3232" s="128" t="s">
        <v>21</v>
      </c>
      <c r="D3232" s="128" t="s">
        <v>76</v>
      </c>
      <c r="E3232" s="128" t="s">
        <v>132</v>
      </c>
      <c r="F3232" s="128">
        <v>19027361</v>
      </c>
      <c r="G3232" s="128">
        <v>12004682</v>
      </c>
      <c r="H3232" s="128">
        <v>7022677</v>
      </c>
      <c r="I3232" s="128">
        <v>240567</v>
      </c>
    </row>
    <row r="3233" spans="1:9" ht="13.5">
      <c r="A3233" s="128">
        <v>2002</v>
      </c>
      <c r="B3233" s="128" t="s">
        <v>139</v>
      </c>
      <c r="C3233" s="128" t="s">
        <v>21</v>
      </c>
      <c r="D3233" s="128" t="s">
        <v>76</v>
      </c>
      <c r="E3233" s="128" t="s">
        <v>133</v>
      </c>
      <c r="F3233" s="128">
        <v>32523872</v>
      </c>
      <c r="G3233" s="128">
        <v>17872771</v>
      </c>
      <c r="H3233" s="128">
        <v>14651100</v>
      </c>
      <c r="I3233" s="128">
        <v>257547</v>
      </c>
    </row>
    <row r="3234" spans="1:9" ht="13.5">
      <c r="A3234" s="128">
        <v>2002</v>
      </c>
      <c r="B3234" s="128" t="s">
        <v>139</v>
      </c>
      <c r="C3234" s="128" t="s">
        <v>21</v>
      </c>
      <c r="D3234" s="128" t="s">
        <v>76</v>
      </c>
      <c r="E3234" s="128" t="s">
        <v>134</v>
      </c>
      <c r="F3234" s="128">
        <v>7983795</v>
      </c>
      <c r="G3234" s="128">
        <v>3912023</v>
      </c>
      <c r="H3234" s="128">
        <v>4071774</v>
      </c>
      <c r="I3234" s="128">
        <v>63189</v>
      </c>
    </row>
    <row r="3235" spans="1:9" ht="13.5">
      <c r="A3235" s="128">
        <v>2002</v>
      </c>
      <c r="B3235" s="128" t="s">
        <v>139</v>
      </c>
      <c r="C3235" s="128" t="s">
        <v>21</v>
      </c>
      <c r="D3235" s="128" t="s">
        <v>76</v>
      </c>
      <c r="E3235" s="128" t="s">
        <v>135</v>
      </c>
      <c r="F3235" s="128">
        <v>2386789</v>
      </c>
      <c r="G3235" s="128">
        <v>809875</v>
      </c>
      <c r="H3235" s="128">
        <v>1576913</v>
      </c>
      <c r="I3235" s="128">
        <v>4309</v>
      </c>
    </row>
    <row r="3236" spans="1:9" ht="13.5">
      <c r="A3236" s="128">
        <v>2002</v>
      </c>
      <c r="B3236" s="128" t="s">
        <v>139</v>
      </c>
      <c r="C3236" s="128" t="s">
        <v>21</v>
      </c>
      <c r="D3236" s="128" t="s">
        <v>76</v>
      </c>
      <c r="E3236" s="128" t="s">
        <v>136</v>
      </c>
      <c r="F3236" s="128">
        <v>2060974</v>
      </c>
      <c r="G3236" s="128">
        <v>1564801</v>
      </c>
      <c r="H3236" s="128">
        <v>496175</v>
      </c>
      <c r="I3236" s="128">
        <v>17651</v>
      </c>
    </row>
    <row r="3237" spans="1:9" ht="13.5">
      <c r="A3237" s="128">
        <v>2002</v>
      </c>
      <c r="B3237" s="128" t="s">
        <v>139</v>
      </c>
      <c r="C3237" s="128" t="s">
        <v>24</v>
      </c>
      <c r="D3237" s="128" t="s">
        <v>77</v>
      </c>
      <c r="E3237" s="128" t="s">
        <v>132</v>
      </c>
      <c r="F3237" s="128">
        <v>338729</v>
      </c>
      <c r="G3237" s="128">
        <v>221485</v>
      </c>
      <c r="H3237" s="128">
        <v>105562</v>
      </c>
      <c r="I3237" s="128">
        <v>3138</v>
      </c>
    </row>
    <row r="3238" spans="1:9" ht="13.5">
      <c r="A3238" s="128">
        <v>2002</v>
      </c>
      <c r="B3238" s="128" t="s">
        <v>139</v>
      </c>
      <c r="C3238" s="128" t="s">
        <v>24</v>
      </c>
      <c r="D3238" s="128" t="s">
        <v>77</v>
      </c>
      <c r="E3238" s="128" t="s">
        <v>133</v>
      </c>
      <c r="F3238" s="128">
        <v>1043434</v>
      </c>
      <c r="G3238" s="128">
        <v>562370</v>
      </c>
      <c r="H3238" s="128">
        <v>438879</v>
      </c>
      <c r="I3238" s="128">
        <v>4258</v>
      </c>
    </row>
    <row r="3239" spans="1:9" ht="13.5">
      <c r="A3239" s="128">
        <v>2002</v>
      </c>
      <c r="B3239" s="128" t="s">
        <v>139</v>
      </c>
      <c r="C3239" s="128" t="s">
        <v>24</v>
      </c>
      <c r="D3239" s="128" t="s">
        <v>77</v>
      </c>
      <c r="E3239" s="128" t="s">
        <v>134</v>
      </c>
      <c r="F3239" s="128">
        <v>789679</v>
      </c>
      <c r="G3239" s="128">
        <v>349475</v>
      </c>
      <c r="H3239" s="128">
        <v>296626</v>
      </c>
      <c r="I3239" s="128">
        <v>4528</v>
      </c>
    </row>
    <row r="3240" spans="1:9" ht="13.5">
      <c r="A3240" s="128">
        <v>2002</v>
      </c>
      <c r="B3240" s="128" t="s">
        <v>139</v>
      </c>
      <c r="C3240" s="128" t="s">
        <v>24</v>
      </c>
      <c r="D3240" s="128" t="s">
        <v>77</v>
      </c>
      <c r="E3240" s="128" t="s">
        <v>135</v>
      </c>
      <c r="F3240" s="128">
        <v>561011</v>
      </c>
      <c r="G3240" s="128">
        <v>162020</v>
      </c>
      <c r="H3240" s="128">
        <v>174567</v>
      </c>
      <c r="I3240" s="128">
        <v>1816</v>
      </c>
    </row>
    <row r="3241" spans="1:9" ht="13.5">
      <c r="A3241" s="128">
        <v>2002</v>
      </c>
      <c r="B3241" s="128" t="s">
        <v>139</v>
      </c>
      <c r="C3241" s="128" t="s">
        <v>24</v>
      </c>
      <c r="D3241" s="128" t="s">
        <v>79</v>
      </c>
      <c r="E3241" s="128" t="s">
        <v>132</v>
      </c>
      <c r="F3241" s="128">
        <v>2024966</v>
      </c>
      <c r="G3241" s="128">
        <v>1343812</v>
      </c>
      <c r="H3241" s="128">
        <v>450047</v>
      </c>
      <c r="I3241" s="128">
        <v>19593</v>
      </c>
    </row>
    <row r="3242" spans="1:9" ht="13.5">
      <c r="A3242" s="128">
        <v>2002</v>
      </c>
      <c r="B3242" s="128" t="s">
        <v>139</v>
      </c>
      <c r="C3242" s="128" t="s">
        <v>24</v>
      </c>
      <c r="D3242" s="128" t="s">
        <v>79</v>
      </c>
      <c r="E3242" s="128" t="s">
        <v>133</v>
      </c>
      <c r="F3242" s="128">
        <v>2724036</v>
      </c>
      <c r="G3242" s="128">
        <v>1481660</v>
      </c>
      <c r="H3242" s="128">
        <v>524990</v>
      </c>
      <c r="I3242" s="128">
        <v>12702</v>
      </c>
    </row>
    <row r="3243" spans="1:9" ht="13.5">
      <c r="A3243" s="128">
        <v>2002</v>
      </c>
      <c r="B3243" s="128" t="s">
        <v>139</v>
      </c>
      <c r="C3243" s="128" t="s">
        <v>24</v>
      </c>
      <c r="D3243" s="128" t="s">
        <v>79</v>
      </c>
      <c r="E3243" s="128" t="s">
        <v>134</v>
      </c>
      <c r="F3243" s="128">
        <v>2877063</v>
      </c>
      <c r="G3243" s="128">
        <v>1249270</v>
      </c>
      <c r="H3243" s="128">
        <v>449525</v>
      </c>
      <c r="I3243" s="128">
        <v>12936</v>
      </c>
    </row>
    <row r="3244" spans="1:9" ht="13.5">
      <c r="A3244" s="128">
        <v>2002</v>
      </c>
      <c r="B3244" s="128" t="s">
        <v>139</v>
      </c>
      <c r="C3244" s="128" t="s">
        <v>24</v>
      </c>
      <c r="D3244" s="128" t="s">
        <v>79</v>
      </c>
      <c r="E3244" s="128" t="s">
        <v>135</v>
      </c>
      <c r="F3244" s="128">
        <v>2320919</v>
      </c>
      <c r="G3244" s="128">
        <v>581549</v>
      </c>
      <c r="H3244" s="128">
        <v>324836</v>
      </c>
      <c r="I3244" s="128">
        <v>6235</v>
      </c>
    </row>
    <row r="3245" spans="1:9" ht="13.5">
      <c r="A3245" s="128">
        <v>2002</v>
      </c>
      <c r="B3245" s="128" t="s">
        <v>139</v>
      </c>
      <c r="C3245" s="128" t="s">
        <v>24</v>
      </c>
      <c r="D3245" s="128" t="s">
        <v>79</v>
      </c>
      <c r="E3245" s="128" t="s">
        <v>136</v>
      </c>
      <c r="F3245" s="128">
        <v>2716887</v>
      </c>
      <c r="G3245" s="128">
        <v>2051794</v>
      </c>
      <c r="H3245" s="128">
        <v>665092</v>
      </c>
      <c r="I3245" s="128">
        <v>32885</v>
      </c>
    </row>
    <row r="3246" spans="1:9" ht="13.5">
      <c r="A3246" s="128">
        <v>2002</v>
      </c>
      <c r="B3246" s="128" t="s">
        <v>139</v>
      </c>
      <c r="C3246" s="128" t="s">
        <v>24</v>
      </c>
      <c r="D3246" s="128" t="s">
        <v>76</v>
      </c>
      <c r="E3246" s="128" t="s">
        <v>132</v>
      </c>
      <c r="F3246" s="128">
        <v>8118296</v>
      </c>
      <c r="G3246" s="128">
        <v>5288661</v>
      </c>
      <c r="H3246" s="128">
        <v>2829634</v>
      </c>
      <c r="I3246" s="128">
        <v>88374</v>
      </c>
    </row>
    <row r="3247" spans="1:9" ht="13.5">
      <c r="A3247" s="128">
        <v>2002</v>
      </c>
      <c r="B3247" s="128" t="s">
        <v>139</v>
      </c>
      <c r="C3247" s="128" t="s">
        <v>24</v>
      </c>
      <c r="D3247" s="128" t="s">
        <v>76</v>
      </c>
      <c r="E3247" s="128" t="s">
        <v>133</v>
      </c>
      <c r="F3247" s="128">
        <v>8453795</v>
      </c>
      <c r="G3247" s="128">
        <v>4611409</v>
      </c>
      <c r="H3247" s="128">
        <v>3842386</v>
      </c>
      <c r="I3247" s="128">
        <v>45471</v>
      </c>
    </row>
    <row r="3248" spans="1:9" ht="13.5">
      <c r="A3248" s="128">
        <v>2002</v>
      </c>
      <c r="B3248" s="128" t="s">
        <v>139</v>
      </c>
      <c r="C3248" s="128" t="s">
        <v>24</v>
      </c>
      <c r="D3248" s="128" t="s">
        <v>76</v>
      </c>
      <c r="E3248" s="128" t="s">
        <v>134</v>
      </c>
      <c r="F3248" s="128">
        <v>5162527</v>
      </c>
      <c r="G3248" s="128">
        <v>2304138</v>
      </c>
      <c r="H3248" s="128">
        <v>2858389</v>
      </c>
      <c r="I3248" s="128">
        <v>31647</v>
      </c>
    </row>
    <row r="3249" spans="1:9" ht="13.5">
      <c r="A3249" s="128">
        <v>2002</v>
      </c>
      <c r="B3249" s="128" t="s">
        <v>139</v>
      </c>
      <c r="C3249" s="128" t="s">
        <v>24</v>
      </c>
      <c r="D3249" s="128" t="s">
        <v>76</v>
      </c>
      <c r="E3249" s="128" t="s">
        <v>135</v>
      </c>
      <c r="F3249" s="128">
        <v>2193433</v>
      </c>
      <c r="G3249" s="128">
        <v>657211</v>
      </c>
      <c r="H3249" s="128">
        <v>1536223</v>
      </c>
      <c r="I3249" s="128">
        <v>5015</v>
      </c>
    </row>
    <row r="3250" spans="1:9" ht="13.5">
      <c r="A3250" s="128">
        <v>2002</v>
      </c>
      <c r="B3250" s="128" t="s">
        <v>139</v>
      </c>
      <c r="C3250" s="128" t="s">
        <v>24</v>
      </c>
      <c r="D3250" s="128" t="s">
        <v>76</v>
      </c>
      <c r="E3250" s="128" t="s">
        <v>136</v>
      </c>
      <c r="F3250" s="128">
        <v>2725786</v>
      </c>
      <c r="G3250" s="128">
        <v>2066457</v>
      </c>
      <c r="H3250" s="128">
        <v>659328</v>
      </c>
      <c r="I3250" s="128">
        <v>38234</v>
      </c>
    </row>
    <row r="3251" spans="1:9" ht="13.5">
      <c r="A3251" s="128">
        <v>2002</v>
      </c>
      <c r="B3251" s="128" t="s">
        <v>137</v>
      </c>
      <c r="C3251" s="128" t="s">
        <v>26</v>
      </c>
      <c r="D3251" s="128" t="s">
        <v>77</v>
      </c>
      <c r="E3251" s="128" t="s">
        <v>132</v>
      </c>
      <c r="F3251" s="128">
        <v>0</v>
      </c>
      <c r="G3251" s="128">
        <v>0</v>
      </c>
      <c r="H3251" s="128">
        <v>0</v>
      </c>
      <c r="I3251" s="128">
        <v>0</v>
      </c>
    </row>
    <row r="3252" spans="1:9" ht="13.5">
      <c r="A3252" s="128">
        <v>2002</v>
      </c>
      <c r="B3252" s="128" t="s">
        <v>137</v>
      </c>
      <c r="C3252" s="128" t="s">
        <v>26</v>
      </c>
      <c r="D3252" s="128" t="s">
        <v>77</v>
      </c>
      <c r="E3252" s="128" t="s">
        <v>133</v>
      </c>
      <c r="F3252" s="128">
        <v>0</v>
      </c>
      <c r="G3252" s="128">
        <v>0</v>
      </c>
      <c r="H3252" s="128">
        <v>0</v>
      </c>
      <c r="I3252" s="128">
        <v>0</v>
      </c>
    </row>
    <row r="3253" spans="1:9" ht="13.5">
      <c r="A3253" s="128">
        <v>2002</v>
      </c>
      <c r="B3253" s="128" t="s">
        <v>137</v>
      </c>
      <c r="C3253" s="128" t="s">
        <v>26</v>
      </c>
      <c r="D3253" s="128" t="s">
        <v>77</v>
      </c>
      <c r="E3253" s="128" t="s">
        <v>134</v>
      </c>
      <c r="F3253" s="128">
        <v>0</v>
      </c>
      <c r="G3253" s="128">
        <v>0</v>
      </c>
      <c r="H3253" s="128">
        <v>0</v>
      </c>
      <c r="I3253" s="128">
        <v>0</v>
      </c>
    </row>
    <row r="3254" spans="1:9" ht="13.5">
      <c r="A3254" s="128">
        <v>2002</v>
      </c>
      <c r="B3254" s="128" t="s">
        <v>137</v>
      </c>
      <c r="C3254" s="128" t="s">
        <v>26</v>
      </c>
      <c r="D3254" s="128" t="s">
        <v>77</v>
      </c>
      <c r="E3254" s="128" t="s">
        <v>135</v>
      </c>
      <c r="F3254" s="128">
        <v>0</v>
      </c>
      <c r="G3254" s="128">
        <v>0</v>
      </c>
      <c r="H3254" s="128">
        <v>0</v>
      </c>
      <c r="I3254" s="128">
        <v>0</v>
      </c>
    </row>
    <row r="3255" spans="1:9" ht="13.5">
      <c r="A3255" s="128">
        <v>2002</v>
      </c>
      <c r="B3255" s="128" t="s">
        <v>137</v>
      </c>
      <c r="C3255" s="128" t="s">
        <v>26</v>
      </c>
      <c r="D3255" s="128" t="s">
        <v>79</v>
      </c>
      <c r="E3255" s="128" t="s">
        <v>132</v>
      </c>
      <c r="F3255" s="128">
        <v>0</v>
      </c>
      <c r="G3255" s="128">
        <v>0</v>
      </c>
      <c r="H3255" s="128">
        <v>0</v>
      </c>
      <c r="I3255" s="128">
        <v>0</v>
      </c>
    </row>
    <row r="3256" spans="1:9" ht="13.5">
      <c r="A3256" s="128">
        <v>2002</v>
      </c>
      <c r="B3256" s="128" t="s">
        <v>137</v>
      </c>
      <c r="C3256" s="128" t="s">
        <v>26</v>
      </c>
      <c r="D3256" s="128" t="s">
        <v>79</v>
      </c>
      <c r="E3256" s="128" t="s">
        <v>133</v>
      </c>
      <c r="F3256" s="128">
        <v>0</v>
      </c>
      <c r="G3256" s="128">
        <v>0</v>
      </c>
      <c r="H3256" s="128">
        <v>0</v>
      </c>
      <c r="I3256" s="128">
        <v>0</v>
      </c>
    </row>
    <row r="3257" spans="1:9" ht="13.5">
      <c r="A3257" s="128">
        <v>2002</v>
      </c>
      <c r="B3257" s="128" t="s">
        <v>137</v>
      </c>
      <c r="C3257" s="128" t="s">
        <v>26</v>
      </c>
      <c r="D3257" s="128" t="s">
        <v>79</v>
      </c>
      <c r="E3257" s="128" t="s">
        <v>134</v>
      </c>
      <c r="F3257" s="128">
        <v>0</v>
      </c>
      <c r="G3257" s="128">
        <v>0</v>
      </c>
      <c r="H3257" s="128">
        <v>0</v>
      </c>
      <c r="I3257" s="128">
        <v>0</v>
      </c>
    </row>
    <row r="3258" spans="1:9" ht="13.5">
      <c r="A3258" s="128">
        <v>2002</v>
      </c>
      <c r="B3258" s="128" t="s">
        <v>137</v>
      </c>
      <c r="C3258" s="128" t="s">
        <v>26</v>
      </c>
      <c r="D3258" s="128" t="s">
        <v>79</v>
      </c>
      <c r="E3258" s="128" t="s">
        <v>135</v>
      </c>
      <c r="F3258" s="128">
        <v>0</v>
      </c>
      <c r="G3258" s="128">
        <v>0</v>
      </c>
      <c r="H3258" s="128">
        <v>0</v>
      </c>
      <c r="I3258" s="128">
        <v>0</v>
      </c>
    </row>
    <row r="3259" spans="1:9" ht="13.5">
      <c r="A3259" s="128">
        <v>2002</v>
      </c>
      <c r="B3259" s="128" t="s">
        <v>137</v>
      </c>
      <c r="C3259" s="128" t="s">
        <v>26</v>
      </c>
      <c r="D3259" s="128" t="s">
        <v>79</v>
      </c>
      <c r="E3259" s="128" t="s">
        <v>136</v>
      </c>
      <c r="F3259" s="128">
        <v>0</v>
      </c>
      <c r="G3259" s="128">
        <v>0</v>
      </c>
      <c r="H3259" s="128">
        <v>0</v>
      </c>
      <c r="I3259" s="128">
        <v>0</v>
      </c>
    </row>
    <row r="3260" spans="1:9" ht="13.5">
      <c r="A3260" s="128">
        <v>2002</v>
      </c>
      <c r="B3260" s="128" t="s">
        <v>137</v>
      </c>
      <c r="C3260" s="128" t="s">
        <v>26</v>
      </c>
      <c r="D3260" s="128" t="s">
        <v>76</v>
      </c>
      <c r="E3260" s="128" t="s">
        <v>132</v>
      </c>
      <c r="F3260" s="128">
        <v>0</v>
      </c>
      <c r="G3260" s="128">
        <v>0</v>
      </c>
      <c r="H3260" s="128">
        <v>0</v>
      </c>
      <c r="I3260" s="128">
        <v>0</v>
      </c>
    </row>
    <row r="3261" spans="1:9" ht="13.5">
      <c r="A3261" s="128">
        <v>2002</v>
      </c>
      <c r="B3261" s="128" t="s">
        <v>137</v>
      </c>
      <c r="C3261" s="128" t="s">
        <v>26</v>
      </c>
      <c r="D3261" s="128" t="s">
        <v>76</v>
      </c>
      <c r="E3261" s="128" t="s">
        <v>133</v>
      </c>
      <c r="F3261" s="128">
        <v>0</v>
      </c>
      <c r="G3261" s="128">
        <v>0</v>
      </c>
      <c r="H3261" s="128">
        <v>0</v>
      </c>
      <c r="I3261" s="128">
        <v>0</v>
      </c>
    </row>
    <row r="3262" spans="1:9" ht="13.5">
      <c r="A3262" s="128">
        <v>2002</v>
      </c>
      <c r="B3262" s="128" t="s">
        <v>137</v>
      </c>
      <c r="C3262" s="128" t="s">
        <v>26</v>
      </c>
      <c r="D3262" s="128" t="s">
        <v>76</v>
      </c>
      <c r="E3262" s="128" t="s">
        <v>134</v>
      </c>
      <c r="F3262" s="128">
        <v>0</v>
      </c>
      <c r="G3262" s="128">
        <v>0</v>
      </c>
      <c r="H3262" s="128">
        <v>0</v>
      </c>
      <c r="I3262" s="128">
        <v>0</v>
      </c>
    </row>
    <row r="3263" spans="1:9" ht="13.5">
      <c r="A3263" s="128">
        <v>2002</v>
      </c>
      <c r="B3263" s="128" t="s">
        <v>137</v>
      </c>
      <c r="C3263" s="128" t="s">
        <v>26</v>
      </c>
      <c r="D3263" s="128" t="s">
        <v>76</v>
      </c>
      <c r="E3263" s="128" t="s">
        <v>135</v>
      </c>
      <c r="F3263" s="128">
        <v>0</v>
      </c>
      <c r="G3263" s="128">
        <v>0</v>
      </c>
      <c r="H3263" s="128">
        <v>0</v>
      </c>
      <c r="I3263" s="128">
        <v>0</v>
      </c>
    </row>
    <row r="3264" spans="1:9" ht="13.5">
      <c r="A3264" s="128">
        <v>2002</v>
      </c>
      <c r="B3264" s="128" t="s">
        <v>137</v>
      </c>
      <c r="C3264" s="128" t="s">
        <v>26</v>
      </c>
      <c r="D3264" s="128" t="s">
        <v>76</v>
      </c>
      <c r="E3264" s="128" t="s">
        <v>136</v>
      </c>
      <c r="F3264" s="128">
        <v>0</v>
      </c>
      <c r="G3264" s="128">
        <v>0</v>
      </c>
      <c r="H3264" s="128">
        <v>0</v>
      </c>
      <c r="I3264" s="128">
        <v>0</v>
      </c>
    </row>
    <row r="3265" spans="1:9" ht="13.5">
      <c r="A3265" s="128">
        <v>2002</v>
      </c>
      <c r="B3265" s="128" t="s">
        <v>137</v>
      </c>
      <c r="C3265" s="128" t="s">
        <v>20</v>
      </c>
      <c r="D3265" s="128" t="s">
        <v>77</v>
      </c>
      <c r="E3265" s="128" t="s">
        <v>132</v>
      </c>
      <c r="F3265" s="128">
        <v>811457</v>
      </c>
      <c r="G3265" s="128">
        <v>532950</v>
      </c>
      <c r="H3265" s="128">
        <v>230241</v>
      </c>
      <c r="I3265" s="128">
        <v>6834</v>
      </c>
    </row>
    <row r="3266" spans="1:9" ht="13.5">
      <c r="A3266" s="128">
        <v>2002</v>
      </c>
      <c r="B3266" s="128" t="s">
        <v>137</v>
      </c>
      <c r="C3266" s="128" t="s">
        <v>20</v>
      </c>
      <c r="D3266" s="128" t="s">
        <v>77</v>
      </c>
      <c r="E3266" s="128" t="s">
        <v>133</v>
      </c>
      <c r="F3266" s="128">
        <v>1802789</v>
      </c>
      <c r="G3266" s="128">
        <v>972732</v>
      </c>
      <c r="H3266" s="128">
        <v>641259</v>
      </c>
      <c r="I3266" s="128">
        <v>13000</v>
      </c>
    </row>
    <row r="3267" spans="1:9" ht="13.5">
      <c r="A3267" s="128">
        <v>2002</v>
      </c>
      <c r="B3267" s="128" t="s">
        <v>137</v>
      </c>
      <c r="C3267" s="128" t="s">
        <v>20</v>
      </c>
      <c r="D3267" s="128" t="s">
        <v>77</v>
      </c>
      <c r="E3267" s="128" t="s">
        <v>134</v>
      </c>
      <c r="F3267" s="128">
        <v>1723652</v>
      </c>
      <c r="G3267" s="128">
        <v>751205</v>
      </c>
      <c r="H3267" s="128">
        <v>607607</v>
      </c>
      <c r="I3267" s="128">
        <v>7255</v>
      </c>
    </row>
    <row r="3268" spans="1:9" ht="13.5">
      <c r="A3268" s="128">
        <v>2002</v>
      </c>
      <c r="B3268" s="128" t="s">
        <v>137</v>
      </c>
      <c r="C3268" s="128" t="s">
        <v>20</v>
      </c>
      <c r="D3268" s="128" t="s">
        <v>77</v>
      </c>
      <c r="E3268" s="128" t="s">
        <v>135</v>
      </c>
      <c r="F3268" s="128">
        <v>2966538</v>
      </c>
      <c r="G3268" s="128">
        <v>604593</v>
      </c>
      <c r="H3268" s="128">
        <v>813727</v>
      </c>
      <c r="I3268" s="128">
        <v>8488</v>
      </c>
    </row>
    <row r="3269" spans="1:9" ht="13.5">
      <c r="A3269" s="128">
        <v>2002</v>
      </c>
      <c r="B3269" s="128" t="s">
        <v>137</v>
      </c>
      <c r="C3269" s="128" t="s">
        <v>20</v>
      </c>
      <c r="D3269" s="128" t="s">
        <v>79</v>
      </c>
      <c r="E3269" s="128" t="s">
        <v>132</v>
      </c>
      <c r="F3269" s="128">
        <v>8243424</v>
      </c>
      <c r="G3269" s="128">
        <v>5561753</v>
      </c>
      <c r="H3269" s="128">
        <v>1889504</v>
      </c>
      <c r="I3269" s="128">
        <v>74593</v>
      </c>
    </row>
    <row r="3270" spans="1:9" ht="13.5">
      <c r="A3270" s="128">
        <v>2002</v>
      </c>
      <c r="B3270" s="128" t="s">
        <v>137</v>
      </c>
      <c r="C3270" s="128" t="s">
        <v>20</v>
      </c>
      <c r="D3270" s="128" t="s">
        <v>79</v>
      </c>
      <c r="E3270" s="128" t="s">
        <v>133</v>
      </c>
      <c r="F3270" s="128">
        <v>9951206</v>
      </c>
      <c r="G3270" s="128">
        <v>5401353</v>
      </c>
      <c r="H3270" s="128">
        <v>1828881</v>
      </c>
      <c r="I3270" s="128">
        <v>63584</v>
      </c>
    </row>
    <row r="3271" spans="1:9" ht="13.5">
      <c r="A3271" s="128">
        <v>2002</v>
      </c>
      <c r="B3271" s="128" t="s">
        <v>137</v>
      </c>
      <c r="C3271" s="128" t="s">
        <v>20</v>
      </c>
      <c r="D3271" s="128" t="s">
        <v>79</v>
      </c>
      <c r="E3271" s="128" t="s">
        <v>134</v>
      </c>
      <c r="F3271" s="128">
        <v>24641633</v>
      </c>
      <c r="G3271" s="128">
        <v>10597361</v>
      </c>
      <c r="H3271" s="128">
        <v>3574848</v>
      </c>
      <c r="I3271" s="128">
        <v>107042</v>
      </c>
    </row>
    <row r="3272" spans="1:9" ht="13.5">
      <c r="A3272" s="128">
        <v>2002</v>
      </c>
      <c r="B3272" s="128" t="s">
        <v>137</v>
      </c>
      <c r="C3272" s="128" t="s">
        <v>20</v>
      </c>
      <c r="D3272" s="128" t="s">
        <v>79</v>
      </c>
      <c r="E3272" s="128" t="s">
        <v>135</v>
      </c>
      <c r="F3272" s="128">
        <v>33411774</v>
      </c>
      <c r="G3272" s="128">
        <v>9483487</v>
      </c>
      <c r="H3272" s="128">
        <v>3359265</v>
      </c>
      <c r="I3272" s="128">
        <v>80818</v>
      </c>
    </row>
    <row r="3273" spans="1:9" ht="13.5">
      <c r="A3273" s="128">
        <v>2002</v>
      </c>
      <c r="B3273" s="128" t="s">
        <v>137</v>
      </c>
      <c r="C3273" s="128" t="s">
        <v>20</v>
      </c>
      <c r="D3273" s="128" t="s">
        <v>79</v>
      </c>
      <c r="E3273" s="128" t="s">
        <v>136</v>
      </c>
      <c r="F3273" s="128">
        <v>23952395</v>
      </c>
      <c r="G3273" s="128">
        <v>18112584</v>
      </c>
      <c r="H3273" s="128">
        <v>5839923</v>
      </c>
      <c r="I3273" s="128">
        <v>397270</v>
      </c>
    </row>
    <row r="3274" spans="1:9" ht="13.5">
      <c r="A3274" s="128">
        <v>2002</v>
      </c>
      <c r="B3274" s="128" t="s">
        <v>137</v>
      </c>
      <c r="C3274" s="128" t="s">
        <v>20</v>
      </c>
      <c r="D3274" s="128" t="s">
        <v>76</v>
      </c>
      <c r="E3274" s="128" t="s">
        <v>132</v>
      </c>
      <c r="F3274" s="128">
        <v>22848914</v>
      </c>
      <c r="G3274" s="128">
        <v>14732215</v>
      </c>
      <c r="H3274" s="128">
        <v>8116699</v>
      </c>
      <c r="I3274" s="128">
        <v>286078</v>
      </c>
    </row>
    <row r="3275" spans="1:9" ht="13.5">
      <c r="A3275" s="128">
        <v>2002</v>
      </c>
      <c r="B3275" s="128" t="s">
        <v>137</v>
      </c>
      <c r="C3275" s="128" t="s">
        <v>20</v>
      </c>
      <c r="D3275" s="128" t="s">
        <v>76</v>
      </c>
      <c r="E3275" s="128" t="s">
        <v>133</v>
      </c>
      <c r="F3275" s="128">
        <v>38411197</v>
      </c>
      <c r="G3275" s="128">
        <v>20786211</v>
      </c>
      <c r="H3275" s="128">
        <v>17624986</v>
      </c>
      <c r="I3275" s="128">
        <v>238356</v>
      </c>
    </row>
    <row r="3276" spans="1:9" ht="13.5">
      <c r="A3276" s="128">
        <v>2002</v>
      </c>
      <c r="B3276" s="128" t="s">
        <v>137</v>
      </c>
      <c r="C3276" s="128" t="s">
        <v>20</v>
      </c>
      <c r="D3276" s="128" t="s">
        <v>76</v>
      </c>
      <c r="E3276" s="128" t="s">
        <v>134</v>
      </c>
      <c r="F3276" s="128">
        <v>3305660</v>
      </c>
      <c r="G3276" s="128">
        <v>1553467</v>
      </c>
      <c r="H3276" s="128">
        <v>1752191</v>
      </c>
      <c r="I3276" s="128">
        <v>18141</v>
      </c>
    </row>
    <row r="3277" spans="1:9" ht="13.5">
      <c r="A3277" s="128">
        <v>2002</v>
      </c>
      <c r="B3277" s="128" t="s">
        <v>137</v>
      </c>
      <c r="C3277" s="128" t="s">
        <v>20</v>
      </c>
      <c r="D3277" s="128" t="s">
        <v>76</v>
      </c>
      <c r="E3277" s="128" t="s">
        <v>135</v>
      </c>
      <c r="F3277" s="128">
        <v>5195344</v>
      </c>
      <c r="G3277" s="128">
        <v>1352284</v>
      </c>
      <c r="H3277" s="128">
        <v>3843059</v>
      </c>
      <c r="I3277" s="128">
        <v>5129</v>
      </c>
    </row>
    <row r="3278" spans="1:9" ht="13.5">
      <c r="A3278" s="128">
        <v>2002</v>
      </c>
      <c r="B3278" s="128" t="s">
        <v>137</v>
      </c>
      <c r="C3278" s="128" t="s">
        <v>20</v>
      </c>
      <c r="D3278" s="128" t="s">
        <v>76</v>
      </c>
      <c r="E3278" s="128" t="s">
        <v>136</v>
      </c>
      <c r="F3278" s="128">
        <v>1552118</v>
      </c>
      <c r="G3278" s="128">
        <v>1170303</v>
      </c>
      <c r="H3278" s="128">
        <v>381813</v>
      </c>
      <c r="I3278" s="128">
        <v>28896</v>
      </c>
    </row>
    <row r="3279" spans="1:9" ht="13.5">
      <c r="A3279" s="128">
        <v>2002</v>
      </c>
      <c r="B3279" s="128" t="s">
        <v>137</v>
      </c>
      <c r="C3279" s="128" t="s">
        <v>27</v>
      </c>
      <c r="D3279" s="128" t="s">
        <v>77</v>
      </c>
      <c r="E3279" s="128" t="s">
        <v>132</v>
      </c>
      <c r="F3279" s="128">
        <v>827</v>
      </c>
      <c r="G3279" s="128">
        <v>506</v>
      </c>
      <c r="H3279" s="128">
        <v>259</v>
      </c>
      <c r="I3279" s="128">
        <v>8</v>
      </c>
    </row>
    <row r="3280" spans="1:9" ht="13.5">
      <c r="A3280" s="128">
        <v>2002</v>
      </c>
      <c r="B3280" s="128" t="s">
        <v>137</v>
      </c>
      <c r="C3280" s="128" t="s">
        <v>27</v>
      </c>
      <c r="D3280" s="128" t="s">
        <v>77</v>
      </c>
      <c r="E3280" s="128" t="s">
        <v>133</v>
      </c>
      <c r="F3280" s="128">
        <v>14598</v>
      </c>
      <c r="G3280" s="128">
        <v>7802</v>
      </c>
      <c r="H3280" s="128">
        <v>4957</v>
      </c>
      <c r="I3280" s="128">
        <v>62</v>
      </c>
    </row>
    <row r="3281" spans="1:9" ht="13.5">
      <c r="A3281" s="128">
        <v>2002</v>
      </c>
      <c r="B3281" s="128" t="s">
        <v>137</v>
      </c>
      <c r="C3281" s="128" t="s">
        <v>27</v>
      </c>
      <c r="D3281" s="128" t="s">
        <v>77</v>
      </c>
      <c r="E3281" s="128" t="s">
        <v>134</v>
      </c>
      <c r="F3281" s="128">
        <v>33717</v>
      </c>
      <c r="G3281" s="128">
        <v>14565</v>
      </c>
      <c r="H3281" s="128">
        <v>12197</v>
      </c>
      <c r="I3281" s="128">
        <v>100</v>
      </c>
    </row>
    <row r="3282" spans="1:9" ht="13.5">
      <c r="A3282" s="128">
        <v>2002</v>
      </c>
      <c r="B3282" s="128" t="s">
        <v>137</v>
      </c>
      <c r="C3282" s="128" t="s">
        <v>27</v>
      </c>
      <c r="D3282" s="128" t="s">
        <v>77</v>
      </c>
      <c r="E3282" s="128" t="s">
        <v>135</v>
      </c>
      <c r="F3282" s="128">
        <v>34045</v>
      </c>
      <c r="G3282" s="128">
        <v>9054</v>
      </c>
      <c r="H3282" s="128">
        <v>12018</v>
      </c>
      <c r="I3282" s="128">
        <v>70</v>
      </c>
    </row>
    <row r="3283" spans="1:9" ht="13.5">
      <c r="A3283" s="128">
        <v>2002</v>
      </c>
      <c r="B3283" s="128" t="s">
        <v>137</v>
      </c>
      <c r="C3283" s="128" t="s">
        <v>27</v>
      </c>
      <c r="D3283" s="128" t="s">
        <v>79</v>
      </c>
      <c r="E3283" s="128" t="s">
        <v>132</v>
      </c>
      <c r="F3283" s="128">
        <v>81974</v>
      </c>
      <c r="G3283" s="128">
        <v>56401</v>
      </c>
      <c r="H3283" s="128">
        <v>18641</v>
      </c>
      <c r="I3283" s="128">
        <v>557</v>
      </c>
    </row>
    <row r="3284" spans="1:9" ht="13.5">
      <c r="A3284" s="128">
        <v>2002</v>
      </c>
      <c r="B3284" s="128" t="s">
        <v>137</v>
      </c>
      <c r="C3284" s="128" t="s">
        <v>27</v>
      </c>
      <c r="D3284" s="128" t="s">
        <v>79</v>
      </c>
      <c r="E3284" s="128" t="s">
        <v>133</v>
      </c>
      <c r="F3284" s="128">
        <v>94773</v>
      </c>
      <c r="G3284" s="128">
        <v>51530</v>
      </c>
      <c r="H3284" s="128">
        <v>17143</v>
      </c>
      <c r="I3284" s="128">
        <v>514</v>
      </c>
    </row>
    <row r="3285" spans="1:9" ht="13.5">
      <c r="A3285" s="128">
        <v>2002</v>
      </c>
      <c r="B3285" s="128" t="s">
        <v>137</v>
      </c>
      <c r="C3285" s="128" t="s">
        <v>27</v>
      </c>
      <c r="D3285" s="128" t="s">
        <v>79</v>
      </c>
      <c r="E3285" s="128" t="s">
        <v>134</v>
      </c>
      <c r="F3285" s="128">
        <v>220266</v>
      </c>
      <c r="G3285" s="128">
        <v>94206</v>
      </c>
      <c r="H3285" s="128">
        <v>31188</v>
      </c>
      <c r="I3285" s="128">
        <v>1102</v>
      </c>
    </row>
    <row r="3286" spans="1:9" ht="13.5">
      <c r="A3286" s="128">
        <v>2002</v>
      </c>
      <c r="B3286" s="128" t="s">
        <v>137</v>
      </c>
      <c r="C3286" s="128" t="s">
        <v>27</v>
      </c>
      <c r="D3286" s="128" t="s">
        <v>79</v>
      </c>
      <c r="E3286" s="128" t="s">
        <v>135</v>
      </c>
      <c r="F3286" s="128">
        <v>289646</v>
      </c>
      <c r="G3286" s="128">
        <v>92206</v>
      </c>
      <c r="H3286" s="128">
        <v>34156</v>
      </c>
      <c r="I3286" s="128">
        <v>907</v>
      </c>
    </row>
    <row r="3287" spans="1:9" ht="13.5">
      <c r="A3287" s="128">
        <v>2002</v>
      </c>
      <c r="B3287" s="128" t="s">
        <v>137</v>
      </c>
      <c r="C3287" s="128" t="s">
        <v>27</v>
      </c>
      <c r="D3287" s="128" t="s">
        <v>79</v>
      </c>
      <c r="E3287" s="128" t="s">
        <v>136</v>
      </c>
      <c r="F3287" s="128">
        <v>232850</v>
      </c>
      <c r="G3287" s="128">
        <v>176464</v>
      </c>
      <c r="H3287" s="128">
        <v>56385</v>
      </c>
      <c r="I3287" s="128">
        <v>3078</v>
      </c>
    </row>
    <row r="3288" spans="1:9" ht="13.5">
      <c r="A3288" s="128">
        <v>2002</v>
      </c>
      <c r="B3288" s="128" t="s">
        <v>137</v>
      </c>
      <c r="C3288" s="128" t="s">
        <v>27</v>
      </c>
      <c r="D3288" s="128" t="s">
        <v>76</v>
      </c>
      <c r="E3288" s="128" t="s">
        <v>132</v>
      </c>
      <c r="F3288" s="128">
        <v>229147</v>
      </c>
      <c r="G3288" s="128">
        <v>143787</v>
      </c>
      <c r="H3288" s="128">
        <v>85360</v>
      </c>
      <c r="I3288" s="128">
        <v>2695</v>
      </c>
    </row>
    <row r="3289" spans="1:9" ht="13.5">
      <c r="A3289" s="128">
        <v>2002</v>
      </c>
      <c r="B3289" s="128" t="s">
        <v>137</v>
      </c>
      <c r="C3289" s="128" t="s">
        <v>27</v>
      </c>
      <c r="D3289" s="128" t="s">
        <v>76</v>
      </c>
      <c r="E3289" s="128" t="s">
        <v>133</v>
      </c>
      <c r="F3289" s="128">
        <v>703491</v>
      </c>
      <c r="G3289" s="128">
        <v>383336</v>
      </c>
      <c r="H3289" s="128">
        <v>320156</v>
      </c>
      <c r="I3289" s="128">
        <v>5103</v>
      </c>
    </row>
    <row r="3290" spans="1:9" ht="13.5">
      <c r="A3290" s="128">
        <v>2002</v>
      </c>
      <c r="B3290" s="128" t="s">
        <v>137</v>
      </c>
      <c r="C3290" s="128" t="s">
        <v>27</v>
      </c>
      <c r="D3290" s="128" t="s">
        <v>76</v>
      </c>
      <c r="E3290" s="128" t="s">
        <v>134</v>
      </c>
      <c r="F3290" s="128">
        <v>129326</v>
      </c>
      <c r="G3290" s="128">
        <v>61034</v>
      </c>
      <c r="H3290" s="128">
        <v>68292</v>
      </c>
      <c r="I3290" s="128">
        <v>762</v>
      </c>
    </row>
    <row r="3291" spans="1:9" ht="13.5">
      <c r="A3291" s="128">
        <v>2002</v>
      </c>
      <c r="B3291" s="128" t="s">
        <v>137</v>
      </c>
      <c r="C3291" s="128" t="s">
        <v>27</v>
      </c>
      <c r="D3291" s="128" t="s">
        <v>76</v>
      </c>
      <c r="E3291" s="128" t="s">
        <v>135</v>
      </c>
      <c r="F3291" s="128">
        <v>105818</v>
      </c>
      <c r="G3291" s="128">
        <v>30662</v>
      </c>
      <c r="H3291" s="128">
        <v>75156</v>
      </c>
      <c r="I3291" s="128">
        <v>110</v>
      </c>
    </row>
    <row r="3292" spans="1:9" ht="13.5">
      <c r="A3292" s="128">
        <v>2002</v>
      </c>
      <c r="B3292" s="128" t="s">
        <v>137</v>
      </c>
      <c r="C3292" s="128" t="s">
        <v>27</v>
      </c>
      <c r="D3292" s="128" t="s">
        <v>76</v>
      </c>
      <c r="E3292" s="128" t="s">
        <v>136</v>
      </c>
      <c r="F3292" s="128">
        <v>27492</v>
      </c>
      <c r="G3292" s="128">
        <v>20759</v>
      </c>
      <c r="H3292" s="128">
        <v>6733</v>
      </c>
      <c r="I3292" s="128">
        <v>343</v>
      </c>
    </row>
    <row r="3293" spans="1:9" ht="13.5">
      <c r="A3293" s="128">
        <v>2002</v>
      </c>
      <c r="B3293" s="128" t="s">
        <v>137</v>
      </c>
      <c r="C3293" s="128" t="s">
        <v>22</v>
      </c>
      <c r="D3293" s="128" t="s">
        <v>77</v>
      </c>
      <c r="E3293" s="128" t="s">
        <v>132</v>
      </c>
      <c r="F3293" s="128">
        <v>411252</v>
      </c>
      <c r="G3293" s="128">
        <v>275362</v>
      </c>
      <c r="H3293" s="128">
        <v>110884</v>
      </c>
      <c r="I3293" s="128">
        <v>4517</v>
      </c>
    </row>
    <row r="3294" spans="1:9" ht="13.5">
      <c r="A3294" s="128">
        <v>2002</v>
      </c>
      <c r="B3294" s="128" t="s">
        <v>137</v>
      </c>
      <c r="C3294" s="128" t="s">
        <v>22</v>
      </c>
      <c r="D3294" s="128" t="s">
        <v>77</v>
      </c>
      <c r="E3294" s="128" t="s">
        <v>133</v>
      </c>
      <c r="F3294" s="128">
        <v>1264915</v>
      </c>
      <c r="G3294" s="128">
        <v>680571</v>
      </c>
      <c r="H3294" s="128">
        <v>452076</v>
      </c>
      <c r="I3294" s="128">
        <v>6408</v>
      </c>
    </row>
    <row r="3295" spans="1:9" ht="13.5">
      <c r="A3295" s="128">
        <v>2002</v>
      </c>
      <c r="B3295" s="128" t="s">
        <v>137</v>
      </c>
      <c r="C3295" s="128" t="s">
        <v>22</v>
      </c>
      <c r="D3295" s="128" t="s">
        <v>77</v>
      </c>
      <c r="E3295" s="128" t="s">
        <v>134</v>
      </c>
      <c r="F3295" s="128">
        <v>3187139</v>
      </c>
      <c r="G3295" s="128">
        <v>1379822</v>
      </c>
      <c r="H3295" s="128">
        <v>1166245</v>
      </c>
      <c r="I3295" s="128">
        <v>10490</v>
      </c>
    </row>
    <row r="3296" spans="1:9" ht="13.5">
      <c r="A3296" s="128">
        <v>2002</v>
      </c>
      <c r="B3296" s="128" t="s">
        <v>137</v>
      </c>
      <c r="C3296" s="128" t="s">
        <v>22</v>
      </c>
      <c r="D3296" s="128" t="s">
        <v>77</v>
      </c>
      <c r="E3296" s="128" t="s">
        <v>135</v>
      </c>
      <c r="F3296" s="128">
        <v>2413763</v>
      </c>
      <c r="G3296" s="128">
        <v>712024</v>
      </c>
      <c r="H3296" s="128">
        <v>690100</v>
      </c>
      <c r="I3296" s="128">
        <v>8064</v>
      </c>
    </row>
    <row r="3297" spans="1:9" ht="13.5">
      <c r="A3297" s="128">
        <v>2002</v>
      </c>
      <c r="B3297" s="128" t="s">
        <v>137</v>
      </c>
      <c r="C3297" s="128" t="s">
        <v>22</v>
      </c>
      <c r="D3297" s="128" t="s">
        <v>79</v>
      </c>
      <c r="E3297" s="128" t="s">
        <v>132</v>
      </c>
      <c r="F3297" s="128">
        <v>5913276</v>
      </c>
      <c r="G3297" s="128">
        <v>3972153</v>
      </c>
      <c r="H3297" s="128">
        <v>1403532</v>
      </c>
      <c r="I3297" s="128">
        <v>54573</v>
      </c>
    </row>
    <row r="3298" spans="1:9" ht="13.5">
      <c r="A3298" s="128">
        <v>2002</v>
      </c>
      <c r="B3298" s="128" t="s">
        <v>137</v>
      </c>
      <c r="C3298" s="128" t="s">
        <v>22</v>
      </c>
      <c r="D3298" s="128" t="s">
        <v>79</v>
      </c>
      <c r="E3298" s="128" t="s">
        <v>133</v>
      </c>
      <c r="F3298" s="128">
        <v>6221061</v>
      </c>
      <c r="G3298" s="128">
        <v>3418016</v>
      </c>
      <c r="H3298" s="128">
        <v>1151943</v>
      </c>
      <c r="I3298" s="128">
        <v>41624</v>
      </c>
    </row>
    <row r="3299" spans="1:9" ht="13.5">
      <c r="A3299" s="128">
        <v>2002</v>
      </c>
      <c r="B3299" s="128" t="s">
        <v>137</v>
      </c>
      <c r="C3299" s="128" t="s">
        <v>22</v>
      </c>
      <c r="D3299" s="128" t="s">
        <v>79</v>
      </c>
      <c r="E3299" s="128" t="s">
        <v>134</v>
      </c>
      <c r="F3299" s="128">
        <v>11655244</v>
      </c>
      <c r="G3299" s="128">
        <v>5062805</v>
      </c>
      <c r="H3299" s="128">
        <v>1688675</v>
      </c>
      <c r="I3299" s="128">
        <v>54463</v>
      </c>
    </row>
    <row r="3300" spans="1:9" ht="13.5">
      <c r="A3300" s="128">
        <v>2002</v>
      </c>
      <c r="B3300" s="128" t="s">
        <v>137</v>
      </c>
      <c r="C3300" s="128" t="s">
        <v>22</v>
      </c>
      <c r="D3300" s="128" t="s">
        <v>79</v>
      </c>
      <c r="E3300" s="128" t="s">
        <v>135</v>
      </c>
      <c r="F3300" s="128">
        <v>8817054</v>
      </c>
      <c r="G3300" s="128">
        <v>2639165</v>
      </c>
      <c r="H3300" s="128">
        <v>896205</v>
      </c>
      <c r="I3300" s="128">
        <v>28319</v>
      </c>
    </row>
    <row r="3301" spans="1:9" ht="13.5">
      <c r="A3301" s="128">
        <v>2002</v>
      </c>
      <c r="B3301" s="128" t="s">
        <v>137</v>
      </c>
      <c r="C3301" s="128" t="s">
        <v>22</v>
      </c>
      <c r="D3301" s="128" t="s">
        <v>79</v>
      </c>
      <c r="E3301" s="128" t="s">
        <v>136</v>
      </c>
      <c r="F3301" s="128">
        <v>11466985</v>
      </c>
      <c r="G3301" s="128">
        <v>8698469</v>
      </c>
      <c r="H3301" s="128">
        <v>2768527</v>
      </c>
      <c r="I3301" s="128">
        <v>172975</v>
      </c>
    </row>
    <row r="3302" spans="1:9" ht="13.5">
      <c r="A3302" s="128">
        <v>2002</v>
      </c>
      <c r="B3302" s="128" t="s">
        <v>137</v>
      </c>
      <c r="C3302" s="128" t="s">
        <v>22</v>
      </c>
      <c r="D3302" s="128" t="s">
        <v>76</v>
      </c>
      <c r="E3302" s="128" t="s">
        <v>132</v>
      </c>
      <c r="F3302" s="128">
        <v>17930421</v>
      </c>
      <c r="G3302" s="128">
        <v>11570114</v>
      </c>
      <c r="H3302" s="128">
        <v>6360308</v>
      </c>
      <c r="I3302" s="128">
        <v>310260</v>
      </c>
    </row>
    <row r="3303" spans="1:9" ht="13.5">
      <c r="A3303" s="128">
        <v>2002</v>
      </c>
      <c r="B3303" s="128" t="s">
        <v>137</v>
      </c>
      <c r="C3303" s="128" t="s">
        <v>22</v>
      </c>
      <c r="D3303" s="128" t="s">
        <v>76</v>
      </c>
      <c r="E3303" s="128" t="s">
        <v>133</v>
      </c>
      <c r="F3303" s="128">
        <v>30814164</v>
      </c>
      <c r="G3303" s="128">
        <v>16679210</v>
      </c>
      <c r="H3303" s="128">
        <v>14134957</v>
      </c>
      <c r="I3303" s="128">
        <v>183200</v>
      </c>
    </row>
    <row r="3304" spans="1:9" ht="13.5">
      <c r="A3304" s="128">
        <v>2002</v>
      </c>
      <c r="B3304" s="128" t="s">
        <v>137</v>
      </c>
      <c r="C3304" s="128" t="s">
        <v>22</v>
      </c>
      <c r="D3304" s="128" t="s">
        <v>76</v>
      </c>
      <c r="E3304" s="128" t="s">
        <v>134</v>
      </c>
      <c r="F3304" s="128">
        <v>2462958</v>
      </c>
      <c r="G3304" s="128">
        <v>1169466</v>
      </c>
      <c r="H3304" s="128">
        <v>1293490</v>
      </c>
      <c r="I3304" s="128">
        <v>20317</v>
      </c>
    </row>
    <row r="3305" spans="1:9" ht="13.5">
      <c r="A3305" s="128">
        <v>2002</v>
      </c>
      <c r="B3305" s="128" t="s">
        <v>137</v>
      </c>
      <c r="C3305" s="128" t="s">
        <v>22</v>
      </c>
      <c r="D3305" s="128" t="s">
        <v>76</v>
      </c>
      <c r="E3305" s="128" t="s">
        <v>135</v>
      </c>
      <c r="F3305" s="128">
        <v>2930735</v>
      </c>
      <c r="G3305" s="128">
        <v>867762</v>
      </c>
      <c r="H3305" s="128">
        <v>2062978</v>
      </c>
      <c r="I3305" s="128">
        <v>3300</v>
      </c>
    </row>
    <row r="3306" spans="1:9" ht="13.5">
      <c r="A3306" s="128">
        <v>2002</v>
      </c>
      <c r="B3306" s="128" t="s">
        <v>137</v>
      </c>
      <c r="C3306" s="128" t="s">
        <v>22</v>
      </c>
      <c r="D3306" s="128" t="s">
        <v>76</v>
      </c>
      <c r="E3306" s="128" t="s">
        <v>136</v>
      </c>
      <c r="F3306" s="128">
        <v>698552</v>
      </c>
      <c r="G3306" s="128">
        <v>529134</v>
      </c>
      <c r="H3306" s="128">
        <v>169420</v>
      </c>
      <c r="I3306" s="128">
        <v>11366</v>
      </c>
    </row>
    <row r="3307" spans="1:9" ht="13.5">
      <c r="A3307" s="128">
        <v>2002</v>
      </c>
      <c r="B3307" s="128" t="s">
        <v>137</v>
      </c>
      <c r="C3307" s="128" t="s">
        <v>23</v>
      </c>
      <c r="D3307" s="128" t="s">
        <v>77</v>
      </c>
      <c r="E3307" s="128" t="s">
        <v>132</v>
      </c>
      <c r="F3307" s="128">
        <v>318215</v>
      </c>
      <c r="G3307" s="128">
        <v>208900</v>
      </c>
      <c r="H3307" s="128">
        <v>91738</v>
      </c>
      <c r="I3307" s="128">
        <v>3521</v>
      </c>
    </row>
    <row r="3308" spans="1:9" ht="13.5">
      <c r="A3308" s="128">
        <v>2002</v>
      </c>
      <c r="B3308" s="128" t="s">
        <v>137</v>
      </c>
      <c r="C3308" s="128" t="s">
        <v>23</v>
      </c>
      <c r="D3308" s="128" t="s">
        <v>77</v>
      </c>
      <c r="E3308" s="128" t="s">
        <v>133</v>
      </c>
      <c r="F3308" s="128">
        <v>664826</v>
      </c>
      <c r="G3308" s="128">
        <v>362465</v>
      </c>
      <c r="H3308" s="128">
        <v>267236</v>
      </c>
      <c r="I3308" s="128">
        <v>3131</v>
      </c>
    </row>
    <row r="3309" spans="1:9" ht="13.5">
      <c r="A3309" s="128">
        <v>2002</v>
      </c>
      <c r="B3309" s="128" t="s">
        <v>137</v>
      </c>
      <c r="C3309" s="128" t="s">
        <v>23</v>
      </c>
      <c r="D3309" s="128" t="s">
        <v>77</v>
      </c>
      <c r="E3309" s="128" t="s">
        <v>134</v>
      </c>
      <c r="F3309" s="128">
        <v>592146</v>
      </c>
      <c r="G3309" s="128">
        <v>260670</v>
      </c>
      <c r="H3309" s="128">
        <v>231283</v>
      </c>
      <c r="I3309" s="128">
        <v>2987</v>
      </c>
    </row>
    <row r="3310" spans="1:9" ht="13.5">
      <c r="A3310" s="128">
        <v>2002</v>
      </c>
      <c r="B3310" s="128" t="s">
        <v>137</v>
      </c>
      <c r="C3310" s="128" t="s">
        <v>23</v>
      </c>
      <c r="D3310" s="128" t="s">
        <v>77</v>
      </c>
      <c r="E3310" s="128" t="s">
        <v>135</v>
      </c>
      <c r="F3310" s="128">
        <v>363113</v>
      </c>
      <c r="G3310" s="128">
        <v>72339</v>
      </c>
      <c r="H3310" s="128">
        <v>112923</v>
      </c>
      <c r="I3310" s="128">
        <v>745</v>
      </c>
    </row>
    <row r="3311" spans="1:9" ht="13.5">
      <c r="A3311" s="128">
        <v>2002</v>
      </c>
      <c r="B3311" s="128" t="s">
        <v>137</v>
      </c>
      <c r="C3311" s="128" t="s">
        <v>23</v>
      </c>
      <c r="D3311" s="128" t="s">
        <v>79</v>
      </c>
      <c r="E3311" s="128" t="s">
        <v>132</v>
      </c>
      <c r="F3311" s="128">
        <v>1286170</v>
      </c>
      <c r="G3311" s="128">
        <v>869596</v>
      </c>
      <c r="H3311" s="128">
        <v>290997</v>
      </c>
      <c r="I3311" s="128">
        <v>15141</v>
      </c>
    </row>
    <row r="3312" spans="1:9" ht="13.5">
      <c r="A3312" s="128">
        <v>2002</v>
      </c>
      <c r="B3312" s="128" t="s">
        <v>137</v>
      </c>
      <c r="C3312" s="128" t="s">
        <v>23</v>
      </c>
      <c r="D3312" s="128" t="s">
        <v>79</v>
      </c>
      <c r="E3312" s="128" t="s">
        <v>133</v>
      </c>
      <c r="F3312" s="128">
        <v>741182</v>
      </c>
      <c r="G3312" s="128">
        <v>403468</v>
      </c>
      <c r="H3312" s="128">
        <v>138920</v>
      </c>
      <c r="I3312" s="128">
        <v>5399</v>
      </c>
    </row>
    <row r="3313" spans="1:9" ht="13.5">
      <c r="A3313" s="128">
        <v>2002</v>
      </c>
      <c r="B3313" s="128" t="s">
        <v>137</v>
      </c>
      <c r="C3313" s="128" t="s">
        <v>23</v>
      </c>
      <c r="D3313" s="128" t="s">
        <v>79</v>
      </c>
      <c r="E3313" s="128" t="s">
        <v>134</v>
      </c>
      <c r="F3313" s="128">
        <v>822129</v>
      </c>
      <c r="G3313" s="128">
        <v>358868</v>
      </c>
      <c r="H3313" s="128">
        <v>125499</v>
      </c>
      <c r="I3313" s="128">
        <v>5326</v>
      </c>
    </row>
    <row r="3314" spans="1:9" ht="13.5">
      <c r="A3314" s="128">
        <v>2002</v>
      </c>
      <c r="B3314" s="128" t="s">
        <v>137</v>
      </c>
      <c r="C3314" s="128" t="s">
        <v>23</v>
      </c>
      <c r="D3314" s="128" t="s">
        <v>79</v>
      </c>
      <c r="E3314" s="128" t="s">
        <v>135</v>
      </c>
      <c r="F3314" s="128">
        <v>594087</v>
      </c>
      <c r="G3314" s="128">
        <v>173772</v>
      </c>
      <c r="H3314" s="128">
        <v>67105</v>
      </c>
      <c r="I3314" s="128">
        <v>1884</v>
      </c>
    </row>
    <row r="3315" spans="1:9" ht="13.5">
      <c r="A3315" s="128">
        <v>2002</v>
      </c>
      <c r="B3315" s="128" t="s">
        <v>137</v>
      </c>
      <c r="C3315" s="128" t="s">
        <v>23</v>
      </c>
      <c r="D3315" s="128" t="s">
        <v>79</v>
      </c>
      <c r="E3315" s="128" t="s">
        <v>136</v>
      </c>
      <c r="F3315" s="128">
        <v>4489742</v>
      </c>
      <c r="G3315" s="128">
        <v>3381392</v>
      </c>
      <c r="H3315" s="128">
        <v>1109514</v>
      </c>
      <c r="I3315" s="128">
        <v>87013</v>
      </c>
    </row>
    <row r="3316" spans="1:9" ht="13.5">
      <c r="A3316" s="128">
        <v>2002</v>
      </c>
      <c r="B3316" s="128" t="s">
        <v>137</v>
      </c>
      <c r="C3316" s="128" t="s">
        <v>23</v>
      </c>
      <c r="D3316" s="128" t="s">
        <v>76</v>
      </c>
      <c r="E3316" s="128" t="s">
        <v>132</v>
      </c>
      <c r="F3316" s="128">
        <v>9117742</v>
      </c>
      <c r="G3316" s="128">
        <v>5918845</v>
      </c>
      <c r="H3316" s="128">
        <v>3198904</v>
      </c>
      <c r="I3316" s="128">
        <v>130717</v>
      </c>
    </row>
    <row r="3317" spans="1:9" ht="13.5">
      <c r="A3317" s="128">
        <v>2002</v>
      </c>
      <c r="B3317" s="128" t="s">
        <v>137</v>
      </c>
      <c r="C3317" s="128" t="s">
        <v>23</v>
      </c>
      <c r="D3317" s="128" t="s">
        <v>76</v>
      </c>
      <c r="E3317" s="128" t="s">
        <v>133</v>
      </c>
      <c r="F3317" s="128">
        <v>20036877</v>
      </c>
      <c r="G3317" s="128">
        <v>10958090</v>
      </c>
      <c r="H3317" s="128">
        <v>9078788</v>
      </c>
      <c r="I3317" s="128">
        <v>90117</v>
      </c>
    </row>
    <row r="3318" spans="1:9" ht="13.5">
      <c r="A3318" s="128">
        <v>2002</v>
      </c>
      <c r="B3318" s="128" t="s">
        <v>137</v>
      </c>
      <c r="C3318" s="128" t="s">
        <v>23</v>
      </c>
      <c r="D3318" s="128" t="s">
        <v>76</v>
      </c>
      <c r="E3318" s="128" t="s">
        <v>134</v>
      </c>
      <c r="F3318" s="128">
        <v>6744062</v>
      </c>
      <c r="G3318" s="128">
        <v>3292508</v>
      </c>
      <c r="H3318" s="128">
        <v>3451554</v>
      </c>
      <c r="I3318" s="128">
        <v>48644</v>
      </c>
    </row>
    <row r="3319" spans="1:9" ht="13.5">
      <c r="A3319" s="128">
        <v>2002</v>
      </c>
      <c r="B3319" s="128" t="s">
        <v>137</v>
      </c>
      <c r="C3319" s="128" t="s">
        <v>23</v>
      </c>
      <c r="D3319" s="128" t="s">
        <v>76</v>
      </c>
      <c r="E3319" s="128" t="s">
        <v>135</v>
      </c>
      <c r="F3319" s="128">
        <v>1148931</v>
      </c>
      <c r="G3319" s="128">
        <v>339787</v>
      </c>
      <c r="H3319" s="128">
        <v>809144</v>
      </c>
      <c r="I3319" s="128">
        <v>1719</v>
      </c>
    </row>
    <row r="3320" spans="1:9" ht="13.5">
      <c r="A3320" s="128">
        <v>2002</v>
      </c>
      <c r="B3320" s="128" t="s">
        <v>137</v>
      </c>
      <c r="C3320" s="128" t="s">
        <v>23</v>
      </c>
      <c r="D3320" s="128" t="s">
        <v>76</v>
      </c>
      <c r="E3320" s="128" t="s">
        <v>136</v>
      </c>
      <c r="F3320" s="128">
        <v>1152399</v>
      </c>
      <c r="G3320" s="128">
        <v>870259</v>
      </c>
      <c r="H3320" s="128">
        <v>282183</v>
      </c>
      <c r="I3320" s="128">
        <v>12644</v>
      </c>
    </row>
    <row r="3321" spans="1:9" ht="13.5">
      <c r="A3321" s="128">
        <v>2002</v>
      </c>
      <c r="B3321" s="128" t="s">
        <v>137</v>
      </c>
      <c r="C3321" s="128" t="s">
        <v>25</v>
      </c>
      <c r="D3321" s="128" t="s">
        <v>77</v>
      </c>
      <c r="E3321" s="128" t="s">
        <v>132</v>
      </c>
      <c r="F3321" s="128">
        <v>27286</v>
      </c>
      <c r="G3321" s="128">
        <v>17723</v>
      </c>
      <c r="H3321" s="128">
        <v>7503</v>
      </c>
      <c r="I3321" s="128">
        <v>140</v>
      </c>
    </row>
    <row r="3322" spans="1:9" ht="13.5">
      <c r="A3322" s="128">
        <v>2002</v>
      </c>
      <c r="B3322" s="128" t="s">
        <v>137</v>
      </c>
      <c r="C3322" s="128" t="s">
        <v>25</v>
      </c>
      <c r="D3322" s="128" t="s">
        <v>77</v>
      </c>
      <c r="E3322" s="128" t="s">
        <v>133</v>
      </c>
      <c r="F3322" s="128">
        <v>81456</v>
      </c>
      <c r="G3322" s="128">
        <v>44137</v>
      </c>
      <c r="H3322" s="128">
        <v>30049</v>
      </c>
      <c r="I3322" s="128">
        <v>304</v>
      </c>
    </row>
    <row r="3323" spans="1:9" ht="13.5">
      <c r="A3323" s="128">
        <v>2002</v>
      </c>
      <c r="B3323" s="128" t="s">
        <v>137</v>
      </c>
      <c r="C3323" s="128" t="s">
        <v>25</v>
      </c>
      <c r="D3323" s="128" t="s">
        <v>77</v>
      </c>
      <c r="E3323" s="128" t="s">
        <v>134</v>
      </c>
      <c r="F3323" s="128">
        <v>160818</v>
      </c>
      <c r="G3323" s="128">
        <v>70372</v>
      </c>
      <c r="H3323" s="128">
        <v>60755</v>
      </c>
      <c r="I3323" s="128">
        <v>789</v>
      </c>
    </row>
    <row r="3324" spans="1:9" ht="13.5">
      <c r="A3324" s="128">
        <v>2002</v>
      </c>
      <c r="B3324" s="128" t="s">
        <v>137</v>
      </c>
      <c r="C3324" s="128" t="s">
        <v>25</v>
      </c>
      <c r="D3324" s="128" t="s">
        <v>77</v>
      </c>
      <c r="E3324" s="128" t="s">
        <v>135</v>
      </c>
      <c r="F3324" s="128">
        <v>214954</v>
      </c>
      <c r="G3324" s="128">
        <v>57302</v>
      </c>
      <c r="H3324" s="128">
        <v>55560</v>
      </c>
      <c r="I3324" s="128">
        <v>735</v>
      </c>
    </row>
    <row r="3325" spans="1:9" ht="13.5">
      <c r="A3325" s="128">
        <v>2002</v>
      </c>
      <c r="B3325" s="128" t="s">
        <v>137</v>
      </c>
      <c r="C3325" s="128" t="s">
        <v>25</v>
      </c>
      <c r="D3325" s="128" t="s">
        <v>79</v>
      </c>
      <c r="E3325" s="128" t="s">
        <v>132</v>
      </c>
      <c r="F3325" s="128">
        <v>532050</v>
      </c>
      <c r="G3325" s="128">
        <v>355944</v>
      </c>
      <c r="H3325" s="128">
        <v>118853</v>
      </c>
      <c r="I3325" s="128">
        <v>3447</v>
      </c>
    </row>
    <row r="3326" spans="1:9" ht="13.5">
      <c r="A3326" s="128">
        <v>2002</v>
      </c>
      <c r="B3326" s="128" t="s">
        <v>137</v>
      </c>
      <c r="C3326" s="128" t="s">
        <v>25</v>
      </c>
      <c r="D3326" s="128" t="s">
        <v>79</v>
      </c>
      <c r="E3326" s="128" t="s">
        <v>133</v>
      </c>
      <c r="F3326" s="128">
        <v>555345</v>
      </c>
      <c r="G3326" s="128">
        <v>304342</v>
      </c>
      <c r="H3326" s="128">
        <v>101706</v>
      </c>
      <c r="I3326" s="128">
        <v>3391</v>
      </c>
    </row>
    <row r="3327" spans="1:9" ht="13.5">
      <c r="A3327" s="128">
        <v>2002</v>
      </c>
      <c r="B3327" s="128" t="s">
        <v>137</v>
      </c>
      <c r="C3327" s="128" t="s">
        <v>25</v>
      </c>
      <c r="D3327" s="128" t="s">
        <v>79</v>
      </c>
      <c r="E3327" s="128" t="s">
        <v>134</v>
      </c>
      <c r="F3327" s="128">
        <v>775735</v>
      </c>
      <c r="G3327" s="128">
        <v>336792</v>
      </c>
      <c r="H3327" s="128">
        <v>113083</v>
      </c>
      <c r="I3327" s="128">
        <v>4104</v>
      </c>
    </row>
    <row r="3328" spans="1:9" ht="13.5">
      <c r="A3328" s="128">
        <v>2002</v>
      </c>
      <c r="B3328" s="128" t="s">
        <v>137</v>
      </c>
      <c r="C3328" s="128" t="s">
        <v>25</v>
      </c>
      <c r="D3328" s="128" t="s">
        <v>79</v>
      </c>
      <c r="E3328" s="128" t="s">
        <v>135</v>
      </c>
      <c r="F3328" s="128">
        <v>1436132</v>
      </c>
      <c r="G3328" s="128">
        <v>364260</v>
      </c>
      <c r="H3328" s="128">
        <v>118017</v>
      </c>
      <c r="I3328" s="128">
        <v>3280</v>
      </c>
    </row>
    <row r="3329" spans="1:9" ht="13.5">
      <c r="A3329" s="128">
        <v>2002</v>
      </c>
      <c r="B3329" s="128" t="s">
        <v>137</v>
      </c>
      <c r="C3329" s="128" t="s">
        <v>25</v>
      </c>
      <c r="D3329" s="128" t="s">
        <v>79</v>
      </c>
      <c r="E3329" s="128" t="s">
        <v>136</v>
      </c>
      <c r="F3329" s="128">
        <v>1550298</v>
      </c>
      <c r="G3329" s="128">
        <v>1174330</v>
      </c>
      <c r="H3329" s="128">
        <v>375139</v>
      </c>
      <c r="I3329" s="128">
        <v>24293</v>
      </c>
    </row>
    <row r="3330" spans="1:9" ht="13.5">
      <c r="A3330" s="128">
        <v>2002</v>
      </c>
      <c r="B3330" s="128" t="s">
        <v>137</v>
      </c>
      <c r="C3330" s="128" t="s">
        <v>25</v>
      </c>
      <c r="D3330" s="128" t="s">
        <v>76</v>
      </c>
      <c r="E3330" s="128" t="s">
        <v>132</v>
      </c>
      <c r="F3330" s="128">
        <v>2143740</v>
      </c>
      <c r="G3330" s="128">
        <v>1385534</v>
      </c>
      <c r="H3330" s="128">
        <v>758155</v>
      </c>
      <c r="I3330" s="128">
        <v>28697</v>
      </c>
    </row>
    <row r="3331" spans="1:9" ht="13.5">
      <c r="A3331" s="128">
        <v>2002</v>
      </c>
      <c r="B3331" s="128" t="s">
        <v>137</v>
      </c>
      <c r="C3331" s="128" t="s">
        <v>25</v>
      </c>
      <c r="D3331" s="128" t="s">
        <v>76</v>
      </c>
      <c r="E3331" s="128" t="s">
        <v>133</v>
      </c>
      <c r="F3331" s="128">
        <v>3832707</v>
      </c>
      <c r="G3331" s="128">
        <v>2077514</v>
      </c>
      <c r="H3331" s="128">
        <v>1755218</v>
      </c>
      <c r="I3331" s="128">
        <v>22212</v>
      </c>
    </row>
    <row r="3332" spans="1:9" ht="13.5">
      <c r="A3332" s="128">
        <v>2002</v>
      </c>
      <c r="B3332" s="128" t="s">
        <v>137</v>
      </c>
      <c r="C3332" s="128" t="s">
        <v>25</v>
      </c>
      <c r="D3332" s="128" t="s">
        <v>76</v>
      </c>
      <c r="E3332" s="128" t="s">
        <v>134</v>
      </c>
      <c r="F3332" s="128">
        <v>768458</v>
      </c>
      <c r="G3332" s="128">
        <v>362297</v>
      </c>
      <c r="H3332" s="128">
        <v>406161</v>
      </c>
      <c r="I3332" s="128">
        <v>4008</v>
      </c>
    </row>
    <row r="3333" spans="1:9" ht="13.5">
      <c r="A3333" s="128">
        <v>2002</v>
      </c>
      <c r="B3333" s="128" t="s">
        <v>137</v>
      </c>
      <c r="C3333" s="128" t="s">
        <v>25</v>
      </c>
      <c r="D3333" s="128" t="s">
        <v>76</v>
      </c>
      <c r="E3333" s="128" t="s">
        <v>135</v>
      </c>
      <c r="F3333" s="128">
        <v>333978</v>
      </c>
      <c r="G3333" s="128">
        <v>99969</v>
      </c>
      <c r="H3333" s="128">
        <v>234009</v>
      </c>
      <c r="I3333" s="128">
        <v>366</v>
      </c>
    </row>
    <row r="3334" spans="1:9" ht="13.5">
      <c r="A3334" s="128">
        <v>2002</v>
      </c>
      <c r="B3334" s="128" t="s">
        <v>137</v>
      </c>
      <c r="C3334" s="128" t="s">
        <v>25</v>
      </c>
      <c r="D3334" s="128" t="s">
        <v>76</v>
      </c>
      <c r="E3334" s="128" t="s">
        <v>136</v>
      </c>
      <c r="F3334" s="128">
        <v>127556</v>
      </c>
      <c r="G3334" s="128">
        <v>101287</v>
      </c>
      <c r="H3334" s="128">
        <v>26269</v>
      </c>
      <c r="I3334" s="128">
        <v>1295</v>
      </c>
    </row>
    <row r="3335" spans="1:9" ht="13.5">
      <c r="A3335" s="128">
        <v>2002</v>
      </c>
      <c r="B3335" s="128" t="s">
        <v>137</v>
      </c>
      <c r="C3335" s="128" t="s">
        <v>21</v>
      </c>
      <c r="D3335" s="128" t="s">
        <v>77</v>
      </c>
      <c r="E3335" s="128" t="s">
        <v>132</v>
      </c>
      <c r="F3335" s="128">
        <v>1037538</v>
      </c>
      <c r="G3335" s="128">
        <v>682719</v>
      </c>
      <c r="H3335" s="128">
        <v>306922</v>
      </c>
      <c r="I3335" s="128">
        <v>6293</v>
      </c>
    </row>
    <row r="3336" spans="1:9" ht="13.5">
      <c r="A3336" s="128">
        <v>2002</v>
      </c>
      <c r="B3336" s="128" t="s">
        <v>137</v>
      </c>
      <c r="C3336" s="128" t="s">
        <v>21</v>
      </c>
      <c r="D3336" s="128" t="s">
        <v>77</v>
      </c>
      <c r="E3336" s="128" t="s">
        <v>133</v>
      </c>
      <c r="F3336" s="128">
        <v>2548721</v>
      </c>
      <c r="G3336" s="128">
        <v>1373855</v>
      </c>
      <c r="H3336" s="128">
        <v>883453</v>
      </c>
      <c r="I3336" s="128">
        <v>15181</v>
      </c>
    </row>
    <row r="3337" spans="1:9" ht="13.5">
      <c r="A3337" s="128">
        <v>2002</v>
      </c>
      <c r="B3337" s="128" t="s">
        <v>137</v>
      </c>
      <c r="C3337" s="128" t="s">
        <v>21</v>
      </c>
      <c r="D3337" s="128" t="s">
        <v>77</v>
      </c>
      <c r="E3337" s="128" t="s">
        <v>134</v>
      </c>
      <c r="F3337" s="128">
        <v>4949045</v>
      </c>
      <c r="G3337" s="128">
        <v>2174719</v>
      </c>
      <c r="H3337" s="128">
        <v>1805554</v>
      </c>
      <c r="I3337" s="128">
        <v>23779</v>
      </c>
    </row>
    <row r="3338" spans="1:9" ht="13.5">
      <c r="A3338" s="128">
        <v>2002</v>
      </c>
      <c r="B3338" s="128" t="s">
        <v>137</v>
      </c>
      <c r="C3338" s="128" t="s">
        <v>21</v>
      </c>
      <c r="D3338" s="128" t="s">
        <v>77</v>
      </c>
      <c r="E3338" s="128" t="s">
        <v>135</v>
      </c>
      <c r="F3338" s="128">
        <v>3025515</v>
      </c>
      <c r="G3338" s="128">
        <v>851679</v>
      </c>
      <c r="H3338" s="128">
        <v>802259</v>
      </c>
      <c r="I3338" s="128">
        <v>11218</v>
      </c>
    </row>
    <row r="3339" spans="1:9" ht="13.5">
      <c r="A3339" s="128">
        <v>2002</v>
      </c>
      <c r="B3339" s="128" t="s">
        <v>137</v>
      </c>
      <c r="C3339" s="128" t="s">
        <v>21</v>
      </c>
      <c r="D3339" s="128" t="s">
        <v>79</v>
      </c>
      <c r="E3339" s="128" t="s">
        <v>132</v>
      </c>
      <c r="F3339" s="128">
        <v>5506654</v>
      </c>
      <c r="G3339" s="128">
        <v>3721884</v>
      </c>
      <c r="H3339" s="128">
        <v>1251283</v>
      </c>
      <c r="I3339" s="128">
        <v>43506</v>
      </c>
    </row>
    <row r="3340" spans="1:9" ht="13.5">
      <c r="A3340" s="128">
        <v>2002</v>
      </c>
      <c r="B3340" s="128" t="s">
        <v>137</v>
      </c>
      <c r="C3340" s="128" t="s">
        <v>21</v>
      </c>
      <c r="D3340" s="128" t="s">
        <v>79</v>
      </c>
      <c r="E3340" s="128" t="s">
        <v>133</v>
      </c>
      <c r="F3340" s="128">
        <v>5480814</v>
      </c>
      <c r="G3340" s="128">
        <v>2976503</v>
      </c>
      <c r="H3340" s="128">
        <v>1014000</v>
      </c>
      <c r="I3340" s="128">
        <v>34608</v>
      </c>
    </row>
    <row r="3341" spans="1:9" ht="13.5">
      <c r="A3341" s="128">
        <v>2002</v>
      </c>
      <c r="B3341" s="128" t="s">
        <v>137</v>
      </c>
      <c r="C3341" s="128" t="s">
        <v>21</v>
      </c>
      <c r="D3341" s="128" t="s">
        <v>79</v>
      </c>
      <c r="E3341" s="128" t="s">
        <v>134</v>
      </c>
      <c r="F3341" s="128">
        <v>8507883</v>
      </c>
      <c r="G3341" s="128">
        <v>3725643</v>
      </c>
      <c r="H3341" s="128">
        <v>1247679</v>
      </c>
      <c r="I3341" s="128">
        <v>49172</v>
      </c>
    </row>
    <row r="3342" spans="1:9" ht="13.5">
      <c r="A3342" s="128">
        <v>2002</v>
      </c>
      <c r="B3342" s="128" t="s">
        <v>137</v>
      </c>
      <c r="C3342" s="128" t="s">
        <v>21</v>
      </c>
      <c r="D3342" s="128" t="s">
        <v>79</v>
      </c>
      <c r="E3342" s="128" t="s">
        <v>135</v>
      </c>
      <c r="F3342" s="128">
        <v>6312663</v>
      </c>
      <c r="G3342" s="128">
        <v>1744623</v>
      </c>
      <c r="H3342" s="128">
        <v>600942</v>
      </c>
      <c r="I3342" s="128">
        <v>17586</v>
      </c>
    </row>
    <row r="3343" spans="1:9" ht="13.5">
      <c r="A3343" s="128">
        <v>2002</v>
      </c>
      <c r="B3343" s="128" t="s">
        <v>137</v>
      </c>
      <c r="C3343" s="128" t="s">
        <v>21</v>
      </c>
      <c r="D3343" s="128" t="s">
        <v>79</v>
      </c>
      <c r="E3343" s="128" t="s">
        <v>136</v>
      </c>
      <c r="F3343" s="128">
        <v>14376426</v>
      </c>
      <c r="G3343" s="128">
        <v>10858565</v>
      </c>
      <c r="H3343" s="128">
        <v>3517867</v>
      </c>
      <c r="I3343" s="128">
        <v>203939</v>
      </c>
    </row>
    <row r="3344" spans="1:9" ht="13.5">
      <c r="A3344" s="128">
        <v>2002</v>
      </c>
      <c r="B3344" s="128" t="s">
        <v>137</v>
      </c>
      <c r="C3344" s="128" t="s">
        <v>21</v>
      </c>
      <c r="D3344" s="128" t="s">
        <v>76</v>
      </c>
      <c r="E3344" s="128" t="s">
        <v>132</v>
      </c>
      <c r="F3344" s="128">
        <v>25206032</v>
      </c>
      <c r="G3344" s="128">
        <v>15942940</v>
      </c>
      <c r="H3344" s="128">
        <v>9263089</v>
      </c>
      <c r="I3344" s="128">
        <v>316638</v>
      </c>
    </row>
    <row r="3345" spans="1:9" ht="13.5">
      <c r="A3345" s="128">
        <v>2002</v>
      </c>
      <c r="B3345" s="128" t="s">
        <v>137</v>
      </c>
      <c r="C3345" s="128" t="s">
        <v>21</v>
      </c>
      <c r="D3345" s="128" t="s">
        <v>76</v>
      </c>
      <c r="E3345" s="128" t="s">
        <v>133</v>
      </c>
      <c r="F3345" s="128">
        <v>50532124</v>
      </c>
      <c r="G3345" s="128">
        <v>27712160</v>
      </c>
      <c r="H3345" s="128">
        <v>22819961</v>
      </c>
      <c r="I3345" s="128">
        <v>394997</v>
      </c>
    </row>
    <row r="3346" spans="1:9" ht="13.5">
      <c r="A3346" s="128">
        <v>2002</v>
      </c>
      <c r="B3346" s="128" t="s">
        <v>137</v>
      </c>
      <c r="C3346" s="128" t="s">
        <v>21</v>
      </c>
      <c r="D3346" s="128" t="s">
        <v>76</v>
      </c>
      <c r="E3346" s="128" t="s">
        <v>134</v>
      </c>
      <c r="F3346" s="128">
        <v>10989827</v>
      </c>
      <c r="G3346" s="128">
        <v>5361263</v>
      </c>
      <c r="H3346" s="128">
        <v>5628562</v>
      </c>
      <c r="I3346" s="128">
        <v>84897</v>
      </c>
    </row>
    <row r="3347" spans="1:9" ht="13.5">
      <c r="A3347" s="128">
        <v>2002</v>
      </c>
      <c r="B3347" s="128" t="s">
        <v>137</v>
      </c>
      <c r="C3347" s="128" t="s">
        <v>21</v>
      </c>
      <c r="D3347" s="128" t="s">
        <v>76</v>
      </c>
      <c r="E3347" s="128" t="s">
        <v>135</v>
      </c>
      <c r="F3347" s="128">
        <v>2608598</v>
      </c>
      <c r="G3347" s="128">
        <v>825711</v>
      </c>
      <c r="H3347" s="128">
        <v>1782887</v>
      </c>
      <c r="I3347" s="128">
        <v>3427</v>
      </c>
    </row>
    <row r="3348" spans="1:9" ht="13.5">
      <c r="A3348" s="128">
        <v>2002</v>
      </c>
      <c r="B3348" s="128" t="s">
        <v>137</v>
      </c>
      <c r="C3348" s="128" t="s">
        <v>21</v>
      </c>
      <c r="D3348" s="128" t="s">
        <v>76</v>
      </c>
      <c r="E3348" s="128" t="s">
        <v>136</v>
      </c>
      <c r="F3348" s="128">
        <v>3354781</v>
      </c>
      <c r="G3348" s="128">
        <v>2541155</v>
      </c>
      <c r="H3348" s="128">
        <v>813652</v>
      </c>
      <c r="I3348" s="128">
        <v>31040</v>
      </c>
    </row>
    <row r="3349" spans="1:9" ht="13.5">
      <c r="A3349" s="128">
        <v>2002</v>
      </c>
      <c r="B3349" s="128" t="s">
        <v>137</v>
      </c>
      <c r="C3349" s="128" t="s">
        <v>24</v>
      </c>
      <c r="D3349" s="128" t="s">
        <v>77</v>
      </c>
      <c r="E3349" s="128" t="s">
        <v>132</v>
      </c>
      <c r="F3349" s="128">
        <v>195520</v>
      </c>
      <c r="G3349" s="128">
        <v>130109</v>
      </c>
      <c r="H3349" s="128">
        <v>49987</v>
      </c>
      <c r="I3349" s="128">
        <v>1748</v>
      </c>
    </row>
    <row r="3350" spans="1:9" ht="13.5">
      <c r="A3350" s="128">
        <v>2002</v>
      </c>
      <c r="B3350" s="128" t="s">
        <v>137</v>
      </c>
      <c r="C3350" s="128" t="s">
        <v>24</v>
      </c>
      <c r="D3350" s="128" t="s">
        <v>77</v>
      </c>
      <c r="E3350" s="128" t="s">
        <v>133</v>
      </c>
      <c r="F3350" s="128">
        <v>750593</v>
      </c>
      <c r="G3350" s="128">
        <v>400788</v>
      </c>
      <c r="H3350" s="128">
        <v>280009</v>
      </c>
      <c r="I3350" s="128">
        <v>3747</v>
      </c>
    </row>
    <row r="3351" spans="1:9" ht="13.5">
      <c r="A3351" s="128">
        <v>2002</v>
      </c>
      <c r="B3351" s="128" t="s">
        <v>137</v>
      </c>
      <c r="C3351" s="128" t="s">
        <v>24</v>
      </c>
      <c r="D3351" s="128" t="s">
        <v>77</v>
      </c>
      <c r="E3351" s="128" t="s">
        <v>134</v>
      </c>
      <c r="F3351" s="128">
        <v>1488071</v>
      </c>
      <c r="G3351" s="128">
        <v>653266</v>
      </c>
      <c r="H3351" s="128">
        <v>554609</v>
      </c>
      <c r="I3351" s="128">
        <v>6470</v>
      </c>
    </row>
    <row r="3352" spans="1:9" ht="13.5">
      <c r="A3352" s="128">
        <v>2002</v>
      </c>
      <c r="B3352" s="128" t="s">
        <v>137</v>
      </c>
      <c r="C3352" s="128" t="s">
        <v>24</v>
      </c>
      <c r="D3352" s="128" t="s">
        <v>77</v>
      </c>
      <c r="E3352" s="128" t="s">
        <v>135</v>
      </c>
      <c r="F3352" s="128">
        <v>1022498</v>
      </c>
      <c r="G3352" s="128">
        <v>294373</v>
      </c>
      <c r="H3352" s="128">
        <v>332097</v>
      </c>
      <c r="I3352" s="128">
        <v>3395</v>
      </c>
    </row>
    <row r="3353" spans="1:9" ht="13.5">
      <c r="A3353" s="128">
        <v>2002</v>
      </c>
      <c r="B3353" s="128" t="s">
        <v>137</v>
      </c>
      <c r="C3353" s="128" t="s">
        <v>24</v>
      </c>
      <c r="D3353" s="128" t="s">
        <v>79</v>
      </c>
      <c r="E3353" s="128" t="s">
        <v>132</v>
      </c>
      <c r="F3353" s="128">
        <v>1955829</v>
      </c>
      <c r="G3353" s="128">
        <v>1294706</v>
      </c>
      <c r="H3353" s="128">
        <v>426212</v>
      </c>
      <c r="I3353" s="128">
        <v>17022</v>
      </c>
    </row>
    <row r="3354" spans="1:9" ht="13.5">
      <c r="A3354" s="128">
        <v>2002</v>
      </c>
      <c r="B3354" s="128" t="s">
        <v>137</v>
      </c>
      <c r="C3354" s="128" t="s">
        <v>24</v>
      </c>
      <c r="D3354" s="128" t="s">
        <v>79</v>
      </c>
      <c r="E3354" s="128" t="s">
        <v>133</v>
      </c>
      <c r="F3354" s="128">
        <v>2700001</v>
      </c>
      <c r="G3354" s="128">
        <v>1470341</v>
      </c>
      <c r="H3354" s="128">
        <v>510495</v>
      </c>
      <c r="I3354" s="128">
        <v>15443</v>
      </c>
    </row>
    <row r="3355" spans="1:9" ht="13.5">
      <c r="A3355" s="128">
        <v>2002</v>
      </c>
      <c r="B3355" s="128" t="s">
        <v>137</v>
      </c>
      <c r="C3355" s="128" t="s">
        <v>24</v>
      </c>
      <c r="D3355" s="128" t="s">
        <v>79</v>
      </c>
      <c r="E3355" s="128" t="s">
        <v>134</v>
      </c>
      <c r="F3355" s="128">
        <v>3058588</v>
      </c>
      <c r="G3355" s="128">
        <v>1366556</v>
      </c>
      <c r="H3355" s="128">
        <v>479464</v>
      </c>
      <c r="I3355" s="128">
        <v>14461</v>
      </c>
    </row>
    <row r="3356" spans="1:9" ht="13.5">
      <c r="A3356" s="128">
        <v>2002</v>
      </c>
      <c r="B3356" s="128" t="s">
        <v>137</v>
      </c>
      <c r="C3356" s="128" t="s">
        <v>24</v>
      </c>
      <c r="D3356" s="128" t="s">
        <v>79</v>
      </c>
      <c r="E3356" s="128" t="s">
        <v>135</v>
      </c>
      <c r="F3356" s="128">
        <v>2508481</v>
      </c>
      <c r="G3356" s="128">
        <v>701874</v>
      </c>
      <c r="H3356" s="128">
        <v>322060</v>
      </c>
      <c r="I3356" s="128">
        <v>6940</v>
      </c>
    </row>
    <row r="3357" spans="1:9" ht="13.5">
      <c r="A3357" s="128">
        <v>2002</v>
      </c>
      <c r="B3357" s="128" t="s">
        <v>137</v>
      </c>
      <c r="C3357" s="128" t="s">
        <v>24</v>
      </c>
      <c r="D3357" s="128" t="s">
        <v>79</v>
      </c>
      <c r="E3357" s="128" t="s">
        <v>136</v>
      </c>
      <c r="F3357" s="128">
        <v>2714995</v>
      </c>
      <c r="G3357" s="128">
        <v>2055278</v>
      </c>
      <c r="H3357" s="128">
        <v>659718</v>
      </c>
      <c r="I3357" s="128">
        <v>36198</v>
      </c>
    </row>
    <row r="3358" spans="1:9" ht="13.5">
      <c r="A3358" s="128">
        <v>2002</v>
      </c>
      <c r="B3358" s="128" t="s">
        <v>137</v>
      </c>
      <c r="C3358" s="128" t="s">
        <v>24</v>
      </c>
      <c r="D3358" s="128" t="s">
        <v>76</v>
      </c>
      <c r="E3358" s="128" t="s">
        <v>132</v>
      </c>
      <c r="F3358" s="128">
        <v>9282432</v>
      </c>
      <c r="G3358" s="128">
        <v>6059574</v>
      </c>
      <c r="H3358" s="128">
        <v>3222860</v>
      </c>
      <c r="I3358" s="128">
        <v>95255</v>
      </c>
    </row>
    <row r="3359" spans="1:9" ht="13.5">
      <c r="A3359" s="128">
        <v>2002</v>
      </c>
      <c r="B3359" s="128" t="s">
        <v>137</v>
      </c>
      <c r="C3359" s="128" t="s">
        <v>24</v>
      </c>
      <c r="D3359" s="128" t="s">
        <v>76</v>
      </c>
      <c r="E3359" s="128" t="s">
        <v>133</v>
      </c>
      <c r="F3359" s="128">
        <v>11540135</v>
      </c>
      <c r="G3359" s="128">
        <v>6291800</v>
      </c>
      <c r="H3359" s="128">
        <v>5248336</v>
      </c>
      <c r="I3359" s="128">
        <v>62660</v>
      </c>
    </row>
    <row r="3360" spans="1:9" ht="13.5">
      <c r="A3360" s="128">
        <v>2002</v>
      </c>
      <c r="B3360" s="128" t="s">
        <v>137</v>
      </c>
      <c r="C3360" s="128" t="s">
        <v>24</v>
      </c>
      <c r="D3360" s="128" t="s">
        <v>76</v>
      </c>
      <c r="E3360" s="128" t="s">
        <v>134</v>
      </c>
      <c r="F3360" s="128">
        <v>6887361</v>
      </c>
      <c r="G3360" s="128">
        <v>3076455</v>
      </c>
      <c r="H3360" s="128">
        <v>3810905</v>
      </c>
      <c r="I3360" s="128">
        <v>45881</v>
      </c>
    </row>
    <row r="3361" spans="1:9" ht="13.5">
      <c r="A3361" s="128">
        <v>2002</v>
      </c>
      <c r="B3361" s="128" t="s">
        <v>137</v>
      </c>
      <c r="C3361" s="128" t="s">
        <v>24</v>
      </c>
      <c r="D3361" s="128" t="s">
        <v>76</v>
      </c>
      <c r="E3361" s="128" t="s">
        <v>135</v>
      </c>
      <c r="F3361" s="128">
        <v>2575265</v>
      </c>
      <c r="G3361" s="128">
        <v>757415</v>
      </c>
      <c r="H3361" s="128">
        <v>1817851</v>
      </c>
      <c r="I3361" s="128">
        <v>5622</v>
      </c>
    </row>
    <row r="3362" spans="1:9" ht="13.5">
      <c r="A3362" s="128">
        <v>2002</v>
      </c>
      <c r="B3362" s="128" t="s">
        <v>137</v>
      </c>
      <c r="C3362" s="128" t="s">
        <v>24</v>
      </c>
      <c r="D3362" s="128" t="s">
        <v>76</v>
      </c>
      <c r="E3362" s="128" t="s">
        <v>136</v>
      </c>
      <c r="F3362" s="128">
        <v>3115284</v>
      </c>
      <c r="G3362" s="128">
        <v>2361870</v>
      </c>
      <c r="H3362" s="128">
        <v>753413</v>
      </c>
      <c r="I3362" s="128">
        <v>42805</v>
      </c>
    </row>
    <row r="3363" spans="1:9" ht="13.5">
      <c r="A3363" s="128">
        <v>2003</v>
      </c>
      <c r="B3363" s="128" t="s">
        <v>131</v>
      </c>
      <c r="C3363" s="128" t="s">
        <v>26</v>
      </c>
      <c r="D3363" s="128" t="s">
        <v>77</v>
      </c>
      <c r="E3363" s="128" t="s">
        <v>132</v>
      </c>
      <c r="F3363" s="128">
        <v>0</v>
      </c>
      <c r="G3363" s="128">
        <v>0</v>
      </c>
      <c r="H3363" s="128">
        <v>0</v>
      </c>
      <c r="I3363" s="128">
        <v>0</v>
      </c>
    </row>
    <row r="3364" spans="1:9" ht="13.5">
      <c r="A3364" s="128">
        <v>2003</v>
      </c>
      <c r="B3364" s="128" t="s">
        <v>131</v>
      </c>
      <c r="C3364" s="128" t="s">
        <v>26</v>
      </c>
      <c r="D3364" s="128" t="s">
        <v>77</v>
      </c>
      <c r="E3364" s="128" t="s">
        <v>133</v>
      </c>
      <c r="F3364" s="128">
        <v>0</v>
      </c>
      <c r="G3364" s="128">
        <v>0</v>
      </c>
      <c r="H3364" s="128">
        <v>0</v>
      </c>
      <c r="I3364" s="128">
        <v>0</v>
      </c>
    </row>
    <row r="3365" spans="1:9" ht="13.5">
      <c r="A3365" s="128">
        <v>2003</v>
      </c>
      <c r="B3365" s="128" t="s">
        <v>131</v>
      </c>
      <c r="C3365" s="128" t="s">
        <v>26</v>
      </c>
      <c r="D3365" s="128" t="s">
        <v>77</v>
      </c>
      <c r="E3365" s="128" t="s">
        <v>134</v>
      </c>
      <c r="F3365" s="128">
        <v>0</v>
      </c>
      <c r="G3365" s="128">
        <v>0</v>
      </c>
      <c r="H3365" s="128">
        <v>0</v>
      </c>
      <c r="I3365" s="128">
        <v>0</v>
      </c>
    </row>
    <row r="3366" spans="1:9" ht="13.5">
      <c r="A3366" s="128">
        <v>2003</v>
      </c>
      <c r="B3366" s="128" t="s">
        <v>131</v>
      </c>
      <c r="C3366" s="128" t="s">
        <v>26</v>
      </c>
      <c r="D3366" s="128" t="s">
        <v>77</v>
      </c>
      <c r="E3366" s="128" t="s">
        <v>135</v>
      </c>
      <c r="F3366" s="128">
        <v>0</v>
      </c>
      <c r="G3366" s="128">
        <v>0</v>
      </c>
      <c r="H3366" s="128">
        <v>0</v>
      </c>
      <c r="I3366" s="128">
        <v>0</v>
      </c>
    </row>
    <row r="3367" spans="1:9" ht="13.5">
      <c r="A3367" s="128">
        <v>2003</v>
      </c>
      <c r="B3367" s="128" t="s">
        <v>131</v>
      </c>
      <c r="C3367" s="128" t="s">
        <v>26</v>
      </c>
      <c r="D3367" s="128" t="s">
        <v>79</v>
      </c>
      <c r="E3367" s="128" t="s">
        <v>132</v>
      </c>
      <c r="F3367" s="128">
        <v>0</v>
      </c>
      <c r="G3367" s="128">
        <v>0</v>
      </c>
      <c r="H3367" s="128">
        <v>0</v>
      </c>
      <c r="I3367" s="128">
        <v>0</v>
      </c>
    </row>
    <row r="3368" spans="1:9" ht="13.5">
      <c r="A3368" s="128">
        <v>2003</v>
      </c>
      <c r="B3368" s="128" t="s">
        <v>131</v>
      </c>
      <c r="C3368" s="128" t="s">
        <v>26</v>
      </c>
      <c r="D3368" s="128" t="s">
        <v>79</v>
      </c>
      <c r="E3368" s="128" t="s">
        <v>133</v>
      </c>
      <c r="F3368" s="128">
        <v>0</v>
      </c>
      <c r="G3368" s="128">
        <v>0</v>
      </c>
      <c r="H3368" s="128">
        <v>0</v>
      </c>
      <c r="I3368" s="128">
        <v>0</v>
      </c>
    </row>
    <row r="3369" spans="1:9" ht="13.5">
      <c r="A3369" s="128">
        <v>2003</v>
      </c>
      <c r="B3369" s="128" t="s">
        <v>131</v>
      </c>
      <c r="C3369" s="128" t="s">
        <v>26</v>
      </c>
      <c r="D3369" s="128" t="s">
        <v>79</v>
      </c>
      <c r="E3369" s="128" t="s">
        <v>134</v>
      </c>
      <c r="F3369" s="128">
        <v>0</v>
      </c>
      <c r="G3369" s="128">
        <v>0</v>
      </c>
      <c r="H3369" s="128">
        <v>0</v>
      </c>
      <c r="I3369" s="128">
        <v>0</v>
      </c>
    </row>
    <row r="3370" spans="1:9" ht="13.5">
      <c r="A3370" s="128">
        <v>2003</v>
      </c>
      <c r="B3370" s="128" t="s">
        <v>131</v>
      </c>
      <c r="C3370" s="128" t="s">
        <v>26</v>
      </c>
      <c r="D3370" s="128" t="s">
        <v>79</v>
      </c>
      <c r="E3370" s="128" t="s">
        <v>135</v>
      </c>
      <c r="F3370" s="128">
        <v>0</v>
      </c>
      <c r="G3370" s="128">
        <v>0</v>
      </c>
      <c r="H3370" s="128">
        <v>0</v>
      </c>
      <c r="I3370" s="128">
        <v>0</v>
      </c>
    </row>
    <row r="3371" spans="1:9" ht="13.5">
      <c r="A3371" s="128">
        <v>2003</v>
      </c>
      <c r="B3371" s="128" t="s">
        <v>131</v>
      </c>
      <c r="C3371" s="128" t="s">
        <v>26</v>
      </c>
      <c r="D3371" s="128" t="s">
        <v>79</v>
      </c>
      <c r="E3371" s="128" t="s">
        <v>136</v>
      </c>
      <c r="F3371" s="128">
        <v>0</v>
      </c>
      <c r="G3371" s="128">
        <v>0</v>
      </c>
      <c r="H3371" s="128">
        <v>0</v>
      </c>
      <c r="I3371" s="128">
        <v>0</v>
      </c>
    </row>
    <row r="3372" spans="1:9" ht="13.5">
      <c r="A3372" s="128">
        <v>2003</v>
      </c>
      <c r="B3372" s="128" t="s">
        <v>131</v>
      </c>
      <c r="C3372" s="128" t="s">
        <v>26</v>
      </c>
      <c r="D3372" s="128" t="s">
        <v>76</v>
      </c>
      <c r="E3372" s="128" t="s">
        <v>132</v>
      </c>
      <c r="F3372" s="128">
        <v>0</v>
      </c>
      <c r="G3372" s="128">
        <v>0</v>
      </c>
      <c r="H3372" s="128">
        <v>0</v>
      </c>
      <c r="I3372" s="128">
        <v>0</v>
      </c>
    </row>
    <row r="3373" spans="1:9" ht="13.5">
      <c r="A3373" s="128">
        <v>2003</v>
      </c>
      <c r="B3373" s="128" t="s">
        <v>131</v>
      </c>
      <c r="C3373" s="128" t="s">
        <v>26</v>
      </c>
      <c r="D3373" s="128" t="s">
        <v>76</v>
      </c>
      <c r="E3373" s="128" t="s">
        <v>133</v>
      </c>
      <c r="F3373" s="128">
        <v>0</v>
      </c>
      <c r="G3373" s="128">
        <v>0</v>
      </c>
      <c r="H3373" s="128">
        <v>0</v>
      </c>
      <c r="I3373" s="128">
        <v>0</v>
      </c>
    </row>
    <row r="3374" spans="1:9" ht="13.5">
      <c r="A3374" s="128">
        <v>2003</v>
      </c>
      <c r="B3374" s="128" t="s">
        <v>131</v>
      </c>
      <c r="C3374" s="128" t="s">
        <v>26</v>
      </c>
      <c r="D3374" s="128" t="s">
        <v>76</v>
      </c>
      <c r="E3374" s="128" t="s">
        <v>134</v>
      </c>
      <c r="F3374" s="128">
        <v>0</v>
      </c>
      <c r="G3374" s="128">
        <v>0</v>
      </c>
      <c r="H3374" s="128">
        <v>0</v>
      </c>
      <c r="I3374" s="128">
        <v>0</v>
      </c>
    </row>
    <row r="3375" spans="1:9" ht="13.5">
      <c r="A3375" s="128">
        <v>2003</v>
      </c>
      <c r="B3375" s="128" t="s">
        <v>131</v>
      </c>
      <c r="C3375" s="128" t="s">
        <v>26</v>
      </c>
      <c r="D3375" s="128" t="s">
        <v>76</v>
      </c>
      <c r="E3375" s="128" t="s">
        <v>135</v>
      </c>
      <c r="F3375" s="128">
        <v>0</v>
      </c>
      <c r="G3375" s="128">
        <v>0</v>
      </c>
      <c r="H3375" s="128">
        <v>0</v>
      </c>
      <c r="I3375" s="128">
        <v>0</v>
      </c>
    </row>
    <row r="3376" spans="1:9" ht="13.5">
      <c r="A3376" s="128">
        <v>2003</v>
      </c>
      <c r="B3376" s="128" t="s">
        <v>131</v>
      </c>
      <c r="C3376" s="128" t="s">
        <v>26</v>
      </c>
      <c r="D3376" s="128" t="s">
        <v>76</v>
      </c>
      <c r="E3376" s="128" t="s">
        <v>136</v>
      </c>
      <c r="F3376" s="128">
        <v>0</v>
      </c>
      <c r="G3376" s="128">
        <v>0</v>
      </c>
      <c r="H3376" s="128">
        <v>0</v>
      </c>
      <c r="I3376" s="128">
        <v>0</v>
      </c>
    </row>
    <row r="3377" spans="1:9" ht="13.5">
      <c r="A3377" s="128">
        <v>2003</v>
      </c>
      <c r="B3377" s="128" t="s">
        <v>131</v>
      </c>
      <c r="C3377" s="128" t="s">
        <v>20</v>
      </c>
      <c r="D3377" s="128" t="s">
        <v>77</v>
      </c>
      <c r="E3377" s="128" t="s">
        <v>132</v>
      </c>
      <c r="F3377" s="128">
        <v>761758</v>
      </c>
      <c r="G3377" s="128">
        <v>496538</v>
      </c>
      <c r="H3377" s="128">
        <v>218748</v>
      </c>
      <c r="I3377" s="128">
        <v>6141</v>
      </c>
    </row>
    <row r="3378" spans="1:9" ht="13.5">
      <c r="A3378" s="128">
        <v>2003</v>
      </c>
      <c r="B3378" s="128" t="s">
        <v>131</v>
      </c>
      <c r="C3378" s="128" t="s">
        <v>20</v>
      </c>
      <c r="D3378" s="128" t="s">
        <v>77</v>
      </c>
      <c r="E3378" s="128" t="s">
        <v>133</v>
      </c>
      <c r="F3378" s="128">
        <v>1389266</v>
      </c>
      <c r="G3378" s="128">
        <v>760960</v>
      </c>
      <c r="H3378" s="128">
        <v>462512</v>
      </c>
      <c r="I3378" s="128">
        <v>10807</v>
      </c>
    </row>
    <row r="3379" spans="1:9" ht="13.5">
      <c r="A3379" s="128">
        <v>2003</v>
      </c>
      <c r="B3379" s="128" t="s">
        <v>131</v>
      </c>
      <c r="C3379" s="128" t="s">
        <v>20</v>
      </c>
      <c r="D3379" s="128" t="s">
        <v>77</v>
      </c>
      <c r="E3379" s="128" t="s">
        <v>134</v>
      </c>
      <c r="F3379" s="128">
        <v>2613757</v>
      </c>
      <c r="G3379" s="128">
        <v>1141144</v>
      </c>
      <c r="H3379" s="128">
        <v>943829</v>
      </c>
      <c r="I3379" s="128">
        <v>10024</v>
      </c>
    </row>
    <row r="3380" spans="1:9" ht="13.5">
      <c r="A3380" s="128">
        <v>2003</v>
      </c>
      <c r="B3380" s="128" t="s">
        <v>131</v>
      </c>
      <c r="C3380" s="128" t="s">
        <v>20</v>
      </c>
      <c r="D3380" s="128" t="s">
        <v>77</v>
      </c>
      <c r="E3380" s="128" t="s">
        <v>135</v>
      </c>
      <c r="F3380" s="128">
        <v>2845019</v>
      </c>
      <c r="G3380" s="128">
        <v>789572</v>
      </c>
      <c r="H3380" s="128">
        <v>703352</v>
      </c>
      <c r="I3380" s="128">
        <v>8814</v>
      </c>
    </row>
    <row r="3381" spans="1:9" ht="13.5">
      <c r="A3381" s="128">
        <v>2003</v>
      </c>
      <c r="B3381" s="128" t="s">
        <v>131</v>
      </c>
      <c r="C3381" s="128" t="s">
        <v>20</v>
      </c>
      <c r="D3381" s="128" t="s">
        <v>79</v>
      </c>
      <c r="E3381" s="128" t="s">
        <v>132</v>
      </c>
      <c r="F3381" s="128">
        <v>4883569</v>
      </c>
      <c r="G3381" s="128">
        <v>3231965</v>
      </c>
      <c r="H3381" s="128">
        <v>1094883</v>
      </c>
      <c r="I3381" s="128">
        <v>38123</v>
      </c>
    </row>
    <row r="3382" spans="1:9" ht="13.5">
      <c r="A3382" s="128">
        <v>2003</v>
      </c>
      <c r="B3382" s="128" t="s">
        <v>131</v>
      </c>
      <c r="C3382" s="128" t="s">
        <v>20</v>
      </c>
      <c r="D3382" s="128" t="s">
        <v>79</v>
      </c>
      <c r="E3382" s="128" t="s">
        <v>133</v>
      </c>
      <c r="F3382" s="128">
        <v>6521932</v>
      </c>
      <c r="G3382" s="128">
        <v>3551178</v>
      </c>
      <c r="H3382" s="128">
        <v>1240456</v>
      </c>
      <c r="I3382" s="128">
        <v>41383</v>
      </c>
    </row>
    <row r="3383" spans="1:9" ht="13.5">
      <c r="A3383" s="128">
        <v>2003</v>
      </c>
      <c r="B3383" s="128" t="s">
        <v>131</v>
      </c>
      <c r="C3383" s="128" t="s">
        <v>20</v>
      </c>
      <c r="D3383" s="128" t="s">
        <v>79</v>
      </c>
      <c r="E3383" s="128" t="s">
        <v>134</v>
      </c>
      <c r="F3383" s="128">
        <v>20846568</v>
      </c>
      <c r="G3383" s="128">
        <v>8886693</v>
      </c>
      <c r="H3383" s="128">
        <v>3068136</v>
      </c>
      <c r="I3383" s="128">
        <v>87053</v>
      </c>
    </row>
    <row r="3384" spans="1:9" ht="13.5">
      <c r="A3384" s="128">
        <v>2003</v>
      </c>
      <c r="B3384" s="128" t="s">
        <v>131</v>
      </c>
      <c r="C3384" s="128" t="s">
        <v>20</v>
      </c>
      <c r="D3384" s="128" t="s">
        <v>79</v>
      </c>
      <c r="E3384" s="128" t="s">
        <v>135</v>
      </c>
      <c r="F3384" s="128">
        <v>42945813</v>
      </c>
      <c r="G3384" s="128">
        <v>12051906</v>
      </c>
      <c r="H3384" s="128">
        <v>4109922</v>
      </c>
      <c r="I3384" s="128">
        <v>105066</v>
      </c>
    </row>
    <row r="3385" spans="1:9" ht="13.5">
      <c r="A3385" s="128">
        <v>2003</v>
      </c>
      <c r="B3385" s="128" t="s">
        <v>131</v>
      </c>
      <c r="C3385" s="128" t="s">
        <v>20</v>
      </c>
      <c r="D3385" s="128" t="s">
        <v>79</v>
      </c>
      <c r="E3385" s="128" t="s">
        <v>136</v>
      </c>
      <c r="F3385" s="128">
        <v>18811643</v>
      </c>
      <c r="G3385" s="128">
        <v>14269699</v>
      </c>
      <c r="H3385" s="128">
        <v>4541905</v>
      </c>
      <c r="I3385" s="128">
        <v>323243</v>
      </c>
    </row>
    <row r="3386" spans="1:9" ht="13.5">
      <c r="A3386" s="128">
        <v>2003</v>
      </c>
      <c r="B3386" s="128" t="s">
        <v>131</v>
      </c>
      <c r="C3386" s="128" t="s">
        <v>20</v>
      </c>
      <c r="D3386" s="128" t="s">
        <v>76</v>
      </c>
      <c r="E3386" s="128" t="s">
        <v>132</v>
      </c>
      <c r="F3386" s="128">
        <v>24299335</v>
      </c>
      <c r="G3386" s="128">
        <v>15542169</v>
      </c>
      <c r="H3386" s="128">
        <v>8757168</v>
      </c>
      <c r="I3386" s="128">
        <v>305563</v>
      </c>
    </row>
    <row r="3387" spans="1:9" ht="13.5">
      <c r="A3387" s="128">
        <v>2003</v>
      </c>
      <c r="B3387" s="128" t="s">
        <v>131</v>
      </c>
      <c r="C3387" s="128" t="s">
        <v>20</v>
      </c>
      <c r="D3387" s="128" t="s">
        <v>76</v>
      </c>
      <c r="E3387" s="128" t="s">
        <v>133</v>
      </c>
      <c r="F3387" s="128">
        <v>32470328</v>
      </c>
      <c r="G3387" s="128">
        <v>17777993</v>
      </c>
      <c r="H3387" s="128">
        <v>14692579</v>
      </c>
      <c r="I3387" s="128">
        <v>151040</v>
      </c>
    </row>
    <row r="3388" spans="1:9" ht="13.5">
      <c r="A3388" s="128">
        <v>2003</v>
      </c>
      <c r="B3388" s="128" t="s">
        <v>131</v>
      </c>
      <c r="C3388" s="128" t="s">
        <v>20</v>
      </c>
      <c r="D3388" s="128" t="s">
        <v>76</v>
      </c>
      <c r="E3388" s="128" t="s">
        <v>134</v>
      </c>
      <c r="F3388" s="128">
        <v>19454757</v>
      </c>
      <c r="G3388" s="128">
        <v>9255388</v>
      </c>
      <c r="H3388" s="128">
        <v>10199126</v>
      </c>
      <c r="I3388" s="128">
        <v>148394</v>
      </c>
    </row>
    <row r="3389" spans="1:9" ht="13.5">
      <c r="A3389" s="128">
        <v>2003</v>
      </c>
      <c r="B3389" s="128" t="s">
        <v>131</v>
      </c>
      <c r="C3389" s="128" t="s">
        <v>20</v>
      </c>
      <c r="D3389" s="128" t="s">
        <v>76</v>
      </c>
      <c r="E3389" s="128" t="s">
        <v>135</v>
      </c>
      <c r="F3389" s="128">
        <v>4350849</v>
      </c>
      <c r="G3389" s="128">
        <v>1242307</v>
      </c>
      <c r="H3389" s="128">
        <v>3108541</v>
      </c>
      <c r="I3389" s="128">
        <v>4690</v>
      </c>
    </row>
    <row r="3390" spans="1:9" ht="13.5">
      <c r="A3390" s="128">
        <v>2003</v>
      </c>
      <c r="B3390" s="128" t="s">
        <v>131</v>
      </c>
      <c r="C3390" s="128" t="s">
        <v>20</v>
      </c>
      <c r="D3390" s="128" t="s">
        <v>76</v>
      </c>
      <c r="E3390" s="128" t="s">
        <v>136</v>
      </c>
      <c r="F3390" s="128">
        <v>3412838</v>
      </c>
      <c r="G3390" s="128">
        <v>2572545</v>
      </c>
      <c r="H3390" s="128">
        <v>840322</v>
      </c>
      <c r="I3390" s="128">
        <v>74305</v>
      </c>
    </row>
    <row r="3391" spans="1:9" ht="13.5">
      <c r="A3391" s="128">
        <v>2003</v>
      </c>
      <c r="B3391" s="128" t="s">
        <v>131</v>
      </c>
      <c r="C3391" s="128" t="s">
        <v>27</v>
      </c>
      <c r="D3391" s="128" t="s">
        <v>77</v>
      </c>
      <c r="E3391" s="128" t="s">
        <v>132</v>
      </c>
      <c r="F3391" s="128">
        <v>15286</v>
      </c>
      <c r="G3391" s="128">
        <v>9712</v>
      </c>
      <c r="H3391" s="128">
        <v>4744</v>
      </c>
      <c r="I3391" s="128">
        <v>75</v>
      </c>
    </row>
    <row r="3392" spans="1:9" ht="13.5">
      <c r="A3392" s="128">
        <v>2003</v>
      </c>
      <c r="B3392" s="128" t="s">
        <v>131</v>
      </c>
      <c r="C3392" s="128" t="s">
        <v>27</v>
      </c>
      <c r="D3392" s="128" t="s">
        <v>77</v>
      </c>
      <c r="E3392" s="128" t="s">
        <v>133</v>
      </c>
      <c r="F3392" s="128">
        <v>15280</v>
      </c>
      <c r="G3392" s="128">
        <v>8453</v>
      </c>
      <c r="H3392" s="128">
        <v>5132</v>
      </c>
      <c r="I3392" s="128">
        <v>60</v>
      </c>
    </row>
    <row r="3393" spans="1:9" ht="13.5">
      <c r="A3393" s="128">
        <v>2003</v>
      </c>
      <c r="B3393" s="128" t="s">
        <v>131</v>
      </c>
      <c r="C3393" s="128" t="s">
        <v>27</v>
      </c>
      <c r="D3393" s="128" t="s">
        <v>77</v>
      </c>
      <c r="E3393" s="128" t="s">
        <v>134</v>
      </c>
      <c r="F3393" s="128">
        <v>46031</v>
      </c>
      <c r="G3393" s="128">
        <v>19702</v>
      </c>
      <c r="H3393" s="128">
        <v>16260</v>
      </c>
      <c r="I3393" s="128">
        <v>130</v>
      </c>
    </row>
    <row r="3394" spans="1:9" ht="13.5">
      <c r="A3394" s="128">
        <v>2003</v>
      </c>
      <c r="B3394" s="128" t="s">
        <v>131</v>
      </c>
      <c r="C3394" s="128" t="s">
        <v>27</v>
      </c>
      <c r="D3394" s="128" t="s">
        <v>77</v>
      </c>
      <c r="E3394" s="128" t="s">
        <v>135</v>
      </c>
      <c r="F3394" s="128">
        <v>54050</v>
      </c>
      <c r="G3394" s="128">
        <v>14499</v>
      </c>
      <c r="H3394" s="128">
        <v>18389</v>
      </c>
      <c r="I3394" s="128">
        <v>101</v>
      </c>
    </row>
    <row r="3395" spans="1:9" ht="13.5">
      <c r="A3395" s="128">
        <v>2003</v>
      </c>
      <c r="B3395" s="128" t="s">
        <v>131</v>
      </c>
      <c r="C3395" s="128" t="s">
        <v>27</v>
      </c>
      <c r="D3395" s="128" t="s">
        <v>79</v>
      </c>
      <c r="E3395" s="128" t="s">
        <v>132</v>
      </c>
      <c r="F3395" s="128">
        <v>58847</v>
      </c>
      <c r="G3395" s="128">
        <v>40699</v>
      </c>
      <c r="H3395" s="128">
        <v>13571</v>
      </c>
      <c r="I3395" s="128">
        <v>280</v>
      </c>
    </row>
    <row r="3396" spans="1:9" ht="13.5">
      <c r="A3396" s="128">
        <v>2003</v>
      </c>
      <c r="B3396" s="128" t="s">
        <v>131</v>
      </c>
      <c r="C3396" s="128" t="s">
        <v>27</v>
      </c>
      <c r="D3396" s="128" t="s">
        <v>79</v>
      </c>
      <c r="E3396" s="128" t="s">
        <v>133</v>
      </c>
      <c r="F3396" s="128">
        <v>70492</v>
      </c>
      <c r="G3396" s="128">
        <v>38950</v>
      </c>
      <c r="H3396" s="128">
        <v>13067</v>
      </c>
      <c r="I3396" s="128">
        <v>363</v>
      </c>
    </row>
    <row r="3397" spans="1:9" ht="13.5">
      <c r="A3397" s="128">
        <v>2003</v>
      </c>
      <c r="B3397" s="128" t="s">
        <v>131</v>
      </c>
      <c r="C3397" s="128" t="s">
        <v>27</v>
      </c>
      <c r="D3397" s="128" t="s">
        <v>79</v>
      </c>
      <c r="E3397" s="128" t="s">
        <v>134</v>
      </c>
      <c r="F3397" s="128">
        <v>175420</v>
      </c>
      <c r="G3397" s="128">
        <v>74350</v>
      </c>
      <c r="H3397" s="128">
        <v>24758</v>
      </c>
      <c r="I3397" s="128">
        <v>805</v>
      </c>
    </row>
    <row r="3398" spans="1:9" ht="13.5">
      <c r="A3398" s="128">
        <v>2003</v>
      </c>
      <c r="B3398" s="128" t="s">
        <v>131</v>
      </c>
      <c r="C3398" s="128" t="s">
        <v>27</v>
      </c>
      <c r="D3398" s="128" t="s">
        <v>79</v>
      </c>
      <c r="E3398" s="128" t="s">
        <v>135</v>
      </c>
      <c r="F3398" s="128">
        <v>366312</v>
      </c>
      <c r="G3398" s="128">
        <v>110076</v>
      </c>
      <c r="H3398" s="128">
        <v>36424</v>
      </c>
      <c r="I3398" s="128">
        <v>881</v>
      </c>
    </row>
    <row r="3399" spans="1:9" ht="13.5">
      <c r="A3399" s="128">
        <v>2003</v>
      </c>
      <c r="B3399" s="128" t="s">
        <v>131</v>
      </c>
      <c r="C3399" s="128" t="s">
        <v>27</v>
      </c>
      <c r="D3399" s="128" t="s">
        <v>79</v>
      </c>
      <c r="E3399" s="128" t="s">
        <v>136</v>
      </c>
      <c r="F3399" s="128">
        <v>143120</v>
      </c>
      <c r="G3399" s="128">
        <v>109792</v>
      </c>
      <c r="H3399" s="128">
        <v>33328</v>
      </c>
      <c r="I3399" s="128">
        <v>2260</v>
      </c>
    </row>
    <row r="3400" spans="1:9" ht="13.5">
      <c r="A3400" s="128">
        <v>2003</v>
      </c>
      <c r="B3400" s="128" t="s">
        <v>131</v>
      </c>
      <c r="C3400" s="128" t="s">
        <v>27</v>
      </c>
      <c r="D3400" s="128" t="s">
        <v>76</v>
      </c>
      <c r="E3400" s="128" t="s">
        <v>132</v>
      </c>
      <c r="F3400" s="128">
        <v>309205</v>
      </c>
      <c r="G3400" s="128">
        <v>195843</v>
      </c>
      <c r="H3400" s="128">
        <v>113363</v>
      </c>
      <c r="I3400" s="128">
        <v>4039</v>
      </c>
    </row>
    <row r="3401" spans="1:9" ht="13.5">
      <c r="A3401" s="128">
        <v>2003</v>
      </c>
      <c r="B3401" s="128" t="s">
        <v>131</v>
      </c>
      <c r="C3401" s="128" t="s">
        <v>27</v>
      </c>
      <c r="D3401" s="128" t="s">
        <v>76</v>
      </c>
      <c r="E3401" s="128" t="s">
        <v>133</v>
      </c>
      <c r="F3401" s="128">
        <v>624763</v>
      </c>
      <c r="G3401" s="128">
        <v>343833</v>
      </c>
      <c r="H3401" s="128">
        <v>280931</v>
      </c>
      <c r="I3401" s="128">
        <v>3272</v>
      </c>
    </row>
    <row r="3402" spans="1:9" ht="13.5">
      <c r="A3402" s="128">
        <v>2003</v>
      </c>
      <c r="B3402" s="128" t="s">
        <v>131</v>
      </c>
      <c r="C3402" s="128" t="s">
        <v>27</v>
      </c>
      <c r="D3402" s="128" t="s">
        <v>76</v>
      </c>
      <c r="E3402" s="128" t="s">
        <v>134</v>
      </c>
      <c r="F3402" s="128">
        <v>366361</v>
      </c>
      <c r="G3402" s="128">
        <v>173091</v>
      </c>
      <c r="H3402" s="128">
        <v>193271</v>
      </c>
      <c r="I3402" s="128">
        <v>2468</v>
      </c>
    </row>
    <row r="3403" spans="1:9" ht="13.5">
      <c r="A3403" s="128">
        <v>2003</v>
      </c>
      <c r="B3403" s="128" t="s">
        <v>131</v>
      </c>
      <c r="C3403" s="128" t="s">
        <v>27</v>
      </c>
      <c r="D3403" s="128" t="s">
        <v>76</v>
      </c>
      <c r="E3403" s="128" t="s">
        <v>135</v>
      </c>
      <c r="F3403" s="128">
        <v>109928</v>
      </c>
      <c r="G3403" s="128">
        <v>31509</v>
      </c>
      <c r="H3403" s="128">
        <v>78419</v>
      </c>
      <c r="I3403" s="128">
        <v>104</v>
      </c>
    </row>
    <row r="3404" spans="1:9" ht="13.5">
      <c r="A3404" s="128">
        <v>2003</v>
      </c>
      <c r="B3404" s="128" t="s">
        <v>131</v>
      </c>
      <c r="C3404" s="128" t="s">
        <v>27</v>
      </c>
      <c r="D3404" s="128" t="s">
        <v>76</v>
      </c>
      <c r="E3404" s="128" t="s">
        <v>136</v>
      </c>
      <c r="F3404" s="128">
        <v>34568</v>
      </c>
      <c r="G3404" s="128">
        <v>26224</v>
      </c>
      <c r="H3404" s="128">
        <v>8343</v>
      </c>
      <c r="I3404" s="128">
        <v>530</v>
      </c>
    </row>
    <row r="3405" spans="1:9" ht="13.5">
      <c r="A3405" s="128">
        <v>2003</v>
      </c>
      <c r="B3405" s="128" t="s">
        <v>131</v>
      </c>
      <c r="C3405" s="128" t="s">
        <v>22</v>
      </c>
      <c r="D3405" s="128" t="s">
        <v>77</v>
      </c>
      <c r="E3405" s="128" t="s">
        <v>132</v>
      </c>
      <c r="F3405" s="128">
        <v>952777</v>
      </c>
      <c r="G3405" s="128">
        <v>621431</v>
      </c>
      <c r="H3405" s="128">
        <v>291632</v>
      </c>
      <c r="I3405" s="128">
        <v>7525</v>
      </c>
    </row>
    <row r="3406" spans="1:9" ht="13.5">
      <c r="A3406" s="128">
        <v>2003</v>
      </c>
      <c r="B3406" s="128" t="s">
        <v>131</v>
      </c>
      <c r="C3406" s="128" t="s">
        <v>22</v>
      </c>
      <c r="D3406" s="128" t="s">
        <v>77</v>
      </c>
      <c r="E3406" s="128" t="s">
        <v>133</v>
      </c>
      <c r="F3406" s="128">
        <v>950924</v>
      </c>
      <c r="G3406" s="128">
        <v>514310</v>
      </c>
      <c r="H3406" s="128">
        <v>327447</v>
      </c>
      <c r="I3406" s="128">
        <v>5430</v>
      </c>
    </row>
    <row r="3407" spans="1:9" ht="13.5">
      <c r="A3407" s="128">
        <v>2003</v>
      </c>
      <c r="B3407" s="128" t="s">
        <v>131</v>
      </c>
      <c r="C3407" s="128" t="s">
        <v>22</v>
      </c>
      <c r="D3407" s="128" t="s">
        <v>77</v>
      </c>
      <c r="E3407" s="128" t="s">
        <v>134</v>
      </c>
      <c r="F3407" s="128">
        <v>3556078</v>
      </c>
      <c r="G3407" s="128">
        <v>1504127</v>
      </c>
      <c r="H3407" s="128">
        <v>1363993</v>
      </c>
      <c r="I3407" s="128">
        <v>12250</v>
      </c>
    </row>
    <row r="3408" spans="1:9" ht="13.5">
      <c r="A3408" s="128">
        <v>2003</v>
      </c>
      <c r="B3408" s="128" t="s">
        <v>131</v>
      </c>
      <c r="C3408" s="128" t="s">
        <v>22</v>
      </c>
      <c r="D3408" s="128" t="s">
        <v>77</v>
      </c>
      <c r="E3408" s="128" t="s">
        <v>135</v>
      </c>
      <c r="F3408" s="128">
        <v>3231203</v>
      </c>
      <c r="G3408" s="128">
        <v>928141</v>
      </c>
      <c r="H3408" s="128">
        <v>976455</v>
      </c>
      <c r="I3408" s="128">
        <v>10626</v>
      </c>
    </row>
    <row r="3409" spans="1:9" ht="13.5">
      <c r="A3409" s="128">
        <v>2003</v>
      </c>
      <c r="B3409" s="128" t="s">
        <v>131</v>
      </c>
      <c r="C3409" s="128" t="s">
        <v>22</v>
      </c>
      <c r="D3409" s="128" t="s">
        <v>79</v>
      </c>
      <c r="E3409" s="128" t="s">
        <v>132</v>
      </c>
      <c r="F3409" s="128">
        <v>3593266</v>
      </c>
      <c r="G3409" s="128">
        <v>2395126</v>
      </c>
      <c r="H3409" s="128">
        <v>795255</v>
      </c>
      <c r="I3409" s="128">
        <v>23339</v>
      </c>
    </row>
    <row r="3410" spans="1:9" ht="13.5">
      <c r="A3410" s="128">
        <v>2003</v>
      </c>
      <c r="B3410" s="128" t="s">
        <v>131</v>
      </c>
      <c r="C3410" s="128" t="s">
        <v>22</v>
      </c>
      <c r="D3410" s="128" t="s">
        <v>79</v>
      </c>
      <c r="E3410" s="128" t="s">
        <v>133</v>
      </c>
      <c r="F3410" s="128">
        <v>5259493</v>
      </c>
      <c r="G3410" s="128">
        <v>2895791</v>
      </c>
      <c r="H3410" s="128">
        <v>983744</v>
      </c>
      <c r="I3410" s="128">
        <v>33053</v>
      </c>
    </row>
    <row r="3411" spans="1:9" ht="13.5">
      <c r="A3411" s="128">
        <v>2003</v>
      </c>
      <c r="B3411" s="128" t="s">
        <v>131</v>
      </c>
      <c r="C3411" s="128" t="s">
        <v>22</v>
      </c>
      <c r="D3411" s="128" t="s">
        <v>79</v>
      </c>
      <c r="E3411" s="128" t="s">
        <v>134</v>
      </c>
      <c r="F3411" s="128">
        <v>10617843</v>
      </c>
      <c r="G3411" s="128">
        <v>4545139</v>
      </c>
      <c r="H3411" s="128">
        <v>1552950</v>
      </c>
      <c r="I3411" s="128">
        <v>46649</v>
      </c>
    </row>
    <row r="3412" spans="1:9" ht="13.5">
      <c r="A3412" s="128">
        <v>2003</v>
      </c>
      <c r="B3412" s="128" t="s">
        <v>131</v>
      </c>
      <c r="C3412" s="128" t="s">
        <v>22</v>
      </c>
      <c r="D3412" s="128" t="s">
        <v>79</v>
      </c>
      <c r="E3412" s="128" t="s">
        <v>135</v>
      </c>
      <c r="F3412" s="128">
        <v>11545905</v>
      </c>
      <c r="G3412" s="128">
        <v>3436155</v>
      </c>
      <c r="H3412" s="128">
        <v>1161140</v>
      </c>
      <c r="I3412" s="128">
        <v>34163</v>
      </c>
    </row>
    <row r="3413" spans="1:9" ht="13.5">
      <c r="A3413" s="128">
        <v>2003</v>
      </c>
      <c r="B3413" s="128" t="s">
        <v>131</v>
      </c>
      <c r="C3413" s="128" t="s">
        <v>22</v>
      </c>
      <c r="D3413" s="128" t="s">
        <v>79</v>
      </c>
      <c r="E3413" s="128" t="s">
        <v>136</v>
      </c>
      <c r="F3413" s="128">
        <v>8064723</v>
      </c>
      <c r="G3413" s="128">
        <v>6210077</v>
      </c>
      <c r="H3413" s="128">
        <v>1854617</v>
      </c>
      <c r="I3413" s="128">
        <v>108932</v>
      </c>
    </row>
    <row r="3414" spans="1:9" ht="13.5">
      <c r="A3414" s="128">
        <v>2003</v>
      </c>
      <c r="B3414" s="128" t="s">
        <v>131</v>
      </c>
      <c r="C3414" s="128" t="s">
        <v>22</v>
      </c>
      <c r="D3414" s="128" t="s">
        <v>76</v>
      </c>
      <c r="E3414" s="128" t="s">
        <v>132</v>
      </c>
      <c r="F3414" s="128">
        <v>21481413</v>
      </c>
      <c r="G3414" s="128">
        <v>13815281</v>
      </c>
      <c r="H3414" s="128">
        <v>7668402</v>
      </c>
      <c r="I3414" s="128">
        <v>351765</v>
      </c>
    </row>
    <row r="3415" spans="1:9" ht="13.5">
      <c r="A3415" s="128">
        <v>2003</v>
      </c>
      <c r="B3415" s="128" t="s">
        <v>131</v>
      </c>
      <c r="C3415" s="128" t="s">
        <v>22</v>
      </c>
      <c r="D3415" s="128" t="s">
        <v>76</v>
      </c>
      <c r="E3415" s="128" t="s">
        <v>133</v>
      </c>
      <c r="F3415" s="128">
        <v>26075467</v>
      </c>
      <c r="G3415" s="128">
        <v>14379391</v>
      </c>
      <c r="H3415" s="128">
        <v>11699051</v>
      </c>
      <c r="I3415" s="128">
        <v>152952</v>
      </c>
    </row>
    <row r="3416" spans="1:9" ht="13.5">
      <c r="A3416" s="128">
        <v>2003</v>
      </c>
      <c r="B3416" s="128" t="s">
        <v>131</v>
      </c>
      <c r="C3416" s="128" t="s">
        <v>22</v>
      </c>
      <c r="D3416" s="128" t="s">
        <v>76</v>
      </c>
      <c r="E3416" s="128" t="s">
        <v>134</v>
      </c>
      <c r="F3416" s="128">
        <v>13553472</v>
      </c>
      <c r="G3416" s="128">
        <v>6510764</v>
      </c>
      <c r="H3416" s="128">
        <v>7045368</v>
      </c>
      <c r="I3416" s="128">
        <v>124188</v>
      </c>
    </row>
    <row r="3417" spans="1:9" ht="13.5">
      <c r="A3417" s="128">
        <v>2003</v>
      </c>
      <c r="B3417" s="128" t="s">
        <v>131</v>
      </c>
      <c r="C3417" s="128" t="s">
        <v>22</v>
      </c>
      <c r="D3417" s="128" t="s">
        <v>76</v>
      </c>
      <c r="E3417" s="128" t="s">
        <v>135</v>
      </c>
      <c r="F3417" s="128">
        <v>3071603</v>
      </c>
      <c r="G3417" s="128">
        <v>942027</v>
      </c>
      <c r="H3417" s="128">
        <v>2129607</v>
      </c>
      <c r="I3417" s="128">
        <v>3420</v>
      </c>
    </row>
    <row r="3418" spans="1:9" ht="13.5">
      <c r="A3418" s="128">
        <v>2003</v>
      </c>
      <c r="B3418" s="128" t="s">
        <v>131</v>
      </c>
      <c r="C3418" s="128" t="s">
        <v>22</v>
      </c>
      <c r="D3418" s="128" t="s">
        <v>76</v>
      </c>
      <c r="E3418" s="128" t="s">
        <v>136</v>
      </c>
      <c r="F3418" s="128">
        <v>1323319</v>
      </c>
      <c r="G3418" s="128">
        <v>996678</v>
      </c>
      <c r="H3418" s="128">
        <v>327001</v>
      </c>
      <c r="I3418" s="128">
        <v>24790</v>
      </c>
    </row>
    <row r="3419" spans="1:9" ht="13.5">
      <c r="A3419" s="128">
        <v>2003</v>
      </c>
      <c r="B3419" s="128" t="s">
        <v>131</v>
      </c>
      <c r="C3419" s="128" t="s">
        <v>23</v>
      </c>
      <c r="D3419" s="128" t="s">
        <v>77</v>
      </c>
      <c r="E3419" s="128" t="s">
        <v>132</v>
      </c>
      <c r="F3419" s="128">
        <v>551420</v>
      </c>
      <c r="G3419" s="128">
        <v>390760</v>
      </c>
      <c r="H3419" s="128">
        <v>172677</v>
      </c>
      <c r="I3419" s="128">
        <v>4371</v>
      </c>
    </row>
    <row r="3420" spans="1:9" ht="13.5">
      <c r="A3420" s="128">
        <v>2003</v>
      </c>
      <c r="B3420" s="128" t="s">
        <v>131</v>
      </c>
      <c r="C3420" s="128" t="s">
        <v>23</v>
      </c>
      <c r="D3420" s="128" t="s">
        <v>77</v>
      </c>
      <c r="E3420" s="128" t="s">
        <v>133</v>
      </c>
      <c r="F3420" s="128">
        <v>580661</v>
      </c>
      <c r="G3420" s="128">
        <v>315704</v>
      </c>
      <c r="H3420" s="128">
        <v>200854</v>
      </c>
      <c r="I3420" s="128">
        <v>2764</v>
      </c>
    </row>
    <row r="3421" spans="1:9" ht="13.5">
      <c r="A3421" s="128">
        <v>2003</v>
      </c>
      <c r="B3421" s="128" t="s">
        <v>131</v>
      </c>
      <c r="C3421" s="128" t="s">
        <v>23</v>
      </c>
      <c r="D3421" s="128" t="s">
        <v>77</v>
      </c>
      <c r="E3421" s="128" t="s">
        <v>134</v>
      </c>
      <c r="F3421" s="128">
        <v>991345</v>
      </c>
      <c r="G3421" s="128">
        <v>436219</v>
      </c>
      <c r="H3421" s="128">
        <v>382119</v>
      </c>
      <c r="I3421" s="128">
        <v>3754</v>
      </c>
    </row>
    <row r="3422" spans="1:9" ht="13.5">
      <c r="A3422" s="128">
        <v>2003</v>
      </c>
      <c r="B3422" s="128" t="s">
        <v>131</v>
      </c>
      <c r="C3422" s="128" t="s">
        <v>23</v>
      </c>
      <c r="D3422" s="128" t="s">
        <v>77</v>
      </c>
      <c r="E3422" s="128" t="s">
        <v>135</v>
      </c>
      <c r="F3422" s="128">
        <v>684570</v>
      </c>
      <c r="G3422" s="128">
        <v>184579</v>
      </c>
      <c r="H3422" s="128">
        <v>176713</v>
      </c>
      <c r="I3422" s="128">
        <v>1492</v>
      </c>
    </row>
    <row r="3423" spans="1:9" ht="13.5">
      <c r="A3423" s="128">
        <v>2003</v>
      </c>
      <c r="B3423" s="128" t="s">
        <v>131</v>
      </c>
      <c r="C3423" s="128" t="s">
        <v>23</v>
      </c>
      <c r="D3423" s="128" t="s">
        <v>79</v>
      </c>
      <c r="E3423" s="128" t="s">
        <v>132</v>
      </c>
      <c r="F3423" s="128">
        <v>437498</v>
      </c>
      <c r="G3423" s="128">
        <v>294504</v>
      </c>
      <c r="H3423" s="128">
        <v>97654</v>
      </c>
      <c r="I3423" s="128">
        <v>3743</v>
      </c>
    </row>
    <row r="3424" spans="1:9" ht="13.5">
      <c r="A3424" s="128">
        <v>2003</v>
      </c>
      <c r="B3424" s="128" t="s">
        <v>131</v>
      </c>
      <c r="C3424" s="128" t="s">
        <v>23</v>
      </c>
      <c r="D3424" s="128" t="s">
        <v>79</v>
      </c>
      <c r="E3424" s="128" t="s">
        <v>133</v>
      </c>
      <c r="F3424" s="128">
        <v>518962</v>
      </c>
      <c r="G3424" s="128">
        <v>282885</v>
      </c>
      <c r="H3424" s="128">
        <v>100780</v>
      </c>
      <c r="I3424" s="128">
        <v>3592</v>
      </c>
    </row>
    <row r="3425" spans="1:9" ht="13.5">
      <c r="A3425" s="128">
        <v>2003</v>
      </c>
      <c r="B3425" s="128" t="s">
        <v>131</v>
      </c>
      <c r="C3425" s="128" t="s">
        <v>23</v>
      </c>
      <c r="D3425" s="128" t="s">
        <v>79</v>
      </c>
      <c r="E3425" s="128" t="s">
        <v>134</v>
      </c>
      <c r="F3425" s="128">
        <v>534184</v>
      </c>
      <c r="G3425" s="128">
        <v>227945</v>
      </c>
      <c r="H3425" s="128">
        <v>78821</v>
      </c>
      <c r="I3425" s="128">
        <v>2818</v>
      </c>
    </row>
    <row r="3426" spans="1:9" ht="13.5">
      <c r="A3426" s="128">
        <v>2003</v>
      </c>
      <c r="B3426" s="128" t="s">
        <v>131</v>
      </c>
      <c r="C3426" s="128" t="s">
        <v>23</v>
      </c>
      <c r="D3426" s="128" t="s">
        <v>79</v>
      </c>
      <c r="E3426" s="128" t="s">
        <v>135</v>
      </c>
      <c r="F3426" s="128">
        <v>838014</v>
      </c>
      <c r="G3426" s="128">
        <v>219299</v>
      </c>
      <c r="H3426" s="128">
        <v>76319</v>
      </c>
      <c r="I3426" s="128">
        <v>2460</v>
      </c>
    </row>
    <row r="3427" spans="1:9" ht="13.5">
      <c r="A3427" s="128">
        <v>2003</v>
      </c>
      <c r="B3427" s="128" t="s">
        <v>131</v>
      </c>
      <c r="C3427" s="128" t="s">
        <v>23</v>
      </c>
      <c r="D3427" s="128" t="s">
        <v>79</v>
      </c>
      <c r="E3427" s="128" t="s">
        <v>136</v>
      </c>
      <c r="F3427" s="128">
        <v>2671150</v>
      </c>
      <c r="G3427" s="128">
        <v>2026102</v>
      </c>
      <c r="H3427" s="128">
        <v>645010</v>
      </c>
      <c r="I3427" s="128">
        <v>50195</v>
      </c>
    </row>
    <row r="3428" spans="1:9" ht="13.5">
      <c r="A3428" s="128">
        <v>2003</v>
      </c>
      <c r="B3428" s="128" t="s">
        <v>131</v>
      </c>
      <c r="C3428" s="128" t="s">
        <v>23</v>
      </c>
      <c r="D3428" s="128" t="s">
        <v>76</v>
      </c>
      <c r="E3428" s="128" t="s">
        <v>132</v>
      </c>
      <c r="F3428" s="128">
        <v>9528197</v>
      </c>
      <c r="G3428" s="128">
        <v>6160059</v>
      </c>
      <c r="H3428" s="128">
        <v>3368137</v>
      </c>
      <c r="I3428" s="128">
        <v>149094</v>
      </c>
    </row>
    <row r="3429" spans="1:9" ht="13.5">
      <c r="A3429" s="128">
        <v>2003</v>
      </c>
      <c r="B3429" s="128" t="s">
        <v>131</v>
      </c>
      <c r="C3429" s="128" t="s">
        <v>23</v>
      </c>
      <c r="D3429" s="128" t="s">
        <v>76</v>
      </c>
      <c r="E3429" s="128" t="s">
        <v>133</v>
      </c>
      <c r="F3429" s="128">
        <v>14711846</v>
      </c>
      <c r="G3429" s="128">
        <v>8053058</v>
      </c>
      <c r="H3429" s="128">
        <v>6658791</v>
      </c>
      <c r="I3429" s="128">
        <v>52182</v>
      </c>
    </row>
    <row r="3430" spans="1:9" ht="13.5">
      <c r="A3430" s="128">
        <v>2003</v>
      </c>
      <c r="B3430" s="128" t="s">
        <v>131</v>
      </c>
      <c r="C3430" s="128" t="s">
        <v>23</v>
      </c>
      <c r="D3430" s="128" t="s">
        <v>76</v>
      </c>
      <c r="E3430" s="128" t="s">
        <v>134</v>
      </c>
      <c r="F3430" s="128">
        <v>11070519</v>
      </c>
      <c r="G3430" s="128">
        <v>5203375</v>
      </c>
      <c r="H3430" s="128">
        <v>5867144</v>
      </c>
      <c r="I3430" s="128">
        <v>75412</v>
      </c>
    </row>
    <row r="3431" spans="1:9" ht="13.5">
      <c r="A3431" s="128">
        <v>2003</v>
      </c>
      <c r="B3431" s="128" t="s">
        <v>131</v>
      </c>
      <c r="C3431" s="128" t="s">
        <v>23</v>
      </c>
      <c r="D3431" s="128" t="s">
        <v>76</v>
      </c>
      <c r="E3431" s="128" t="s">
        <v>135</v>
      </c>
      <c r="F3431" s="128">
        <v>1023092</v>
      </c>
      <c r="G3431" s="128">
        <v>275447</v>
      </c>
      <c r="H3431" s="128">
        <v>747646</v>
      </c>
      <c r="I3431" s="128">
        <v>1024</v>
      </c>
    </row>
    <row r="3432" spans="1:9" ht="13.5">
      <c r="A3432" s="128">
        <v>2003</v>
      </c>
      <c r="B3432" s="128" t="s">
        <v>131</v>
      </c>
      <c r="C3432" s="128" t="s">
        <v>23</v>
      </c>
      <c r="D3432" s="128" t="s">
        <v>76</v>
      </c>
      <c r="E3432" s="128" t="s">
        <v>136</v>
      </c>
      <c r="F3432" s="128">
        <v>1339182</v>
      </c>
      <c r="G3432" s="128">
        <v>1009240</v>
      </c>
      <c r="H3432" s="128">
        <v>329984</v>
      </c>
      <c r="I3432" s="128">
        <v>13954</v>
      </c>
    </row>
    <row r="3433" spans="1:9" ht="13.5">
      <c r="A3433" s="128">
        <v>2003</v>
      </c>
      <c r="B3433" s="128" t="s">
        <v>131</v>
      </c>
      <c r="C3433" s="128" t="s">
        <v>25</v>
      </c>
      <c r="D3433" s="128" t="s">
        <v>77</v>
      </c>
      <c r="E3433" s="128" t="s">
        <v>132</v>
      </c>
      <c r="F3433" s="128">
        <v>23315</v>
      </c>
      <c r="G3433" s="128">
        <v>15399</v>
      </c>
      <c r="H3433" s="128">
        <v>6456</v>
      </c>
      <c r="I3433" s="128">
        <v>130</v>
      </c>
    </row>
    <row r="3434" spans="1:9" ht="13.5">
      <c r="A3434" s="128">
        <v>2003</v>
      </c>
      <c r="B3434" s="128" t="s">
        <v>131</v>
      </c>
      <c r="C3434" s="128" t="s">
        <v>25</v>
      </c>
      <c r="D3434" s="128" t="s">
        <v>77</v>
      </c>
      <c r="E3434" s="128" t="s">
        <v>133</v>
      </c>
      <c r="F3434" s="128">
        <v>101971</v>
      </c>
      <c r="G3434" s="128">
        <v>54574</v>
      </c>
      <c r="H3434" s="128">
        <v>40874</v>
      </c>
      <c r="I3434" s="128">
        <v>299</v>
      </c>
    </row>
    <row r="3435" spans="1:9" ht="13.5">
      <c r="A3435" s="128">
        <v>2003</v>
      </c>
      <c r="B3435" s="128" t="s">
        <v>131</v>
      </c>
      <c r="C3435" s="128" t="s">
        <v>25</v>
      </c>
      <c r="D3435" s="128" t="s">
        <v>77</v>
      </c>
      <c r="E3435" s="128" t="s">
        <v>134</v>
      </c>
      <c r="F3435" s="128">
        <v>183896</v>
      </c>
      <c r="G3435" s="128">
        <v>78843</v>
      </c>
      <c r="H3435" s="128">
        <v>74324</v>
      </c>
      <c r="I3435" s="128">
        <v>654</v>
      </c>
    </row>
    <row r="3436" spans="1:9" ht="13.5">
      <c r="A3436" s="128">
        <v>2003</v>
      </c>
      <c r="B3436" s="128" t="s">
        <v>131</v>
      </c>
      <c r="C3436" s="128" t="s">
        <v>25</v>
      </c>
      <c r="D3436" s="128" t="s">
        <v>77</v>
      </c>
      <c r="E3436" s="128" t="s">
        <v>135</v>
      </c>
      <c r="F3436" s="128">
        <v>222842</v>
      </c>
      <c r="G3436" s="128">
        <v>61610</v>
      </c>
      <c r="H3436" s="128">
        <v>62251</v>
      </c>
      <c r="I3436" s="128">
        <v>712</v>
      </c>
    </row>
    <row r="3437" spans="1:9" ht="13.5">
      <c r="A3437" s="128">
        <v>2003</v>
      </c>
      <c r="B3437" s="128" t="s">
        <v>131</v>
      </c>
      <c r="C3437" s="128" t="s">
        <v>25</v>
      </c>
      <c r="D3437" s="128" t="s">
        <v>79</v>
      </c>
      <c r="E3437" s="128" t="s">
        <v>132</v>
      </c>
      <c r="F3437" s="128">
        <v>395757</v>
      </c>
      <c r="G3437" s="128">
        <v>264762</v>
      </c>
      <c r="H3437" s="128">
        <v>86266</v>
      </c>
      <c r="I3437" s="128">
        <v>2763</v>
      </c>
    </row>
    <row r="3438" spans="1:9" ht="13.5">
      <c r="A3438" s="128">
        <v>2003</v>
      </c>
      <c r="B3438" s="128" t="s">
        <v>131</v>
      </c>
      <c r="C3438" s="128" t="s">
        <v>25</v>
      </c>
      <c r="D3438" s="128" t="s">
        <v>79</v>
      </c>
      <c r="E3438" s="128" t="s">
        <v>133</v>
      </c>
      <c r="F3438" s="128">
        <v>406717</v>
      </c>
      <c r="G3438" s="128">
        <v>222062</v>
      </c>
      <c r="H3438" s="128">
        <v>73791</v>
      </c>
      <c r="I3438" s="128">
        <v>2347</v>
      </c>
    </row>
    <row r="3439" spans="1:9" ht="13.5">
      <c r="A3439" s="128">
        <v>2003</v>
      </c>
      <c r="B3439" s="128" t="s">
        <v>131</v>
      </c>
      <c r="C3439" s="128" t="s">
        <v>25</v>
      </c>
      <c r="D3439" s="128" t="s">
        <v>79</v>
      </c>
      <c r="E3439" s="128" t="s">
        <v>134</v>
      </c>
      <c r="F3439" s="128">
        <v>657573</v>
      </c>
      <c r="G3439" s="128">
        <v>282769</v>
      </c>
      <c r="H3439" s="128">
        <v>95697</v>
      </c>
      <c r="I3439" s="128">
        <v>3577</v>
      </c>
    </row>
    <row r="3440" spans="1:9" ht="13.5">
      <c r="A3440" s="128">
        <v>2003</v>
      </c>
      <c r="B3440" s="128" t="s">
        <v>131</v>
      </c>
      <c r="C3440" s="128" t="s">
        <v>25</v>
      </c>
      <c r="D3440" s="128" t="s">
        <v>79</v>
      </c>
      <c r="E3440" s="128" t="s">
        <v>135</v>
      </c>
      <c r="F3440" s="128">
        <v>1049654</v>
      </c>
      <c r="G3440" s="128">
        <v>271160</v>
      </c>
      <c r="H3440" s="128">
        <v>90775</v>
      </c>
      <c r="I3440" s="128">
        <v>2792</v>
      </c>
    </row>
    <row r="3441" spans="1:9" ht="13.5">
      <c r="A3441" s="128">
        <v>2003</v>
      </c>
      <c r="B3441" s="128" t="s">
        <v>131</v>
      </c>
      <c r="C3441" s="128" t="s">
        <v>25</v>
      </c>
      <c r="D3441" s="128" t="s">
        <v>79</v>
      </c>
      <c r="E3441" s="128" t="s">
        <v>136</v>
      </c>
      <c r="F3441" s="128">
        <v>1306902</v>
      </c>
      <c r="G3441" s="128">
        <v>993994</v>
      </c>
      <c r="H3441" s="128">
        <v>312908</v>
      </c>
      <c r="I3441" s="128">
        <v>21501</v>
      </c>
    </row>
    <row r="3442" spans="1:9" ht="13.5">
      <c r="A3442" s="128">
        <v>2003</v>
      </c>
      <c r="B3442" s="128" t="s">
        <v>131</v>
      </c>
      <c r="C3442" s="128" t="s">
        <v>25</v>
      </c>
      <c r="D3442" s="128" t="s">
        <v>76</v>
      </c>
      <c r="E3442" s="128" t="s">
        <v>132</v>
      </c>
      <c r="F3442" s="128">
        <v>2177895</v>
      </c>
      <c r="G3442" s="128">
        <v>1410163</v>
      </c>
      <c r="H3442" s="128">
        <v>767733</v>
      </c>
      <c r="I3442" s="128">
        <v>28321</v>
      </c>
    </row>
    <row r="3443" spans="1:9" ht="13.5">
      <c r="A3443" s="128">
        <v>2003</v>
      </c>
      <c r="B3443" s="128" t="s">
        <v>131</v>
      </c>
      <c r="C3443" s="128" t="s">
        <v>25</v>
      </c>
      <c r="D3443" s="128" t="s">
        <v>76</v>
      </c>
      <c r="E3443" s="128" t="s">
        <v>133</v>
      </c>
      <c r="F3443" s="128">
        <v>3027732</v>
      </c>
      <c r="G3443" s="128">
        <v>1662961</v>
      </c>
      <c r="H3443" s="128">
        <v>1364771</v>
      </c>
      <c r="I3443" s="128">
        <v>12313</v>
      </c>
    </row>
    <row r="3444" spans="1:9" ht="13.5">
      <c r="A3444" s="128">
        <v>2003</v>
      </c>
      <c r="B3444" s="128" t="s">
        <v>131</v>
      </c>
      <c r="C3444" s="128" t="s">
        <v>25</v>
      </c>
      <c r="D3444" s="128" t="s">
        <v>76</v>
      </c>
      <c r="E3444" s="128" t="s">
        <v>134</v>
      </c>
      <c r="F3444" s="128">
        <v>2139495</v>
      </c>
      <c r="G3444" s="128">
        <v>1021879</v>
      </c>
      <c r="H3444" s="128">
        <v>1117614</v>
      </c>
      <c r="I3444" s="128">
        <v>15629</v>
      </c>
    </row>
    <row r="3445" spans="1:9" ht="13.5">
      <c r="A3445" s="128">
        <v>2003</v>
      </c>
      <c r="B3445" s="128" t="s">
        <v>131</v>
      </c>
      <c r="C3445" s="128" t="s">
        <v>25</v>
      </c>
      <c r="D3445" s="128" t="s">
        <v>76</v>
      </c>
      <c r="E3445" s="128" t="s">
        <v>135</v>
      </c>
      <c r="F3445" s="128">
        <v>417326</v>
      </c>
      <c r="G3445" s="128">
        <v>122850</v>
      </c>
      <c r="H3445" s="128">
        <v>294476</v>
      </c>
      <c r="I3445" s="128">
        <v>448</v>
      </c>
    </row>
    <row r="3446" spans="1:9" ht="13.5">
      <c r="A3446" s="128">
        <v>2003</v>
      </c>
      <c r="B3446" s="128" t="s">
        <v>131</v>
      </c>
      <c r="C3446" s="128" t="s">
        <v>25</v>
      </c>
      <c r="D3446" s="128" t="s">
        <v>76</v>
      </c>
      <c r="E3446" s="128" t="s">
        <v>136</v>
      </c>
      <c r="F3446" s="128">
        <v>122851</v>
      </c>
      <c r="G3446" s="128">
        <v>92860</v>
      </c>
      <c r="H3446" s="128">
        <v>29991</v>
      </c>
      <c r="I3446" s="128">
        <v>1544</v>
      </c>
    </row>
    <row r="3447" spans="1:9" ht="13.5">
      <c r="A3447" s="128">
        <v>2003</v>
      </c>
      <c r="B3447" s="128" t="s">
        <v>131</v>
      </c>
      <c r="C3447" s="128" t="s">
        <v>21</v>
      </c>
      <c r="D3447" s="128" t="s">
        <v>77</v>
      </c>
      <c r="E3447" s="128" t="s">
        <v>132</v>
      </c>
      <c r="F3447" s="128">
        <v>1511330</v>
      </c>
      <c r="G3447" s="128">
        <v>985613</v>
      </c>
      <c r="H3447" s="128">
        <v>443905</v>
      </c>
      <c r="I3447" s="128">
        <v>8071</v>
      </c>
    </row>
    <row r="3448" spans="1:9" ht="13.5">
      <c r="A3448" s="128">
        <v>2003</v>
      </c>
      <c r="B3448" s="128" t="s">
        <v>131</v>
      </c>
      <c r="C3448" s="128" t="s">
        <v>21</v>
      </c>
      <c r="D3448" s="128" t="s">
        <v>77</v>
      </c>
      <c r="E3448" s="128" t="s">
        <v>133</v>
      </c>
      <c r="F3448" s="128">
        <v>3109955</v>
      </c>
      <c r="G3448" s="128">
        <v>1684886</v>
      </c>
      <c r="H3448" s="128">
        <v>1107742</v>
      </c>
      <c r="I3448" s="128">
        <v>13315</v>
      </c>
    </row>
    <row r="3449" spans="1:9" ht="13.5">
      <c r="A3449" s="128">
        <v>2003</v>
      </c>
      <c r="B3449" s="128" t="s">
        <v>131</v>
      </c>
      <c r="C3449" s="128" t="s">
        <v>21</v>
      </c>
      <c r="D3449" s="128" t="s">
        <v>77</v>
      </c>
      <c r="E3449" s="128" t="s">
        <v>134</v>
      </c>
      <c r="F3449" s="128">
        <v>5789948</v>
      </c>
      <c r="G3449" s="128">
        <v>2520176</v>
      </c>
      <c r="H3449" s="128">
        <v>2099493</v>
      </c>
      <c r="I3449" s="128">
        <v>27551</v>
      </c>
    </row>
    <row r="3450" spans="1:9" ht="13.5">
      <c r="A3450" s="128">
        <v>2003</v>
      </c>
      <c r="B3450" s="128" t="s">
        <v>131</v>
      </c>
      <c r="C3450" s="128" t="s">
        <v>21</v>
      </c>
      <c r="D3450" s="128" t="s">
        <v>77</v>
      </c>
      <c r="E3450" s="128" t="s">
        <v>135</v>
      </c>
      <c r="F3450" s="128">
        <v>3951615</v>
      </c>
      <c r="G3450" s="128">
        <v>1117892</v>
      </c>
      <c r="H3450" s="128">
        <v>1136009</v>
      </c>
      <c r="I3450" s="128">
        <v>13242</v>
      </c>
    </row>
    <row r="3451" spans="1:9" ht="13.5">
      <c r="A3451" s="128">
        <v>2003</v>
      </c>
      <c r="B3451" s="128" t="s">
        <v>131</v>
      </c>
      <c r="C3451" s="128" t="s">
        <v>21</v>
      </c>
      <c r="D3451" s="128" t="s">
        <v>79</v>
      </c>
      <c r="E3451" s="128" t="s">
        <v>132</v>
      </c>
      <c r="F3451" s="128">
        <v>3320350</v>
      </c>
      <c r="G3451" s="128">
        <v>2200730</v>
      </c>
      <c r="H3451" s="128">
        <v>730556</v>
      </c>
      <c r="I3451" s="128">
        <v>24446</v>
      </c>
    </row>
    <row r="3452" spans="1:9" ht="13.5">
      <c r="A3452" s="128">
        <v>2003</v>
      </c>
      <c r="B3452" s="128" t="s">
        <v>131</v>
      </c>
      <c r="C3452" s="128" t="s">
        <v>21</v>
      </c>
      <c r="D3452" s="128" t="s">
        <v>79</v>
      </c>
      <c r="E3452" s="128" t="s">
        <v>133</v>
      </c>
      <c r="F3452" s="128">
        <v>3194171</v>
      </c>
      <c r="G3452" s="128">
        <v>1724637</v>
      </c>
      <c r="H3452" s="128">
        <v>628224</v>
      </c>
      <c r="I3452" s="128">
        <v>17661</v>
      </c>
    </row>
    <row r="3453" spans="1:9" ht="13.5">
      <c r="A3453" s="128">
        <v>2003</v>
      </c>
      <c r="B3453" s="128" t="s">
        <v>131</v>
      </c>
      <c r="C3453" s="128" t="s">
        <v>21</v>
      </c>
      <c r="D3453" s="128" t="s">
        <v>79</v>
      </c>
      <c r="E3453" s="128" t="s">
        <v>134</v>
      </c>
      <c r="F3453" s="128">
        <v>7031869</v>
      </c>
      <c r="G3453" s="128">
        <v>3049094</v>
      </c>
      <c r="H3453" s="128">
        <v>1062604</v>
      </c>
      <c r="I3453" s="128">
        <v>45004</v>
      </c>
    </row>
    <row r="3454" spans="1:9" ht="13.5">
      <c r="A3454" s="128">
        <v>2003</v>
      </c>
      <c r="B3454" s="128" t="s">
        <v>131</v>
      </c>
      <c r="C3454" s="128" t="s">
        <v>21</v>
      </c>
      <c r="D3454" s="128" t="s">
        <v>79</v>
      </c>
      <c r="E3454" s="128" t="s">
        <v>135</v>
      </c>
      <c r="F3454" s="128">
        <v>6783301</v>
      </c>
      <c r="G3454" s="128">
        <v>1872112</v>
      </c>
      <c r="H3454" s="128">
        <v>676177</v>
      </c>
      <c r="I3454" s="128">
        <v>17803</v>
      </c>
    </row>
    <row r="3455" spans="1:9" ht="13.5">
      <c r="A3455" s="128">
        <v>2003</v>
      </c>
      <c r="B3455" s="128" t="s">
        <v>131</v>
      </c>
      <c r="C3455" s="128" t="s">
        <v>21</v>
      </c>
      <c r="D3455" s="128" t="s">
        <v>79</v>
      </c>
      <c r="E3455" s="128" t="s">
        <v>136</v>
      </c>
      <c r="F3455" s="128">
        <v>11351525</v>
      </c>
      <c r="G3455" s="128">
        <v>8577823</v>
      </c>
      <c r="H3455" s="128">
        <v>2773388</v>
      </c>
      <c r="I3455" s="128">
        <v>153670</v>
      </c>
    </row>
    <row r="3456" spans="1:9" ht="13.5">
      <c r="A3456" s="128">
        <v>2003</v>
      </c>
      <c r="B3456" s="128" t="s">
        <v>131</v>
      </c>
      <c r="C3456" s="128" t="s">
        <v>21</v>
      </c>
      <c r="D3456" s="128" t="s">
        <v>76</v>
      </c>
      <c r="E3456" s="128" t="s">
        <v>132</v>
      </c>
      <c r="F3456" s="128">
        <v>19748301</v>
      </c>
      <c r="G3456" s="128">
        <v>12651374</v>
      </c>
      <c r="H3456" s="128">
        <v>7096926</v>
      </c>
      <c r="I3456" s="128">
        <v>239868</v>
      </c>
    </row>
    <row r="3457" spans="1:9" ht="13.5">
      <c r="A3457" s="128">
        <v>2003</v>
      </c>
      <c r="B3457" s="128" t="s">
        <v>131</v>
      </c>
      <c r="C3457" s="128" t="s">
        <v>21</v>
      </c>
      <c r="D3457" s="128" t="s">
        <v>76</v>
      </c>
      <c r="E3457" s="128" t="s">
        <v>133</v>
      </c>
      <c r="F3457" s="128">
        <v>43356290</v>
      </c>
      <c r="G3457" s="128">
        <v>24189454</v>
      </c>
      <c r="H3457" s="128">
        <v>19166838</v>
      </c>
      <c r="I3457" s="128">
        <v>311017</v>
      </c>
    </row>
    <row r="3458" spans="1:9" ht="13.5">
      <c r="A3458" s="128">
        <v>2003</v>
      </c>
      <c r="B3458" s="128" t="s">
        <v>131</v>
      </c>
      <c r="C3458" s="128" t="s">
        <v>21</v>
      </c>
      <c r="D3458" s="128" t="s">
        <v>76</v>
      </c>
      <c r="E3458" s="128" t="s">
        <v>134</v>
      </c>
      <c r="F3458" s="128">
        <v>22217183</v>
      </c>
      <c r="G3458" s="128">
        <v>10501835</v>
      </c>
      <c r="H3458" s="128">
        <v>11715348</v>
      </c>
      <c r="I3458" s="128">
        <v>171553</v>
      </c>
    </row>
    <row r="3459" spans="1:9" ht="13.5">
      <c r="A3459" s="128">
        <v>2003</v>
      </c>
      <c r="B3459" s="128" t="s">
        <v>131</v>
      </c>
      <c r="C3459" s="128" t="s">
        <v>21</v>
      </c>
      <c r="D3459" s="128" t="s">
        <v>76</v>
      </c>
      <c r="E3459" s="128" t="s">
        <v>135</v>
      </c>
      <c r="F3459" s="128">
        <v>2256571</v>
      </c>
      <c r="G3459" s="128">
        <v>658375</v>
      </c>
      <c r="H3459" s="128">
        <v>1598193</v>
      </c>
      <c r="I3459" s="128">
        <v>2240</v>
      </c>
    </row>
    <row r="3460" spans="1:9" ht="13.5">
      <c r="A3460" s="128">
        <v>2003</v>
      </c>
      <c r="B3460" s="128" t="s">
        <v>131</v>
      </c>
      <c r="C3460" s="128" t="s">
        <v>21</v>
      </c>
      <c r="D3460" s="128" t="s">
        <v>76</v>
      </c>
      <c r="E3460" s="128" t="s">
        <v>136</v>
      </c>
      <c r="F3460" s="128">
        <v>3012783</v>
      </c>
      <c r="G3460" s="128">
        <v>2306948</v>
      </c>
      <c r="H3460" s="128">
        <v>705854</v>
      </c>
      <c r="I3460" s="128">
        <v>49273</v>
      </c>
    </row>
    <row r="3461" spans="1:9" ht="13.5">
      <c r="A3461" s="128">
        <v>2003</v>
      </c>
      <c r="B3461" s="128" t="s">
        <v>131</v>
      </c>
      <c r="C3461" s="128" t="s">
        <v>24</v>
      </c>
      <c r="D3461" s="128" t="s">
        <v>77</v>
      </c>
      <c r="E3461" s="128" t="s">
        <v>132</v>
      </c>
      <c r="F3461" s="128">
        <v>570080</v>
      </c>
      <c r="G3461" s="128">
        <v>365861</v>
      </c>
      <c r="H3461" s="128">
        <v>156365</v>
      </c>
      <c r="I3461" s="128">
        <v>4574</v>
      </c>
    </row>
    <row r="3462" spans="1:9" ht="13.5">
      <c r="A3462" s="128">
        <v>2003</v>
      </c>
      <c r="B3462" s="128" t="s">
        <v>131</v>
      </c>
      <c r="C3462" s="128" t="s">
        <v>24</v>
      </c>
      <c r="D3462" s="128" t="s">
        <v>77</v>
      </c>
      <c r="E3462" s="128" t="s">
        <v>133</v>
      </c>
      <c r="F3462" s="128">
        <v>2183400</v>
      </c>
      <c r="G3462" s="128">
        <v>1169500</v>
      </c>
      <c r="H3462" s="128">
        <v>717731</v>
      </c>
      <c r="I3462" s="128">
        <v>7528</v>
      </c>
    </row>
    <row r="3463" spans="1:9" ht="13.5">
      <c r="A3463" s="128">
        <v>2003</v>
      </c>
      <c r="B3463" s="128" t="s">
        <v>131</v>
      </c>
      <c r="C3463" s="128" t="s">
        <v>24</v>
      </c>
      <c r="D3463" s="128" t="s">
        <v>77</v>
      </c>
      <c r="E3463" s="128" t="s">
        <v>134</v>
      </c>
      <c r="F3463" s="128">
        <v>4887320</v>
      </c>
      <c r="G3463" s="128">
        <v>2151567</v>
      </c>
      <c r="H3463" s="128">
        <v>1400841</v>
      </c>
      <c r="I3463" s="128">
        <v>28984</v>
      </c>
    </row>
    <row r="3464" spans="1:9" ht="13.5">
      <c r="A3464" s="128">
        <v>2003</v>
      </c>
      <c r="B3464" s="128" t="s">
        <v>131</v>
      </c>
      <c r="C3464" s="128" t="s">
        <v>24</v>
      </c>
      <c r="D3464" s="128" t="s">
        <v>77</v>
      </c>
      <c r="E3464" s="128" t="s">
        <v>135</v>
      </c>
      <c r="F3464" s="128">
        <v>3774955</v>
      </c>
      <c r="G3464" s="128">
        <v>1107571</v>
      </c>
      <c r="H3464" s="128">
        <v>774997</v>
      </c>
      <c r="I3464" s="128">
        <v>14310</v>
      </c>
    </row>
    <row r="3465" spans="1:9" ht="13.5">
      <c r="A3465" s="128">
        <v>2003</v>
      </c>
      <c r="B3465" s="128" t="s">
        <v>131</v>
      </c>
      <c r="C3465" s="128" t="s">
        <v>24</v>
      </c>
      <c r="D3465" s="128" t="s">
        <v>79</v>
      </c>
      <c r="E3465" s="128" t="s">
        <v>132</v>
      </c>
      <c r="F3465" s="128">
        <v>860228</v>
      </c>
      <c r="G3465" s="128">
        <v>563480</v>
      </c>
      <c r="H3465" s="128">
        <v>192108</v>
      </c>
      <c r="I3465" s="128">
        <v>5513</v>
      </c>
    </row>
    <row r="3466" spans="1:9" ht="13.5">
      <c r="A3466" s="128">
        <v>2003</v>
      </c>
      <c r="B3466" s="128" t="s">
        <v>131</v>
      </c>
      <c r="C3466" s="128" t="s">
        <v>24</v>
      </c>
      <c r="D3466" s="128" t="s">
        <v>79</v>
      </c>
      <c r="E3466" s="128" t="s">
        <v>133</v>
      </c>
      <c r="F3466" s="128">
        <v>1448065</v>
      </c>
      <c r="G3466" s="128">
        <v>797966</v>
      </c>
      <c r="H3466" s="128">
        <v>278228</v>
      </c>
      <c r="I3466" s="128">
        <v>15244</v>
      </c>
    </row>
    <row r="3467" spans="1:9" ht="13.5">
      <c r="A3467" s="128">
        <v>2003</v>
      </c>
      <c r="B3467" s="128" t="s">
        <v>131</v>
      </c>
      <c r="C3467" s="128" t="s">
        <v>24</v>
      </c>
      <c r="D3467" s="128" t="s">
        <v>79</v>
      </c>
      <c r="E3467" s="128" t="s">
        <v>134</v>
      </c>
      <c r="F3467" s="128">
        <v>1359287</v>
      </c>
      <c r="G3467" s="128">
        <v>592642</v>
      </c>
      <c r="H3467" s="128">
        <v>221800</v>
      </c>
      <c r="I3467" s="128">
        <v>7669</v>
      </c>
    </row>
    <row r="3468" spans="1:9" ht="13.5">
      <c r="A3468" s="128">
        <v>2003</v>
      </c>
      <c r="B3468" s="128" t="s">
        <v>131</v>
      </c>
      <c r="C3468" s="128" t="s">
        <v>24</v>
      </c>
      <c r="D3468" s="128" t="s">
        <v>79</v>
      </c>
      <c r="E3468" s="128" t="s">
        <v>135</v>
      </c>
      <c r="F3468" s="128">
        <v>1290043</v>
      </c>
      <c r="G3468" s="128">
        <v>344138</v>
      </c>
      <c r="H3468" s="128">
        <v>179073</v>
      </c>
      <c r="I3468" s="128">
        <v>2685</v>
      </c>
    </row>
    <row r="3469" spans="1:9" ht="13.5">
      <c r="A3469" s="128">
        <v>2003</v>
      </c>
      <c r="B3469" s="128" t="s">
        <v>131</v>
      </c>
      <c r="C3469" s="128" t="s">
        <v>24</v>
      </c>
      <c r="D3469" s="128" t="s">
        <v>79</v>
      </c>
      <c r="E3469" s="128" t="s">
        <v>136</v>
      </c>
      <c r="F3469" s="128">
        <v>1760170</v>
      </c>
      <c r="G3469" s="128">
        <v>1223731</v>
      </c>
      <c r="H3469" s="128">
        <v>536434</v>
      </c>
      <c r="I3469" s="128">
        <v>30672</v>
      </c>
    </row>
    <row r="3470" spans="1:9" ht="13.5">
      <c r="A3470" s="128">
        <v>2003</v>
      </c>
      <c r="B3470" s="128" t="s">
        <v>131</v>
      </c>
      <c r="C3470" s="128" t="s">
        <v>24</v>
      </c>
      <c r="D3470" s="128" t="s">
        <v>76</v>
      </c>
      <c r="E3470" s="128" t="s">
        <v>132</v>
      </c>
      <c r="F3470" s="128">
        <v>10142554</v>
      </c>
      <c r="G3470" s="128">
        <v>6401024</v>
      </c>
      <c r="H3470" s="128">
        <v>3741529</v>
      </c>
      <c r="I3470" s="128">
        <v>120903</v>
      </c>
    </row>
    <row r="3471" spans="1:9" ht="13.5">
      <c r="A3471" s="128">
        <v>2003</v>
      </c>
      <c r="B3471" s="128" t="s">
        <v>131</v>
      </c>
      <c r="C3471" s="128" t="s">
        <v>24</v>
      </c>
      <c r="D3471" s="128" t="s">
        <v>76</v>
      </c>
      <c r="E3471" s="128" t="s">
        <v>133</v>
      </c>
      <c r="F3471" s="128">
        <v>12826168</v>
      </c>
      <c r="G3471" s="128">
        <v>6962248</v>
      </c>
      <c r="H3471" s="128">
        <v>5863914</v>
      </c>
      <c r="I3471" s="128">
        <v>48789</v>
      </c>
    </row>
    <row r="3472" spans="1:9" ht="13.5">
      <c r="A3472" s="128">
        <v>2003</v>
      </c>
      <c r="B3472" s="128" t="s">
        <v>131</v>
      </c>
      <c r="C3472" s="128" t="s">
        <v>24</v>
      </c>
      <c r="D3472" s="128" t="s">
        <v>76</v>
      </c>
      <c r="E3472" s="128" t="s">
        <v>134</v>
      </c>
      <c r="F3472" s="128">
        <v>5708409</v>
      </c>
      <c r="G3472" s="128">
        <v>2711045</v>
      </c>
      <c r="H3472" s="128">
        <v>2997364</v>
      </c>
      <c r="I3472" s="128">
        <v>46391</v>
      </c>
    </row>
    <row r="3473" spans="1:9" ht="13.5">
      <c r="A3473" s="128">
        <v>2003</v>
      </c>
      <c r="B3473" s="128" t="s">
        <v>131</v>
      </c>
      <c r="C3473" s="128" t="s">
        <v>24</v>
      </c>
      <c r="D3473" s="128" t="s">
        <v>76</v>
      </c>
      <c r="E3473" s="128" t="s">
        <v>135</v>
      </c>
      <c r="F3473" s="128">
        <v>1526360</v>
      </c>
      <c r="G3473" s="128">
        <v>396153</v>
      </c>
      <c r="H3473" s="128">
        <v>1130206</v>
      </c>
      <c r="I3473" s="128">
        <v>1489</v>
      </c>
    </row>
    <row r="3474" spans="1:9" ht="13.5">
      <c r="A3474" s="128">
        <v>2003</v>
      </c>
      <c r="B3474" s="128" t="s">
        <v>131</v>
      </c>
      <c r="C3474" s="128" t="s">
        <v>24</v>
      </c>
      <c r="D3474" s="128" t="s">
        <v>76</v>
      </c>
      <c r="E3474" s="128" t="s">
        <v>136</v>
      </c>
      <c r="F3474" s="128">
        <v>1847386</v>
      </c>
      <c r="G3474" s="128">
        <v>1425129</v>
      </c>
      <c r="H3474" s="128">
        <v>422267</v>
      </c>
      <c r="I3474" s="128">
        <v>25841</v>
      </c>
    </row>
    <row r="3475" spans="1:9" ht="13.5">
      <c r="A3475" s="128">
        <v>2003</v>
      </c>
      <c r="B3475" s="128" t="s">
        <v>138</v>
      </c>
      <c r="C3475" s="128" t="s">
        <v>26</v>
      </c>
      <c r="D3475" s="128" t="s">
        <v>77</v>
      </c>
      <c r="E3475" s="128" t="s">
        <v>132</v>
      </c>
      <c r="F3475" s="128">
        <v>0</v>
      </c>
      <c r="G3475" s="128">
        <v>0</v>
      </c>
      <c r="H3475" s="128">
        <v>0</v>
      </c>
      <c r="I3475" s="128">
        <v>0</v>
      </c>
    </row>
    <row r="3476" spans="1:9" ht="13.5">
      <c r="A3476" s="128">
        <v>2003</v>
      </c>
      <c r="B3476" s="128" t="s">
        <v>138</v>
      </c>
      <c r="C3476" s="128" t="s">
        <v>26</v>
      </c>
      <c r="D3476" s="128" t="s">
        <v>77</v>
      </c>
      <c r="E3476" s="128" t="s">
        <v>133</v>
      </c>
      <c r="F3476" s="128">
        <v>0</v>
      </c>
      <c r="G3476" s="128">
        <v>0</v>
      </c>
      <c r="H3476" s="128">
        <v>0</v>
      </c>
      <c r="I3476" s="128">
        <v>0</v>
      </c>
    </row>
    <row r="3477" spans="1:9" ht="13.5">
      <c r="A3477" s="128">
        <v>2003</v>
      </c>
      <c r="B3477" s="128" t="s">
        <v>138</v>
      </c>
      <c r="C3477" s="128" t="s">
        <v>26</v>
      </c>
      <c r="D3477" s="128" t="s">
        <v>77</v>
      </c>
      <c r="E3477" s="128" t="s">
        <v>134</v>
      </c>
      <c r="F3477" s="128">
        <v>0</v>
      </c>
      <c r="G3477" s="128">
        <v>0</v>
      </c>
      <c r="H3477" s="128">
        <v>0</v>
      </c>
      <c r="I3477" s="128">
        <v>0</v>
      </c>
    </row>
    <row r="3478" spans="1:9" ht="13.5">
      <c r="A3478" s="128">
        <v>2003</v>
      </c>
      <c r="B3478" s="128" t="s">
        <v>138</v>
      </c>
      <c r="C3478" s="128" t="s">
        <v>26</v>
      </c>
      <c r="D3478" s="128" t="s">
        <v>77</v>
      </c>
      <c r="E3478" s="128" t="s">
        <v>135</v>
      </c>
      <c r="F3478" s="128">
        <v>0</v>
      </c>
      <c r="G3478" s="128">
        <v>0</v>
      </c>
      <c r="H3478" s="128">
        <v>0</v>
      </c>
      <c r="I3478" s="128">
        <v>0</v>
      </c>
    </row>
    <row r="3479" spans="1:9" ht="13.5">
      <c r="A3479" s="128">
        <v>2003</v>
      </c>
      <c r="B3479" s="128" t="s">
        <v>138</v>
      </c>
      <c r="C3479" s="128" t="s">
        <v>26</v>
      </c>
      <c r="D3479" s="128" t="s">
        <v>79</v>
      </c>
      <c r="E3479" s="128" t="s">
        <v>132</v>
      </c>
      <c r="F3479" s="128">
        <v>0</v>
      </c>
      <c r="G3479" s="128">
        <v>0</v>
      </c>
      <c r="H3479" s="128">
        <v>0</v>
      </c>
      <c r="I3479" s="128">
        <v>0</v>
      </c>
    </row>
    <row r="3480" spans="1:9" ht="13.5">
      <c r="A3480" s="128">
        <v>2003</v>
      </c>
      <c r="B3480" s="128" t="s">
        <v>138</v>
      </c>
      <c r="C3480" s="128" t="s">
        <v>26</v>
      </c>
      <c r="D3480" s="128" t="s">
        <v>79</v>
      </c>
      <c r="E3480" s="128" t="s">
        <v>133</v>
      </c>
      <c r="F3480" s="128">
        <v>0</v>
      </c>
      <c r="G3480" s="128">
        <v>0</v>
      </c>
      <c r="H3480" s="128">
        <v>0</v>
      </c>
      <c r="I3480" s="128">
        <v>0</v>
      </c>
    </row>
    <row r="3481" spans="1:9" ht="13.5">
      <c r="A3481" s="128">
        <v>2003</v>
      </c>
      <c r="B3481" s="128" t="s">
        <v>138</v>
      </c>
      <c r="C3481" s="128" t="s">
        <v>26</v>
      </c>
      <c r="D3481" s="128" t="s">
        <v>79</v>
      </c>
      <c r="E3481" s="128" t="s">
        <v>134</v>
      </c>
      <c r="F3481" s="128">
        <v>0</v>
      </c>
      <c r="G3481" s="128">
        <v>0</v>
      </c>
      <c r="H3481" s="128">
        <v>0</v>
      </c>
      <c r="I3481" s="128">
        <v>0</v>
      </c>
    </row>
    <row r="3482" spans="1:9" ht="13.5">
      <c r="A3482" s="128">
        <v>2003</v>
      </c>
      <c r="B3482" s="128" t="s">
        <v>138</v>
      </c>
      <c r="C3482" s="128" t="s">
        <v>26</v>
      </c>
      <c r="D3482" s="128" t="s">
        <v>79</v>
      </c>
      <c r="E3482" s="128" t="s">
        <v>135</v>
      </c>
      <c r="F3482" s="128">
        <v>0</v>
      </c>
      <c r="G3482" s="128">
        <v>0</v>
      </c>
      <c r="H3482" s="128">
        <v>0</v>
      </c>
      <c r="I3482" s="128">
        <v>0</v>
      </c>
    </row>
    <row r="3483" spans="1:9" ht="13.5">
      <c r="A3483" s="128">
        <v>2003</v>
      </c>
      <c r="B3483" s="128" t="s">
        <v>138</v>
      </c>
      <c r="C3483" s="128" t="s">
        <v>26</v>
      </c>
      <c r="D3483" s="128" t="s">
        <v>79</v>
      </c>
      <c r="E3483" s="128" t="s">
        <v>136</v>
      </c>
      <c r="F3483" s="128">
        <v>0</v>
      </c>
      <c r="G3483" s="128">
        <v>0</v>
      </c>
      <c r="H3483" s="128">
        <v>0</v>
      </c>
      <c r="I3483" s="128">
        <v>0</v>
      </c>
    </row>
    <row r="3484" spans="1:9" ht="13.5">
      <c r="A3484" s="128">
        <v>2003</v>
      </c>
      <c r="B3484" s="128" t="s">
        <v>138</v>
      </c>
      <c r="C3484" s="128" t="s">
        <v>26</v>
      </c>
      <c r="D3484" s="128" t="s">
        <v>76</v>
      </c>
      <c r="E3484" s="128" t="s">
        <v>132</v>
      </c>
      <c r="F3484" s="128">
        <v>0</v>
      </c>
      <c r="G3484" s="128">
        <v>0</v>
      </c>
      <c r="H3484" s="128">
        <v>0</v>
      </c>
      <c r="I3484" s="128">
        <v>0</v>
      </c>
    </row>
    <row r="3485" spans="1:9" ht="13.5">
      <c r="A3485" s="128">
        <v>2003</v>
      </c>
      <c r="B3485" s="128" t="s">
        <v>138</v>
      </c>
      <c r="C3485" s="128" t="s">
        <v>26</v>
      </c>
      <c r="D3485" s="128" t="s">
        <v>76</v>
      </c>
      <c r="E3485" s="128" t="s">
        <v>133</v>
      </c>
      <c r="F3485" s="128">
        <v>0</v>
      </c>
      <c r="G3485" s="128">
        <v>0</v>
      </c>
      <c r="H3485" s="128">
        <v>0</v>
      </c>
      <c r="I3485" s="128">
        <v>0</v>
      </c>
    </row>
    <row r="3486" spans="1:9" ht="13.5">
      <c r="A3486" s="128">
        <v>2003</v>
      </c>
      <c r="B3486" s="128" t="s">
        <v>138</v>
      </c>
      <c r="C3486" s="128" t="s">
        <v>26</v>
      </c>
      <c r="D3486" s="128" t="s">
        <v>76</v>
      </c>
      <c r="E3486" s="128" t="s">
        <v>134</v>
      </c>
      <c r="F3486" s="128">
        <v>0</v>
      </c>
      <c r="G3486" s="128">
        <v>0</v>
      </c>
      <c r="H3486" s="128">
        <v>0</v>
      </c>
      <c r="I3486" s="128">
        <v>0</v>
      </c>
    </row>
    <row r="3487" spans="1:9" ht="13.5">
      <c r="A3487" s="128">
        <v>2003</v>
      </c>
      <c r="B3487" s="128" t="s">
        <v>138</v>
      </c>
      <c r="C3487" s="128" t="s">
        <v>26</v>
      </c>
      <c r="D3487" s="128" t="s">
        <v>76</v>
      </c>
      <c r="E3487" s="128" t="s">
        <v>135</v>
      </c>
      <c r="F3487" s="128">
        <v>0</v>
      </c>
      <c r="G3487" s="128">
        <v>0</v>
      </c>
      <c r="H3487" s="128">
        <v>0</v>
      </c>
      <c r="I3487" s="128">
        <v>0</v>
      </c>
    </row>
    <row r="3488" spans="1:9" ht="13.5">
      <c r="A3488" s="128">
        <v>2003</v>
      </c>
      <c r="B3488" s="128" t="s">
        <v>138</v>
      </c>
      <c r="C3488" s="128" t="s">
        <v>26</v>
      </c>
      <c r="D3488" s="128" t="s">
        <v>76</v>
      </c>
      <c r="E3488" s="128" t="s">
        <v>136</v>
      </c>
      <c r="F3488" s="128">
        <v>0</v>
      </c>
      <c r="G3488" s="128">
        <v>0</v>
      </c>
      <c r="H3488" s="128">
        <v>0</v>
      </c>
      <c r="I3488" s="128">
        <v>0</v>
      </c>
    </row>
    <row r="3489" spans="1:9" ht="13.5">
      <c r="A3489" s="128">
        <v>2003</v>
      </c>
      <c r="B3489" s="128" t="s">
        <v>138</v>
      </c>
      <c r="C3489" s="128" t="s">
        <v>20</v>
      </c>
      <c r="D3489" s="128" t="s">
        <v>77</v>
      </c>
      <c r="E3489" s="128" t="s">
        <v>132</v>
      </c>
      <c r="F3489" s="128">
        <v>708377</v>
      </c>
      <c r="G3489" s="128">
        <v>457548</v>
      </c>
      <c r="H3489" s="128">
        <v>195070</v>
      </c>
      <c r="I3489" s="128">
        <v>4616</v>
      </c>
    </row>
    <row r="3490" spans="1:9" ht="13.5">
      <c r="A3490" s="128">
        <v>2003</v>
      </c>
      <c r="B3490" s="128" t="s">
        <v>138</v>
      </c>
      <c r="C3490" s="128" t="s">
        <v>20</v>
      </c>
      <c r="D3490" s="128" t="s">
        <v>77</v>
      </c>
      <c r="E3490" s="128" t="s">
        <v>133</v>
      </c>
      <c r="F3490" s="128">
        <v>1265439</v>
      </c>
      <c r="G3490" s="128">
        <v>689354</v>
      </c>
      <c r="H3490" s="128">
        <v>410337</v>
      </c>
      <c r="I3490" s="128">
        <v>7458</v>
      </c>
    </row>
    <row r="3491" spans="1:9" ht="13.5">
      <c r="A3491" s="128">
        <v>2003</v>
      </c>
      <c r="B3491" s="128" t="s">
        <v>138</v>
      </c>
      <c r="C3491" s="128" t="s">
        <v>20</v>
      </c>
      <c r="D3491" s="128" t="s">
        <v>77</v>
      </c>
      <c r="E3491" s="128" t="s">
        <v>134</v>
      </c>
      <c r="F3491" s="128">
        <v>2095608</v>
      </c>
      <c r="G3491" s="128">
        <v>908958</v>
      </c>
      <c r="H3491" s="128">
        <v>739449</v>
      </c>
      <c r="I3491" s="128">
        <v>9000</v>
      </c>
    </row>
    <row r="3492" spans="1:9" ht="13.5">
      <c r="A3492" s="128">
        <v>2003</v>
      </c>
      <c r="B3492" s="128" t="s">
        <v>138</v>
      </c>
      <c r="C3492" s="128" t="s">
        <v>20</v>
      </c>
      <c r="D3492" s="128" t="s">
        <v>77</v>
      </c>
      <c r="E3492" s="128" t="s">
        <v>135</v>
      </c>
      <c r="F3492" s="128">
        <v>2446797</v>
      </c>
      <c r="G3492" s="128">
        <v>702821</v>
      </c>
      <c r="H3492" s="128">
        <v>614080</v>
      </c>
      <c r="I3492" s="128">
        <v>7791</v>
      </c>
    </row>
    <row r="3493" spans="1:9" ht="13.5">
      <c r="A3493" s="128">
        <v>2003</v>
      </c>
      <c r="B3493" s="128" t="s">
        <v>138</v>
      </c>
      <c r="C3493" s="128" t="s">
        <v>20</v>
      </c>
      <c r="D3493" s="128" t="s">
        <v>79</v>
      </c>
      <c r="E3493" s="128" t="s">
        <v>132</v>
      </c>
      <c r="F3493" s="128">
        <v>5235704</v>
      </c>
      <c r="G3493" s="128">
        <v>3482911</v>
      </c>
      <c r="H3493" s="128">
        <v>1148676</v>
      </c>
      <c r="I3493" s="128">
        <v>40482</v>
      </c>
    </row>
    <row r="3494" spans="1:9" ht="13.5">
      <c r="A3494" s="128">
        <v>2003</v>
      </c>
      <c r="B3494" s="128" t="s">
        <v>138</v>
      </c>
      <c r="C3494" s="128" t="s">
        <v>20</v>
      </c>
      <c r="D3494" s="128" t="s">
        <v>79</v>
      </c>
      <c r="E3494" s="128" t="s">
        <v>133</v>
      </c>
      <c r="F3494" s="128">
        <v>7492567</v>
      </c>
      <c r="G3494" s="128">
        <v>4087368</v>
      </c>
      <c r="H3494" s="128">
        <v>1361577</v>
      </c>
      <c r="I3494" s="128">
        <v>46146</v>
      </c>
    </row>
    <row r="3495" spans="1:9" ht="13.5">
      <c r="A3495" s="128">
        <v>2003</v>
      </c>
      <c r="B3495" s="128" t="s">
        <v>138</v>
      </c>
      <c r="C3495" s="128" t="s">
        <v>20</v>
      </c>
      <c r="D3495" s="128" t="s">
        <v>79</v>
      </c>
      <c r="E3495" s="128" t="s">
        <v>134</v>
      </c>
      <c r="F3495" s="128">
        <v>22147605</v>
      </c>
      <c r="G3495" s="128">
        <v>9455145</v>
      </c>
      <c r="H3495" s="128">
        <v>3167771</v>
      </c>
      <c r="I3495" s="128">
        <v>92843</v>
      </c>
    </row>
    <row r="3496" spans="1:9" ht="13.5">
      <c r="A3496" s="128">
        <v>2003</v>
      </c>
      <c r="B3496" s="128" t="s">
        <v>138</v>
      </c>
      <c r="C3496" s="128" t="s">
        <v>20</v>
      </c>
      <c r="D3496" s="128" t="s">
        <v>79</v>
      </c>
      <c r="E3496" s="128" t="s">
        <v>135</v>
      </c>
      <c r="F3496" s="128">
        <v>39582930</v>
      </c>
      <c r="G3496" s="128">
        <v>11282622</v>
      </c>
      <c r="H3496" s="128">
        <v>3860220</v>
      </c>
      <c r="I3496" s="128">
        <v>98664</v>
      </c>
    </row>
    <row r="3497" spans="1:9" ht="13.5">
      <c r="A3497" s="128">
        <v>2003</v>
      </c>
      <c r="B3497" s="128" t="s">
        <v>138</v>
      </c>
      <c r="C3497" s="128" t="s">
        <v>20</v>
      </c>
      <c r="D3497" s="128" t="s">
        <v>79</v>
      </c>
      <c r="E3497" s="128" t="s">
        <v>136</v>
      </c>
      <c r="F3497" s="128">
        <v>22698780</v>
      </c>
      <c r="G3497" s="128">
        <v>17238697</v>
      </c>
      <c r="H3497" s="128">
        <v>5459998</v>
      </c>
      <c r="I3497" s="128">
        <v>371683</v>
      </c>
    </row>
    <row r="3498" spans="1:9" ht="13.5">
      <c r="A3498" s="128">
        <v>2003</v>
      </c>
      <c r="B3498" s="128" t="s">
        <v>138</v>
      </c>
      <c r="C3498" s="128" t="s">
        <v>20</v>
      </c>
      <c r="D3498" s="128" t="s">
        <v>76</v>
      </c>
      <c r="E3498" s="128" t="s">
        <v>132</v>
      </c>
      <c r="F3498" s="128">
        <v>24521136</v>
      </c>
      <c r="G3498" s="128">
        <v>15718365</v>
      </c>
      <c r="H3498" s="128">
        <v>8802770</v>
      </c>
      <c r="I3498" s="128">
        <v>302164</v>
      </c>
    </row>
    <row r="3499" spans="1:9" ht="13.5">
      <c r="A3499" s="128">
        <v>2003</v>
      </c>
      <c r="B3499" s="128" t="s">
        <v>138</v>
      </c>
      <c r="C3499" s="128" t="s">
        <v>20</v>
      </c>
      <c r="D3499" s="128" t="s">
        <v>76</v>
      </c>
      <c r="E3499" s="128" t="s">
        <v>133</v>
      </c>
      <c r="F3499" s="128">
        <v>32057051</v>
      </c>
      <c r="G3499" s="128">
        <v>17505273</v>
      </c>
      <c r="H3499" s="128">
        <v>14551776</v>
      </c>
      <c r="I3499" s="128">
        <v>147239</v>
      </c>
    </row>
    <row r="3500" spans="1:9" ht="13.5">
      <c r="A3500" s="128">
        <v>2003</v>
      </c>
      <c r="B3500" s="128" t="s">
        <v>138</v>
      </c>
      <c r="C3500" s="128" t="s">
        <v>20</v>
      </c>
      <c r="D3500" s="128" t="s">
        <v>76</v>
      </c>
      <c r="E3500" s="128" t="s">
        <v>134</v>
      </c>
      <c r="F3500" s="128">
        <v>15841703</v>
      </c>
      <c r="G3500" s="128">
        <v>7583594</v>
      </c>
      <c r="H3500" s="128">
        <v>8258109</v>
      </c>
      <c r="I3500" s="128">
        <v>125139</v>
      </c>
    </row>
    <row r="3501" spans="1:9" ht="13.5">
      <c r="A3501" s="128">
        <v>2003</v>
      </c>
      <c r="B3501" s="128" t="s">
        <v>138</v>
      </c>
      <c r="C3501" s="128" t="s">
        <v>20</v>
      </c>
      <c r="D3501" s="128" t="s">
        <v>76</v>
      </c>
      <c r="E3501" s="128" t="s">
        <v>135</v>
      </c>
      <c r="F3501" s="128">
        <v>3826513</v>
      </c>
      <c r="G3501" s="128">
        <v>1110153</v>
      </c>
      <c r="H3501" s="128">
        <v>2716362</v>
      </c>
      <c r="I3501" s="128">
        <v>3982</v>
      </c>
    </row>
    <row r="3502" spans="1:9" ht="13.5">
      <c r="A3502" s="128">
        <v>2003</v>
      </c>
      <c r="B3502" s="128" t="s">
        <v>138</v>
      </c>
      <c r="C3502" s="128" t="s">
        <v>20</v>
      </c>
      <c r="D3502" s="128" t="s">
        <v>76</v>
      </c>
      <c r="E3502" s="128" t="s">
        <v>136</v>
      </c>
      <c r="F3502" s="128">
        <v>1912557</v>
      </c>
      <c r="G3502" s="128">
        <v>1465604</v>
      </c>
      <c r="H3502" s="128">
        <v>446971</v>
      </c>
      <c r="I3502" s="128">
        <v>31626</v>
      </c>
    </row>
    <row r="3503" spans="1:9" ht="13.5">
      <c r="A3503" s="128">
        <v>2003</v>
      </c>
      <c r="B3503" s="128" t="s">
        <v>138</v>
      </c>
      <c r="C3503" s="128" t="s">
        <v>27</v>
      </c>
      <c r="D3503" s="128" t="s">
        <v>77</v>
      </c>
      <c r="E3503" s="128" t="s">
        <v>132</v>
      </c>
      <c r="F3503" s="128">
        <v>2749</v>
      </c>
      <c r="G3503" s="128">
        <v>1904</v>
      </c>
      <c r="H3503" s="128">
        <v>785</v>
      </c>
      <c r="I3503" s="128">
        <v>18</v>
      </c>
    </row>
    <row r="3504" spans="1:9" ht="13.5">
      <c r="A3504" s="128">
        <v>2003</v>
      </c>
      <c r="B3504" s="128" t="s">
        <v>138</v>
      </c>
      <c r="C3504" s="128" t="s">
        <v>27</v>
      </c>
      <c r="D3504" s="128" t="s">
        <v>77</v>
      </c>
      <c r="E3504" s="128" t="s">
        <v>133</v>
      </c>
      <c r="F3504" s="128">
        <v>18086</v>
      </c>
      <c r="G3504" s="128">
        <v>9877</v>
      </c>
      <c r="H3504" s="128">
        <v>6243</v>
      </c>
      <c r="I3504" s="128">
        <v>80</v>
      </c>
    </row>
    <row r="3505" spans="1:9" ht="13.5">
      <c r="A3505" s="128">
        <v>2003</v>
      </c>
      <c r="B3505" s="128" t="s">
        <v>138</v>
      </c>
      <c r="C3505" s="128" t="s">
        <v>27</v>
      </c>
      <c r="D3505" s="128" t="s">
        <v>77</v>
      </c>
      <c r="E3505" s="128" t="s">
        <v>134</v>
      </c>
      <c r="F3505" s="128">
        <v>38898</v>
      </c>
      <c r="G3505" s="128">
        <v>17061</v>
      </c>
      <c r="H3505" s="128">
        <v>13353</v>
      </c>
      <c r="I3505" s="128">
        <v>153</v>
      </c>
    </row>
    <row r="3506" spans="1:9" ht="13.5">
      <c r="A3506" s="128">
        <v>2003</v>
      </c>
      <c r="B3506" s="128" t="s">
        <v>138</v>
      </c>
      <c r="C3506" s="128" t="s">
        <v>27</v>
      </c>
      <c r="D3506" s="128" t="s">
        <v>77</v>
      </c>
      <c r="E3506" s="128" t="s">
        <v>135</v>
      </c>
      <c r="F3506" s="128">
        <v>42557</v>
      </c>
      <c r="G3506" s="128">
        <v>11595</v>
      </c>
      <c r="H3506" s="128">
        <v>13742</v>
      </c>
      <c r="I3506" s="128">
        <v>94</v>
      </c>
    </row>
    <row r="3507" spans="1:9" ht="13.5">
      <c r="A3507" s="128">
        <v>2003</v>
      </c>
      <c r="B3507" s="128" t="s">
        <v>138</v>
      </c>
      <c r="C3507" s="128" t="s">
        <v>27</v>
      </c>
      <c r="D3507" s="128" t="s">
        <v>79</v>
      </c>
      <c r="E3507" s="128" t="s">
        <v>132</v>
      </c>
      <c r="F3507" s="128">
        <v>81186</v>
      </c>
      <c r="G3507" s="128">
        <v>56051</v>
      </c>
      <c r="H3507" s="128">
        <v>18593</v>
      </c>
      <c r="I3507" s="128">
        <v>434</v>
      </c>
    </row>
    <row r="3508" spans="1:9" ht="13.5">
      <c r="A3508" s="128">
        <v>2003</v>
      </c>
      <c r="B3508" s="128" t="s">
        <v>138</v>
      </c>
      <c r="C3508" s="128" t="s">
        <v>27</v>
      </c>
      <c r="D3508" s="128" t="s">
        <v>79</v>
      </c>
      <c r="E3508" s="128" t="s">
        <v>133</v>
      </c>
      <c r="F3508" s="128">
        <v>73420</v>
      </c>
      <c r="G3508" s="128">
        <v>40022</v>
      </c>
      <c r="H3508" s="128">
        <v>13608</v>
      </c>
      <c r="I3508" s="128">
        <v>468</v>
      </c>
    </row>
    <row r="3509" spans="1:9" ht="13.5">
      <c r="A3509" s="128">
        <v>2003</v>
      </c>
      <c r="B3509" s="128" t="s">
        <v>138</v>
      </c>
      <c r="C3509" s="128" t="s">
        <v>27</v>
      </c>
      <c r="D3509" s="128" t="s">
        <v>79</v>
      </c>
      <c r="E3509" s="128" t="s">
        <v>134</v>
      </c>
      <c r="F3509" s="128">
        <v>204151</v>
      </c>
      <c r="G3509" s="128">
        <v>87867</v>
      </c>
      <c r="H3509" s="128">
        <v>28885</v>
      </c>
      <c r="I3509" s="128">
        <v>960</v>
      </c>
    </row>
    <row r="3510" spans="1:9" ht="13.5">
      <c r="A3510" s="128">
        <v>2003</v>
      </c>
      <c r="B3510" s="128" t="s">
        <v>138</v>
      </c>
      <c r="C3510" s="128" t="s">
        <v>27</v>
      </c>
      <c r="D3510" s="128" t="s">
        <v>79</v>
      </c>
      <c r="E3510" s="128" t="s">
        <v>135</v>
      </c>
      <c r="F3510" s="128">
        <v>382896</v>
      </c>
      <c r="G3510" s="128">
        <v>113442</v>
      </c>
      <c r="H3510" s="128">
        <v>38795</v>
      </c>
      <c r="I3510" s="128">
        <v>862</v>
      </c>
    </row>
    <row r="3511" spans="1:9" ht="13.5">
      <c r="A3511" s="128">
        <v>2003</v>
      </c>
      <c r="B3511" s="128" t="s">
        <v>138</v>
      </c>
      <c r="C3511" s="128" t="s">
        <v>27</v>
      </c>
      <c r="D3511" s="128" t="s">
        <v>79</v>
      </c>
      <c r="E3511" s="128" t="s">
        <v>136</v>
      </c>
      <c r="F3511" s="128">
        <v>268696</v>
      </c>
      <c r="G3511" s="128">
        <v>203523</v>
      </c>
      <c r="H3511" s="128">
        <v>65173</v>
      </c>
      <c r="I3511" s="128">
        <v>3726</v>
      </c>
    </row>
    <row r="3512" spans="1:9" ht="13.5">
      <c r="A3512" s="128">
        <v>2003</v>
      </c>
      <c r="B3512" s="128" t="s">
        <v>138</v>
      </c>
      <c r="C3512" s="128" t="s">
        <v>27</v>
      </c>
      <c r="D3512" s="128" t="s">
        <v>76</v>
      </c>
      <c r="E3512" s="128" t="s">
        <v>132</v>
      </c>
      <c r="F3512" s="128">
        <v>312770</v>
      </c>
      <c r="G3512" s="128">
        <v>199394</v>
      </c>
      <c r="H3512" s="128">
        <v>113377</v>
      </c>
      <c r="I3512" s="128">
        <v>3881</v>
      </c>
    </row>
    <row r="3513" spans="1:9" ht="13.5">
      <c r="A3513" s="128">
        <v>2003</v>
      </c>
      <c r="B3513" s="128" t="s">
        <v>138</v>
      </c>
      <c r="C3513" s="128" t="s">
        <v>27</v>
      </c>
      <c r="D3513" s="128" t="s">
        <v>76</v>
      </c>
      <c r="E3513" s="128" t="s">
        <v>133</v>
      </c>
      <c r="F3513" s="128">
        <v>522693</v>
      </c>
      <c r="G3513" s="128">
        <v>284553</v>
      </c>
      <c r="H3513" s="128">
        <v>238139</v>
      </c>
      <c r="I3513" s="128">
        <v>2710</v>
      </c>
    </row>
    <row r="3514" spans="1:9" ht="13.5">
      <c r="A3514" s="128">
        <v>2003</v>
      </c>
      <c r="B3514" s="128" t="s">
        <v>138</v>
      </c>
      <c r="C3514" s="128" t="s">
        <v>27</v>
      </c>
      <c r="D3514" s="128" t="s">
        <v>76</v>
      </c>
      <c r="E3514" s="128" t="s">
        <v>134</v>
      </c>
      <c r="F3514" s="128">
        <v>310830</v>
      </c>
      <c r="G3514" s="128">
        <v>147011</v>
      </c>
      <c r="H3514" s="128">
        <v>163820</v>
      </c>
      <c r="I3514" s="128">
        <v>2195</v>
      </c>
    </row>
    <row r="3515" spans="1:9" ht="13.5">
      <c r="A3515" s="128">
        <v>2003</v>
      </c>
      <c r="B3515" s="128" t="s">
        <v>138</v>
      </c>
      <c r="C3515" s="128" t="s">
        <v>27</v>
      </c>
      <c r="D3515" s="128" t="s">
        <v>76</v>
      </c>
      <c r="E3515" s="128" t="s">
        <v>135</v>
      </c>
      <c r="F3515" s="128">
        <v>106517</v>
      </c>
      <c r="G3515" s="128">
        <v>30292</v>
      </c>
      <c r="H3515" s="128">
        <v>76225</v>
      </c>
      <c r="I3515" s="128">
        <v>105</v>
      </c>
    </row>
    <row r="3516" spans="1:9" ht="13.5">
      <c r="A3516" s="128">
        <v>2003</v>
      </c>
      <c r="B3516" s="128" t="s">
        <v>138</v>
      </c>
      <c r="C3516" s="128" t="s">
        <v>27</v>
      </c>
      <c r="D3516" s="128" t="s">
        <v>76</v>
      </c>
      <c r="E3516" s="128" t="s">
        <v>136</v>
      </c>
      <c r="F3516" s="128">
        <v>37800</v>
      </c>
      <c r="G3516" s="128">
        <v>28612</v>
      </c>
      <c r="H3516" s="128">
        <v>9186</v>
      </c>
      <c r="I3516" s="128">
        <v>521</v>
      </c>
    </row>
    <row r="3517" spans="1:9" ht="13.5">
      <c r="A3517" s="128">
        <v>2003</v>
      </c>
      <c r="B3517" s="128" t="s">
        <v>138</v>
      </c>
      <c r="C3517" s="128" t="s">
        <v>22</v>
      </c>
      <c r="D3517" s="128" t="s">
        <v>77</v>
      </c>
      <c r="E3517" s="128" t="s">
        <v>132</v>
      </c>
      <c r="F3517" s="128">
        <v>443804</v>
      </c>
      <c r="G3517" s="128">
        <v>289715</v>
      </c>
      <c r="H3517" s="128">
        <v>126974</v>
      </c>
      <c r="I3517" s="128">
        <v>3182</v>
      </c>
    </row>
    <row r="3518" spans="1:9" ht="13.5">
      <c r="A3518" s="128">
        <v>2003</v>
      </c>
      <c r="B3518" s="128" t="s">
        <v>138</v>
      </c>
      <c r="C3518" s="128" t="s">
        <v>22</v>
      </c>
      <c r="D3518" s="128" t="s">
        <v>77</v>
      </c>
      <c r="E3518" s="128" t="s">
        <v>133</v>
      </c>
      <c r="F3518" s="128">
        <v>999963</v>
      </c>
      <c r="G3518" s="128">
        <v>543142</v>
      </c>
      <c r="H3518" s="128">
        <v>340973</v>
      </c>
      <c r="I3518" s="128">
        <v>4520</v>
      </c>
    </row>
    <row r="3519" spans="1:9" ht="13.5">
      <c r="A3519" s="128">
        <v>2003</v>
      </c>
      <c r="B3519" s="128" t="s">
        <v>138</v>
      </c>
      <c r="C3519" s="128" t="s">
        <v>22</v>
      </c>
      <c r="D3519" s="128" t="s">
        <v>77</v>
      </c>
      <c r="E3519" s="128" t="s">
        <v>134</v>
      </c>
      <c r="F3519" s="128">
        <v>3009908</v>
      </c>
      <c r="G3519" s="128">
        <v>1280468</v>
      </c>
      <c r="H3519" s="128">
        <v>1135162</v>
      </c>
      <c r="I3519" s="128">
        <v>9916</v>
      </c>
    </row>
    <row r="3520" spans="1:9" ht="13.5">
      <c r="A3520" s="128">
        <v>2003</v>
      </c>
      <c r="B3520" s="128" t="s">
        <v>138</v>
      </c>
      <c r="C3520" s="128" t="s">
        <v>22</v>
      </c>
      <c r="D3520" s="128" t="s">
        <v>77</v>
      </c>
      <c r="E3520" s="128" t="s">
        <v>135</v>
      </c>
      <c r="F3520" s="128">
        <v>2539883</v>
      </c>
      <c r="G3520" s="128">
        <v>717296</v>
      </c>
      <c r="H3520" s="128">
        <v>747613</v>
      </c>
      <c r="I3520" s="128">
        <v>8498</v>
      </c>
    </row>
    <row r="3521" spans="1:9" ht="13.5">
      <c r="A3521" s="128">
        <v>2003</v>
      </c>
      <c r="B3521" s="128" t="s">
        <v>138</v>
      </c>
      <c r="C3521" s="128" t="s">
        <v>22</v>
      </c>
      <c r="D3521" s="128" t="s">
        <v>79</v>
      </c>
      <c r="E3521" s="128" t="s">
        <v>132</v>
      </c>
      <c r="F3521" s="128">
        <v>3766804</v>
      </c>
      <c r="G3521" s="128">
        <v>2509356</v>
      </c>
      <c r="H3521" s="128">
        <v>853922</v>
      </c>
      <c r="I3521" s="128">
        <v>26305</v>
      </c>
    </row>
    <row r="3522" spans="1:9" ht="13.5">
      <c r="A3522" s="128">
        <v>2003</v>
      </c>
      <c r="B3522" s="128" t="s">
        <v>138</v>
      </c>
      <c r="C3522" s="128" t="s">
        <v>22</v>
      </c>
      <c r="D3522" s="128" t="s">
        <v>79</v>
      </c>
      <c r="E3522" s="128" t="s">
        <v>133</v>
      </c>
      <c r="F3522" s="128">
        <v>5562462</v>
      </c>
      <c r="G3522" s="128">
        <v>3066283</v>
      </c>
      <c r="H3522" s="128">
        <v>1047423</v>
      </c>
      <c r="I3522" s="128">
        <v>34821</v>
      </c>
    </row>
    <row r="3523" spans="1:9" ht="13.5">
      <c r="A3523" s="128">
        <v>2003</v>
      </c>
      <c r="B3523" s="128" t="s">
        <v>138</v>
      </c>
      <c r="C3523" s="128" t="s">
        <v>22</v>
      </c>
      <c r="D3523" s="128" t="s">
        <v>79</v>
      </c>
      <c r="E3523" s="128" t="s">
        <v>134</v>
      </c>
      <c r="F3523" s="128">
        <v>10583066</v>
      </c>
      <c r="G3523" s="128">
        <v>4556481</v>
      </c>
      <c r="H3523" s="128">
        <v>1515585</v>
      </c>
      <c r="I3523" s="128">
        <v>48551</v>
      </c>
    </row>
    <row r="3524" spans="1:9" ht="13.5">
      <c r="A3524" s="128">
        <v>2003</v>
      </c>
      <c r="B3524" s="128" t="s">
        <v>138</v>
      </c>
      <c r="C3524" s="128" t="s">
        <v>22</v>
      </c>
      <c r="D3524" s="128" t="s">
        <v>79</v>
      </c>
      <c r="E3524" s="128" t="s">
        <v>135</v>
      </c>
      <c r="F3524" s="128">
        <v>10178015</v>
      </c>
      <c r="G3524" s="128">
        <v>3032752</v>
      </c>
      <c r="H3524" s="128">
        <v>1018532</v>
      </c>
      <c r="I3524" s="128">
        <v>29515</v>
      </c>
    </row>
    <row r="3525" spans="1:9" ht="13.5">
      <c r="A3525" s="128">
        <v>2003</v>
      </c>
      <c r="B3525" s="128" t="s">
        <v>138</v>
      </c>
      <c r="C3525" s="128" t="s">
        <v>22</v>
      </c>
      <c r="D3525" s="128" t="s">
        <v>79</v>
      </c>
      <c r="E3525" s="128" t="s">
        <v>136</v>
      </c>
      <c r="F3525" s="128">
        <v>8979114</v>
      </c>
      <c r="G3525" s="128">
        <v>6824666</v>
      </c>
      <c r="H3525" s="128">
        <v>2154445</v>
      </c>
      <c r="I3525" s="128">
        <v>124782</v>
      </c>
    </row>
    <row r="3526" spans="1:9" ht="13.5">
      <c r="A3526" s="128">
        <v>2003</v>
      </c>
      <c r="B3526" s="128" t="s">
        <v>138</v>
      </c>
      <c r="C3526" s="128" t="s">
        <v>22</v>
      </c>
      <c r="D3526" s="128" t="s">
        <v>76</v>
      </c>
      <c r="E3526" s="128" t="s">
        <v>132</v>
      </c>
      <c r="F3526" s="128">
        <v>20346476</v>
      </c>
      <c r="G3526" s="128">
        <v>13061785</v>
      </c>
      <c r="H3526" s="128">
        <v>7284691</v>
      </c>
      <c r="I3526" s="128">
        <v>300669</v>
      </c>
    </row>
    <row r="3527" spans="1:9" ht="13.5">
      <c r="A3527" s="128">
        <v>2003</v>
      </c>
      <c r="B3527" s="128" t="s">
        <v>138</v>
      </c>
      <c r="C3527" s="128" t="s">
        <v>22</v>
      </c>
      <c r="D3527" s="128" t="s">
        <v>76</v>
      </c>
      <c r="E3527" s="128" t="s">
        <v>133</v>
      </c>
      <c r="F3527" s="128">
        <v>26681160</v>
      </c>
      <c r="G3527" s="128">
        <v>14605662</v>
      </c>
      <c r="H3527" s="128">
        <v>12075503</v>
      </c>
      <c r="I3527" s="128">
        <v>147783</v>
      </c>
    </row>
    <row r="3528" spans="1:9" ht="13.5">
      <c r="A3528" s="128">
        <v>2003</v>
      </c>
      <c r="B3528" s="128" t="s">
        <v>138</v>
      </c>
      <c r="C3528" s="128" t="s">
        <v>22</v>
      </c>
      <c r="D3528" s="128" t="s">
        <v>76</v>
      </c>
      <c r="E3528" s="128" t="s">
        <v>134</v>
      </c>
      <c r="F3528" s="128">
        <v>11959560</v>
      </c>
      <c r="G3528" s="128">
        <v>5751544</v>
      </c>
      <c r="H3528" s="128">
        <v>6208019</v>
      </c>
      <c r="I3528" s="128">
        <v>107317</v>
      </c>
    </row>
    <row r="3529" spans="1:9" ht="13.5">
      <c r="A3529" s="128">
        <v>2003</v>
      </c>
      <c r="B3529" s="128" t="s">
        <v>138</v>
      </c>
      <c r="C3529" s="128" t="s">
        <v>22</v>
      </c>
      <c r="D3529" s="128" t="s">
        <v>76</v>
      </c>
      <c r="E3529" s="128" t="s">
        <v>135</v>
      </c>
      <c r="F3529" s="128">
        <v>3165301</v>
      </c>
      <c r="G3529" s="128">
        <v>937505</v>
      </c>
      <c r="H3529" s="128">
        <v>2227795</v>
      </c>
      <c r="I3529" s="128">
        <v>3583</v>
      </c>
    </row>
    <row r="3530" spans="1:9" ht="13.5">
      <c r="A3530" s="128">
        <v>2003</v>
      </c>
      <c r="B3530" s="128" t="s">
        <v>138</v>
      </c>
      <c r="C3530" s="128" t="s">
        <v>22</v>
      </c>
      <c r="D3530" s="128" t="s">
        <v>76</v>
      </c>
      <c r="E3530" s="128" t="s">
        <v>136</v>
      </c>
      <c r="F3530" s="128">
        <v>959855</v>
      </c>
      <c r="G3530" s="128">
        <v>726182</v>
      </c>
      <c r="H3530" s="128">
        <v>233674</v>
      </c>
      <c r="I3530" s="128">
        <v>13119</v>
      </c>
    </row>
    <row r="3531" spans="1:9" ht="13.5">
      <c r="A3531" s="128">
        <v>2003</v>
      </c>
      <c r="B3531" s="128" t="s">
        <v>138</v>
      </c>
      <c r="C3531" s="128" t="s">
        <v>23</v>
      </c>
      <c r="D3531" s="128" t="s">
        <v>77</v>
      </c>
      <c r="E3531" s="128" t="s">
        <v>132</v>
      </c>
      <c r="F3531" s="128">
        <v>521389</v>
      </c>
      <c r="G3531" s="128">
        <v>337466</v>
      </c>
      <c r="H3531" s="128">
        <v>136900</v>
      </c>
      <c r="I3531" s="128">
        <v>3011</v>
      </c>
    </row>
    <row r="3532" spans="1:9" ht="13.5">
      <c r="A3532" s="128">
        <v>2003</v>
      </c>
      <c r="B3532" s="128" t="s">
        <v>138</v>
      </c>
      <c r="C3532" s="128" t="s">
        <v>23</v>
      </c>
      <c r="D3532" s="128" t="s">
        <v>77</v>
      </c>
      <c r="E3532" s="128" t="s">
        <v>133</v>
      </c>
      <c r="F3532" s="128">
        <v>561727</v>
      </c>
      <c r="G3532" s="128">
        <v>309486</v>
      </c>
      <c r="H3532" s="128">
        <v>189449</v>
      </c>
      <c r="I3532" s="128">
        <v>2424</v>
      </c>
    </row>
    <row r="3533" spans="1:9" ht="13.5">
      <c r="A3533" s="128">
        <v>2003</v>
      </c>
      <c r="B3533" s="128" t="s">
        <v>138</v>
      </c>
      <c r="C3533" s="128" t="s">
        <v>23</v>
      </c>
      <c r="D3533" s="128" t="s">
        <v>77</v>
      </c>
      <c r="E3533" s="128" t="s">
        <v>134</v>
      </c>
      <c r="F3533" s="128">
        <v>839844</v>
      </c>
      <c r="G3533" s="128">
        <v>371491</v>
      </c>
      <c r="H3533" s="128">
        <v>319803</v>
      </c>
      <c r="I3533" s="128">
        <v>3343</v>
      </c>
    </row>
    <row r="3534" spans="1:9" ht="13.5">
      <c r="A3534" s="128">
        <v>2003</v>
      </c>
      <c r="B3534" s="128" t="s">
        <v>138</v>
      </c>
      <c r="C3534" s="128" t="s">
        <v>23</v>
      </c>
      <c r="D3534" s="128" t="s">
        <v>77</v>
      </c>
      <c r="E3534" s="128" t="s">
        <v>135</v>
      </c>
      <c r="F3534" s="128">
        <v>735121</v>
      </c>
      <c r="G3534" s="128">
        <v>194159</v>
      </c>
      <c r="H3534" s="128">
        <v>183905</v>
      </c>
      <c r="I3534" s="128">
        <v>1706</v>
      </c>
    </row>
    <row r="3535" spans="1:9" ht="13.5">
      <c r="A3535" s="128">
        <v>2003</v>
      </c>
      <c r="B3535" s="128" t="s">
        <v>138</v>
      </c>
      <c r="C3535" s="128" t="s">
        <v>23</v>
      </c>
      <c r="D3535" s="128" t="s">
        <v>79</v>
      </c>
      <c r="E3535" s="128" t="s">
        <v>132</v>
      </c>
      <c r="F3535" s="128">
        <v>535687</v>
      </c>
      <c r="G3535" s="128">
        <v>359565</v>
      </c>
      <c r="H3535" s="128">
        <v>118892</v>
      </c>
      <c r="I3535" s="128">
        <v>4034</v>
      </c>
    </row>
    <row r="3536" spans="1:9" ht="13.5">
      <c r="A3536" s="128">
        <v>2003</v>
      </c>
      <c r="B3536" s="128" t="s">
        <v>138</v>
      </c>
      <c r="C3536" s="128" t="s">
        <v>23</v>
      </c>
      <c r="D3536" s="128" t="s">
        <v>79</v>
      </c>
      <c r="E3536" s="128" t="s">
        <v>133</v>
      </c>
      <c r="F3536" s="128">
        <v>533794</v>
      </c>
      <c r="G3536" s="128">
        <v>288207</v>
      </c>
      <c r="H3536" s="128">
        <v>97128</v>
      </c>
      <c r="I3536" s="128">
        <v>3741</v>
      </c>
    </row>
    <row r="3537" spans="1:9" ht="13.5">
      <c r="A3537" s="128">
        <v>2003</v>
      </c>
      <c r="B3537" s="128" t="s">
        <v>138</v>
      </c>
      <c r="C3537" s="128" t="s">
        <v>23</v>
      </c>
      <c r="D3537" s="128" t="s">
        <v>79</v>
      </c>
      <c r="E3537" s="128" t="s">
        <v>134</v>
      </c>
      <c r="F3537" s="128">
        <v>580174</v>
      </c>
      <c r="G3537" s="128">
        <v>252167</v>
      </c>
      <c r="H3537" s="128">
        <v>87358</v>
      </c>
      <c r="I3537" s="128">
        <v>3102</v>
      </c>
    </row>
    <row r="3538" spans="1:9" ht="13.5">
      <c r="A3538" s="128">
        <v>2003</v>
      </c>
      <c r="B3538" s="128" t="s">
        <v>138</v>
      </c>
      <c r="C3538" s="128" t="s">
        <v>23</v>
      </c>
      <c r="D3538" s="128" t="s">
        <v>79</v>
      </c>
      <c r="E3538" s="128" t="s">
        <v>135</v>
      </c>
      <c r="F3538" s="128">
        <v>797741</v>
      </c>
      <c r="G3538" s="128">
        <v>222273</v>
      </c>
      <c r="H3538" s="128">
        <v>72355</v>
      </c>
      <c r="I3538" s="128">
        <v>2453</v>
      </c>
    </row>
    <row r="3539" spans="1:9" ht="13.5">
      <c r="A3539" s="128">
        <v>2003</v>
      </c>
      <c r="B3539" s="128" t="s">
        <v>138</v>
      </c>
      <c r="C3539" s="128" t="s">
        <v>23</v>
      </c>
      <c r="D3539" s="128" t="s">
        <v>79</v>
      </c>
      <c r="E3539" s="128" t="s">
        <v>136</v>
      </c>
      <c r="F3539" s="128">
        <v>2920348</v>
      </c>
      <c r="G3539" s="128">
        <v>2203221</v>
      </c>
      <c r="H3539" s="128">
        <v>717077</v>
      </c>
      <c r="I3539" s="128">
        <v>49824</v>
      </c>
    </row>
    <row r="3540" spans="1:9" ht="13.5">
      <c r="A3540" s="128">
        <v>2003</v>
      </c>
      <c r="B3540" s="128" t="s">
        <v>138</v>
      </c>
      <c r="C3540" s="128" t="s">
        <v>23</v>
      </c>
      <c r="D3540" s="128" t="s">
        <v>76</v>
      </c>
      <c r="E3540" s="128" t="s">
        <v>132</v>
      </c>
      <c r="F3540" s="128">
        <v>9773695</v>
      </c>
      <c r="G3540" s="128">
        <v>6308378</v>
      </c>
      <c r="H3540" s="128">
        <v>3465315</v>
      </c>
      <c r="I3540" s="128">
        <v>144836</v>
      </c>
    </row>
    <row r="3541" spans="1:9" ht="13.5">
      <c r="A3541" s="128">
        <v>2003</v>
      </c>
      <c r="B3541" s="128" t="s">
        <v>138</v>
      </c>
      <c r="C3541" s="128" t="s">
        <v>23</v>
      </c>
      <c r="D3541" s="128" t="s">
        <v>76</v>
      </c>
      <c r="E3541" s="128" t="s">
        <v>133</v>
      </c>
      <c r="F3541" s="128">
        <v>13970752</v>
      </c>
      <c r="G3541" s="128">
        <v>7645853</v>
      </c>
      <c r="H3541" s="128">
        <v>6324898</v>
      </c>
      <c r="I3541" s="128">
        <v>48151</v>
      </c>
    </row>
    <row r="3542" spans="1:9" ht="13.5">
      <c r="A3542" s="128">
        <v>2003</v>
      </c>
      <c r="B3542" s="128" t="s">
        <v>138</v>
      </c>
      <c r="C3542" s="128" t="s">
        <v>23</v>
      </c>
      <c r="D3542" s="128" t="s">
        <v>76</v>
      </c>
      <c r="E3542" s="128" t="s">
        <v>134</v>
      </c>
      <c r="F3542" s="128">
        <v>11005548</v>
      </c>
      <c r="G3542" s="128">
        <v>5203650</v>
      </c>
      <c r="H3542" s="128">
        <v>5801899</v>
      </c>
      <c r="I3542" s="128">
        <v>72932</v>
      </c>
    </row>
    <row r="3543" spans="1:9" ht="13.5">
      <c r="A3543" s="128">
        <v>2003</v>
      </c>
      <c r="B3543" s="128" t="s">
        <v>138</v>
      </c>
      <c r="C3543" s="128" t="s">
        <v>23</v>
      </c>
      <c r="D3543" s="128" t="s">
        <v>76</v>
      </c>
      <c r="E3543" s="128" t="s">
        <v>135</v>
      </c>
      <c r="F3543" s="128">
        <v>961599</v>
      </c>
      <c r="G3543" s="128">
        <v>255623</v>
      </c>
      <c r="H3543" s="128">
        <v>705980</v>
      </c>
      <c r="I3543" s="128">
        <v>1001</v>
      </c>
    </row>
    <row r="3544" spans="1:9" ht="13.5">
      <c r="A3544" s="128">
        <v>2003</v>
      </c>
      <c r="B3544" s="128" t="s">
        <v>138</v>
      </c>
      <c r="C3544" s="128" t="s">
        <v>23</v>
      </c>
      <c r="D3544" s="128" t="s">
        <v>76</v>
      </c>
      <c r="E3544" s="128" t="s">
        <v>136</v>
      </c>
      <c r="F3544" s="128">
        <v>1348201</v>
      </c>
      <c r="G3544" s="128">
        <v>1015392</v>
      </c>
      <c r="H3544" s="128">
        <v>332812</v>
      </c>
      <c r="I3544" s="128">
        <v>14505</v>
      </c>
    </row>
    <row r="3545" spans="1:9" ht="13.5">
      <c r="A3545" s="128">
        <v>2003</v>
      </c>
      <c r="B3545" s="128" t="s">
        <v>138</v>
      </c>
      <c r="C3545" s="128" t="s">
        <v>25</v>
      </c>
      <c r="D3545" s="128" t="s">
        <v>77</v>
      </c>
      <c r="E3545" s="128" t="s">
        <v>132</v>
      </c>
      <c r="F3545" s="128">
        <v>22641</v>
      </c>
      <c r="G3545" s="128">
        <v>14478</v>
      </c>
      <c r="H3545" s="128">
        <v>6558</v>
      </c>
      <c r="I3545" s="128">
        <v>210</v>
      </c>
    </row>
    <row r="3546" spans="1:9" ht="13.5">
      <c r="A3546" s="128">
        <v>2003</v>
      </c>
      <c r="B3546" s="128" t="s">
        <v>138</v>
      </c>
      <c r="C3546" s="128" t="s">
        <v>25</v>
      </c>
      <c r="D3546" s="128" t="s">
        <v>77</v>
      </c>
      <c r="E3546" s="128" t="s">
        <v>133</v>
      </c>
      <c r="F3546" s="128">
        <v>67640</v>
      </c>
      <c r="G3546" s="128">
        <v>36901</v>
      </c>
      <c r="H3546" s="128">
        <v>26353</v>
      </c>
      <c r="I3546" s="128">
        <v>228</v>
      </c>
    </row>
    <row r="3547" spans="1:9" ht="13.5">
      <c r="A3547" s="128">
        <v>2003</v>
      </c>
      <c r="B3547" s="128" t="s">
        <v>138</v>
      </c>
      <c r="C3547" s="128" t="s">
        <v>25</v>
      </c>
      <c r="D3547" s="128" t="s">
        <v>77</v>
      </c>
      <c r="E3547" s="128" t="s">
        <v>134</v>
      </c>
      <c r="F3547" s="128">
        <v>146293</v>
      </c>
      <c r="G3547" s="128">
        <v>64049</v>
      </c>
      <c r="H3547" s="128">
        <v>59767</v>
      </c>
      <c r="I3547" s="128">
        <v>614</v>
      </c>
    </row>
    <row r="3548" spans="1:9" ht="13.5">
      <c r="A3548" s="128">
        <v>2003</v>
      </c>
      <c r="B3548" s="128" t="s">
        <v>138</v>
      </c>
      <c r="C3548" s="128" t="s">
        <v>25</v>
      </c>
      <c r="D3548" s="128" t="s">
        <v>77</v>
      </c>
      <c r="E3548" s="128" t="s">
        <v>135</v>
      </c>
      <c r="F3548" s="128">
        <v>199775</v>
      </c>
      <c r="G3548" s="128">
        <v>55151</v>
      </c>
      <c r="H3548" s="128">
        <v>55935</v>
      </c>
      <c r="I3548" s="128">
        <v>573</v>
      </c>
    </row>
    <row r="3549" spans="1:9" ht="13.5">
      <c r="A3549" s="128">
        <v>2003</v>
      </c>
      <c r="B3549" s="128" t="s">
        <v>138</v>
      </c>
      <c r="C3549" s="128" t="s">
        <v>25</v>
      </c>
      <c r="D3549" s="128" t="s">
        <v>79</v>
      </c>
      <c r="E3549" s="128" t="s">
        <v>132</v>
      </c>
      <c r="F3549" s="128">
        <v>446958</v>
      </c>
      <c r="G3549" s="128">
        <v>298648</v>
      </c>
      <c r="H3549" s="128">
        <v>99177</v>
      </c>
      <c r="I3549" s="128">
        <v>3065</v>
      </c>
    </row>
    <row r="3550" spans="1:9" ht="13.5">
      <c r="A3550" s="128">
        <v>2003</v>
      </c>
      <c r="B3550" s="128" t="s">
        <v>138</v>
      </c>
      <c r="C3550" s="128" t="s">
        <v>25</v>
      </c>
      <c r="D3550" s="128" t="s">
        <v>79</v>
      </c>
      <c r="E3550" s="128" t="s">
        <v>133</v>
      </c>
      <c r="F3550" s="128">
        <v>457278</v>
      </c>
      <c r="G3550" s="128">
        <v>251483</v>
      </c>
      <c r="H3550" s="128">
        <v>84687</v>
      </c>
      <c r="I3550" s="128">
        <v>2695</v>
      </c>
    </row>
    <row r="3551" spans="1:9" ht="13.5">
      <c r="A3551" s="128">
        <v>2003</v>
      </c>
      <c r="B3551" s="128" t="s">
        <v>138</v>
      </c>
      <c r="C3551" s="128" t="s">
        <v>25</v>
      </c>
      <c r="D3551" s="128" t="s">
        <v>79</v>
      </c>
      <c r="E3551" s="128" t="s">
        <v>134</v>
      </c>
      <c r="F3551" s="128">
        <v>732708</v>
      </c>
      <c r="G3551" s="128">
        <v>315243</v>
      </c>
      <c r="H3551" s="128">
        <v>106433</v>
      </c>
      <c r="I3551" s="128">
        <v>3634</v>
      </c>
    </row>
    <row r="3552" spans="1:9" ht="13.5">
      <c r="A3552" s="128">
        <v>2003</v>
      </c>
      <c r="B3552" s="128" t="s">
        <v>138</v>
      </c>
      <c r="C3552" s="128" t="s">
        <v>25</v>
      </c>
      <c r="D3552" s="128" t="s">
        <v>79</v>
      </c>
      <c r="E3552" s="128" t="s">
        <v>135</v>
      </c>
      <c r="F3552" s="128">
        <v>1199546</v>
      </c>
      <c r="G3552" s="128">
        <v>321576</v>
      </c>
      <c r="H3552" s="128">
        <v>111011</v>
      </c>
      <c r="I3552" s="128">
        <v>3190</v>
      </c>
    </row>
    <row r="3553" spans="1:9" ht="13.5">
      <c r="A3553" s="128">
        <v>2003</v>
      </c>
      <c r="B3553" s="128" t="s">
        <v>138</v>
      </c>
      <c r="C3553" s="128" t="s">
        <v>25</v>
      </c>
      <c r="D3553" s="128" t="s">
        <v>79</v>
      </c>
      <c r="E3553" s="128" t="s">
        <v>136</v>
      </c>
      <c r="F3553" s="128">
        <v>1405876</v>
      </c>
      <c r="G3553" s="128">
        <v>1066438</v>
      </c>
      <c r="H3553" s="128">
        <v>339439</v>
      </c>
      <c r="I3553" s="128">
        <v>22831</v>
      </c>
    </row>
    <row r="3554" spans="1:9" ht="13.5">
      <c r="A3554" s="128">
        <v>2003</v>
      </c>
      <c r="B3554" s="128" t="s">
        <v>138</v>
      </c>
      <c r="C3554" s="128" t="s">
        <v>25</v>
      </c>
      <c r="D3554" s="128" t="s">
        <v>76</v>
      </c>
      <c r="E3554" s="128" t="s">
        <v>132</v>
      </c>
      <c r="F3554" s="128">
        <v>2460609</v>
      </c>
      <c r="G3554" s="128">
        <v>1594509</v>
      </c>
      <c r="H3554" s="128">
        <v>866100</v>
      </c>
      <c r="I3554" s="128">
        <v>32371</v>
      </c>
    </row>
    <row r="3555" spans="1:9" ht="13.5">
      <c r="A3555" s="128">
        <v>2003</v>
      </c>
      <c r="B3555" s="128" t="s">
        <v>138</v>
      </c>
      <c r="C3555" s="128" t="s">
        <v>25</v>
      </c>
      <c r="D3555" s="128" t="s">
        <v>76</v>
      </c>
      <c r="E3555" s="128" t="s">
        <v>133</v>
      </c>
      <c r="F3555" s="128">
        <v>3145780</v>
      </c>
      <c r="G3555" s="128">
        <v>1721221</v>
      </c>
      <c r="H3555" s="128">
        <v>1424556</v>
      </c>
      <c r="I3555" s="128">
        <v>13603</v>
      </c>
    </row>
    <row r="3556" spans="1:9" ht="13.5">
      <c r="A3556" s="128">
        <v>2003</v>
      </c>
      <c r="B3556" s="128" t="s">
        <v>138</v>
      </c>
      <c r="C3556" s="128" t="s">
        <v>25</v>
      </c>
      <c r="D3556" s="128" t="s">
        <v>76</v>
      </c>
      <c r="E3556" s="128" t="s">
        <v>134</v>
      </c>
      <c r="F3556" s="128">
        <v>2222354</v>
      </c>
      <c r="G3556" s="128">
        <v>1057611</v>
      </c>
      <c r="H3556" s="128">
        <v>1164741</v>
      </c>
      <c r="I3556" s="128">
        <v>15041</v>
      </c>
    </row>
    <row r="3557" spans="1:9" ht="13.5">
      <c r="A3557" s="128">
        <v>2003</v>
      </c>
      <c r="B3557" s="128" t="s">
        <v>138</v>
      </c>
      <c r="C3557" s="128" t="s">
        <v>25</v>
      </c>
      <c r="D3557" s="128" t="s">
        <v>76</v>
      </c>
      <c r="E3557" s="128" t="s">
        <v>135</v>
      </c>
      <c r="F3557" s="128">
        <v>379013</v>
      </c>
      <c r="G3557" s="128">
        <v>111511</v>
      </c>
      <c r="H3557" s="128">
        <v>267503</v>
      </c>
      <c r="I3557" s="128">
        <v>399</v>
      </c>
    </row>
    <row r="3558" spans="1:9" ht="13.5">
      <c r="A3558" s="128">
        <v>2003</v>
      </c>
      <c r="B3558" s="128" t="s">
        <v>138</v>
      </c>
      <c r="C3558" s="128" t="s">
        <v>25</v>
      </c>
      <c r="D3558" s="128" t="s">
        <v>76</v>
      </c>
      <c r="E3558" s="128" t="s">
        <v>136</v>
      </c>
      <c r="F3558" s="128">
        <v>137565</v>
      </c>
      <c r="G3558" s="128">
        <v>105975</v>
      </c>
      <c r="H3558" s="128">
        <v>31589</v>
      </c>
      <c r="I3558" s="128">
        <v>1577</v>
      </c>
    </row>
    <row r="3559" spans="1:9" ht="13.5">
      <c r="A3559" s="128">
        <v>2003</v>
      </c>
      <c r="B3559" s="128" t="s">
        <v>138</v>
      </c>
      <c r="C3559" s="128" t="s">
        <v>21</v>
      </c>
      <c r="D3559" s="128" t="s">
        <v>77</v>
      </c>
      <c r="E3559" s="128" t="s">
        <v>132</v>
      </c>
      <c r="F3559" s="128">
        <v>1326136</v>
      </c>
      <c r="G3559" s="128">
        <v>856570</v>
      </c>
      <c r="H3559" s="128">
        <v>390553</v>
      </c>
      <c r="I3559" s="128">
        <v>7016</v>
      </c>
    </row>
    <row r="3560" spans="1:9" ht="13.5">
      <c r="A3560" s="128">
        <v>2003</v>
      </c>
      <c r="B3560" s="128" t="s">
        <v>138</v>
      </c>
      <c r="C3560" s="128" t="s">
        <v>21</v>
      </c>
      <c r="D3560" s="128" t="s">
        <v>77</v>
      </c>
      <c r="E3560" s="128" t="s">
        <v>133</v>
      </c>
      <c r="F3560" s="128">
        <v>3725032</v>
      </c>
      <c r="G3560" s="128">
        <v>2021862</v>
      </c>
      <c r="H3560" s="128">
        <v>1284253</v>
      </c>
      <c r="I3560" s="128">
        <v>15938</v>
      </c>
    </row>
    <row r="3561" spans="1:9" ht="13.5">
      <c r="A3561" s="128">
        <v>2003</v>
      </c>
      <c r="B3561" s="128" t="s">
        <v>138</v>
      </c>
      <c r="C3561" s="128" t="s">
        <v>21</v>
      </c>
      <c r="D3561" s="128" t="s">
        <v>77</v>
      </c>
      <c r="E3561" s="128" t="s">
        <v>134</v>
      </c>
      <c r="F3561" s="128">
        <v>5561372</v>
      </c>
      <c r="G3561" s="128">
        <v>2418121</v>
      </c>
      <c r="H3561" s="128">
        <v>1995899</v>
      </c>
      <c r="I3561" s="128">
        <v>25134</v>
      </c>
    </row>
    <row r="3562" spans="1:9" ht="13.5">
      <c r="A3562" s="128">
        <v>2003</v>
      </c>
      <c r="B3562" s="128" t="s">
        <v>138</v>
      </c>
      <c r="C3562" s="128" t="s">
        <v>21</v>
      </c>
      <c r="D3562" s="128" t="s">
        <v>77</v>
      </c>
      <c r="E3562" s="128" t="s">
        <v>135</v>
      </c>
      <c r="F3562" s="128">
        <v>3587647</v>
      </c>
      <c r="G3562" s="128">
        <v>1018202</v>
      </c>
      <c r="H3562" s="128">
        <v>1046208</v>
      </c>
      <c r="I3562" s="128">
        <v>11854</v>
      </c>
    </row>
    <row r="3563" spans="1:9" ht="13.5">
      <c r="A3563" s="128">
        <v>2003</v>
      </c>
      <c r="B3563" s="128" t="s">
        <v>138</v>
      </c>
      <c r="C3563" s="128" t="s">
        <v>21</v>
      </c>
      <c r="D3563" s="128" t="s">
        <v>79</v>
      </c>
      <c r="E3563" s="128" t="s">
        <v>132</v>
      </c>
      <c r="F3563" s="128">
        <v>3547746</v>
      </c>
      <c r="G3563" s="128">
        <v>2361118</v>
      </c>
      <c r="H3563" s="128">
        <v>781368</v>
      </c>
      <c r="I3563" s="128">
        <v>25773</v>
      </c>
    </row>
    <row r="3564" spans="1:9" ht="13.5">
      <c r="A3564" s="128">
        <v>2003</v>
      </c>
      <c r="B3564" s="128" t="s">
        <v>138</v>
      </c>
      <c r="C3564" s="128" t="s">
        <v>21</v>
      </c>
      <c r="D3564" s="128" t="s">
        <v>79</v>
      </c>
      <c r="E3564" s="128" t="s">
        <v>133</v>
      </c>
      <c r="F3564" s="128">
        <v>3530181</v>
      </c>
      <c r="G3564" s="128">
        <v>1914508</v>
      </c>
      <c r="H3564" s="128">
        <v>643523</v>
      </c>
      <c r="I3564" s="128">
        <v>19260</v>
      </c>
    </row>
    <row r="3565" spans="1:9" ht="13.5">
      <c r="A3565" s="128">
        <v>2003</v>
      </c>
      <c r="B3565" s="128" t="s">
        <v>138</v>
      </c>
      <c r="C3565" s="128" t="s">
        <v>21</v>
      </c>
      <c r="D3565" s="128" t="s">
        <v>79</v>
      </c>
      <c r="E3565" s="128" t="s">
        <v>134</v>
      </c>
      <c r="F3565" s="128">
        <v>6939066</v>
      </c>
      <c r="G3565" s="128">
        <v>3021796</v>
      </c>
      <c r="H3565" s="128">
        <v>1014532</v>
      </c>
      <c r="I3565" s="128">
        <v>40467</v>
      </c>
    </row>
    <row r="3566" spans="1:9" ht="13.5">
      <c r="A3566" s="128">
        <v>2003</v>
      </c>
      <c r="B3566" s="128" t="s">
        <v>138</v>
      </c>
      <c r="C3566" s="128" t="s">
        <v>21</v>
      </c>
      <c r="D3566" s="128" t="s">
        <v>79</v>
      </c>
      <c r="E3566" s="128" t="s">
        <v>135</v>
      </c>
      <c r="F3566" s="128">
        <v>6574200</v>
      </c>
      <c r="G3566" s="128">
        <v>1837646</v>
      </c>
      <c r="H3566" s="128">
        <v>646228</v>
      </c>
      <c r="I3566" s="128">
        <v>17235</v>
      </c>
    </row>
    <row r="3567" spans="1:9" ht="13.5">
      <c r="A3567" s="128">
        <v>2003</v>
      </c>
      <c r="B3567" s="128" t="s">
        <v>138</v>
      </c>
      <c r="C3567" s="128" t="s">
        <v>21</v>
      </c>
      <c r="D3567" s="128" t="s">
        <v>79</v>
      </c>
      <c r="E3567" s="128" t="s">
        <v>136</v>
      </c>
      <c r="F3567" s="128">
        <v>11281061</v>
      </c>
      <c r="G3567" s="128">
        <v>8528533</v>
      </c>
      <c r="H3567" s="128">
        <v>2752389</v>
      </c>
      <c r="I3567" s="128">
        <v>148952</v>
      </c>
    </row>
    <row r="3568" spans="1:9" ht="13.5">
      <c r="A3568" s="128">
        <v>2003</v>
      </c>
      <c r="B3568" s="128" t="s">
        <v>138</v>
      </c>
      <c r="C3568" s="128" t="s">
        <v>21</v>
      </c>
      <c r="D3568" s="128" t="s">
        <v>76</v>
      </c>
      <c r="E3568" s="128" t="s">
        <v>132</v>
      </c>
      <c r="F3568" s="128">
        <v>17735796</v>
      </c>
      <c r="G3568" s="128">
        <v>11370871</v>
      </c>
      <c r="H3568" s="128">
        <v>6364926</v>
      </c>
      <c r="I3568" s="128">
        <v>215097</v>
      </c>
    </row>
    <row r="3569" spans="1:9" ht="13.5">
      <c r="A3569" s="128">
        <v>2003</v>
      </c>
      <c r="B3569" s="128" t="s">
        <v>138</v>
      </c>
      <c r="C3569" s="128" t="s">
        <v>21</v>
      </c>
      <c r="D3569" s="128" t="s">
        <v>76</v>
      </c>
      <c r="E3569" s="128" t="s">
        <v>133</v>
      </c>
      <c r="F3569" s="128">
        <v>41526330</v>
      </c>
      <c r="G3569" s="128">
        <v>23182357</v>
      </c>
      <c r="H3569" s="128">
        <v>18343971</v>
      </c>
      <c r="I3569" s="128">
        <v>319822</v>
      </c>
    </row>
    <row r="3570" spans="1:9" ht="13.5">
      <c r="A3570" s="128">
        <v>2003</v>
      </c>
      <c r="B3570" s="128" t="s">
        <v>138</v>
      </c>
      <c r="C3570" s="128" t="s">
        <v>21</v>
      </c>
      <c r="D3570" s="128" t="s">
        <v>76</v>
      </c>
      <c r="E3570" s="128" t="s">
        <v>134</v>
      </c>
      <c r="F3570" s="128">
        <v>20958614</v>
      </c>
      <c r="G3570" s="128">
        <v>9954190</v>
      </c>
      <c r="H3570" s="128">
        <v>11004426</v>
      </c>
      <c r="I3570" s="128">
        <v>163017</v>
      </c>
    </row>
    <row r="3571" spans="1:9" ht="13.5">
      <c r="A3571" s="128">
        <v>2003</v>
      </c>
      <c r="B3571" s="128" t="s">
        <v>138</v>
      </c>
      <c r="C3571" s="128" t="s">
        <v>21</v>
      </c>
      <c r="D3571" s="128" t="s">
        <v>76</v>
      </c>
      <c r="E3571" s="128" t="s">
        <v>135</v>
      </c>
      <c r="F3571" s="128">
        <v>2071971</v>
      </c>
      <c r="G3571" s="128">
        <v>605241</v>
      </c>
      <c r="H3571" s="128">
        <v>1466726</v>
      </c>
      <c r="I3571" s="128">
        <v>2046</v>
      </c>
    </row>
    <row r="3572" spans="1:9" ht="13.5">
      <c r="A3572" s="128">
        <v>2003</v>
      </c>
      <c r="B3572" s="128" t="s">
        <v>138</v>
      </c>
      <c r="C3572" s="128" t="s">
        <v>21</v>
      </c>
      <c r="D3572" s="128" t="s">
        <v>76</v>
      </c>
      <c r="E3572" s="128" t="s">
        <v>136</v>
      </c>
      <c r="F3572" s="128">
        <v>2591928</v>
      </c>
      <c r="G3572" s="128">
        <v>1973636</v>
      </c>
      <c r="H3572" s="128">
        <v>618333</v>
      </c>
      <c r="I3572" s="128">
        <v>42225</v>
      </c>
    </row>
    <row r="3573" spans="1:9" ht="13.5">
      <c r="A3573" s="128">
        <v>2003</v>
      </c>
      <c r="B3573" s="128" t="s">
        <v>138</v>
      </c>
      <c r="C3573" s="128" t="s">
        <v>24</v>
      </c>
      <c r="D3573" s="128" t="s">
        <v>77</v>
      </c>
      <c r="E3573" s="128" t="s">
        <v>132</v>
      </c>
      <c r="F3573" s="128">
        <v>586934</v>
      </c>
      <c r="G3573" s="128">
        <v>368767</v>
      </c>
      <c r="H3573" s="128">
        <v>157477</v>
      </c>
      <c r="I3573" s="128">
        <v>4174</v>
      </c>
    </row>
    <row r="3574" spans="1:9" ht="13.5">
      <c r="A3574" s="128">
        <v>2003</v>
      </c>
      <c r="B3574" s="128" t="s">
        <v>138</v>
      </c>
      <c r="C3574" s="128" t="s">
        <v>24</v>
      </c>
      <c r="D3574" s="128" t="s">
        <v>77</v>
      </c>
      <c r="E3574" s="128" t="s">
        <v>133</v>
      </c>
      <c r="F3574" s="128">
        <v>2262052</v>
      </c>
      <c r="G3574" s="128">
        <v>1211121</v>
      </c>
      <c r="H3574" s="128">
        <v>721371</v>
      </c>
      <c r="I3574" s="128">
        <v>8135</v>
      </c>
    </row>
    <row r="3575" spans="1:9" ht="13.5">
      <c r="A3575" s="128">
        <v>2003</v>
      </c>
      <c r="B3575" s="128" t="s">
        <v>138</v>
      </c>
      <c r="C3575" s="128" t="s">
        <v>24</v>
      </c>
      <c r="D3575" s="128" t="s">
        <v>77</v>
      </c>
      <c r="E3575" s="128" t="s">
        <v>134</v>
      </c>
      <c r="F3575" s="128">
        <v>4955049</v>
      </c>
      <c r="G3575" s="128">
        <v>2176418</v>
      </c>
      <c r="H3575" s="128">
        <v>1304637</v>
      </c>
      <c r="I3575" s="128">
        <v>28781</v>
      </c>
    </row>
    <row r="3576" spans="1:9" ht="13.5">
      <c r="A3576" s="128">
        <v>2003</v>
      </c>
      <c r="B3576" s="128" t="s">
        <v>138</v>
      </c>
      <c r="C3576" s="128" t="s">
        <v>24</v>
      </c>
      <c r="D3576" s="128" t="s">
        <v>77</v>
      </c>
      <c r="E3576" s="128" t="s">
        <v>135</v>
      </c>
      <c r="F3576" s="128">
        <v>3149131</v>
      </c>
      <c r="G3576" s="128">
        <v>954862</v>
      </c>
      <c r="H3576" s="128">
        <v>672578</v>
      </c>
      <c r="I3576" s="128">
        <v>12406</v>
      </c>
    </row>
    <row r="3577" spans="1:9" ht="13.5">
      <c r="A3577" s="128">
        <v>2003</v>
      </c>
      <c r="B3577" s="128" t="s">
        <v>138</v>
      </c>
      <c r="C3577" s="128" t="s">
        <v>24</v>
      </c>
      <c r="D3577" s="128" t="s">
        <v>79</v>
      </c>
      <c r="E3577" s="128" t="s">
        <v>132</v>
      </c>
      <c r="F3577" s="128">
        <v>1188876</v>
      </c>
      <c r="G3577" s="128">
        <v>776954</v>
      </c>
      <c r="H3577" s="128">
        <v>254074</v>
      </c>
      <c r="I3577" s="128">
        <v>10066</v>
      </c>
    </row>
    <row r="3578" spans="1:9" ht="13.5">
      <c r="A3578" s="128">
        <v>2003</v>
      </c>
      <c r="B3578" s="128" t="s">
        <v>138</v>
      </c>
      <c r="C3578" s="128" t="s">
        <v>24</v>
      </c>
      <c r="D3578" s="128" t="s">
        <v>79</v>
      </c>
      <c r="E3578" s="128" t="s">
        <v>133</v>
      </c>
      <c r="F3578" s="128">
        <v>1307603</v>
      </c>
      <c r="G3578" s="128">
        <v>714179</v>
      </c>
      <c r="H3578" s="128">
        <v>242865</v>
      </c>
      <c r="I3578" s="128">
        <v>10929</v>
      </c>
    </row>
    <row r="3579" spans="1:9" ht="13.5">
      <c r="A3579" s="128">
        <v>2003</v>
      </c>
      <c r="B3579" s="128" t="s">
        <v>138</v>
      </c>
      <c r="C3579" s="128" t="s">
        <v>24</v>
      </c>
      <c r="D3579" s="128" t="s">
        <v>79</v>
      </c>
      <c r="E3579" s="128" t="s">
        <v>134</v>
      </c>
      <c r="F3579" s="128">
        <v>1541464</v>
      </c>
      <c r="G3579" s="128">
        <v>670333</v>
      </c>
      <c r="H3579" s="128">
        <v>340440</v>
      </c>
      <c r="I3579" s="128">
        <v>8192</v>
      </c>
    </row>
    <row r="3580" spans="1:9" ht="13.5">
      <c r="A3580" s="128">
        <v>2003</v>
      </c>
      <c r="B3580" s="128" t="s">
        <v>138</v>
      </c>
      <c r="C3580" s="128" t="s">
        <v>24</v>
      </c>
      <c r="D3580" s="128" t="s">
        <v>79</v>
      </c>
      <c r="E3580" s="128" t="s">
        <v>135</v>
      </c>
      <c r="F3580" s="128">
        <v>1285767</v>
      </c>
      <c r="G3580" s="128">
        <v>348683</v>
      </c>
      <c r="H3580" s="128">
        <v>169139</v>
      </c>
      <c r="I3580" s="128">
        <v>3496</v>
      </c>
    </row>
    <row r="3581" spans="1:9" ht="13.5">
      <c r="A3581" s="128">
        <v>2003</v>
      </c>
      <c r="B3581" s="128" t="s">
        <v>138</v>
      </c>
      <c r="C3581" s="128" t="s">
        <v>24</v>
      </c>
      <c r="D3581" s="128" t="s">
        <v>79</v>
      </c>
      <c r="E3581" s="128" t="s">
        <v>136</v>
      </c>
      <c r="F3581" s="128">
        <v>1751970</v>
      </c>
      <c r="G3581" s="128">
        <v>1326019</v>
      </c>
      <c r="H3581" s="128">
        <v>425953</v>
      </c>
      <c r="I3581" s="128">
        <v>27092</v>
      </c>
    </row>
    <row r="3582" spans="1:9" ht="13.5">
      <c r="A3582" s="128">
        <v>2003</v>
      </c>
      <c r="B3582" s="128" t="s">
        <v>138</v>
      </c>
      <c r="C3582" s="128" t="s">
        <v>24</v>
      </c>
      <c r="D3582" s="128" t="s">
        <v>76</v>
      </c>
      <c r="E3582" s="128" t="s">
        <v>132</v>
      </c>
      <c r="F3582" s="128">
        <v>9945001</v>
      </c>
      <c r="G3582" s="128">
        <v>6301812</v>
      </c>
      <c r="H3582" s="128">
        <v>3642059</v>
      </c>
      <c r="I3582" s="128">
        <v>104073</v>
      </c>
    </row>
    <row r="3583" spans="1:9" ht="13.5">
      <c r="A3583" s="128">
        <v>2003</v>
      </c>
      <c r="B3583" s="128" t="s">
        <v>138</v>
      </c>
      <c r="C3583" s="128" t="s">
        <v>24</v>
      </c>
      <c r="D3583" s="128" t="s">
        <v>76</v>
      </c>
      <c r="E3583" s="128" t="s">
        <v>133</v>
      </c>
      <c r="F3583" s="128">
        <v>11350720</v>
      </c>
      <c r="G3583" s="128">
        <v>6143195</v>
      </c>
      <c r="H3583" s="128">
        <v>5140652</v>
      </c>
      <c r="I3583" s="128">
        <v>53567</v>
      </c>
    </row>
    <row r="3584" spans="1:9" ht="13.5">
      <c r="A3584" s="128">
        <v>2003</v>
      </c>
      <c r="B3584" s="128" t="s">
        <v>138</v>
      </c>
      <c r="C3584" s="128" t="s">
        <v>24</v>
      </c>
      <c r="D3584" s="128" t="s">
        <v>76</v>
      </c>
      <c r="E3584" s="128" t="s">
        <v>134</v>
      </c>
      <c r="F3584" s="128">
        <v>6001721</v>
      </c>
      <c r="G3584" s="128">
        <v>2825390</v>
      </c>
      <c r="H3584" s="128">
        <v>3081612</v>
      </c>
      <c r="I3584" s="128">
        <v>46390</v>
      </c>
    </row>
    <row r="3585" spans="1:9" ht="13.5">
      <c r="A3585" s="128">
        <v>2003</v>
      </c>
      <c r="B3585" s="128" t="s">
        <v>138</v>
      </c>
      <c r="C3585" s="128" t="s">
        <v>24</v>
      </c>
      <c r="D3585" s="128" t="s">
        <v>76</v>
      </c>
      <c r="E3585" s="128" t="s">
        <v>135</v>
      </c>
      <c r="F3585" s="128">
        <v>2060248</v>
      </c>
      <c r="G3585" s="128">
        <v>505666</v>
      </c>
      <c r="H3585" s="128">
        <v>1281534</v>
      </c>
      <c r="I3585" s="128">
        <v>3130</v>
      </c>
    </row>
    <row r="3586" spans="1:9" ht="13.5">
      <c r="A3586" s="128">
        <v>2003</v>
      </c>
      <c r="B3586" s="128" t="s">
        <v>138</v>
      </c>
      <c r="C3586" s="128" t="s">
        <v>24</v>
      </c>
      <c r="D3586" s="128" t="s">
        <v>76</v>
      </c>
      <c r="E3586" s="128" t="s">
        <v>136</v>
      </c>
      <c r="F3586" s="128">
        <v>1930652</v>
      </c>
      <c r="G3586" s="128">
        <v>1472302</v>
      </c>
      <c r="H3586" s="128">
        <v>458351</v>
      </c>
      <c r="I3586" s="128">
        <v>27122</v>
      </c>
    </row>
    <row r="3587" spans="1:9" ht="13.5">
      <c r="A3587" s="128">
        <v>2003</v>
      </c>
      <c r="B3587" s="128" t="s">
        <v>139</v>
      </c>
      <c r="C3587" s="128" t="s">
        <v>26</v>
      </c>
      <c r="D3587" s="128" t="s">
        <v>77</v>
      </c>
      <c r="E3587" s="128" t="s">
        <v>132</v>
      </c>
      <c r="F3587" s="128">
        <v>0</v>
      </c>
      <c r="G3587" s="128">
        <v>0</v>
      </c>
      <c r="H3587" s="128">
        <v>0</v>
      </c>
      <c r="I3587" s="128">
        <v>0</v>
      </c>
    </row>
    <row r="3588" spans="1:9" ht="13.5">
      <c r="A3588" s="128">
        <v>2003</v>
      </c>
      <c r="B3588" s="128" t="s">
        <v>139</v>
      </c>
      <c r="C3588" s="128" t="s">
        <v>26</v>
      </c>
      <c r="D3588" s="128" t="s">
        <v>77</v>
      </c>
      <c r="E3588" s="128" t="s">
        <v>133</v>
      </c>
      <c r="F3588" s="128">
        <v>0</v>
      </c>
      <c r="G3588" s="128">
        <v>0</v>
      </c>
      <c r="H3588" s="128">
        <v>0</v>
      </c>
      <c r="I3588" s="128">
        <v>0</v>
      </c>
    </row>
    <row r="3589" spans="1:9" ht="13.5">
      <c r="A3589" s="128">
        <v>2003</v>
      </c>
      <c r="B3589" s="128" t="s">
        <v>139</v>
      </c>
      <c r="C3589" s="128" t="s">
        <v>26</v>
      </c>
      <c r="D3589" s="128" t="s">
        <v>77</v>
      </c>
      <c r="E3589" s="128" t="s">
        <v>134</v>
      </c>
      <c r="F3589" s="128">
        <v>0</v>
      </c>
      <c r="G3589" s="128">
        <v>0</v>
      </c>
      <c r="H3589" s="128">
        <v>0</v>
      </c>
      <c r="I3589" s="128">
        <v>0</v>
      </c>
    </row>
    <row r="3590" spans="1:9" ht="13.5">
      <c r="A3590" s="128">
        <v>2003</v>
      </c>
      <c r="B3590" s="128" t="s">
        <v>139</v>
      </c>
      <c r="C3590" s="128" t="s">
        <v>26</v>
      </c>
      <c r="D3590" s="128" t="s">
        <v>77</v>
      </c>
      <c r="E3590" s="128" t="s">
        <v>135</v>
      </c>
      <c r="F3590" s="128">
        <v>0</v>
      </c>
      <c r="G3590" s="128">
        <v>0</v>
      </c>
      <c r="H3590" s="128">
        <v>0</v>
      </c>
      <c r="I3590" s="128">
        <v>0</v>
      </c>
    </row>
    <row r="3591" spans="1:9" ht="13.5">
      <c r="A3591" s="128">
        <v>2003</v>
      </c>
      <c r="B3591" s="128" t="s">
        <v>139</v>
      </c>
      <c r="C3591" s="128" t="s">
        <v>26</v>
      </c>
      <c r="D3591" s="128" t="s">
        <v>79</v>
      </c>
      <c r="E3591" s="128" t="s">
        <v>132</v>
      </c>
      <c r="F3591" s="128">
        <v>0</v>
      </c>
      <c r="G3591" s="128">
        <v>0</v>
      </c>
      <c r="H3591" s="128">
        <v>0</v>
      </c>
      <c r="I3591" s="128">
        <v>0</v>
      </c>
    </row>
    <row r="3592" spans="1:9" ht="13.5">
      <c r="A3592" s="128">
        <v>2003</v>
      </c>
      <c r="B3592" s="128" t="s">
        <v>139</v>
      </c>
      <c r="C3592" s="128" t="s">
        <v>26</v>
      </c>
      <c r="D3592" s="128" t="s">
        <v>79</v>
      </c>
      <c r="E3592" s="128" t="s">
        <v>133</v>
      </c>
      <c r="F3592" s="128">
        <v>0</v>
      </c>
      <c r="G3592" s="128">
        <v>0</v>
      </c>
      <c r="H3592" s="128">
        <v>0</v>
      </c>
      <c r="I3592" s="128">
        <v>0</v>
      </c>
    </row>
    <row r="3593" spans="1:9" ht="13.5">
      <c r="A3593" s="128">
        <v>2003</v>
      </c>
      <c r="B3593" s="128" t="s">
        <v>139</v>
      </c>
      <c r="C3593" s="128" t="s">
        <v>26</v>
      </c>
      <c r="D3593" s="128" t="s">
        <v>79</v>
      </c>
      <c r="E3593" s="128" t="s">
        <v>134</v>
      </c>
      <c r="F3593" s="128">
        <v>0</v>
      </c>
      <c r="G3593" s="128">
        <v>0</v>
      </c>
      <c r="H3593" s="128">
        <v>0</v>
      </c>
      <c r="I3593" s="128">
        <v>0</v>
      </c>
    </row>
    <row r="3594" spans="1:9" ht="13.5">
      <c r="A3594" s="128">
        <v>2003</v>
      </c>
      <c r="B3594" s="128" t="s">
        <v>139</v>
      </c>
      <c r="C3594" s="128" t="s">
        <v>26</v>
      </c>
      <c r="D3594" s="128" t="s">
        <v>79</v>
      </c>
      <c r="E3594" s="128" t="s">
        <v>135</v>
      </c>
      <c r="F3594" s="128">
        <v>0</v>
      </c>
      <c r="G3594" s="128">
        <v>0</v>
      </c>
      <c r="H3594" s="128">
        <v>0</v>
      </c>
      <c r="I3594" s="128">
        <v>0</v>
      </c>
    </row>
    <row r="3595" spans="1:9" ht="13.5">
      <c r="A3595" s="128">
        <v>2003</v>
      </c>
      <c r="B3595" s="128" t="s">
        <v>139</v>
      </c>
      <c r="C3595" s="128" t="s">
        <v>26</v>
      </c>
      <c r="D3595" s="128" t="s">
        <v>79</v>
      </c>
      <c r="E3595" s="128" t="s">
        <v>136</v>
      </c>
      <c r="F3595" s="128">
        <v>0</v>
      </c>
      <c r="G3595" s="128">
        <v>0</v>
      </c>
      <c r="H3595" s="128">
        <v>0</v>
      </c>
      <c r="I3595" s="128">
        <v>0</v>
      </c>
    </row>
    <row r="3596" spans="1:9" ht="13.5">
      <c r="A3596" s="128">
        <v>2003</v>
      </c>
      <c r="B3596" s="128" t="s">
        <v>139</v>
      </c>
      <c r="C3596" s="128" t="s">
        <v>26</v>
      </c>
      <c r="D3596" s="128" t="s">
        <v>76</v>
      </c>
      <c r="E3596" s="128" t="s">
        <v>132</v>
      </c>
      <c r="F3596" s="128">
        <v>0</v>
      </c>
      <c r="G3596" s="128">
        <v>0</v>
      </c>
      <c r="H3596" s="128">
        <v>0</v>
      </c>
      <c r="I3596" s="128">
        <v>0</v>
      </c>
    </row>
    <row r="3597" spans="1:9" ht="13.5">
      <c r="A3597" s="128">
        <v>2003</v>
      </c>
      <c r="B3597" s="128" t="s">
        <v>139</v>
      </c>
      <c r="C3597" s="128" t="s">
        <v>26</v>
      </c>
      <c r="D3597" s="128" t="s">
        <v>76</v>
      </c>
      <c r="E3597" s="128" t="s">
        <v>133</v>
      </c>
      <c r="F3597" s="128">
        <v>0</v>
      </c>
      <c r="G3597" s="128">
        <v>0</v>
      </c>
      <c r="H3597" s="128">
        <v>0</v>
      </c>
      <c r="I3597" s="128">
        <v>0</v>
      </c>
    </row>
    <row r="3598" spans="1:9" ht="13.5">
      <c r="A3598" s="128">
        <v>2003</v>
      </c>
      <c r="B3598" s="128" t="s">
        <v>139</v>
      </c>
      <c r="C3598" s="128" t="s">
        <v>26</v>
      </c>
      <c r="D3598" s="128" t="s">
        <v>76</v>
      </c>
      <c r="E3598" s="128" t="s">
        <v>134</v>
      </c>
      <c r="F3598" s="128">
        <v>0</v>
      </c>
      <c r="G3598" s="128">
        <v>0</v>
      </c>
      <c r="H3598" s="128">
        <v>0</v>
      </c>
      <c r="I3598" s="128">
        <v>0</v>
      </c>
    </row>
    <row r="3599" spans="1:9" ht="13.5">
      <c r="A3599" s="128">
        <v>2003</v>
      </c>
      <c r="B3599" s="128" t="s">
        <v>139</v>
      </c>
      <c r="C3599" s="128" t="s">
        <v>26</v>
      </c>
      <c r="D3599" s="128" t="s">
        <v>76</v>
      </c>
      <c r="E3599" s="128" t="s">
        <v>135</v>
      </c>
      <c r="F3599" s="128">
        <v>0</v>
      </c>
      <c r="G3599" s="128">
        <v>0</v>
      </c>
      <c r="H3599" s="128">
        <v>0</v>
      </c>
      <c r="I3599" s="128">
        <v>0</v>
      </c>
    </row>
    <row r="3600" spans="1:9" ht="13.5">
      <c r="A3600" s="128">
        <v>2003</v>
      </c>
      <c r="B3600" s="128" t="s">
        <v>139</v>
      </c>
      <c r="C3600" s="128" t="s">
        <v>26</v>
      </c>
      <c r="D3600" s="128" t="s">
        <v>76</v>
      </c>
      <c r="E3600" s="128" t="s">
        <v>136</v>
      </c>
      <c r="F3600" s="128">
        <v>0</v>
      </c>
      <c r="G3600" s="128">
        <v>0</v>
      </c>
      <c r="H3600" s="128">
        <v>0</v>
      </c>
      <c r="I3600" s="128">
        <v>0</v>
      </c>
    </row>
    <row r="3601" spans="1:9" ht="13.5">
      <c r="A3601" s="128">
        <v>2003</v>
      </c>
      <c r="B3601" s="128" t="s">
        <v>139</v>
      </c>
      <c r="C3601" s="128" t="s">
        <v>20</v>
      </c>
      <c r="D3601" s="128" t="s">
        <v>77</v>
      </c>
      <c r="E3601" s="128" t="s">
        <v>132</v>
      </c>
      <c r="F3601" s="128">
        <v>638552</v>
      </c>
      <c r="G3601" s="128">
        <v>411933</v>
      </c>
      <c r="H3601" s="128">
        <v>178804</v>
      </c>
      <c r="I3601" s="128">
        <v>4584</v>
      </c>
    </row>
    <row r="3602" spans="1:9" ht="13.5">
      <c r="A3602" s="128">
        <v>2003</v>
      </c>
      <c r="B3602" s="128" t="s">
        <v>139</v>
      </c>
      <c r="C3602" s="128" t="s">
        <v>20</v>
      </c>
      <c r="D3602" s="128" t="s">
        <v>77</v>
      </c>
      <c r="E3602" s="128" t="s">
        <v>133</v>
      </c>
      <c r="F3602" s="128">
        <v>1270176</v>
      </c>
      <c r="G3602" s="128">
        <v>690567</v>
      </c>
      <c r="H3602" s="128">
        <v>408456</v>
      </c>
      <c r="I3602" s="128">
        <v>8358</v>
      </c>
    </row>
    <row r="3603" spans="1:9" ht="13.5">
      <c r="A3603" s="128">
        <v>2003</v>
      </c>
      <c r="B3603" s="128" t="s">
        <v>139</v>
      </c>
      <c r="C3603" s="128" t="s">
        <v>20</v>
      </c>
      <c r="D3603" s="128" t="s">
        <v>77</v>
      </c>
      <c r="E3603" s="128" t="s">
        <v>134</v>
      </c>
      <c r="F3603" s="128">
        <v>2177826</v>
      </c>
      <c r="G3603" s="128">
        <v>951375</v>
      </c>
      <c r="H3603" s="128">
        <v>772939</v>
      </c>
      <c r="I3603" s="128">
        <v>9116</v>
      </c>
    </row>
    <row r="3604" spans="1:9" ht="13.5">
      <c r="A3604" s="128">
        <v>2003</v>
      </c>
      <c r="B3604" s="128" t="s">
        <v>139</v>
      </c>
      <c r="C3604" s="128" t="s">
        <v>20</v>
      </c>
      <c r="D3604" s="128" t="s">
        <v>77</v>
      </c>
      <c r="E3604" s="128" t="s">
        <v>135</v>
      </c>
      <c r="F3604" s="128">
        <v>2345900</v>
      </c>
      <c r="G3604" s="128">
        <v>635886</v>
      </c>
      <c r="H3604" s="128">
        <v>630370</v>
      </c>
      <c r="I3604" s="128">
        <v>8047</v>
      </c>
    </row>
    <row r="3605" spans="1:9" ht="13.5">
      <c r="A3605" s="128">
        <v>2003</v>
      </c>
      <c r="B3605" s="128" t="s">
        <v>139</v>
      </c>
      <c r="C3605" s="128" t="s">
        <v>20</v>
      </c>
      <c r="D3605" s="128" t="s">
        <v>79</v>
      </c>
      <c r="E3605" s="128" t="s">
        <v>132</v>
      </c>
      <c r="F3605" s="128">
        <v>5401141</v>
      </c>
      <c r="G3605" s="128">
        <v>3687436</v>
      </c>
      <c r="H3605" s="128">
        <v>1241644</v>
      </c>
      <c r="I3605" s="128">
        <v>44623</v>
      </c>
    </row>
    <row r="3606" spans="1:9" ht="13.5">
      <c r="A3606" s="128">
        <v>2003</v>
      </c>
      <c r="B3606" s="128" t="s">
        <v>139</v>
      </c>
      <c r="C3606" s="128" t="s">
        <v>20</v>
      </c>
      <c r="D3606" s="128" t="s">
        <v>79</v>
      </c>
      <c r="E3606" s="128" t="s">
        <v>133</v>
      </c>
      <c r="F3606" s="128">
        <v>7606478</v>
      </c>
      <c r="G3606" s="128">
        <v>4144169</v>
      </c>
      <c r="H3606" s="128">
        <v>1417993</v>
      </c>
      <c r="I3606" s="128">
        <v>48877</v>
      </c>
    </row>
    <row r="3607" spans="1:9" ht="13.5">
      <c r="A3607" s="128">
        <v>2003</v>
      </c>
      <c r="B3607" s="128" t="s">
        <v>139</v>
      </c>
      <c r="C3607" s="128" t="s">
        <v>20</v>
      </c>
      <c r="D3607" s="128" t="s">
        <v>79</v>
      </c>
      <c r="E3607" s="128" t="s">
        <v>134</v>
      </c>
      <c r="F3607" s="128">
        <v>21161908</v>
      </c>
      <c r="G3607" s="128">
        <v>9060698</v>
      </c>
      <c r="H3607" s="128">
        <v>3046331</v>
      </c>
      <c r="I3607" s="128">
        <v>90384</v>
      </c>
    </row>
    <row r="3608" spans="1:9" ht="13.5">
      <c r="A3608" s="128">
        <v>2003</v>
      </c>
      <c r="B3608" s="128" t="s">
        <v>139</v>
      </c>
      <c r="C3608" s="128" t="s">
        <v>20</v>
      </c>
      <c r="D3608" s="128" t="s">
        <v>79</v>
      </c>
      <c r="E3608" s="128" t="s">
        <v>135</v>
      </c>
      <c r="F3608" s="128">
        <v>34932956</v>
      </c>
      <c r="G3608" s="128">
        <v>10050147</v>
      </c>
      <c r="H3608" s="128">
        <v>3475550</v>
      </c>
      <c r="I3608" s="128">
        <v>88345</v>
      </c>
    </row>
    <row r="3609" spans="1:9" ht="13.5">
      <c r="A3609" s="128">
        <v>2003</v>
      </c>
      <c r="B3609" s="128" t="s">
        <v>139</v>
      </c>
      <c r="C3609" s="128" t="s">
        <v>20</v>
      </c>
      <c r="D3609" s="128" t="s">
        <v>79</v>
      </c>
      <c r="E3609" s="128" t="s">
        <v>136</v>
      </c>
      <c r="F3609" s="128">
        <v>22564660</v>
      </c>
      <c r="G3609" s="128">
        <v>17041443</v>
      </c>
      <c r="H3609" s="128">
        <v>5523210</v>
      </c>
      <c r="I3609" s="128">
        <v>379216</v>
      </c>
    </row>
    <row r="3610" spans="1:9" ht="13.5">
      <c r="A3610" s="128">
        <v>2003</v>
      </c>
      <c r="B3610" s="128" t="s">
        <v>139</v>
      </c>
      <c r="C3610" s="128" t="s">
        <v>20</v>
      </c>
      <c r="D3610" s="128" t="s">
        <v>76</v>
      </c>
      <c r="E3610" s="128" t="s">
        <v>132</v>
      </c>
      <c r="F3610" s="128">
        <v>20714416</v>
      </c>
      <c r="G3610" s="128">
        <v>13298963</v>
      </c>
      <c r="H3610" s="128">
        <v>7415454</v>
      </c>
      <c r="I3610" s="128">
        <v>254343</v>
      </c>
    </row>
    <row r="3611" spans="1:9" ht="13.5">
      <c r="A3611" s="128">
        <v>2003</v>
      </c>
      <c r="B3611" s="128" t="s">
        <v>139</v>
      </c>
      <c r="C3611" s="128" t="s">
        <v>20</v>
      </c>
      <c r="D3611" s="128" t="s">
        <v>76</v>
      </c>
      <c r="E3611" s="128" t="s">
        <v>133</v>
      </c>
      <c r="F3611" s="128">
        <v>29634824</v>
      </c>
      <c r="G3611" s="128">
        <v>16165240</v>
      </c>
      <c r="H3611" s="128">
        <v>13469586</v>
      </c>
      <c r="I3611" s="128">
        <v>154647</v>
      </c>
    </row>
    <row r="3612" spans="1:9" ht="13.5">
      <c r="A3612" s="128">
        <v>2003</v>
      </c>
      <c r="B3612" s="128" t="s">
        <v>139</v>
      </c>
      <c r="C3612" s="128" t="s">
        <v>20</v>
      </c>
      <c r="D3612" s="128" t="s">
        <v>76</v>
      </c>
      <c r="E3612" s="128" t="s">
        <v>134</v>
      </c>
      <c r="F3612" s="128">
        <v>12479521</v>
      </c>
      <c r="G3612" s="128">
        <v>5945947</v>
      </c>
      <c r="H3612" s="128">
        <v>6533574</v>
      </c>
      <c r="I3612" s="128">
        <v>99903</v>
      </c>
    </row>
    <row r="3613" spans="1:9" ht="13.5">
      <c r="A3613" s="128">
        <v>2003</v>
      </c>
      <c r="B3613" s="128" t="s">
        <v>139</v>
      </c>
      <c r="C3613" s="128" t="s">
        <v>20</v>
      </c>
      <c r="D3613" s="128" t="s">
        <v>76</v>
      </c>
      <c r="E3613" s="128" t="s">
        <v>135</v>
      </c>
      <c r="F3613" s="128">
        <v>4410858</v>
      </c>
      <c r="G3613" s="128">
        <v>1215317</v>
      </c>
      <c r="H3613" s="128">
        <v>3195539</v>
      </c>
      <c r="I3613" s="128">
        <v>4443</v>
      </c>
    </row>
    <row r="3614" spans="1:9" ht="13.5">
      <c r="A3614" s="128">
        <v>2003</v>
      </c>
      <c r="B3614" s="128" t="s">
        <v>139</v>
      </c>
      <c r="C3614" s="128" t="s">
        <v>20</v>
      </c>
      <c r="D3614" s="128" t="s">
        <v>76</v>
      </c>
      <c r="E3614" s="128" t="s">
        <v>136</v>
      </c>
      <c r="F3614" s="128">
        <v>1596581</v>
      </c>
      <c r="G3614" s="128">
        <v>1208428</v>
      </c>
      <c r="H3614" s="128">
        <v>388154</v>
      </c>
      <c r="I3614" s="128">
        <v>28569</v>
      </c>
    </row>
    <row r="3615" spans="1:9" ht="13.5">
      <c r="A3615" s="128">
        <v>2003</v>
      </c>
      <c r="B3615" s="128" t="s">
        <v>139</v>
      </c>
      <c r="C3615" s="128" t="s">
        <v>27</v>
      </c>
      <c r="D3615" s="128" t="s">
        <v>77</v>
      </c>
      <c r="E3615" s="128" t="s">
        <v>132</v>
      </c>
      <c r="F3615" s="128">
        <v>2483</v>
      </c>
      <c r="G3615" s="128">
        <v>1536</v>
      </c>
      <c r="H3615" s="128">
        <v>690</v>
      </c>
      <c r="I3615" s="128">
        <v>14</v>
      </c>
    </row>
    <row r="3616" spans="1:9" ht="13.5">
      <c r="A3616" s="128">
        <v>2003</v>
      </c>
      <c r="B3616" s="128" t="s">
        <v>139</v>
      </c>
      <c r="C3616" s="128" t="s">
        <v>27</v>
      </c>
      <c r="D3616" s="128" t="s">
        <v>77</v>
      </c>
      <c r="E3616" s="128" t="s">
        <v>133</v>
      </c>
      <c r="F3616" s="128">
        <v>17870</v>
      </c>
      <c r="G3616" s="128">
        <v>9999</v>
      </c>
      <c r="H3616" s="128">
        <v>6097</v>
      </c>
      <c r="I3616" s="128">
        <v>88</v>
      </c>
    </row>
    <row r="3617" spans="1:9" ht="13.5">
      <c r="A3617" s="128">
        <v>2003</v>
      </c>
      <c r="B3617" s="128" t="s">
        <v>139</v>
      </c>
      <c r="C3617" s="128" t="s">
        <v>27</v>
      </c>
      <c r="D3617" s="128" t="s">
        <v>77</v>
      </c>
      <c r="E3617" s="128" t="s">
        <v>134</v>
      </c>
      <c r="F3617" s="128">
        <v>23199</v>
      </c>
      <c r="G3617" s="128">
        <v>10242</v>
      </c>
      <c r="H3617" s="128">
        <v>8871</v>
      </c>
      <c r="I3617" s="128">
        <v>95</v>
      </c>
    </row>
    <row r="3618" spans="1:9" ht="13.5">
      <c r="A3618" s="128">
        <v>2003</v>
      </c>
      <c r="B3618" s="128" t="s">
        <v>139</v>
      </c>
      <c r="C3618" s="128" t="s">
        <v>27</v>
      </c>
      <c r="D3618" s="128" t="s">
        <v>77</v>
      </c>
      <c r="E3618" s="128" t="s">
        <v>135</v>
      </c>
      <c r="F3618" s="128">
        <v>52071</v>
      </c>
      <c r="G3618" s="128">
        <v>13720</v>
      </c>
      <c r="H3618" s="128">
        <v>17275</v>
      </c>
      <c r="I3618" s="128">
        <v>80</v>
      </c>
    </row>
    <row r="3619" spans="1:9" ht="13.5">
      <c r="A3619" s="128">
        <v>2003</v>
      </c>
      <c r="B3619" s="128" t="s">
        <v>139</v>
      </c>
      <c r="C3619" s="128" t="s">
        <v>27</v>
      </c>
      <c r="D3619" s="128" t="s">
        <v>79</v>
      </c>
      <c r="E3619" s="128" t="s">
        <v>132</v>
      </c>
      <c r="F3619" s="128">
        <v>71005</v>
      </c>
      <c r="G3619" s="128">
        <v>48218</v>
      </c>
      <c r="H3619" s="128">
        <v>16020</v>
      </c>
      <c r="I3619" s="128">
        <v>392</v>
      </c>
    </row>
    <row r="3620" spans="1:9" ht="13.5">
      <c r="A3620" s="128">
        <v>2003</v>
      </c>
      <c r="B3620" s="128" t="s">
        <v>139</v>
      </c>
      <c r="C3620" s="128" t="s">
        <v>27</v>
      </c>
      <c r="D3620" s="128" t="s">
        <v>79</v>
      </c>
      <c r="E3620" s="128" t="s">
        <v>133</v>
      </c>
      <c r="F3620" s="128">
        <v>65704</v>
      </c>
      <c r="G3620" s="128">
        <v>35877</v>
      </c>
      <c r="H3620" s="128">
        <v>11992</v>
      </c>
      <c r="I3620" s="128">
        <v>384</v>
      </c>
    </row>
    <row r="3621" spans="1:9" ht="13.5">
      <c r="A3621" s="128">
        <v>2003</v>
      </c>
      <c r="B3621" s="128" t="s">
        <v>139</v>
      </c>
      <c r="C3621" s="128" t="s">
        <v>27</v>
      </c>
      <c r="D3621" s="128" t="s">
        <v>79</v>
      </c>
      <c r="E3621" s="128" t="s">
        <v>134</v>
      </c>
      <c r="F3621" s="128">
        <v>191593</v>
      </c>
      <c r="G3621" s="128">
        <v>81629</v>
      </c>
      <c r="H3621" s="128">
        <v>26803</v>
      </c>
      <c r="I3621" s="128">
        <v>900</v>
      </c>
    </row>
    <row r="3622" spans="1:9" ht="13.5">
      <c r="A3622" s="128">
        <v>2003</v>
      </c>
      <c r="B3622" s="128" t="s">
        <v>139</v>
      </c>
      <c r="C3622" s="128" t="s">
        <v>27</v>
      </c>
      <c r="D3622" s="128" t="s">
        <v>79</v>
      </c>
      <c r="E3622" s="128" t="s">
        <v>135</v>
      </c>
      <c r="F3622" s="128">
        <v>329553</v>
      </c>
      <c r="G3622" s="128">
        <v>98040</v>
      </c>
      <c r="H3622" s="128">
        <v>32210</v>
      </c>
      <c r="I3622" s="128">
        <v>839</v>
      </c>
    </row>
    <row r="3623" spans="1:9" ht="13.5">
      <c r="A3623" s="128">
        <v>2003</v>
      </c>
      <c r="B3623" s="128" t="s">
        <v>139</v>
      </c>
      <c r="C3623" s="128" t="s">
        <v>27</v>
      </c>
      <c r="D3623" s="128" t="s">
        <v>79</v>
      </c>
      <c r="E3623" s="128" t="s">
        <v>136</v>
      </c>
      <c r="F3623" s="128">
        <v>218692</v>
      </c>
      <c r="G3623" s="128">
        <v>165268</v>
      </c>
      <c r="H3623" s="128">
        <v>53423</v>
      </c>
      <c r="I3623" s="128">
        <v>3482</v>
      </c>
    </row>
    <row r="3624" spans="1:9" ht="13.5">
      <c r="A3624" s="128">
        <v>2003</v>
      </c>
      <c r="B3624" s="128" t="s">
        <v>139</v>
      </c>
      <c r="C3624" s="128" t="s">
        <v>27</v>
      </c>
      <c r="D3624" s="128" t="s">
        <v>76</v>
      </c>
      <c r="E3624" s="128" t="s">
        <v>132</v>
      </c>
      <c r="F3624" s="128">
        <v>222978</v>
      </c>
      <c r="G3624" s="128">
        <v>142183</v>
      </c>
      <c r="H3624" s="128">
        <v>80794</v>
      </c>
      <c r="I3624" s="128">
        <v>2898</v>
      </c>
    </row>
    <row r="3625" spans="1:9" ht="13.5">
      <c r="A3625" s="128">
        <v>2003</v>
      </c>
      <c r="B3625" s="128" t="s">
        <v>139</v>
      </c>
      <c r="C3625" s="128" t="s">
        <v>27</v>
      </c>
      <c r="D3625" s="128" t="s">
        <v>76</v>
      </c>
      <c r="E3625" s="128" t="s">
        <v>133</v>
      </c>
      <c r="F3625" s="128">
        <v>532969</v>
      </c>
      <c r="G3625" s="128">
        <v>292530</v>
      </c>
      <c r="H3625" s="128">
        <v>240437</v>
      </c>
      <c r="I3625" s="128">
        <v>2919</v>
      </c>
    </row>
    <row r="3626" spans="1:9" ht="13.5">
      <c r="A3626" s="128">
        <v>2003</v>
      </c>
      <c r="B3626" s="128" t="s">
        <v>139</v>
      </c>
      <c r="C3626" s="128" t="s">
        <v>27</v>
      </c>
      <c r="D3626" s="128" t="s">
        <v>76</v>
      </c>
      <c r="E3626" s="128" t="s">
        <v>134</v>
      </c>
      <c r="F3626" s="128">
        <v>262461</v>
      </c>
      <c r="G3626" s="128">
        <v>124371</v>
      </c>
      <c r="H3626" s="128">
        <v>138090</v>
      </c>
      <c r="I3626" s="128">
        <v>2020</v>
      </c>
    </row>
    <row r="3627" spans="1:9" ht="13.5">
      <c r="A3627" s="128">
        <v>2003</v>
      </c>
      <c r="B3627" s="128" t="s">
        <v>139</v>
      </c>
      <c r="C3627" s="128" t="s">
        <v>27</v>
      </c>
      <c r="D3627" s="128" t="s">
        <v>76</v>
      </c>
      <c r="E3627" s="128" t="s">
        <v>135</v>
      </c>
      <c r="F3627" s="128">
        <v>102705</v>
      </c>
      <c r="G3627" s="128">
        <v>30210</v>
      </c>
      <c r="H3627" s="128">
        <v>72495</v>
      </c>
      <c r="I3627" s="128">
        <v>107</v>
      </c>
    </row>
    <row r="3628" spans="1:9" ht="13.5">
      <c r="A3628" s="128">
        <v>2003</v>
      </c>
      <c r="B3628" s="128" t="s">
        <v>139</v>
      </c>
      <c r="C3628" s="128" t="s">
        <v>27</v>
      </c>
      <c r="D3628" s="128" t="s">
        <v>76</v>
      </c>
      <c r="E3628" s="128" t="s">
        <v>136</v>
      </c>
      <c r="F3628" s="128">
        <v>28343</v>
      </c>
      <c r="G3628" s="128">
        <v>21356</v>
      </c>
      <c r="H3628" s="128">
        <v>6988</v>
      </c>
      <c r="I3628" s="128">
        <v>461</v>
      </c>
    </row>
    <row r="3629" spans="1:9" ht="13.5">
      <c r="A3629" s="128">
        <v>2003</v>
      </c>
      <c r="B3629" s="128" t="s">
        <v>139</v>
      </c>
      <c r="C3629" s="128" t="s">
        <v>22</v>
      </c>
      <c r="D3629" s="128" t="s">
        <v>77</v>
      </c>
      <c r="E3629" s="128" t="s">
        <v>132</v>
      </c>
      <c r="F3629" s="128">
        <v>387472</v>
      </c>
      <c r="G3629" s="128">
        <v>249040</v>
      </c>
      <c r="H3629" s="128">
        <v>119323</v>
      </c>
      <c r="I3629" s="128">
        <v>5845</v>
      </c>
    </row>
    <row r="3630" spans="1:9" ht="13.5">
      <c r="A3630" s="128">
        <v>2003</v>
      </c>
      <c r="B3630" s="128" t="s">
        <v>139</v>
      </c>
      <c r="C3630" s="128" t="s">
        <v>22</v>
      </c>
      <c r="D3630" s="128" t="s">
        <v>77</v>
      </c>
      <c r="E3630" s="128" t="s">
        <v>133</v>
      </c>
      <c r="F3630" s="128">
        <v>978688</v>
      </c>
      <c r="G3630" s="128">
        <v>529644</v>
      </c>
      <c r="H3630" s="128">
        <v>341542</v>
      </c>
      <c r="I3630" s="128">
        <v>4664</v>
      </c>
    </row>
    <row r="3631" spans="1:9" ht="13.5">
      <c r="A3631" s="128">
        <v>2003</v>
      </c>
      <c r="B3631" s="128" t="s">
        <v>139</v>
      </c>
      <c r="C3631" s="128" t="s">
        <v>22</v>
      </c>
      <c r="D3631" s="128" t="s">
        <v>77</v>
      </c>
      <c r="E3631" s="128" t="s">
        <v>134</v>
      </c>
      <c r="F3631" s="128">
        <v>3143123</v>
      </c>
      <c r="G3631" s="128">
        <v>1333837</v>
      </c>
      <c r="H3631" s="128">
        <v>1195792</v>
      </c>
      <c r="I3631" s="128">
        <v>10647</v>
      </c>
    </row>
    <row r="3632" spans="1:9" ht="13.5">
      <c r="A3632" s="128">
        <v>2003</v>
      </c>
      <c r="B3632" s="128" t="s">
        <v>139</v>
      </c>
      <c r="C3632" s="128" t="s">
        <v>22</v>
      </c>
      <c r="D3632" s="128" t="s">
        <v>77</v>
      </c>
      <c r="E3632" s="128" t="s">
        <v>135</v>
      </c>
      <c r="F3632" s="128">
        <v>2396108</v>
      </c>
      <c r="G3632" s="128">
        <v>684459</v>
      </c>
      <c r="H3632" s="128">
        <v>723385</v>
      </c>
      <c r="I3632" s="128">
        <v>7809</v>
      </c>
    </row>
    <row r="3633" spans="1:9" ht="13.5">
      <c r="A3633" s="128">
        <v>2003</v>
      </c>
      <c r="B3633" s="128" t="s">
        <v>139</v>
      </c>
      <c r="C3633" s="128" t="s">
        <v>22</v>
      </c>
      <c r="D3633" s="128" t="s">
        <v>79</v>
      </c>
      <c r="E3633" s="128" t="s">
        <v>132</v>
      </c>
      <c r="F3633" s="128">
        <v>4440819</v>
      </c>
      <c r="G3633" s="128">
        <v>2794264</v>
      </c>
      <c r="H3633" s="128">
        <v>983284</v>
      </c>
      <c r="I3633" s="128">
        <v>33977</v>
      </c>
    </row>
    <row r="3634" spans="1:9" ht="13.5">
      <c r="A3634" s="128">
        <v>2003</v>
      </c>
      <c r="B3634" s="128" t="s">
        <v>139</v>
      </c>
      <c r="C3634" s="128" t="s">
        <v>22</v>
      </c>
      <c r="D3634" s="128" t="s">
        <v>79</v>
      </c>
      <c r="E3634" s="128" t="s">
        <v>133</v>
      </c>
      <c r="F3634" s="128">
        <v>5539225</v>
      </c>
      <c r="G3634" s="128">
        <v>3054489</v>
      </c>
      <c r="H3634" s="128">
        <v>1067395</v>
      </c>
      <c r="I3634" s="128">
        <v>37611</v>
      </c>
    </row>
    <row r="3635" spans="1:9" ht="13.5">
      <c r="A3635" s="128">
        <v>2003</v>
      </c>
      <c r="B3635" s="128" t="s">
        <v>139</v>
      </c>
      <c r="C3635" s="128" t="s">
        <v>22</v>
      </c>
      <c r="D3635" s="128" t="s">
        <v>79</v>
      </c>
      <c r="E3635" s="128" t="s">
        <v>134</v>
      </c>
      <c r="F3635" s="128">
        <v>10904806</v>
      </c>
      <c r="G3635" s="128">
        <v>4685262</v>
      </c>
      <c r="H3635" s="128">
        <v>1558397</v>
      </c>
      <c r="I3635" s="128">
        <v>48742</v>
      </c>
    </row>
    <row r="3636" spans="1:9" ht="13.5">
      <c r="A3636" s="128">
        <v>2003</v>
      </c>
      <c r="B3636" s="128" t="s">
        <v>139</v>
      </c>
      <c r="C3636" s="128" t="s">
        <v>22</v>
      </c>
      <c r="D3636" s="128" t="s">
        <v>79</v>
      </c>
      <c r="E3636" s="128" t="s">
        <v>135</v>
      </c>
      <c r="F3636" s="128">
        <v>10551136</v>
      </c>
      <c r="G3636" s="128">
        <v>3025674</v>
      </c>
      <c r="H3636" s="128">
        <v>1028089</v>
      </c>
      <c r="I3636" s="128">
        <v>31598</v>
      </c>
    </row>
    <row r="3637" spans="1:9" ht="13.5">
      <c r="A3637" s="128">
        <v>2003</v>
      </c>
      <c r="B3637" s="128" t="s">
        <v>139</v>
      </c>
      <c r="C3637" s="128" t="s">
        <v>22</v>
      </c>
      <c r="D3637" s="128" t="s">
        <v>79</v>
      </c>
      <c r="E3637" s="128" t="s">
        <v>136</v>
      </c>
      <c r="F3637" s="128">
        <v>9304025</v>
      </c>
      <c r="G3637" s="128">
        <v>7060638</v>
      </c>
      <c r="H3637" s="128">
        <v>2243385</v>
      </c>
      <c r="I3637" s="128">
        <v>134455</v>
      </c>
    </row>
    <row r="3638" spans="1:9" ht="13.5">
      <c r="A3638" s="128">
        <v>2003</v>
      </c>
      <c r="B3638" s="128" t="s">
        <v>139</v>
      </c>
      <c r="C3638" s="128" t="s">
        <v>22</v>
      </c>
      <c r="D3638" s="128" t="s">
        <v>76</v>
      </c>
      <c r="E3638" s="128" t="s">
        <v>132</v>
      </c>
      <c r="F3638" s="128">
        <v>18099673</v>
      </c>
      <c r="G3638" s="128">
        <v>11694302</v>
      </c>
      <c r="H3638" s="128">
        <v>6405369</v>
      </c>
      <c r="I3638" s="128">
        <v>284212</v>
      </c>
    </row>
    <row r="3639" spans="1:9" ht="13.5">
      <c r="A3639" s="128">
        <v>2003</v>
      </c>
      <c r="B3639" s="128" t="s">
        <v>139</v>
      </c>
      <c r="C3639" s="128" t="s">
        <v>22</v>
      </c>
      <c r="D3639" s="128" t="s">
        <v>76</v>
      </c>
      <c r="E3639" s="128" t="s">
        <v>133</v>
      </c>
      <c r="F3639" s="128">
        <v>25786829</v>
      </c>
      <c r="G3639" s="128">
        <v>14083110</v>
      </c>
      <c r="H3639" s="128">
        <v>11703720</v>
      </c>
      <c r="I3639" s="128">
        <v>159096</v>
      </c>
    </row>
    <row r="3640" spans="1:9" ht="13.5">
      <c r="A3640" s="128">
        <v>2003</v>
      </c>
      <c r="B3640" s="128" t="s">
        <v>139</v>
      </c>
      <c r="C3640" s="128" t="s">
        <v>22</v>
      </c>
      <c r="D3640" s="128" t="s">
        <v>76</v>
      </c>
      <c r="E3640" s="128" t="s">
        <v>134</v>
      </c>
      <c r="F3640" s="128">
        <v>8918292</v>
      </c>
      <c r="G3640" s="128">
        <v>4268300</v>
      </c>
      <c r="H3640" s="128">
        <v>4649990</v>
      </c>
      <c r="I3640" s="128">
        <v>79276</v>
      </c>
    </row>
    <row r="3641" spans="1:9" ht="13.5">
      <c r="A3641" s="128">
        <v>2003</v>
      </c>
      <c r="B3641" s="128" t="s">
        <v>139</v>
      </c>
      <c r="C3641" s="128" t="s">
        <v>22</v>
      </c>
      <c r="D3641" s="128" t="s">
        <v>76</v>
      </c>
      <c r="E3641" s="128" t="s">
        <v>135</v>
      </c>
      <c r="F3641" s="128">
        <v>2781157</v>
      </c>
      <c r="G3641" s="128">
        <v>830089</v>
      </c>
      <c r="H3641" s="128">
        <v>1951066</v>
      </c>
      <c r="I3641" s="128">
        <v>3157</v>
      </c>
    </row>
    <row r="3642" spans="1:9" ht="13.5">
      <c r="A3642" s="128">
        <v>2003</v>
      </c>
      <c r="B3642" s="128" t="s">
        <v>139</v>
      </c>
      <c r="C3642" s="128" t="s">
        <v>22</v>
      </c>
      <c r="D3642" s="128" t="s">
        <v>76</v>
      </c>
      <c r="E3642" s="128" t="s">
        <v>136</v>
      </c>
      <c r="F3642" s="128">
        <v>761289</v>
      </c>
      <c r="G3642" s="128">
        <v>576848</v>
      </c>
      <c r="H3642" s="128">
        <v>184438</v>
      </c>
      <c r="I3642" s="128">
        <v>11509</v>
      </c>
    </row>
    <row r="3643" spans="1:9" ht="13.5">
      <c r="A3643" s="128">
        <v>2003</v>
      </c>
      <c r="B3643" s="128" t="s">
        <v>139</v>
      </c>
      <c r="C3643" s="128" t="s">
        <v>23</v>
      </c>
      <c r="D3643" s="128" t="s">
        <v>77</v>
      </c>
      <c r="E3643" s="128" t="s">
        <v>132</v>
      </c>
      <c r="F3643" s="128">
        <v>270310</v>
      </c>
      <c r="G3643" s="128">
        <v>174467</v>
      </c>
      <c r="H3643" s="128">
        <v>78606</v>
      </c>
      <c r="I3643" s="128">
        <v>2149</v>
      </c>
    </row>
    <row r="3644" spans="1:9" ht="13.5">
      <c r="A3644" s="128">
        <v>2003</v>
      </c>
      <c r="B3644" s="128" t="s">
        <v>139</v>
      </c>
      <c r="C3644" s="128" t="s">
        <v>23</v>
      </c>
      <c r="D3644" s="128" t="s">
        <v>77</v>
      </c>
      <c r="E3644" s="128" t="s">
        <v>133</v>
      </c>
      <c r="F3644" s="128">
        <v>707879</v>
      </c>
      <c r="G3644" s="128">
        <v>388994</v>
      </c>
      <c r="H3644" s="128">
        <v>262515</v>
      </c>
      <c r="I3644" s="128">
        <v>2830</v>
      </c>
    </row>
    <row r="3645" spans="1:9" ht="13.5">
      <c r="A3645" s="128">
        <v>2003</v>
      </c>
      <c r="B3645" s="128" t="s">
        <v>139</v>
      </c>
      <c r="C3645" s="128" t="s">
        <v>23</v>
      </c>
      <c r="D3645" s="128" t="s">
        <v>77</v>
      </c>
      <c r="E3645" s="128" t="s">
        <v>134</v>
      </c>
      <c r="F3645" s="128">
        <v>720833</v>
      </c>
      <c r="G3645" s="128">
        <v>326898</v>
      </c>
      <c r="H3645" s="128">
        <v>299551</v>
      </c>
      <c r="I3645" s="128">
        <v>3848</v>
      </c>
    </row>
    <row r="3646" spans="1:9" ht="13.5">
      <c r="A3646" s="128">
        <v>2003</v>
      </c>
      <c r="B3646" s="128" t="s">
        <v>139</v>
      </c>
      <c r="C3646" s="128" t="s">
        <v>23</v>
      </c>
      <c r="D3646" s="128" t="s">
        <v>77</v>
      </c>
      <c r="E3646" s="128" t="s">
        <v>135</v>
      </c>
      <c r="F3646" s="128">
        <v>350021</v>
      </c>
      <c r="G3646" s="128">
        <v>97181</v>
      </c>
      <c r="H3646" s="128">
        <v>89200</v>
      </c>
      <c r="I3646" s="128">
        <v>805</v>
      </c>
    </row>
    <row r="3647" spans="1:9" ht="13.5">
      <c r="A3647" s="128">
        <v>2003</v>
      </c>
      <c r="B3647" s="128" t="s">
        <v>139</v>
      </c>
      <c r="C3647" s="128" t="s">
        <v>23</v>
      </c>
      <c r="D3647" s="128" t="s">
        <v>79</v>
      </c>
      <c r="E3647" s="128" t="s">
        <v>132</v>
      </c>
      <c r="F3647" s="128">
        <v>642681</v>
      </c>
      <c r="G3647" s="128">
        <v>434624</v>
      </c>
      <c r="H3647" s="128">
        <v>147794</v>
      </c>
      <c r="I3647" s="128">
        <v>4924</v>
      </c>
    </row>
    <row r="3648" spans="1:9" ht="13.5">
      <c r="A3648" s="128">
        <v>2003</v>
      </c>
      <c r="B3648" s="128" t="s">
        <v>139</v>
      </c>
      <c r="C3648" s="128" t="s">
        <v>23</v>
      </c>
      <c r="D3648" s="128" t="s">
        <v>79</v>
      </c>
      <c r="E3648" s="128" t="s">
        <v>133</v>
      </c>
      <c r="F3648" s="128">
        <v>519761</v>
      </c>
      <c r="G3648" s="128">
        <v>280317</v>
      </c>
      <c r="H3648" s="128">
        <v>97836</v>
      </c>
      <c r="I3648" s="128">
        <v>3640</v>
      </c>
    </row>
    <row r="3649" spans="1:9" ht="13.5">
      <c r="A3649" s="128">
        <v>2003</v>
      </c>
      <c r="B3649" s="128" t="s">
        <v>139</v>
      </c>
      <c r="C3649" s="128" t="s">
        <v>23</v>
      </c>
      <c r="D3649" s="128" t="s">
        <v>79</v>
      </c>
      <c r="E3649" s="128" t="s">
        <v>134</v>
      </c>
      <c r="F3649" s="128">
        <v>675795</v>
      </c>
      <c r="G3649" s="128">
        <v>294729</v>
      </c>
      <c r="H3649" s="128">
        <v>102805</v>
      </c>
      <c r="I3649" s="128">
        <v>3702</v>
      </c>
    </row>
    <row r="3650" spans="1:9" ht="13.5">
      <c r="A3650" s="128">
        <v>2003</v>
      </c>
      <c r="B3650" s="128" t="s">
        <v>139</v>
      </c>
      <c r="C3650" s="128" t="s">
        <v>23</v>
      </c>
      <c r="D3650" s="128" t="s">
        <v>79</v>
      </c>
      <c r="E3650" s="128" t="s">
        <v>135</v>
      </c>
      <c r="F3650" s="128">
        <v>808996</v>
      </c>
      <c r="G3650" s="128">
        <v>209582</v>
      </c>
      <c r="H3650" s="128">
        <v>83544</v>
      </c>
      <c r="I3650" s="128">
        <v>2527</v>
      </c>
    </row>
    <row r="3651" spans="1:9" ht="13.5">
      <c r="A3651" s="128">
        <v>2003</v>
      </c>
      <c r="B3651" s="128" t="s">
        <v>139</v>
      </c>
      <c r="C3651" s="128" t="s">
        <v>23</v>
      </c>
      <c r="D3651" s="128" t="s">
        <v>79</v>
      </c>
      <c r="E3651" s="128" t="s">
        <v>136</v>
      </c>
      <c r="F3651" s="128">
        <v>2873553</v>
      </c>
      <c r="G3651" s="128">
        <v>2163856</v>
      </c>
      <c r="H3651" s="128">
        <v>709673</v>
      </c>
      <c r="I3651" s="128">
        <v>52880</v>
      </c>
    </row>
    <row r="3652" spans="1:9" ht="13.5">
      <c r="A3652" s="128">
        <v>2003</v>
      </c>
      <c r="B3652" s="128" t="s">
        <v>139</v>
      </c>
      <c r="C3652" s="128" t="s">
        <v>23</v>
      </c>
      <c r="D3652" s="128" t="s">
        <v>76</v>
      </c>
      <c r="E3652" s="128" t="s">
        <v>132</v>
      </c>
      <c r="F3652" s="128">
        <v>9163012</v>
      </c>
      <c r="G3652" s="128">
        <v>5941917</v>
      </c>
      <c r="H3652" s="128">
        <v>3221097</v>
      </c>
      <c r="I3652" s="128">
        <v>142059</v>
      </c>
    </row>
    <row r="3653" spans="1:9" ht="13.5">
      <c r="A3653" s="128">
        <v>2003</v>
      </c>
      <c r="B3653" s="128" t="s">
        <v>139</v>
      </c>
      <c r="C3653" s="128" t="s">
        <v>23</v>
      </c>
      <c r="D3653" s="128" t="s">
        <v>76</v>
      </c>
      <c r="E3653" s="128" t="s">
        <v>133</v>
      </c>
      <c r="F3653" s="128">
        <v>14007328</v>
      </c>
      <c r="G3653" s="128">
        <v>7681697</v>
      </c>
      <c r="H3653" s="128">
        <v>6325631</v>
      </c>
      <c r="I3653" s="128">
        <v>53791</v>
      </c>
    </row>
    <row r="3654" spans="1:9" ht="13.5">
      <c r="A3654" s="128">
        <v>2003</v>
      </c>
      <c r="B3654" s="128" t="s">
        <v>139</v>
      </c>
      <c r="C3654" s="128" t="s">
        <v>23</v>
      </c>
      <c r="D3654" s="128" t="s">
        <v>76</v>
      </c>
      <c r="E3654" s="128" t="s">
        <v>134</v>
      </c>
      <c r="F3654" s="128">
        <v>9653228</v>
      </c>
      <c r="G3654" s="128">
        <v>4590307</v>
      </c>
      <c r="H3654" s="128">
        <v>5062918</v>
      </c>
      <c r="I3654" s="128">
        <v>67313</v>
      </c>
    </row>
    <row r="3655" spans="1:9" ht="13.5">
      <c r="A3655" s="128">
        <v>2003</v>
      </c>
      <c r="B3655" s="128" t="s">
        <v>139</v>
      </c>
      <c r="C3655" s="128" t="s">
        <v>23</v>
      </c>
      <c r="D3655" s="128" t="s">
        <v>76</v>
      </c>
      <c r="E3655" s="128" t="s">
        <v>135</v>
      </c>
      <c r="F3655" s="128">
        <v>1064937</v>
      </c>
      <c r="G3655" s="128">
        <v>319592</v>
      </c>
      <c r="H3655" s="128">
        <v>745343</v>
      </c>
      <c r="I3655" s="128">
        <v>1612</v>
      </c>
    </row>
    <row r="3656" spans="1:9" ht="13.5">
      <c r="A3656" s="128">
        <v>2003</v>
      </c>
      <c r="B3656" s="128" t="s">
        <v>139</v>
      </c>
      <c r="C3656" s="128" t="s">
        <v>23</v>
      </c>
      <c r="D3656" s="128" t="s">
        <v>76</v>
      </c>
      <c r="E3656" s="128" t="s">
        <v>136</v>
      </c>
      <c r="F3656" s="128">
        <v>788717</v>
      </c>
      <c r="G3656" s="128">
        <v>597631</v>
      </c>
      <c r="H3656" s="128">
        <v>191085</v>
      </c>
      <c r="I3656" s="128">
        <v>7188</v>
      </c>
    </row>
    <row r="3657" spans="1:9" ht="13.5">
      <c r="A3657" s="128">
        <v>2003</v>
      </c>
      <c r="B3657" s="128" t="s">
        <v>139</v>
      </c>
      <c r="C3657" s="128" t="s">
        <v>25</v>
      </c>
      <c r="D3657" s="128" t="s">
        <v>77</v>
      </c>
      <c r="E3657" s="128" t="s">
        <v>132</v>
      </c>
      <c r="F3657" s="128">
        <v>19970</v>
      </c>
      <c r="G3657" s="128">
        <v>12746</v>
      </c>
      <c r="H3657" s="128">
        <v>5811</v>
      </c>
      <c r="I3657" s="128">
        <v>121</v>
      </c>
    </row>
    <row r="3658" spans="1:9" ht="13.5">
      <c r="A3658" s="128">
        <v>2003</v>
      </c>
      <c r="B3658" s="128" t="s">
        <v>139</v>
      </c>
      <c r="C3658" s="128" t="s">
        <v>25</v>
      </c>
      <c r="D3658" s="128" t="s">
        <v>77</v>
      </c>
      <c r="E3658" s="128" t="s">
        <v>133</v>
      </c>
      <c r="F3658" s="128">
        <v>82144</v>
      </c>
      <c r="G3658" s="128">
        <v>45238</v>
      </c>
      <c r="H3658" s="128">
        <v>28838</v>
      </c>
      <c r="I3658" s="128">
        <v>352</v>
      </c>
    </row>
    <row r="3659" spans="1:9" ht="13.5">
      <c r="A3659" s="128">
        <v>2003</v>
      </c>
      <c r="B3659" s="128" t="s">
        <v>139</v>
      </c>
      <c r="C3659" s="128" t="s">
        <v>25</v>
      </c>
      <c r="D3659" s="128" t="s">
        <v>77</v>
      </c>
      <c r="E3659" s="128" t="s">
        <v>134</v>
      </c>
      <c r="F3659" s="128">
        <v>101969</v>
      </c>
      <c r="G3659" s="128">
        <v>44338</v>
      </c>
      <c r="H3659" s="128">
        <v>41849</v>
      </c>
      <c r="I3659" s="128">
        <v>493</v>
      </c>
    </row>
    <row r="3660" spans="1:9" ht="13.5">
      <c r="A3660" s="128">
        <v>2003</v>
      </c>
      <c r="B3660" s="128" t="s">
        <v>139</v>
      </c>
      <c r="C3660" s="128" t="s">
        <v>25</v>
      </c>
      <c r="D3660" s="128" t="s">
        <v>77</v>
      </c>
      <c r="E3660" s="128" t="s">
        <v>135</v>
      </c>
      <c r="F3660" s="128">
        <v>171750</v>
      </c>
      <c r="G3660" s="128">
        <v>47489</v>
      </c>
      <c r="H3660" s="128">
        <v>47194</v>
      </c>
      <c r="I3660" s="128">
        <v>533</v>
      </c>
    </row>
    <row r="3661" spans="1:9" ht="13.5">
      <c r="A3661" s="128">
        <v>2003</v>
      </c>
      <c r="B3661" s="128" t="s">
        <v>139</v>
      </c>
      <c r="C3661" s="128" t="s">
        <v>25</v>
      </c>
      <c r="D3661" s="128" t="s">
        <v>79</v>
      </c>
      <c r="E3661" s="128" t="s">
        <v>132</v>
      </c>
      <c r="F3661" s="128">
        <v>406028</v>
      </c>
      <c r="G3661" s="128">
        <v>270713</v>
      </c>
      <c r="H3661" s="128">
        <v>91270</v>
      </c>
      <c r="I3661" s="128">
        <v>2819</v>
      </c>
    </row>
    <row r="3662" spans="1:9" ht="13.5">
      <c r="A3662" s="128">
        <v>2003</v>
      </c>
      <c r="B3662" s="128" t="s">
        <v>139</v>
      </c>
      <c r="C3662" s="128" t="s">
        <v>25</v>
      </c>
      <c r="D3662" s="128" t="s">
        <v>79</v>
      </c>
      <c r="E3662" s="128" t="s">
        <v>133</v>
      </c>
      <c r="F3662" s="128">
        <v>418585</v>
      </c>
      <c r="G3662" s="128">
        <v>231010</v>
      </c>
      <c r="H3662" s="128">
        <v>78449</v>
      </c>
      <c r="I3662" s="128">
        <v>2503</v>
      </c>
    </row>
    <row r="3663" spans="1:9" ht="13.5">
      <c r="A3663" s="128">
        <v>2003</v>
      </c>
      <c r="B3663" s="128" t="s">
        <v>139</v>
      </c>
      <c r="C3663" s="128" t="s">
        <v>25</v>
      </c>
      <c r="D3663" s="128" t="s">
        <v>79</v>
      </c>
      <c r="E3663" s="128" t="s">
        <v>134</v>
      </c>
      <c r="F3663" s="128">
        <v>698170</v>
      </c>
      <c r="G3663" s="128">
        <v>298723</v>
      </c>
      <c r="H3663" s="128">
        <v>100047</v>
      </c>
      <c r="I3663" s="128">
        <v>3614</v>
      </c>
    </row>
    <row r="3664" spans="1:9" ht="13.5">
      <c r="A3664" s="128">
        <v>2003</v>
      </c>
      <c r="B3664" s="128" t="s">
        <v>139</v>
      </c>
      <c r="C3664" s="128" t="s">
        <v>25</v>
      </c>
      <c r="D3664" s="128" t="s">
        <v>79</v>
      </c>
      <c r="E3664" s="128" t="s">
        <v>135</v>
      </c>
      <c r="F3664" s="128">
        <v>1206433</v>
      </c>
      <c r="G3664" s="128">
        <v>319443</v>
      </c>
      <c r="H3664" s="128">
        <v>110598</v>
      </c>
      <c r="I3664" s="128">
        <v>3059</v>
      </c>
    </row>
    <row r="3665" spans="1:9" ht="13.5">
      <c r="A3665" s="128">
        <v>2003</v>
      </c>
      <c r="B3665" s="128" t="s">
        <v>139</v>
      </c>
      <c r="C3665" s="128" t="s">
        <v>25</v>
      </c>
      <c r="D3665" s="128" t="s">
        <v>79</v>
      </c>
      <c r="E3665" s="128" t="s">
        <v>136</v>
      </c>
      <c r="F3665" s="128">
        <v>1296338</v>
      </c>
      <c r="G3665" s="128">
        <v>982811</v>
      </c>
      <c r="H3665" s="128">
        <v>313528</v>
      </c>
      <c r="I3665" s="128">
        <v>20709</v>
      </c>
    </row>
    <row r="3666" spans="1:9" ht="13.5">
      <c r="A3666" s="128">
        <v>2003</v>
      </c>
      <c r="B3666" s="128" t="s">
        <v>139</v>
      </c>
      <c r="C3666" s="128" t="s">
        <v>25</v>
      </c>
      <c r="D3666" s="128" t="s">
        <v>76</v>
      </c>
      <c r="E3666" s="128" t="s">
        <v>132</v>
      </c>
      <c r="F3666" s="128">
        <v>1983888</v>
      </c>
      <c r="G3666" s="128">
        <v>1287209</v>
      </c>
      <c r="H3666" s="128">
        <v>696682</v>
      </c>
      <c r="I3666" s="128">
        <v>27385</v>
      </c>
    </row>
    <row r="3667" spans="1:9" ht="13.5">
      <c r="A3667" s="128">
        <v>2003</v>
      </c>
      <c r="B3667" s="128" t="s">
        <v>139</v>
      </c>
      <c r="C3667" s="128" t="s">
        <v>25</v>
      </c>
      <c r="D3667" s="128" t="s">
        <v>76</v>
      </c>
      <c r="E3667" s="128" t="s">
        <v>133</v>
      </c>
      <c r="F3667" s="128">
        <v>2826625</v>
      </c>
      <c r="G3667" s="128">
        <v>1540701</v>
      </c>
      <c r="H3667" s="128">
        <v>1285923</v>
      </c>
      <c r="I3667" s="128">
        <v>14132</v>
      </c>
    </row>
    <row r="3668" spans="1:9" ht="13.5">
      <c r="A3668" s="128">
        <v>2003</v>
      </c>
      <c r="B3668" s="128" t="s">
        <v>139</v>
      </c>
      <c r="C3668" s="128" t="s">
        <v>25</v>
      </c>
      <c r="D3668" s="128" t="s">
        <v>76</v>
      </c>
      <c r="E3668" s="128" t="s">
        <v>134</v>
      </c>
      <c r="F3668" s="128">
        <v>1218276</v>
      </c>
      <c r="G3668" s="128">
        <v>579428</v>
      </c>
      <c r="H3668" s="128">
        <v>638848</v>
      </c>
      <c r="I3668" s="128">
        <v>8234</v>
      </c>
    </row>
    <row r="3669" spans="1:9" ht="13.5">
      <c r="A3669" s="128">
        <v>2003</v>
      </c>
      <c r="B3669" s="128" t="s">
        <v>139</v>
      </c>
      <c r="C3669" s="128" t="s">
        <v>25</v>
      </c>
      <c r="D3669" s="128" t="s">
        <v>76</v>
      </c>
      <c r="E3669" s="128" t="s">
        <v>135</v>
      </c>
      <c r="F3669" s="128">
        <v>328692</v>
      </c>
      <c r="G3669" s="128">
        <v>97156</v>
      </c>
      <c r="H3669" s="128">
        <v>231534</v>
      </c>
      <c r="I3669" s="128">
        <v>331</v>
      </c>
    </row>
    <row r="3670" spans="1:9" ht="13.5">
      <c r="A3670" s="128">
        <v>2003</v>
      </c>
      <c r="B3670" s="128" t="s">
        <v>139</v>
      </c>
      <c r="C3670" s="128" t="s">
        <v>25</v>
      </c>
      <c r="D3670" s="128" t="s">
        <v>76</v>
      </c>
      <c r="E3670" s="128" t="s">
        <v>136</v>
      </c>
      <c r="F3670" s="128">
        <v>96634</v>
      </c>
      <c r="G3670" s="128">
        <v>73871</v>
      </c>
      <c r="H3670" s="128">
        <v>22761</v>
      </c>
      <c r="I3670" s="128">
        <v>1046</v>
      </c>
    </row>
    <row r="3671" spans="1:9" ht="13.5">
      <c r="A3671" s="128">
        <v>2003</v>
      </c>
      <c r="B3671" s="128" t="s">
        <v>139</v>
      </c>
      <c r="C3671" s="128" t="s">
        <v>21</v>
      </c>
      <c r="D3671" s="128" t="s">
        <v>77</v>
      </c>
      <c r="E3671" s="128" t="s">
        <v>132</v>
      </c>
      <c r="F3671" s="128">
        <v>814521</v>
      </c>
      <c r="G3671" s="128">
        <v>533734</v>
      </c>
      <c r="H3671" s="128">
        <v>234668</v>
      </c>
      <c r="I3671" s="128">
        <v>5029</v>
      </c>
    </row>
    <row r="3672" spans="1:9" ht="13.5">
      <c r="A3672" s="128">
        <v>2003</v>
      </c>
      <c r="B3672" s="128" t="s">
        <v>139</v>
      </c>
      <c r="C3672" s="128" t="s">
        <v>21</v>
      </c>
      <c r="D3672" s="128" t="s">
        <v>77</v>
      </c>
      <c r="E3672" s="128" t="s">
        <v>133</v>
      </c>
      <c r="F3672" s="128">
        <v>2589901</v>
      </c>
      <c r="G3672" s="128">
        <v>1405103</v>
      </c>
      <c r="H3672" s="128">
        <v>890891</v>
      </c>
      <c r="I3672" s="128">
        <v>13370</v>
      </c>
    </row>
    <row r="3673" spans="1:9" ht="13.5">
      <c r="A3673" s="128">
        <v>2003</v>
      </c>
      <c r="B3673" s="128" t="s">
        <v>139</v>
      </c>
      <c r="C3673" s="128" t="s">
        <v>21</v>
      </c>
      <c r="D3673" s="128" t="s">
        <v>77</v>
      </c>
      <c r="E3673" s="128" t="s">
        <v>134</v>
      </c>
      <c r="F3673" s="128">
        <v>4399630</v>
      </c>
      <c r="G3673" s="128">
        <v>1908313</v>
      </c>
      <c r="H3673" s="128">
        <v>1645939</v>
      </c>
      <c r="I3673" s="128">
        <v>21831</v>
      </c>
    </row>
    <row r="3674" spans="1:9" ht="13.5">
      <c r="A3674" s="128">
        <v>2003</v>
      </c>
      <c r="B3674" s="128" t="s">
        <v>139</v>
      </c>
      <c r="C3674" s="128" t="s">
        <v>21</v>
      </c>
      <c r="D3674" s="128" t="s">
        <v>77</v>
      </c>
      <c r="E3674" s="128" t="s">
        <v>135</v>
      </c>
      <c r="F3674" s="128">
        <v>2890890</v>
      </c>
      <c r="G3674" s="128">
        <v>818854</v>
      </c>
      <c r="H3674" s="128">
        <v>838932</v>
      </c>
      <c r="I3674" s="128">
        <v>10462</v>
      </c>
    </row>
    <row r="3675" spans="1:9" ht="13.5">
      <c r="A3675" s="128">
        <v>2003</v>
      </c>
      <c r="B3675" s="128" t="s">
        <v>139</v>
      </c>
      <c r="C3675" s="128" t="s">
        <v>21</v>
      </c>
      <c r="D3675" s="128" t="s">
        <v>79</v>
      </c>
      <c r="E3675" s="128" t="s">
        <v>132</v>
      </c>
      <c r="F3675" s="128">
        <v>3544908</v>
      </c>
      <c r="G3675" s="128">
        <v>2366073</v>
      </c>
      <c r="H3675" s="128">
        <v>790144</v>
      </c>
      <c r="I3675" s="128">
        <v>26405</v>
      </c>
    </row>
    <row r="3676" spans="1:9" ht="13.5">
      <c r="A3676" s="128">
        <v>2003</v>
      </c>
      <c r="B3676" s="128" t="s">
        <v>139</v>
      </c>
      <c r="C3676" s="128" t="s">
        <v>21</v>
      </c>
      <c r="D3676" s="128" t="s">
        <v>79</v>
      </c>
      <c r="E3676" s="128" t="s">
        <v>133</v>
      </c>
      <c r="F3676" s="128">
        <v>3461031</v>
      </c>
      <c r="G3676" s="128">
        <v>1880562</v>
      </c>
      <c r="H3676" s="128">
        <v>640789</v>
      </c>
      <c r="I3676" s="128">
        <v>20052</v>
      </c>
    </row>
    <row r="3677" spans="1:9" ht="13.5">
      <c r="A3677" s="128">
        <v>2003</v>
      </c>
      <c r="B3677" s="128" t="s">
        <v>139</v>
      </c>
      <c r="C3677" s="128" t="s">
        <v>21</v>
      </c>
      <c r="D3677" s="128" t="s">
        <v>79</v>
      </c>
      <c r="E3677" s="128" t="s">
        <v>134</v>
      </c>
      <c r="F3677" s="128">
        <v>6789269</v>
      </c>
      <c r="G3677" s="128">
        <v>2949700</v>
      </c>
      <c r="H3677" s="128">
        <v>996130</v>
      </c>
      <c r="I3677" s="128">
        <v>40554</v>
      </c>
    </row>
    <row r="3678" spans="1:9" ht="13.5">
      <c r="A3678" s="128">
        <v>2003</v>
      </c>
      <c r="B3678" s="128" t="s">
        <v>139</v>
      </c>
      <c r="C3678" s="128" t="s">
        <v>21</v>
      </c>
      <c r="D3678" s="128" t="s">
        <v>79</v>
      </c>
      <c r="E3678" s="128" t="s">
        <v>135</v>
      </c>
      <c r="F3678" s="128">
        <v>5926530</v>
      </c>
      <c r="G3678" s="128">
        <v>1678504</v>
      </c>
      <c r="H3678" s="128">
        <v>594475</v>
      </c>
      <c r="I3678" s="128">
        <v>17136</v>
      </c>
    </row>
    <row r="3679" spans="1:9" ht="13.5">
      <c r="A3679" s="128">
        <v>2003</v>
      </c>
      <c r="B3679" s="128" t="s">
        <v>139</v>
      </c>
      <c r="C3679" s="128" t="s">
        <v>21</v>
      </c>
      <c r="D3679" s="128" t="s">
        <v>79</v>
      </c>
      <c r="E3679" s="128" t="s">
        <v>136</v>
      </c>
      <c r="F3679" s="128">
        <v>10601794</v>
      </c>
      <c r="G3679" s="128">
        <v>8010652</v>
      </c>
      <c r="H3679" s="128">
        <v>2591146</v>
      </c>
      <c r="I3679" s="128">
        <v>142560</v>
      </c>
    </row>
    <row r="3680" spans="1:9" ht="13.5">
      <c r="A3680" s="128">
        <v>2003</v>
      </c>
      <c r="B3680" s="128" t="s">
        <v>139</v>
      </c>
      <c r="C3680" s="128" t="s">
        <v>21</v>
      </c>
      <c r="D3680" s="128" t="s">
        <v>76</v>
      </c>
      <c r="E3680" s="128" t="s">
        <v>132</v>
      </c>
      <c r="F3680" s="128">
        <v>16613287</v>
      </c>
      <c r="G3680" s="128">
        <v>10652498</v>
      </c>
      <c r="H3680" s="128">
        <v>5960793</v>
      </c>
      <c r="I3680" s="128">
        <v>209692</v>
      </c>
    </row>
    <row r="3681" spans="1:9" ht="13.5">
      <c r="A3681" s="128">
        <v>2003</v>
      </c>
      <c r="B3681" s="128" t="s">
        <v>139</v>
      </c>
      <c r="C3681" s="128" t="s">
        <v>21</v>
      </c>
      <c r="D3681" s="128" t="s">
        <v>76</v>
      </c>
      <c r="E3681" s="128" t="s">
        <v>133</v>
      </c>
      <c r="F3681" s="128">
        <v>39216809</v>
      </c>
      <c r="G3681" s="128">
        <v>21884401</v>
      </c>
      <c r="H3681" s="128">
        <v>17332411</v>
      </c>
      <c r="I3681" s="128">
        <v>299252</v>
      </c>
    </row>
    <row r="3682" spans="1:9" ht="13.5">
      <c r="A3682" s="128">
        <v>2003</v>
      </c>
      <c r="B3682" s="128" t="s">
        <v>139</v>
      </c>
      <c r="C3682" s="128" t="s">
        <v>21</v>
      </c>
      <c r="D3682" s="128" t="s">
        <v>76</v>
      </c>
      <c r="E3682" s="128" t="s">
        <v>134</v>
      </c>
      <c r="F3682" s="128">
        <v>19200512</v>
      </c>
      <c r="G3682" s="128">
        <v>9158897</v>
      </c>
      <c r="H3682" s="128">
        <v>10041618</v>
      </c>
      <c r="I3682" s="128">
        <v>154204</v>
      </c>
    </row>
    <row r="3683" spans="1:9" ht="13.5">
      <c r="A3683" s="128">
        <v>2003</v>
      </c>
      <c r="B3683" s="128" t="s">
        <v>139</v>
      </c>
      <c r="C3683" s="128" t="s">
        <v>21</v>
      </c>
      <c r="D3683" s="128" t="s">
        <v>76</v>
      </c>
      <c r="E3683" s="128" t="s">
        <v>135</v>
      </c>
      <c r="F3683" s="128">
        <v>2473161</v>
      </c>
      <c r="G3683" s="128">
        <v>773363</v>
      </c>
      <c r="H3683" s="128">
        <v>1699800</v>
      </c>
      <c r="I3683" s="128">
        <v>3015</v>
      </c>
    </row>
    <row r="3684" spans="1:9" ht="13.5">
      <c r="A3684" s="128">
        <v>2003</v>
      </c>
      <c r="B3684" s="128" t="s">
        <v>139</v>
      </c>
      <c r="C3684" s="128" t="s">
        <v>21</v>
      </c>
      <c r="D3684" s="128" t="s">
        <v>76</v>
      </c>
      <c r="E3684" s="128" t="s">
        <v>136</v>
      </c>
      <c r="F3684" s="128">
        <v>2999626</v>
      </c>
      <c r="G3684" s="128">
        <v>2264864</v>
      </c>
      <c r="H3684" s="128">
        <v>734761</v>
      </c>
      <c r="I3684" s="128">
        <v>41173</v>
      </c>
    </row>
    <row r="3685" spans="1:9" ht="13.5">
      <c r="A3685" s="128">
        <v>2003</v>
      </c>
      <c r="B3685" s="128" t="s">
        <v>139</v>
      </c>
      <c r="C3685" s="128" t="s">
        <v>24</v>
      </c>
      <c r="D3685" s="128" t="s">
        <v>77</v>
      </c>
      <c r="E3685" s="128" t="s">
        <v>132</v>
      </c>
      <c r="F3685" s="128">
        <v>213298</v>
      </c>
      <c r="G3685" s="128">
        <v>140082</v>
      </c>
      <c r="H3685" s="128">
        <v>52648</v>
      </c>
      <c r="I3685" s="128">
        <v>1443</v>
      </c>
    </row>
    <row r="3686" spans="1:9" ht="13.5">
      <c r="A3686" s="128">
        <v>2003</v>
      </c>
      <c r="B3686" s="128" t="s">
        <v>139</v>
      </c>
      <c r="C3686" s="128" t="s">
        <v>24</v>
      </c>
      <c r="D3686" s="128" t="s">
        <v>77</v>
      </c>
      <c r="E3686" s="128" t="s">
        <v>133</v>
      </c>
      <c r="F3686" s="128">
        <v>818063</v>
      </c>
      <c r="G3686" s="128">
        <v>443021</v>
      </c>
      <c r="H3686" s="128">
        <v>297960</v>
      </c>
      <c r="I3686" s="128">
        <v>3744</v>
      </c>
    </row>
    <row r="3687" spans="1:9" ht="13.5">
      <c r="A3687" s="128">
        <v>2003</v>
      </c>
      <c r="B3687" s="128" t="s">
        <v>139</v>
      </c>
      <c r="C3687" s="128" t="s">
        <v>24</v>
      </c>
      <c r="D3687" s="128" t="s">
        <v>77</v>
      </c>
      <c r="E3687" s="128" t="s">
        <v>134</v>
      </c>
      <c r="F3687" s="128">
        <v>1449397</v>
      </c>
      <c r="G3687" s="128">
        <v>639367</v>
      </c>
      <c r="H3687" s="128">
        <v>559415</v>
      </c>
      <c r="I3687" s="128">
        <v>6755</v>
      </c>
    </row>
    <row r="3688" spans="1:9" ht="13.5">
      <c r="A3688" s="128">
        <v>2003</v>
      </c>
      <c r="B3688" s="128" t="s">
        <v>139</v>
      </c>
      <c r="C3688" s="128" t="s">
        <v>24</v>
      </c>
      <c r="D3688" s="128" t="s">
        <v>77</v>
      </c>
      <c r="E3688" s="128" t="s">
        <v>135</v>
      </c>
      <c r="F3688" s="128">
        <v>1086048</v>
      </c>
      <c r="G3688" s="128">
        <v>315291</v>
      </c>
      <c r="H3688" s="128">
        <v>365118</v>
      </c>
      <c r="I3688" s="128">
        <v>4065</v>
      </c>
    </row>
    <row r="3689" spans="1:9" ht="13.5">
      <c r="A3689" s="128">
        <v>2003</v>
      </c>
      <c r="B3689" s="128" t="s">
        <v>139</v>
      </c>
      <c r="C3689" s="128" t="s">
        <v>24</v>
      </c>
      <c r="D3689" s="128" t="s">
        <v>79</v>
      </c>
      <c r="E3689" s="128" t="s">
        <v>132</v>
      </c>
      <c r="F3689" s="128">
        <v>1504084</v>
      </c>
      <c r="G3689" s="128">
        <v>987157</v>
      </c>
      <c r="H3689" s="128">
        <v>267379</v>
      </c>
      <c r="I3689" s="128">
        <v>11208</v>
      </c>
    </row>
    <row r="3690" spans="1:9" ht="13.5">
      <c r="A3690" s="128">
        <v>2003</v>
      </c>
      <c r="B3690" s="128" t="s">
        <v>139</v>
      </c>
      <c r="C3690" s="128" t="s">
        <v>24</v>
      </c>
      <c r="D3690" s="128" t="s">
        <v>79</v>
      </c>
      <c r="E3690" s="128" t="s">
        <v>133</v>
      </c>
      <c r="F3690" s="128">
        <v>1935060</v>
      </c>
      <c r="G3690" s="128">
        <v>1055336</v>
      </c>
      <c r="H3690" s="128">
        <v>304563</v>
      </c>
      <c r="I3690" s="128">
        <v>12739</v>
      </c>
    </row>
    <row r="3691" spans="1:9" ht="13.5">
      <c r="A3691" s="128">
        <v>2003</v>
      </c>
      <c r="B3691" s="128" t="s">
        <v>139</v>
      </c>
      <c r="C3691" s="128" t="s">
        <v>24</v>
      </c>
      <c r="D3691" s="128" t="s">
        <v>79</v>
      </c>
      <c r="E3691" s="128" t="s">
        <v>134</v>
      </c>
      <c r="F3691" s="128">
        <v>2330372</v>
      </c>
      <c r="G3691" s="128">
        <v>1013741</v>
      </c>
      <c r="H3691" s="128">
        <v>306979</v>
      </c>
      <c r="I3691" s="128">
        <v>11278</v>
      </c>
    </row>
    <row r="3692" spans="1:9" ht="13.5">
      <c r="A3692" s="128">
        <v>2003</v>
      </c>
      <c r="B3692" s="128" t="s">
        <v>139</v>
      </c>
      <c r="C3692" s="128" t="s">
        <v>24</v>
      </c>
      <c r="D3692" s="128" t="s">
        <v>79</v>
      </c>
      <c r="E3692" s="128" t="s">
        <v>135</v>
      </c>
      <c r="F3692" s="128">
        <v>1915495</v>
      </c>
      <c r="G3692" s="128">
        <v>565019</v>
      </c>
      <c r="H3692" s="128">
        <v>177318</v>
      </c>
      <c r="I3692" s="128">
        <v>5838</v>
      </c>
    </row>
    <row r="3693" spans="1:9" ht="13.5">
      <c r="A3693" s="128">
        <v>2003</v>
      </c>
      <c r="B3693" s="128" t="s">
        <v>139</v>
      </c>
      <c r="C3693" s="128" t="s">
        <v>24</v>
      </c>
      <c r="D3693" s="128" t="s">
        <v>79</v>
      </c>
      <c r="E3693" s="128" t="s">
        <v>136</v>
      </c>
      <c r="F3693" s="128">
        <v>2045429</v>
      </c>
      <c r="G3693" s="128">
        <v>1574307</v>
      </c>
      <c r="H3693" s="128">
        <v>471121</v>
      </c>
      <c r="I3693" s="128">
        <v>29711</v>
      </c>
    </row>
    <row r="3694" spans="1:9" ht="13.5">
      <c r="A3694" s="128">
        <v>2003</v>
      </c>
      <c r="B3694" s="128" t="s">
        <v>139</v>
      </c>
      <c r="C3694" s="128" t="s">
        <v>24</v>
      </c>
      <c r="D3694" s="128" t="s">
        <v>76</v>
      </c>
      <c r="E3694" s="128" t="s">
        <v>132</v>
      </c>
      <c r="F3694" s="128">
        <v>9563658</v>
      </c>
      <c r="G3694" s="128">
        <v>6106328</v>
      </c>
      <c r="H3694" s="128">
        <v>3457329</v>
      </c>
      <c r="I3694" s="128">
        <v>101166</v>
      </c>
    </row>
    <row r="3695" spans="1:9" ht="13.5">
      <c r="A3695" s="128">
        <v>2003</v>
      </c>
      <c r="B3695" s="128" t="s">
        <v>139</v>
      </c>
      <c r="C3695" s="128" t="s">
        <v>24</v>
      </c>
      <c r="D3695" s="128" t="s">
        <v>76</v>
      </c>
      <c r="E3695" s="128" t="s">
        <v>133</v>
      </c>
      <c r="F3695" s="128">
        <v>10973666</v>
      </c>
      <c r="G3695" s="128">
        <v>6028981</v>
      </c>
      <c r="H3695" s="128">
        <v>4944687</v>
      </c>
      <c r="I3695" s="128">
        <v>49910</v>
      </c>
    </row>
    <row r="3696" spans="1:9" ht="13.5">
      <c r="A3696" s="128">
        <v>2003</v>
      </c>
      <c r="B3696" s="128" t="s">
        <v>139</v>
      </c>
      <c r="C3696" s="128" t="s">
        <v>24</v>
      </c>
      <c r="D3696" s="128" t="s">
        <v>76</v>
      </c>
      <c r="E3696" s="128" t="s">
        <v>134</v>
      </c>
      <c r="F3696" s="128">
        <v>8242126</v>
      </c>
      <c r="G3696" s="128">
        <v>3893009</v>
      </c>
      <c r="H3696" s="128">
        <v>4349115</v>
      </c>
      <c r="I3696" s="128">
        <v>58518</v>
      </c>
    </row>
    <row r="3697" spans="1:9" ht="13.5">
      <c r="A3697" s="128">
        <v>2003</v>
      </c>
      <c r="B3697" s="128" t="s">
        <v>139</v>
      </c>
      <c r="C3697" s="128" t="s">
        <v>24</v>
      </c>
      <c r="D3697" s="128" t="s">
        <v>76</v>
      </c>
      <c r="E3697" s="128" t="s">
        <v>135</v>
      </c>
      <c r="F3697" s="128">
        <v>3442307</v>
      </c>
      <c r="G3697" s="128">
        <v>1092150</v>
      </c>
      <c r="H3697" s="128">
        <v>2350161</v>
      </c>
      <c r="I3697" s="128">
        <v>11687</v>
      </c>
    </row>
    <row r="3698" spans="1:9" ht="13.5">
      <c r="A3698" s="128">
        <v>2003</v>
      </c>
      <c r="B3698" s="128" t="s">
        <v>139</v>
      </c>
      <c r="C3698" s="128" t="s">
        <v>24</v>
      </c>
      <c r="D3698" s="128" t="s">
        <v>76</v>
      </c>
      <c r="E3698" s="128" t="s">
        <v>136</v>
      </c>
      <c r="F3698" s="128">
        <v>2245508</v>
      </c>
      <c r="G3698" s="128">
        <v>1706260</v>
      </c>
      <c r="H3698" s="128">
        <v>539247</v>
      </c>
      <c r="I3698" s="128">
        <v>34595</v>
      </c>
    </row>
    <row r="3699" spans="1:9" ht="13.5">
      <c r="A3699" s="128">
        <v>2003</v>
      </c>
      <c r="B3699" s="128" t="s">
        <v>137</v>
      </c>
      <c r="C3699" s="128" t="s">
        <v>26</v>
      </c>
      <c r="D3699" s="128" t="s">
        <v>77</v>
      </c>
      <c r="E3699" s="128" t="s">
        <v>132</v>
      </c>
      <c r="F3699" s="128">
        <v>0</v>
      </c>
      <c r="G3699" s="128">
        <v>0</v>
      </c>
      <c r="H3699" s="128">
        <v>0</v>
      </c>
      <c r="I3699" s="128">
        <v>0</v>
      </c>
    </row>
    <row r="3700" spans="1:9" ht="13.5">
      <c r="A3700" s="128">
        <v>2003</v>
      </c>
      <c r="B3700" s="128" t="s">
        <v>137</v>
      </c>
      <c r="C3700" s="128" t="s">
        <v>26</v>
      </c>
      <c r="D3700" s="128" t="s">
        <v>77</v>
      </c>
      <c r="E3700" s="128" t="s">
        <v>133</v>
      </c>
      <c r="F3700" s="128">
        <v>0</v>
      </c>
      <c r="G3700" s="128">
        <v>0</v>
      </c>
      <c r="H3700" s="128">
        <v>0</v>
      </c>
      <c r="I3700" s="128">
        <v>0</v>
      </c>
    </row>
    <row r="3701" spans="1:9" ht="13.5">
      <c r="A3701" s="128">
        <v>2003</v>
      </c>
      <c r="B3701" s="128" t="s">
        <v>137</v>
      </c>
      <c r="C3701" s="128" t="s">
        <v>26</v>
      </c>
      <c r="D3701" s="128" t="s">
        <v>77</v>
      </c>
      <c r="E3701" s="128" t="s">
        <v>134</v>
      </c>
      <c r="F3701" s="128">
        <v>0</v>
      </c>
      <c r="G3701" s="128">
        <v>0</v>
      </c>
      <c r="H3701" s="128">
        <v>0</v>
      </c>
      <c r="I3701" s="128">
        <v>0</v>
      </c>
    </row>
    <row r="3702" spans="1:9" ht="13.5">
      <c r="A3702" s="128">
        <v>2003</v>
      </c>
      <c r="B3702" s="128" t="s">
        <v>137</v>
      </c>
      <c r="C3702" s="128" t="s">
        <v>26</v>
      </c>
      <c r="D3702" s="128" t="s">
        <v>77</v>
      </c>
      <c r="E3702" s="128" t="s">
        <v>135</v>
      </c>
      <c r="F3702" s="128">
        <v>0</v>
      </c>
      <c r="G3702" s="128">
        <v>0</v>
      </c>
      <c r="H3702" s="128">
        <v>0</v>
      </c>
      <c r="I3702" s="128">
        <v>0</v>
      </c>
    </row>
    <row r="3703" spans="1:9" ht="13.5">
      <c r="A3703" s="128">
        <v>2003</v>
      </c>
      <c r="B3703" s="128" t="s">
        <v>137</v>
      </c>
      <c r="C3703" s="128" t="s">
        <v>26</v>
      </c>
      <c r="D3703" s="128" t="s">
        <v>79</v>
      </c>
      <c r="E3703" s="128" t="s">
        <v>132</v>
      </c>
      <c r="F3703" s="128">
        <v>0</v>
      </c>
      <c r="G3703" s="128">
        <v>0</v>
      </c>
      <c r="H3703" s="128">
        <v>0</v>
      </c>
      <c r="I3703" s="128">
        <v>0</v>
      </c>
    </row>
    <row r="3704" spans="1:9" ht="13.5">
      <c r="A3704" s="128">
        <v>2003</v>
      </c>
      <c r="B3704" s="128" t="s">
        <v>137</v>
      </c>
      <c r="C3704" s="128" t="s">
        <v>26</v>
      </c>
      <c r="D3704" s="128" t="s">
        <v>79</v>
      </c>
      <c r="E3704" s="128" t="s">
        <v>133</v>
      </c>
      <c r="F3704" s="128">
        <v>0</v>
      </c>
      <c r="G3704" s="128">
        <v>0</v>
      </c>
      <c r="H3704" s="128">
        <v>0</v>
      </c>
      <c r="I3704" s="128">
        <v>0</v>
      </c>
    </row>
    <row r="3705" spans="1:9" ht="13.5">
      <c r="A3705" s="128">
        <v>2003</v>
      </c>
      <c r="B3705" s="128" t="s">
        <v>137</v>
      </c>
      <c r="C3705" s="128" t="s">
        <v>26</v>
      </c>
      <c r="D3705" s="128" t="s">
        <v>79</v>
      </c>
      <c r="E3705" s="128" t="s">
        <v>134</v>
      </c>
      <c r="F3705" s="128">
        <v>0</v>
      </c>
      <c r="G3705" s="128">
        <v>0</v>
      </c>
      <c r="H3705" s="128">
        <v>0</v>
      </c>
      <c r="I3705" s="128">
        <v>0</v>
      </c>
    </row>
    <row r="3706" spans="1:9" ht="13.5">
      <c r="A3706" s="128">
        <v>2003</v>
      </c>
      <c r="B3706" s="128" t="s">
        <v>137</v>
      </c>
      <c r="C3706" s="128" t="s">
        <v>26</v>
      </c>
      <c r="D3706" s="128" t="s">
        <v>79</v>
      </c>
      <c r="E3706" s="128" t="s">
        <v>135</v>
      </c>
      <c r="F3706" s="128">
        <v>0</v>
      </c>
      <c r="G3706" s="128">
        <v>0</v>
      </c>
      <c r="H3706" s="128">
        <v>0</v>
      </c>
      <c r="I3706" s="128">
        <v>0</v>
      </c>
    </row>
    <row r="3707" spans="1:9" ht="13.5">
      <c r="A3707" s="128">
        <v>2003</v>
      </c>
      <c r="B3707" s="128" t="s">
        <v>137</v>
      </c>
      <c r="C3707" s="128" t="s">
        <v>26</v>
      </c>
      <c r="D3707" s="128" t="s">
        <v>79</v>
      </c>
      <c r="E3707" s="128" t="s">
        <v>136</v>
      </c>
      <c r="F3707" s="128">
        <v>0</v>
      </c>
      <c r="G3707" s="128">
        <v>0</v>
      </c>
      <c r="H3707" s="128">
        <v>0</v>
      </c>
      <c r="I3707" s="128">
        <v>0</v>
      </c>
    </row>
    <row r="3708" spans="1:9" ht="13.5">
      <c r="A3708" s="128">
        <v>2003</v>
      </c>
      <c r="B3708" s="128" t="s">
        <v>137</v>
      </c>
      <c r="C3708" s="128" t="s">
        <v>26</v>
      </c>
      <c r="D3708" s="128" t="s">
        <v>76</v>
      </c>
      <c r="E3708" s="128" t="s">
        <v>132</v>
      </c>
      <c r="F3708" s="128">
        <v>0</v>
      </c>
      <c r="G3708" s="128">
        <v>0</v>
      </c>
      <c r="H3708" s="128">
        <v>0</v>
      </c>
      <c r="I3708" s="128">
        <v>0</v>
      </c>
    </row>
    <row r="3709" spans="1:9" ht="13.5">
      <c r="A3709" s="128">
        <v>2003</v>
      </c>
      <c r="B3709" s="128" t="s">
        <v>137</v>
      </c>
      <c r="C3709" s="128" t="s">
        <v>26</v>
      </c>
      <c r="D3709" s="128" t="s">
        <v>76</v>
      </c>
      <c r="E3709" s="128" t="s">
        <v>133</v>
      </c>
      <c r="F3709" s="128">
        <v>0</v>
      </c>
      <c r="G3709" s="128">
        <v>0</v>
      </c>
      <c r="H3709" s="128">
        <v>0</v>
      </c>
      <c r="I3709" s="128">
        <v>0</v>
      </c>
    </row>
    <row r="3710" spans="1:9" ht="13.5">
      <c r="A3710" s="128">
        <v>2003</v>
      </c>
      <c r="B3710" s="128" t="s">
        <v>137</v>
      </c>
      <c r="C3710" s="128" t="s">
        <v>26</v>
      </c>
      <c r="D3710" s="128" t="s">
        <v>76</v>
      </c>
      <c r="E3710" s="128" t="s">
        <v>134</v>
      </c>
      <c r="F3710" s="128">
        <v>0</v>
      </c>
      <c r="G3710" s="128">
        <v>0</v>
      </c>
      <c r="H3710" s="128">
        <v>0</v>
      </c>
      <c r="I3710" s="128">
        <v>0</v>
      </c>
    </row>
    <row r="3711" spans="1:9" ht="13.5">
      <c r="A3711" s="128">
        <v>2003</v>
      </c>
      <c r="B3711" s="128" t="s">
        <v>137</v>
      </c>
      <c r="C3711" s="128" t="s">
        <v>26</v>
      </c>
      <c r="D3711" s="128" t="s">
        <v>76</v>
      </c>
      <c r="E3711" s="128" t="s">
        <v>135</v>
      </c>
      <c r="F3711" s="128">
        <v>0</v>
      </c>
      <c r="G3711" s="128">
        <v>0</v>
      </c>
      <c r="H3711" s="128">
        <v>0</v>
      </c>
      <c r="I3711" s="128">
        <v>0</v>
      </c>
    </row>
    <row r="3712" spans="1:9" ht="13.5">
      <c r="A3712" s="128">
        <v>2003</v>
      </c>
      <c r="B3712" s="128" t="s">
        <v>137</v>
      </c>
      <c r="C3712" s="128" t="s">
        <v>26</v>
      </c>
      <c r="D3712" s="128" t="s">
        <v>76</v>
      </c>
      <c r="E3712" s="128" t="s">
        <v>136</v>
      </c>
      <c r="F3712" s="128">
        <v>0</v>
      </c>
      <c r="G3712" s="128">
        <v>0</v>
      </c>
      <c r="H3712" s="128">
        <v>0</v>
      </c>
      <c r="I3712" s="128">
        <v>0</v>
      </c>
    </row>
    <row r="3713" spans="1:9" ht="13.5">
      <c r="A3713" s="128">
        <v>2003</v>
      </c>
      <c r="B3713" s="128" t="s">
        <v>137</v>
      </c>
      <c r="C3713" s="128" t="s">
        <v>20</v>
      </c>
      <c r="D3713" s="128" t="s">
        <v>77</v>
      </c>
      <c r="E3713" s="128" t="s">
        <v>132</v>
      </c>
      <c r="F3713" s="128">
        <v>877519</v>
      </c>
      <c r="G3713" s="128">
        <v>569906</v>
      </c>
      <c r="H3713" s="128">
        <v>241030</v>
      </c>
      <c r="I3713" s="128">
        <v>5950</v>
      </c>
    </row>
    <row r="3714" spans="1:9" ht="13.5">
      <c r="A3714" s="128">
        <v>2003</v>
      </c>
      <c r="B3714" s="128" t="s">
        <v>137</v>
      </c>
      <c r="C3714" s="128" t="s">
        <v>20</v>
      </c>
      <c r="D3714" s="128" t="s">
        <v>77</v>
      </c>
      <c r="E3714" s="128" t="s">
        <v>133</v>
      </c>
      <c r="F3714" s="128">
        <v>1495405</v>
      </c>
      <c r="G3714" s="128">
        <v>817425</v>
      </c>
      <c r="H3714" s="128">
        <v>484513</v>
      </c>
      <c r="I3714" s="128">
        <v>11200</v>
      </c>
    </row>
    <row r="3715" spans="1:9" ht="13.5">
      <c r="A3715" s="128">
        <v>2003</v>
      </c>
      <c r="B3715" s="128" t="s">
        <v>137</v>
      </c>
      <c r="C3715" s="128" t="s">
        <v>20</v>
      </c>
      <c r="D3715" s="128" t="s">
        <v>77</v>
      </c>
      <c r="E3715" s="128" t="s">
        <v>134</v>
      </c>
      <c r="F3715" s="128">
        <v>2854663</v>
      </c>
      <c r="G3715" s="128">
        <v>1250873</v>
      </c>
      <c r="H3715" s="128">
        <v>1006209</v>
      </c>
      <c r="I3715" s="128">
        <v>11612</v>
      </c>
    </row>
    <row r="3716" spans="1:9" ht="13.5">
      <c r="A3716" s="128">
        <v>2003</v>
      </c>
      <c r="B3716" s="128" t="s">
        <v>137</v>
      </c>
      <c r="C3716" s="128" t="s">
        <v>20</v>
      </c>
      <c r="D3716" s="128" t="s">
        <v>77</v>
      </c>
      <c r="E3716" s="128" t="s">
        <v>135</v>
      </c>
      <c r="F3716" s="128">
        <v>3457316</v>
      </c>
      <c r="G3716" s="128">
        <v>955229</v>
      </c>
      <c r="H3716" s="128">
        <v>794992</v>
      </c>
      <c r="I3716" s="128">
        <v>10850</v>
      </c>
    </row>
    <row r="3717" spans="1:9" ht="13.5">
      <c r="A3717" s="128">
        <v>2003</v>
      </c>
      <c r="B3717" s="128" t="s">
        <v>137</v>
      </c>
      <c r="C3717" s="128" t="s">
        <v>20</v>
      </c>
      <c r="D3717" s="128" t="s">
        <v>79</v>
      </c>
      <c r="E3717" s="128" t="s">
        <v>132</v>
      </c>
      <c r="F3717" s="128">
        <v>5416884</v>
      </c>
      <c r="G3717" s="128">
        <v>3586618</v>
      </c>
      <c r="H3717" s="128">
        <v>1189557</v>
      </c>
      <c r="I3717" s="128">
        <v>40981</v>
      </c>
    </row>
    <row r="3718" spans="1:9" ht="13.5">
      <c r="A3718" s="128">
        <v>2003</v>
      </c>
      <c r="B3718" s="128" t="s">
        <v>137</v>
      </c>
      <c r="C3718" s="128" t="s">
        <v>20</v>
      </c>
      <c r="D3718" s="128" t="s">
        <v>79</v>
      </c>
      <c r="E3718" s="128" t="s">
        <v>133</v>
      </c>
      <c r="F3718" s="128">
        <v>7324132</v>
      </c>
      <c r="G3718" s="128">
        <v>3986190</v>
      </c>
      <c r="H3718" s="128">
        <v>1328742</v>
      </c>
      <c r="I3718" s="128">
        <v>45354</v>
      </c>
    </row>
    <row r="3719" spans="1:9" ht="13.5">
      <c r="A3719" s="128">
        <v>2003</v>
      </c>
      <c r="B3719" s="128" t="s">
        <v>137</v>
      </c>
      <c r="C3719" s="128" t="s">
        <v>20</v>
      </c>
      <c r="D3719" s="128" t="s">
        <v>79</v>
      </c>
      <c r="E3719" s="128" t="s">
        <v>134</v>
      </c>
      <c r="F3719" s="128">
        <v>22633027</v>
      </c>
      <c r="G3719" s="128">
        <v>9659871</v>
      </c>
      <c r="H3719" s="128">
        <v>3233615</v>
      </c>
      <c r="I3719" s="128">
        <v>95481</v>
      </c>
    </row>
    <row r="3720" spans="1:9" ht="13.5">
      <c r="A3720" s="128">
        <v>2003</v>
      </c>
      <c r="B3720" s="128" t="s">
        <v>137</v>
      </c>
      <c r="C3720" s="128" t="s">
        <v>20</v>
      </c>
      <c r="D3720" s="128" t="s">
        <v>79</v>
      </c>
      <c r="E3720" s="128" t="s">
        <v>135</v>
      </c>
      <c r="F3720" s="128">
        <v>43479216</v>
      </c>
      <c r="G3720" s="128">
        <v>12334445</v>
      </c>
      <c r="H3720" s="128">
        <v>4249544</v>
      </c>
      <c r="I3720" s="128">
        <v>107355</v>
      </c>
    </row>
    <row r="3721" spans="1:9" ht="13.5">
      <c r="A3721" s="128">
        <v>2003</v>
      </c>
      <c r="B3721" s="128" t="s">
        <v>137</v>
      </c>
      <c r="C3721" s="128" t="s">
        <v>20</v>
      </c>
      <c r="D3721" s="128" t="s">
        <v>79</v>
      </c>
      <c r="E3721" s="128" t="s">
        <v>136</v>
      </c>
      <c r="F3721" s="128">
        <v>23276808</v>
      </c>
      <c r="G3721" s="128">
        <v>17633477</v>
      </c>
      <c r="H3721" s="128">
        <v>5643293</v>
      </c>
      <c r="I3721" s="128">
        <v>388398</v>
      </c>
    </row>
    <row r="3722" spans="1:9" ht="13.5">
      <c r="A3722" s="128">
        <v>2003</v>
      </c>
      <c r="B3722" s="128" t="s">
        <v>137</v>
      </c>
      <c r="C3722" s="128" t="s">
        <v>20</v>
      </c>
      <c r="D3722" s="128" t="s">
        <v>76</v>
      </c>
      <c r="E3722" s="128" t="s">
        <v>132</v>
      </c>
      <c r="F3722" s="128">
        <v>25964502</v>
      </c>
      <c r="G3722" s="128">
        <v>16608099</v>
      </c>
      <c r="H3722" s="128">
        <v>9356402</v>
      </c>
      <c r="I3722" s="128">
        <v>324253</v>
      </c>
    </row>
    <row r="3723" spans="1:9" ht="13.5">
      <c r="A3723" s="128">
        <v>2003</v>
      </c>
      <c r="B3723" s="128" t="s">
        <v>137</v>
      </c>
      <c r="C3723" s="128" t="s">
        <v>20</v>
      </c>
      <c r="D3723" s="128" t="s">
        <v>76</v>
      </c>
      <c r="E3723" s="128" t="s">
        <v>133</v>
      </c>
      <c r="F3723" s="128">
        <v>36401353</v>
      </c>
      <c r="G3723" s="128">
        <v>19910685</v>
      </c>
      <c r="H3723" s="128">
        <v>16490673</v>
      </c>
      <c r="I3723" s="128">
        <v>167204</v>
      </c>
    </row>
    <row r="3724" spans="1:9" ht="13.5">
      <c r="A3724" s="128">
        <v>2003</v>
      </c>
      <c r="B3724" s="128" t="s">
        <v>137</v>
      </c>
      <c r="C3724" s="128" t="s">
        <v>20</v>
      </c>
      <c r="D3724" s="128" t="s">
        <v>76</v>
      </c>
      <c r="E3724" s="128" t="s">
        <v>134</v>
      </c>
      <c r="F3724" s="128">
        <v>20176673</v>
      </c>
      <c r="G3724" s="128">
        <v>9655688</v>
      </c>
      <c r="H3724" s="128">
        <v>10520987</v>
      </c>
      <c r="I3724" s="128">
        <v>164790</v>
      </c>
    </row>
    <row r="3725" spans="1:9" ht="13.5">
      <c r="A3725" s="128">
        <v>2003</v>
      </c>
      <c r="B3725" s="128" t="s">
        <v>137</v>
      </c>
      <c r="C3725" s="128" t="s">
        <v>20</v>
      </c>
      <c r="D3725" s="128" t="s">
        <v>76</v>
      </c>
      <c r="E3725" s="128" t="s">
        <v>135</v>
      </c>
      <c r="F3725" s="128">
        <v>4507101</v>
      </c>
      <c r="G3725" s="128">
        <v>1285638</v>
      </c>
      <c r="H3725" s="128">
        <v>3221465</v>
      </c>
      <c r="I3725" s="128">
        <v>4538</v>
      </c>
    </row>
    <row r="3726" spans="1:9" ht="13.5">
      <c r="A3726" s="128">
        <v>2003</v>
      </c>
      <c r="B3726" s="128" t="s">
        <v>137</v>
      </c>
      <c r="C3726" s="128" t="s">
        <v>20</v>
      </c>
      <c r="D3726" s="128" t="s">
        <v>76</v>
      </c>
      <c r="E3726" s="128" t="s">
        <v>136</v>
      </c>
      <c r="F3726" s="128">
        <v>2833906</v>
      </c>
      <c r="G3726" s="128">
        <v>2142630</v>
      </c>
      <c r="H3726" s="128">
        <v>691758</v>
      </c>
      <c r="I3726" s="128">
        <v>51863</v>
      </c>
    </row>
    <row r="3727" spans="1:9" ht="13.5">
      <c r="A3727" s="128">
        <v>2003</v>
      </c>
      <c r="B3727" s="128" t="s">
        <v>137</v>
      </c>
      <c r="C3727" s="128" t="s">
        <v>27</v>
      </c>
      <c r="D3727" s="128" t="s">
        <v>77</v>
      </c>
      <c r="E3727" s="128" t="s">
        <v>132</v>
      </c>
      <c r="F3727" s="128">
        <v>7348</v>
      </c>
      <c r="G3727" s="128">
        <v>4642</v>
      </c>
      <c r="H3727" s="128">
        <v>1902</v>
      </c>
      <c r="I3727" s="128">
        <v>38</v>
      </c>
    </row>
    <row r="3728" spans="1:9" ht="13.5">
      <c r="A3728" s="128">
        <v>2003</v>
      </c>
      <c r="B3728" s="128" t="s">
        <v>137</v>
      </c>
      <c r="C3728" s="128" t="s">
        <v>27</v>
      </c>
      <c r="D3728" s="128" t="s">
        <v>77</v>
      </c>
      <c r="E3728" s="128" t="s">
        <v>133</v>
      </c>
      <c r="F3728" s="128">
        <v>31681</v>
      </c>
      <c r="G3728" s="128">
        <v>17285</v>
      </c>
      <c r="H3728" s="128">
        <v>9033</v>
      </c>
      <c r="I3728" s="128">
        <v>98</v>
      </c>
    </row>
    <row r="3729" spans="1:9" ht="13.5">
      <c r="A3729" s="128">
        <v>2003</v>
      </c>
      <c r="B3729" s="128" t="s">
        <v>137</v>
      </c>
      <c r="C3729" s="128" t="s">
        <v>27</v>
      </c>
      <c r="D3729" s="128" t="s">
        <v>77</v>
      </c>
      <c r="E3729" s="128" t="s">
        <v>134</v>
      </c>
      <c r="F3729" s="128">
        <v>44898</v>
      </c>
      <c r="G3729" s="128">
        <v>19645</v>
      </c>
      <c r="H3729" s="128">
        <v>16372</v>
      </c>
      <c r="I3729" s="128">
        <v>159</v>
      </c>
    </row>
    <row r="3730" spans="1:9" ht="13.5">
      <c r="A3730" s="128">
        <v>2003</v>
      </c>
      <c r="B3730" s="128" t="s">
        <v>137</v>
      </c>
      <c r="C3730" s="128" t="s">
        <v>27</v>
      </c>
      <c r="D3730" s="128" t="s">
        <v>77</v>
      </c>
      <c r="E3730" s="128" t="s">
        <v>135</v>
      </c>
      <c r="F3730" s="128">
        <v>67332</v>
      </c>
      <c r="G3730" s="128">
        <v>17526</v>
      </c>
      <c r="H3730" s="128">
        <v>20336</v>
      </c>
      <c r="I3730" s="128">
        <v>128</v>
      </c>
    </row>
    <row r="3731" spans="1:9" ht="13.5">
      <c r="A3731" s="128">
        <v>2003</v>
      </c>
      <c r="B3731" s="128" t="s">
        <v>137</v>
      </c>
      <c r="C3731" s="128" t="s">
        <v>27</v>
      </c>
      <c r="D3731" s="128" t="s">
        <v>79</v>
      </c>
      <c r="E3731" s="128" t="s">
        <v>132</v>
      </c>
      <c r="F3731" s="128">
        <v>62478</v>
      </c>
      <c r="G3731" s="128">
        <v>43549</v>
      </c>
      <c r="H3731" s="128">
        <v>14161</v>
      </c>
      <c r="I3731" s="128">
        <v>361</v>
      </c>
    </row>
    <row r="3732" spans="1:9" ht="13.5">
      <c r="A3732" s="128">
        <v>2003</v>
      </c>
      <c r="B3732" s="128" t="s">
        <v>137</v>
      </c>
      <c r="C3732" s="128" t="s">
        <v>27</v>
      </c>
      <c r="D3732" s="128" t="s">
        <v>79</v>
      </c>
      <c r="E3732" s="128" t="s">
        <v>133</v>
      </c>
      <c r="F3732" s="128">
        <v>71002</v>
      </c>
      <c r="G3732" s="128">
        <v>39203</v>
      </c>
      <c r="H3732" s="128">
        <v>13121</v>
      </c>
      <c r="I3732" s="128">
        <v>369</v>
      </c>
    </row>
    <row r="3733" spans="1:9" ht="13.5">
      <c r="A3733" s="128">
        <v>2003</v>
      </c>
      <c r="B3733" s="128" t="s">
        <v>137</v>
      </c>
      <c r="C3733" s="128" t="s">
        <v>27</v>
      </c>
      <c r="D3733" s="128" t="s">
        <v>79</v>
      </c>
      <c r="E3733" s="128" t="s">
        <v>134</v>
      </c>
      <c r="F3733" s="128">
        <v>192104</v>
      </c>
      <c r="G3733" s="128">
        <v>81242</v>
      </c>
      <c r="H3733" s="128">
        <v>26816</v>
      </c>
      <c r="I3733" s="128">
        <v>864</v>
      </c>
    </row>
    <row r="3734" spans="1:9" ht="13.5">
      <c r="A3734" s="128">
        <v>2003</v>
      </c>
      <c r="B3734" s="128" t="s">
        <v>137</v>
      </c>
      <c r="C3734" s="128" t="s">
        <v>27</v>
      </c>
      <c r="D3734" s="128" t="s">
        <v>79</v>
      </c>
      <c r="E3734" s="128" t="s">
        <v>135</v>
      </c>
      <c r="F3734" s="128">
        <v>328512</v>
      </c>
      <c r="G3734" s="128">
        <v>103139</v>
      </c>
      <c r="H3734" s="128">
        <v>34800</v>
      </c>
      <c r="I3734" s="128">
        <v>815</v>
      </c>
    </row>
    <row r="3735" spans="1:9" ht="13.5">
      <c r="A3735" s="128">
        <v>2003</v>
      </c>
      <c r="B3735" s="128" t="s">
        <v>137</v>
      </c>
      <c r="C3735" s="128" t="s">
        <v>27</v>
      </c>
      <c r="D3735" s="128" t="s">
        <v>79</v>
      </c>
      <c r="E3735" s="128" t="s">
        <v>136</v>
      </c>
      <c r="F3735" s="128">
        <v>147452</v>
      </c>
      <c r="G3735" s="128">
        <v>113394</v>
      </c>
      <c r="H3735" s="128">
        <v>34060</v>
      </c>
      <c r="I3735" s="128">
        <v>2826</v>
      </c>
    </row>
    <row r="3736" spans="1:9" ht="13.5">
      <c r="A3736" s="128">
        <v>2003</v>
      </c>
      <c r="B3736" s="128" t="s">
        <v>137</v>
      </c>
      <c r="C3736" s="128" t="s">
        <v>27</v>
      </c>
      <c r="D3736" s="128" t="s">
        <v>76</v>
      </c>
      <c r="E3736" s="128" t="s">
        <v>132</v>
      </c>
      <c r="F3736" s="128">
        <v>276877</v>
      </c>
      <c r="G3736" s="128">
        <v>175289</v>
      </c>
      <c r="H3736" s="128">
        <v>101589</v>
      </c>
      <c r="I3736" s="128">
        <v>3593</v>
      </c>
    </row>
    <row r="3737" spans="1:9" ht="13.5">
      <c r="A3737" s="128">
        <v>2003</v>
      </c>
      <c r="B3737" s="128" t="s">
        <v>137</v>
      </c>
      <c r="C3737" s="128" t="s">
        <v>27</v>
      </c>
      <c r="D3737" s="128" t="s">
        <v>76</v>
      </c>
      <c r="E3737" s="128" t="s">
        <v>133</v>
      </c>
      <c r="F3737" s="128">
        <v>656828</v>
      </c>
      <c r="G3737" s="128">
        <v>358454</v>
      </c>
      <c r="H3737" s="128">
        <v>298374</v>
      </c>
      <c r="I3737" s="128">
        <v>3502</v>
      </c>
    </row>
    <row r="3738" spans="1:9" ht="13.5">
      <c r="A3738" s="128">
        <v>2003</v>
      </c>
      <c r="B3738" s="128" t="s">
        <v>137</v>
      </c>
      <c r="C3738" s="128" t="s">
        <v>27</v>
      </c>
      <c r="D3738" s="128" t="s">
        <v>76</v>
      </c>
      <c r="E3738" s="128" t="s">
        <v>134</v>
      </c>
      <c r="F3738" s="128">
        <v>379874</v>
      </c>
      <c r="G3738" s="128">
        <v>180312</v>
      </c>
      <c r="H3738" s="128">
        <v>199562</v>
      </c>
      <c r="I3738" s="128">
        <v>2754</v>
      </c>
    </row>
    <row r="3739" spans="1:9" ht="13.5">
      <c r="A3739" s="128">
        <v>2003</v>
      </c>
      <c r="B3739" s="128" t="s">
        <v>137</v>
      </c>
      <c r="C3739" s="128" t="s">
        <v>27</v>
      </c>
      <c r="D3739" s="128" t="s">
        <v>76</v>
      </c>
      <c r="E3739" s="128" t="s">
        <v>135</v>
      </c>
      <c r="F3739" s="128">
        <v>121828</v>
      </c>
      <c r="G3739" s="128">
        <v>35171</v>
      </c>
      <c r="H3739" s="128">
        <v>86657</v>
      </c>
      <c r="I3739" s="128">
        <v>128</v>
      </c>
    </row>
    <row r="3740" spans="1:9" ht="13.5">
      <c r="A3740" s="128">
        <v>2003</v>
      </c>
      <c r="B3740" s="128" t="s">
        <v>137</v>
      </c>
      <c r="C3740" s="128" t="s">
        <v>27</v>
      </c>
      <c r="D3740" s="128" t="s">
        <v>76</v>
      </c>
      <c r="E3740" s="128" t="s">
        <v>136</v>
      </c>
      <c r="F3740" s="128">
        <v>45574</v>
      </c>
      <c r="G3740" s="128">
        <v>35682</v>
      </c>
      <c r="H3740" s="128">
        <v>9892</v>
      </c>
      <c r="I3740" s="128">
        <v>599</v>
      </c>
    </row>
    <row r="3741" spans="1:9" ht="13.5">
      <c r="A3741" s="128">
        <v>2003</v>
      </c>
      <c r="B3741" s="128" t="s">
        <v>137</v>
      </c>
      <c r="C3741" s="128" t="s">
        <v>22</v>
      </c>
      <c r="D3741" s="128" t="s">
        <v>77</v>
      </c>
      <c r="E3741" s="128" t="s">
        <v>132</v>
      </c>
      <c r="F3741" s="128">
        <v>956638</v>
      </c>
      <c r="G3741" s="128">
        <v>626452</v>
      </c>
      <c r="H3741" s="128">
        <v>284862</v>
      </c>
      <c r="I3741" s="128">
        <v>7341</v>
      </c>
    </row>
    <row r="3742" spans="1:9" ht="13.5">
      <c r="A3742" s="128">
        <v>2003</v>
      </c>
      <c r="B3742" s="128" t="s">
        <v>137</v>
      </c>
      <c r="C3742" s="128" t="s">
        <v>22</v>
      </c>
      <c r="D3742" s="128" t="s">
        <v>77</v>
      </c>
      <c r="E3742" s="128" t="s">
        <v>133</v>
      </c>
      <c r="F3742" s="128">
        <v>1188695</v>
      </c>
      <c r="G3742" s="128">
        <v>643446</v>
      </c>
      <c r="H3742" s="128">
        <v>399346</v>
      </c>
      <c r="I3742" s="128">
        <v>5451</v>
      </c>
    </row>
    <row r="3743" spans="1:9" ht="13.5">
      <c r="A3743" s="128">
        <v>2003</v>
      </c>
      <c r="B3743" s="128" t="s">
        <v>137</v>
      </c>
      <c r="C3743" s="128" t="s">
        <v>22</v>
      </c>
      <c r="D3743" s="128" t="s">
        <v>77</v>
      </c>
      <c r="E3743" s="128" t="s">
        <v>134</v>
      </c>
      <c r="F3743" s="128">
        <v>4195966</v>
      </c>
      <c r="G3743" s="128">
        <v>1781560</v>
      </c>
      <c r="H3743" s="128">
        <v>1576570</v>
      </c>
      <c r="I3743" s="128">
        <v>13884</v>
      </c>
    </row>
    <row r="3744" spans="1:9" ht="13.5">
      <c r="A3744" s="128">
        <v>2003</v>
      </c>
      <c r="B3744" s="128" t="s">
        <v>137</v>
      </c>
      <c r="C3744" s="128" t="s">
        <v>22</v>
      </c>
      <c r="D3744" s="128" t="s">
        <v>77</v>
      </c>
      <c r="E3744" s="128" t="s">
        <v>135</v>
      </c>
      <c r="F3744" s="128">
        <v>3725089</v>
      </c>
      <c r="G3744" s="128">
        <v>1056613</v>
      </c>
      <c r="H3744" s="128">
        <v>1100474</v>
      </c>
      <c r="I3744" s="128">
        <v>12574</v>
      </c>
    </row>
    <row r="3745" spans="1:9" ht="13.5">
      <c r="A3745" s="128">
        <v>2003</v>
      </c>
      <c r="B3745" s="128" t="s">
        <v>137</v>
      </c>
      <c r="C3745" s="128" t="s">
        <v>22</v>
      </c>
      <c r="D3745" s="128" t="s">
        <v>79</v>
      </c>
      <c r="E3745" s="128" t="s">
        <v>132</v>
      </c>
      <c r="F3745" s="128">
        <v>3835124</v>
      </c>
      <c r="G3745" s="128">
        <v>2558211</v>
      </c>
      <c r="H3745" s="128">
        <v>846049</v>
      </c>
      <c r="I3745" s="128">
        <v>25112</v>
      </c>
    </row>
    <row r="3746" spans="1:9" ht="13.5">
      <c r="A3746" s="128">
        <v>2003</v>
      </c>
      <c r="B3746" s="128" t="s">
        <v>137</v>
      </c>
      <c r="C3746" s="128" t="s">
        <v>22</v>
      </c>
      <c r="D3746" s="128" t="s">
        <v>79</v>
      </c>
      <c r="E3746" s="128" t="s">
        <v>133</v>
      </c>
      <c r="F3746" s="128">
        <v>5519208</v>
      </c>
      <c r="G3746" s="128">
        <v>3037368</v>
      </c>
      <c r="H3746" s="128">
        <v>1021004</v>
      </c>
      <c r="I3746" s="128">
        <v>35190</v>
      </c>
    </row>
    <row r="3747" spans="1:9" ht="13.5">
      <c r="A3747" s="128">
        <v>2003</v>
      </c>
      <c r="B3747" s="128" t="s">
        <v>137</v>
      </c>
      <c r="C3747" s="128" t="s">
        <v>22</v>
      </c>
      <c r="D3747" s="128" t="s">
        <v>79</v>
      </c>
      <c r="E3747" s="128" t="s">
        <v>134</v>
      </c>
      <c r="F3747" s="128">
        <v>10744451</v>
      </c>
      <c r="G3747" s="128">
        <v>4617428</v>
      </c>
      <c r="H3747" s="128">
        <v>1538839</v>
      </c>
      <c r="I3747" s="128">
        <v>48678</v>
      </c>
    </row>
    <row r="3748" spans="1:9" ht="13.5">
      <c r="A3748" s="128">
        <v>2003</v>
      </c>
      <c r="B3748" s="128" t="s">
        <v>137</v>
      </c>
      <c r="C3748" s="128" t="s">
        <v>22</v>
      </c>
      <c r="D3748" s="128" t="s">
        <v>79</v>
      </c>
      <c r="E3748" s="128" t="s">
        <v>135</v>
      </c>
      <c r="F3748" s="128">
        <v>11092714</v>
      </c>
      <c r="G3748" s="128">
        <v>3240692</v>
      </c>
      <c r="H3748" s="128">
        <v>1097621</v>
      </c>
      <c r="I3748" s="128">
        <v>32466</v>
      </c>
    </row>
    <row r="3749" spans="1:9" ht="13.5">
      <c r="A3749" s="128">
        <v>2003</v>
      </c>
      <c r="B3749" s="128" t="s">
        <v>137</v>
      </c>
      <c r="C3749" s="128" t="s">
        <v>22</v>
      </c>
      <c r="D3749" s="128" t="s">
        <v>79</v>
      </c>
      <c r="E3749" s="128" t="s">
        <v>136</v>
      </c>
      <c r="F3749" s="128">
        <v>9093034</v>
      </c>
      <c r="G3749" s="128">
        <v>6915512</v>
      </c>
      <c r="H3749" s="128">
        <v>2177323</v>
      </c>
      <c r="I3749" s="128">
        <v>127610</v>
      </c>
    </row>
    <row r="3750" spans="1:9" ht="13.5">
      <c r="A3750" s="128">
        <v>2003</v>
      </c>
      <c r="B3750" s="128" t="s">
        <v>137</v>
      </c>
      <c r="C3750" s="128" t="s">
        <v>22</v>
      </c>
      <c r="D3750" s="128" t="s">
        <v>76</v>
      </c>
      <c r="E3750" s="128" t="s">
        <v>132</v>
      </c>
      <c r="F3750" s="128">
        <v>21414655</v>
      </c>
      <c r="G3750" s="128">
        <v>13736412</v>
      </c>
      <c r="H3750" s="128">
        <v>7678246</v>
      </c>
      <c r="I3750" s="128">
        <v>338937</v>
      </c>
    </row>
    <row r="3751" spans="1:9" ht="13.5">
      <c r="A3751" s="128">
        <v>2003</v>
      </c>
      <c r="B3751" s="128" t="s">
        <v>137</v>
      </c>
      <c r="C3751" s="128" t="s">
        <v>22</v>
      </c>
      <c r="D3751" s="128" t="s">
        <v>76</v>
      </c>
      <c r="E3751" s="128" t="s">
        <v>133</v>
      </c>
      <c r="F3751" s="128">
        <v>30220022</v>
      </c>
      <c r="G3751" s="128">
        <v>16618950</v>
      </c>
      <c r="H3751" s="128">
        <v>13601071</v>
      </c>
      <c r="I3751" s="128">
        <v>172589</v>
      </c>
    </row>
    <row r="3752" spans="1:9" ht="13.5">
      <c r="A3752" s="128">
        <v>2003</v>
      </c>
      <c r="B3752" s="128" t="s">
        <v>137</v>
      </c>
      <c r="C3752" s="128" t="s">
        <v>22</v>
      </c>
      <c r="D3752" s="128" t="s">
        <v>76</v>
      </c>
      <c r="E3752" s="128" t="s">
        <v>134</v>
      </c>
      <c r="F3752" s="128">
        <v>14892661</v>
      </c>
      <c r="G3752" s="128">
        <v>7165302</v>
      </c>
      <c r="H3752" s="128">
        <v>7727359</v>
      </c>
      <c r="I3752" s="128">
        <v>136703</v>
      </c>
    </row>
    <row r="3753" spans="1:9" ht="13.5">
      <c r="A3753" s="128">
        <v>2003</v>
      </c>
      <c r="B3753" s="128" t="s">
        <v>137</v>
      </c>
      <c r="C3753" s="128" t="s">
        <v>22</v>
      </c>
      <c r="D3753" s="128" t="s">
        <v>76</v>
      </c>
      <c r="E3753" s="128" t="s">
        <v>135</v>
      </c>
      <c r="F3753" s="128">
        <v>3504460</v>
      </c>
      <c r="G3753" s="128">
        <v>1025022</v>
      </c>
      <c r="H3753" s="128">
        <v>2479437</v>
      </c>
      <c r="I3753" s="128">
        <v>3755</v>
      </c>
    </row>
    <row r="3754" spans="1:9" ht="13.5">
      <c r="A3754" s="128">
        <v>2003</v>
      </c>
      <c r="B3754" s="128" t="s">
        <v>137</v>
      </c>
      <c r="C3754" s="128" t="s">
        <v>22</v>
      </c>
      <c r="D3754" s="128" t="s">
        <v>76</v>
      </c>
      <c r="E3754" s="128" t="s">
        <v>136</v>
      </c>
      <c r="F3754" s="128">
        <v>1073065</v>
      </c>
      <c r="G3754" s="128">
        <v>813718</v>
      </c>
      <c r="H3754" s="128">
        <v>259345</v>
      </c>
      <c r="I3754" s="128">
        <v>16868</v>
      </c>
    </row>
    <row r="3755" spans="1:9" ht="13.5">
      <c r="A3755" s="128">
        <v>2003</v>
      </c>
      <c r="B3755" s="128" t="s">
        <v>137</v>
      </c>
      <c r="C3755" s="128" t="s">
        <v>23</v>
      </c>
      <c r="D3755" s="128" t="s">
        <v>77</v>
      </c>
      <c r="E3755" s="128" t="s">
        <v>132</v>
      </c>
      <c r="F3755" s="128">
        <v>653637</v>
      </c>
      <c r="G3755" s="128">
        <v>426126</v>
      </c>
      <c r="H3755" s="128">
        <v>192938</v>
      </c>
      <c r="I3755" s="128">
        <v>4606</v>
      </c>
    </row>
    <row r="3756" spans="1:9" ht="13.5">
      <c r="A3756" s="128">
        <v>2003</v>
      </c>
      <c r="B3756" s="128" t="s">
        <v>137</v>
      </c>
      <c r="C3756" s="128" t="s">
        <v>23</v>
      </c>
      <c r="D3756" s="128" t="s">
        <v>77</v>
      </c>
      <c r="E3756" s="128" t="s">
        <v>133</v>
      </c>
      <c r="F3756" s="128">
        <v>632359</v>
      </c>
      <c r="G3756" s="128">
        <v>346097</v>
      </c>
      <c r="H3756" s="128">
        <v>219068</v>
      </c>
      <c r="I3756" s="128">
        <v>2883</v>
      </c>
    </row>
    <row r="3757" spans="1:9" ht="13.5">
      <c r="A3757" s="128">
        <v>2003</v>
      </c>
      <c r="B3757" s="128" t="s">
        <v>137</v>
      </c>
      <c r="C3757" s="128" t="s">
        <v>23</v>
      </c>
      <c r="D3757" s="128" t="s">
        <v>77</v>
      </c>
      <c r="E3757" s="128" t="s">
        <v>134</v>
      </c>
      <c r="F3757" s="128">
        <v>1049415</v>
      </c>
      <c r="G3757" s="128">
        <v>462010</v>
      </c>
      <c r="H3757" s="128">
        <v>389937</v>
      </c>
      <c r="I3757" s="128">
        <v>4329</v>
      </c>
    </row>
    <row r="3758" spans="1:9" ht="13.5">
      <c r="A3758" s="128">
        <v>2003</v>
      </c>
      <c r="B3758" s="128" t="s">
        <v>137</v>
      </c>
      <c r="C3758" s="128" t="s">
        <v>23</v>
      </c>
      <c r="D3758" s="128" t="s">
        <v>77</v>
      </c>
      <c r="E3758" s="128" t="s">
        <v>135</v>
      </c>
      <c r="F3758" s="128">
        <v>704939</v>
      </c>
      <c r="G3758" s="128">
        <v>188239</v>
      </c>
      <c r="H3758" s="128">
        <v>203379</v>
      </c>
      <c r="I3758" s="128">
        <v>1487</v>
      </c>
    </row>
    <row r="3759" spans="1:9" ht="13.5">
      <c r="A3759" s="128">
        <v>2003</v>
      </c>
      <c r="B3759" s="128" t="s">
        <v>137</v>
      </c>
      <c r="C3759" s="128" t="s">
        <v>23</v>
      </c>
      <c r="D3759" s="128" t="s">
        <v>79</v>
      </c>
      <c r="E3759" s="128" t="s">
        <v>132</v>
      </c>
      <c r="F3759" s="128">
        <v>503213</v>
      </c>
      <c r="G3759" s="128">
        <v>343433</v>
      </c>
      <c r="H3759" s="128">
        <v>114559</v>
      </c>
      <c r="I3759" s="128">
        <v>4430</v>
      </c>
    </row>
    <row r="3760" spans="1:9" ht="13.5">
      <c r="A3760" s="128">
        <v>2003</v>
      </c>
      <c r="B3760" s="128" t="s">
        <v>137</v>
      </c>
      <c r="C3760" s="128" t="s">
        <v>23</v>
      </c>
      <c r="D3760" s="128" t="s">
        <v>79</v>
      </c>
      <c r="E3760" s="128" t="s">
        <v>133</v>
      </c>
      <c r="F3760" s="128">
        <v>614873</v>
      </c>
      <c r="G3760" s="128">
        <v>332435</v>
      </c>
      <c r="H3760" s="128">
        <v>113336</v>
      </c>
      <c r="I3760" s="128">
        <v>4341</v>
      </c>
    </row>
    <row r="3761" spans="1:9" ht="13.5">
      <c r="A3761" s="128">
        <v>2003</v>
      </c>
      <c r="B3761" s="128" t="s">
        <v>137</v>
      </c>
      <c r="C3761" s="128" t="s">
        <v>23</v>
      </c>
      <c r="D3761" s="128" t="s">
        <v>79</v>
      </c>
      <c r="E3761" s="128" t="s">
        <v>134</v>
      </c>
      <c r="F3761" s="128">
        <v>622045</v>
      </c>
      <c r="G3761" s="128">
        <v>269535</v>
      </c>
      <c r="H3761" s="128">
        <v>90654</v>
      </c>
      <c r="I3761" s="128">
        <v>3250</v>
      </c>
    </row>
    <row r="3762" spans="1:9" ht="13.5">
      <c r="A3762" s="128">
        <v>2003</v>
      </c>
      <c r="B3762" s="128" t="s">
        <v>137</v>
      </c>
      <c r="C3762" s="128" t="s">
        <v>23</v>
      </c>
      <c r="D3762" s="128" t="s">
        <v>79</v>
      </c>
      <c r="E3762" s="128" t="s">
        <v>135</v>
      </c>
      <c r="F3762" s="128">
        <v>829979</v>
      </c>
      <c r="G3762" s="128">
        <v>235480</v>
      </c>
      <c r="H3762" s="128">
        <v>84233</v>
      </c>
      <c r="I3762" s="128">
        <v>2698</v>
      </c>
    </row>
    <row r="3763" spans="1:9" ht="13.5">
      <c r="A3763" s="128">
        <v>2003</v>
      </c>
      <c r="B3763" s="128" t="s">
        <v>137</v>
      </c>
      <c r="C3763" s="128" t="s">
        <v>23</v>
      </c>
      <c r="D3763" s="128" t="s">
        <v>79</v>
      </c>
      <c r="E3763" s="128" t="s">
        <v>136</v>
      </c>
      <c r="F3763" s="128">
        <v>3044939</v>
      </c>
      <c r="G3763" s="128">
        <v>2299295</v>
      </c>
      <c r="H3763" s="128">
        <v>745555</v>
      </c>
      <c r="I3763" s="128">
        <v>57643</v>
      </c>
    </row>
    <row r="3764" spans="1:9" ht="13.5">
      <c r="A3764" s="128">
        <v>2003</v>
      </c>
      <c r="B3764" s="128" t="s">
        <v>137</v>
      </c>
      <c r="C3764" s="128" t="s">
        <v>23</v>
      </c>
      <c r="D3764" s="128" t="s">
        <v>76</v>
      </c>
      <c r="E3764" s="128" t="s">
        <v>132</v>
      </c>
      <c r="F3764" s="128">
        <v>10704536</v>
      </c>
      <c r="G3764" s="128">
        <v>6904926</v>
      </c>
      <c r="H3764" s="128">
        <v>3799605</v>
      </c>
      <c r="I3764" s="128">
        <v>160757</v>
      </c>
    </row>
    <row r="3765" spans="1:9" ht="13.5">
      <c r="A3765" s="128">
        <v>2003</v>
      </c>
      <c r="B3765" s="128" t="s">
        <v>137</v>
      </c>
      <c r="C3765" s="128" t="s">
        <v>23</v>
      </c>
      <c r="D3765" s="128" t="s">
        <v>76</v>
      </c>
      <c r="E3765" s="128" t="s">
        <v>133</v>
      </c>
      <c r="F3765" s="128">
        <v>16379415</v>
      </c>
      <c r="G3765" s="128">
        <v>8981775</v>
      </c>
      <c r="H3765" s="128">
        <v>7397637</v>
      </c>
      <c r="I3765" s="128">
        <v>59330</v>
      </c>
    </row>
    <row r="3766" spans="1:9" ht="13.5">
      <c r="A3766" s="128">
        <v>2003</v>
      </c>
      <c r="B3766" s="128" t="s">
        <v>137</v>
      </c>
      <c r="C3766" s="128" t="s">
        <v>23</v>
      </c>
      <c r="D3766" s="128" t="s">
        <v>76</v>
      </c>
      <c r="E3766" s="128" t="s">
        <v>134</v>
      </c>
      <c r="F3766" s="128">
        <v>12466518</v>
      </c>
      <c r="G3766" s="128">
        <v>5905293</v>
      </c>
      <c r="H3766" s="128">
        <v>6561224</v>
      </c>
      <c r="I3766" s="128">
        <v>85715</v>
      </c>
    </row>
    <row r="3767" spans="1:9" ht="13.5">
      <c r="A3767" s="128">
        <v>2003</v>
      </c>
      <c r="B3767" s="128" t="s">
        <v>137</v>
      </c>
      <c r="C3767" s="128" t="s">
        <v>23</v>
      </c>
      <c r="D3767" s="128" t="s">
        <v>76</v>
      </c>
      <c r="E3767" s="128" t="s">
        <v>135</v>
      </c>
      <c r="F3767" s="128">
        <v>1223645</v>
      </c>
      <c r="G3767" s="128">
        <v>329453</v>
      </c>
      <c r="H3767" s="128">
        <v>894194</v>
      </c>
      <c r="I3767" s="128">
        <v>1213</v>
      </c>
    </row>
    <row r="3768" spans="1:9" ht="13.5">
      <c r="A3768" s="128">
        <v>2003</v>
      </c>
      <c r="B3768" s="128" t="s">
        <v>137</v>
      </c>
      <c r="C3768" s="128" t="s">
        <v>23</v>
      </c>
      <c r="D3768" s="128" t="s">
        <v>76</v>
      </c>
      <c r="E3768" s="128" t="s">
        <v>136</v>
      </c>
      <c r="F3768" s="128">
        <v>1394431</v>
      </c>
      <c r="G3768" s="128">
        <v>1050966</v>
      </c>
      <c r="H3768" s="128">
        <v>343469</v>
      </c>
      <c r="I3768" s="128">
        <v>14891</v>
      </c>
    </row>
    <row r="3769" spans="1:9" ht="13.5">
      <c r="A3769" s="128">
        <v>2003</v>
      </c>
      <c r="B3769" s="128" t="s">
        <v>137</v>
      </c>
      <c r="C3769" s="128" t="s">
        <v>25</v>
      </c>
      <c r="D3769" s="128" t="s">
        <v>77</v>
      </c>
      <c r="E3769" s="128" t="s">
        <v>132</v>
      </c>
      <c r="F3769" s="128">
        <v>39980</v>
      </c>
      <c r="G3769" s="128">
        <v>25700</v>
      </c>
      <c r="H3769" s="128">
        <v>12087</v>
      </c>
      <c r="I3769" s="128">
        <v>309</v>
      </c>
    </row>
    <row r="3770" spans="1:9" ht="13.5">
      <c r="A3770" s="128">
        <v>2003</v>
      </c>
      <c r="B3770" s="128" t="s">
        <v>137</v>
      </c>
      <c r="C3770" s="128" t="s">
        <v>25</v>
      </c>
      <c r="D3770" s="128" t="s">
        <v>77</v>
      </c>
      <c r="E3770" s="128" t="s">
        <v>133</v>
      </c>
      <c r="F3770" s="128">
        <v>79359</v>
      </c>
      <c r="G3770" s="128">
        <v>43043</v>
      </c>
      <c r="H3770" s="128">
        <v>29190</v>
      </c>
      <c r="I3770" s="128">
        <v>290</v>
      </c>
    </row>
    <row r="3771" spans="1:9" ht="13.5">
      <c r="A3771" s="128">
        <v>2003</v>
      </c>
      <c r="B3771" s="128" t="s">
        <v>137</v>
      </c>
      <c r="C3771" s="128" t="s">
        <v>25</v>
      </c>
      <c r="D3771" s="128" t="s">
        <v>77</v>
      </c>
      <c r="E3771" s="128" t="s">
        <v>134</v>
      </c>
      <c r="F3771" s="128">
        <v>217661</v>
      </c>
      <c r="G3771" s="128">
        <v>93811</v>
      </c>
      <c r="H3771" s="128">
        <v>87292</v>
      </c>
      <c r="I3771" s="128">
        <v>720</v>
      </c>
    </row>
    <row r="3772" spans="1:9" ht="13.5">
      <c r="A3772" s="128">
        <v>2003</v>
      </c>
      <c r="B3772" s="128" t="s">
        <v>137</v>
      </c>
      <c r="C3772" s="128" t="s">
        <v>25</v>
      </c>
      <c r="D3772" s="128" t="s">
        <v>77</v>
      </c>
      <c r="E3772" s="128" t="s">
        <v>135</v>
      </c>
      <c r="F3772" s="128">
        <v>257858</v>
      </c>
      <c r="G3772" s="128">
        <v>72524</v>
      </c>
      <c r="H3772" s="128">
        <v>72480</v>
      </c>
      <c r="I3772" s="128">
        <v>786</v>
      </c>
    </row>
    <row r="3773" spans="1:9" ht="13.5">
      <c r="A3773" s="128">
        <v>2003</v>
      </c>
      <c r="B3773" s="128" t="s">
        <v>137</v>
      </c>
      <c r="C3773" s="128" t="s">
        <v>25</v>
      </c>
      <c r="D3773" s="128" t="s">
        <v>79</v>
      </c>
      <c r="E3773" s="128" t="s">
        <v>132</v>
      </c>
      <c r="F3773" s="128">
        <v>412414</v>
      </c>
      <c r="G3773" s="128">
        <v>276329</v>
      </c>
      <c r="H3773" s="128">
        <v>91738</v>
      </c>
      <c r="I3773" s="128">
        <v>2624</v>
      </c>
    </row>
    <row r="3774" spans="1:9" ht="13.5">
      <c r="A3774" s="128">
        <v>2003</v>
      </c>
      <c r="B3774" s="128" t="s">
        <v>137</v>
      </c>
      <c r="C3774" s="128" t="s">
        <v>25</v>
      </c>
      <c r="D3774" s="128" t="s">
        <v>79</v>
      </c>
      <c r="E3774" s="128" t="s">
        <v>133</v>
      </c>
      <c r="F3774" s="128">
        <v>420182</v>
      </c>
      <c r="G3774" s="128">
        <v>230773</v>
      </c>
      <c r="H3774" s="128">
        <v>77089</v>
      </c>
      <c r="I3774" s="128">
        <v>2640</v>
      </c>
    </row>
    <row r="3775" spans="1:9" ht="13.5">
      <c r="A3775" s="128">
        <v>2003</v>
      </c>
      <c r="B3775" s="128" t="s">
        <v>137</v>
      </c>
      <c r="C3775" s="128" t="s">
        <v>25</v>
      </c>
      <c r="D3775" s="128" t="s">
        <v>79</v>
      </c>
      <c r="E3775" s="128" t="s">
        <v>134</v>
      </c>
      <c r="F3775" s="128">
        <v>747504</v>
      </c>
      <c r="G3775" s="128">
        <v>322582</v>
      </c>
      <c r="H3775" s="128">
        <v>108156</v>
      </c>
      <c r="I3775" s="128">
        <v>4103</v>
      </c>
    </row>
    <row r="3776" spans="1:9" ht="13.5">
      <c r="A3776" s="128">
        <v>2003</v>
      </c>
      <c r="B3776" s="128" t="s">
        <v>137</v>
      </c>
      <c r="C3776" s="128" t="s">
        <v>25</v>
      </c>
      <c r="D3776" s="128" t="s">
        <v>79</v>
      </c>
      <c r="E3776" s="128" t="s">
        <v>135</v>
      </c>
      <c r="F3776" s="128">
        <v>1315270</v>
      </c>
      <c r="G3776" s="128">
        <v>316711</v>
      </c>
      <c r="H3776" s="128">
        <v>106959</v>
      </c>
      <c r="I3776" s="128">
        <v>3140</v>
      </c>
    </row>
    <row r="3777" spans="1:9" ht="13.5">
      <c r="A3777" s="128">
        <v>2003</v>
      </c>
      <c r="B3777" s="128" t="s">
        <v>137</v>
      </c>
      <c r="C3777" s="128" t="s">
        <v>25</v>
      </c>
      <c r="D3777" s="128" t="s">
        <v>79</v>
      </c>
      <c r="E3777" s="128" t="s">
        <v>136</v>
      </c>
      <c r="F3777" s="128">
        <v>1346437</v>
      </c>
      <c r="G3777" s="128">
        <v>1024183</v>
      </c>
      <c r="H3777" s="128">
        <v>322256</v>
      </c>
      <c r="I3777" s="128">
        <v>21894</v>
      </c>
    </row>
    <row r="3778" spans="1:9" ht="13.5">
      <c r="A3778" s="128">
        <v>2003</v>
      </c>
      <c r="B3778" s="128" t="s">
        <v>137</v>
      </c>
      <c r="C3778" s="128" t="s">
        <v>25</v>
      </c>
      <c r="D3778" s="128" t="s">
        <v>76</v>
      </c>
      <c r="E3778" s="128" t="s">
        <v>132</v>
      </c>
      <c r="F3778" s="128">
        <v>2378239</v>
      </c>
      <c r="G3778" s="128">
        <v>1537772</v>
      </c>
      <c r="H3778" s="128">
        <v>840469</v>
      </c>
      <c r="I3778" s="128">
        <v>32947</v>
      </c>
    </row>
    <row r="3779" spans="1:9" ht="13.5">
      <c r="A3779" s="128">
        <v>2003</v>
      </c>
      <c r="B3779" s="128" t="s">
        <v>137</v>
      </c>
      <c r="C3779" s="128" t="s">
        <v>25</v>
      </c>
      <c r="D3779" s="128" t="s">
        <v>76</v>
      </c>
      <c r="E3779" s="128" t="s">
        <v>133</v>
      </c>
      <c r="F3779" s="128">
        <v>3516926</v>
      </c>
      <c r="G3779" s="128">
        <v>1930073</v>
      </c>
      <c r="H3779" s="128">
        <v>1586854</v>
      </c>
      <c r="I3779" s="128">
        <v>15248</v>
      </c>
    </row>
    <row r="3780" spans="1:9" ht="13.5">
      <c r="A3780" s="128">
        <v>2003</v>
      </c>
      <c r="B3780" s="128" t="s">
        <v>137</v>
      </c>
      <c r="C3780" s="128" t="s">
        <v>25</v>
      </c>
      <c r="D3780" s="128" t="s">
        <v>76</v>
      </c>
      <c r="E3780" s="128" t="s">
        <v>134</v>
      </c>
      <c r="F3780" s="128">
        <v>2316331</v>
      </c>
      <c r="G3780" s="128">
        <v>1107227</v>
      </c>
      <c r="H3780" s="128">
        <v>1209105</v>
      </c>
      <c r="I3780" s="128">
        <v>17354</v>
      </c>
    </row>
    <row r="3781" spans="1:9" ht="13.5">
      <c r="A3781" s="128">
        <v>2003</v>
      </c>
      <c r="B3781" s="128" t="s">
        <v>137</v>
      </c>
      <c r="C3781" s="128" t="s">
        <v>25</v>
      </c>
      <c r="D3781" s="128" t="s">
        <v>76</v>
      </c>
      <c r="E3781" s="128" t="s">
        <v>135</v>
      </c>
      <c r="F3781" s="128">
        <v>395080</v>
      </c>
      <c r="G3781" s="128">
        <v>116531</v>
      </c>
      <c r="H3781" s="128">
        <v>278548</v>
      </c>
      <c r="I3781" s="128">
        <v>427</v>
      </c>
    </row>
    <row r="3782" spans="1:9" ht="13.5">
      <c r="A3782" s="128">
        <v>2003</v>
      </c>
      <c r="B3782" s="128" t="s">
        <v>137</v>
      </c>
      <c r="C3782" s="128" t="s">
        <v>25</v>
      </c>
      <c r="D3782" s="128" t="s">
        <v>76</v>
      </c>
      <c r="E3782" s="128" t="s">
        <v>136</v>
      </c>
      <c r="F3782" s="128">
        <v>147647</v>
      </c>
      <c r="G3782" s="128">
        <v>113967</v>
      </c>
      <c r="H3782" s="128">
        <v>33680</v>
      </c>
      <c r="I3782" s="128">
        <v>1753</v>
      </c>
    </row>
    <row r="3783" spans="1:9" ht="13.5">
      <c r="A3783" s="128">
        <v>2003</v>
      </c>
      <c r="B3783" s="128" t="s">
        <v>137</v>
      </c>
      <c r="C3783" s="128" t="s">
        <v>21</v>
      </c>
      <c r="D3783" s="128" t="s">
        <v>77</v>
      </c>
      <c r="E3783" s="128" t="s">
        <v>132</v>
      </c>
      <c r="F3783" s="128">
        <v>1637755</v>
      </c>
      <c r="G3783" s="128">
        <v>1072427</v>
      </c>
      <c r="H3783" s="128">
        <v>472356</v>
      </c>
      <c r="I3783" s="128">
        <v>9103</v>
      </c>
    </row>
    <row r="3784" spans="1:9" ht="13.5">
      <c r="A3784" s="128">
        <v>2003</v>
      </c>
      <c r="B3784" s="128" t="s">
        <v>137</v>
      </c>
      <c r="C3784" s="128" t="s">
        <v>21</v>
      </c>
      <c r="D3784" s="128" t="s">
        <v>77</v>
      </c>
      <c r="E3784" s="128" t="s">
        <v>133</v>
      </c>
      <c r="F3784" s="128">
        <v>3555634</v>
      </c>
      <c r="G3784" s="128">
        <v>1926931</v>
      </c>
      <c r="H3784" s="128">
        <v>1249051</v>
      </c>
      <c r="I3784" s="128">
        <v>14793</v>
      </c>
    </row>
    <row r="3785" spans="1:9" ht="13.5">
      <c r="A3785" s="128">
        <v>2003</v>
      </c>
      <c r="B3785" s="128" t="s">
        <v>137</v>
      </c>
      <c r="C3785" s="128" t="s">
        <v>21</v>
      </c>
      <c r="D3785" s="128" t="s">
        <v>77</v>
      </c>
      <c r="E3785" s="128" t="s">
        <v>134</v>
      </c>
      <c r="F3785" s="128">
        <v>6553868</v>
      </c>
      <c r="G3785" s="128">
        <v>2846652</v>
      </c>
      <c r="H3785" s="128">
        <v>2366896</v>
      </c>
      <c r="I3785" s="128">
        <v>30499</v>
      </c>
    </row>
    <row r="3786" spans="1:9" ht="13.5">
      <c r="A3786" s="128">
        <v>2003</v>
      </c>
      <c r="B3786" s="128" t="s">
        <v>137</v>
      </c>
      <c r="C3786" s="128" t="s">
        <v>21</v>
      </c>
      <c r="D3786" s="128" t="s">
        <v>77</v>
      </c>
      <c r="E3786" s="128" t="s">
        <v>135</v>
      </c>
      <c r="F3786" s="128">
        <v>4301379</v>
      </c>
      <c r="G3786" s="128">
        <v>1209769</v>
      </c>
      <c r="H3786" s="128">
        <v>1213815</v>
      </c>
      <c r="I3786" s="128">
        <v>15272</v>
      </c>
    </row>
    <row r="3787" spans="1:9" ht="13.5">
      <c r="A3787" s="128">
        <v>2003</v>
      </c>
      <c r="B3787" s="128" t="s">
        <v>137</v>
      </c>
      <c r="C3787" s="128" t="s">
        <v>21</v>
      </c>
      <c r="D3787" s="128" t="s">
        <v>79</v>
      </c>
      <c r="E3787" s="128" t="s">
        <v>132</v>
      </c>
      <c r="F3787" s="128">
        <v>3710660</v>
      </c>
      <c r="G3787" s="128">
        <v>2460868</v>
      </c>
      <c r="H3787" s="128">
        <v>817300</v>
      </c>
      <c r="I3787" s="128">
        <v>26427</v>
      </c>
    </row>
    <row r="3788" spans="1:9" ht="13.5">
      <c r="A3788" s="128">
        <v>2003</v>
      </c>
      <c r="B3788" s="128" t="s">
        <v>137</v>
      </c>
      <c r="C3788" s="128" t="s">
        <v>21</v>
      </c>
      <c r="D3788" s="128" t="s">
        <v>79</v>
      </c>
      <c r="E3788" s="128" t="s">
        <v>133</v>
      </c>
      <c r="F3788" s="128">
        <v>3276124</v>
      </c>
      <c r="G3788" s="128">
        <v>1773974</v>
      </c>
      <c r="H3788" s="128">
        <v>615761</v>
      </c>
      <c r="I3788" s="128">
        <v>17417</v>
      </c>
    </row>
    <row r="3789" spans="1:9" ht="13.5">
      <c r="A3789" s="128">
        <v>2003</v>
      </c>
      <c r="B3789" s="128" t="s">
        <v>137</v>
      </c>
      <c r="C3789" s="128" t="s">
        <v>21</v>
      </c>
      <c r="D3789" s="128" t="s">
        <v>79</v>
      </c>
      <c r="E3789" s="128" t="s">
        <v>134</v>
      </c>
      <c r="F3789" s="128">
        <v>7365648</v>
      </c>
      <c r="G3789" s="128">
        <v>3198771</v>
      </c>
      <c r="H3789" s="128">
        <v>1081075</v>
      </c>
      <c r="I3789" s="128">
        <v>47712</v>
      </c>
    </row>
    <row r="3790" spans="1:9" ht="13.5">
      <c r="A3790" s="128">
        <v>2003</v>
      </c>
      <c r="B3790" s="128" t="s">
        <v>137</v>
      </c>
      <c r="C3790" s="128" t="s">
        <v>21</v>
      </c>
      <c r="D3790" s="128" t="s">
        <v>79</v>
      </c>
      <c r="E3790" s="128" t="s">
        <v>135</v>
      </c>
      <c r="F3790" s="128">
        <v>6774366</v>
      </c>
      <c r="G3790" s="128">
        <v>1896485</v>
      </c>
      <c r="H3790" s="128">
        <v>673025</v>
      </c>
      <c r="I3790" s="128">
        <v>18452</v>
      </c>
    </row>
    <row r="3791" spans="1:9" ht="13.5">
      <c r="A3791" s="128">
        <v>2003</v>
      </c>
      <c r="B3791" s="128" t="s">
        <v>137</v>
      </c>
      <c r="C3791" s="128" t="s">
        <v>21</v>
      </c>
      <c r="D3791" s="128" t="s">
        <v>79</v>
      </c>
      <c r="E3791" s="128" t="s">
        <v>136</v>
      </c>
      <c r="F3791" s="128">
        <v>11742189</v>
      </c>
      <c r="G3791" s="128">
        <v>8875636</v>
      </c>
      <c r="H3791" s="128">
        <v>2866430</v>
      </c>
      <c r="I3791" s="128">
        <v>162201</v>
      </c>
    </row>
    <row r="3792" spans="1:9" ht="13.5">
      <c r="A3792" s="128">
        <v>2003</v>
      </c>
      <c r="B3792" s="128" t="s">
        <v>137</v>
      </c>
      <c r="C3792" s="128" t="s">
        <v>21</v>
      </c>
      <c r="D3792" s="128" t="s">
        <v>76</v>
      </c>
      <c r="E3792" s="128" t="s">
        <v>132</v>
      </c>
      <c r="F3792" s="128">
        <v>21258839</v>
      </c>
      <c r="G3792" s="128">
        <v>13613619</v>
      </c>
      <c r="H3792" s="128">
        <v>7645220</v>
      </c>
      <c r="I3792" s="128">
        <v>258210</v>
      </c>
    </row>
    <row r="3793" spans="1:9" ht="13.5">
      <c r="A3793" s="128">
        <v>2003</v>
      </c>
      <c r="B3793" s="128" t="s">
        <v>137</v>
      </c>
      <c r="C3793" s="128" t="s">
        <v>21</v>
      </c>
      <c r="D3793" s="128" t="s">
        <v>76</v>
      </c>
      <c r="E3793" s="128" t="s">
        <v>133</v>
      </c>
      <c r="F3793" s="128">
        <v>51091531</v>
      </c>
      <c r="G3793" s="128">
        <v>28522491</v>
      </c>
      <c r="H3793" s="128">
        <v>22569036</v>
      </c>
      <c r="I3793" s="128">
        <v>363794</v>
      </c>
    </row>
    <row r="3794" spans="1:9" ht="13.5">
      <c r="A3794" s="128">
        <v>2003</v>
      </c>
      <c r="B3794" s="128" t="s">
        <v>137</v>
      </c>
      <c r="C3794" s="128" t="s">
        <v>21</v>
      </c>
      <c r="D3794" s="128" t="s">
        <v>76</v>
      </c>
      <c r="E3794" s="128" t="s">
        <v>134</v>
      </c>
      <c r="F3794" s="128">
        <v>26045953</v>
      </c>
      <c r="G3794" s="128">
        <v>12399254</v>
      </c>
      <c r="H3794" s="128">
        <v>13646697</v>
      </c>
      <c r="I3794" s="128">
        <v>213987</v>
      </c>
    </row>
    <row r="3795" spans="1:9" ht="13.5">
      <c r="A3795" s="128">
        <v>2003</v>
      </c>
      <c r="B3795" s="128" t="s">
        <v>137</v>
      </c>
      <c r="C3795" s="128" t="s">
        <v>21</v>
      </c>
      <c r="D3795" s="128" t="s">
        <v>76</v>
      </c>
      <c r="E3795" s="128" t="s">
        <v>135</v>
      </c>
      <c r="F3795" s="128">
        <v>2472721</v>
      </c>
      <c r="G3795" s="128">
        <v>727032</v>
      </c>
      <c r="H3795" s="128">
        <v>1745691</v>
      </c>
      <c r="I3795" s="128">
        <v>2400</v>
      </c>
    </row>
    <row r="3796" spans="1:9" ht="13.5">
      <c r="A3796" s="128">
        <v>2003</v>
      </c>
      <c r="B3796" s="128" t="s">
        <v>137</v>
      </c>
      <c r="C3796" s="128" t="s">
        <v>21</v>
      </c>
      <c r="D3796" s="128" t="s">
        <v>76</v>
      </c>
      <c r="E3796" s="128" t="s">
        <v>136</v>
      </c>
      <c r="F3796" s="128">
        <v>2920771</v>
      </c>
      <c r="G3796" s="128">
        <v>2228049</v>
      </c>
      <c r="H3796" s="128">
        <v>692876</v>
      </c>
      <c r="I3796" s="128">
        <v>48278</v>
      </c>
    </row>
    <row r="3797" spans="1:9" ht="13.5">
      <c r="A3797" s="128">
        <v>2003</v>
      </c>
      <c r="B3797" s="128" t="s">
        <v>137</v>
      </c>
      <c r="C3797" s="128" t="s">
        <v>24</v>
      </c>
      <c r="D3797" s="128" t="s">
        <v>77</v>
      </c>
      <c r="E3797" s="128" t="s">
        <v>132</v>
      </c>
      <c r="F3797" s="128">
        <v>677922</v>
      </c>
      <c r="G3797" s="128">
        <v>427976</v>
      </c>
      <c r="H3797" s="128">
        <v>192010</v>
      </c>
      <c r="I3797" s="128">
        <v>5213</v>
      </c>
    </row>
    <row r="3798" spans="1:9" ht="13.5">
      <c r="A3798" s="128">
        <v>2003</v>
      </c>
      <c r="B3798" s="128" t="s">
        <v>137</v>
      </c>
      <c r="C3798" s="128" t="s">
        <v>24</v>
      </c>
      <c r="D3798" s="128" t="s">
        <v>77</v>
      </c>
      <c r="E3798" s="128" t="s">
        <v>133</v>
      </c>
      <c r="F3798" s="128">
        <v>2629016</v>
      </c>
      <c r="G3798" s="128">
        <v>1402273</v>
      </c>
      <c r="H3798" s="128">
        <v>863904</v>
      </c>
      <c r="I3798" s="128">
        <v>9142</v>
      </c>
    </row>
    <row r="3799" spans="1:9" ht="13.5">
      <c r="A3799" s="128">
        <v>2003</v>
      </c>
      <c r="B3799" s="128" t="s">
        <v>137</v>
      </c>
      <c r="C3799" s="128" t="s">
        <v>24</v>
      </c>
      <c r="D3799" s="128" t="s">
        <v>77</v>
      </c>
      <c r="E3799" s="128" t="s">
        <v>134</v>
      </c>
      <c r="F3799" s="128">
        <v>5523771</v>
      </c>
      <c r="G3799" s="128">
        <v>2440384</v>
      </c>
      <c r="H3799" s="128">
        <v>1577847</v>
      </c>
      <c r="I3799" s="128">
        <v>31999</v>
      </c>
    </row>
    <row r="3800" spans="1:9" ht="13.5">
      <c r="A3800" s="128">
        <v>2003</v>
      </c>
      <c r="B3800" s="128" t="s">
        <v>137</v>
      </c>
      <c r="C3800" s="128" t="s">
        <v>24</v>
      </c>
      <c r="D3800" s="128" t="s">
        <v>77</v>
      </c>
      <c r="E3800" s="128" t="s">
        <v>135</v>
      </c>
      <c r="F3800" s="128">
        <v>3983938</v>
      </c>
      <c r="G3800" s="128">
        <v>1166853</v>
      </c>
      <c r="H3800" s="128">
        <v>892683</v>
      </c>
      <c r="I3800" s="128">
        <v>15145</v>
      </c>
    </row>
    <row r="3801" spans="1:9" ht="13.5">
      <c r="A3801" s="128">
        <v>2003</v>
      </c>
      <c r="B3801" s="128" t="s">
        <v>137</v>
      </c>
      <c r="C3801" s="128" t="s">
        <v>24</v>
      </c>
      <c r="D3801" s="128" t="s">
        <v>79</v>
      </c>
      <c r="E3801" s="128" t="s">
        <v>132</v>
      </c>
      <c r="F3801" s="128">
        <v>1130967</v>
      </c>
      <c r="G3801" s="128">
        <v>741544</v>
      </c>
      <c r="H3801" s="128">
        <v>249244</v>
      </c>
      <c r="I3801" s="128">
        <v>8071</v>
      </c>
    </row>
    <row r="3802" spans="1:9" ht="13.5">
      <c r="A3802" s="128">
        <v>2003</v>
      </c>
      <c r="B3802" s="128" t="s">
        <v>137</v>
      </c>
      <c r="C3802" s="128" t="s">
        <v>24</v>
      </c>
      <c r="D3802" s="128" t="s">
        <v>79</v>
      </c>
      <c r="E3802" s="128" t="s">
        <v>133</v>
      </c>
      <c r="F3802" s="128">
        <v>1399656</v>
      </c>
      <c r="G3802" s="128">
        <v>760813</v>
      </c>
      <c r="H3802" s="128">
        <v>268993</v>
      </c>
      <c r="I3802" s="128">
        <v>13363</v>
      </c>
    </row>
    <row r="3803" spans="1:9" ht="13.5">
      <c r="A3803" s="128">
        <v>2003</v>
      </c>
      <c r="B3803" s="128" t="s">
        <v>137</v>
      </c>
      <c r="C3803" s="128" t="s">
        <v>24</v>
      </c>
      <c r="D3803" s="128" t="s">
        <v>79</v>
      </c>
      <c r="E3803" s="128" t="s">
        <v>134</v>
      </c>
      <c r="F3803" s="128">
        <v>1394826</v>
      </c>
      <c r="G3803" s="128">
        <v>602271</v>
      </c>
      <c r="H3803" s="128">
        <v>224086</v>
      </c>
      <c r="I3803" s="128">
        <v>8201</v>
      </c>
    </row>
    <row r="3804" spans="1:9" ht="13.5">
      <c r="A3804" s="128">
        <v>2003</v>
      </c>
      <c r="B3804" s="128" t="s">
        <v>137</v>
      </c>
      <c r="C3804" s="128" t="s">
        <v>24</v>
      </c>
      <c r="D3804" s="128" t="s">
        <v>79</v>
      </c>
      <c r="E3804" s="128" t="s">
        <v>135</v>
      </c>
      <c r="F3804" s="128">
        <v>1302118</v>
      </c>
      <c r="G3804" s="128">
        <v>329203</v>
      </c>
      <c r="H3804" s="128">
        <v>145936</v>
      </c>
      <c r="I3804" s="128">
        <v>3226</v>
      </c>
    </row>
    <row r="3805" spans="1:9" ht="13.5">
      <c r="A3805" s="128">
        <v>2003</v>
      </c>
      <c r="B3805" s="128" t="s">
        <v>137</v>
      </c>
      <c r="C3805" s="128" t="s">
        <v>24</v>
      </c>
      <c r="D3805" s="128" t="s">
        <v>79</v>
      </c>
      <c r="E3805" s="128" t="s">
        <v>136</v>
      </c>
      <c r="F3805" s="128">
        <v>1727286</v>
      </c>
      <c r="G3805" s="128">
        <v>1196760</v>
      </c>
      <c r="H3805" s="128">
        <v>530514</v>
      </c>
      <c r="I3805" s="128">
        <v>27613</v>
      </c>
    </row>
    <row r="3806" spans="1:9" ht="13.5">
      <c r="A3806" s="128">
        <v>2003</v>
      </c>
      <c r="B3806" s="128" t="s">
        <v>137</v>
      </c>
      <c r="C3806" s="128" t="s">
        <v>24</v>
      </c>
      <c r="D3806" s="128" t="s">
        <v>76</v>
      </c>
      <c r="E3806" s="128" t="s">
        <v>132</v>
      </c>
      <c r="F3806" s="128">
        <v>11670502</v>
      </c>
      <c r="G3806" s="128">
        <v>7372134</v>
      </c>
      <c r="H3806" s="128">
        <v>4298370</v>
      </c>
      <c r="I3806" s="128">
        <v>130368</v>
      </c>
    </row>
    <row r="3807" spans="1:9" ht="13.5">
      <c r="A3807" s="128">
        <v>2003</v>
      </c>
      <c r="B3807" s="128" t="s">
        <v>137</v>
      </c>
      <c r="C3807" s="128" t="s">
        <v>24</v>
      </c>
      <c r="D3807" s="128" t="s">
        <v>76</v>
      </c>
      <c r="E3807" s="128" t="s">
        <v>133</v>
      </c>
      <c r="F3807" s="128">
        <v>13699221</v>
      </c>
      <c r="G3807" s="128">
        <v>7416659</v>
      </c>
      <c r="H3807" s="128">
        <v>6282560</v>
      </c>
      <c r="I3807" s="128">
        <v>56979</v>
      </c>
    </row>
    <row r="3808" spans="1:9" ht="13.5">
      <c r="A3808" s="128">
        <v>2003</v>
      </c>
      <c r="B3808" s="128" t="s">
        <v>137</v>
      </c>
      <c r="C3808" s="128" t="s">
        <v>24</v>
      </c>
      <c r="D3808" s="128" t="s">
        <v>76</v>
      </c>
      <c r="E3808" s="128" t="s">
        <v>134</v>
      </c>
      <c r="F3808" s="128">
        <v>6475947</v>
      </c>
      <c r="G3808" s="128">
        <v>3091784</v>
      </c>
      <c r="H3808" s="128">
        <v>3384162</v>
      </c>
      <c r="I3808" s="128">
        <v>53706</v>
      </c>
    </row>
    <row r="3809" spans="1:9" ht="13.5">
      <c r="A3809" s="128">
        <v>2003</v>
      </c>
      <c r="B3809" s="128" t="s">
        <v>137</v>
      </c>
      <c r="C3809" s="128" t="s">
        <v>24</v>
      </c>
      <c r="D3809" s="128" t="s">
        <v>76</v>
      </c>
      <c r="E3809" s="128" t="s">
        <v>135</v>
      </c>
      <c r="F3809" s="128">
        <v>1617510</v>
      </c>
      <c r="G3809" s="128">
        <v>422034</v>
      </c>
      <c r="H3809" s="128">
        <v>1195478</v>
      </c>
      <c r="I3809" s="128">
        <v>1682</v>
      </c>
    </row>
    <row r="3810" spans="1:9" ht="13.5">
      <c r="A3810" s="128">
        <v>2003</v>
      </c>
      <c r="B3810" s="128" t="s">
        <v>137</v>
      </c>
      <c r="C3810" s="128" t="s">
        <v>24</v>
      </c>
      <c r="D3810" s="128" t="s">
        <v>76</v>
      </c>
      <c r="E3810" s="128" t="s">
        <v>136</v>
      </c>
      <c r="F3810" s="128">
        <v>2007712</v>
      </c>
      <c r="G3810" s="128">
        <v>1540057</v>
      </c>
      <c r="H3810" s="128">
        <v>467651</v>
      </c>
      <c r="I3810" s="128">
        <v>27205</v>
      </c>
    </row>
    <row r="3811" spans="1:9" ht="13.5">
      <c r="A3811" s="128">
        <v>2004</v>
      </c>
      <c r="B3811" s="128" t="s">
        <v>131</v>
      </c>
      <c r="C3811" s="128" t="s">
        <v>26</v>
      </c>
      <c r="D3811" s="128" t="s">
        <v>77</v>
      </c>
      <c r="E3811" s="128" t="s">
        <v>132</v>
      </c>
      <c r="F3811" s="128">
        <v>0</v>
      </c>
      <c r="G3811" s="128">
        <v>0</v>
      </c>
      <c r="H3811" s="128">
        <v>0</v>
      </c>
      <c r="I3811" s="128">
        <v>0</v>
      </c>
    </row>
    <row r="3812" spans="1:9" ht="13.5">
      <c r="A3812" s="128">
        <v>2004</v>
      </c>
      <c r="B3812" s="128" t="s">
        <v>131</v>
      </c>
      <c r="C3812" s="128" t="s">
        <v>26</v>
      </c>
      <c r="D3812" s="128" t="s">
        <v>77</v>
      </c>
      <c r="E3812" s="128" t="s">
        <v>133</v>
      </c>
      <c r="F3812" s="128">
        <v>0</v>
      </c>
      <c r="G3812" s="128">
        <v>0</v>
      </c>
      <c r="H3812" s="128">
        <v>0</v>
      </c>
      <c r="I3812" s="128">
        <v>0</v>
      </c>
    </row>
    <row r="3813" spans="1:9" ht="13.5">
      <c r="A3813" s="128">
        <v>2004</v>
      </c>
      <c r="B3813" s="128" t="s">
        <v>131</v>
      </c>
      <c r="C3813" s="128" t="s">
        <v>26</v>
      </c>
      <c r="D3813" s="128" t="s">
        <v>77</v>
      </c>
      <c r="E3813" s="128" t="s">
        <v>134</v>
      </c>
      <c r="F3813" s="128">
        <v>0</v>
      </c>
      <c r="G3813" s="128">
        <v>0</v>
      </c>
      <c r="H3813" s="128">
        <v>0</v>
      </c>
      <c r="I3813" s="128">
        <v>0</v>
      </c>
    </row>
    <row r="3814" spans="1:9" ht="13.5">
      <c r="A3814" s="128">
        <v>2004</v>
      </c>
      <c r="B3814" s="128" t="s">
        <v>131</v>
      </c>
      <c r="C3814" s="128" t="s">
        <v>26</v>
      </c>
      <c r="D3814" s="128" t="s">
        <v>77</v>
      </c>
      <c r="E3814" s="128" t="s">
        <v>135</v>
      </c>
      <c r="F3814" s="128">
        <v>0</v>
      </c>
      <c r="G3814" s="128">
        <v>0</v>
      </c>
      <c r="H3814" s="128">
        <v>0</v>
      </c>
      <c r="I3814" s="128">
        <v>0</v>
      </c>
    </row>
    <row r="3815" spans="1:9" ht="13.5">
      <c r="A3815" s="128">
        <v>2004</v>
      </c>
      <c r="B3815" s="128" t="s">
        <v>131</v>
      </c>
      <c r="C3815" s="128" t="s">
        <v>26</v>
      </c>
      <c r="D3815" s="128" t="s">
        <v>79</v>
      </c>
      <c r="E3815" s="128" t="s">
        <v>132</v>
      </c>
      <c r="F3815" s="128">
        <v>0</v>
      </c>
      <c r="G3815" s="128">
        <v>0</v>
      </c>
      <c r="H3815" s="128">
        <v>0</v>
      </c>
      <c r="I3815" s="128">
        <v>0</v>
      </c>
    </row>
    <row r="3816" spans="1:9" ht="13.5">
      <c r="A3816" s="128">
        <v>2004</v>
      </c>
      <c r="B3816" s="128" t="s">
        <v>131</v>
      </c>
      <c r="C3816" s="128" t="s">
        <v>26</v>
      </c>
      <c r="D3816" s="128" t="s">
        <v>79</v>
      </c>
      <c r="E3816" s="128" t="s">
        <v>133</v>
      </c>
      <c r="F3816" s="128">
        <v>0</v>
      </c>
      <c r="G3816" s="128">
        <v>0</v>
      </c>
      <c r="H3816" s="128">
        <v>0</v>
      </c>
      <c r="I3816" s="128">
        <v>0</v>
      </c>
    </row>
    <row r="3817" spans="1:9" ht="13.5">
      <c r="A3817" s="128">
        <v>2004</v>
      </c>
      <c r="B3817" s="128" t="s">
        <v>131</v>
      </c>
      <c r="C3817" s="128" t="s">
        <v>26</v>
      </c>
      <c r="D3817" s="128" t="s">
        <v>79</v>
      </c>
      <c r="E3817" s="128" t="s">
        <v>134</v>
      </c>
      <c r="F3817" s="128">
        <v>0</v>
      </c>
      <c r="G3817" s="128">
        <v>0</v>
      </c>
      <c r="H3817" s="128">
        <v>0</v>
      </c>
      <c r="I3817" s="128">
        <v>0</v>
      </c>
    </row>
    <row r="3818" spans="1:9" ht="13.5">
      <c r="A3818" s="128">
        <v>2004</v>
      </c>
      <c r="B3818" s="128" t="s">
        <v>131</v>
      </c>
      <c r="C3818" s="128" t="s">
        <v>26</v>
      </c>
      <c r="D3818" s="128" t="s">
        <v>79</v>
      </c>
      <c r="E3818" s="128" t="s">
        <v>135</v>
      </c>
      <c r="F3818" s="128">
        <v>0</v>
      </c>
      <c r="G3818" s="128">
        <v>0</v>
      </c>
      <c r="H3818" s="128">
        <v>0</v>
      </c>
      <c r="I3818" s="128">
        <v>0</v>
      </c>
    </row>
    <row r="3819" spans="1:9" ht="13.5">
      <c r="A3819" s="128">
        <v>2004</v>
      </c>
      <c r="B3819" s="128" t="s">
        <v>131</v>
      </c>
      <c r="C3819" s="128" t="s">
        <v>26</v>
      </c>
      <c r="D3819" s="128" t="s">
        <v>79</v>
      </c>
      <c r="E3819" s="128" t="s">
        <v>136</v>
      </c>
      <c r="F3819" s="128">
        <v>0</v>
      </c>
      <c r="G3819" s="128">
        <v>0</v>
      </c>
      <c r="H3819" s="128">
        <v>0</v>
      </c>
      <c r="I3819" s="128">
        <v>0</v>
      </c>
    </row>
    <row r="3820" spans="1:9" ht="13.5">
      <c r="A3820" s="128">
        <v>2004</v>
      </c>
      <c r="B3820" s="128" t="s">
        <v>131</v>
      </c>
      <c r="C3820" s="128" t="s">
        <v>26</v>
      </c>
      <c r="D3820" s="128" t="s">
        <v>76</v>
      </c>
      <c r="E3820" s="128" t="s">
        <v>132</v>
      </c>
      <c r="F3820" s="128">
        <v>0</v>
      </c>
      <c r="G3820" s="128">
        <v>0</v>
      </c>
      <c r="H3820" s="128">
        <v>0</v>
      </c>
      <c r="I3820" s="128">
        <v>0</v>
      </c>
    </row>
    <row r="3821" spans="1:9" ht="13.5">
      <c r="A3821" s="128">
        <v>2004</v>
      </c>
      <c r="B3821" s="128" t="s">
        <v>131</v>
      </c>
      <c r="C3821" s="128" t="s">
        <v>26</v>
      </c>
      <c r="D3821" s="128" t="s">
        <v>76</v>
      </c>
      <c r="E3821" s="128" t="s">
        <v>133</v>
      </c>
      <c r="F3821" s="128">
        <v>0</v>
      </c>
      <c r="G3821" s="128">
        <v>0</v>
      </c>
      <c r="H3821" s="128">
        <v>0</v>
      </c>
      <c r="I3821" s="128">
        <v>0</v>
      </c>
    </row>
    <row r="3822" spans="1:9" ht="13.5">
      <c r="A3822" s="128">
        <v>2004</v>
      </c>
      <c r="B3822" s="128" t="s">
        <v>131</v>
      </c>
      <c r="C3822" s="128" t="s">
        <v>26</v>
      </c>
      <c r="D3822" s="128" t="s">
        <v>76</v>
      </c>
      <c r="E3822" s="128" t="s">
        <v>134</v>
      </c>
      <c r="F3822" s="128">
        <v>0</v>
      </c>
      <c r="G3822" s="128">
        <v>0</v>
      </c>
      <c r="H3822" s="128">
        <v>0</v>
      </c>
      <c r="I3822" s="128">
        <v>0</v>
      </c>
    </row>
    <row r="3823" spans="1:9" ht="13.5">
      <c r="A3823" s="128">
        <v>2004</v>
      </c>
      <c r="B3823" s="128" t="s">
        <v>131</v>
      </c>
      <c r="C3823" s="128" t="s">
        <v>26</v>
      </c>
      <c r="D3823" s="128" t="s">
        <v>76</v>
      </c>
      <c r="E3823" s="128" t="s">
        <v>135</v>
      </c>
      <c r="F3823" s="128">
        <v>0</v>
      </c>
      <c r="G3823" s="128">
        <v>0</v>
      </c>
      <c r="H3823" s="128">
        <v>0</v>
      </c>
      <c r="I3823" s="128">
        <v>0</v>
      </c>
    </row>
    <row r="3824" spans="1:9" ht="13.5">
      <c r="A3824" s="128">
        <v>2004</v>
      </c>
      <c r="B3824" s="128" t="s">
        <v>131</v>
      </c>
      <c r="C3824" s="128" t="s">
        <v>26</v>
      </c>
      <c r="D3824" s="128" t="s">
        <v>76</v>
      </c>
      <c r="E3824" s="128" t="s">
        <v>136</v>
      </c>
      <c r="F3824" s="128">
        <v>0</v>
      </c>
      <c r="G3824" s="128">
        <v>0</v>
      </c>
      <c r="H3824" s="128">
        <v>0</v>
      </c>
      <c r="I3824" s="128">
        <v>0</v>
      </c>
    </row>
    <row r="3825" spans="1:9" ht="13.5">
      <c r="A3825" s="128">
        <v>2004</v>
      </c>
      <c r="B3825" s="128" t="s">
        <v>131</v>
      </c>
      <c r="C3825" s="128" t="s">
        <v>20</v>
      </c>
      <c r="D3825" s="128" t="s">
        <v>77</v>
      </c>
      <c r="E3825" s="128" t="s">
        <v>132</v>
      </c>
      <c r="F3825" s="128">
        <v>696856</v>
      </c>
      <c r="G3825" s="128">
        <v>455432</v>
      </c>
      <c r="H3825" s="128">
        <v>206294</v>
      </c>
      <c r="I3825" s="128">
        <v>6032</v>
      </c>
    </row>
    <row r="3826" spans="1:9" ht="13.5">
      <c r="A3826" s="128">
        <v>2004</v>
      </c>
      <c r="B3826" s="128" t="s">
        <v>131</v>
      </c>
      <c r="C3826" s="128" t="s">
        <v>20</v>
      </c>
      <c r="D3826" s="128" t="s">
        <v>77</v>
      </c>
      <c r="E3826" s="128" t="s">
        <v>133</v>
      </c>
      <c r="F3826" s="128">
        <v>1571751</v>
      </c>
      <c r="G3826" s="128">
        <v>858199</v>
      </c>
      <c r="H3826" s="128">
        <v>581200</v>
      </c>
      <c r="I3826" s="128">
        <v>10628</v>
      </c>
    </row>
    <row r="3827" spans="1:9" ht="13.5">
      <c r="A3827" s="128">
        <v>2004</v>
      </c>
      <c r="B3827" s="128" t="s">
        <v>131</v>
      </c>
      <c r="C3827" s="128" t="s">
        <v>20</v>
      </c>
      <c r="D3827" s="128" t="s">
        <v>77</v>
      </c>
      <c r="E3827" s="128" t="s">
        <v>134</v>
      </c>
      <c r="F3827" s="128">
        <v>3008865</v>
      </c>
      <c r="G3827" s="128">
        <v>1296900</v>
      </c>
      <c r="H3827" s="128">
        <v>1121533</v>
      </c>
      <c r="I3827" s="128">
        <v>12140</v>
      </c>
    </row>
    <row r="3828" spans="1:9" ht="13.5">
      <c r="A3828" s="128">
        <v>2004</v>
      </c>
      <c r="B3828" s="128" t="s">
        <v>131</v>
      </c>
      <c r="C3828" s="128" t="s">
        <v>20</v>
      </c>
      <c r="D3828" s="128" t="s">
        <v>77</v>
      </c>
      <c r="E3828" s="128" t="s">
        <v>135</v>
      </c>
      <c r="F3828" s="128">
        <v>4542161</v>
      </c>
      <c r="G3828" s="128">
        <v>1256862</v>
      </c>
      <c r="H3828" s="128">
        <v>1109322</v>
      </c>
      <c r="I3828" s="128">
        <v>13344</v>
      </c>
    </row>
    <row r="3829" spans="1:9" ht="13.5">
      <c r="A3829" s="128">
        <v>2004</v>
      </c>
      <c r="B3829" s="128" t="s">
        <v>131</v>
      </c>
      <c r="C3829" s="128" t="s">
        <v>20</v>
      </c>
      <c r="D3829" s="128" t="s">
        <v>79</v>
      </c>
      <c r="E3829" s="128" t="s">
        <v>132</v>
      </c>
      <c r="F3829" s="128">
        <v>3999487</v>
      </c>
      <c r="G3829" s="128">
        <v>2680976</v>
      </c>
      <c r="H3829" s="128">
        <v>900702</v>
      </c>
      <c r="I3829" s="128">
        <v>28234</v>
      </c>
    </row>
    <row r="3830" spans="1:9" ht="13.5">
      <c r="A3830" s="128">
        <v>2004</v>
      </c>
      <c r="B3830" s="128" t="s">
        <v>131</v>
      </c>
      <c r="C3830" s="128" t="s">
        <v>20</v>
      </c>
      <c r="D3830" s="128" t="s">
        <v>79</v>
      </c>
      <c r="E3830" s="128" t="s">
        <v>133</v>
      </c>
      <c r="F3830" s="128">
        <v>6006733</v>
      </c>
      <c r="G3830" s="128">
        <v>3297644</v>
      </c>
      <c r="H3830" s="128">
        <v>1132923</v>
      </c>
      <c r="I3830" s="128">
        <v>42932</v>
      </c>
    </row>
    <row r="3831" spans="1:9" ht="13.5">
      <c r="A3831" s="128">
        <v>2004</v>
      </c>
      <c r="B3831" s="128" t="s">
        <v>131</v>
      </c>
      <c r="C3831" s="128" t="s">
        <v>20</v>
      </c>
      <c r="D3831" s="128" t="s">
        <v>79</v>
      </c>
      <c r="E3831" s="128" t="s">
        <v>134</v>
      </c>
      <c r="F3831" s="128">
        <v>18850076</v>
      </c>
      <c r="G3831" s="128">
        <v>8004635</v>
      </c>
      <c r="H3831" s="128">
        <v>2703562</v>
      </c>
      <c r="I3831" s="128">
        <v>80550</v>
      </c>
    </row>
    <row r="3832" spans="1:9" ht="13.5">
      <c r="A3832" s="128">
        <v>2004</v>
      </c>
      <c r="B3832" s="128" t="s">
        <v>131</v>
      </c>
      <c r="C3832" s="128" t="s">
        <v>20</v>
      </c>
      <c r="D3832" s="128" t="s">
        <v>79</v>
      </c>
      <c r="E3832" s="128" t="s">
        <v>135</v>
      </c>
      <c r="F3832" s="128">
        <v>53136096</v>
      </c>
      <c r="G3832" s="128">
        <v>14712144</v>
      </c>
      <c r="H3832" s="128">
        <v>5033993</v>
      </c>
      <c r="I3832" s="128">
        <v>124436</v>
      </c>
    </row>
    <row r="3833" spans="1:9" ht="13.5">
      <c r="A3833" s="128">
        <v>2004</v>
      </c>
      <c r="B3833" s="128" t="s">
        <v>131</v>
      </c>
      <c r="C3833" s="128" t="s">
        <v>20</v>
      </c>
      <c r="D3833" s="128" t="s">
        <v>79</v>
      </c>
      <c r="E3833" s="128" t="s">
        <v>136</v>
      </c>
      <c r="F3833" s="128">
        <v>19046808</v>
      </c>
      <c r="G3833" s="128">
        <v>14443359</v>
      </c>
      <c r="H3833" s="128">
        <v>4601628</v>
      </c>
      <c r="I3833" s="128">
        <v>309973</v>
      </c>
    </row>
    <row r="3834" spans="1:9" ht="13.5">
      <c r="A3834" s="128">
        <v>2004</v>
      </c>
      <c r="B3834" s="128" t="s">
        <v>131</v>
      </c>
      <c r="C3834" s="128" t="s">
        <v>20</v>
      </c>
      <c r="D3834" s="128" t="s">
        <v>76</v>
      </c>
      <c r="E3834" s="128" t="s">
        <v>132</v>
      </c>
      <c r="F3834" s="128">
        <v>24492317</v>
      </c>
      <c r="G3834" s="128">
        <v>15717457</v>
      </c>
      <c r="H3834" s="128">
        <v>8774864</v>
      </c>
      <c r="I3834" s="128">
        <v>311173</v>
      </c>
    </row>
    <row r="3835" spans="1:9" ht="13.5">
      <c r="A3835" s="128">
        <v>2004</v>
      </c>
      <c r="B3835" s="128" t="s">
        <v>131</v>
      </c>
      <c r="C3835" s="128" t="s">
        <v>20</v>
      </c>
      <c r="D3835" s="128" t="s">
        <v>76</v>
      </c>
      <c r="E3835" s="128" t="s">
        <v>133</v>
      </c>
      <c r="F3835" s="128">
        <v>36896909</v>
      </c>
      <c r="G3835" s="128">
        <v>20325385</v>
      </c>
      <c r="H3835" s="128">
        <v>16571524</v>
      </c>
      <c r="I3835" s="128">
        <v>168504</v>
      </c>
    </row>
    <row r="3836" spans="1:9" ht="13.5">
      <c r="A3836" s="128">
        <v>2004</v>
      </c>
      <c r="B3836" s="128" t="s">
        <v>131</v>
      </c>
      <c r="C3836" s="128" t="s">
        <v>20</v>
      </c>
      <c r="D3836" s="128" t="s">
        <v>76</v>
      </c>
      <c r="E3836" s="128" t="s">
        <v>134</v>
      </c>
      <c r="F3836" s="128">
        <v>26432460</v>
      </c>
      <c r="G3836" s="128">
        <v>12409172</v>
      </c>
      <c r="H3836" s="128">
        <v>14023289</v>
      </c>
      <c r="I3836" s="128">
        <v>182961</v>
      </c>
    </row>
    <row r="3837" spans="1:9" ht="13.5">
      <c r="A3837" s="128">
        <v>2004</v>
      </c>
      <c r="B3837" s="128" t="s">
        <v>131</v>
      </c>
      <c r="C3837" s="128" t="s">
        <v>20</v>
      </c>
      <c r="D3837" s="128" t="s">
        <v>76</v>
      </c>
      <c r="E3837" s="128" t="s">
        <v>135</v>
      </c>
      <c r="F3837" s="128">
        <v>4411088</v>
      </c>
      <c r="G3837" s="128">
        <v>1174257</v>
      </c>
      <c r="H3837" s="128">
        <v>3236831</v>
      </c>
      <c r="I3837" s="128">
        <v>5038</v>
      </c>
    </row>
    <row r="3838" spans="1:9" ht="13.5">
      <c r="A3838" s="128">
        <v>2004</v>
      </c>
      <c r="B3838" s="128" t="s">
        <v>131</v>
      </c>
      <c r="C3838" s="128" t="s">
        <v>20</v>
      </c>
      <c r="D3838" s="128" t="s">
        <v>76</v>
      </c>
      <c r="E3838" s="128" t="s">
        <v>136</v>
      </c>
      <c r="F3838" s="128">
        <v>4852083</v>
      </c>
      <c r="G3838" s="128">
        <v>3649025</v>
      </c>
      <c r="H3838" s="128">
        <v>1203056</v>
      </c>
      <c r="I3838" s="128">
        <v>109495</v>
      </c>
    </row>
    <row r="3839" spans="1:9" ht="13.5">
      <c r="A3839" s="128">
        <v>2004</v>
      </c>
      <c r="B3839" s="128" t="s">
        <v>131</v>
      </c>
      <c r="C3839" s="128" t="s">
        <v>27</v>
      </c>
      <c r="D3839" s="128" t="s">
        <v>77</v>
      </c>
      <c r="E3839" s="128" t="s">
        <v>132</v>
      </c>
      <c r="F3839" s="128">
        <v>13310</v>
      </c>
      <c r="G3839" s="128">
        <v>8256</v>
      </c>
      <c r="H3839" s="128">
        <v>4125</v>
      </c>
      <c r="I3839" s="128">
        <v>96</v>
      </c>
    </row>
    <row r="3840" spans="1:9" ht="13.5">
      <c r="A3840" s="128">
        <v>2004</v>
      </c>
      <c r="B3840" s="128" t="s">
        <v>131</v>
      </c>
      <c r="C3840" s="128" t="s">
        <v>27</v>
      </c>
      <c r="D3840" s="128" t="s">
        <v>77</v>
      </c>
      <c r="E3840" s="128" t="s">
        <v>133</v>
      </c>
      <c r="F3840" s="128">
        <v>27954</v>
      </c>
      <c r="G3840" s="128">
        <v>14926</v>
      </c>
      <c r="H3840" s="128">
        <v>10462</v>
      </c>
      <c r="I3840" s="128">
        <v>101</v>
      </c>
    </row>
    <row r="3841" spans="1:9" ht="13.5">
      <c r="A3841" s="128">
        <v>2004</v>
      </c>
      <c r="B3841" s="128" t="s">
        <v>131</v>
      </c>
      <c r="C3841" s="128" t="s">
        <v>27</v>
      </c>
      <c r="D3841" s="128" t="s">
        <v>77</v>
      </c>
      <c r="E3841" s="128" t="s">
        <v>134</v>
      </c>
      <c r="F3841" s="128">
        <v>92810</v>
      </c>
      <c r="G3841" s="128">
        <v>40715</v>
      </c>
      <c r="H3841" s="128">
        <v>32373</v>
      </c>
      <c r="I3841" s="128">
        <v>246</v>
      </c>
    </row>
    <row r="3842" spans="1:9" ht="13.5">
      <c r="A3842" s="128">
        <v>2004</v>
      </c>
      <c r="B3842" s="128" t="s">
        <v>131</v>
      </c>
      <c r="C3842" s="128" t="s">
        <v>27</v>
      </c>
      <c r="D3842" s="128" t="s">
        <v>77</v>
      </c>
      <c r="E3842" s="128" t="s">
        <v>135</v>
      </c>
      <c r="F3842" s="128">
        <v>96407</v>
      </c>
      <c r="G3842" s="128">
        <v>27427</v>
      </c>
      <c r="H3842" s="128">
        <v>30746</v>
      </c>
      <c r="I3842" s="128">
        <v>177</v>
      </c>
    </row>
    <row r="3843" spans="1:9" ht="13.5">
      <c r="A3843" s="128">
        <v>2004</v>
      </c>
      <c r="B3843" s="128" t="s">
        <v>131</v>
      </c>
      <c r="C3843" s="128" t="s">
        <v>27</v>
      </c>
      <c r="D3843" s="128" t="s">
        <v>79</v>
      </c>
      <c r="E3843" s="128" t="s">
        <v>132</v>
      </c>
      <c r="F3843" s="128">
        <v>58042</v>
      </c>
      <c r="G3843" s="128">
        <v>38935</v>
      </c>
      <c r="H3843" s="128">
        <v>12214</v>
      </c>
      <c r="I3843" s="128">
        <v>285</v>
      </c>
    </row>
    <row r="3844" spans="1:9" ht="13.5">
      <c r="A3844" s="128">
        <v>2004</v>
      </c>
      <c r="B3844" s="128" t="s">
        <v>131</v>
      </c>
      <c r="C3844" s="128" t="s">
        <v>27</v>
      </c>
      <c r="D3844" s="128" t="s">
        <v>79</v>
      </c>
      <c r="E3844" s="128" t="s">
        <v>133</v>
      </c>
      <c r="F3844" s="128">
        <v>78376</v>
      </c>
      <c r="G3844" s="128">
        <v>44027</v>
      </c>
      <c r="H3844" s="128">
        <v>14752</v>
      </c>
      <c r="I3844" s="128">
        <v>543</v>
      </c>
    </row>
    <row r="3845" spans="1:9" ht="13.5">
      <c r="A3845" s="128">
        <v>2004</v>
      </c>
      <c r="B3845" s="128" t="s">
        <v>131</v>
      </c>
      <c r="C3845" s="128" t="s">
        <v>27</v>
      </c>
      <c r="D3845" s="128" t="s">
        <v>79</v>
      </c>
      <c r="E3845" s="128" t="s">
        <v>134</v>
      </c>
      <c r="F3845" s="128">
        <v>192980</v>
      </c>
      <c r="G3845" s="128">
        <v>82176</v>
      </c>
      <c r="H3845" s="128">
        <v>27366</v>
      </c>
      <c r="I3845" s="128">
        <v>1373</v>
      </c>
    </row>
    <row r="3846" spans="1:9" ht="13.5">
      <c r="A3846" s="128">
        <v>2004</v>
      </c>
      <c r="B3846" s="128" t="s">
        <v>131</v>
      </c>
      <c r="C3846" s="128" t="s">
        <v>27</v>
      </c>
      <c r="D3846" s="128" t="s">
        <v>79</v>
      </c>
      <c r="E3846" s="128" t="s">
        <v>135</v>
      </c>
      <c r="F3846" s="128">
        <v>401610</v>
      </c>
      <c r="G3846" s="128">
        <v>116535</v>
      </c>
      <c r="H3846" s="128">
        <v>38495</v>
      </c>
      <c r="I3846" s="128">
        <v>976</v>
      </c>
    </row>
    <row r="3847" spans="1:9" ht="13.5">
      <c r="A3847" s="128">
        <v>2004</v>
      </c>
      <c r="B3847" s="128" t="s">
        <v>131</v>
      </c>
      <c r="C3847" s="128" t="s">
        <v>27</v>
      </c>
      <c r="D3847" s="128" t="s">
        <v>79</v>
      </c>
      <c r="E3847" s="128" t="s">
        <v>136</v>
      </c>
      <c r="F3847" s="128">
        <v>175805</v>
      </c>
      <c r="G3847" s="128">
        <v>132846</v>
      </c>
      <c r="H3847" s="128">
        <v>42958</v>
      </c>
      <c r="I3847" s="128">
        <v>2795</v>
      </c>
    </row>
    <row r="3848" spans="1:9" ht="13.5">
      <c r="A3848" s="128">
        <v>2004</v>
      </c>
      <c r="B3848" s="128" t="s">
        <v>131</v>
      </c>
      <c r="C3848" s="128" t="s">
        <v>27</v>
      </c>
      <c r="D3848" s="128" t="s">
        <v>76</v>
      </c>
      <c r="E3848" s="128" t="s">
        <v>132</v>
      </c>
      <c r="F3848" s="128">
        <v>228429</v>
      </c>
      <c r="G3848" s="128">
        <v>145931</v>
      </c>
      <c r="H3848" s="128">
        <v>82497</v>
      </c>
      <c r="I3848" s="128">
        <v>3012</v>
      </c>
    </row>
    <row r="3849" spans="1:9" ht="13.5">
      <c r="A3849" s="128">
        <v>2004</v>
      </c>
      <c r="B3849" s="128" t="s">
        <v>131</v>
      </c>
      <c r="C3849" s="128" t="s">
        <v>27</v>
      </c>
      <c r="D3849" s="128" t="s">
        <v>76</v>
      </c>
      <c r="E3849" s="128" t="s">
        <v>133</v>
      </c>
      <c r="F3849" s="128">
        <v>671764</v>
      </c>
      <c r="G3849" s="128">
        <v>369315</v>
      </c>
      <c r="H3849" s="128">
        <v>302448</v>
      </c>
      <c r="I3849" s="128">
        <v>3205</v>
      </c>
    </row>
    <row r="3850" spans="1:9" ht="13.5">
      <c r="A3850" s="128">
        <v>2004</v>
      </c>
      <c r="B3850" s="128" t="s">
        <v>131</v>
      </c>
      <c r="C3850" s="128" t="s">
        <v>27</v>
      </c>
      <c r="D3850" s="128" t="s">
        <v>76</v>
      </c>
      <c r="E3850" s="128" t="s">
        <v>134</v>
      </c>
      <c r="F3850" s="128">
        <v>409593</v>
      </c>
      <c r="G3850" s="128">
        <v>190477</v>
      </c>
      <c r="H3850" s="128">
        <v>219117</v>
      </c>
      <c r="I3850" s="128">
        <v>2833</v>
      </c>
    </row>
    <row r="3851" spans="1:9" ht="13.5">
      <c r="A3851" s="128">
        <v>2004</v>
      </c>
      <c r="B3851" s="128" t="s">
        <v>131</v>
      </c>
      <c r="C3851" s="128" t="s">
        <v>27</v>
      </c>
      <c r="D3851" s="128" t="s">
        <v>76</v>
      </c>
      <c r="E3851" s="128" t="s">
        <v>135</v>
      </c>
      <c r="F3851" s="128">
        <v>92975</v>
      </c>
      <c r="G3851" s="128">
        <v>26264</v>
      </c>
      <c r="H3851" s="128">
        <v>66711</v>
      </c>
      <c r="I3851" s="128">
        <v>86</v>
      </c>
    </row>
    <row r="3852" spans="1:9" ht="13.5">
      <c r="A3852" s="128">
        <v>2004</v>
      </c>
      <c r="B3852" s="128" t="s">
        <v>131</v>
      </c>
      <c r="C3852" s="128" t="s">
        <v>27</v>
      </c>
      <c r="D3852" s="128" t="s">
        <v>76</v>
      </c>
      <c r="E3852" s="128" t="s">
        <v>136</v>
      </c>
      <c r="F3852" s="128">
        <v>42446</v>
      </c>
      <c r="G3852" s="128">
        <v>32025</v>
      </c>
      <c r="H3852" s="128">
        <v>10420</v>
      </c>
      <c r="I3852" s="128">
        <v>522</v>
      </c>
    </row>
    <row r="3853" spans="1:9" ht="13.5">
      <c r="A3853" s="128">
        <v>2004</v>
      </c>
      <c r="B3853" s="128" t="s">
        <v>131</v>
      </c>
      <c r="C3853" s="128" t="s">
        <v>22</v>
      </c>
      <c r="D3853" s="128" t="s">
        <v>77</v>
      </c>
      <c r="E3853" s="128" t="s">
        <v>132</v>
      </c>
      <c r="F3853" s="128">
        <v>313101</v>
      </c>
      <c r="G3853" s="128">
        <v>205732</v>
      </c>
      <c r="H3853" s="128">
        <v>85960</v>
      </c>
      <c r="I3853" s="128">
        <v>1946</v>
      </c>
    </row>
    <row r="3854" spans="1:9" ht="13.5">
      <c r="A3854" s="128">
        <v>2004</v>
      </c>
      <c r="B3854" s="128" t="s">
        <v>131</v>
      </c>
      <c r="C3854" s="128" t="s">
        <v>22</v>
      </c>
      <c r="D3854" s="128" t="s">
        <v>77</v>
      </c>
      <c r="E3854" s="128" t="s">
        <v>133</v>
      </c>
      <c r="F3854" s="128">
        <v>1443119</v>
      </c>
      <c r="G3854" s="128">
        <v>788491</v>
      </c>
      <c r="H3854" s="128">
        <v>536840</v>
      </c>
      <c r="I3854" s="128">
        <v>11834</v>
      </c>
    </row>
    <row r="3855" spans="1:9" ht="13.5">
      <c r="A3855" s="128">
        <v>2004</v>
      </c>
      <c r="B3855" s="128" t="s">
        <v>131</v>
      </c>
      <c r="C3855" s="128" t="s">
        <v>22</v>
      </c>
      <c r="D3855" s="128" t="s">
        <v>77</v>
      </c>
      <c r="E3855" s="128" t="s">
        <v>134</v>
      </c>
      <c r="F3855" s="128">
        <v>3704535</v>
      </c>
      <c r="G3855" s="128">
        <v>1561814</v>
      </c>
      <c r="H3855" s="128">
        <v>1448183</v>
      </c>
      <c r="I3855" s="128">
        <v>12190</v>
      </c>
    </row>
    <row r="3856" spans="1:9" ht="13.5">
      <c r="A3856" s="128">
        <v>2004</v>
      </c>
      <c r="B3856" s="128" t="s">
        <v>131</v>
      </c>
      <c r="C3856" s="128" t="s">
        <v>22</v>
      </c>
      <c r="D3856" s="128" t="s">
        <v>77</v>
      </c>
      <c r="E3856" s="128" t="s">
        <v>135</v>
      </c>
      <c r="F3856" s="128">
        <v>4711969</v>
      </c>
      <c r="G3856" s="128">
        <v>1318407</v>
      </c>
      <c r="H3856" s="128">
        <v>1385701</v>
      </c>
      <c r="I3856" s="128">
        <v>15363</v>
      </c>
    </row>
    <row r="3857" spans="1:9" ht="13.5">
      <c r="A3857" s="128">
        <v>2004</v>
      </c>
      <c r="B3857" s="128" t="s">
        <v>131</v>
      </c>
      <c r="C3857" s="128" t="s">
        <v>22</v>
      </c>
      <c r="D3857" s="128" t="s">
        <v>79</v>
      </c>
      <c r="E3857" s="128" t="s">
        <v>132</v>
      </c>
      <c r="F3857" s="128">
        <v>3198524</v>
      </c>
      <c r="G3857" s="128">
        <v>2140660</v>
      </c>
      <c r="H3857" s="128">
        <v>718643</v>
      </c>
      <c r="I3857" s="128">
        <v>18655</v>
      </c>
    </row>
    <row r="3858" spans="1:9" ht="13.5">
      <c r="A3858" s="128">
        <v>2004</v>
      </c>
      <c r="B3858" s="128" t="s">
        <v>131</v>
      </c>
      <c r="C3858" s="128" t="s">
        <v>22</v>
      </c>
      <c r="D3858" s="128" t="s">
        <v>79</v>
      </c>
      <c r="E3858" s="128" t="s">
        <v>133</v>
      </c>
      <c r="F3858" s="128">
        <v>6007265</v>
      </c>
      <c r="G3858" s="128">
        <v>3297062</v>
      </c>
      <c r="H3858" s="128">
        <v>1117686</v>
      </c>
      <c r="I3858" s="128">
        <v>48344</v>
      </c>
    </row>
    <row r="3859" spans="1:9" ht="13.5">
      <c r="A3859" s="128">
        <v>2004</v>
      </c>
      <c r="B3859" s="128" t="s">
        <v>131</v>
      </c>
      <c r="C3859" s="128" t="s">
        <v>22</v>
      </c>
      <c r="D3859" s="128" t="s">
        <v>79</v>
      </c>
      <c r="E3859" s="128" t="s">
        <v>134</v>
      </c>
      <c r="F3859" s="128">
        <v>10543705</v>
      </c>
      <c r="G3859" s="128">
        <v>4501509</v>
      </c>
      <c r="H3859" s="128">
        <v>1529439</v>
      </c>
      <c r="I3859" s="128">
        <v>47056</v>
      </c>
    </row>
    <row r="3860" spans="1:9" ht="13.5">
      <c r="A3860" s="128">
        <v>2004</v>
      </c>
      <c r="B3860" s="128" t="s">
        <v>131</v>
      </c>
      <c r="C3860" s="128" t="s">
        <v>22</v>
      </c>
      <c r="D3860" s="128" t="s">
        <v>79</v>
      </c>
      <c r="E3860" s="128" t="s">
        <v>135</v>
      </c>
      <c r="F3860" s="128">
        <v>14762556</v>
      </c>
      <c r="G3860" s="128">
        <v>4358965</v>
      </c>
      <c r="H3860" s="128">
        <v>1496247</v>
      </c>
      <c r="I3860" s="128">
        <v>42615</v>
      </c>
    </row>
    <row r="3861" spans="1:9" ht="13.5">
      <c r="A3861" s="128">
        <v>2004</v>
      </c>
      <c r="B3861" s="128" t="s">
        <v>131</v>
      </c>
      <c r="C3861" s="128" t="s">
        <v>22</v>
      </c>
      <c r="D3861" s="128" t="s">
        <v>79</v>
      </c>
      <c r="E3861" s="128" t="s">
        <v>136</v>
      </c>
      <c r="F3861" s="128">
        <v>8635685</v>
      </c>
      <c r="G3861" s="128">
        <v>6575137</v>
      </c>
      <c r="H3861" s="128">
        <v>2060529</v>
      </c>
      <c r="I3861" s="128">
        <v>116091</v>
      </c>
    </row>
    <row r="3862" spans="1:9" ht="13.5">
      <c r="A3862" s="128">
        <v>2004</v>
      </c>
      <c r="B3862" s="128" t="s">
        <v>131</v>
      </c>
      <c r="C3862" s="128" t="s">
        <v>22</v>
      </c>
      <c r="D3862" s="128" t="s">
        <v>76</v>
      </c>
      <c r="E3862" s="128" t="s">
        <v>132</v>
      </c>
      <c r="F3862" s="128">
        <v>21814057</v>
      </c>
      <c r="G3862" s="128">
        <v>14166874</v>
      </c>
      <c r="H3862" s="128">
        <v>7647184</v>
      </c>
      <c r="I3862" s="128">
        <v>343130</v>
      </c>
    </row>
    <row r="3863" spans="1:9" ht="13.5">
      <c r="A3863" s="128">
        <v>2004</v>
      </c>
      <c r="B3863" s="128" t="s">
        <v>131</v>
      </c>
      <c r="C3863" s="128" t="s">
        <v>22</v>
      </c>
      <c r="D3863" s="128" t="s">
        <v>76</v>
      </c>
      <c r="E3863" s="128" t="s">
        <v>133</v>
      </c>
      <c r="F3863" s="128">
        <v>32586801</v>
      </c>
      <c r="G3863" s="128">
        <v>18054260</v>
      </c>
      <c r="H3863" s="128">
        <v>14532540</v>
      </c>
      <c r="I3863" s="128">
        <v>190171</v>
      </c>
    </row>
    <row r="3864" spans="1:9" ht="13.5">
      <c r="A3864" s="128">
        <v>2004</v>
      </c>
      <c r="B3864" s="128" t="s">
        <v>131</v>
      </c>
      <c r="C3864" s="128" t="s">
        <v>22</v>
      </c>
      <c r="D3864" s="128" t="s">
        <v>76</v>
      </c>
      <c r="E3864" s="128" t="s">
        <v>134</v>
      </c>
      <c r="F3864" s="128">
        <v>16575423</v>
      </c>
      <c r="G3864" s="128">
        <v>7843052</v>
      </c>
      <c r="H3864" s="128">
        <v>8732372</v>
      </c>
      <c r="I3864" s="128">
        <v>137750</v>
      </c>
    </row>
    <row r="3865" spans="1:9" ht="13.5">
      <c r="A3865" s="128">
        <v>2004</v>
      </c>
      <c r="B3865" s="128" t="s">
        <v>131</v>
      </c>
      <c r="C3865" s="128" t="s">
        <v>22</v>
      </c>
      <c r="D3865" s="128" t="s">
        <v>76</v>
      </c>
      <c r="E3865" s="128" t="s">
        <v>135</v>
      </c>
      <c r="F3865" s="128">
        <v>3038276</v>
      </c>
      <c r="G3865" s="128">
        <v>884211</v>
      </c>
      <c r="H3865" s="128">
        <v>2154062</v>
      </c>
      <c r="I3865" s="128">
        <v>3375</v>
      </c>
    </row>
    <row r="3866" spans="1:9" ht="13.5">
      <c r="A3866" s="128">
        <v>2004</v>
      </c>
      <c r="B3866" s="128" t="s">
        <v>131</v>
      </c>
      <c r="C3866" s="128" t="s">
        <v>22</v>
      </c>
      <c r="D3866" s="128" t="s">
        <v>76</v>
      </c>
      <c r="E3866" s="128" t="s">
        <v>136</v>
      </c>
      <c r="F3866" s="128">
        <v>1357045</v>
      </c>
      <c r="G3866" s="128">
        <v>1025485</v>
      </c>
      <c r="H3866" s="128">
        <v>331569</v>
      </c>
      <c r="I3866" s="128">
        <v>28202</v>
      </c>
    </row>
    <row r="3867" spans="1:9" ht="13.5">
      <c r="A3867" s="128">
        <v>2004</v>
      </c>
      <c r="B3867" s="128" t="s">
        <v>131</v>
      </c>
      <c r="C3867" s="128" t="s">
        <v>23</v>
      </c>
      <c r="D3867" s="128" t="s">
        <v>77</v>
      </c>
      <c r="E3867" s="128" t="s">
        <v>132</v>
      </c>
      <c r="F3867" s="128">
        <v>1095836</v>
      </c>
      <c r="G3867" s="128">
        <v>707365</v>
      </c>
      <c r="H3867" s="128">
        <v>346932</v>
      </c>
      <c r="I3867" s="128">
        <v>8755</v>
      </c>
    </row>
    <row r="3868" spans="1:9" ht="13.5">
      <c r="A3868" s="128">
        <v>2004</v>
      </c>
      <c r="B3868" s="128" t="s">
        <v>131</v>
      </c>
      <c r="C3868" s="128" t="s">
        <v>23</v>
      </c>
      <c r="D3868" s="128" t="s">
        <v>77</v>
      </c>
      <c r="E3868" s="128" t="s">
        <v>133</v>
      </c>
      <c r="F3868" s="128">
        <v>1566733</v>
      </c>
      <c r="G3868" s="128">
        <v>852841</v>
      </c>
      <c r="H3868" s="128">
        <v>666524</v>
      </c>
      <c r="I3868" s="128">
        <v>6837</v>
      </c>
    </row>
    <row r="3869" spans="1:9" ht="13.5">
      <c r="A3869" s="128">
        <v>2004</v>
      </c>
      <c r="B3869" s="128" t="s">
        <v>131</v>
      </c>
      <c r="C3869" s="128" t="s">
        <v>23</v>
      </c>
      <c r="D3869" s="128" t="s">
        <v>77</v>
      </c>
      <c r="E3869" s="128" t="s">
        <v>134</v>
      </c>
      <c r="F3869" s="128">
        <v>1671243</v>
      </c>
      <c r="G3869" s="128">
        <v>761549</v>
      </c>
      <c r="H3869" s="128">
        <v>766595</v>
      </c>
      <c r="I3869" s="128">
        <v>7971</v>
      </c>
    </row>
    <row r="3870" spans="1:9" ht="13.5">
      <c r="A3870" s="128">
        <v>2004</v>
      </c>
      <c r="B3870" s="128" t="s">
        <v>131</v>
      </c>
      <c r="C3870" s="128" t="s">
        <v>23</v>
      </c>
      <c r="D3870" s="128" t="s">
        <v>77</v>
      </c>
      <c r="E3870" s="128" t="s">
        <v>135</v>
      </c>
      <c r="F3870" s="128">
        <v>871815</v>
      </c>
      <c r="G3870" s="128">
        <v>226109</v>
      </c>
      <c r="H3870" s="128">
        <v>268763</v>
      </c>
      <c r="I3870" s="128">
        <v>1781</v>
      </c>
    </row>
    <row r="3871" spans="1:9" ht="13.5">
      <c r="A3871" s="128">
        <v>2004</v>
      </c>
      <c r="B3871" s="128" t="s">
        <v>131</v>
      </c>
      <c r="C3871" s="128" t="s">
        <v>23</v>
      </c>
      <c r="D3871" s="128" t="s">
        <v>79</v>
      </c>
      <c r="E3871" s="128" t="s">
        <v>132</v>
      </c>
      <c r="F3871" s="128">
        <v>606469</v>
      </c>
      <c r="G3871" s="128">
        <v>396897</v>
      </c>
      <c r="H3871" s="128">
        <v>165760</v>
      </c>
      <c r="I3871" s="128">
        <v>9963</v>
      </c>
    </row>
    <row r="3872" spans="1:9" ht="13.5">
      <c r="A3872" s="128">
        <v>2004</v>
      </c>
      <c r="B3872" s="128" t="s">
        <v>131</v>
      </c>
      <c r="C3872" s="128" t="s">
        <v>23</v>
      </c>
      <c r="D3872" s="128" t="s">
        <v>79</v>
      </c>
      <c r="E3872" s="128" t="s">
        <v>133</v>
      </c>
      <c r="F3872" s="128">
        <v>694593</v>
      </c>
      <c r="G3872" s="128">
        <v>371508</v>
      </c>
      <c r="H3872" s="128">
        <v>176805</v>
      </c>
      <c r="I3872" s="128">
        <v>4653</v>
      </c>
    </row>
    <row r="3873" spans="1:9" ht="13.5">
      <c r="A3873" s="128">
        <v>2004</v>
      </c>
      <c r="B3873" s="128" t="s">
        <v>131</v>
      </c>
      <c r="C3873" s="128" t="s">
        <v>23</v>
      </c>
      <c r="D3873" s="128" t="s">
        <v>79</v>
      </c>
      <c r="E3873" s="128" t="s">
        <v>134</v>
      </c>
      <c r="F3873" s="128">
        <v>451578</v>
      </c>
      <c r="G3873" s="128">
        <v>194739</v>
      </c>
      <c r="H3873" s="128">
        <v>75338</v>
      </c>
      <c r="I3873" s="128">
        <v>2699</v>
      </c>
    </row>
    <row r="3874" spans="1:9" ht="13.5">
      <c r="A3874" s="128">
        <v>2004</v>
      </c>
      <c r="B3874" s="128" t="s">
        <v>131</v>
      </c>
      <c r="C3874" s="128" t="s">
        <v>23</v>
      </c>
      <c r="D3874" s="128" t="s">
        <v>79</v>
      </c>
      <c r="E3874" s="128" t="s">
        <v>135</v>
      </c>
      <c r="F3874" s="128">
        <v>853557</v>
      </c>
      <c r="G3874" s="128">
        <v>191787</v>
      </c>
      <c r="H3874" s="128">
        <v>105066</v>
      </c>
      <c r="I3874" s="128">
        <v>6449</v>
      </c>
    </row>
    <row r="3875" spans="1:9" ht="13.5">
      <c r="A3875" s="128">
        <v>2004</v>
      </c>
      <c r="B3875" s="128" t="s">
        <v>131</v>
      </c>
      <c r="C3875" s="128" t="s">
        <v>23</v>
      </c>
      <c r="D3875" s="128" t="s">
        <v>79</v>
      </c>
      <c r="E3875" s="128" t="s">
        <v>136</v>
      </c>
      <c r="F3875" s="128">
        <v>2592591</v>
      </c>
      <c r="G3875" s="128">
        <v>1957906</v>
      </c>
      <c r="H3875" s="128">
        <v>633985</v>
      </c>
      <c r="I3875" s="128">
        <v>47632</v>
      </c>
    </row>
    <row r="3876" spans="1:9" ht="13.5">
      <c r="A3876" s="128">
        <v>2004</v>
      </c>
      <c r="B3876" s="128" t="s">
        <v>131</v>
      </c>
      <c r="C3876" s="128" t="s">
        <v>23</v>
      </c>
      <c r="D3876" s="128" t="s">
        <v>76</v>
      </c>
      <c r="E3876" s="128" t="s">
        <v>132</v>
      </c>
      <c r="F3876" s="128">
        <v>10041070</v>
      </c>
      <c r="G3876" s="128">
        <v>6487036</v>
      </c>
      <c r="H3876" s="128">
        <v>3554032</v>
      </c>
      <c r="I3876" s="128">
        <v>155484</v>
      </c>
    </row>
    <row r="3877" spans="1:9" ht="13.5">
      <c r="A3877" s="128">
        <v>2004</v>
      </c>
      <c r="B3877" s="128" t="s">
        <v>131</v>
      </c>
      <c r="C3877" s="128" t="s">
        <v>23</v>
      </c>
      <c r="D3877" s="128" t="s">
        <v>76</v>
      </c>
      <c r="E3877" s="128" t="s">
        <v>133</v>
      </c>
      <c r="F3877" s="128">
        <v>14648551</v>
      </c>
      <c r="G3877" s="128">
        <v>7947933</v>
      </c>
      <c r="H3877" s="128">
        <v>6700622</v>
      </c>
      <c r="I3877" s="128">
        <v>51904</v>
      </c>
    </row>
    <row r="3878" spans="1:9" ht="13.5">
      <c r="A3878" s="128">
        <v>2004</v>
      </c>
      <c r="B3878" s="128" t="s">
        <v>131</v>
      </c>
      <c r="C3878" s="128" t="s">
        <v>23</v>
      </c>
      <c r="D3878" s="128" t="s">
        <v>76</v>
      </c>
      <c r="E3878" s="128" t="s">
        <v>134</v>
      </c>
      <c r="F3878" s="128">
        <v>12255896</v>
      </c>
      <c r="G3878" s="128">
        <v>5657446</v>
      </c>
      <c r="H3878" s="128">
        <v>6598449</v>
      </c>
      <c r="I3878" s="128">
        <v>75873</v>
      </c>
    </row>
    <row r="3879" spans="1:9" ht="13.5">
      <c r="A3879" s="128">
        <v>2004</v>
      </c>
      <c r="B3879" s="128" t="s">
        <v>131</v>
      </c>
      <c r="C3879" s="128" t="s">
        <v>23</v>
      </c>
      <c r="D3879" s="128" t="s">
        <v>76</v>
      </c>
      <c r="E3879" s="128" t="s">
        <v>135</v>
      </c>
      <c r="F3879" s="128">
        <v>1097493</v>
      </c>
      <c r="G3879" s="128">
        <v>280119</v>
      </c>
      <c r="H3879" s="128">
        <v>817373</v>
      </c>
      <c r="I3879" s="128">
        <v>1019</v>
      </c>
    </row>
    <row r="3880" spans="1:9" ht="13.5">
      <c r="A3880" s="128">
        <v>2004</v>
      </c>
      <c r="B3880" s="128" t="s">
        <v>131</v>
      </c>
      <c r="C3880" s="128" t="s">
        <v>23</v>
      </c>
      <c r="D3880" s="128" t="s">
        <v>76</v>
      </c>
      <c r="E3880" s="128" t="s">
        <v>136</v>
      </c>
      <c r="F3880" s="128">
        <v>1310799</v>
      </c>
      <c r="G3880" s="128">
        <v>988021</v>
      </c>
      <c r="H3880" s="128">
        <v>322777</v>
      </c>
      <c r="I3880" s="128">
        <v>14080</v>
      </c>
    </row>
    <row r="3881" spans="1:9" ht="13.5">
      <c r="A3881" s="128">
        <v>2004</v>
      </c>
      <c r="B3881" s="128" t="s">
        <v>131</v>
      </c>
      <c r="C3881" s="128" t="s">
        <v>25</v>
      </c>
      <c r="D3881" s="128" t="s">
        <v>77</v>
      </c>
      <c r="E3881" s="128" t="s">
        <v>132</v>
      </c>
      <c r="F3881" s="128">
        <v>37985</v>
      </c>
      <c r="G3881" s="128">
        <v>24633</v>
      </c>
      <c r="H3881" s="128">
        <v>9819</v>
      </c>
      <c r="I3881" s="128">
        <v>262</v>
      </c>
    </row>
    <row r="3882" spans="1:9" ht="13.5">
      <c r="A3882" s="128">
        <v>2004</v>
      </c>
      <c r="B3882" s="128" t="s">
        <v>131</v>
      </c>
      <c r="C3882" s="128" t="s">
        <v>25</v>
      </c>
      <c r="D3882" s="128" t="s">
        <v>77</v>
      </c>
      <c r="E3882" s="128" t="s">
        <v>133</v>
      </c>
      <c r="F3882" s="128">
        <v>68732</v>
      </c>
      <c r="G3882" s="128">
        <v>36605</v>
      </c>
      <c r="H3882" s="128">
        <v>27711</v>
      </c>
      <c r="I3882" s="128">
        <v>228</v>
      </c>
    </row>
    <row r="3883" spans="1:9" ht="13.5">
      <c r="A3883" s="128">
        <v>2004</v>
      </c>
      <c r="B3883" s="128" t="s">
        <v>131</v>
      </c>
      <c r="C3883" s="128" t="s">
        <v>25</v>
      </c>
      <c r="D3883" s="128" t="s">
        <v>77</v>
      </c>
      <c r="E3883" s="128" t="s">
        <v>134</v>
      </c>
      <c r="F3883" s="128">
        <v>316298</v>
      </c>
      <c r="G3883" s="128">
        <v>133349</v>
      </c>
      <c r="H3883" s="128">
        <v>124392</v>
      </c>
      <c r="I3883" s="128">
        <v>1052</v>
      </c>
    </row>
    <row r="3884" spans="1:9" ht="13.5">
      <c r="A3884" s="128">
        <v>2004</v>
      </c>
      <c r="B3884" s="128" t="s">
        <v>131</v>
      </c>
      <c r="C3884" s="128" t="s">
        <v>25</v>
      </c>
      <c r="D3884" s="128" t="s">
        <v>77</v>
      </c>
      <c r="E3884" s="128" t="s">
        <v>135</v>
      </c>
      <c r="F3884" s="128">
        <v>420442</v>
      </c>
      <c r="G3884" s="128">
        <v>123086</v>
      </c>
      <c r="H3884" s="128">
        <v>141844</v>
      </c>
      <c r="I3884" s="128">
        <v>1383</v>
      </c>
    </row>
    <row r="3885" spans="1:9" ht="13.5">
      <c r="A3885" s="128">
        <v>2004</v>
      </c>
      <c r="B3885" s="128" t="s">
        <v>131</v>
      </c>
      <c r="C3885" s="128" t="s">
        <v>25</v>
      </c>
      <c r="D3885" s="128" t="s">
        <v>79</v>
      </c>
      <c r="E3885" s="128" t="s">
        <v>132</v>
      </c>
      <c r="F3885" s="128">
        <v>313382</v>
      </c>
      <c r="G3885" s="128">
        <v>206583</v>
      </c>
      <c r="H3885" s="128">
        <v>68943</v>
      </c>
      <c r="I3885" s="128">
        <v>2302</v>
      </c>
    </row>
    <row r="3886" spans="1:9" ht="13.5">
      <c r="A3886" s="128">
        <v>2004</v>
      </c>
      <c r="B3886" s="128" t="s">
        <v>131</v>
      </c>
      <c r="C3886" s="128" t="s">
        <v>25</v>
      </c>
      <c r="D3886" s="128" t="s">
        <v>79</v>
      </c>
      <c r="E3886" s="128" t="s">
        <v>133</v>
      </c>
      <c r="F3886" s="128">
        <v>316720</v>
      </c>
      <c r="G3886" s="128">
        <v>172796</v>
      </c>
      <c r="H3886" s="128">
        <v>57646</v>
      </c>
      <c r="I3886" s="128">
        <v>1996</v>
      </c>
    </row>
    <row r="3887" spans="1:9" ht="13.5">
      <c r="A3887" s="128">
        <v>2004</v>
      </c>
      <c r="B3887" s="128" t="s">
        <v>131</v>
      </c>
      <c r="C3887" s="128" t="s">
        <v>25</v>
      </c>
      <c r="D3887" s="128" t="s">
        <v>79</v>
      </c>
      <c r="E3887" s="128" t="s">
        <v>134</v>
      </c>
      <c r="F3887" s="128">
        <v>603444</v>
      </c>
      <c r="G3887" s="128">
        <v>257795</v>
      </c>
      <c r="H3887" s="128">
        <v>86147</v>
      </c>
      <c r="I3887" s="128">
        <v>2950</v>
      </c>
    </row>
    <row r="3888" spans="1:9" ht="13.5">
      <c r="A3888" s="128">
        <v>2004</v>
      </c>
      <c r="B3888" s="128" t="s">
        <v>131</v>
      </c>
      <c r="C3888" s="128" t="s">
        <v>25</v>
      </c>
      <c r="D3888" s="128" t="s">
        <v>79</v>
      </c>
      <c r="E3888" s="128" t="s">
        <v>135</v>
      </c>
      <c r="F3888" s="128">
        <v>1289392</v>
      </c>
      <c r="G3888" s="128">
        <v>346241</v>
      </c>
      <c r="H3888" s="128">
        <v>116644</v>
      </c>
      <c r="I3888" s="128">
        <v>2841</v>
      </c>
    </row>
    <row r="3889" spans="1:9" ht="13.5">
      <c r="A3889" s="128">
        <v>2004</v>
      </c>
      <c r="B3889" s="128" t="s">
        <v>131</v>
      </c>
      <c r="C3889" s="128" t="s">
        <v>25</v>
      </c>
      <c r="D3889" s="128" t="s">
        <v>79</v>
      </c>
      <c r="E3889" s="128" t="s">
        <v>136</v>
      </c>
      <c r="F3889" s="128">
        <v>1241164</v>
      </c>
      <c r="G3889" s="128">
        <v>940546</v>
      </c>
      <c r="H3889" s="128">
        <v>300620</v>
      </c>
      <c r="I3889" s="128">
        <v>19660</v>
      </c>
    </row>
    <row r="3890" spans="1:9" ht="13.5">
      <c r="A3890" s="128">
        <v>2004</v>
      </c>
      <c r="B3890" s="128" t="s">
        <v>131</v>
      </c>
      <c r="C3890" s="128" t="s">
        <v>25</v>
      </c>
      <c r="D3890" s="128" t="s">
        <v>76</v>
      </c>
      <c r="E3890" s="128" t="s">
        <v>132</v>
      </c>
      <c r="F3890" s="128">
        <v>2232862</v>
      </c>
      <c r="G3890" s="128">
        <v>1450553</v>
      </c>
      <c r="H3890" s="128">
        <v>782309</v>
      </c>
      <c r="I3890" s="128">
        <v>30143</v>
      </c>
    </row>
    <row r="3891" spans="1:9" ht="13.5">
      <c r="A3891" s="128">
        <v>2004</v>
      </c>
      <c r="B3891" s="128" t="s">
        <v>131</v>
      </c>
      <c r="C3891" s="128" t="s">
        <v>25</v>
      </c>
      <c r="D3891" s="128" t="s">
        <v>76</v>
      </c>
      <c r="E3891" s="128" t="s">
        <v>133</v>
      </c>
      <c r="F3891" s="128">
        <v>3304355</v>
      </c>
      <c r="G3891" s="128">
        <v>1810672</v>
      </c>
      <c r="H3891" s="128">
        <v>1493683</v>
      </c>
      <c r="I3891" s="128">
        <v>13160</v>
      </c>
    </row>
    <row r="3892" spans="1:9" ht="13.5">
      <c r="A3892" s="128">
        <v>2004</v>
      </c>
      <c r="B3892" s="128" t="s">
        <v>131</v>
      </c>
      <c r="C3892" s="128" t="s">
        <v>25</v>
      </c>
      <c r="D3892" s="128" t="s">
        <v>76</v>
      </c>
      <c r="E3892" s="128" t="s">
        <v>134</v>
      </c>
      <c r="F3892" s="128">
        <v>2530901</v>
      </c>
      <c r="G3892" s="128">
        <v>1188174</v>
      </c>
      <c r="H3892" s="128">
        <v>1342727</v>
      </c>
      <c r="I3892" s="128">
        <v>17036</v>
      </c>
    </row>
    <row r="3893" spans="1:9" ht="13.5">
      <c r="A3893" s="128">
        <v>2004</v>
      </c>
      <c r="B3893" s="128" t="s">
        <v>131</v>
      </c>
      <c r="C3893" s="128" t="s">
        <v>25</v>
      </c>
      <c r="D3893" s="128" t="s">
        <v>76</v>
      </c>
      <c r="E3893" s="128" t="s">
        <v>135</v>
      </c>
      <c r="F3893" s="128">
        <v>327401</v>
      </c>
      <c r="G3893" s="128">
        <v>94208</v>
      </c>
      <c r="H3893" s="128">
        <v>233191</v>
      </c>
      <c r="I3893" s="128">
        <v>348</v>
      </c>
    </row>
    <row r="3894" spans="1:9" ht="13.5">
      <c r="A3894" s="128">
        <v>2004</v>
      </c>
      <c r="B3894" s="128" t="s">
        <v>131</v>
      </c>
      <c r="C3894" s="128" t="s">
        <v>25</v>
      </c>
      <c r="D3894" s="128" t="s">
        <v>76</v>
      </c>
      <c r="E3894" s="128" t="s">
        <v>136</v>
      </c>
      <c r="F3894" s="128">
        <v>130719</v>
      </c>
      <c r="G3894" s="128">
        <v>99356</v>
      </c>
      <c r="H3894" s="128">
        <v>31363</v>
      </c>
      <c r="I3894" s="128">
        <v>1918</v>
      </c>
    </row>
    <row r="3895" spans="1:9" ht="13.5">
      <c r="A3895" s="128">
        <v>2004</v>
      </c>
      <c r="B3895" s="128" t="s">
        <v>131</v>
      </c>
      <c r="C3895" s="128" t="s">
        <v>21</v>
      </c>
      <c r="D3895" s="128" t="s">
        <v>77</v>
      </c>
      <c r="E3895" s="128" t="s">
        <v>132</v>
      </c>
      <c r="F3895" s="128">
        <v>1524714</v>
      </c>
      <c r="G3895" s="128">
        <v>988663</v>
      </c>
      <c r="H3895" s="128">
        <v>454991</v>
      </c>
      <c r="I3895" s="128">
        <v>9186</v>
      </c>
    </row>
    <row r="3896" spans="1:9" ht="13.5">
      <c r="A3896" s="128">
        <v>2004</v>
      </c>
      <c r="B3896" s="128" t="s">
        <v>131</v>
      </c>
      <c r="C3896" s="128" t="s">
        <v>21</v>
      </c>
      <c r="D3896" s="128" t="s">
        <v>77</v>
      </c>
      <c r="E3896" s="128" t="s">
        <v>133</v>
      </c>
      <c r="F3896" s="128">
        <v>3102933</v>
      </c>
      <c r="G3896" s="128">
        <v>1681334</v>
      </c>
      <c r="H3896" s="128">
        <v>1118693</v>
      </c>
      <c r="I3896" s="128">
        <v>12456</v>
      </c>
    </row>
    <row r="3897" spans="1:9" ht="13.5">
      <c r="A3897" s="128">
        <v>2004</v>
      </c>
      <c r="B3897" s="128" t="s">
        <v>131</v>
      </c>
      <c r="C3897" s="128" t="s">
        <v>21</v>
      </c>
      <c r="D3897" s="128" t="s">
        <v>77</v>
      </c>
      <c r="E3897" s="128" t="s">
        <v>134</v>
      </c>
      <c r="F3897" s="128">
        <v>5997590</v>
      </c>
      <c r="G3897" s="128">
        <v>2589468</v>
      </c>
      <c r="H3897" s="128">
        <v>2217195</v>
      </c>
      <c r="I3897" s="128">
        <v>28795</v>
      </c>
    </row>
    <row r="3898" spans="1:9" ht="13.5">
      <c r="A3898" s="128">
        <v>2004</v>
      </c>
      <c r="B3898" s="128" t="s">
        <v>131</v>
      </c>
      <c r="C3898" s="128" t="s">
        <v>21</v>
      </c>
      <c r="D3898" s="128" t="s">
        <v>77</v>
      </c>
      <c r="E3898" s="128" t="s">
        <v>135</v>
      </c>
      <c r="F3898" s="128">
        <v>5146781</v>
      </c>
      <c r="G3898" s="128">
        <v>1477639</v>
      </c>
      <c r="H3898" s="128">
        <v>1476029</v>
      </c>
      <c r="I3898" s="128">
        <v>17030</v>
      </c>
    </row>
    <row r="3899" spans="1:9" ht="13.5">
      <c r="A3899" s="128">
        <v>2004</v>
      </c>
      <c r="B3899" s="128" t="s">
        <v>131</v>
      </c>
      <c r="C3899" s="128" t="s">
        <v>21</v>
      </c>
      <c r="D3899" s="128" t="s">
        <v>79</v>
      </c>
      <c r="E3899" s="128" t="s">
        <v>132</v>
      </c>
      <c r="F3899" s="128">
        <v>2988669</v>
      </c>
      <c r="G3899" s="128">
        <v>1982889</v>
      </c>
      <c r="H3899" s="128">
        <v>657407</v>
      </c>
      <c r="I3899" s="128">
        <v>24712</v>
      </c>
    </row>
    <row r="3900" spans="1:9" ht="13.5">
      <c r="A3900" s="128">
        <v>2004</v>
      </c>
      <c r="B3900" s="128" t="s">
        <v>131</v>
      </c>
      <c r="C3900" s="128" t="s">
        <v>21</v>
      </c>
      <c r="D3900" s="128" t="s">
        <v>79</v>
      </c>
      <c r="E3900" s="128" t="s">
        <v>133</v>
      </c>
      <c r="F3900" s="128">
        <v>3208681</v>
      </c>
      <c r="G3900" s="128">
        <v>1756723</v>
      </c>
      <c r="H3900" s="128">
        <v>603561</v>
      </c>
      <c r="I3900" s="128">
        <v>20872</v>
      </c>
    </row>
    <row r="3901" spans="1:9" ht="13.5">
      <c r="A3901" s="128">
        <v>2004</v>
      </c>
      <c r="B3901" s="128" t="s">
        <v>131</v>
      </c>
      <c r="C3901" s="128" t="s">
        <v>21</v>
      </c>
      <c r="D3901" s="128" t="s">
        <v>79</v>
      </c>
      <c r="E3901" s="128" t="s">
        <v>134</v>
      </c>
      <c r="F3901" s="128">
        <v>7738798</v>
      </c>
      <c r="G3901" s="128">
        <v>3336676</v>
      </c>
      <c r="H3901" s="128">
        <v>1115425</v>
      </c>
      <c r="I3901" s="128">
        <v>55068</v>
      </c>
    </row>
    <row r="3902" spans="1:9" ht="13.5">
      <c r="A3902" s="128">
        <v>2004</v>
      </c>
      <c r="B3902" s="128" t="s">
        <v>131</v>
      </c>
      <c r="C3902" s="128" t="s">
        <v>21</v>
      </c>
      <c r="D3902" s="128" t="s">
        <v>79</v>
      </c>
      <c r="E3902" s="128" t="s">
        <v>135</v>
      </c>
      <c r="F3902" s="128">
        <v>8770415</v>
      </c>
      <c r="G3902" s="128">
        <v>2422966</v>
      </c>
      <c r="H3902" s="128">
        <v>841500</v>
      </c>
      <c r="I3902" s="128">
        <v>23982</v>
      </c>
    </row>
    <row r="3903" spans="1:9" ht="13.5">
      <c r="A3903" s="128">
        <v>2004</v>
      </c>
      <c r="B3903" s="128" t="s">
        <v>131</v>
      </c>
      <c r="C3903" s="128" t="s">
        <v>21</v>
      </c>
      <c r="D3903" s="128" t="s">
        <v>79</v>
      </c>
      <c r="E3903" s="128" t="s">
        <v>136</v>
      </c>
      <c r="F3903" s="128">
        <v>12098998</v>
      </c>
      <c r="G3903" s="128">
        <v>9108178</v>
      </c>
      <c r="H3903" s="128">
        <v>2990562</v>
      </c>
      <c r="I3903" s="128">
        <v>174261</v>
      </c>
    </row>
    <row r="3904" spans="1:9" ht="13.5">
      <c r="A3904" s="128">
        <v>2004</v>
      </c>
      <c r="B3904" s="128" t="s">
        <v>131</v>
      </c>
      <c r="C3904" s="128" t="s">
        <v>21</v>
      </c>
      <c r="D3904" s="128" t="s">
        <v>76</v>
      </c>
      <c r="E3904" s="128" t="s">
        <v>132</v>
      </c>
      <c r="F3904" s="128">
        <v>21172021</v>
      </c>
      <c r="G3904" s="128">
        <v>13597039</v>
      </c>
      <c r="H3904" s="128">
        <v>7574979</v>
      </c>
      <c r="I3904" s="128">
        <v>242713</v>
      </c>
    </row>
    <row r="3905" spans="1:9" ht="13.5">
      <c r="A3905" s="128">
        <v>2004</v>
      </c>
      <c r="B3905" s="128" t="s">
        <v>131</v>
      </c>
      <c r="C3905" s="128" t="s">
        <v>21</v>
      </c>
      <c r="D3905" s="128" t="s">
        <v>76</v>
      </c>
      <c r="E3905" s="128" t="s">
        <v>133</v>
      </c>
      <c r="F3905" s="128">
        <v>49414467</v>
      </c>
      <c r="G3905" s="128">
        <v>27396026</v>
      </c>
      <c r="H3905" s="128">
        <v>22018444</v>
      </c>
      <c r="I3905" s="128">
        <v>311491</v>
      </c>
    </row>
    <row r="3906" spans="1:9" ht="13.5">
      <c r="A3906" s="128">
        <v>2004</v>
      </c>
      <c r="B3906" s="128" t="s">
        <v>131</v>
      </c>
      <c r="C3906" s="128" t="s">
        <v>21</v>
      </c>
      <c r="D3906" s="128" t="s">
        <v>76</v>
      </c>
      <c r="E3906" s="128" t="s">
        <v>134</v>
      </c>
      <c r="F3906" s="128">
        <v>27074785</v>
      </c>
      <c r="G3906" s="128">
        <v>12591440</v>
      </c>
      <c r="H3906" s="128">
        <v>14483345</v>
      </c>
      <c r="I3906" s="128">
        <v>209935</v>
      </c>
    </row>
    <row r="3907" spans="1:9" ht="13.5">
      <c r="A3907" s="128">
        <v>2004</v>
      </c>
      <c r="B3907" s="128" t="s">
        <v>131</v>
      </c>
      <c r="C3907" s="128" t="s">
        <v>21</v>
      </c>
      <c r="D3907" s="128" t="s">
        <v>76</v>
      </c>
      <c r="E3907" s="128" t="s">
        <v>135</v>
      </c>
      <c r="F3907" s="128">
        <v>2267304</v>
      </c>
      <c r="G3907" s="128">
        <v>653593</v>
      </c>
      <c r="H3907" s="128">
        <v>1613710</v>
      </c>
      <c r="I3907" s="128">
        <v>2332</v>
      </c>
    </row>
    <row r="3908" spans="1:9" ht="13.5">
      <c r="A3908" s="128">
        <v>2004</v>
      </c>
      <c r="B3908" s="128" t="s">
        <v>131</v>
      </c>
      <c r="C3908" s="128" t="s">
        <v>21</v>
      </c>
      <c r="D3908" s="128" t="s">
        <v>76</v>
      </c>
      <c r="E3908" s="128" t="s">
        <v>136</v>
      </c>
      <c r="F3908" s="128">
        <v>3961912</v>
      </c>
      <c r="G3908" s="128">
        <v>2994369</v>
      </c>
      <c r="H3908" s="128">
        <v>967531</v>
      </c>
      <c r="I3908" s="128">
        <v>66305</v>
      </c>
    </row>
    <row r="3909" spans="1:9" ht="13.5">
      <c r="A3909" s="128">
        <v>2004</v>
      </c>
      <c r="B3909" s="128" t="s">
        <v>131</v>
      </c>
      <c r="C3909" s="128" t="s">
        <v>24</v>
      </c>
      <c r="D3909" s="128" t="s">
        <v>77</v>
      </c>
      <c r="E3909" s="128" t="s">
        <v>132</v>
      </c>
      <c r="F3909" s="128">
        <v>497122</v>
      </c>
      <c r="G3909" s="128">
        <v>310851</v>
      </c>
      <c r="H3909" s="128">
        <v>182162</v>
      </c>
      <c r="I3909" s="128">
        <v>4291</v>
      </c>
    </row>
    <row r="3910" spans="1:9" ht="13.5">
      <c r="A3910" s="128">
        <v>2004</v>
      </c>
      <c r="B3910" s="128" t="s">
        <v>131</v>
      </c>
      <c r="C3910" s="128" t="s">
        <v>24</v>
      </c>
      <c r="D3910" s="128" t="s">
        <v>77</v>
      </c>
      <c r="E3910" s="128" t="s">
        <v>133</v>
      </c>
      <c r="F3910" s="128">
        <v>2391079</v>
      </c>
      <c r="G3910" s="128">
        <v>1285418</v>
      </c>
      <c r="H3910" s="128">
        <v>785789</v>
      </c>
      <c r="I3910" s="128">
        <v>6792</v>
      </c>
    </row>
    <row r="3911" spans="1:9" ht="13.5">
      <c r="A3911" s="128">
        <v>2004</v>
      </c>
      <c r="B3911" s="128" t="s">
        <v>131</v>
      </c>
      <c r="C3911" s="128" t="s">
        <v>24</v>
      </c>
      <c r="D3911" s="128" t="s">
        <v>77</v>
      </c>
      <c r="E3911" s="128" t="s">
        <v>134</v>
      </c>
      <c r="F3911" s="128">
        <v>5332431</v>
      </c>
      <c r="G3911" s="128">
        <v>2351937</v>
      </c>
      <c r="H3911" s="128">
        <v>1584640</v>
      </c>
      <c r="I3911" s="128">
        <v>28763</v>
      </c>
    </row>
    <row r="3912" spans="1:9" ht="13.5">
      <c r="A3912" s="128">
        <v>2004</v>
      </c>
      <c r="B3912" s="128" t="s">
        <v>131</v>
      </c>
      <c r="C3912" s="128" t="s">
        <v>24</v>
      </c>
      <c r="D3912" s="128" t="s">
        <v>77</v>
      </c>
      <c r="E3912" s="128" t="s">
        <v>135</v>
      </c>
      <c r="F3912" s="128">
        <v>4851921</v>
      </c>
      <c r="G3912" s="128">
        <v>1411058</v>
      </c>
      <c r="H3912" s="128">
        <v>973323</v>
      </c>
      <c r="I3912" s="128">
        <v>18556</v>
      </c>
    </row>
    <row r="3913" spans="1:9" ht="13.5">
      <c r="A3913" s="128">
        <v>2004</v>
      </c>
      <c r="B3913" s="128" t="s">
        <v>131</v>
      </c>
      <c r="C3913" s="128" t="s">
        <v>24</v>
      </c>
      <c r="D3913" s="128" t="s">
        <v>79</v>
      </c>
      <c r="E3913" s="128" t="s">
        <v>132</v>
      </c>
      <c r="F3913" s="128">
        <v>734078</v>
      </c>
      <c r="G3913" s="128">
        <v>487877</v>
      </c>
      <c r="H3913" s="128">
        <v>160635</v>
      </c>
      <c r="I3913" s="128">
        <v>4898</v>
      </c>
    </row>
    <row r="3914" spans="1:9" ht="13.5">
      <c r="A3914" s="128">
        <v>2004</v>
      </c>
      <c r="B3914" s="128" t="s">
        <v>131</v>
      </c>
      <c r="C3914" s="128" t="s">
        <v>24</v>
      </c>
      <c r="D3914" s="128" t="s">
        <v>79</v>
      </c>
      <c r="E3914" s="128" t="s">
        <v>133</v>
      </c>
      <c r="F3914" s="128">
        <v>1452931</v>
      </c>
      <c r="G3914" s="128">
        <v>794461</v>
      </c>
      <c r="H3914" s="128">
        <v>269202</v>
      </c>
      <c r="I3914" s="128">
        <v>14922</v>
      </c>
    </row>
    <row r="3915" spans="1:9" ht="13.5">
      <c r="A3915" s="128">
        <v>2004</v>
      </c>
      <c r="B3915" s="128" t="s">
        <v>131</v>
      </c>
      <c r="C3915" s="128" t="s">
        <v>24</v>
      </c>
      <c r="D3915" s="128" t="s">
        <v>79</v>
      </c>
      <c r="E3915" s="128" t="s">
        <v>134</v>
      </c>
      <c r="F3915" s="128">
        <v>1270255</v>
      </c>
      <c r="G3915" s="128">
        <v>556008</v>
      </c>
      <c r="H3915" s="128">
        <v>193604</v>
      </c>
      <c r="I3915" s="128">
        <v>9663</v>
      </c>
    </row>
    <row r="3916" spans="1:9" ht="13.5">
      <c r="A3916" s="128">
        <v>2004</v>
      </c>
      <c r="B3916" s="128" t="s">
        <v>131</v>
      </c>
      <c r="C3916" s="128" t="s">
        <v>24</v>
      </c>
      <c r="D3916" s="128" t="s">
        <v>79</v>
      </c>
      <c r="E3916" s="128" t="s">
        <v>135</v>
      </c>
      <c r="F3916" s="128">
        <v>1547917</v>
      </c>
      <c r="G3916" s="128">
        <v>415584</v>
      </c>
      <c r="H3916" s="128">
        <v>161846</v>
      </c>
      <c r="I3916" s="128">
        <v>3914</v>
      </c>
    </row>
    <row r="3917" spans="1:9" ht="13.5">
      <c r="A3917" s="128">
        <v>2004</v>
      </c>
      <c r="B3917" s="128" t="s">
        <v>131</v>
      </c>
      <c r="C3917" s="128" t="s">
        <v>24</v>
      </c>
      <c r="D3917" s="128" t="s">
        <v>79</v>
      </c>
      <c r="E3917" s="128" t="s">
        <v>136</v>
      </c>
      <c r="F3917" s="128">
        <v>1383848</v>
      </c>
      <c r="G3917" s="128">
        <v>1043320</v>
      </c>
      <c r="H3917" s="128">
        <v>340515</v>
      </c>
      <c r="I3917" s="128">
        <v>25840</v>
      </c>
    </row>
    <row r="3918" spans="1:9" ht="13.5">
      <c r="A3918" s="128">
        <v>2004</v>
      </c>
      <c r="B3918" s="128" t="s">
        <v>131</v>
      </c>
      <c r="C3918" s="128" t="s">
        <v>24</v>
      </c>
      <c r="D3918" s="128" t="s">
        <v>76</v>
      </c>
      <c r="E3918" s="128" t="s">
        <v>132</v>
      </c>
      <c r="F3918" s="128">
        <v>10154801</v>
      </c>
      <c r="G3918" s="128">
        <v>6448208</v>
      </c>
      <c r="H3918" s="128">
        <v>3706594</v>
      </c>
      <c r="I3918" s="128">
        <v>129230</v>
      </c>
    </row>
    <row r="3919" spans="1:9" ht="13.5">
      <c r="A3919" s="128">
        <v>2004</v>
      </c>
      <c r="B3919" s="128" t="s">
        <v>131</v>
      </c>
      <c r="C3919" s="128" t="s">
        <v>24</v>
      </c>
      <c r="D3919" s="128" t="s">
        <v>76</v>
      </c>
      <c r="E3919" s="128" t="s">
        <v>133</v>
      </c>
      <c r="F3919" s="128">
        <v>17723453</v>
      </c>
      <c r="G3919" s="128">
        <v>9728659</v>
      </c>
      <c r="H3919" s="128">
        <v>7994790</v>
      </c>
      <c r="I3919" s="128">
        <v>65456</v>
      </c>
    </row>
    <row r="3920" spans="1:9" ht="13.5">
      <c r="A3920" s="128">
        <v>2004</v>
      </c>
      <c r="B3920" s="128" t="s">
        <v>131</v>
      </c>
      <c r="C3920" s="128" t="s">
        <v>24</v>
      </c>
      <c r="D3920" s="128" t="s">
        <v>76</v>
      </c>
      <c r="E3920" s="128" t="s">
        <v>134</v>
      </c>
      <c r="F3920" s="128">
        <v>9715537</v>
      </c>
      <c r="G3920" s="128">
        <v>4488111</v>
      </c>
      <c r="H3920" s="128">
        <v>5227427</v>
      </c>
      <c r="I3920" s="128">
        <v>66062</v>
      </c>
    </row>
    <row r="3921" spans="1:9" ht="13.5">
      <c r="A3921" s="128">
        <v>2004</v>
      </c>
      <c r="B3921" s="128" t="s">
        <v>131</v>
      </c>
      <c r="C3921" s="128" t="s">
        <v>24</v>
      </c>
      <c r="D3921" s="128" t="s">
        <v>76</v>
      </c>
      <c r="E3921" s="128" t="s">
        <v>135</v>
      </c>
      <c r="F3921" s="128">
        <v>2122161</v>
      </c>
      <c r="G3921" s="128">
        <v>510424</v>
      </c>
      <c r="H3921" s="128">
        <v>1611738</v>
      </c>
      <c r="I3921" s="128">
        <v>2439</v>
      </c>
    </row>
    <row r="3922" spans="1:9" ht="13.5">
      <c r="A3922" s="128">
        <v>2004</v>
      </c>
      <c r="B3922" s="128" t="s">
        <v>131</v>
      </c>
      <c r="C3922" s="128" t="s">
        <v>24</v>
      </c>
      <c r="D3922" s="128" t="s">
        <v>76</v>
      </c>
      <c r="E3922" s="128" t="s">
        <v>136</v>
      </c>
      <c r="F3922" s="128">
        <v>1673230</v>
      </c>
      <c r="G3922" s="128">
        <v>1297857</v>
      </c>
      <c r="H3922" s="128">
        <v>375374</v>
      </c>
      <c r="I3922" s="128">
        <v>22733</v>
      </c>
    </row>
    <row r="3923" spans="1:9" ht="13.5">
      <c r="A3923" s="128">
        <v>2004</v>
      </c>
      <c r="B3923" s="128" t="s">
        <v>138</v>
      </c>
      <c r="C3923" s="128" t="s">
        <v>26</v>
      </c>
      <c r="D3923" s="128" t="s">
        <v>77</v>
      </c>
      <c r="E3923" s="128" t="s">
        <v>132</v>
      </c>
      <c r="F3923" s="128">
        <v>0</v>
      </c>
      <c r="G3923" s="128">
        <v>0</v>
      </c>
      <c r="H3923" s="128">
        <v>0</v>
      </c>
      <c r="I3923" s="128">
        <v>0</v>
      </c>
    </row>
    <row r="3924" spans="1:9" ht="13.5">
      <c r="A3924" s="128">
        <v>2004</v>
      </c>
      <c r="B3924" s="128" t="s">
        <v>138</v>
      </c>
      <c r="C3924" s="128" t="s">
        <v>26</v>
      </c>
      <c r="D3924" s="128" t="s">
        <v>77</v>
      </c>
      <c r="E3924" s="128" t="s">
        <v>133</v>
      </c>
      <c r="F3924" s="128">
        <v>0</v>
      </c>
      <c r="G3924" s="128">
        <v>0</v>
      </c>
      <c r="H3924" s="128">
        <v>0</v>
      </c>
      <c r="I3924" s="128">
        <v>0</v>
      </c>
    </row>
    <row r="3925" spans="1:9" ht="13.5">
      <c r="A3925" s="128">
        <v>2004</v>
      </c>
      <c r="B3925" s="128" t="s">
        <v>138</v>
      </c>
      <c r="C3925" s="128" t="s">
        <v>26</v>
      </c>
      <c r="D3925" s="128" t="s">
        <v>77</v>
      </c>
      <c r="E3925" s="128" t="s">
        <v>134</v>
      </c>
      <c r="F3925" s="128">
        <v>0</v>
      </c>
      <c r="G3925" s="128">
        <v>0</v>
      </c>
      <c r="H3925" s="128">
        <v>0</v>
      </c>
      <c r="I3925" s="128">
        <v>0</v>
      </c>
    </row>
    <row r="3926" spans="1:9" ht="13.5">
      <c r="A3926" s="128">
        <v>2004</v>
      </c>
      <c r="B3926" s="128" t="s">
        <v>138</v>
      </c>
      <c r="C3926" s="128" t="s">
        <v>26</v>
      </c>
      <c r="D3926" s="128" t="s">
        <v>77</v>
      </c>
      <c r="E3926" s="128" t="s">
        <v>135</v>
      </c>
      <c r="F3926" s="128">
        <v>0</v>
      </c>
      <c r="G3926" s="128">
        <v>0</v>
      </c>
      <c r="H3926" s="128">
        <v>0</v>
      </c>
      <c r="I3926" s="128">
        <v>0</v>
      </c>
    </row>
    <row r="3927" spans="1:9" ht="13.5">
      <c r="A3927" s="128">
        <v>2004</v>
      </c>
      <c r="B3927" s="128" t="s">
        <v>138</v>
      </c>
      <c r="C3927" s="128" t="s">
        <v>26</v>
      </c>
      <c r="D3927" s="128" t="s">
        <v>79</v>
      </c>
      <c r="E3927" s="128" t="s">
        <v>132</v>
      </c>
      <c r="F3927" s="128">
        <v>0</v>
      </c>
      <c r="G3927" s="128">
        <v>0</v>
      </c>
      <c r="H3927" s="128">
        <v>0</v>
      </c>
      <c r="I3927" s="128">
        <v>0</v>
      </c>
    </row>
    <row r="3928" spans="1:9" ht="13.5">
      <c r="A3928" s="128">
        <v>2004</v>
      </c>
      <c r="B3928" s="128" t="s">
        <v>138</v>
      </c>
      <c r="C3928" s="128" t="s">
        <v>26</v>
      </c>
      <c r="D3928" s="128" t="s">
        <v>79</v>
      </c>
      <c r="E3928" s="128" t="s">
        <v>133</v>
      </c>
      <c r="F3928" s="128">
        <v>0</v>
      </c>
      <c r="G3928" s="128">
        <v>0</v>
      </c>
      <c r="H3928" s="128">
        <v>0</v>
      </c>
      <c r="I3928" s="128">
        <v>0</v>
      </c>
    </row>
    <row r="3929" spans="1:9" ht="13.5">
      <c r="A3929" s="128">
        <v>2004</v>
      </c>
      <c r="B3929" s="128" t="s">
        <v>138</v>
      </c>
      <c r="C3929" s="128" t="s">
        <v>26</v>
      </c>
      <c r="D3929" s="128" t="s">
        <v>79</v>
      </c>
      <c r="E3929" s="128" t="s">
        <v>134</v>
      </c>
      <c r="F3929" s="128">
        <v>0</v>
      </c>
      <c r="G3929" s="128">
        <v>0</v>
      </c>
      <c r="H3929" s="128">
        <v>0</v>
      </c>
      <c r="I3929" s="128">
        <v>0</v>
      </c>
    </row>
    <row r="3930" spans="1:9" ht="13.5">
      <c r="A3930" s="128">
        <v>2004</v>
      </c>
      <c r="B3930" s="128" t="s">
        <v>138</v>
      </c>
      <c r="C3930" s="128" t="s">
        <v>26</v>
      </c>
      <c r="D3930" s="128" t="s">
        <v>79</v>
      </c>
      <c r="E3930" s="128" t="s">
        <v>135</v>
      </c>
      <c r="F3930" s="128">
        <v>0</v>
      </c>
      <c r="G3930" s="128">
        <v>0</v>
      </c>
      <c r="H3930" s="128">
        <v>0</v>
      </c>
      <c r="I3930" s="128">
        <v>0</v>
      </c>
    </row>
    <row r="3931" spans="1:9" ht="13.5">
      <c r="A3931" s="128">
        <v>2004</v>
      </c>
      <c r="B3931" s="128" t="s">
        <v>138</v>
      </c>
      <c r="C3931" s="128" t="s">
        <v>26</v>
      </c>
      <c r="D3931" s="128" t="s">
        <v>79</v>
      </c>
      <c r="E3931" s="128" t="s">
        <v>136</v>
      </c>
      <c r="F3931" s="128">
        <v>0</v>
      </c>
      <c r="G3931" s="128">
        <v>0</v>
      </c>
      <c r="H3931" s="128">
        <v>0</v>
      </c>
      <c r="I3931" s="128">
        <v>0</v>
      </c>
    </row>
    <row r="3932" spans="1:9" ht="13.5">
      <c r="A3932" s="128">
        <v>2004</v>
      </c>
      <c r="B3932" s="128" t="s">
        <v>138</v>
      </c>
      <c r="C3932" s="128" t="s">
        <v>26</v>
      </c>
      <c r="D3932" s="128" t="s">
        <v>76</v>
      </c>
      <c r="E3932" s="128" t="s">
        <v>132</v>
      </c>
      <c r="F3932" s="128">
        <v>0</v>
      </c>
      <c r="G3932" s="128">
        <v>0</v>
      </c>
      <c r="H3932" s="128">
        <v>0</v>
      </c>
      <c r="I3932" s="128">
        <v>0</v>
      </c>
    </row>
    <row r="3933" spans="1:9" ht="13.5">
      <c r="A3933" s="128">
        <v>2004</v>
      </c>
      <c r="B3933" s="128" t="s">
        <v>138</v>
      </c>
      <c r="C3933" s="128" t="s">
        <v>26</v>
      </c>
      <c r="D3933" s="128" t="s">
        <v>76</v>
      </c>
      <c r="E3933" s="128" t="s">
        <v>133</v>
      </c>
      <c r="F3933" s="128">
        <v>0</v>
      </c>
      <c r="G3933" s="128">
        <v>0</v>
      </c>
      <c r="H3933" s="128">
        <v>0</v>
      </c>
      <c r="I3933" s="128">
        <v>0</v>
      </c>
    </row>
    <row r="3934" spans="1:9" ht="13.5">
      <c r="A3934" s="128">
        <v>2004</v>
      </c>
      <c r="B3934" s="128" t="s">
        <v>138</v>
      </c>
      <c r="C3934" s="128" t="s">
        <v>26</v>
      </c>
      <c r="D3934" s="128" t="s">
        <v>76</v>
      </c>
      <c r="E3934" s="128" t="s">
        <v>134</v>
      </c>
      <c r="F3934" s="128">
        <v>0</v>
      </c>
      <c r="G3934" s="128">
        <v>0</v>
      </c>
      <c r="H3934" s="128">
        <v>0</v>
      </c>
      <c r="I3934" s="128">
        <v>0</v>
      </c>
    </row>
    <row r="3935" spans="1:9" ht="13.5">
      <c r="A3935" s="128">
        <v>2004</v>
      </c>
      <c r="B3935" s="128" t="s">
        <v>138</v>
      </c>
      <c r="C3935" s="128" t="s">
        <v>26</v>
      </c>
      <c r="D3935" s="128" t="s">
        <v>76</v>
      </c>
      <c r="E3935" s="128" t="s">
        <v>135</v>
      </c>
      <c r="F3935" s="128">
        <v>0</v>
      </c>
      <c r="G3935" s="128">
        <v>0</v>
      </c>
      <c r="H3935" s="128">
        <v>0</v>
      </c>
      <c r="I3935" s="128">
        <v>0</v>
      </c>
    </row>
    <row r="3936" spans="1:9" ht="13.5">
      <c r="A3936" s="128">
        <v>2004</v>
      </c>
      <c r="B3936" s="128" t="s">
        <v>138</v>
      </c>
      <c r="C3936" s="128" t="s">
        <v>26</v>
      </c>
      <c r="D3936" s="128" t="s">
        <v>76</v>
      </c>
      <c r="E3936" s="128" t="s">
        <v>136</v>
      </c>
      <c r="F3936" s="128">
        <v>0</v>
      </c>
      <c r="G3936" s="128">
        <v>0</v>
      </c>
      <c r="H3936" s="128">
        <v>0</v>
      </c>
      <c r="I3936" s="128">
        <v>0</v>
      </c>
    </row>
    <row r="3937" spans="1:9" ht="13.5">
      <c r="A3937" s="128">
        <v>2004</v>
      </c>
      <c r="B3937" s="128" t="s">
        <v>138</v>
      </c>
      <c r="C3937" s="128" t="s">
        <v>20</v>
      </c>
      <c r="D3937" s="128" t="s">
        <v>77</v>
      </c>
      <c r="E3937" s="128" t="s">
        <v>132</v>
      </c>
      <c r="F3937" s="128">
        <v>625032</v>
      </c>
      <c r="G3937" s="128">
        <v>409627</v>
      </c>
      <c r="H3937" s="128">
        <v>180543</v>
      </c>
      <c r="I3937" s="128">
        <v>5359</v>
      </c>
    </row>
    <row r="3938" spans="1:9" ht="13.5">
      <c r="A3938" s="128">
        <v>2004</v>
      </c>
      <c r="B3938" s="128" t="s">
        <v>138</v>
      </c>
      <c r="C3938" s="128" t="s">
        <v>20</v>
      </c>
      <c r="D3938" s="128" t="s">
        <v>77</v>
      </c>
      <c r="E3938" s="128" t="s">
        <v>133</v>
      </c>
      <c r="F3938" s="128">
        <v>1407178</v>
      </c>
      <c r="G3938" s="128">
        <v>766028</v>
      </c>
      <c r="H3938" s="128">
        <v>502692</v>
      </c>
      <c r="I3938" s="128">
        <v>8665</v>
      </c>
    </row>
    <row r="3939" spans="1:9" ht="13.5">
      <c r="A3939" s="128">
        <v>2004</v>
      </c>
      <c r="B3939" s="128" t="s">
        <v>138</v>
      </c>
      <c r="C3939" s="128" t="s">
        <v>20</v>
      </c>
      <c r="D3939" s="128" t="s">
        <v>77</v>
      </c>
      <c r="E3939" s="128" t="s">
        <v>134</v>
      </c>
      <c r="F3939" s="128">
        <v>2689110</v>
      </c>
      <c r="G3939" s="128">
        <v>1163285</v>
      </c>
      <c r="H3939" s="128">
        <v>1038052</v>
      </c>
      <c r="I3939" s="128">
        <v>10719</v>
      </c>
    </row>
    <row r="3940" spans="1:9" ht="13.5">
      <c r="A3940" s="128">
        <v>2004</v>
      </c>
      <c r="B3940" s="128" t="s">
        <v>138</v>
      </c>
      <c r="C3940" s="128" t="s">
        <v>20</v>
      </c>
      <c r="D3940" s="128" t="s">
        <v>77</v>
      </c>
      <c r="E3940" s="128" t="s">
        <v>135</v>
      </c>
      <c r="F3940" s="128">
        <v>4074630</v>
      </c>
      <c r="G3940" s="128">
        <v>1115612</v>
      </c>
      <c r="H3940" s="128">
        <v>1002820</v>
      </c>
      <c r="I3940" s="128">
        <v>12134</v>
      </c>
    </row>
    <row r="3941" spans="1:9" ht="13.5">
      <c r="A3941" s="128">
        <v>2004</v>
      </c>
      <c r="B3941" s="128" t="s">
        <v>138</v>
      </c>
      <c r="C3941" s="128" t="s">
        <v>20</v>
      </c>
      <c r="D3941" s="128" t="s">
        <v>79</v>
      </c>
      <c r="E3941" s="128" t="s">
        <v>132</v>
      </c>
      <c r="F3941" s="128">
        <v>3970276</v>
      </c>
      <c r="G3941" s="128">
        <v>2621570</v>
      </c>
      <c r="H3941" s="128">
        <v>897239</v>
      </c>
      <c r="I3941" s="128">
        <v>28599</v>
      </c>
    </row>
    <row r="3942" spans="1:9" ht="13.5">
      <c r="A3942" s="128">
        <v>2004</v>
      </c>
      <c r="B3942" s="128" t="s">
        <v>138</v>
      </c>
      <c r="C3942" s="128" t="s">
        <v>20</v>
      </c>
      <c r="D3942" s="128" t="s">
        <v>79</v>
      </c>
      <c r="E3942" s="128" t="s">
        <v>133</v>
      </c>
      <c r="F3942" s="128">
        <v>6221246</v>
      </c>
      <c r="G3942" s="128">
        <v>3398802</v>
      </c>
      <c r="H3942" s="128">
        <v>1172789</v>
      </c>
      <c r="I3942" s="128">
        <v>45535</v>
      </c>
    </row>
    <row r="3943" spans="1:9" ht="13.5">
      <c r="A3943" s="128">
        <v>2004</v>
      </c>
      <c r="B3943" s="128" t="s">
        <v>138</v>
      </c>
      <c r="C3943" s="128" t="s">
        <v>20</v>
      </c>
      <c r="D3943" s="128" t="s">
        <v>79</v>
      </c>
      <c r="E3943" s="128" t="s">
        <v>134</v>
      </c>
      <c r="F3943" s="128">
        <v>18658748</v>
      </c>
      <c r="G3943" s="128">
        <v>7927449</v>
      </c>
      <c r="H3943" s="128">
        <v>2681793</v>
      </c>
      <c r="I3943" s="128">
        <v>80101</v>
      </c>
    </row>
    <row r="3944" spans="1:9" ht="13.5">
      <c r="A3944" s="128">
        <v>2004</v>
      </c>
      <c r="B3944" s="128" t="s">
        <v>138</v>
      </c>
      <c r="C3944" s="128" t="s">
        <v>20</v>
      </c>
      <c r="D3944" s="128" t="s">
        <v>79</v>
      </c>
      <c r="E3944" s="128" t="s">
        <v>135</v>
      </c>
      <c r="F3944" s="128">
        <v>48206519</v>
      </c>
      <c r="G3944" s="128">
        <v>13460289</v>
      </c>
      <c r="H3944" s="128">
        <v>4683198</v>
      </c>
      <c r="I3944" s="128">
        <v>114216</v>
      </c>
    </row>
    <row r="3945" spans="1:9" ht="13.5">
      <c r="A3945" s="128">
        <v>2004</v>
      </c>
      <c r="B3945" s="128" t="s">
        <v>138</v>
      </c>
      <c r="C3945" s="128" t="s">
        <v>20</v>
      </c>
      <c r="D3945" s="128" t="s">
        <v>79</v>
      </c>
      <c r="E3945" s="128" t="s">
        <v>136</v>
      </c>
      <c r="F3945" s="128">
        <v>17899386</v>
      </c>
      <c r="G3945" s="128">
        <v>13568663</v>
      </c>
      <c r="H3945" s="128">
        <v>4330613</v>
      </c>
      <c r="I3945" s="128">
        <v>294669</v>
      </c>
    </row>
    <row r="3946" spans="1:9" ht="13.5">
      <c r="A3946" s="128">
        <v>2004</v>
      </c>
      <c r="B3946" s="128" t="s">
        <v>138</v>
      </c>
      <c r="C3946" s="128" t="s">
        <v>20</v>
      </c>
      <c r="D3946" s="128" t="s">
        <v>76</v>
      </c>
      <c r="E3946" s="128" t="s">
        <v>132</v>
      </c>
      <c r="F3946" s="128">
        <v>22420150</v>
      </c>
      <c r="G3946" s="128">
        <v>14375983</v>
      </c>
      <c r="H3946" s="128">
        <v>8044171</v>
      </c>
      <c r="I3946" s="128">
        <v>296415</v>
      </c>
    </row>
    <row r="3947" spans="1:9" ht="13.5">
      <c r="A3947" s="128">
        <v>2004</v>
      </c>
      <c r="B3947" s="128" t="s">
        <v>138</v>
      </c>
      <c r="C3947" s="128" t="s">
        <v>20</v>
      </c>
      <c r="D3947" s="128" t="s">
        <v>76</v>
      </c>
      <c r="E3947" s="128" t="s">
        <v>133</v>
      </c>
      <c r="F3947" s="128">
        <v>34788085</v>
      </c>
      <c r="G3947" s="128">
        <v>19199166</v>
      </c>
      <c r="H3947" s="128">
        <v>15588919</v>
      </c>
      <c r="I3947" s="128">
        <v>153581</v>
      </c>
    </row>
    <row r="3948" spans="1:9" ht="13.5">
      <c r="A3948" s="128">
        <v>2004</v>
      </c>
      <c r="B3948" s="128" t="s">
        <v>138</v>
      </c>
      <c r="C3948" s="128" t="s">
        <v>20</v>
      </c>
      <c r="D3948" s="128" t="s">
        <v>76</v>
      </c>
      <c r="E3948" s="128" t="s">
        <v>134</v>
      </c>
      <c r="F3948" s="128">
        <v>25848342</v>
      </c>
      <c r="G3948" s="128">
        <v>12129441</v>
      </c>
      <c r="H3948" s="128">
        <v>13718903</v>
      </c>
      <c r="I3948" s="128">
        <v>179482</v>
      </c>
    </row>
    <row r="3949" spans="1:9" ht="13.5">
      <c r="A3949" s="128">
        <v>2004</v>
      </c>
      <c r="B3949" s="128" t="s">
        <v>138</v>
      </c>
      <c r="C3949" s="128" t="s">
        <v>20</v>
      </c>
      <c r="D3949" s="128" t="s">
        <v>76</v>
      </c>
      <c r="E3949" s="128" t="s">
        <v>135</v>
      </c>
      <c r="F3949" s="128">
        <v>4171865</v>
      </c>
      <c r="G3949" s="128">
        <v>1110409</v>
      </c>
      <c r="H3949" s="128">
        <v>3061454</v>
      </c>
      <c r="I3949" s="128">
        <v>4820</v>
      </c>
    </row>
    <row r="3950" spans="1:9" ht="13.5">
      <c r="A3950" s="128">
        <v>2004</v>
      </c>
      <c r="B3950" s="128" t="s">
        <v>138</v>
      </c>
      <c r="C3950" s="128" t="s">
        <v>20</v>
      </c>
      <c r="D3950" s="128" t="s">
        <v>76</v>
      </c>
      <c r="E3950" s="128" t="s">
        <v>136</v>
      </c>
      <c r="F3950" s="128">
        <v>4484486</v>
      </c>
      <c r="G3950" s="128">
        <v>3391076</v>
      </c>
      <c r="H3950" s="128">
        <v>1093542</v>
      </c>
      <c r="I3950" s="128">
        <v>91419</v>
      </c>
    </row>
    <row r="3951" spans="1:9" ht="13.5">
      <c r="A3951" s="128">
        <v>2004</v>
      </c>
      <c r="B3951" s="128" t="s">
        <v>138</v>
      </c>
      <c r="C3951" s="128" t="s">
        <v>27</v>
      </c>
      <c r="D3951" s="128" t="s">
        <v>77</v>
      </c>
      <c r="E3951" s="128" t="s">
        <v>132</v>
      </c>
      <c r="F3951" s="128">
        <v>15615</v>
      </c>
      <c r="G3951" s="128">
        <v>9787</v>
      </c>
      <c r="H3951" s="128">
        <v>4855</v>
      </c>
      <c r="I3951" s="128">
        <v>98</v>
      </c>
    </row>
    <row r="3952" spans="1:9" ht="13.5">
      <c r="A3952" s="128">
        <v>2004</v>
      </c>
      <c r="B3952" s="128" t="s">
        <v>138</v>
      </c>
      <c r="C3952" s="128" t="s">
        <v>27</v>
      </c>
      <c r="D3952" s="128" t="s">
        <v>77</v>
      </c>
      <c r="E3952" s="128" t="s">
        <v>133</v>
      </c>
      <c r="F3952" s="128">
        <v>27213</v>
      </c>
      <c r="G3952" s="128">
        <v>14795</v>
      </c>
      <c r="H3952" s="128">
        <v>10960</v>
      </c>
      <c r="I3952" s="128">
        <v>101</v>
      </c>
    </row>
    <row r="3953" spans="1:9" ht="13.5">
      <c r="A3953" s="128">
        <v>2004</v>
      </c>
      <c r="B3953" s="128" t="s">
        <v>138</v>
      </c>
      <c r="C3953" s="128" t="s">
        <v>27</v>
      </c>
      <c r="D3953" s="128" t="s">
        <v>77</v>
      </c>
      <c r="E3953" s="128" t="s">
        <v>134</v>
      </c>
      <c r="F3953" s="128">
        <v>69628</v>
      </c>
      <c r="G3953" s="128">
        <v>30590</v>
      </c>
      <c r="H3953" s="128">
        <v>26665</v>
      </c>
      <c r="I3953" s="128">
        <v>223</v>
      </c>
    </row>
    <row r="3954" spans="1:9" ht="13.5">
      <c r="A3954" s="128">
        <v>2004</v>
      </c>
      <c r="B3954" s="128" t="s">
        <v>138</v>
      </c>
      <c r="C3954" s="128" t="s">
        <v>27</v>
      </c>
      <c r="D3954" s="128" t="s">
        <v>77</v>
      </c>
      <c r="E3954" s="128" t="s">
        <v>135</v>
      </c>
      <c r="F3954" s="128">
        <v>70326</v>
      </c>
      <c r="G3954" s="128">
        <v>18710</v>
      </c>
      <c r="H3954" s="128">
        <v>22145</v>
      </c>
      <c r="I3954" s="128">
        <v>107</v>
      </c>
    </row>
    <row r="3955" spans="1:9" ht="13.5">
      <c r="A3955" s="128">
        <v>2004</v>
      </c>
      <c r="B3955" s="128" t="s">
        <v>138</v>
      </c>
      <c r="C3955" s="128" t="s">
        <v>27</v>
      </c>
      <c r="D3955" s="128" t="s">
        <v>79</v>
      </c>
      <c r="E3955" s="128" t="s">
        <v>132</v>
      </c>
      <c r="F3955" s="128">
        <v>51519</v>
      </c>
      <c r="G3955" s="128">
        <v>35053</v>
      </c>
      <c r="H3955" s="128">
        <v>11433</v>
      </c>
      <c r="I3955" s="128">
        <v>310</v>
      </c>
    </row>
    <row r="3956" spans="1:9" ht="13.5">
      <c r="A3956" s="128">
        <v>2004</v>
      </c>
      <c r="B3956" s="128" t="s">
        <v>138</v>
      </c>
      <c r="C3956" s="128" t="s">
        <v>27</v>
      </c>
      <c r="D3956" s="128" t="s">
        <v>79</v>
      </c>
      <c r="E3956" s="128" t="s">
        <v>133</v>
      </c>
      <c r="F3956" s="128">
        <v>87570</v>
      </c>
      <c r="G3956" s="128">
        <v>48630</v>
      </c>
      <c r="H3956" s="128">
        <v>16436</v>
      </c>
      <c r="I3956" s="128">
        <v>479</v>
      </c>
    </row>
    <row r="3957" spans="1:9" ht="13.5">
      <c r="A3957" s="128">
        <v>2004</v>
      </c>
      <c r="B3957" s="128" t="s">
        <v>138</v>
      </c>
      <c r="C3957" s="128" t="s">
        <v>27</v>
      </c>
      <c r="D3957" s="128" t="s">
        <v>79</v>
      </c>
      <c r="E3957" s="128" t="s">
        <v>134</v>
      </c>
      <c r="F3957" s="128">
        <v>200485</v>
      </c>
      <c r="G3957" s="128">
        <v>84444</v>
      </c>
      <c r="H3957" s="128">
        <v>28064</v>
      </c>
      <c r="I3957" s="128">
        <v>1111</v>
      </c>
    </row>
    <row r="3958" spans="1:9" ht="13.5">
      <c r="A3958" s="128">
        <v>2004</v>
      </c>
      <c r="B3958" s="128" t="s">
        <v>138</v>
      </c>
      <c r="C3958" s="128" t="s">
        <v>27</v>
      </c>
      <c r="D3958" s="128" t="s">
        <v>79</v>
      </c>
      <c r="E3958" s="128" t="s">
        <v>135</v>
      </c>
      <c r="F3958" s="128">
        <v>501601</v>
      </c>
      <c r="G3958" s="128">
        <v>141180</v>
      </c>
      <c r="H3958" s="128">
        <v>47193</v>
      </c>
      <c r="I3958" s="128">
        <v>990</v>
      </c>
    </row>
    <row r="3959" spans="1:9" ht="13.5">
      <c r="A3959" s="128">
        <v>2004</v>
      </c>
      <c r="B3959" s="128" t="s">
        <v>138</v>
      </c>
      <c r="C3959" s="128" t="s">
        <v>27</v>
      </c>
      <c r="D3959" s="128" t="s">
        <v>79</v>
      </c>
      <c r="E3959" s="128" t="s">
        <v>136</v>
      </c>
      <c r="F3959" s="128">
        <v>149616</v>
      </c>
      <c r="G3959" s="128">
        <v>114429</v>
      </c>
      <c r="H3959" s="128">
        <v>35051</v>
      </c>
      <c r="I3959" s="128">
        <v>2452</v>
      </c>
    </row>
    <row r="3960" spans="1:9" ht="13.5">
      <c r="A3960" s="128">
        <v>2004</v>
      </c>
      <c r="B3960" s="128" t="s">
        <v>138</v>
      </c>
      <c r="C3960" s="128" t="s">
        <v>27</v>
      </c>
      <c r="D3960" s="128" t="s">
        <v>76</v>
      </c>
      <c r="E3960" s="128" t="s">
        <v>132</v>
      </c>
      <c r="F3960" s="128">
        <v>295833</v>
      </c>
      <c r="G3960" s="128">
        <v>189423</v>
      </c>
      <c r="H3960" s="128">
        <v>106409</v>
      </c>
      <c r="I3960" s="128">
        <v>3722</v>
      </c>
    </row>
    <row r="3961" spans="1:9" ht="13.5">
      <c r="A3961" s="128">
        <v>2004</v>
      </c>
      <c r="B3961" s="128" t="s">
        <v>138</v>
      </c>
      <c r="C3961" s="128" t="s">
        <v>27</v>
      </c>
      <c r="D3961" s="128" t="s">
        <v>76</v>
      </c>
      <c r="E3961" s="128" t="s">
        <v>133</v>
      </c>
      <c r="F3961" s="128">
        <v>683686</v>
      </c>
      <c r="G3961" s="128">
        <v>373779</v>
      </c>
      <c r="H3961" s="128">
        <v>309906</v>
      </c>
      <c r="I3961" s="128">
        <v>2697</v>
      </c>
    </row>
    <row r="3962" spans="1:9" ht="13.5">
      <c r="A3962" s="128">
        <v>2004</v>
      </c>
      <c r="B3962" s="128" t="s">
        <v>138</v>
      </c>
      <c r="C3962" s="128" t="s">
        <v>27</v>
      </c>
      <c r="D3962" s="128" t="s">
        <v>76</v>
      </c>
      <c r="E3962" s="128" t="s">
        <v>134</v>
      </c>
      <c r="F3962" s="128">
        <v>420675</v>
      </c>
      <c r="G3962" s="128">
        <v>195960</v>
      </c>
      <c r="H3962" s="128">
        <v>224715</v>
      </c>
      <c r="I3962" s="128">
        <v>2827</v>
      </c>
    </row>
    <row r="3963" spans="1:9" ht="13.5">
      <c r="A3963" s="128">
        <v>2004</v>
      </c>
      <c r="B3963" s="128" t="s">
        <v>138</v>
      </c>
      <c r="C3963" s="128" t="s">
        <v>27</v>
      </c>
      <c r="D3963" s="128" t="s">
        <v>76</v>
      </c>
      <c r="E3963" s="128" t="s">
        <v>135</v>
      </c>
      <c r="F3963" s="128">
        <v>80581</v>
      </c>
      <c r="G3963" s="128">
        <v>22982</v>
      </c>
      <c r="H3963" s="128">
        <v>57599</v>
      </c>
      <c r="I3963" s="128">
        <v>75</v>
      </c>
    </row>
    <row r="3964" spans="1:9" ht="13.5">
      <c r="A3964" s="128">
        <v>2004</v>
      </c>
      <c r="B3964" s="128" t="s">
        <v>138</v>
      </c>
      <c r="C3964" s="128" t="s">
        <v>27</v>
      </c>
      <c r="D3964" s="128" t="s">
        <v>76</v>
      </c>
      <c r="E3964" s="128" t="s">
        <v>136</v>
      </c>
      <c r="F3964" s="128">
        <v>42514</v>
      </c>
      <c r="G3964" s="128">
        <v>32123</v>
      </c>
      <c r="H3964" s="128">
        <v>10391</v>
      </c>
      <c r="I3964" s="128">
        <v>529</v>
      </c>
    </row>
    <row r="3965" spans="1:9" ht="13.5">
      <c r="A3965" s="128">
        <v>2004</v>
      </c>
      <c r="B3965" s="128" t="s">
        <v>138</v>
      </c>
      <c r="C3965" s="128" t="s">
        <v>22</v>
      </c>
      <c r="D3965" s="128" t="s">
        <v>77</v>
      </c>
      <c r="E3965" s="128" t="s">
        <v>132</v>
      </c>
      <c r="F3965" s="128">
        <v>277326</v>
      </c>
      <c r="G3965" s="128">
        <v>181268</v>
      </c>
      <c r="H3965" s="128">
        <v>74834</v>
      </c>
      <c r="I3965" s="128">
        <v>2133</v>
      </c>
    </row>
    <row r="3966" spans="1:9" ht="13.5">
      <c r="A3966" s="128">
        <v>2004</v>
      </c>
      <c r="B3966" s="128" t="s">
        <v>138</v>
      </c>
      <c r="C3966" s="128" t="s">
        <v>22</v>
      </c>
      <c r="D3966" s="128" t="s">
        <v>77</v>
      </c>
      <c r="E3966" s="128" t="s">
        <v>133</v>
      </c>
      <c r="F3966" s="128">
        <v>1303898</v>
      </c>
      <c r="G3966" s="128">
        <v>710087</v>
      </c>
      <c r="H3966" s="128">
        <v>476005</v>
      </c>
      <c r="I3966" s="128">
        <v>10915</v>
      </c>
    </row>
    <row r="3967" spans="1:9" ht="13.5">
      <c r="A3967" s="128">
        <v>2004</v>
      </c>
      <c r="B3967" s="128" t="s">
        <v>138</v>
      </c>
      <c r="C3967" s="128" t="s">
        <v>22</v>
      </c>
      <c r="D3967" s="128" t="s">
        <v>77</v>
      </c>
      <c r="E3967" s="128" t="s">
        <v>134</v>
      </c>
      <c r="F3967" s="128">
        <v>3638447</v>
      </c>
      <c r="G3967" s="128">
        <v>1527559</v>
      </c>
      <c r="H3967" s="128">
        <v>1398351</v>
      </c>
      <c r="I3967" s="128">
        <v>11317</v>
      </c>
    </row>
    <row r="3968" spans="1:9" ht="13.5">
      <c r="A3968" s="128">
        <v>2004</v>
      </c>
      <c r="B3968" s="128" t="s">
        <v>138</v>
      </c>
      <c r="C3968" s="128" t="s">
        <v>22</v>
      </c>
      <c r="D3968" s="128" t="s">
        <v>77</v>
      </c>
      <c r="E3968" s="128" t="s">
        <v>135</v>
      </c>
      <c r="F3968" s="128">
        <v>4214614</v>
      </c>
      <c r="G3968" s="128">
        <v>1178156</v>
      </c>
      <c r="H3968" s="128">
        <v>1292757</v>
      </c>
      <c r="I3968" s="128">
        <v>13446</v>
      </c>
    </row>
    <row r="3969" spans="1:9" ht="13.5">
      <c r="A3969" s="128">
        <v>2004</v>
      </c>
      <c r="B3969" s="128" t="s">
        <v>138</v>
      </c>
      <c r="C3969" s="128" t="s">
        <v>22</v>
      </c>
      <c r="D3969" s="128" t="s">
        <v>79</v>
      </c>
      <c r="E3969" s="128" t="s">
        <v>132</v>
      </c>
      <c r="F3969" s="128">
        <v>3246426</v>
      </c>
      <c r="G3969" s="128">
        <v>2163661</v>
      </c>
      <c r="H3969" s="128">
        <v>723836</v>
      </c>
      <c r="I3969" s="128">
        <v>19544</v>
      </c>
    </row>
    <row r="3970" spans="1:9" ht="13.5">
      <c r="A3970" s="128">
        <v>2004</v>
      </c>
      <c r="B3970" s="128" t="s">
        <v>138</v>
      </c>
      <c r="C3970" s="128" t="s">
        <v>22</v>
      </c>
      <c r="D3970" s="128" t="s">
        <v>79</v>
      </c>
      <c r="E3970" s="128" t="s">
        <v>133</v>
      </c>
      <c r="F3970" s="128">
        <v>5502684</v>
      </c>
      <c r="G3970" s="128">
        <v>3023401</v>
      </c>
      <c r="H3970" s="128">
        <v>1017980</v>
      </c>
      <c r="I3970" s="128">
        <v>39295</v>
      </c>
    </row>
    <row r="3971" spans="1:9" ht="13.5">
      <c r="A3971" s="128">
        <v>2004</v>
      </c>
      <c r="B3971" s="128" t="s">
        <v>138</v>
      </c>
      <c r="C3971" s="128" t="s">
        <v>22</v>
      </c>
      <c r="D3971" s="128" t="s">
        <v>79</v>
      </c>
      <c r="E3971" s="128" t="s">
        <v>134</v>
      </c>
      <c r="F3971" s="128">
        <v>10350850</v>
      </c>
      <c r="G3971" s="128">
        <v>4397806</v>
      </c>
      <c r="H3971" s="128">
        <v>1493657</v>
      </c>
      <c r="I3971" s="128">
        <v>45937</v>
      </c>
    </row>
    <row r="3972" spans="1:9" ht="13.5">
      <c r="A3972" s="128">
        <v>2004</v>
      </c>
      <c r="B3972" s="128" t="s">
        <v>138</v>
      </c>
      <c r="C3972" s="128" t="s">
        <v>22</v>
      </c>
      <c r="D3972" s="128" t="s">
        <v>79</v>
      </c>
      <c r="E3972" s="128" t="s">
        <v>135</v>
      </c>
      <c r="F3972" s="128">
        <v>13643618</v>
      </c>
      <c r="G3972" s="128">
        <v>4022191</v>
      </c>
      <c r="H3972" s="128">
        <v>1374607</v>
      </c>
      <c r="I3972" s="128">
        <v>39134</v>
      </c>
    </row>
    <row r="3973" spans="1:9" ht="13.5">
      <c r="A3973" s="128">
        <v>2004</v>
      </c>
      <c r="B3973" s="128" t="s">
        <v>138</v>
      </c>
      <c r="C3973" s="128" t="s">
        <v>22</v>
      </c>
      <c r="D3973" s="128" t="s">
        <v>79</v>
      </c>
      <c r="E3973" s="128" t="s">
        <v>136</v>
      </c>
      <c r="F3973" s="128">
        <v>7952167</v>
      </c>
      <c r="G3973" s="128">
        <v>6053040</v>
      </c>
      <c r="H3973" s="128">
        <v>1898751</v>
      </c>
      <c r="I3973" s="128">
        <v>107843</v>
      </c>
    </row>
    <row r="3974" spans="1:9" ht="13.5">
      <c r="A3974" s="128">
        <v>2004</v>
      </c>
      <c r="B3974" s="128" t="s">
        <v>138</v>
      </c>
      <c r="C3974" s="128" t="s">
        <v>22</v>
      </c>
      <c r="D3974" s="128" t="s">
        <v>76</v>
      </c>
      <c r="E3974" s="128" t="s">
        <v>132</v>
      </c>
      <c r="F3974" s="128">
        <v>17571850</v>
      </c>
      <c r="G3974" s="128">
        <v>11422894</v>
      </c>
      <c r="H3974" s="128">
        <v>6148956</v>
      </c>
      <c r="I3974" s="128">
        <v>289521</v>
      </c>
    </row>
    <row r="3975" spans="1:9" ht="13.5">
      <c r="A3975" s="128">
        <v>2004</v>
      </c>
      <c r="B3975" s="128" t="s">
        <v>138</v>
      </c>
      <c r="C3975" s="128" t="s">
        <v>22</v>
      </c>
      <c r="D3975" s="128" t="s">
        <v>76</v>
      </c>
      <c r="E3975" s="128" t="s">
        <v>133</v>
      </c>
      <c r="F3975" s="128">
        <v>29794325</v>
      </c>
      <c r="G3975" s="128">
        <v>16532965</v>
      </c>
      <c r="H3975" s="128">
        <v>13261364</v>
      </c>
      <c r="I3975" s="128">
        <v>173212</v>
      </c>
    </row>
    <row r="3976" spans="1:9" ht="13.5">
      <c r="A3976" s="128">
        <v>2004</v>
      </c>
      <c r="B3976" s="128" t="s">
        <v>138</v>
      </c>
      <c r="C3976" s="128" t="s">
        <v>22</v>
      </c>
      <c r="D3976" s="128" t="s">
        <v>76</v>
      </c>
      <c r="E3976" s="128" t="s">
        <v>134</v>
      </c>
      <c r="F3976" s="128">
        <v>15953955</v>
      </c>
      <c r="G3976" s="128">
        <v>7548385</v>
      </c>
      <c r="H3976" s="128">
        <v>8405569</v>
      </c>
      <c r="I3976" s="128">
        <v>134838</v>
      </c>
    </row>
    <row r="3977" spans="1:9" ht="13.5">
      <c r="A3977" s="128">
        <v>2004</v>
      </c>
      <c r="B3977" s="128" t="s">
        <v>138</v>
      </c>
      <c r="C3977" s="128" t="s">
        <v>22</v>
      </c>
      <c r="D3977" s="128" t="s">
        <v>76</v>
      </c>
      <c r="E3977" s="128" t="s">
        <v>135</v>
      </c>
      <c r="F3977" s="128">
        <v>3142485</v>
      </c>
      <c r="G3977" s="128">
        <v>899843</v>
      </c>
      <c r="H3977" s="128">
        <v>2242638</v>
      </c>
      <c r="I3977" s="128">
        <v>3338</v>
      </c>
    </row>
    <row r="3978" spans="1:9" ht="13.5">
      <c r="A3978" s="128">
        <v>2004</v>
      </c>
      <c r="B3978" s="128" t="s">
        <v>138</v>
      </c>
      <c r="C3978" s="128" t="s">
        <v>22</v>
      </c>
      <c r="D3978" s="128" t="s">
        <v>76</v>
      </c>
      <c r="E3978" s="128" t="s">
        <v>136</v>
      </c>
      <c r="F3978" s="128">
        <v>1106274</v>
      </c>
      <c r="G3978" s="128">
        <v>839948</v>
      </c>
      <c r="H3978" s="128">
        <v>266620</v>
      </c>
      <c r="I3978" s="128">
        <v>21685</v>
      </c>
    </row>
    <row r="3979" spans="1:9" ht="13.5">
      <c r="A3979" s="128">
        <v>2004</v>
      </c>
      <c r="B3979" s="128" t="s">
        <v>138</v>
      </c>
      <c r="C3979" s="128" t="s">
        <v>23</v>
      </c>
      <c r="D3979" s="128" t="s">
        <v>77</v>
      </c>
      <c r="E3979" s="128" t="s">
        <v>132</v>
      </c>
      <c r="F3979" s="128">
        <v>616589</v>
      </c>
      <c r="G3979" s="128">
        <v>402775</v>
      </c>
      <c r="H3979" s="128">
        <v>183381</v>
      </c>
      <c r="I3979" s="128">
        <v>5167</v>
      </c>
    </row>
    <row r="3980" spans="1:9" ht="13.5">
      <c r="A3980" s="128">
        <v>2004</v>
      </c>
      <c r="B3980" s="128" t="s">
        <v>138</v>
      </c>
      <c r="C3980" s="128" t="s">
        <v>23</v>
      </c>
      <c r="D3980" s="128" t="s">
        <v>77</v>
      </c>
      <c r="E3980" s="128" t="s">
        <v>133</v>
      </c>
      <c r="F3980" s="128">
        <v>525426</v>
      </c>
      <c r="G3980" s="128">
        <v>282375</v>
      </c>
      <c r="H3980" s="128">
        <v>192079</v>
      </c>
      <c r="I3980" s="128">
        <v>3871</v>
      </c>
    </row>
    <row r="3981" spans="1:9" ht="13.5">
      <c r="A3981" s="128">
        <v>2004</v>
      </c>
      <c r="B3981" s="128" t="s">
        <v>138</v>
      </c>
      <c r="C3981" s="128" t="s">
        <v>23</v>
      </c>
      <c r="D3981" s="128" t="s">
        <v>77</v>
      </c>
      <c r="E3981" s="128" t="s">
        <v>134</v>
      </c>
      <c r="F3981" s="128">
        <v>977809</v>
      </c>
      <c r="G3981" s="128">
        <v>427590</v>
      </c>
      <c r="H3981" s="128">
        <v>388731</v>
      </c>
      <c r="I3981" s="128">
        <v>3917</v>
      </c>
    </row>
    <row r="3982" spans="1:9" ht="13.5">
      <c r="A3982" s="128">
        <v>2004</v>
      </c>
      <c r="B3982" s="128" t="s">
        <v>138</v>
      </c>
      <c r="C3982" s="128" t="s">
        <v>23</v>
      </c>
      <c r="D3982" s="128" t="s">
        <v>77</v>
      </c>
      <c r="E3982" s="128" t="s">
        <v>135</v>
      </c>
      <c r="F3982" s="128">
        <v>754300</v>
      </c>
      <c r="G3982" s="128">
        <v>204070</v>
      </c>
      <c r="H3982" s="128">
        <v>203435</v>
      </c>
      <c r="I3982" s="128">
        <v>1722</v>
      </c>
    </row>
    <row r="3983" spans="1:9" ht="13.5">
      <c r="A3983" s="128">
        <v>2004</v>
      </c>
      <c r="B3983" s="128" t="s">
        <v>138</v>
      </c>
      <c r="C3983" s="128" t="s">
        <v>23</v>
      </c>
      <c r="D3983" s="128" t="s">
        <v>79</v>
      </c>
      <c r="E3983" s="128" t="s">
        <v>132</v>
      </c>
      <c r="F3983" s="128">
        <v>404748</v>
      </c>
      <c r="G3983" s="128">
        <v>270492</v>
      </c>
      <c r="H3983" s="128">
        <v>89916</v>
      </c>
      <c r="I3983" s="128">
        <v>4665</v>
      </c>
    </row>
    <row r="3984" spans="1:9" ht="13.5">
      <c r="A3984" s="128">
        <v>2004</v>
      </c>
      <c r="B3984" s="128" t="s">
        <v>138</v>
      </c>
      <c r="C3984" s="128" t="s">
        <v>23</v>
      </c>
      <c r="D3984" s="128" t="s">
        <v>79</v>
      </c>
      <c r="E3984" s="128" t="s">
        <v>133</v>
      </c>
      <c r="F3984" s="128">
        <v>498286</v>
      </c>
      <c r="G3984" s="128">
        <v>270172</v>
      </c>
      <c r="H3984" s="128">
        <v>91045</v>
      </c>
      <c r="I3984" s="128">
        <v>3359</v>
      </c>
    </row>
    <row r="3985" spans="1:9" ht="13.5">
      <c r="A3985" s="128">
        <v>2004</v>
      </c>
      <c r="B3985" s="128" t="s">
        <v>138</v>
      </c>
      <c r="C3985" s="128" t="s">
        <v>23</v>
      </c>
      <c r="D3985" s="128" t="s">
        <v>79</v>
      </c>
      <c r="E3985" s="128" t="s">
        <v>134</v>
      </c>
      <c r="F3985" s="128">
        <v>401040</v>
      </c>
      <c r="G3985" s="128">
        <v>171303</v>
      </c>
      <c r="H3985" s="128">
        <v>58471</v>
      </c>
      <c r="I3985" s="128">
        <v>2375</v>
      </c>
    </row>
    <row r="3986" spans="1:9" ht="13.5">
      <c r="A3986" s="128">
        <v>2004</v>
      </c>
      <c r="B3986" s="128" t="s">
        <v>138</v>
      </c>
      <c r="C3986" s="128" t="s">
        <v>23</v>
      </c>
      <c r="D3986" s="128" t="s">
        <v>79</v>
      </c>
      <c r="E3986" s="128" t="s">
        <v>135</v>
      </c>
      <c r="F3986" s="128">
        <v>701574</v>
      </c>
      <c r="G3986" s="128">
        <v>198459</v>
      </c>
      <c r="H3986" s="128">
        <v>71555</v>
      </c>
      <c r="I3986" s="128">
        <v>2216</v>
      </c>
    </row>
    <row r="3987" spans="1:9" ht="13.5">
      <c r="A3987" s="128">
        <v>2004</v>
      </c>
      <c r="B3987" s="128" t="s">
        <v>138</v>
      </c>
      <c r="C3987" s="128" t="s">
        <v>23</v>
      </c>
      <c r="D3987" s="128" t="s">
        <v>79</v>
      </c>
      <c r="E3987" s="128" t="s">
        <v>136</v>
      </c>
      <c r="F3987" s="128">
        <v>2499163</v>
      </c>
      <c r="G3987" s="128">
        <v>1890976</v>
      </c>
      <c r="H3987" s="128">
        <v>608135</v>
      </c>
      <c r="I3987" s="128">
        <v>48185</v>
      </c>
    </row>
    <row r="3988" spans="1:9" ht="13.5">
      <c r="A3988" s="128">
        <v>2004</v>
      </c>
      <c r="B3988" s="128" t="s">
        <v>138</v>
      </c>
      <c r="C3988" s="128" t="s">
        <v>23</v>
      </c>
      <c r="D3988" s="128" t="s">
        <v>76</v>
      </c>
      <c r="E3988" s="128" t="s">
        <v>132</v>
      </c>
      <c r="F3988" s="128">
        <v>9221154</v>
      </c>
      <c r="G3988" s="128">
        <v>5948894</v>
      </c>
      <c r="H3988" s="128">
        <v>3272264</v>
      </c>
      <c r="I3988" s="128">
        <v>145327</v>
      </c>
    </row>
    <row r="3989" spans="1:9" ht="13.5">
      <c r="A3989" s="128">
        <v>2004</v>
      </c>
      <c r="B3989" s="128" t="s">
        <v>138</v>
      </c>
      <c r="C3989" s="128" t="s">
        <v>23</v>
      </c>
      <c r="D3989" s="128" t="s">
        <v>76</v>
      </c>
      <c r="E3989" s="128" t="s">
        <v>133</v>
      </c>
      <c r="F3989" s="128">
        <v>15278514</v>
      </c>
      <c r="G3989" s="128">
        <v>8293210</v>
      </c>
      <c r="H3989" s="128">
        <v>6985303</v>
      </c>
      <c r="I3989" s="128">
        <v>55665</v>
      </c>
    </row>
    <row r="3990" spans="1:9" ht="13.5">
      <c r="A3990" s="128">
        <v>2004</v>
      </c>
      <c r="B3990" s="128" t="s">
        <v>138</v>
      </c>
      <c r="C3990" s="128" t="s">
        <v>23</v>
      </c>
      <c r="D3990" s="128" t="s">
        <v>76</v>
      </c>
      <c r="E3990" s="128" t="s">
        <v>134</v>
      </c>
      <c r="F3990" s="128">
        <v>12809792</v>
      </c>
      <c r="G3990" s="128">
        <v>5895527</v>
      </c>
      <c r="H3990" s="128">
        <v>6914268</v>
      </c>
      <c r="I3990" s="128">
        <v>78680</v>
      </c>
    </row>
    <row r="3991" spans="1:9" ht="13.5">
      <c r="A3991" s="128">
        <v>2004</v>
      </c>
      <c r="B3991" s="128" t="s">
        <v>138</v>
      </c>
      <c r="C3991" s="128" t="s">
        <v>23</v>
      </c>
      <c r="D3991" s="128" t="s">
        <v>76</v>
      </c>
      <c r="E3991" s="128" t="s">
        <v>135</v>
      </c>
      <c r="F3991" s="128">
        <v>1248964</v>
      </c>
      <c r="G3991" s="128">
        <v>313073</v>
      </c>
      <c r="H3991" s="128">
        <v>935890</v>
      </c>
      <c r="I3991" s="128">
        <v>1194</v>
      </c>
    </row>
    <row r="3992" spans="1:9" ht="13.5">
      <c r="A3992" s="128">
        <v>2004</v>
      </c>
      <c r="B3992" s="128" t="s">
        <v>138</v>
      </c>
      <c r="C3992" s="128" t="s">
        <v>23</v>
      </c>
      <c r="D3992" s="128" t="s">
        <v>76</v>
      </c>
      <c r="E3992" s="128" t="s">
        <v>136</v>
      </c>
      <c r="F3992" s="128">
        <v>1590007</v>
      </c>
      <c r="G3992" s="128">
        <v>1197803</v>
      </c>
      <c r="H3992" s="128">
        <v>392213</v>
      </c>
      <c r="I3992" s="128">
        <v>19332</v>
      </c>
    </row>
    <row r="3993" spans="1:9" ht="13.5">
      <c r="A3993" s="128">
        <v>2004</v>
      </c>
      <c r="B3993" s="128" t="s">
        <v>138</v>
      </c>
      <c r="C3993" s="128" t="s">
        <v>25</v>
      </c>
      <c r="D3993" s="128" t="s">
        <v>77</v>
      </c>
      <c r="E3993" s="128" t="s">
        <v>132</v>
      </c>
      <c r="F3993" s="128">
        <v>29015</v>
      </c>
      <c r="G3993" s="128">
        <v>18782</v>
      </c>
      <c r="H3993" s="128">
        <v>7314</v>
      </c>
      <c r="I3993" s="128">
        <v>191</v>
      </c>
    </row>
    <row r="3994" spans="1:9" ht="13.5">
      <c r="A3994" s="128">
        <v>2004</v>
      </c>
      <c r="B3994" s="128" t="s">
        <v>138</v>
      </c>
      <c r="C3994" s="128" t="s">
        <v>25</v>
      </c>
      <c r="D3994" s="128" t="s">
        <v>77</v>
      </c>
      <c r="E3994" s="128" t="s">
        <v>133</v>
      </c>
      <c r="F3994" s="128">
        <v>88041</v>
      </c>
      <c r="G3994" s="128">
        <v>47737</v>
      </c>
      <c r="H3994" s="128">
        <v>32928</v>
      </c>
      <c r="I3994" s="128">
        <v>303</v>
      </c>
    </row>
    <row r="3995" spans="1:9" ht="13.5">
      <c r="A3995" s="128">
        <v>2004</v>
      </c>
      <c r="B3995" s="128" t="s">
        <v>138</v>
      </c>
      <c r="C3995" s="128" t="s">
        <v>25</v>
      </c>
      <c r="D3995" s="128" t="s">
        <v>77</v>
      </c>
      <c r="E3995" s="128" t="s">
        <v>134</v>
      </c>
      <c r="F3995" s="128">
        <v>287924</v>
      </c>
      <c r="G3995" s="128">
        <v>121465</v>
      </c>
      <c r="H3995" s="128">
        <v>119600</v>
      </c>
      <c r="I3995" s="128">
        <v>940</v>
      </c>
    </row>
    <row r="3996" spans="1:9" ht="13.5">
      <c r="A3996" s="128">
        <v>2004</v>
      </c>
      <c r="B3996" s="128" t="s">
        <v>138</v>
      </c>
      <c r="C3996" s="128" t="s">
        <v>25</v>
      </c>
      <c r="D3996" s="128" t="s">
        <v>77</v>
      </c>
      <c r="E3996" s="128" t="s">
        <v>135</v>
      </c>
      <c r="F3996" s="128">
        <v>350233</v>
      </c>
      <c r="G3996" s="128">
        <v>100827</v>
      </c>
      <c r="H3996" s="128">
        <v>118640</v>
      </c>
      <c r="I3996" s="128">
        <v>1256</v>
      </c>
    </row>
    <row r="3997" spans="1:9" ht="13.5">
      <c r="A3997" s="128">
        <v>2004</v>
      </c>
      <c r="B3997" s="128" t="s">
        <v>138</v>
      </c>
      <c r="C3997" s="128" t="s">
        <v>25</v>
      </c>
      <c r="D3997" s="128" t="s">
        <v>79</v>
      </c>
      <c r="E3997" s="128" t="s">
        <v>132</v>
      </c>
      <c r="F3997" s="128">
        <v>295652</v>
      </c>
      <c r="G3997" s="128">
        <v>194041</v>
      </c>
      <c r="H3997" s="128">
        <v>64444</v>
      </c>
      <c r="I3997" s="128">
        <v>2198</v>
      </c>
    </row>
    <row r="3998" spans="1:9" ht="13.5">
      <c r="A3998" s="128">
        <v>2004</v>
      </c>
      <c r="B3998" s="128" t="s">
        <v>138</v>
      </c>
      <c r="C3998" s="128" t="s">
        <v>25</v>
      </c>
      <c r="D3998" s="128" t="s">
        <v>79</v>
      </c>
      <c r="E3998" s="128" t="s">
        <v>133</v>
      </c>
      <c r="F3998" s="128">
        <v>388098</v>
      </c>
      <c r="G3998" s="128">
        <v>210881</v>
      </c>
      <c r="H3998" s="128">
        <v>71193</v>
      </c>
      <c r="I3998" s="128">
        <v>2325</v>
      </c>
    </row>
    <row r="3999" spans="1:9" ht="13.5">
      <c r="A3999" s="128">
        <v>2004</v>
      </c>
      <c r="B3999" s="128" t="s">
        <v>138</v>
      </c>
      <c r="C3999" s="128" t="s">
        <v>25</v>
      </c>
      <c r="D3999" s="128" t="s">
        <v>79</v>
      </c>
      <c r="E3999" s="128" t="s">
        <v>134</v>
      </c>
      <c r="F3999" s="128">
        <v>616327</v>
      </c>
      <c r="G3999" s="128">
        <v>263663</v>
      </c>
      <c r="H3999" s="128">
        <v>87977</v>
      </c>
      <c r="I3999" s="128">
        <v>3066</v>
      </c>
    </row>
    <row r="4000" spans="1:9" ht="13.5">
      <c r="A4000" s="128">
        <v>2004</v>
      </c>
      <c r="B4000" s="128" t="s">
        <v>138</v>
      </c>
      <c r="C4000" s="128" t="s">
        <v>25</v>
      </c>
      <c r="D4000" s="128" t="s">
        <v>79</v>
      </c>
      <c r="E4000" s="128" t="s">
        <v>135</v>
      </c>
      <c r="F4000" s="128">
        <v>1132139</v>
      </c>
      <c r="G4000" s="128">
        <v>307891</v>
      </c>
      <c r="H4000" s="128">
        <v>102920</v>
      </c>
      <c r="I4000" s="128">
        <v>2903</v>
      </c>
    </row>
    <row r="4001" spans="1:9" ht="13.5">
      <c r="A4001" s="128">
        <v>2004</v>
      </c>
      <c r="B4001" s="128" t="s">
        <v>138</v>
      </c>
      <c r="C4001" s="128" t="s">
        <v>25</v>
      </c>
      <c r="D4001" s="128" t="s">
        <v>79</v>
      </c>
      <c r="E4001" s="128" t="s">
        <v>136</v>
      </c>
      <c r="F4001" s="128">
        <v>1242451</v>
      </c>
      <c r="G4001" s="128">
        <v>949693</v>
      </c>
      <c r="H4001" s="128">
        <v>292758</v>
      </c>
      <c r="I4001" s="128">
        <v>19614</v>
      </c>
    </row>
    <row r="4002" spans="1:9" ht="13.5">
      <c r="A4002" s="128">
        <v>2004</v>
      </c>
      <c r="B4002" s="128" t="s">
        <v>138</v>
      </c>
      <c r="C4002" s="128" t="s">
        <v>25</v>
      </c>
      <c r="D4002" s="128" t="s">
        <v>76</v>
      </c>
      <c r="E4002" s="128" t="s">
        <v>132</v>
      </c>
      <c r="F4002" s="128">
        <v>2247599</v>
      </c>
      <c r="G4002" s="128">
        <v>1461036</v>
      </c>
      <c r="H4002" s="128">
        <v>786561</v>
      </c>
      <c r="I4002" s="128">
        <v>31848</v>
      </c>
    </row>
    <row r="4003" spans="1:9" ht="13.5">
      <c r="A4003" s="128">
        <v>2004</v>
      </c>
      <c r="B4003" s="128" t="s">
        <v>138</v>
      </c>
      <c r="C4003" s="128" t="s">
        <v>25</v>
      </c>
      <c r="D4003" s="128" t="s">
        <v>76</v>
      </c>
      <c r="E4003" s="128" t="s">
        <v>133</v>
      </c>
      <c r="F4003" s="128">
        <v>3639642</v>
      </c>
      <c r="G4003" s="128">
        <v>1998813</v>
      </c>
      <c r="H4003" s="128">
        <v>1640831</v>
      </c>
      <c r="I4003" s="128">
        <v>14718</v>
      </c>
    </row>
    <row r="4004" spans="1:9" ht="13.5">
      <c r="A4004" s="128">
        <v>2004</v>
      </c>
      <c r="B4004" s="128" t="s">
        <v>138</v>
      </c>
      <c r="C4004" s="128" t="s">
        <v>25</v>
      </c>
      <c r="D4004" s="128" t="s">
        <v>76</v>
      </c>
      <c r="E4004" s="128" t="s">
        <v>134</v>
      </c>
      <c r="F4004" s="128">
        <v>2768304</v>
      </c>
      <c r="G4004" s="128">
        <v>1292519</v>
      </c>
      <c r="H4004" s="128">
        <v>1475786</v>
      </c>
      <c r="I4004" s="128">
        <v>18845</v>
      </c>
    </row>
    <row r="4005" spans="1:9" ht="13.5">
      <c r="A4005" s="128">
        <v>2004</v>
      </c>
      <c r="B4005" s="128" t="s">
        <v>138</v>
      </c>
      <c r="C4005" s="128" t="s">
        <v>25</v>
      </c>
      <c r="D4005" s="128" t="s">
        <v>76</v>
      </c>
      <c r="E4005" s="128" t="s">
        <v>135</v>
      </c>
      <c r="F4005" s="128">
        <v>356610</v>
      </c>
      <c r="G4005" s="128">
        <v>102960</v>
      </c>
      <c r="H4005" s="128">
        <v>253650</v>
      </c>
      <c r="I4005" s="128">
        <v>388</v>
      </c>
    </row>
    <row r="4006" spans="1:9" ht="13.5">
      <c r="A4006" s="128">
        <v>2004</v>
      </c>
      <c r="B4006" s="128" t="s">
        <v>138</v>
      </c>
      <c r="C4006" s="128" t="s">
        <v>25</v>
      </c>
      <c r="D4006" s="128" t="s">
        <v>76</v>
      </c>
      <c r="E4006" s="128" t="s">
        <v>136</v>
      </c>
      <c r="F4006" s="128">
        <v>130283</v>
      </c>
      <c r="G4006" s="128">
        <v>98357</v>
      </c>
      <c r="H4006" s="128">
        <v>31924</v>
      </c>
      <c r="I4006" s="128">
        <v>1449</v>
      </c>
    </row>
    <row r="4007" spans="1:9" ht="13.5">
      <c r="A4007" s="128">
        <v>2004</v>
      </c>
      <c r="B4007" s="128" t="s">
        <v>138</v>
      </c>
      <c r="C4007" s="128" t="s">
        <v>21</v>
      </c>
      <c r="D4007" s="128" t="s">
        <v>77</v>
      </c>
      <c r="E4007" s="128" t="s">
        <v>132</v>
      </c>
      <c r="F4007" s="128">
        <v>1457349</v>
      </c>
      <c r="G4007" s="128">
        <v>954931</v>
      </c>
      <c r="H4007" s="128">
        <v>423195</v>
      </c>
      <c r="I4007" s="128">
        <v>8077</v>
      </c>
    </row>
    <row r="4008" spans="1:9" ht="13.5">
      <c r="A4008" s="128">
        <v>2004</v>
      </c>
      <c r="B4008" s="128" t="s">
        <v>138</v>
      </c>
      <c r="C4008" s="128" t="s">
        <v>21</v>
      </c>
      <c r="D4008" s="128" t="s">
        <v>77</v>
      </c>
      <c r="E4008" s="128" t="s">
        <v>133</v>
      </c>
      <c r="F4008" s="128">
        <v>3145143</v>
      </c>
      <c r="G4008" s="128">
        <v>1707230</v>
      </c>
      <c r="H4008" s="128">
        <v>1113481</v>
      </c>
      <c r="I4008" s="128">
        <v>12624</v>
      </c>
    </row>
    <row r="4009" spans="1:9" ht="13.5">
      <c r="A4009" s="128">
        <v>2004</v>
      </c>
      <c r="B4009" s="128" t="s">
        <v>138</v>
      </c>
      <c r="C4009" s="128" t="s">
        <v>21</v>
      </c>
      <c r="D4009" s="128" t="s">
        <v>77</v>
      </c>
      <c r="E4009" s="128" t="s">
        <v>134</v>
      </c>
      <c r="F4009" s="128">
        <v>6223806</v>
      </c>
      <c r="G4009" s="128">
        <v>2694330</v>
      </c>
      <c r="H4009" s="128">
        <v>2298699</v>
      </c>
      <c r="I4009" s="128">
        <v>29208</v>
      </c>
    </row>
    <row r="4010" spans="1:9" ht="13.5">
      <c r="A4010" s="128">
        <v>2004</v>
      </c>
      <c r="B4010" s="128" t="s">
        <v>138</v>
      </c>
      <c r="C4010" s="128" t="s">
        <v>21</v>
      </c>
      <c r="D4010" s="128" t="s">
        <v>77</v>
      </c>
      <c r="E4010" s="128" t="s">
        <v>135</v>
      </c>
      <c r="F4010" s="128">
        <v>4899531</v>
      </c>
      <c r="G4010" s="128">
        <v>1424588</v>
      </c>
      <c r="H4010" s="128">
        <v>1435069</v>
      </c>
      <c r="I4010" s="128">
        <v>15798</v>
      </c>
    </row>
    <row r="4011" spans="1:9" ht="13.5">
      <c r="A4011" s="128">
        <v>2004</v>
      </c>
      <c r="B4011" s="128" t="s">
        <v>138</v>
      </c>
      <c r="C4011" s="128" t="s">
        <v>21</v>
      </c>
      <c r="D4011" s="128" t="s">
        <v>79</v>
      </c>
      <c r="E4011" s="128" t="s">
        <v>132</v>
      </c>
      <c r="F4011" s="128">
        <v>3351498</v>
      </c>
      <c r="G4011" s="128">
        <v>2217641</v>
      </c>
      <c r="H4011" s="128">
        <v>727512</v>
      </c>
      <c r="I4011" s="128">
        <v>25063</v>
      </c>
    </row>
    <row r="4012" spans="1:9" ht="13.5">
      <c r="A4012" s="128">
        <v>2004</v>
      </c>
      <c r="B4012" s="128" t="s">
        <v>138</v>
      </c>
      <c r="C4012" s="128" t="s">
        <v>21</v>
      </c>
      <c r="D4012" s="128" t="s">
        <v>79</v>
      </c>
      <c r="E4012" s="128" t="s">
        <v>133</v>
      </c>
      <c r="F4012" s="128">
        <v>3478832</v>
      </c>
      <c r="G4012" s="128">
        <v>1899739</v>
      </c>
      <c r="H4012" s="128">
        <v>654068</v>
      </c>
      <c r="I4012" s="128">
        <v>21369</v>
      </c>
    </row>
    <row r="4013" spans="1:9" ht="13.5">
      <c r="A4013" s="128">
        <v>2004</v>
      </c>
      <c r="B4013" s="128" t="s">
        <v>138</v>
      </c>
      <c r="C4013" s="128" t="s">
        <v>21</v>
      </c>
      <c r="D4013" s="128" t="s">
        <v>79</v>
      </c>
      <c r="E4013" s="128" t="s">
        <v>134</v>
      </c>
      <c r="F4013" s="128">
        <v>7716266</v>
      </c>
      <c r="G4013" s="128">
        <v>3323996</v>
      </c>
      <c r="H4013" s="128">
        <v>1109241</v>
      </c>
      <c r="I4013" s="128">
        <v>53965</v>
      </c>
    </row>
    <row r="4014" spans="1:9" ht="13.5">
      <c r="A4014" s="128">
        <v>2004</v>
      </c>
      <c r="B4014" s="128" t="s">
        <v>138</v>
      </c>
      <c r="C4014" s="128" t="s">
        <v>21</v>
      </c>
      <c r="D4014" s="128" t="s">
        <v>79</v>
      </c>
      <c r="E4014" s="128" t="s">
        <v>135</v>
      </c>
      <c r="F4014" s="128">
        <v>8241807</v>
      </c>
      <c r="G4014" s="128">
        <v>2258882</v>
      </c>
      <c r="H4014" s="128">
        <v>793410</v>
      </c>
      <c r="I4014" s="128">
        <v>21854</v>
      </c>
    </row>
    <row r="4015" spans="1:9" ht="13.5">
      <c r="A4015" s="128">
        <v>2004</v>
      </c>
      <c r="B4015" s="128" t="s">
        <v>138</v>
      </c>
      <c r="C4015" s="128" t="s">
        <v>21</v>
      </c>
      <c r="D4015" s="128" t="s">
        <v>79</v>
      </c>
      <c r="E4015" s="128" t="s">
        <v>136</v>
      </c>
      <c r="F4015" s="128">
        <v>11848160</v>
      </c>
      <c r="G4015" s="128">
        <v>8962820</v>
      </c>
      <c r="H4015" s="128">
        <v>2885174</v>
      </c>
      <c r="I4015" s="128">
        <v>170993</v>
      </c>
    </row>
    <row r="4016" spans="1:9" ht="13.5">
      <c r="A4016" s="128">
        <v>2004</v>
      </c>
      <c r="B4016" s="128" t="s">
        <v>138</v>
      </c>
      <c r="C4016" s="128" t="s">
        <v>21</v>
      </c>
      <c r="D4016" s="128" t="s">
        <v>76</v>
      </c>
      <c r="E4016" s="128" t="s">
        <v>132</v>
      </c>
      <c r="F4016" s="128">
        <v>19781918</v>
      </c>
      <c r="G4016" s="128">
        <v>12733233</v>
      </c>
      <c r="H4016" s="128">
        <v>7048690</v>
      </c>
      <c r="I4016" s="128">
        <v>236221</v>
      </c>
    </row>
    <row r="4017" spans="1:9" ht="13.5">
      <c r="A4017" s="128">
        <v>2004</v>
      </c>
      <c r="B4017" s="128" t="s">
        <v>138</v>
      </c>
      <c r="C4017" s="128" t="s">
        <v>21</v>
      </c>
      <c r="D4017" s="128" t="s">
        <v>76</v>
      </c>
      <c r="E4017" s="128" t="s">
        <v>133</v>
      </c>
      <c r="F4017" s="128">
        <v>50886371</v>
      </c>
      <c r="G4017" s="128">
        <v>28239801</v>
      </c>
      <c r="H4017" s="128">
        <v>22646571</v>
      </c>
      <c r="I4017" s="128">
        <v>332973</v>
      </c>
    </row>
    <row r="4018" spans="1:9" ht="13.5">
      <c r="A4018" s="128">
        <v>2004</v>
      </c>
      <c r="B4018" s="128" t="s">
        <v>138</v>
      </c>
      <c r="C4018" s="128" t="s">
        <v>21</v>
      </c>
      <c r="D4018" s="128" t="s">
        <v>76</v>
      </c>
      <c r="E4018" s="128" t="s">
        <v>134</v>
      </c>
      <c r="F4018" s="128">
        <v>27205213</v>
      </c>
      <c r="G4018" s="128">
        <v>12632787</v>
      </c>
      <c r="H4018" s="128">
        <v>14572424</v>
      </c>
      <c r="I4018" s="128">
        <v>209335</v>
      </c>
    </row>
    <row r="4019" spans="1:9" ht="13.5">
      <c r="A4019" s="128">
        <v>2004</v>
      </c>
      <c r="B4019" s="128" t="s">
        <v>138</v>
      </c>
      <c r="C4019" s="128" t="s">
        <v>21</v>
      </c>
      <c r="D4019" s="128" t="s">
        <v>76</v>
      </c>
      <c r="E4019" s="128" t="s">
        <v>135</v>
      </c>
      <c r="F4019" s="128">
        <v>2367483</v>
      </c>
      <c r="G4019" s="128">
        <v>686054</v>
      </c>
      <c r="H4019" s="128">
        <v>1681430</v>
      </c>
      <c r="I4019" s="128">
        <v>2361</v>
      </c>
    </row>
    <row r="4020" spans="1:9" ht="13.5">
      <c r="A4020" s="128">
        <v>2004</v>
      </c>
      <c r="B4020" s="128" t="s">
        <v>138</v>
      </c>
      <c r="C4020" s="128" t="s">
        <v>21</v>
      </c>
      <c r="D4020" s="128" t="s">
        <v>76</v>
      </c>
      <c r="E4020" s="128" t="s">
        <v>136</v>
      </c>
      <c r="F4020" s="128">
        <v>3557111</v>
      </c>
      <c r="G4020" s="128">
        <v>2691812</v>
      </c>
      <c r="H4020" s="128">
        <v>865307</v>
      </c>
      <c r="I4020" s="128">
        <v>57512</v>
      </c>
    </row>
    <row r="4021" spans="1:9" ht="13.5">
      <c r="A4021" s="128">
        <v>2004</v>
      </c>
      <c r="B4021" s="128" t="s">
        <v>138</v>
      </c>
      <c r="C4021" s="128" t="s">
        <v>24</v>
      </c>
      <c r="D4021" s="128" t="s">
        <v>77</v>
      </c>
      <c r="E4021" s="128" t="s">
        <v>132</v>
      </c>
      <c r="F4021" s="128">
        <v>446190</v>
      </c>
      <c r="G4021" s="128">
        <v>279049</v>
      </c>
      <c r="H4021" s="128">
        <v>155722</v>
      </c>
      <c r="I4021" s="128">
        <v>3783</v>
      </c>
    </row>
    <row r="4022" spans="1:9" ht="13.5">
      <c r="A4022" s="128">
        <v>2004</v>
      </c>
      <c r="B4022" s="128" t="s">
        <v>138</v>
      </c>
      <c r="C4022" s="128" t="s">
        <v>24</v>
      </c>
      <c r="D4022" s="128" t="s">
        <v>77</v>
      </c>
      <c r="E4022" s="128" t="s">
        <v>133</v>
      </c>
      <c r="F4022" s="128">
        <v>2224935</v>
      </c>
      <c r="G4022" s="128">
        <v>1191574</v>
      </c>
      <c r="H4022" s="128">
        <v>742409</v>
      </c>
      <c r="I4022" s="128">
        <v>7068</v>
      </c>
    </row>
    <row r="4023" spans="1:9" ht="13.5">
      <c r="A4023" s="128">
        <v>2004</v>
      </c>
      <c r="B4023" s="128" t="s">
        <v>138</v>
      </c>
      <c r="C4023" s="128" t="s">
        <v>24</v>
      </c>
      <c r="D4023" s="128" t="s">
        <v>77</v>
      </c>
      <c r="E4023" s="128" t="s">
        <v>134</v>
      </c>
      <c r="F4023" s="128">
        <v>4946734</v>
      </c>
      <c r="G4023" s="128">
        <v>2174136</v>
      </c>
      <c r="H4023" s="128">
        <v>1506734</v>
      </c>
      <c r="I4023" s="128">
        <v>27946</v>
      </c>
    </row>
    <row r="4024" spans="1:9" ht="13.5">
      <c r="A4024" s="128">
        <v>2004</v>
      </c>
      <c r="B4024" s="128" t="s">
        <v>138</v>
      </c>
      <c r="C4024" s="128" t="s">
        <v>24</v>
      </c>
      <c r="D4024" s="128" t="s">
        <v>77</v>
      </c>
      <c r="E4024" s="128" t="s">
        <v>135</v>
      </c>
      <c r="F4024" s="128">
        <v>4238886</v>
      </c>
      <c r="G4024" s="128">
        <v>1205988</v>
      </c>
      <c r="H4024" s="128">
        <v>914126</v>
      </c>
      <c r="I4024" s="128">
        <v>16915</v>
      </c>
    </row>
    <row r="4025" spans="1:9" ht="13.5">
      <c r="A4025" s="128">
        <v>2004</v>
      </c>
      <c r="B4025" s="128" t="s">
        <v>138</v>
      </c>
      <c r="C4025" s="128" t="s">
        <v>24</v>
      </c>
      <c r="D4025" s="128" t="s">
        <v>79</v>
      </c>
      <c r="E4025" s="128" t="s">
        <v>132</v>
      </c>
      <c r="F4025" s="128">
        <v>794325</v>
      </c>
      <c r="G4025" s="128">
        <v>516660</v>
      </c>
      <c r="H4025" s="128">
        <v>169421</v>
      </c>
      <c r="I4025" s="128">
        <v>4859</v>
      </c>
    </row>
    <row r="4026" spans="1:9" ht="13.5">
      <c r="A4026" s="128">
        <v>2004</v>
      </c>
      <c r="B4026" s="128" t="s">
        <v>138</v>
      </c>
      <c r="C4026" s="128" t="s">
        <v>24</v>
      </c>
      <c r="D4026" s="128" t="s">
        <v>79</v>
      </c>
      <c r="E4026" s="128" t="s">
        <v>133</v>
      </c>
      <c r="F4026" s="128">
        <v>1355781</v>
      </c>
      <c r="G4026" s="128">
        <v>748852</v>
      </c>
      <c r="H4026" s="128">
        <v>250308</v>
      </c>
      <c r="I4026" s="128">
        <v>14614</v>
      </c>
    </row>
    <row r="4027" spans="1:9" ht="13.5">
      <c r="A4027" s="128">
        <v>2004</v>
      </c>
      <c r="B4027" s="128" t="s">
        <v>138</v>
      </c>
      <c r="C4027" s="128" t="s">
        <v>24</v>
      </c>
      <c r="D4027" s="128" t="s">
        <v>79</v>
      </c>
      <c r="E4027" s="128" t="s">
        <v>134</v>
      </c>
      <c r="F4027" s="128">
        <v>1257107</v>
      </c>
      <c r="G4027" s="128">
        <v>550447</v>
      </c>
      <c r="H4027" s="128">
        <v>195385</v>
      </c>
      <c r="I4027" s="128">
        <v>7883</v>
      </c>
    </row>
    <row r="4028" spans="1:9" ht="13.5">
      <c r="A4028" s="128">
        <v>2004</v>
      </c>
      <c r="B4028" s="128" t="s">
        <v>138</v>
      </c>
      <c r="C4028" s="128" t="s">
        <v>24</v>
      </c>
      <c r="D4028" s="128" t="s">
        <v>79</v>
      </c>
      <c r="E4028" s="128" t="s">
        <v>135</v>
      </c>
      <c r="F4028" s="128">
        <v>1459221</v>
      </c>
      <c r="G4028" s="128">
        <v>383182</v>
      </c>
      <c r="H4028" s="128">
        <v>154354</v>
      </c>
      <c r="I4028" s="128">
        <v>3594</v>
      </c>
    </row>
    <row r="4029" spans="1:9" ht="13.5">
      <c r="A4029" s="128">
        <v>2004</v>
      </c>
      <c r="B4029" s="128" t="s">
        <v>138</v>
      </c>
      <c r="C4029" s="128" t="s">
        <v>24</v>
      </c>
      <c r="D4029" s="128" t="s">
        <v>79</v>
      </c>
      <c r="E4029" s="128" t="s">
        <v>136</v>
      </c>
      <c r="F4029" s="128">
        <v>1418080</v>
      </c>
      <c r="G4029" s="128">
        <v>1075105</v>
      </c>
      <c r="H4029" s="128">
        <v>342800</v>
      </c>
      <c r="I4029" s="128">
        <v>25562</v>
      </c>
    </row>
    <row r="4030" spans="1:9" ht="13.5">
      <c r="A4030" s="128">
        <v>2004</v>
      </c>
      <c r="B4030" s="128" t="s">
        <v>138</v>
      </c>
      <c r="C4030" s="128" t="s">
        <v>24</v>
      </c>
      <c r="D4030" s="128" t="s">
        <v>76</v>
      </c>
      <c r="E4030" s="128" t="s">
        <v>132</v>
      </c>
      <c r="F4030" s="128">
        <v>8618873</v>
      </c>
      <c r="G4030" s="128">
        <v>5472081</v>
      </c>
      <c r="H4030" s="128">
        <v>3146846</v>
      </c>
      <c r="I4030" s="128">
        <v>116039</v>
      </c>
    </row>
    <row r="4031" spans="1:9" ht="13.5">
      <c r="A4031" s="128">
        <v>2004</v>
      </c>
      <c r="B4031" s="128" t="s">
        <v>138</v>
      </c>
      <c r="C4031" s="128" t="s">
        <v>24</v>
      </c>
      <c r="D4031" s="128" t="s">
        <v>76</v>
      </c>
      <c r="E4031" s="128" t="s">
        <v>133</v>
      </c>
      <c r="F4031" s="128">
        <v>15254936</v>
      </c>
      <c r="G4031" s="128">
        <v>8394003</v>
      </c>
      <c r="H4031" s="128">
        <v>6860934</v>
      </c>
      <c r="I4031" s="128">
        <v>59974</v>
      </c>
    </row>
    <row r="4032" spans="1:9" ht="13.5">
      <c r="A4032" s="128">
        <v>2004</v>
      </c>
      <c r="B4032" s="128" t="s">
        <v>138</v>
      </c>
      <c r="C4032" s="128" t="s">
        <v>24</v>
      </c>
      <c r="D4032" s="128" t="s">
        <v>76</v>
      </c>
      <c r="E4032" s="128" t="s">
        <v>134</v>
      </c>
      <c r="F4032" s="128">
        <v>8080250</v>
      </c>
      <c r="G4032" s="128">
        <v>3811431</v>
      </c>
      <c r="H4032" s="128">
        <v>4268913</v>
      </c>
      <c r="I4032" s="128">
        <v>52661</v>
      </c>
    </row>
    <row r="4033" spans="1:9" ht="13.5">
      <c r="A4033" s="128">
        <v>2004</v>
      </c>
      <c r="B4033" s="128" t="s">
        <v>138</v>
      </c>
      <c r="C4033" s="128" t="s">
        <v>24</v>
      </c>
      <c r="D4033" s="128" t="s">
        <v>76</v>
      </c>
      <c r="E4033" s="128" t="s">
        <v>135</v>
      </c>
      <c r="F4033" s="128">
        <v>1957078</v>
      </c>
      <c r="G4033" s="128">
        <v>484938</v>
      </c>
      <c r="H4033" s="128">
        <v>1472140</v>
      </c>
      <c r="I4033" s="128">
        <v>1937</v>
      </c>
    </row>
    <row r="4034" spans="1:9" ht="13.5">
      <c r="A4034" s="128">
        <v>2004</v>
      </c>
      <c r="B4034" s="128" t="s">
        <v>138</v>
      </c>
      <c r="C4034" s="128" t="s">
        <v>24</v>
      </c>
      <c r="D4034" s="128" t="s">
        <v>76</v>
      </c>
      <c r="E4034" s="128" t="s">
        <v>136</v>
      </c>
      <c r="F4034" s="128">
        <v>1708380</v>
      </c>
      <c r="G4034" s="128">
        <v>1322315</v>
      </c>
      <c r="H4034" s="128">
        <v>385916</v>
      </c>
      <c r="I4034" s="128">
        <v>23696</v>
      </c>
    </row>
    <row r="4035" spans="1:9" ht="13.5">
      <c r="A4035" s="128">
        <v>2004</v>
      </c>
      <c r="B4035" s="128" t="s">
        <v>139</v>
      </c>
      <c r="C4035" s="128" t="s">
        <v>26</v>
      </c>
      <c r="D4035" s="128" t="s">
        <v>77</v>
      </c>
      <c r="E4035" s="128" t="s">
        <v>132</v>
      </c>
      <c r="F4035" s="128">
        <v>0</v>
      </c>
      <c r="G4035" s="128">
        <v>0</v>
      </c>
      <c r="H4035" s="128">
        <v>0</v>
      </c>
      <c r="I4035" s="128">
        <v>0</v>
      </c>
    </row>
    <row r="4036" spans="1:9" ht="13.5">
      <c r="A4036" s="128">
        <v>2004</v>
      </c>
      <c r="B4036" s="128" t="s">
        <v>139</v>
      </c>
      <c r="C4036" s="128" t="s">
        <v>26</v>
      </c>
      <c r="D4036" s="128" t="s">
        <v>77</v>
      </c>
      <c r="E4036" s="128" t="s">
        <v>133</v>
      </c>
      <c r="F4036" s="128">
        <v>0</v>
      </c>
      <c r="G4036" s="128">
        <v>0</v>
      </c>
      <c r="H4036" s="128">
        <v>0</v>
      </c>
      <c r="I4036" s="128">
        <v>0</v>
      </c>
    </row>
    <row r="4037" spans="1:9" ht="13.5">
      <c r="A4037" s="128">
        <v>2004</v>
      </c>
      <c r="B4037" s="128" t="s">
        <v>139</v>
      </c>
      <c r="C4037" s="128" t="s">
        <v>26</v>
      </c>
      <c r="D4037" s="128" t="s">
        <v>77</v>
      </c>
      <c r="E4037" s="128" t="s">
        <v>134</v>
      </c>
      <c r="F4037" s="128">
        <v>0</v>
      </c>
      <c r="G4037" s="128">
        <v>0</v>
      </c>
      <c r="H4037" s="128">
        <v>0</v>
      </c>
      <c r="I4037" s="128">
        <v>0</v>
      </c>
    </row>
    <row r="4038" spans="1:9" ht="13.5">
      <c r="A4038" s="128">
        <v>2004</v>
      </c>
      <c r="B4038" s="128" t="s">
        <v>139</v>
      </c>
      <c r="C4038" s="128" t="s">
        <v>26</v>
      </c>
      <c r="D4038" s="128" t="s">
        <v>77</v>
      </c>
      <c r="E4038" s="128" t="s">
        <v>135</v>
      </c>
      <c r="F4038" s="128">
        <v>0</v>
      </c>
      <c r="G4038" s="128">
        <v>0</v>
      </c>
      <c r="H4038" s="128">
        <v>0</v>
      </c>
      <c r="I4038" s="128">
        <v>0</v>
      </c>
    </row>
    <row r="4039" spans="1:9" ht="13.5">
      <c r="A4039" s="128">
        <v>2004</v>
      </c>
      <c r="B4039" s="128" t="s">
        <v>139</v>
      </c>
      <c r="C4039" s="128" t="s">
        <v>26</v>
      </c>
      <c r="D4039" s="128" t="s">
        <v>79</v>
      </c>
      <c r="E4039" s="128" t="s">
        <v>132</v>
      </c>
      <c r="F4039" s="128">
        <v>0</v>
      </c>
      <c r="G4039" s="128">
        <v>0</v>
      </c>
      <c r="H4039" s="128">
        <v>0</v>
      </c>
      <c r="I4039" s="128">
        <v>0</v>
      </c>
    </row>
    <row r="4040" spans="1:9" ht="13.5">
      <c r="A4040" s="128">
        <v>2004</v>
      </c>
      <c r="B4040" s="128" t="s">
        <v>139</v>
      </c>
      <c r="C4040" s="128" t="s">
        <v>26</v>
      </c>
      <c r="D4040" s="128" t="s">
        <v>79</v>
      </c>
      <c r="E4040" s="128" t="s">
        <v>133</v>
      </c>
      <c r="F4040" s="128">
        <v>0</v>
      </c>
      <c r="G4040" s="128">
        <v>0</v>
      </c>
      <c r="H4040" s="128">
        <v>0</v>
      </c>
      <c r="I4040" s="128">
        <v>0</v>
      </c>
    </row>
    <row r="4041" spans="1:9" ht="13.5">
      <c r="A4041" s="128">
        <v>2004</v>
      </c>
      <c r="B4041" s="128" t="s">
        <v>139</v>
      </c>
      <c r="C4041" s="128" t="s">
        <v>26</v>
      </c>
      <c r="D4041" s="128" t="s">
        <v>79</v>
      </c>
      <c r="E4041" s="128" t="s">
        <v>134</v>
      </c>
      <c r="F4041" s="128">
        <v>0</v>
      </c>
      <c r="G4041" s="128">
        <v>0</v>
      </c>
      <c r="H4041" s="128">
        <v>0</v>
      </c>
      <c r="I4041" s="128">
        <v>0</v>
      </c>
    </row>
    <row r="4042" spans="1:9" ht="13.5">
      <c r="A4042" s="128">
        <v>2004</v>
      </c>
      <c r="B4042" s="128" t="s">
        <v>139</v>
      </c>
      <c r="C4042" s="128" t="s">
        <v>26</v>
      </c>
      <c r="D4042" s="128" t="s">
        <v>79</v>
      </c>
      <c r="E4042" s="128" t="s">
        <v>135</v>
      </c>
      <c r="F4042" s="128">
        <v>0</v>
      </c>
      <c r="G4042" s="128">
        <v>0</v>
      </c>
      <c r="H4042" s="128">
        <v>0</v>
      </c>
      <c r="I4042" s="128">
        <v>0</v>
      </c>
    </row>
    <row r="4043" spans="1:9" ht="13.5">
      <c r="A4043" s="128">
        <v>2004</v>
      </c>
      <c r="B4043" s="128" t="s">
        <v>139</v>
      </c>
      <c r="C4043" s="128" t="s">
        <v>26</v>
      </c>
      <c r="D4043" s="128" t="s">
        <v>79</v>
      </c>
      <c r="E4043" s="128" t="s">
        <v>136</v>
      </c>
      <c r="F4043" s="128">
        <v>0</v>
      </c>
      <c r="G4043" s="128">
        <v>0</v>
      </c>
      <c r="H4043" s="128">
        <v>0</v>
      </c>
      <c r="I4043" s="128">
        <v>0</v>
      </c>
    </row>
    <row r="4044" spans="1:9" ht="13.5">
      <c r="A4044" s="128">
        <v>2004</v>
      </c>
      <c r="B4044" s="128" t="s">
        <v>139</v>
      </c>
      <c r="C4044" s="128" t="s">
        <v>26</v>
      </c>
      <c r="D4044" s="128" t="s">
        <v>76</v>
      </c>
      <c r="E4044" s="128" t="s">
        <v>132</v>
      </c>
      <c r="F4044" s="128">
        <v>0</v>
      </c>
      <c r="G4044" s="128">
        <v>0</v>
      </c>
      <c r="H4044" s="128">
        <v>0</v>
      </c>
      <c r="I4044" s="128">
        <v>0</v>
      </c>
    </row>
    <row r="4045" spans="1:9" ht="13.5">
      <c r="A4045" s="128">
        <v>2004</v>
      </c>
      <c r="B4045" s="128" t="s">
        <v>139</v>
      </c>
      <c r="C4045" s="128" t="s">
        <v>26</v>
      </c>
      <c r="D4045" s="128" t="s">
        <v>76</v>
      </c>
      <c r="E4045" s="128" t="s">
        <v>133</v>
      </c>
      <c r="F4045" s="128">
        <v>0</v>
      </c>
      <c r="G4045" s="128">
        <v>0</v>
      </c>
      <c r="H4045" s="128">
        <v>0</v>
      </c>
      <c r="I4045" s="128">
        <v>0</v>
      </c>
    </row>
    <row r="4046" spans="1:9" ht="13.5">
      <c r="A4046" s="128">
        <v>2004</v>
      </c>
      <c r="B4046" s="128" t="s">
        <v>139</v>
      </c>
      <c r="C4046" s="128" t="s">
        <v>26</v>
      </c>
      <c r="D4046" s="128" t="s">
        <v>76</v>
      </c>
      <c r="E4046" s="128" t="s">
        <v>134</v>
      </c>
      <c r="F4046" s="128">
        <v>0</v>
      </c>
      <c r="G4046" s="128">
        <v>0</v>
      </c>
      <c r="H4046" s="128">
        <v>0</v>
      </c>
      <c r="I4046" s="128">
        <v>0</v>
      </c>
    </row>
    <row r="4047" spans="1:9" ht="13.5">
      <c r="A4047" s="128">
        <v>2004</v>
      </c>
      <c r="B4047" s="128" t="s">
        <v>139</v>
      </c>
      <c r="C4047" s="128" t="s">
        <v>26</v>
      </c>
      <c r="D4047" s="128" t="s">
        <v>76</v>
      </c>
      <c r="E4047" s="128" t="s">
        <v>135</v>
      </c>
      <c r="F4047" s="128">
        <v>0</v>
      </c>
      <c r="G4047" s="128">
        <v>0</v>
      </c>
      <c r="H4047" s="128">
        <v>0</v>
      </c>
      <c r="I4047" s="128">
        <v>0</v>
      </c>
    </row>
    <row r="4048" spans="1:9" ht="13.5">
      <c r="A4048" s="128">
        <v>2004</v>
      </c>
      <c r="B4048" s="128" t="s">
        <v>139</v>
      </c>
      <c r="C4048" s="128" t="s">
        <v>26</v>
      </c>
      <c r="D4048" s="128" t="s">
        <v>76</v>
      </c>
      <c r="E4048" s="128" t="s">
        <v>136</v>
      </c>
      <c r="F4048" s="128">
        <v>0</v>
      </c>
      <c r="G4048" s="128">
        <v>0</v>
      </c>
      <c r="H4048" s="128">
        <v>0</v>
      </c>
      <c r="I4048" s="128">
        <v>0</v>
      </c>
    </row>
    <row r="4049" spans="1:9" ht="13.5">
      <c r="A4049" s="128">
        <v>2004</v>
      </c>
      <c r="B4049" s="128" t="s">
        <v>139</v>
      </c>
      <c r="C4049" s="128" t="s">
        <v>20</v>
      </c>
      <c r="D4049" s="128" t="s">
        <v>77</v>
      </c>
      <c r="E4049" s="128" t="s">
        <v>132</v>
      </c>
      <c r="F4049" s="128">
        <v>870431</v>
      </c>
      <c r="G4049" s="128">
        <v>569031</v>
      </c>
      <c r="H4049" s="128">
        <v>249488</v>
      </c>
      <c r="I4049" s="128">
        <v>6572</v>
      </c>
    </row>
    <row r="4050" spans="1:9" ht="13.5">
      <c r="A4050" s="128">
        <v>2004</v>
      </c>
      <c r="B4050" s="128" t="s">
        <v>139</v>
      </c>
      <c r="C4050" s="128" t="s">
        <v>20</v>
      </c>
      <c r="D4050" s="128" t="s">
        <v>77</v>
      </c>
      <c r="E4050" s="128" t="s">
        <v>133</v>
      </c>
      <c r="F4050" s="128">
        <v>1492115</v>
      </c>
      <c r="G4050" s="128">
        <v>814701</v>
      </c>
      <c r="H4050" s="128">
        <v>511282</v>
      </c>
      <c r="I4050" s="128">
        <v>9910</v>
      </c>
    </row>
    <row r="4051" spans="1:9" ht="13.5">
      <c r="A4051" s="128">
        <v>2004</v>
      </c>
      <c r="B4051" s="128" t="s">
        <v>139</v>
      </c>
      <c r="C4051" s="128" t="s">
        <v>20</v>
      </c>
      <c r="D4051" s="128" t="s">
        <v>77</v>
      </c>
      <c r="E4051" s="128" t="s">
        <v>134</v>
      </c>
      <c r="F4051" s="128">
        <v>2663711</v>
      </c>
      <c r="G4051" s="128">
        <v>1149535</v>
      </c>
      <c r="H4051" s="128">
        <v>975834</v>
      </c>
      <c r="I4051" s="128">
        <v>10542</v>
      </c>
    </row>
    <row r="4052" spans="1:9" ht="13.5">
      <c r="A4052" s="128">
        <v>2004</v>
      </c>
      <c r="B4052" s="128" t="s">
        <v>139</v>
      </c>
      <c r="C4052" s="128" t="s">
        <v>20</v>
      </c>
      <c r="D4052" s="128" t="s">
        <v>77</v>
      </c>
      <c r="E4052" s="128" t="s">
        <v>135</v>
      </c>
      <c r="F4052" s="128">
        <v>3144217</v>
      </c>
      <c r="G4052" s="128">
        <v>899152</v>
      </c>
      <c r="H4052" s="128">
        <v>812959</v>
      </c>
      <c r="I4052" s="128">
        <v>9759</v>
      </c>
    </row>
    <row r="4053" spans="1:9" ht="13.5">
      <c r="A4053" s="128">
        <v>2004</v>
      </c>
      <c r="B4053" s="128" t="s">
        <v>139</v>
      </c>
      <c r="C4053" s="128" t="s">
        <v>20</v>
      </c>
      <c r="D4053" s="128" t="s">
        <v>79</v>
      </c>
      <c r="E4053" s="128" t="s">
        <v>132</v>
      </c>
      <c r="F4053" s="128">
        <v>4399471</v>
      </c>
      <c r="G4053" s="128">
        <v>2917233</v>
      </c>
      <c r="H4053" s="128">
        <v>990968</v>
      </c>
      <c r="I4053" s="128">
        <v>34734</v>
      </c>
    </row>
    <row r="4054" spans="1:9" ht="13.5">
      <c r="A4054" s="128">
        <v>2004</v>
      </c>
      <c r="B4054" s="128" t="s">
        <v>139</v>
      </c>
      <c r="C4054" s="128" t="s">
        <v>20</v>
      </c>
      <c r="D4054" s="128" t="s">
        <v>79</v>
      </c>
      <c r="E4054" s="128" t="s">
        <v>133</v>
      </c>
      <c r="F4054" s="128">
        <v>6021143</v>
      </c>
      <c r="G4054" s="128">
        <v>3285096</v>
      </c>
      <c r="H4054" s="128">
        <v>1177085</v>
      </c>
      <c r="I4054" s="128">
        <v>41294</v>
      </c>
    </row>
    <row r="4055" spans="1:9" ht="13.5">
      <c r="A4055" s="128">
        <v>2004</v>
      </c>
      <c r="B4055" s="128" t="s">
        <v>139</v>
      </c>
      <c r="C4055" s="128" t="s">
        <v>20</v>
      </c>
      <c r="D4055" s="128" t="s">
        <v>79</v>
      </c>
      <c r="E4055" s="128" t="s">
        <v>134</v>
      </c>
      <c r="F4055" s="128">
        <v>18569330</v>
      </c>
      <c r="G4055" s="128">
        <v>7914071</v>
      </c>
      <c r="H4055" s="128">
        <v>2768834</v>
      </c>
      <c r="I4055" s="128">
        <v>79649</v>
      </c>
    </row>
    <row r="4056" spans="1:9" ht="13.5">
      <c r="A4056" s="128">
        <v>2004</v>
      </c>
      <c r="B4056" s="128" t="s">
        <v>139</v>
      </c>
      <c r="C4056" s="128" t="s">
        <v>20</v>
      </c>
      <c r="D4056" s="128" t="s">
        <v>79</v>
      </c>
      <c r="E4056" s="128" t="s">
        <v>135</v>
      </c>
      <c r="F4056" s="128">
        <v>46187769</v>
      </c>
      <c r="G4056" s="128">
        <v>12758128</v>
      </c>
      <c r="H4056" s="128">
        <v>4533631</v>
      </c>
      <c r="I4056" s="128">
        <v>107430</v>
      </c>
    </row>
    <row r="4057" spans="1:9" ht="13.5">
      <c r="A4057" s="128">
        <v>2004</v>
      </c>
      <c r="B4057" s="128" t="s">
        <v>139</v>
      </c>
      <c r="C4057" s="128" t="s">
        <v>20</v>
      </c>
      <c r="D4057" s="128" t="s">
        <v>79</v>
      </c>
      <c r="E4057" s="128" t="s">
        <v>136</v>
      </c>
      <c r="F4057" s="128">
        <v>19991457</v>
      </c>
      <c r="G4057" s="128">
        <v>15130782</v>
      </c>
      <c r="H4057" s="128">
        <v>4859792</v>
      </c>
      <c r="I4057" s="128">
        <v>344118</v>
      </c>
    </row>
    <row r="4058" spans="1:9" ht="13.5">
      <c r="A4058" s="128">
        <v>2004</v>
      </c>
      <c r="B4058" s="128" t="s">
        <v>139</v>
      </c>
      <c r="C4058" s="128" t="s">
        <v>20</v>
      </c>
      <c r="D4058" s="128" t="s">
        <v>76</v>
      </c>
      <c r="E4058" s="128" t="s">
        <v>132</v>
      </c>
      <c r="F4058" s="128">
        <v>22746558</v>
      </c>
      <c r="G4058" s="128">
        <v>14574026</v>
      </c>
      <c r="H4058" s="128">
        <v>8172532</v>
      </c>
      <c r="I4058" s="128">
        <v>297669</v>
      </c>
    </row>
    <row r="4059" spans="1:9" ht="13.5">
      <c r="A4059" s="128">
        <v>2004</v>
      </c>
      <c r="B4059" s="128" t="s">
        <v>139</v>
      </c>
      <c r="C4059" s="128" t="s">
        <v>20</v>
      </c>
      <c r="D4059" s="128" t="s">
        <v>76</v>
      </c>
      <c r="E4059" s="128" t="s">
        <v>133</v>
      </c>
      <c r="F4059" s="128">
        <v>31599144</v>
      </c>
      <c r="G4059" s="128">
        <v>17426923</v>
      </c>
      <c r="H4059" s="128">
        <v>14172221</v>
      </c>
      <c r="I4059" s="128">
        <v>144251</v>
      </c>
    </row>
    <row r="4060" spans="1:9" ht="13.5">
      <c r="A4060" s="128">
        <v>2004</v>
      </c>
      <c r="B4060" s="128" t="s">
        <v>139</v>
      </c>
      <c r="C4060" s="128" t="s">
        <v>20</v>
      </c>
      <c r="D4060" s="128" t="s">
        <v>76</v>
      </c>
      <c r="E4060" s="128" t="s">
        <v>134</v>
      </c>
      <c r="F4060" s="128">
        <v>23335663</v>
      </c>
      <c r="G4060" s="128">
        <v>10956453</v>
      </c>
      <c r="H4060" s="128">
        <v>12379211</v>
      </c>
      <c r="I4060" s="128">
        <v>162882</v>
      </c>
    </row>
    <row r="4061" spans="1:9" ht="13.5">
      <c r="A4061" s="128">
        <v>2004</v>
      </c>
      <c r="B4061" s="128" t="s">
        <v>139</v>
      </c>
      <c r="C4061" s="128" t="s">
        <v>20</v>
      </c>
      <c r="D4061" s="128" t="s">
        <v>76</v>
      </c>
      <c r="E4061" s="128" t="s">
        <v>135</v>
      </c>
      <c r="F4061" s="128">
        <v>4016109</v>
      </c>
      <c r="G4061" s="128">
        <v>1083181</v>
      </c>
      <c r="H4061" s="128">
        <v>2932924</v>
      </c>
      <c r="I4061" s="128">
        <v>4427</v>
      </c>
    </row>
    <row r="4062" spans="1:9" ht="13.5">
      <c r="A4062" s="128">
        <v>2004</v>
      </c>
      <c r="B4062" s="128" t="s">
        <v>139</v>
      </c>
      <c r="C4062" s="128" t="s">
        <v>20</v>
      </c>
      <c r="D4062" s="128" t="s">
        <v>76</v>
      </c>
      <c r="E4062" s="128" t="s">
        <v>136</v>
      </c>
      <c r="F4062" s="128">
        <v>3545477</v>
      </c>
      <c r="G4062" s="128">
        <v>2672334</v>
      </c>
      <c r="H4062" s="128">
        <v>873160</v>
      </c>
      <c r="I4062" s="128">
        <v>74521</v>
      </c>
    </row>
    <row r="4063" spans="1:9" ht="13.5">
      <c r="A4063" s="128">
        <v>2004</v>
      </c>
      <c r="B4063" s="128" t="s">
        <v>139</v>
      </c>
      <c r="C4063" s="128" t="s">
        <v>27</v>
      </c>
      <c r="D4063" s="128" t="s">
        <v>77</v>
      </c>
      <c r="E4063" s="128" t="s">
        <v>132</v>
      </c>
      <c r="F4063" s="128">
        <v>8209</v>
      </c>
      <c r="G4063" s="128">
        <v>5293</v>
      </c>
      <c r="H4063" s="128">
        <v>2431</v>
      </c>
      <c r="I4063" s="128">
        <v>49</v>
      </c>
    </row>
    <row r="4064" spans="1:9" ht="13.5">
      <c r="A4064" s="128">
        <v>2004</v>
      </c>
      <c r="B4064" s="128" t="s">
        <v>139</v>
      </c>
      <c r="C4064" s="128" t="s">
        <v>27</v>
      </c>
      <c r="D4064" s="128" t="s">
        <v>77</v>
      </c>
      <c r="E4064" s="128" t="s">
        <v>133</v>
      </c>
      <c r="F4064" s="128">
        <v>19518</v>
      </c>
      <c r="G4064" s="128">
        <v>10622</v>
      </c>
      <c r="H4064" s="128">
        <v>7637</v>
      </c>
      <c r="I4064" s="128">
        <v>72</v>
      </c>
    </row>
    <row r="4065" spans="1:9" ht="13.5">
      <c r="A4065" s="128">
        <v>2004</v>
      </c>
      <c r="B4065" s="128" t="s">
        <v>139</v>
      </c>
      <c r="C4065" s="128" t="s">
        <v>27</v>
      </c>
      <c r="D4065" s="128" t="s">
        <v>77</v>
      </c>
      <c r="E4065" s="128" t="s">
        <v>134</v>
      </c>
      <c r="F4065" s="128">
        <v>56577</v>
      </c>
      <c r="G4065" s="128">
        <v>24220</v>
      </c>
      <c r="H4065" s="128">
        <v>20393</v>
      </c>
      <c r="I4065" s="128">
        <v>141</v>
      </c>
    </row>
    <row r="4066" spans="1:9" ht="13.5">
      <c r="A4066" s="128">
        <v>2004</v>
      </c>
      <c r="B4066" s="128" t="s">
        <v>139</v>
      </c>
      <c r="C4066" s="128" t="s">
        <v>27</v>
      </c>
      <c r="D4066" s="128" t="s">
        <v>77</v>
      </c>
      <c r="E4066" s="128" t="s">
        <v>135</v>
      </c>
      <c r="F4066" s="128">
        <v>86738</v>
      </c>
      <c r="G4066" s="128">
        <v>21701</v>
      </c>
      <c r="H4066" s="128">
        <v>29198</v>
      </c>
      <c r="I4066" s="128">
        <v>125</v>
      </c>
    </row>
    <row r="4067" spans="1:9" ht="13.5">
      <c r="A4067" s="128">
        <v>2004</v>
      </c>
      <c r="B4067" s="128" t="s">
        <v>139</v>
      </c>
      <c r="C4067" s="128" t="s">
        <v>27</v>
      </c>
      <c r="D4067" s="128" t="s">
        <v>79</v>
      </c>
      <c r="E4067" s="128" t="s">
        <v>132</v>
      </c>
      <c r="F4067" s="128">
        <v>51035</v>
      </c>
      <c r="G4067" s="128">
        <v>34543</v>
      </c>
      <c r="H4067" s="128">
        <v>11382</v>
      </c>
      <c r="I4067" s="128">
        <v>337</v>
      </c>
    </row>
    <row r="4068" spans="1:9" ht="13.5">
      <c r="A4068" s="128">
        <v>2004</v>
      </c>
      <c r="B4068" s="128" t="s">
        <v>139</v>
      </c>
      <c r="C4068" s="128" t="s">
        <v>27</v>
      </c>
      <c r="D4068" s="128" t="s">
        <v>79</v>
      </c>
      <c r="E4068" s="128" t="s">
        <v>133</v>
      </c>
      <c r="F4068" s="128">
        <v>79173</v>
      </c>
      <c r="G4068" s="128">
        <v>43723</v>
      </c>
      <c r="H4068" s="128">
        <v>14793</v>
      </c>
      <c r="I4068" s="128">
        <v>407</v>
      </c>
    </row>
    <row r="4069" spans="1:9" ht="13.5">
      <c r="A4069" s="128">
        <v>2004</v>
      </c>
      <c r="B4069" s="128" t="s">
        <v>139</v>
      </c>
      <c r="C4069" s="128" t="s">
        <v>27</v>
      </c>
      <c r="D4069" s="128" t="s">
        <v>79</v>
      </c>
      <c r="E4069" s="128" t="s">
        <v>134</v>
      </c>
      <c r="F4069" s="128">
        <v>207576</v>
      </c>
      <c r="G4069" s="128">
        <v>87279</v>
      </c>
      <c r="H4069" s="128">
        <v>28584</v>
      </c>
      <c r="I4069" s="128">
        <v>925</v>
      </c>
    </row>
    <row r="4070" spans="1:9" ht="13.5">
      <c r="A4070" s="128">
        <v>2004</v>
      </c>
      <c r="B4070" s="128" t="s">
        <v>139</v>
      </c>
      <c r="C4070" s="128" t="s">
        <v>27</v>
      </c>
      <c r="D4070" s="128" t="s">
        <v>79</v>
      </c>
      <c r="E4070" s="128" t="s">
        <v>135</v>
      </c>
      <c r="F4070" s="128">
        <v>414931</v>
      </c>
      <c r="G4070" s="128">
        <v>124655</v>
      </c>
      <c r="H4070" s="128">
        <v>40743</v>
      </c>
      <c r="I4070" s="128">
        <v>1034</v>
      </c>
    </row>
    <row r="4071" spans="1:9" ht="13.5">
      <c r="A4071" s="128">
        <v>2004</v>
      </c>
      <c r="B4071" s="128" t="s">
        <v>139</v>
      </c>
      <c r="C4071" s="128" t="s">
        <v>27</v>
      </c>
      <c r="D4071" s="128" t="s">
        <v>79</v>
      </c>
      <c r="E4071" s="128" t="s">
        <v>136</v>
      </c>
      <c r="F4071" s="128">
        <v>126203</v>
      </c>
      <c r="G4071" s="128">
        <v>96261</v>
      </c>
      <c r="H4071" s="128">
        <v>29940</v>
      </c>
      <c r="I4071" s="128">
        <v>1953</v>
      </c>
    </row>
    <row r="4072" spans="1:9" ht="13.5">
      <c r="A4072" s="128">
        <v>2004</v>
      </c>
      <c r="B4072" s="128" t="s">
        <v>139</v>
      </c>
      <c r="C4072" s="128" t="s">
        <v>27</v>
      </c>
      <c r="D4072" s="128" t="s">
        <v>76</v>
      </c>
      <c r="E4072" s="128" t="s">
        <v>132</v>
      </c>
      <c r="F4072" s="128">
        <v>285118</v>
      </c>
      <c r="G4072" s="128">
        <v>182771</v>
      </c>
      <c r="H4072" s="128">
        <v>102347</v>
      </c>
      <c r="I4072" s="128">
        <v>4004</v>
      </c>
    </row>
    <row r="4073" spans="1:9" ht="13.5">
      <c r="A4073" s="128">
        <v>2004</v>
      </c>
      <c r="B4073" s="128" t="s">
        <v>139</v>
      </c>
      <c r="C4073" s="128" t="s">
        <v>27</v>
      </c>
      <c r="D4073" s="128" t="s">
        <v>76</v>
      </c>
      <c r="E4073" s="128" t="s">
        <v>133</v>
      </c>
      <c r="F4073" s="128">
        <v>723689</v>
      </c>
      <c r="G4073" s="128">
        <v>398339</v>
      </c>
      <c r="H4073" s="128">
        <v>325353</v>
      </c>
      <c r="I4073" s="128">
        <v>3380</v>
      </c>
    </row>
    <row r="4074" spans="1:9" ht="13.5">
      <c r="A4074" s="128">
        <v>2004</v>
      </c>
      <c r="B4074" s="128" t="s">
        <v>139</v>
      </c>
      <c r="C4074" s="128" t="s">
        <v>27</v>
      </c>
      <c r="D4074" s="128" t="s">
        <v>76</v>
      </c>
      <c r="E4074" s="128" t="s">
        <v>134</v>
      </c>
      <c r="F4074" s="128">
        <v>399047</v>
      </c>
      <c r="G4074" s="128">
        <v>187043</v>
      </c>
      <c r="H4074" s="128">
        <v>212004</v>
      </c>
      <c r="I4074" s="128">
        <v>2790</v>
      </c>
    </row>
    <row r="4075" spans="1:9" ht="13.5">
      <c r="A4075" s="128">
        <v>2004</v>
      </c>
      <c r="B4075" s="128" t="s">
        <v>139</v>
      </c>
      <c r="C4075" s="128" t="s">
        <v>27</v>
      </c>
      <c r="D4075" s="128" t="s">
        <v>76</v>
      </c>
      <c r="E4075" s="128" t="s">
        <v>135</v>
      </c>
      <c r="F4075" s="128">
        <v>95892</v>
      </c>
      <c r="G4075" s="128">
        <v>27724</v>
      </c>
      <c r="H4075" s="128">
        <v>68169</v>
      </c>
      <c r="I4075" s="128">
        <v>91</v>
      </c>
    </row>
    <row r="4076" spans="1:9" ht="13.5">
      <c r="A4076" s="128">
        <v>2004</v>
      </c>
      <c r="B4076" s="128" t="s">
        <v>139</v>
      </c>
      <c r="C4076" s="128" t="s">
        <v>27</v>
      </c>
      <c r="D4076" s="128" t="s">
        <v>76</v>
      </c>
      <c r="E4076" s="128" t="s">
        <v>136</v>
      </c>
      <c r="F4076" s="128">
        <v>27733</v>
      </c>
      <c r="G4076" s="128">
        <v>20968</v>
      </c>
      <c r="H4076" s="128">
        <v>6767</v>
      </c>
      <c r="I4076" s="128">
        <v>413</v>
      </c>
    </row>
    <row r="4077" spans="1:9" ht="13.5">
      <c r="A4077" s="128">
        <v>2004</v>
      </c>
      <c r="B4077" s="128" t="s">
        <v>139</v>
      </c>
      <c r="C4077" s="128" t="s">
        <v>22</v>
      </c>
      <c r="D4077" s="128" t="s">
        <v>77</v>
      </c>
      <c r="E4077" s="128" t="s">
        <v>132</v>
      </c>
      <c r="F4077" s="128">
        <v>443807</v>
      </c>
      <c r="G4077" s="128">
        <v>293797</v>
      </c>
      <c r="H4077" s="128">
        <v>115018</v>
      </c>
      <c r="I4077" s="128">
        <v>4136</v>
      </c>
    </row>
    <row r="4078" spans="1:9" ht="13.5">
      <c r="A4078" s="128">
        <v>2004</v>
      </c>
      <c r="B4078" s="128" t="s">
        <v>139</v>
      </c>
      <c r="C4078" s="128" t="s">
        <v>22</v>
      </c>
      <c r="D4078" s="128" t="s">
        <v>77</v>
      </c>
      <c r="E4078" s="128" t="s">
        <v>133</v>
      </c>
      <c r="F4078" s="128">
        <v>1287852</v>
      </c>
      <c r="G4078" s="128">
        <v>700533</v>
      </c>
      <c r="H4078" s="128">
        <v>455347</v>
      </c>
      <c r="I4078" s="128">
        <v>10226</v>
      </c>
    </row>
    <row r="4079" spans="1:9" ht="13.5">
      <c r="A4079" s="128">
        <v>2004</v>
      </c>
      <c r="B4079" s="128" t="s">
        <v>139</v>
      </c>
      <c r="C4079" s="128" t="s">
        <v>22</v>
      </c>
      <c r="D4079" s="128" t="s">
        <v>77</v>
      </c>
      <c r="E4079" s="128" t="s">
        <v>134</v>
      </c>
      <c r="F4079" s="128">
        <v>3512012</v>
      </c>
      <c r="G4079" s="128">
        <v>1478978</v>
      </c>
      <c r="H4079" s="128">
        <v>1337259</v>
      </c>
      <c r="I4079" s="128">
        <v>11813</v>
      </c>
    </row>
    <row r="4080" spans="1:9" ht="13.5">
      <c r="A4080" s="128">
        <v>2004</v>
      </c>
      <c r="B4080" s="128" t="s">
        <v>139</v>
      </c>
      <c r="C4080" s="128" t="s">
        <v>22</v>
      </c>
      <c r="D4080" s="128" t="s">
        <v>77</v>
      </c>
      <c r="E4080" s="128" t="s">
        <v>135</v>
      </c>
      <c r="F4080" s="128">
        <v>3576483</v>
      </c>
      <c r="G4080" s="128">
        <v>1024441</v>
      </c>
      <c r="H4080" s="128">
        <v>1097119</v>
      </c>
      <c r="I4080" s="128">
        <v>11983</v>
      </c>
    </row>
    <row r="4081" spans="1:9" ht="13.5">
      <c r="A4081" s="128">
        <v>2004</v>
      </c>
      <c r="B4081" s="128" t="s">
        <v>139</v>
      </c>
      <c r="C4081" s="128" t="s">
        <v>22</v>
      </c>
      <c r="D4081" s="128" t="s">
        <v>79</v>
      </c>
      <c r="E4081" s="128" t="s">
        <v>132</v>
      </c>
      <c r="F4081" s="128">
        <v>3490218</v>
      </c>
      <c r="G4081" s="128">
        <v>2325412</v>
      </c>
      <c r="H4081" s="128">
        <v>774303</v>
      </c>
      <c r="I4081" s="128">
        <v>22567</v>
      </c>
    </row>
    <row r="4082" spans="1:9" ht="13.5">
      <c r="A4082" s="128">
        <v>2004</v>
      </c>
      <c r="B4082" s="128" t="s">
        <v>139</v>
      </c>
      <c r="C4082" s="128" t="s">
        <v>22</v>
      </c>
      <c r="D4082" s="128" t="s">
        <v>79</v>
      </c>
      <c r="E4082" s="128" t="s">
        <v>133</v>
      </c>
      <c r="F4082" s="128">
        <v>5194614</v>
      </c>
      <c r="G4082" s="128">
        <v>2853169</v>
      </c>
      <c r="H4082" s="128">
        <v>999314</v>
      </c>
      <c r="I4082" s="128">
        <v>33047</v>
      </c>
    </row>
    <row r="4083" spans="1:9" ht="13.5">
      <c r="A4083" s="128">
        <v>2004</v>
      </c>
      <c r="B4083" s="128" t="s">
        <v>139</v>
      </c>
      <c r="C4083" s="128" t="s">
        <v>22</v>
      </c>
      <c r="D4083" s="128" t="s">
        <v>79</v>
      </c>
      <c r="E4083" s="128" t="s">
        <v>134</v>
      </c>
      <c r="F4083" s="128">
        <v>10354585</v>
      </c>
      <c r="G4083" s="128">
        <v>4423620</v>
      </c>
      <c r="H4083" s="128">
        <v>1546437</v>
      </c>
      <c r="I4083" s="128">
        <v>46651</v>
      </c>
    </row>
    <row r="4084" spans="1:9" ht="13.5">
      <c r="A4084" s="128">
        <v>2004</v>
      </c>
      <c r="B4084" s="128" t="s">
        <v>139</v>
      </c>
      <c r="C4084" s="128" t="s">
        <v>22</v>
      </c>
      <c r="D4084" s="128" t="s">
        <v>79</v>
      </c>
      <c r="E4084" s="128" t="s">
        <v>135</v>
      </c>
      <c r="F4084" s="128">
        <v>13034663</v>
      </c>
      <c r="G4084" s="128">
        <v>3860189</v>
      </c>
      <c r="H4084" s="128">
        <v>1295084</v>
      </c>
      <c r="I4084" s="128">
        <v>36937</v>
      </c>
    </row>
    <row r="4085" spans="1:9" ht="13.5">
      <c r="A4085" s="128">
        <v>2004</v>
      </c>
      <c r="B4085" s="128" t="s">
        <v>139</v>
      </c>
      <c r="C4085" s="128" t="s">
        <v>22</v>
      </c>
      <c r="D4085" s="128" t="s">
        <v>79</v>
      </c>
      <c r="E4085" s="128" t="s">
        <v>136</v>
      </c>
      <c r="F4085" s="128">
        <v>8729045</v>
      </c>
      <c r="G4085" s="128">
        <v>6642540</v>
      </c>
      <c r="H4085" s="128">
        <v>2086240</v>
      </c>
      <c r="I4085" s="128">
        <v>109982</v>
      </c>
    </row>
    <row r="4086" spans="1:9" ht="13.5">
      <c r="A4086" s="128">
        <v>2004</v>
      </c>
      <c r="B4086" s="128" t="s">
        <v>139</v>
      </c>
      <c r="C4086" s="128" t="s">
        <v>22</v>
      </c>
      <c r="D4086" s="128" t="s">
        <v>76</v>
      </c>
      <c r="E4086" s="128" t="s">
        <v>132</v>
      </c>
      <c r="F4086" s="128">
        <v>20630567</v>
      </c>
      <c r="G4086" s="128">
        <v>13402473</v>
      </c>
      <c r="H4086" s="128">
        <v>7227769</v>
      </c>
      <c r="I4086" s="128">
        <v>335779</v>
      </c>
    </row>
    <row r="4087" spans="1:9" ht="13.5">
      <c r="A4087" s="128">
        <v>2004</v>
      </c>
      <c r="B4087" s="128" t="s">
        <v>139</v>
      </c>
      <c r="C4087" s="128" t="s">
        <v>22</v>
      </c>
      <c r="D4087" s="128" t="s">
        <v>76</v>
      </c>
      <c r="E4087" s="128" t="s">
        <v>133</v>
      </c>
      <c r="F4087" s="128">
        <v>27551468</v>
      </c>
      <c r="G4087" s="128">
        <v>15288487</v>
      </c>
      <c r="H4087" s="128">
        <v>12262979</v>
      </c>
      <c r="I4087" s="128">
        <v>165672</v>
      </c>
    </row>
    <row r="4088" spans="1:9" ht="13.5">
      <c r="A4088" s="128">
        <v>2004</v>
      </c>
      <c r="B4088" s="128" t="s">
        <v>139</v>
      </c>
      <c r="C4088" s="128" t="s">
        <v>22</v>
      </c>
      <c r="D4088" s="128" t="s">
        <v>76</v>
      </c>
      <c r="E4088" s="128" t="s">
        <v>134</v>
      </c>
      <c r="F4088" s="128">
        <v>14472187</v>
      </c>
      <c r="G4088" s="128">
        <v>6866153</v>
      </c>
      <c r="H4088" s="128">
        <v>7606034</v>
      </c>
      <c r="I4088" s="128">
        <v>127271</v>
      </c>
    </row>
    <row r="4089" spans="1:9" ht="13.5">
      <c r="A4089" s="128">
        <v>2004</v>
      </c>
      <c r="B4089" s="128" t="s">
        <v>139</v>
      </c>
      <c r="C4089" s="128" t="s">
        <v>22</v>
      </c>
      <c r="D4089" s="128" t="s">
        <v>76</v>
      </c>
      <c r="E4089" s="128" t="s">
        <v>135</v>
      </c>
      <c r="F4089" s="128">
        <v>3008997</v>
      </c>
      <c r="G4089" s="128">
        <v>873074</v>
      </c>
      <c r="H4089" s="128">
        <v>2135926</v>
      </c>
      <c r="I4089" s="128">
        <v>3207</v>
      </c>
    </row>
    <row r="4090" spans="1:9" ht="13.5">
      <c r="A4090" s="128">
        <v>2004</v>
      </c>
      <c r="B4090" s="128" t="s">
        <v>139</v>
      </c>
      <c r="C4090" s="128" t="s">
        <v>22</v>
      </c>
      <c r="D4090" s="128" t="s">
        <v>76</v>
      </c>
      <c r="E4090" s="128" t="s">
        <v>136</v>
      </c>
      <c r="F4090" s="128">
        <v>1396162</v>
      </c>
      <c r="G4090" s="128">
        <v>1056365</v>
      </c>
      <c r="H4090" s="128">
        <v>340081</v>
      </c>
      <c r="I4090" s="128">
        <v>27178</v>
      </c>
    </row>
    <row r="4091" spans="1:9" ht="13.5">
      <c r="A4091" s="128">
        <v>2004</v>
      </c>
      <c r="B4091" s="128" t="s">
        <v>139</v>
      </c>
      <c r="C4091" s="128" t="s">
        <v>23</v>
      </c>
      <c r="D4091" s="128" t="s">
        <v>77</v>
      </c>
      <c r="E4091" s="128" t="s">
        <v>132</v>
      </c>
      <c r="F4091" s="128">
        <v>596347</v>
      </c>
      <c r="G4091" s="128">
        <v>389667</v>
      </c>
      <c r="H4091" s="128">
        <v>175904</v>
      </c>
      <c r="I4091" s="128">
        <v>4671</v>
      </c>
    </row>
    <row r="4092" spans="1:9" ht="13.5">
      <c r="A4092" s="128">
        <v>2004</v>
      </c>
      <c r="B4092" s="128" t="s">
        <v>139</v>
      </c>
      <c r="C4092" s="128" t="s">
        <v>23</v>
      </c>
      <c r="D4092" s="128" t="s">
        <v>77</v>
      </c>
      <c r="E4092" s="128" t="s">
        <v>133</v>
      </c>
      <c r="F4092" s="128">
        <v>570973</v>
      </c>
      <c r="G4092" s="128">
        <v>306708</v>
      </c>
      <c r="H4092" s="128">
        <v>204881</v>
      </c>
      <c r="I4092" s="128">
        <v>2854</v>
      </c>
    </row>
    <row r="4093" spans="1:9" ht="13.5">
      <c r="A4093" s="128">
        <v>2004</v>
      </c>
      <c r="B4093" s="128" t="s">
        <v>139</v>
      </c>
      <c r="C4093" s="128" t="s">
        <v>23</v>
      </c>
      <c r="D4093" s="128" t="s">
        <v>77</v>
      </c>
      <c r="E4093" s="128" t="s">
        <v>134</v>
      </c>
      <c r="F4093" s="128">
        <v>1007221</v>
      </c>
      <c r="G4093" s="128">
        <v>436841</v>
      </c>
      <c r="H4093" s="128">
        <v>398306</v>
      </c>
      <c r="I4093" s="128">
        <v>3982</v>
      </c>
    </row>
    <row r="4094" spans="1:9" ht="13.5">
      <c r="A4094" s="128">
        <v>2004</v>
      </c>
      <c r="B4094" s="128" t="s">
        <v>139</v>
      </c>
      <c r="C4094" s="128" t="s">
        <v>23</v>
      </c>
      <c r="D4094" s="128" t="s">
        <v>77</v>
      </c>
      <c r="E4094" s="128" t="s">
        <v>135</v>
      </c>
      <c r="F4094" s="128">
        <v>715071</v>
      </c>
      <c r="G4094" s="128">
        <v>187785</v>
      </c>
      <c r="H4094" s="128">
        <v>179825</v>
      </c>
      <c r="I4094" s="128">
        <v>1540</v>
      </c>
    </row>
    <row r="4095" spans="1:9" ht="13.5">
      <c r="A4095" s="128">
        <v>2004</v>
      </c>
      <c r="B4095" s="128" t="s">
        <v>139</v>
      </c>
      <c r="C4095" s="128" t="s">
        <v>23</v>
      </c>
      <c r="D4095" s="128" t="s">
        <v>79</v>
      </c>
      <c r="E4095" s="128" t="s">
        <v>132</v>
      </c>
      <c r="F4095" s="128">
        <v>462796</v>
      </c>
      <c r="G4095" s="128">
        <v>309786</v>
      </c>
      <c r="H4095" s="128">
        <v>104515</v>
      </c>
      <c r="I4095" s="128">
        <v>4945</v>
      </c>
    </row>
    <row r="4096" spans="1:9" ht="13.5">
      <c r="A4096" s="128">
        <v>2004</v>
      </c>
      <c r="B4096" s="128" t="s">
        <v>139</v>
      </c>
      <c r="C4096" s="128" t="s">
        <v>23</v>
      </c>
      <c r="D4096" s="128" t="s">
        <v>79</v>
      </c>
      <c r="E4096" s="128" t="s">
        <v>133</v>
      </c>
      <c r="F4096" s="128">
        <v>458287</v>
      </c>
      <c r="G4096" s="128">
        <v>250110</v>
      </c>
      <c r="H4096" s="128">
        <v>92153</v>
      </c>
      <c r="I4096" s="128">
        <v>3060</v>
      </c>
    </row>
    <row r="4097" spans="1:9" ht="13.5">
      <c r="A4097" s="128">
        <v>2004</v>
      </c>
      <c r="B4097" s="128" t="s">
        <v>139</v>
      </c>
      <c r="C4097" s="128" t="s">
        <v>23</v>
      </c>
      <c r="D4097" s="128" t="s">
        <v>79</v>
      </c>
      <c r="E4097" s="128" t="s">
        <v>134</v>
      </c>
      <c r="F4097" s="128">
        <v>498526</v>
      </c>
      <c r="G4097" s="128">
        <v>213737</v>
      </c>
      <c r="H4097" s="128">
        <v>77480</v>
      </c>
      <c r="I4097" s="128">
        <v>2552</v>
      </c>
    </row>
    <row r="4098" spans="1:9" ht="13.5">
      <c r="A4098" s="128">
        <v>2004</v>
      </c>
      <c r="B4098" s="128" t="s">
        <v>139</v>
      </c>
      <c r="C4098" s="128" t="s">
        <v>23</v>
      </c>
      <c r="D4098" s="128" t="s">
        <v>79</v>
      </c>
      <c r="E4098" s="128" t="s">
        <v>135</v>
      </c>
      <c r="F4098" s="128">
        <v>713006</v>
      </c>
      <c r="G4098" s="128">
        <v>207940</v>
      </c>
      <c r="H4098" s="128">
        <v>73722</v>
      </c>
      <c r="I4098" s="128">
        <v>2158</v>
      </c>
    </row>
    <row r="4099" spans="1:9" ht="13.5">
      <c r="A4099" s="128">
        <v>2004</v>
      </c>
      <c r="B4099" s="128" t="s">
        <v>139</v>
      </c>
      <c r="C4099" s="128" t="s">
        <v>23</v>
      </c>
      <c r="D4099" s="128" t="s">
        <v>79</v>
      </c>
      <c r="E4099" s="128" t="s">
        <v>136</v>
      </c>
      <c r="F4099" s="128">
        <v>2726901</v>
      </c>
      <c r="G4099" s="128">
        <v>2064868</v>
      </c>
      <c r="H4099" s="128">
        <v>662000</v>
      </c>
      <c r="I4099" s="128">
        <v>50859</v>
      </c>
    </row>
    <row r="4100" spans="1:9" ht="13.5">
      <c r="A4100" s="128">
        <v>2004</v>
      </c>
      <c r="B4100" s="128" t="s">
        <v>139</v>
      </c>
      <c r="C4100" s="128" t="s">
        <v>23</v>
      </c>
      <c r="D4100" s="128" t="s">
        <v>76</v>
      </c>
      <c r="E4100" s="128" t="s">
        <v>132</v>
      </c>
      <c r="F4100" s="128">
        <v>9360598</v>
      </c>
      <c r="G4100" s="128">
        <v>6065007</v>
      </c>
      <c r="H4100" s="128">
        <v>3295589</v>
      </c>
      <c r="I4100" s="128">
        <v>153940</v>
      </c>
    </row>
    <row r="4101" spans="1:9" ht="13.5">
      <c r="A4101" s="128">
        <v>2004</v>
      </c>
      <c r="B4101" s="128" t="s">
        <v>139</v>
      </c>
      <c r="C4101" s="128" t="s">
        <v>23</v>
      </c>
      <c r="D4101" s="128" t="s">
        <v>76</v>
      </c>
      <c r="E4101" s="128" t="s">
        <v>133</v>
      </c>
      <c r="F4101" s="128">
        <v>14641836</v>
      </c>
      <c r="G4101" s="128">
        <v>7942479</v>
      </c>
      <c r="H4101" s="128">
        <v>6699353</v>
      </c>
      <c r="I4101" s="128">
        <v>56351</v>
      </c>
    </row>
    <row r="4102" spans="1:9" ht="13.5">
      <c r="A4102" s="128">
        <v>2004</v>
      </c>
      <c r="B4102" s="128" t="s">
        <v>139</v>
      </c>
      <c r="C4102" s="128" t="s">
        <v>23</v>
      </c>
      <c r="D4102" s="128" t="s">
        <v>76</v>
      </c>
      <c r="E4102" s="128" t="s">
        <v>134</v>
      </c>
      <c r="F4102" s="128">
        <v>12592271</v>
      </c>
      <c r="G4102" s="128">
        <v>5786328</v>
      </c>
      <c r="H4102" s="128">
        <v>6805946</v>
      </c>
      <c r="I4102" s="128">
        <v>80068</v>
      </c>
    </row>
    <row r="4103" spans="1:9" ht="13.5">
      <c r="A4103" s="128">
        <v>2004</v>
      </c>
      <c r="B4103" s="128" t="s">
        <v>139</v>
      </c>
      <c r="C4103" s="128" t="s">
        <v>23</v>
      </c>
      <c r="D4103" s="128" t="s">
        <v>76</v>
      </c>
      <c r="E4103" s="128" t="s">
        <v>135</v>
      </c>
      <c r="F4103" s="128">
        <v>1186644</v>
      </c>
      <c r="G4103" s="128">
        <v>308404</v>
      </c>
      <c r="H4103" s="128">
        <v>878238</v>
      </c>
      <c r="I4103" s="128">
        <v>1103</v>
      </c>
    </row>
    <row r="4104" spans="1:9" ht="13.5">
      <c r="A4104" s="128">
        <v>2004</v>
      </c>
      <c r="B4104" s="128" t="s">
        <v>139</v>
      </c>
      <c r="C4104" s="128" t="s">
        <v>23</v>
      </c>
      <c r="D4104" s="128" t="s">
        <v>76</v>
      </c>
      <c r="E4104" s="128" t="s">
        <v>136</v>
      </c>
      <c r="F4104" s="128">
        <v>1458146</v>
      </c>
      <c r="G4104" s="128">
        <v>1100961</v>
      </c>
      <c r="H4104" s="128">
        <v>357184</v>
      </c>
      <c r="I4104" s="128">
        <v>14636</v>
      </c>
    </row>
    <row r="4105" spans="1:9" ht="13.5">
      <c r="A4105" s="128">
        <v>2004</v>
      </c>
      <c r="B4105" s="128" t="s">
        <v>139</v>
      </c>
      <c r="C4105" s="128" t="s">
        <v>25</v>
      </c>
      <c r="D4105" s="128" t="s">
        <v>77</v>
      </c>
      <c r="E4105" s="128" t="s">
        <v>132</v>
      </c>
      <c r="F4105" s="128">
        <v>26535</v>
      </c>
      <c r="G4105" s="128">
        <v>17402</v>
      </c>
      <c r="H4105" s="128">
        <v>7996</v>
      </c>
      <c r="I4105" s="128">
        <v>175</v>
      </c>
    </row>
    <row r="4106" spans="1:9" ht="13.5">
      <c r="A4106" s="128">
        <v>2004</v>
      </c>
      <c r="B4106" s="128" t="s">
        <v>139</v>
      </c>
      <c r="C4106" s="128" t="s">
        <v>25</v>
      </c>
      <c r="D4106" s="128" t="s">
        <v>77</v>
      </c>
      <c r="E4106" s="128" t="s">
        <v>133</v>
      </c>
      <c r="F4106" s="128">
        <v>101298</v>
      </c>
      <c r="G4106" s="128">
        <v>55041</v>
      </c>
      <c r="H4106" s="128">
        <v>38564</v>
      </c>
      <c r="I4106" s="128">
        <v>334</v>
      </c>
    </row>
    <row r="4107" spans="1:9" ht="13.5">
      <c r="A4107" s="128">
        <v>2004</v>
      </c>
      <c r="B4107" s="128" t="s">
        <v>139</v>
      </c>
      <c r="C4107" s="128" t="s">
        <v>25</v>
      </c>
      <c r="D4107" s="128" t="s">
        <v>77</v>
      </c>
      <c r="E4107" s="128" t="s">
        <v>134</v>
      </c>
      <c r="F4107" s="128">
        <v>227543</v>
      </c>
      <c r="G4107" s="128">
        <v>98306</v>
      </c>
      <c r="H4107" s="128">
        <v>90428</v>
      </c>
      <c r="I4107" s="128">
        <v>820</v>
      </c>
    </row>
    <row r="4108" spans="1:9" ht="13.5">
      <c r="A4108" s="128">
        <v>2004</v>
      </c>
      <c r="B4108" s="128" t="s">
        <v>139</v>
      </c>
      <c r="C4108" s="128" t="s">
        <v>25</v>
      </c>
      <c r="D4108" s="128" t="s">
        <v>77</v>
      </c>
      <c r="E4108" s="128" t="s">
        <v>135</v>
      </c>
      <c r="F4108" s="128">
        <v>264300</v>
      </c>
      <c r="G4108" s="128">
        <v>75112</v>
      </c>
      <c r="H4108" s="128">
        <v>82493</v>
      </c>
      <c r="I4108" s="128">
        <v>820</v>
      </c>
    </row>
    <row r="4109" spans="1:9" ht="13.5">
      <c r="A4109" s="128">
        <v>2004</v>
      </c>
      <c r="B4109" s="128" t="s">
        <v>139</v>
      </c>
      <c r="C4109" s="128" t="s">
        <v>25</v>
      </c>
      <c r="D4109" s="128" t="s">
        <v>79</v>
      </c>
      <c r="E4109" s="128" t="s">
        <v>132</v>
      </c>
      <c r="F4109" s="128">
        <v>359707</v>
      </c>
      <c r="G4109" s="128">
        <v>239241</v>
      </c>
      <c r="H4109" s="128">
        <v>79406</v>
      </c>
      <c r="I4109" s="128">
        <v>2542</v>
      </c>
    </row>
    <row r="4110" spans="1:9" ht="13.5">
      <c r="A4110" s="128">
        <v>2004</v>
      </c>
      <c r="B4110" s="128" t="s">
        <v>139</v>
      </c>
      <c r="C4110" s="128" t="s">
        <v>25</v>
      </c>
      <c r="D4110" s="128" t="s">
        <v>79</v>
      </c>
      <c r="E4110" s="128" t="s">
        <v>133</v>
      </c>
      <c r="F4110" s="128">
        <v>344277</v>
      </c>
      <c r="G4110" s="128">
        <v>186360</v>
      </c>
      <c r="H4110" s="128">
        <v>62962</v>
      </c>
      <c r="I4110" s="128">
        <v>1976</v>
      </c>
    </row>
    <row r="4111" spans="1:9" ht="13.5">
      <c r="A4111" s="128">
        <v>2004</v>
      </c>
      <c r="B4111" s="128" t="s">
        <v>139</v>
      </c>
      <c r="C4111" s="128" t="s">
        <v>25</v>
      </c>
      <c r="D4111" s="128" t="s">
        <v>79</v>
      </c>
      <c r="E4111" s="128" t="s">
        <v>134</v>
      </c>
      <c r="F4111" s="128">
        <v>623849</v>
      </c>
      <c r="G4111" s="128">
        <v>267557</v>
      </c>
      <c r="H4111" s="128">
        <v>88431</v>
      </c>
      <c r="I4111" s="128">
        <v>3253</v>
      </c>
    </row>
    <row r="4112" spans="1:9" ht="13.5">
      <c r="A4112" s="128">
        <v>2004</v>
      </c>
      <c r="B4112" s="128" t="s">
        <v>139</v>
      </c>
      <c r="C4112" s="128" t="s">
        <v>25</v>
      </c>
      <c r="D4112" s="128" t="s">
        <v>79</v>
      </c>
      <c r="E4112" s="128" t="s">
        <v>135</v>
      </c>
      <c r="F4112" s="128">
        <v>968018</v>
      </c>
      <c r="G4112" s="128">
        <v>290056</v>
      </c>
      <c r="H4112" s="128">
        <v>103570</v>
      </c>
      <c r="I4112" s="128">
        <v>2710</v>
      </c>
    </row>
    <row r="4113" spans="1:9" ht="13.5">
      <c r="A4113" s="128">
        <v>2004</v>
      </c>
      <c r="B4113" s="128" t="s">
        <v>139</v>
      </c>
      <c r="C4113" s="128" t="s">
        <v>25</v>
      </c>
      <c r="D4113" s="128" t="s">
        <v>79</v>
      </c>
      <c r="E4113" s="128" t="s">
        <v>136</v>
      </c>
      <c r="F4113" s="128">
        <v>1235994</v>
      </c>
      <c r="G4113" s="128">
        <v>936593</v>
      </c>
      <c r="H4113" s="128">
        <v>299396</v>
      </c>
      <c r="I4113" s="128">
        <v>18831</v>
      </c>
    </row>
    <row r="4114" spans="1:9" ht="13.5">
      <c r="A4114" s="128">
        <v>2004</v>
      </c>
      <c r="B4114" s="128" t="s">
        <v>139</v>
      </c>
      <c r="C4114" s="128" t="s">
        <v>25</v>
      </c>
      <c r="D4114" s="128" t="s">
        <v>76</v>
      </c>
      <c r="E4114" s="128" t="s">
        <v>132</v>
      </c>
      <c r="F4114" s="128">
        <v>2139733</v>
      </c>
      <c r="G4114" s="128">
        <v>1389978</v>
      </c>
      <c r="H4114" s="128">
        <v>749756</v>
      </c>
      <c r="I4114" s="128">
        <v>27302</v>
      </c>
    </row>
    <row r="4115" spans="1:9" ht="13.5">
      <c r="A4115" s="128">
        <v>2004</v>
      </c>
      <c r="B4115" s="128" t="s">
        <v>139</v>
      </c>
      <c r="C4115" s="128" t="s">
        <v>25</v>
      </c>
      <c r="D4115" s="128" t="s">
        <v>76</v>
      </c>
      <c r="E4115" s="128" t="s">
        <v>133</v>
      </c>
      <c r="F4115" s="128">
        <v>2599311</v>
      </c>
      <c r="G4115" s="128">
        <v>1426330</v>
      </c>
      <c r="H4115" s="128">
        <v>1172979</v>
      </c>
      <c r="I4115" s="128">
        <v>10871</v>
      </c>
    </row>
    <row r="4116" spans="1:9" ht="13.5">
      <c r="A4116" s="128">
        <v>2004</v>
      </c>
      <c r="B4116" s="128" t="s">
        <v>139</v>
      </c>
      <c r="C4116" s="128" t="s">
        <v>25</v>
      </c>
      <c r="D4116" s="128" t="s">
        <v>76</v>
      </c>
      <c r="E4116" s="128" t="s">
        <v>134</v>
      </c>
      <c r="F4116" s="128">
        <v>2131986</v>
      </c>
      <c r="G4116" s="128">
        <v>1002973</v>
      </c>
      <c r="H4116" s="128">
        <v>1129013</v>
      </c>
      <c r="I4116" s="128">
        <v>14885</v>
      </c>
    </row>
    <row r="4117" spans="1:9" ht="13.5">
      <c r="A4117" s="128">
        <v>2004</v>
      </c>
      <c r="B4117" s="128" t="s">
        <v>139</v>
      </c>
      <c r="C4117" s="128" t="s">
        <v>25</v>
      </c>
      <c r="D4117" s="128" t="s">
        <v>76</v>
      </c>
      <c r="E4117" s="128" t="s">
        <v>135</v>
      </c>
      <c r="F4117" s="128">
        <v>336500</v>
      </c>
      <c r="G4117" s="128">
        <v>97771</v>
      </c>
      <c r="H4117" s="128">
        <v>238729</v>
      </c>
      <c r="I4117" s="128">
        <v>346</v>
      </c>
    </row>
    <row r="4118" spans="1:9" ht="13.5">
      <c r="A4118" s="128">
        <v>2004</v>
      </c>
      <c r="B4118" s="128" t="s">
        <v>139</v>
      </c>
      <c r="C4118" s="128" t="s">
        <v>25</v>
      </c>
      <c r="D4118" s="128" t="s">
        <v>76</v>
      </c>
      <c r="E4118" s="128" t="s">
        <v>136</v>
      </c>
      <c r="F4118" s="128">
        <v>111168</v>
      </c>
      <c r="G4118" s="128">
        <v>83202</v>
      </c>
      <c r="H4118" s="128">
        <v>27965</v>
      </c>
      <c r="I4118" s="128">
        <v>1269</v>
      </c>
    </row>
    <row r="4119" spans="1:9" ht="13.5">
      <c r="A4119" s="128">
        <v>2004</v>
      </c>
      <c r="B4119" s="128" t="s">
        <v>139</v>
      </c>
      <c r="C4119" s="128" t="s">
        <v>21</v>
      </c>
      <c r="D4119" s="128" t="s">
        <v>77</v>
      </c>
      <c r="E4119" s="128" t="s">
        <v>132</v>
      </c>
      <c r="F4119" s="128">
        <v>1410425</v>
      </c>
      <c r="G4119" s="128">
        <v>925672</v>
      </c>
      <c r="H4119" s="128">
        <v>419924</v>
      </c>
      <c r="I4119" s="128">
        <v>7457</v>
      </c>
    </row>
    <row r="4120" spans="1:9" ht="13.5">
      <c r="A4120" s="128">
        <v>2004</v>
      </c>
      <c r="B4120" s="128" t="s">
        <v>139</v>
      </c>
      <c r="C4120" s="128" t="s">
        <v>21</v>
      </c>
      <c r="D4120" s="128" t="s">
        <v>77</v>
      </c>
      <c r="E4120" s="128" t="s">
        <v>133</v>
      </c>
      <c r="F4120" s="128">
        <v>3114842</v>
      </c>
      <c r="G4120" s="128">
        <v>1687051</v>
      </c>
      <c r="H4120" s="128">
        <v>1117747</v>
      </c>
      <c r="I4120" s="128">
        <v>12645</v>
      </c>
    </row>
    <row r="4121" spans="1:9" ht="13.5">
      <c r="A4121" s="128">
        <v>2004</v>
      </c>
      <c r="B4121" s="128" t="s">
        <v>139</v>
      </c>
      <c r="C4121" s="128" t="s">
        <v>21</v>
      </c>
      <c r="D4121" s="128" t="s">
        <v>77</v>
      </c>
      <c r="E4121" s="128" t="s">
        <v>134</v>
      </c>
      <c r="F4121" s="128">
        <v>5692912</v>
      </c>
      <c r="G4121" s="128">
        <v>2464619</v>
      </c>
      <c r="H4121" s="128">
        <v>2097607</v>
      </c>
      <c r="I4121" s="128">
        <v>27514</v>
      </c>
    </row>
    <row r="4122" spans="1:9" ht="13.5">
      <c r="A4122" s="128">
        <v>2004</v>
      </c>
      <c r="B4122" s="128" t="s">
        <v>139</v>
      </c>
      <c r="C4122" s="128" t="s">
        <v>21</v>
      </c>
      <c r="D4122" s="128" t="s">
        <v>77</v>
      </c>
      <c r="E4122" s="128" t="s">
        <v>135</v>
      </c>
      <c r="F4122" s="128">
        <v>4310882</v>
      </c>
      <c r="G4122" s="128">
        <v>1261079</v>
      </c>
      <c r="H4122" s="128">
        <v>1309732</v>
      </c>
      <c r="I4122" s="128">
        <v>13852</v>
      </c>
    </row>
    <row r="4123" spans="1:9" ht="13.5">
      <c r="A4123" s="128">
        <v>2004</v>
      </c>
      <c r="B4123" s="128" t="s">
        <v>139</v>
      </c>
      <c r="C4123" s="128" t="s">
        <v>21</v>
      </c>
      <c r="D4123" s="128" t="s">
        <v>79</v>
      </c>
      <c r="E4123" s="128" t="s">
        <v>132</v>
      </c>
      <c r="F4123" s="128">
        <v>3117722</v>
      </c>
      <c r="G4123" s="128">
        <v>2068635</v>
      </c>
      <c r="H4123" s="128">
        <v>692347</v>
      </c>
      <c r="I4123" s="128">
        <v>24518</v>
      </c>
    </row>
    <row r="4124" spans="1:9" ht="13.5">
      <c r="A4124" s="128">
        <v>2004</v>
      </c>
      <c r="B4124" s="128" t="s">
        <v>139</v>
      </c>
      <c r="C4124" s="128" t="s">
        <v>21</v>
      </c>
      <c r="D4124" s="128" t="s">
        <v>79</v>
      </c>
      <c r="E4124" s="128" t="s">
        <v>133</v>
      </c>
      <c r="F4124" s="128">
        <v>3128219</v>
      </c>
      <c r="G4124" s="128">
        <v>1695099</v>
      </c>
      <c r="H4124" s="128">
        <v>649041</v>
      </c>
      <c r="I4124" s="128">
        <v>18154</v>
      </c>
    </row>
    <row r="4125" spans="1:9" ht="13.5">
      <c r="A4125" s="128">
        <v>2004</v>
      </c>
      <c r="B4125" s="128" t="s">
        <v>139</v>
      </c>
      <c r="C4125" s="128" t="s">
        <v>21</v>
      </c>
      <c r="D4125" s="128" t="s">
        <v>79</v>
      </c>
      <c r="E4125" s="128" t="s">
        <v>134</v>
      </c>
      <c r="F4125" s="128">
        <v>6471140</v>
      </c>
      <c r="G4125" s="128">
        <v>2800645</v>
      </c>
      <c r="H4125" s="128">
        <v>994368</v>
      </c>
      <c r="I4125" s="128">
        <v>41984</v>
      </c>
    </row>
    <row r="4126" spans="1:9" ht="13.5">
      <c r="A4126" s="128">
        <v>2004</v>
      </c>
      <c r="B4126" s="128" t="s">
        <v>139</v>
      </c>
      <c r="C4126" s="128" t="s">
        <v>21</v>
      </c>
      <c r="D4126" s="128" t="s">
        <v>79</v>
      </c>
      <c r="E4126" s="128" t="s">
        <v>135</v>
      </c>
      <c r="F4126" s="128">
        <v>6879285</v>
      </c>
      <c r="G4126" s="128">
        <v>1925447</v>
      </c>
      <c r="H4126" s="128">
        <v>681431</v>
      </c>
      <c r="I4126" s="128">
        <v>18518</v>
      </c>
    </row>
    <row r="4127" spans="1:9" ht="13.5">
      <c r="A4127" s="128">
        <v>2004</v>
      </c>
      <c r="B4127" s="128" t="s">
        <v>139</v>
      </c>
      <c r="C4127" s="128" t="s">
        <v>21</v>
      </c>
      <c r="D4127" s="128" t="s">
        <v>79</v>
      </c>
      <c r="E4127" s="128" t="s">
        <v>136</v>
      </c>
      <c r="F4127" s="128">
        <v>11142414</v>
      </c>
      <c r="G4127" s="128">
        <v>8416519</v>
      </c>
      <c r="H4127" s="128">
        <v>2725811</v>
      </c>
      <c r="I4127" s="128">
        <v>154245</v>
      </c>
    </row>
    <row r="4128" spans="1:9" ht="13.5">
      <c r="A4128" s="128">
        <v>2004</v>
      </c>
      <c r="B4128" s="128" t="s">
        <v>139</v>
      </c>
      <c r="C4128" s="128" t="s">
        <v>21</v>
      </c>
      <c r="D4128" s="128" t="s">
        <v>76</v>
      </c>
      <c r="E4128" s="128" t="s">
        <v>132</v>
      </c>
      <c r="F4128" s="128">
        <v>19363594</v>
      </c>
      <c r="G4128" s="128">
        <v>12448657</v>
      </c>
      <c r="H4128" s="128">
        <v>6914936</v>
      </c>
      <c r="I4128" s="128">
        <v>247870</v>
      </c>
    </row>
    <row r="4129" spans="1:9" ht="13.5">
      <c r="A4129" s="128">
        <v>2004</v>
      </c>
      <c r="B4129" s="128" t="s">
        <v>139</v>
      </c>
      <c r="C4129" s="128" t="s">
        <v>21</v>
      </c>
      <c r="D4129" s="128" t="s">
        <v>76</v>
      </c>
      <c r="E4129" s="128" t="s">
        <v>133</v>
      </c>
      <c r="F4129" s="128">
        <v>46208486</v>
      </c>
      <c r="G4129" s="128">
        <v>25671986</v>
      </c>
      <c r="H4129" s="128">
        <v>20536503</v>
      </c>
      <c r="I4129" s="128">
        <v>310407</v>
      </c>
    </row>
    <row r="4130" spans="1:9" ht="13.5">
      <c r="A4130" s="128">
        <v>2004</v>
      </c>
      <c r="B4130" s="128" t="s">
        <v>139</v>
      </c>
      <c r="C4130" s="128" t="s">
        <v>21</v>
      </c>
      <c r="D4130" s="128" t="s">
        <v>76</v>
      </c>
      <c r="E4130" s="128" t="s">
        <v>134</v>
      </c>
      <c r="F4130" s="128">
        <v>24649195</v>
      </c>
      <c r="G4130" s="128">
        <v>11458476</v>
      </c>
      <c r="H4130" s="128">
        <v>13190721</v>
      </c>
      <c r="I4130" s="128">
        <v>195508</v>
      </c>
    </row>
    <row r="4131" spans="1:9" ht="13.5">
      <c r="A4131" s="128">
        <v>2004</v>
      </c>
      <c r="B4131" s="128" t="s">
        <v>139</v>
      </c>
      <c r="C4131" s="128" t="s">
        <v>21</v>
      </c>
      <c r="D4131" s="128" t="s">
        <v>76</v>
      </c>
      <c r="E4131" s="128" t="s">
        <v>135</v>
      </c>
      <c r="F4131" s="128">
        <v>2283509</v>
      </c>
      <c r="G4131" s="128">
        <v>661010</v>
      </c>
      <c r="H4131" s="128">
        <v>1622495</v>
      </c>
      <c r="I4131" s="128">
        <v>2333</v>
      </c>
    </row>
    <row r="4132" spans="1:9" ht="13.5">
      <c r="A4132" s="128">
        <v>2004</v>
      </c>
      <c r="B4132" s="128" t="s">
        <v>139</v>
      </c>
      <c r="C4132" s="128" t="s">
        <v>21</v>
      </c>
      <c r="D4132" s="128" t="s">
        <v>76</v>
      </c>
      <c r="E4132" s="128" t="s">
        <v>136</v>
      </c>
      <c r="F4132" s="128">
        <v>3233273</v>
      </c>
      <c r="G4132" s="128">
        <v>2451863</v>
      </c>
      <c r="H4132" s="128">
        <v>781444</v>
      </c>
      <c r="I4132" s="128">
        <v>51926</v>
      </c>
    </row>
    <row r="4133" spans="1:9" ht="13.5">
      <c r="A4133" s="128">
        <v>2004</v>
      </c>
      <c r="B4133" s="128" t="s">
        <v>139</v>
      </c>
      <c r="C4133" s="128" t="s">
        <v>24</v>
      </c>
      <c r="D4133" s="128" t="s">
        <v>77</v>
      </c>
      <c r="E4133" s="128" t="s">
        <v>132</v>
      </c>
      <c r="F4133" s="128">
        <v>407557</v>
      </c>
      <c r="G4133" s="128">
        <v>265047</v>
      </c>
      <c r="H4133" s="128">
        <v>112858</v>
      </c>
      <c r="I4133" s="128">
        <v>3524</v>
      </c>
    </row>
    <row r="4134" spans="1:9" ht="13.5">
      <c r="A4134" s="128">
        <v>2004</v>
      </c>
      <c r="B4134" s="128" t="s">
        <v>139</v>
      </c>
      <c r="C4134" s="128" t="s">
        <v>24</v>
      </c>
      <c r="D4134" s="128" t="s">
        <v>77</v>
      </c>
      <c r="E4134" s="128" t="s">
        <v>133</v>
      </c>
      <c r="F4134" s="128">
        <v>2276042</v>
      </c>
      <c r="G4134" s="128">
        <v>1222527</v>
      </c>
      <c r="H4134" s="128">
        <v>749275</v>
      </c>
      <c r="I4134" s="128">
        <v>7337</v>
      </c>
    </row>
    <row r="4135" spans="1:9" ht="13.5">
      <c r="A4135" s="128">
        <v>2004</v>
      </c>
      <c r="B4135" s="128" t="s">
        <v>139</v>
      </c>
      <c r="C4135" s="128" t="s">
        <v>24</v>
      </c>
      <c r="D4135" s="128" t="s">
        <v>77</v>
      </c>
      <c r="E4135" s="128" t="s">
        <v>134</v>
      </c>
      <c r="F4135" s="128">
        <v>4879489</v>
      </c>
      <c r="G4135" s="128">
        <v>2151434</v>
      </c>
      <c r="H4135" s="128">
        <v>1452252</v>
      </c>
      <c r="I4135" s="128">
        <v>27966</v>
      </c>
    </row>
    <row r="4136" spans="1:9" ht="13.5">
      <c r="A4136" s="128">
        <v>2004</v>
      </c>
      <c r="B4136" s="128" t="s">
        <v>139</v>
      </c>
      <c r="C4136" s="128" t="s">
        <v>24</v>
      </c>
      <c r="D4136" s="128" t="s">
        <v>77</v>
      </c>
      <c r="E4136" s="128" t="s">
        <v>135</v>
      </c>
      <c r="F4136" s="128">
        <v>4190423</v>
      </c>
      <c r="G4136" s="128">
        <v>1237934</v>
      </c>
      <c r="H4136" s="128">
        <v>839414</v>
      </c>
      <c r="I4136" s="128">
        <v>16265</v>
      </c>
    </row>
    <row r="4137" spans="1:9" ht="13.5">
      <c r="A4137" s="128">
        <v>2004</v>
      </c>
      <c r="B4137" s="128" t="s">
        <v>139</v>
      </c>
      <c r="C4137" s="128" t="s">
        <v>24</v>
      </c>
      <c r="D4137" s="128" t="s">
        <v>79</v>
      </c>
      <c r="E4137" s="128" t="s">
        <v>132</v>
      </c>
      <c r="F4137" s="128">
        <v>777308</v>
      </c>
      <c r="G4137" s="128">
        <v>512124</v>
      </c>
      <c r="H4137" s="128">
        <v>168716</v>
      </c>
      <c r="I4137" s="128">
        <v>5065</v>
      </c>
    </row>
    <row r="4138" spans="1:9" ht="13.5">
      <c r="A4138" s="128">
        <v>2004</v>
      </c>
      <c r="B4138" s="128" t="s">
        <v>139</v>
      </c>
      <c r="C4138" s="128" t="s">
        <v>24</v>
      </c>
      <c r="D4138" s="128" t="s">
        <v>79</v>
      </c>
      <c r="E4138" s="128" t="s">
        <v>133</v>
      </c>
      <c r="F4138" s="128">
        <v>1207620</v>
      </c>
      <c r="G4138" s="128">
        <v>666914</v>
      </c>
      <c r="H4138" s="128">
        <v>230230</v>
      </c>
      <c r="I4138" s="128">
        <v>12326</v>
      </c>
    </row>
    <row r="4139" spans="1:9" ht="13.5">
      <c r="A4139" s="128">
        <v>2004</v>
      </c>
      <c r="B4139" s="128" t="s">
        <v>139</v>
      </c>
      <c r="C4139" s="128" t="s">
        <v>24</v>
      </c>
      <c r="D4139" s="128" t="s">
        <v>79</v>
      </c>
      <c r="E4139" s="128" t="s">
        <v>134</v>
      </c>
      <c r="F4139" s="128">
        <v>1204563</v>
      </c>
      <c r="G4139" s="128">
        <v>527565</v>
      </c>
      <c r="H4139" s="128">
        <v>191456</v>
      </c>
      <c r="I4139" s="128">
        <v>6548</v>
      </c>
    </row>
    <row r="4140" spans="1:9" ht="13.5">
      <c r="A4140" s="128">
        <v>2004</v>
      </c>
      <c r="B4140" s="128" t="s">
        <v>139</v>
      </c>
      <c r="C4140" s="128" t="s">
        <v>24</v>
      </c>
      <c r="D4140" s="128" t="s">
        <v>79</v>
      </c>
      <c r="E4140" s="128" t="s">
        <v>135</v>
      </c>
      <c r="F4140" s="128">
        <v>1284327</v>
      </c>
      <c r="G4140" s="128">
        <v>342780</v>
      </c>
      <c r="H4140" s="128">
        <v>279655</v>
      </c>
      <c r="I4140" s="128">
        <v>3597</v>
      </c>
    </row>
    <row r="4141" spans="1:9" ht="13.5">
      <c r="A4141" s="128">
        <v>2004</v>
      </c>
      <c r="B4141" s="128" t="s">
        <v>139</v>
      </c>
      <c r="C4141" s="128" t="s">
        <v>24</v>
      </c>
      <c r="D4141" s="128" t="s">
        <v>79</v>
      </c>
      <c r="E4141" s="128" t="s">
        <v>136</v>
      </c>
      <c r="F4141" s="128">
        <v>1384855</v>
      </c>
      <c r="G4141" s="128">
        <v>1060004</v>
      </c>
      <c r="H4141" s="128">
        <v>324851</v>
      </c>
      <c r="I4141" s="128">
        <v>24245</v>
      </c>
    </row>
    <row r="4142" spans="1:9" ht="13.5">
      <c r="A4142" s="128">
        <v>2004</v>
      </c>
      <c r="B4142" s="128" t="s">
        <v>139</v>
      </c>
      <c r="C4142" s="128" t="s">
        <v>24</v>
      </c>
      <c r="D4142" s="128" t="s">
        <v>76</v>
      </c>
      <c r="E4142" s="128" t="s">
        <v>132</v>
      </c>
      <c r="F4142" s="128">
        <v>8808388</v>
      </c>
      <c r="G4142" s="128">
        <v>5578125</v>
      </c>
      <c r="H4142" s="128">
        <v>3230260</v>
      </c>
      <c r="I4142" s="128">
        <v>117466</v>
      </c>
    </row>
    <row r="4143" spans="1:9" ht="13.5">
      <c r="A4143" s="128">
        <v>2004</v>
      </c>
      <c r="B4143" s="128" t="s">
        <v>139</v>
      </c>
      <c r="C4143" s="128" t="s">
        <v>24</v>
      </c>
      <c r="D4143" s="128" t="s">
        <v>76</v>
      </c>
      <c r="E4143" s="128" t="s">
        <v>133</v>
      </c>
      <c r="F4143" s="128">
        <v>16162578</v>
      </c>
      <c r="G4143" s="128">
        <v>8835854</v>
      </c>
      <c r="H4143" s="128">
        <v>7326721</v>
      </c>
      <c r="I4143" s="128">
        <v>60266</v>
      </c>
    </row>
    <row r="4144" spans="1:9" ht="13.5">
      <c r="A4144" s="128">
        <v>2004</v>
      </c>
      <c r="B4144" s="128" t="s">
        <v>139</v>
      </c>
      <c r="C4144" s="128" t="s">
        <v>24</v>
      </c>
      <c r="D4144" s="128" t="s">
        <v>76</v>
      </c>
      <c r="E4144" s="128" t="s">
        <v>134</v>
      </c>
      <c r="F4144" s="128">
        <v>7365079</v>
      </c>
      <c r="G4144" s="128">
        <v>3447931</v>
      </c>
      <c r="H4144" s="128">
        <v>3917146</v>
      </c>
      <c r="I4144" s="128">
        <v>53245</v>
      </c>
    </row>
    <row r="4145" spans="1:9" ht="13.5">
      <c r="A4145" s="128">
        <v>2004</v>
      </c>
      <c r="B4145" s="128" t="s">
        <v>139</v>
      </c>
      <c r="C4145" s="128" t="s">
        <v>24</v>
      </c>
      <c r="D4145" s="128" t="s">
        <v>76</v>
      </c>
      <c r="E4145" s="128" t="s">
        <v>135</v>
      </c>
      <c r="F4145" s="128">
        <v>1878533</v>
      </c>
      <c r="G4145" s="128">
        <v>465575</v>
      </c>
      <c r="H4145" s="128">
        <v>1412956</v>
      </c>
      <c r="I4145" s="128">
        <v>1686</v>
      </c>
    </row>
    <row r="4146" spans="1:9" ht="13.5">
      <c r="A4146" s="128">
        <v>2004</v>
      </c>
      <c r="B4146" s="128" t="s">
        <v>139</v>
      </c>
      <c r="C4146" s="128" t="s">
        <v>24</v>
      </c>
      <c r="D4146" s="128" t="s">
        <v>76</v>
      </c>
      <c r="E4146" s="128" t="s">
        <v>136</v>
      </c>
      <c r="F4146" s="128">
        <v>1691879</v>
      </c>
      <c r="G4146" s="128">
        <v>1305167</v>
      </c>
      <c r="H4146" s="128">
        <v>386714</v>
      </c>
      <c r="I4146" s="128">
        <v>24421</v>
      </c>
    </row>
    <row r="4147" spans="1:9" ht="13.5">
      <c r="A4147" s="128">
        <v>2004</v>
      </c>
      <c r="B4147" s="128" t="s">
        <v>137</v>
      </c>
      <c r="C4147" s="128" t="s">
        <v>26</v>
      </c>
      <c r="D4147" s="128" t="s">
        <v>77</v>
      </c>
      <c r="E4147" s="128" t="s">
        <v>132</v>
      </c>
      <c r="F4147" s="128">
        <v>0</v>
      </c>
      <c r="G4147" s="128">
        <v>0</v>
      </c>
      <c r="H4147" s="128">
        <v>0</v>
      </c>
      <c r="I4147" s="128">
        <v>0</v>
      </c>
    </row>
    <row r="4148" spans="1:9" ht="13.5">
      <c r="A4148" s="128">
        <v>2004</v>
      </c>
      <c r="B4148" s="128" t="s">
        <v>137</v>
      </c>
      <c r="C4148" s="128" t="s">
        <v>26</v>
      </c>
      <c r="D4148" s="128" t="s">
        <v>77</v>
      </c>
      <c r="E4148" s="128" t="s">
        <v>133</v>
      </c>
      <c r="F4148" s="128">
        <v>0</v>
      </c>
      <c r="G4148" s="128">
        <v>0</v>
      </c>
      <c r="H4148" s="128">
        <v>0</v>
      </c>
      <c r="I4148" s="128">
        <v>0</v>
      </c>
    </row>
    <row r="4149" spans="1:9" ht="13.5">
      <c r="A4149" s="128">
        <v>2004</v>
      </c>
      <c r="B4149" s="128" t="s">
        <v>137</v>
      </c>
      <c r="C4149" s="128" t="s">
        <v>26</v>
      </c>
      <c r="D4149" s="128" t="s">
        <v>77</v>
      </c>
      <c r="E4149" s="128" t="s">
        <v>134</v>
      </c>
      <c r="F4149" s="128">
        <v>0</v>
      </c>
      <c r="G4149" s="128">
        <v>0</v>
      </c>
      <c r="H4149" s="128">
        <v>0</v>
      </c>
      <c r="I4149" s="128">
        <v>0</v>
      </c>
    </row>
    <row r="4150" spans="1:9" ht="13.5">
      <c r="A4150" s="128">
        <v>2004</v>
      </c>
      <c r="B4150" s="128" t="s">
        <v>137</v>
      </c>
      <c r="C4150" s="128" t="s">
        <v>26</v>
      </c>
      <c r="D4150" s="128" t="s">
        <v>77</v>
      </c>
      <c r="E4150" s="128" t="s">
        <v>135</v>
      </c>
      <c r="F4150" s="128">
        <v>0</v>
      </c>
      <c r="G4150" s="128">
        <v>0</v>
      </c>
      <c r="H4150" s="128">
        <v>0</v>
      </c>
      <c r="I4150" s="128">
        <v>0</v>
      </c>
    </row>
    <row r="4151" spans="1:9" ht="13.5">
      <c r="A4151" s="128">
        <v>2004</v>
      </c>
      <c r="B4151" s="128" t="s">
        <v>137</v>
      </c>
      <c r="C4151" s="128" t="s">
        <v>26</v>
      </c>
      <c r="D4151" s="128" t="s">
        <v>79</v>
      </c>
      <c r="E4151" s="128" t="s">
        <v>132</v>
      </c>
      <c r="F4151" s="128">
        <v>0</v>
      </c>
      <c r="G4151" s="128">
        <v>0</v>
      </c>
      <c r="H4151" s="128">
        <v>0</v>
      </c>
      <c r="I4151" s="128">
        <v>0</v>
      </c>
    </row>
    <row r="4152" spans="1:9" ht="13.5">
      <c r="A4152" s="128">
        <v>2004</v>
      </c>
      <c r="B4152" s="128" t="s">
        <v>137</v>
      </c>
      <c r="C4152" s="128" t="s">
        <v>26</v>
      </c>
      <c r="D4152" s="128" t="s">
        <v>79</v>
      </c>
      <c r="E4152" s="128" t="s">
        <v>133</v>
      </c>
      <c r="F4152" s="128">
        <v>0</v>
      </c>
      <c r="G4152" s="128">
        <v>0</v>
      </c>
      <c r="H4152" s="128">
        <v>0</v>
      </c>
      <c r="I4152" s="128">
        <v>0</v>
      </c>
    </row>
    <row r="4153" spans="1:9" ht="13.5">
      <c r="A4153" s="128">
        <v>2004</v>
      </c>
      <c r="B4153" s="128" t="s">
        <v>137</v>
      </c>
      <c r="C4153" s="128" t="s">
        <v>26</v>
      </c>
      <c r="D4153" s="128" t="s">
        <v>79</v>
      </c>
      <c r="E4153" s="128" t="s">
        <v>134</v>
      </c>
      <c r="F4153" s="128">
        <v>0</v>
      </c>
      <c r="G4153" s="128">
        <v>0</v>
      </c>
      <c r="H4153" s="128">
        <v>0</v>
      </c>
      <c r="I4153" s="128">
        <v>0</v>
      </c>
    </row>
    <row r="4154" spans="1:9" ht="13.5">
      <c r="A4154" s="128">
        <v>2004</v>
      </c>
      <c r="B4154" s="128" t="s">
        <v>137</v>
      </c>
      <c r="C4154" s="128" t="s">
        <v>26</v>
      </c>
      <c r="D4154" s="128" t="s">
        <v>79</v>
      </c>
      <c r="E4154" s="128" t="s">
        <v>135</v>
      </c>
      <c r="F4154" s="128">
        <v>0</v>
      </c>
      <c r="G4154" s="128">
        <v>0</v>
      </c>
      <c r="H4154" s="128">
        <v>0</v>
      </c>
      <c r="I4154" s="128">
        <v>0</v>
      </c>
    </row>
    <row r="4155" spans="1:9" ht="13.5">
      <c r="A4155" s="128">
        <v>2004</v>
      </c>
      <c r="B4155" s="128" t="s">
        <v>137</v>
      </c>
      <c r="C4155" s="128" t="s">
        <v>26</v>
      </c>
      <c r="D4155" s="128" t="s">
        <v>79</v>
      </c>
      <c r="E4155" s="128" t="s">
        <v>136</v>
      </c>
      <c r="F4155" s="128">
        <v>0</v>
      </c>
      <c r="G4155" s="128">
        <v>0</v>
      </c>
      <c r="H4155" s="128">
        <v>0</v>
      </c>
      <c r="I4155" s="128">
        <v>0</v>
      </c>
    </row>
    <row r="4156" spans="1:9" ht="13.5">
      <c r="A4156" s="128">
        <v>2004</v>
      </c>
      <c r="B4156" s="128" t="s">
        <v>137</v>
      </c>
      <c r="C4156" s="128" t="s">
        <v>26</v>
      </c>
      <c r="D4156" s="128" t="s">
        <v>76</v>
      </c>
      <c r="E4156" s="128" t="s">
        <v>132</v>
      </c>
      <c r="F4156" s="128">
        <v>0</v>
      </c>
      <c r="G4156" s="128">
        <v>0</v>
      </c>
      <c r="H4156" s="128">
        <v>0</v>
      </c>
      <c r="I4156" s="128">
        <v>0</v>
      </c>
    </row>
    <row r="4157" spans="1:9" ht="13.5">
      <c r="A4157" s="128">
        <v>2004</v>
      </c>
      <c r="B4157" s="128" t="s">
        <v>137</v>
      </c>
      <c r="C4157" s="128" t="s">
        <v>26</v>
      </c>
      <c r="D4157" s="128" t="s">
        <v>76</v>
      </c>
      <c r="E4157" s="128" t="s">
        <v>133</v>
      </c>
      <c r="F4157" s="128">
        <v>0</v>
      </c>
      <c r="G4157" s="128">
        <v>0</v>
      </c>
      <c r="H4157" s="128">
        <v>0</v>
      </c>
      <c r="I4157" s="128">
        <v>0</v>
      </c>
    </row>
    <row r="4158" spans="1:9" ht="13.5">
      <c r="A4158" s="128">
        <v>2004</v>
      </c>
      <c r="B4158" s="128" t="s">
        <v>137</v>
      </c>
      <c r="C4158" s="128" t="s">
        <v>26</v>
      </c>
      <c r="D4158" s="128" t="s">
        <v>76</v>
      </c>
      <c r="E4158" s="128" t="s">
        <v>134</v>
      </c>
      <c r="F4158" s="128">
        <v>0</v>
      </c>
      <c r="G4158" s="128">
        <v>0</v>
      </c>
      <c r="H4158" s="128">
        <v>0</v>
      </c>
      <c r="I4158" s="128">
        <v>0</v>
      </c>
    </row>
    <row r="4159" spans="1:9" ht="13.5">
      <c r="A4159" s="128">
        <v>2004</v>
      </c>
      <c r="B4159" s="128" t="s">
        <v>137</v>
      </c>
      <c r="C4159" s="128" t="s">
        <v>26</v>
      </c>
      <c r="D4159" s="128" t="s">
        <v>76</v>
      </c>
      <c r="E4159" s="128" t="s">
        <v>135</v>
      </c>
      <c r="F4159" s="128">
        <v>0</v>
      </c>
      <c r="G4159" s="128">
        <v>0</v>
      </c>
      <c r="H4159" s="128">
        <v>0</v>
      </c>
      <c r="I4159" s="128">
        <v>0</v>
      </c>
    </row>
    <row r="4160" spans="1:9" ht="13.5">
      <c r="A4160" s="128">
        <v>2004</v>
      </c>
      <c r="B4160" s="128" t="s">
        <v>137</v>
      </c>
      <c r="C4160" s="128" t="s">
        <v>26</v>
      </c>
      <c r="D4160" s="128" t="s">
        <v>76</v>
      </c>
      <c r="E4160" s="128" t="s">
        <v>136</v>
      </c>
      <c r="F4160" s="128">
        <v>0</v>
      </c>
      <c r="G4160" s="128">
        <v>0</v>
      </c>
      <c r="H4160" s="128">
        <v>0</v>
      </c>
      <c r="I4160" s="128">
        <v>0</v>
      </c>
    </row>
    <row r="4161" spans="1:9" ht="13.5">
      <c r="A4161" s="128">
        <v>2004</v>
      </c>
      <c r="B4161" s="128" t="s">
        <v>137</v>
      </c>
      <c r="C4161" s="128" t="s">
        <v>20</v>
      </c>
      <c r="D4161" s="128" t="s">
        <v>77</v>
      </c>
      <c r="E4161" s="128" t="s">
        <v>132</v>
      </c>
      <c r="F4161" s="128">
        <v>658820</v>
      </c>
      <c r="G4161" s="128">
        <v>428671</v>
      </c>
      <c r="H4161" s="128">
        <v>191465</v>
      </c>
      <c r="I4161" s="128">
        <v>4757</v>
      </c>
    </row>
    <row r="4162" spans="1:9" ht="13.5">
      <c r="A4162" s="128">
        <v>2004</v>
      </c>
      <c r="B4162" s="128" t="s">
        <v>137</v>
      </c>
      <c r="C4162" s="128" t="s">
        <v>20</v>
      </c>
      <c r="D4162" s="128" t="s">
        <v>77</v>
      </c>
      <c r="E4162" s="128" t="s">
        <v>133</v>
      </c>
      <c r="F4162" s="128">
        <v>1464376</v>
      </c>
      <c r="G4162" s="128">
        <v>797209</v>
      </c>
      <c r="H4162" s="128">
        <v>540748</v>
      </c>
      <c r="I4162" s="128">
        <v>10078</v>
      </c>
    </row>
    <row r="4163" spans="1:9" ht="13.5">
      <c r="A4163" s="128">
        <v>2004</v>
      </c>
      <c r="B4163" s="128" t="s">
        <v>137</v>
      </c>
      <c r="C4163" s="128" t="s">
        <v>20</v>
      </c>
      <c r="D4163" s="128" t="s">
        <v>77</v>
      </c>
      <c r="E4163" s="128" t="s">
        <v>134</v>
      </c>
      <c r="F4163" s="128">
        <v>3107717</v>
      </c>
      <c r="G4163" s="128">
        <v>1344632</v>
      </c>
      <c r="H4163" s="128">
        <v>1196542</v>
      </c>
      <c r="I4163" s="128">
        <v>12468</v>
      </c>
    </row>
    <row r="4164" spans="1:9" ht="13.5">
      <c r="A4164" s="128">
        <v>2004</v>
      </c>
      <c r="B4164" s="128" t="s">
        <v>137</v>
      </c>
      <c r="C4164" s="128" t="s">
        <v>20</v>
      </c>
      <c r="D4164" s="128" t="s">
        <v>77</v>
      </c>
      <c r="E4164" s="128" t="s">
        <v>135</v>
      </c>
      <c r="F4164" s="128">
        <v>4975404</v>
      </c>
      <c r="G4164" s="128">
        <v>1248629</v>
      </c>
      <c r="H4164" s="128">
        <v>1105719</v>
      </c>
      <c r="I4164" s="128">
        <v>13214</v>
      </c>
    </row>
    <row r="4165" spans="1:9" ht="13.5">
      <c r="A4165" s="128">
        <v>2004</v>
      </c>
      <c r="B4165" s="128" t="s">
        <v>137</v>
      </c>
      <c r="C4165" s="128" t="s">
        <v>20</v>
      </c>
      <c r="D4165" s="128" t="s">
        <v>79</v>
      </c>
      <c r="E4165" s="128" t="s">
        <v>132</v>
      </c>
      <c r="F4165" s="128">
        <v>4173113</v>
      </c>
      <c r="G4165" s="128">
        <v>2776649</v>
      </c>
      <c r="H4165" s="128">
        <v>932979</v>
      </c>
      <c r="I4165" s="128">
        <v>28308</v>
      </c>
    </row>
    <row r="4166" spans="1:9" ht="13.5">
      <c r="A4166" s="128">
        <v>2004</v>
      </c>
      <c r="B4166" s="128" t="s">
        <v>137</v>
      </c>
      <c r="C4166" s="128" t="s">
        <v>20</v>
      </c>
      <c r="D4166" s="128" t="s">
        <v>79</v>
      </c>
      <c r="E4166" s="128" t="s">
        <v>133</v>
      </c>
      <c r="F4166" s="128">
        <v>6495364</v>
      </c>
      <c r="G4166" s="128">
        <v>3549801</v>
      </c>
      <c r="H4166" s="128">
        <v>1235305</v>
      </c>
      <c r="I4166" s="128">
        <v>47208</v>
      </c>
    </row>
    <row r="4167" spans="1:9" ht="13.5">
      <c r="A4167" s="128">
        <v>2004</v>
      </c>
      <c r="B4167" s="128" t="s">
        <v>137</v>
      </c>
      <c r="C4167" s="128" t="s">
        <v>20</v>
      </c>
      <c r="D4167" s="128" t="s">
        <v>79</v>
      </c>
      <c r="E4167" s="128" t="s">
        <v>134</v>
      </c>
      <c r="F4167" s="128">
        <v>20150239</v>
      </c>
      <c r="G4167" s="128">
        <v>8569752</v>
      </c>
      <c r="H4167" s="128">
        <v>2896936</v>
      </c>
      <c r="I4167" s="128">
        <v>89307</v>
      </c>
    </row>
    <row r="4168" spans="1:9" ht="13.5">
      <c r="A4168" s="128">
        <v>2004</v>
      </c>
      <c r="B4168" s="128" t="s">
        <v>137</v>
      </c>
      <c r="C4168" s="128" t="s">
        <v>20</v>
      </c>
      <c r="D4168" s="128" t="s">
        <v>79</v>
      </c>
      <c r="E4168" s="128" t="s">
        <v>135</v>
      </c>
      <c r="F4168" s="128">
        <v>54102904</v>
      </c>
      <c r="G4168" s="128">
        <v>15084614</v>
      </c>
      <c r="H4168" s="128">
        <v>5211097</v>
      </c>
      <c r="I4168" s="128">
        <v>128500</v>
      </c>
    </row>
    <row r="4169" spans="1:9" ht="13.5">
      <c r="A4169" s="128">
        <v>2004</v>
      </c>
      <c r="B4169" s="128" t="s">
        <v>137</v>
      </c>
      <c r="C4169" s="128" t="s">
        <v>20</v>
      </c>
      <c r="D4169" s="128" t="s">
        <v>79</v>
      </c>
      <c r="E4169" s="128" t="s">
        <v>136</v>
      </c>
      <c r="F4169" s="128">
        <v>21711259</v>
      </c>
      <c r="G4169" s="128">
        <v>16400742</v>
      </c>
      <c r="H4169" s="128">
        <v>5310208</v>
      </c>
      <c r="I4169" s="128">
        <v>351708</v>
      </c>
    </row>
    <row r="4170" spans="1:9" ht="13.5">
      <c r="A4170" s="128">
        <v>2004</v>
      </c>
      <c r="B4170" s="128" t="s">
        <v>137</v>
      </c>
      <c r="C4170" s="128" t="s">
        <v>20</v>
      </c>
      <c r="D4170" s="128" t="s">
        <v>76</v>
      </c>
      <c r="E4170" s="128" t="s">
        <v>132</v>
      </c>
      <c r="F4170" s="128">
        <v>25790584</v>
      </c>
      <c r="G4170" s="128">
        <v>16529792</v>
      </c>
      <c r="H4170" s="128">
        <v>9260791</v>
      </c>
      <c r="I4170" s="128">
        <v>340619</v>
      </c>
    </row>
    <row r="4171" spans="1:9" ht="13.5">
      <c r="A4171" s="128">
        <v>2004</v>
      </c>
      <c r="B4171" s="128" t="s">
        <v>137</v>
      </c>
      <c r="C4171" s="128" t="s">
        <v>20</v>
      </c>
      <c r="D4171" s="128" t="s">
        <v>76</v>
      </c>
      <c r="E4171" s="128" t="s">
        <v>133</v>
      </c>
      <c r="F4171" s="128">
        <v>40606041</v>
      </c>
      <c r="G4171" s="128">
        <v>22388351</v>
      </c>
      <c r="H4171" s="128">
        <v>18217689</v>
      </c>
      <c r="I4171" s="128">
        <v>178127</v>
      </c>
    </row>
    <row r="4172" spans="1:9" ht="13.5">
      <c r="A4172" s="128">
        <v>2004</v>
      </c>
      <c r="B4172" s="128" t="s">
        <v>137</v>
      </c>
      <c r="C4172" s="128" t="s">
        <v>20</v>
      </c>
      <c r="D4172" s="128" t="s">
        <v>76</v>
      </c>
      <c r="E4172" s="128" t="s">
        <v>134</v>
      </c>
      <c r="F4172" s="128">
        <v>30159466</v>
      </c>
      <c r="G4172" s="128">
        <v>14150403</v>
      </c>
      <c r="H4172" s="128">
        <v>16009065</v>
      </c>
      <c r="I4172" s="128">
        <v>209104</v>
      </c>
    </row>
    <row r="4173" spans="1:9" ht="13.5">
      <c r="A4173" s="128">
        <v>2004</v>
      </c>
      <c r="B4173" s="128" t="s">
        <v>137</v>
      </c>
      <c r="C4173" s="128" t="s">
        <v>20</v>
      </c>
      <c r="D4173" s="128" t="s">
        <v>76</v>
      </c>
      <c r="E4173" s="128" t="s">
        <v>135</v>
      </c>
      <c r="F4173" s="128">
        <v>4635811</v>
      </c>
      <c r="G4173" s="128">
        <v>1218514</v>
      </c>
      <c r="H4173" s="128">
        <v>3417297</v>
      </c>
      <c r="I4173" s="128">
        <v>5201</v>
      </c>
    </row>
    <row r="4174" spans="1:9" ht="13.5">
      <c r="A4174" s="128">
        <v>2004</v>
      </c>
      <c r="B4174" s="128" t="s">
        <v>137</v>
      </c>
      <c r="C4174" s="128" t="s">
        <v>20</v>
      </c>
      <c r="D4174" s="128" t="s">
        <v>76</v>
      </c>
      <c r="E4174" s="128" t="s">
        <v>136</v>
      </c>
      <c r="F4174" s="128">
        <v>4847111</v>
      </c>
      <c r="G4174" s="128">
        <v>3651587</v>
      </c>
      <c r="H4174" s="128">
        <v>1195522</v>
      </c>
      <c r="I4174" s="128">
        <v>108629</v>
      </c>
    </row>
    <row r="4175" spans="1:9" ht="13.5">
      <c r="A4175" s="128">
        <v>2004</v>
      </c>
      <c r="B4175" s="128" t="s">
        <v>137</v>
      </c>
      <c r="C4175" s="128" t="s">
        <v>27</v>
      </c>
      <c r="D4175" s="128" t="s">
        <v>77</v>
      </c>
      <c r="E4175" s="128" t="s">
        <v>132</v>
      </c>
      <c r="F4175" s="128">
        <v>7259</v>
      </c>
      <c r="G4175" s="128">
        <v>4675</v>
      </c>
      <c r="H4175" s="128">
        <v>2063</v>
      </c>
      <c r="I4175" s="128">
        <v>44</v>
      </c>
    </row>
    <row r="4176" spans="1:9" ht="13.5">
      <c r="A4176" s="128">
        <v>2004</v>
      </c>
      <c r="B4176" s="128" t="s">
        <v>137</v>
      </c>
      <c r="C4176" s="128" t="s">
        <v>27</v>
      </c>
      <c r="D4176" s="128" t="s">
        <v>77</v>
      </c>
      <c r="E4176" s="128" t="s">
        <v>133</v>
      </c>
      <c r="F4176" s="128">
        <v>19784</v>
      </c>
      <c r="G4176" s="128">
        <v>10721</v>
      </c>
      <c r="H4176" s="128">
        <v>7203</v>
      </c>
      <c r="I4176" s="128">
        <v>69</v>
      </c>
    </row>
    <row r="4177" spans="1:9" ht="13.5">
      <c r="A4177" s="128">
        <v>2004</v>
      </c>
      <c r="B4177" s="128" t="s">
        <v>137</v>
      </c>
      <c r="C4177" s="128" t="s">
        <v>27</v>
      </c>
      <c r="D4177" s="128" t="s">
        <v>77</v>
      </c>
      <c r="E4177" s="128" t="s">
        <v>134</v>
      </c>
      <c r="F4177" s="128">
        <v>79916</v>
      </c>
      <c r="G4177" s="128">
        <v>34789</v>
      </c>
      <c r="H4177" s="128">
        <v>29450</v>
      </c>
      <c r="I4177" s="128">
        <v>240</v>
      </c>
    </row>
    <row r="4178" spans="1:9" ht="13.5">
      <c r="A4178" s="128">
        <v>2004</v>
      </c>
      <c r="B4178" s="128" t="s">
        <v>137</v>
      </c>
      <c r="C4178" s="128" t="s">
        <v>27</v>
      </c>
      <c r="D4178" s="128" t="s">
        <v>77</v>
      </c>
      <c r="E4178" s="128" t="s">
        <v>135</v>
      </c>
      <c r="F4178" s="128">
        <v>90341</v>
      </c>
      <c r="G4178" s="128">
        <v>24292</v>
      </c>
      <c r="H4178" s="128">
        <v>28584</v>
      </c>
      <c r="I4178" s="128">
        <v>145</v>
      </c>
    </row>
    <row r="4179" spans="1:9" ht="13.5">
      <c r="A4179" s="128">
        <v>2004</v>
      </c>
      <c r="B4179" s="128" t="s">
        <v>137</v>
      </c>
      <c r="C4179" s="128" t="s">
        <v>27</v>
      </c>
      <c r="D4179" s="128" t="s">
        <v>79</v>
      </c>
      <c r="E4179" s="128" t="s">
        <v>132</v>
      </c>
      <c r="F4179" s="128">
        <v>65088</v>
      </c>
      <c r="G4179" s="128">
        <v>44553</v>
      </c>
      <c r="H4179" s="128">
        <v>15016</v>
      </c>
      <c r="I4179" s="128">
        <v>413</v>
      </c>
    </row>
    <row r="4180" spans="1:9" ht="13.5">
      <c r="A4180" s="128">
        <v>2004</v>
      </c>
      <c r="B4180" s="128" t="s">
        <v>137</v>
      </c>
      <c r="C4180" s="128" t="s">
        <v>27</v>
      </c>
      <c r="D4180" s="128" t="s">
        <v>79</v>
      </c>
      <c r="E4180" s="128" t="s">
        <v>133</v>
      </c>
      <c r="F4180" s="128">
        <v>96694</v>
      </c>
      <c r="G4180" s="128">
        <v>53424</v>
      </c>
      <c r="H4180" s="128">
        <v>17943</v>
      </c>
      <c r="I4180" s="128">
        <v>603</v>
      </c>
    </row>
    <row r="4181" spans="1:9" ht="13.5">
      <c r="A4181" s="128">
        <v>2004</v>
      </c>
      <c r="B4181" s="128" t="s">
        <v>137</v>
      </c>
      <c r="C4181" s="128" t="s">
        <v>27</v>
      </c>
      <c r="D4181" s="128" t="s">
        <v>79</v>
      </c>
      <c r="E4181" s="128" t="s">
        <v>134</v>
      </c>
      <c r="F4181" s="128">
        <v>202518</v>
      </c>
      <c r="G4181" s="128">
        <v>85158</v>
      </c>
      <c r="H4181" s="128">
        <v>28790</v>
      </c>
      <c r="I4181" s="128">
        <v>1369</v>
      </c>
    </row>
    <row r="4182" spans="1:9" ht="13.5">
      <c r="A4182" s="128">
        <v>2004</v>
      </c>
      <c r="B4182" s="128" t="s">
        <v>137</v>
      </c>
      <c r="C4182" s="128" t="s">
        <v>27</v>
      </c>
      <c r="D4182" s="128" t="s">
        <v>79</v>
      </c>
      <c r="E4182" s="128" t="s">
        <v>135</v>
      </c>
      <c r="F4182" s="128">
        <v>410578</v>
      </c>
      <c r="G4182" s="128">
        <v>121270</v>
      </c>
      <c r="H4182" s="128">
        <v>40516</v>
      </c>
      <c r="I4182" s="128">
        <v>918</v>
      </c>
    </row>
    <row r="4183" spans="1:9" ht="13.5">
      <c r="A4183" s="128">
        <v>2004</v>
      </c>
      <c r="B4183" s="128" t="s">
        <v>137</v>
      </c>
      <c r="C4183" s="128" t="s">
        <v>27</v>
      </c>
      <c r="D4183" s="128" t="s">
        <v>79</v>
      </c>
      <c r="E4183" s="128" t="s">
        <v>136</v>
      </c>
      <c r="F4183" s="128">
        <v>162456</v>
      </c>
      <c r="G4183" s="128">
        <v>123369</v>
      </c>
      <c r="H4183" s="128">
        <v>39086</v>
      </c>
      <c r="I4183" s="128">
        <v>2542</v>
      </c>
    </row>
    <row r="4184" spans="1:9" ht="13.5">
      <c r="A4184" s="128">
        <v>2004</v>
      </c>
      <c r="B4184" s="128" t="s">
        <v>137</v>
      </c>
      <c r="C4184" s="128" t="s">
        <v>27</v>
      </c>
      <c r="D4184" s="128" t="s">
        <v>76</v>
      </c>
      <c r="E4184" s="128" t="s">
        <v>132</v>
      </c>
      <c r="F4184" s="128">
        <v>270273</v>
      </c>
      <c r="G4184" s="128">
        <v>174226</v>
      </c>
      <c r="H4184" s="128">
        <v>96047</v>
      </c>
      <c r="I4184" s="128">
        <v>3529</v>
      </c>
    </row>
    <row r="4185" spans="1:9" ht="13.5">
      <c r="A4185" s="128">
        <v>2004</v>
      </c>
      <c r="B4185" s="128" t="s">
        <v>137</v>
      </c>
      <c r="C4185" s="128" t="s">
        <v>27</v>
      </c>
      <c r="D4185" s="128" t="s">
        <v>76</v>
      </c>
      <c r="E4185" s="128" t="s">
        <v>133</v>
      </c>
      <c r="F4185" s="128">
        <v>670503</v>
      </c>
      <c r="G4185" s="128">
        <v>368589</v>
      </c>
      <c r="H4185" s="128">
        <v>301919</v>
      </c>
      <c r="I4185" s="128">
        <v>3144</v>
      </c>
    </row>
    <row r="4186" spans="1:9" ht="13.5">
      <c r="A4186" s="128">
        <v>2004</v>
      </c>
      <c r="B4186" s="128" t="s">
        <v>137</v>
      </c>
      <c r="C4186" s="128" t="s">
        <v>27</v>
      </c>
      <c r="D4186" s="128" t="s">
        <v>76</v>
      </c>
      <c r="E4186" s="128" t="s">
        <v>134</v>
      </c>
      <c r="F4186" s="128">
        <v>390886</v>
      </c>
      <c r="G4186" s="128">
        <v>181602</v>
      </c>
      <c r="H4186" s="128">
        <v>209284</v>
      </c>
      <c r="I4186" s="128">
        <v>2658</v>
      </c>
    </row>
    <row r="4187" spans="1:9" ht="13.5">
      <c r="A4187" s="128">
        <v>2004</v>
      </c>
      <c r="B4187" s="128" t="s">
        <v>137</v>
      </c>
      <c r="C4187" s="128" t="s">
        <v>27</v>
      </c>
      <c r="D4187" s="128" t="s">
        <v>76</v>
      </c>
      <c r="E4187" s="128" t="s">
        <v>135</v>
      </c>
      <c r="F4187" s="128">
        <v>117968</v>
      </c>
      <c r="G4187" s="128">
        <v>33261</v>
      </c>
      <c r="H4187" s="128">
        <v>84708</v>
      </c>
      <c r="I4187" s="128">
        <v>110</v>
      </c>
    </row>
    <row r="4188" spans="1:9" ht="13.5">
      <c r="A4188" s="128">
        <v>2004</v>
      </c>
      <c r="B4188" s="128" t="s">
        <v>137</v>
      </c>
      <c r="C4188" s="128" t="s">
        <v>27</v>
      </c>
      <c r="D4188" s="128" t="s">
        <v>76</v>
      </c>
      <c r="E4188" s="128" t="s">
        <v>136</v>
      </c>
      <c r="F4188" s="128">
        <v>48065</v>
      </c>
      <c r="G4188" s="128">
        <v>36129</v>
      </c>
      <c r="H4188" s="128">
        <v>11938</v>
      </c>
      <c r="I4188" s="128">
        <v>587</v>
      </c>
    </row>
    <row r="4189" spans="1:9" ht="13.5">
      <c r="A4189" s="128">
        <v>2004</v>
      </c>
      <c r="B4189" s="128" t="s">
        <v>137</v>
      </c>
      <c r="C4189" s="128" t="s">
        <v>22</v>
      </c>
      <c r="D4189" s="128" t="s">
        <v>77</v>
      </c>
      <c r="E4189" s="128" t="s">
        <v>132</v>
      </c>
      <c r="F4189" s="128">
        <v>314349</v>
      </c>
      <c r="G4189" s="128">
        <v>206204</v>
      </c>
      <c r="H4189" s="128">
        <v>86942</v>
      </c>
      <c r="I4189" s="128">
        <v>1906</v>
      </c>
    </row>
    <row r="4190" spans="1:9" ht="13.5">
      <c r="A4190" s="128">
        <v>2004</v>
      </c>
      <c r="B4190" s="128" t="s">
        <v>137</v>
      </c>
      <c r="C4190" s="128" t="s">
        <v>22</v>
      </c>
      <c r="D4190" s="128" t="s">
        <v>77</v>
      </c>
      <c r="E4190" s="128" t="s">
        <v>133</v>
      </c>
      <c r="F4190" s="128">
        <v>1615695</v>
      </c>
      <c r="G4190" s="128">
        <v>885368</v>
      </c>
      <c r="H4190" s="128">
        <v>600749</v>
      </c>
      <c r="I4190" s="128">
        <v>14010</v>
      </c>
    </row>
    <row r="4191" spans="1:9" ht="13.5">
      <c r="A4191" s="128">
        <v>2004</v>
      </c>
      <c r="B4191" s="128" t="s">
        <v>137</v>
      </c>
      <c r="C4191" s="128" t="s">
        <v>22</v>
      </c>
      <c r="D4191" s="128" t="s">
        <v>77</v>
      </c>
      <c r="E4191" s="128" t="s">
        <v>134</v>
      </c>
      <c r="F4191" s="128">
        <v>3785173</v>
      </c>
      <c r="G4191" s="128">
        <v>1586139</v>
      </c>
      <c r="H4191" s="128">
        <v>1456703</v>
      </c>
      <c r="I4191" s="128">
        <v>11986</v>
      </c>
    </row>
    <row r="4192" spans="1:9" ht="13.5">
      <c r="A4192" s="128">
        <v>2004</v>
      </c>
      <c r="B4192" s="128" t="s">
        <v>137</v>
      </c>
      <c r="C4192" s="128" t="s">
        <v>22</v>
      </c>
      <c r="D4192" s="128" t="s">
        <v>77</v>
      </c>
      <c r="E4192" s="128" t="s">
        <v>135</v>
      </c>
      <c r="F4192" s="128">
        <v>4549850</v>
      </c>
      <c r="G4192" s="128">
        <v>1264277</v>
      </c>
      <c r="H4192" s="128">
        <v>1339834</v>
      </c>
      <c r="I4192" s="128">
        <v>14742</v>
      </c>
    </row>
    <row r="4193" spans="1:9" ht="13.5">
      <c r="A4193" s="128">
        <v>2004</v>
      </c>
      <c r="B4193" s="128" t="s">
        <v>137</v>
      </c>
      <c r="C4193" s="128" t="s">
        <v>22</v>
      </c>
      <c r="D4193" s="128" t="s">
        <v>79</v>
      </c>
      <c r="E4193" s="128" t="s">
        <v>132</v>
      </c>
      <c r="F4193" s="128">
        <v>3265488</v>
      </c>
      <c r="G4193" s="128">
        <v>2181741</v>
      </c>
      <c r="H4193" s="128">
        <v>732057</v>
      </c>
      <c r="I4193" s="128">
        <v>18572</v>
      </c>
    </row>
    <row r="4194" spans="1:9" ht="13.5">
      <c r="A4194" s="128">
        <v>2004</v>
      </c>
      <c r="B4194" s="128" t="s">
        <v>137</v>
      </c>
      <c r="C4194" s="128" t="s">
        <v>22</v>
      </c>
      <c r="D4194" s="128" t="s">
        <v>79</v>
      </c>
      <c r="E4194" s="128" t="s">
        <v>133</v>
      </c>
      <c r="F4194" s="128">
        <v>5839410</v>
      </c>
      <c r="G4194" s="128">
        <v>3213084</v>
      </c>
      <c r="H4194" s="128">
        <v>1088947</v>
      </c>
      <c r="I4194" s="128">
        <v>45627</v>
      </c>
    </row>
    <row r="4195" spans="1:9" ht="13.5">
      <c r="A4195" s="128">
        <v>2004</v>
      </c>
      <c r="B4195" s="128" t="s">
        <v>137</v>
      </c>
      <c r="C4195" s="128" t="s">
        <v>22</v>
      </c>
      <c r="D4195" s="128" t="s">
        <v>79</v>
      </c>
      <c r="E4195" s="128" t="s">
        <v>134</v>
      </c>
      <c r="F4195" s="128">
        <v>11152896</v>
      </c>
      <c r="G4195" s="128">
        <v>4755920</v>
      </c>
      <c r="H4195" s="128">
        <v>1620180</v>
      </c>
      <c r="I4195" s="128">
        <v>49228</v>
      </c>
    </row>
    <row r="4196" spans="1:9" ht="13.5">
      <c r="A4196" s="128">
        <v>2004</v>
      </c>
      <c r="B4196" s="128" t="s">
        <v>137</v>
      </c>
      <c r="C4196" s="128" t="s">
        <v>22</v>
      </c>
      <c r="D4196" s="128" t="s">
        <v>79</v>
      </c>
      <c r="E4196" s="128" t="s">
        <v>135</v>
      </c>
      <c r="F4196" s="128">
        <v>15170381</v>
      </c>
      <c r="G4196" s="128">
        <v>4436791</v>
      </c>
      <c r="H4196" s="128">
        <v>1525966</v>
      </c>
      <c r="I4196" s="128">
        <v>43199</v>
      </c>
    </row>
    <row r="4197" spans="1:9" ht="13.5">
      <c r="A4197" s="128">
        <v>2004</v>
      </c>
      <c r="B4197" s="128" t="s">
        <v>137</v>
      </c>
      <c r="C4197" s="128" t="s">
        <v>22</v>
      </c>
      <c r="D4197" s="128" t="s">
        <v>79</v>
      </c>
      <c r="E4197" s="128" t="s">
        <v>136</v>
      </c>
      <c r="F4197" s="128">
        <v>9079747</v>
      </c>
      <c r="G4197" s="128">
        <v>6911812</v>
      </c>
      <c r="H4197" s="128">
        <v>2167152</v>
      </c>
      <c r="I4197" s="128">
        <v>125054</v>
      </c>
    </row>
    <row r="4198" spans="1:9" ht="13.5">
      <c r="A4198" s="128">
        <v>2004</v>
      </c>
      <c r="B4198" s="128" t="s">
        <v>137</v>
      </c>
      <c r="C4198" s="128" t="s">
        <v>22</v>
      </c>
      <c r="D4198" s="128" t="s">
        <v>76</v>
      </c>
      <c r="E4198" s="128" t="s">
        <v>132</v>
      </c>
      <c r="F4198" s="128">
        <v>21666118</v>
      </c>
      <c r="G4198" s="128">
        <v>14071100</v>
      </c>
      <c r="H4198" s="128">
        <v>7595018</v>
      </c>
      <c r="I4198" s="128">
        <v>365483</v>
      </c>
    </row>
    <row r="4199" spans="1:9" ht="13.5">
      <c r="A4199" s="128">
        <v>2004</v>
      </c>
      <c r="B4199" s="128" t="s">
        <v>137</v>
      </c>
      <c r="C4199" s="128" t="s">
        <v>22</v>
      </c>
      <c r="D4199" s="128" t="s">
        <v>76</v>
      </c>
      <c r="E4199" s="128" t="s">
        <v>133</v>
      </c>
      <c r="F4199" s="128">
        <v>34188989</v>
      </c>
      <c r="G4199" s="128">
        <v>18951241</v>
      </c>
      <c r="H4199" s="128">
        <v>15237748</v>
      </c>
      <c r="I4199" s="128">
        <v>194902</v>
      </c>
    </row>
    <row r="4200" spans="1:9" ht="13.5">
      <c r="A4200" s="128">
        <v>2004</v>
      </c>
      <c r="B4200" s="128" t="s">
        <v>137</v>
      </c>
      <c r="C4200" s="128" t="s">
        <v>22</v>
      </c>
      <c r="D4200" s="128" t="s">
        <v>76</v>
      </c>
      <c r="E4200" s="128" t="s">
        <v>134</v>
      </c>
      <c r="F4200" s="128">
        <v>18295371</v>
      </c>
      <c r="G4200" s="128">
        <v>8656800</v>
      </c>
      <c r="H4200" s="128">
        <v>9638571</v>
      </c>
      <c r="I4200" s="128">
        <v>151157</v>
      </c>
    </row>
    <row r="4201" spans="1:9" ht="13.5">
      <c r="A4201" s="128">
        <v>2004</v>
      </c>
      <c r="B4201" s="128" t="s">
        <v>137</v>
      </c>
      <c r="C4201" s="128" t="s">
        <v>22</v>
      </c>
      <c r="D4201" s="128" t="s">
        <v>76</v>
      </c>
      <c r="E4201" s="128" t="s">
        <v>135</v>
      </c>
      <c r="F4201" s="128">
        <v>3263842</v>
      </c>
      <c r="G4201" s="128">
        <v>946890</v>
      </c>
      <c r="H4201" s="128">
        <v>2316951</v>
      </c>
      <c r="I4201" s="128">
        <v>3654</v>
      </c>
    </row>
    <row r="4202" spans="1:9" ht="13.5">
      <c r="A4202" s="128">
        <v>2004</v>
      </c>
      <c r="B4202" s="128" t="s">
        <v>137</v>
      </c>
      <c r="C4202" s="128" t="s">
        <v>22</v>
      </c>
      <c r="D4202" s="128" t="s">
        <v>76</v>
      </c>
      <c r="E4202" s="128" t="s">
        <v>136</v>
      </c>
      <c r="F4202" s="128">
        <v>1397794</v>
      </c>
      <c r="G4202" s="128">
        <v>1057648</v>
      </c>
      <c r="H4202" s="128">
        <v>340574</v>
      </c>
      <c r="I4202" s="128">
        <v>28731</v>
      </c>
    </row>
    <row r="4203" spans="1:9" ht="13.5">
      <c r="A4203" s="128">
        <v>2004</v>
      </c>
      <c r="B4203" s="128" t="s">
        <v>137</v>
      </c>
      <c r="C4203" s="128" t="s">
        <v>23</v>
      </c>
      <c r="D4203" s="128" t="s">
        <v>77</v>
      </c>
      <c r="E4203" s="128" t="s">
        <v>132</v>
      </c>
      <c r="F4203" s="128">
        <v>678653</v>
      </c>
      <c r="G4203" s="128">
        <v>442631</v>
      </c>
      <c r="H4203" s="128">
        <v>194785</v>
      </c>
      <c r="I4203" s="128">
        <v>5260</v>
      </c>
    </row>
    <row r="4204" spans="1:9" ht="13.5">
      <c r="A4204" s="128">
        <v>2004</v>
      </c>
      <c r="B4204" s="128" t="s">
        <v>137</v>
      </c>
      <c r="C4204" s="128" t="s">
        <v>23</v>
      </c>
      <c r="D4204" s="128" t="s">
        <v>77</v>
      </c>
      <c r="E4204" s="128" t="s">
        <v>133</v>
      </c>
      <c r="F4204" s="128">
        <v>596781</v>
      </c>
      <c r="G4204" s="128">
        <v>314407</v>
      </c>
      <c r="H4204" s="128">
        <v>220706</v>
      </c>
      <c r="I4204" s="128">
        <v>2793</v>
      </c>
    </row>
    <row r="4205" spans="1:9" ht="13.5">
      <c r="A4205" s="128">
        <v>2004</v>
      </c>
      <c r="B4205" s="128" t="s">
        <v>137</v>
      </c>
      <c r="C4205" s="128" t="s">
        <v>23</v>
      </c>
      <c r="D4205" s="128" t="s">
        <v>77</v>
      </c>
      <c r="E4205" s="128" t="s">
        <v>134</v>
      </c>
      <c r="F4205" s="128">
        <v>1043903</v>
      </c>
      <c r="G4205" s="128">
        <v>449164</v>
      </c>
      <c r="H4205" s="128">
        <v>418673</v>
      </c>
      <c r="I4205" s="128">
        <v>3896</v>
      </c>
    </row>
    <row r="4206" spans="1:9" ht="13.5">
      <c r="A4206" s="128">
        <v>2004</v>
      </c>
      <c r="B4206" s="128" t="s">
        <v>137</v>
      </c>
      <c r="C4206" s="128" t="s">
        <v>23</v>
      </c>
      <c r="D4206" s="128" t="s">
        <v>77</v>
      </c>
      <c r="E4206" s="128" t="s">
        <v>135</v>
      </c>
      <c r="F4206" s="128">
        <v>919858</v>
      </c>
      <c r="G4206" s="128">
        <v>232000</v>
      </c>
      <c r="H4206" s="128">
        <v>223732</v>
      </c>
      <c r="I4206" s="128">
        <v>1878</v>
      </c>
    </row>
    <row r="4207" spans="1:9" ht="13.5">
      <c r="A4207" s="128">
        <v>2004</v>
      </c>
      <c r="B4207" s="128" t="s">
        <v>137</v>
      </c>
      <c r="C4207" s="128" t="s">
        <v>23</v>
      </c>
      <c r="D4207" s="128" t="s">
        <v>79</v>
      </c>
      <c r="E4207" s="128" t="s">
        <v>132</v>
      </c>
      <c r="F4207" s="128">
        <v>433007</v>
      </c>
      <c r="G4207" s="128">
        <v>288550</v>
      </c>
      <c r="H4207" s="128">
        <v>97367</v>
      </c>
      <c r="I4207" s="128">
        <v>4497</v>
      </c>
    </row>
    <row r="4208" spans="1:9" ht="13.5">
      <c r="A4208" s="128">
        <v>2004</v>
      </c>
      <c r="B4208" s="128" t="s">
        <v>137</v>
      </c>
      <c r="C4208" s="128" t="s">
        <v>23</v>
      </c>
      <c r="D4208" s="128" t="s">
        <v>79</v>
      </c>
      <c r="E4208" s="128" t="s">
        <v>133</v>
      </c>
      <c r="F4208" s="128">
        <v>495870</v>
      </c>
      <c r="G4208" s="128">
        <v>270251</v>
      </c>
      <c r="H4208" s="128">
        <v>92932</v>
      </c>
      <c r="I4208" s="128">
        <v>3335</v>
      </c>
    </row>
    <row r="4209" spans="1:9" ht="13.5">
      <c r="A4209" s="128">
        <v>2004</v>
      </c>
      <c r="B4209" s="128" t="s">
        <v>137</v>
      </c>
      <c r="C4209" s="128" t="s">
        <v>23</v>
      </c>
      <c r="D4209" s="128" t="s">
        <v>79</v>
      </c>
      <c r="E4209" s="128" t="s">
        <v>134</v>
      </c>
      <c r="F4209" s="128">
        <v>416941</v>
      </c>
      <c r="G4209" s="128">
        <v>179177</v>
      </c>
      <c r="H4209" s="128">
        <v>59712</v>
      </c>
      <c r="I4209" s="128">
        <v>2551</v>
      </c>
    </row>
    <row r="4210" spans="1:9" ht="13.5">
      <c r="A4210" s="128">
        <v>2004</v>
      </c>
      <c r="B4210" s="128" t="s">
        <v>137</v>
      </c>
      <c r="C4210" s="128" t="s">
        <v>23</v>
      </c>
      <c r="D4210" s="128" t="s">
        <v>79</v>
      </c>
      <c r="E4210" s="128" t="s">
        <v>135</v>
      </c>
      <c r="F4210" s="128">
        <v>802215</v>
      </c>
      <c r="G4210" s="128">
        <v>226778</v>
      </c>
      <c r="H4210" s="128">
        <v>76327</v>
      </c>
      <c r="I4210" s="128">
        <v>2502</v>
      </c>
    </row>
    <row r="4211" spans="1:9" ht="13.5">
      <c r="A4211" s="128">
        <v>2004</v>
      </c>
      <c r="B4211" s="128" t="s">
        <v>137</v>
      </c>
      <c r="C4211" s="128" t="s">
        <v>23</v>
      </c>
      <c r="D4211" s="128" t="s">
        <v>79</v>
      </c>
      <c r="E4211" s="128" t="s">
        <v>136</v>
      </c>
      <c r="F4211" s="128">
        <v>2934922</v>
      </c>
      <c r="G4211" s="128">
        <v>2224638</v>
      </c>
      <c r="H4211" s="128">
        <v>710203</v>
      </c>
      <c r="I4211" s="128">
        <v>54843</v>
      </c>
    </row>
    <row r="4212" spans="1:9" ht="13.5">
      <c r="A4212" s="128">
        <v>2004</v>
      </c>
      <c r="B4212" s="128" t="s">
        <v>137</v>
      </c>
      <c r="C4212" s="128" t="s">
        <v>23</v>
      </c>
      <c r="D4212" s="128" t="s">
        <v>76</v>
      </c>
      <c r="E4212" s="128" t="s">
        <v>132</v>
      </c>
      <c r="F4212" s="128">
        <v>11068778</v>
      </c>
      <c r="G4212" s="128">
        <v>7098430</v>
      </c>
      <c r="H4212" s="128">
        <v>3970349</v>
      </c>
      <c r="I4212" s="128">
        <v>168757</v>
      </c>
    </row>
    <row r="4213" spans="1:9" ht="13.5">
      <c r="A4213" s="128">
        <v>2004</v>
      </c>
      <c r="B4213" s="128" t="s">
        <v>137</v>
      </c>
      <c r="C4213" s="128" t="s">
        <v>23</v>
      </c>
      <c r="D4213" s="128" t="s">
        <v>76</v>
      </c>
      <c r="E4213" s="128" t="s">
        <v>133</v>
      </c>
      <c r="F4213" s="128">
        <v>17373367</v>
      </c>
      <c r="G4213" s="128">
        <v>9375013</v>
      </c>
      <c r="H4213" s="128">
        <v>7998355</v>
      </c>
      <c r="I4213" s="128">
        <v>65422</v>
      </c>
    </row>
    <row r="4214" spans="1:9" ht="13.5">
      <c r="A4214" s="128">
        <v>2004</v>
      </c>
      <c r="B4214" s="128" t="s">
        <v>137</v>
      </c>
      <c r="C4214" s="128" t="s">
        <v>23</v>
      </c>
      <c r="D4214" s="128" t="s">
        <v>76</v>
      </c>
      <c r="E4214" s="128" t="s">
        <v>134</v>
      </c>
      <c r="F4214" s="128">
        <v>14644397</v>
      </c>
      <c r="G4214" s="128">
        <v>6702515</v>
      </c>
      <c r="H4214" s="128">
        <v>7941883</v>
      </c>
      <c r="I4214" s="128">
        <v>91777</v>
      </c>
    </row>
    <row r="4215" spans="1:9" ht="13.5">
      <c r="A4215" s="128">
        <v>2004</v>
      </c>
      <c r="B4215" s="128" t="s">
        <v>137</v>
      </c>
      <c r="C4215" s="128" t="s">
        <v>23</v>
      </c>
      <c r="D4215" s="128" t="s">
        <v>76</v>
      </c>
      <c r="E4215" s="128" t="s">
        <v>135</v>
      </c>
      <c r="F4215" s="128">
        <v>1197181</v>
      </c>
      <c r="G4215" s="128">
        <v>310818</v>
      </c>
      <c r="H4215" s="128">
        <v>886365</v>
      </c>
      <c r="I4215" s="128">
        <v>1152</v>
      </c>
    </row>
    <row r="4216" spans="1:9" ht="13.5">
      <c r="A4216" s="128">
        <v>2004</v>
      </c>
      <c r="B4216" s="128" t="s">
        <v>137</v>
      </c>
      <c r="C4216" s="128" t="s">
        <v>23</v>
      </c>
      <c r="D4216" s="128" t="s">
        <v>76</v>
      </c>
      <c r="E4216" s="128" t="s">
        <v>136</v>
      </c>
      <c r="F4216" s="128">
        <v>1871392</v>
      </c>
      <c r="G4216" s="128">
        <v>1407708</v>
      </c>
      <c r="H4216" s="128">
        <v>463645</v>
      </c>
      <c r="I4216" s="128">
        <v>19146</v>
      </c>
    </row>
    <row r="4217" spans="1:9" ht="13.5">
      <c r="A4217" s="128">
        <v>2004</v>
      </c>
      <c r="B4217" s="128" t="s">
        <v>137</v>
      </c>
      <c r="C4217" s="128" t="s">
        <v>25</v>
      </c>
      <c r="D4217" s="128" t="s">
        <v>77</v>
      </c>
      <c r="E4217" s="128" t="s">
        <v>132</v>
      </c>
      <c r="F4217" s="128">
        <v>37060</v>
      </c>
      <c r="G4217" s="128">
        <v>24276</v>
      </c>
      <c r="H4217" s="128">
        <v>9495</v>
      </c>
      <c r="I4217" s="128">
        <v>242</v>
      </c>
    </row>
    <row r="4218" spans="1:9" ht="13.5">
      <c r="A4218" s="128">
        <v>2004</v>
      </c>
      <c r="B4218" s="128" t="s">
        <v>137</v>
      </c>
      <c r="C4218" s="128" t="s">
        <v>25</v>
      </c>
      <c r="D4218" s="128" t="s">
        <v>77</v>
      </c>
      <c r="E4218" s="128" t="s">
        <v>133</v>
      </c>
      <c r="F4218" s="128">
        <v>70010</v>
      </c>
      <c r="G4218" s="128">
        <v>37832</v>
      </c>
      <c r="H4218" s="128">
        <v>26348</v>
      </c>
      <c r="I4218" s="128">
        <v>255</v>
      </c>
    </row>
    <row r="4219" spans="1:9" ht="13.5">
      <c r="A4219" s="128">
        <v>2004</v>
      </c>
      <c r="B4219" s="128" t="s">
        <v>137</v>
      </c>
      <c r="C4219" s="128" t="s">
        <v>25</v>
      </c>
      <c r="D4219" s="128" t="s">
        <v>77</v>
      </c>
      <c r="E4219" s="128" t="s">
        <v>134</v>
      </c>
      <c r="F4219" s="128">
        <v>288716</v>
      </c>
      <c r="G4219" s="128">
        <v>121166</v>
      </c>
      <c r="H4219" s="128">
        <v>117954</v>
      </c>
      <c r="I4219" s="128">
        <v>980</v>
      </c>
    </row>
    <row r="4220" spans="1:9" ht="13.5">
      <c r="A4220" s="128">
        <v>2004</v>
      </c>
      <c r="B4220" s="128" t="s">
        <v>137</v>
      </c>
      <c r="C4220" s="128" t="s">
        <v>25</v>
      </c>
      <c r="D4220" s="128" t="s">
        <v>77</v>
      </c>
      <c r="E4220" s="128" t="s">
        <v>135</v>
      </c>
      <c r="F4220" s="128">
        <v>386996</v>
      </c>
      <c r="G4220" s="128">
        <v>113035</v>
      </c>
      <c r="H4220" s="128">
        <v>127820</v>
      </c>
      <c r="I4220" s="128">
        <v>1260</v>
      </c>
    </row>
    <row r="4221" spans="1:9" ht="13.5">
      <c r="A4221" s="128">
        <v>2004</v>
      </c>
      <c r="B4221" s="128" t="s">
        <v>137</v>
      </c>
      <c r="C4221" s="128" t="s">
        <v>25</v>
      </c>
      <c r="D4221" s="128" t="s">
        <v>79</v>
      </c>
      <c r="E4221" s="128" t="s">
        <v>132</v>
      </c>
      <c r="F4221" s="128">
        <v>317767</v>
      </c>
      <c r="G4221" s="128">
        <v>208289</v>
      </c>
      <c r="H4221" s="128">
        <v>69450</v>
      </c>
      <c r="I4221" s="128">
        <v>2173</v>
      </c>
    </row>
    <row r="4222" spans="1:9" ht="13.5">
      <c r="A4222" s="128">
        <v>2004</v>
      </c>
      <c r="B4222" s="128" t="s">
        <v>137</v>
      </c>
      <c r="C4222" s="128" t="s">
        <v>25</v>
      </c>
      <c r="D4222" s="128" t="s">
        <v>79</v>
      </c>
      <c r="E4222" s="128" t="s">
        <v>133</v>
      </c>
      <c r="F4222" s="128">
        <v>334708</v>
      </c>
      <c r="G4222" s="128">
        <v>182121</v>
      </c>
      <c r="H4222" s="128">
        <v>61529</v>
      </c>
      <c r="I4222" s="128">
        <v>2247</v>
      </c>
    </row>
    <row r="4223" spans="1:9" ht="13.5">
      <c r="A4223" s="128">
        <v>2004</v>
      </c>
      <c r="B4223" s="128" t="s">
        <v>137</v>
      </c>
      <c r="C4223" s="128" t="s">
        <v>25</v>
      </c>
      <c r="D4223" s="128" t="s">
        <v>79</v>
      </c>
      <c r="E4223" s="128" t="s">
        <v>134</v>
      </c>
      <c r="F4223" s="128">
        <v>614488</v>
      </c>
      <c r="G4223" s="128">
        <v>260166</v>
      </c>
      <c r="H4223" s="128">
        <v>86824</v>
      </c>
      <c r="I4223" s="128">
        <v>3140</v>
      </c>
    </row>
    <row r="4224" spans="1:9" ht="13.5">
      <c r="A4224" s="128">
        <v>2004</v>
      </c>
      <c r="B4224" s="128" t="s">
        <v>137</v>
      </c>
      <c r="C4224" s="128" t="s">
        <v>25</v>
      </c>
      <c r="D4224" s="128" t="s">
        <v>79</v>
      </c>
      <c r="E4224" s="128" t="s">
        <v>135</v>
      </c>
      <c r="F4224" s="128">
        <v>1201057</v>
      </c>
      <c r="G4224" s="128">
        <v>326020</v>
      </c>
      <c r="H4224" s="128">
        <v>109550</v>
      </c>
      <c r="I4224" s="128">
        <v>2759</v>
      </c>
    </row>
    <row r="4225" spans="1:9" ht="13.5">
      <c r="A4225" s="128">
        <v>2004</v>
      </c>
      <c r="B4225" s="128" t="s">
        <v>137</v>
      </c>
      <c r="C4225" s="128" t="s">
        <v>25</v>
      </c>
      <c r="D4225" s="128" t="s">
        <v>79</v>
      </c>
      <c r="E4225" s="128" t="s">
        <v>136</v>
      </c>
      <c r="F4225" s="128">
        <v>1503870</v>
      </c>
      <c r="G4225" s="128">
        <v>1140931</v>
      </c>
      <c r="H4225" s="128">
        <v>362940</v>
      </c>
      <c r="I4225" s="128">
        <v>23192</v>
      </c>
    </row>
    <row r="4226" spans="1:9" ht="13.5">
      <c r="A4226" s="128">
        <v>2004</v>
      </c>
      <c r="B4226" s="128" t="s">
        <v>137</v>
      </c>
      <c r="C4226" s="128" t="s">
        <v>25</v>
      </c>
      <c r="D4226" s="128" t="s">
        <v>76</v>
      </c>
      <c r="E4226" s="128" t="s">
        <v>132</v>
      </c>
      <c r="F4226" s="128">
        <v>2426885</v>
      </c>
      <c r="G4226" s="128">
        <v>1578574</v>
      </c>
      <c r="H4226" s="128">
        <v>848312</v>
      </c>
      <c r="I4226" s="128">
        <v>33580</v>
      </c>
    </row>
    <row r="4227" spans="1:9" ht="13.5">
      <c r="A4227" s="128">
        <v>2004</v>
      </c>
      <c r="B4227" s="128" t="s">
        <v>137</v>
      </c>
      <c r="C4227" s="128" t="s">
        <v>25</v>
      </c>
      <c r="D4227" s="128" t="s">
        <v>76</v>
      </c>
      <c r="E4227" s="128" t="s">
        <v>133</v>
      </c>
      <c r="F4227" s="128">
        <v>3781606</v>
      </c>
      <c r="G4227" s="128">
        <v>2080145</v>
      </c>
      <c r="H4227" s="128">
        <v>1701460</v>
      </c>
      <c r="I4227" s="128">
        <v>15937</v>
      </c>
    </row>
    <row r="4228" spans="1:9" ht="13.5">
      <c r="A4228" s="128">
        <v>2004</v>
      </c>
      <c r="B4228" s="128" t="s">
        <v>137</v>
      </c>
      <c r="C4228" s="128" t="s">
        <v>25</v>
      </c>
      <c r="D4228" s="128" t="s">
        <v>76</v>
      </c>
      <c r="E4228" s="128" t="s">
        <v>134</v>
      </c>
      <c r="F4228" s="128">
        <v>2698978</v>
      </c>
      <c r="G4228" s="128">
        <v>1262552</v>
      </c>
      <c r="H4228" s="128">
        <v>1436429</v>
      </c>
      <c r="I4228" s="128">
        <v>18079</v>
      </c>
    </row>
    <row r="4229" spans="1:9" ht="13.5">
      <c r="A4229" s="128">
        <v>2004</v>
      </c>
      <c r="B4229" s="128" t="s">
        <v>137</v>
      </c>
      <c r="C4229" s="128" t="s">
        <v>25</v>
      </c>
      <c r="D4229" s="128" t="s">
        <v>76</v>
      </c>
      <c r="E4229" s="128" t="s">
        <v>135</v>
      </c>
      <c r="F4229" s="128">
        <v>331451</v>
      </c>
      <c r="G4229" s="128">
        <v>94980</v>
      </c>
      <c r="H4229" s="128">
        <v>236470</v>
      </c>
      <c r="I4229" s="128">
        <v>332</v>
      </c>
    </row>
    <row r="4230" spans="1:9" ht="13.5">
      <c r="A4230" s="128">
        <v>2004</v>
      </c>
      <c r="B4230" s="128" t="s">
        <v>137</v>
      </c>
      <c r="C4230" s="128" t="s">
        <v>25</v>
      </c>
      <c r="D4230" s="128" t="s">
        <v>76</v>
      </c>
      <c r="E4230" s="128" t="s">
        <v>136</v>
      </c>
      <c r="F4230" s="128">
        <v>141199</v>
      </c>
      <c r="G4230" s="128">
        <v>108190</v>
      </c>
      <c r="H4230" s="128">
        <v>33007</v>
      </c>
      <c r="I4230" s="128">
        <v>1355</v>
      </c>
    </row>
    <row r="4231" spans="1:9" ht="13.5">
      <c r="A4231" s="128">
        <v>2004</v>
      </c>
      <c r="B4231" s="128" t="s">
        <v>137</v>
      </c>
      <c r="C4231" s="128" t="s">
        <v>21</v>
      </c>
      <c r="D4231" s="128" t="s">
        <v>77</v>
      </c>
      <c r="E4231" s="128" t="s">
        <v>132</v>
      </c>
      <c r="F4231" s="128">
        <v>1393485</v>
      </c>
      <c r="G4231" s="128">
        <v>907548</v>
      </c>
      <c r="H4231" s="128">
        <v>411835</v>
      </c>
      <c r="I4231" s="128">
        <v>8908</v>
      </c>
    </row>
    <row r="4232" spans="1:9" ht="13.5">
      <c r="A4232" s="128">
        <v>2004</v>
      </c>
      <c r="B4232" s="128" t="s">
        <v>137</v>
      </c>
      <c r="C4232" s="128" t="s">
        <v>21</v>
      </c>
      <c r="D4232" s="128" t="s">
        <v>77</v>
      </c>
      <c r="E4232" s="128" t="s">
        <v>133</v>
      </c>
      <c r="F4232" s="128">
        <v>3321725</v>
      </c>
      <c r="G4232" s="128">
        <v>1809722</v>
      </c>
      <c r="H4232" s="128">
        <v>1184852</v>
      </c>
      <c r="I4232" s="128">
        <v>15179</v>
      </c>
    </row>
    <row r="4233" spans="1:9" ht="13.5">
      <c r="A4233" s="128">
        <v>2004</v>
      </c>
      <c r="B4233" s="128" t="s">
        <v>137</v>
      </c>
      <c r="C4233" s="128" t="s">
        <v>21</v>
      </c>
      <c r="D4233" s="128" t="s">
        <v>77</v>
      </c>
      <c r="E4233" s="128" t="s">
        <v>134</v>
      </c>
      <c r="F4233" s="128">
        <v>6091485</v>
      </c>
      <c r="G4233" s="128">
        <v>2620267</v>
      </c>
      <c r="H4233" s="128">
        <v>2254974</v>
      </c>
      <c r="I4233" s="128">
        <v>29850</v>
      </c>
    </row>
    <row r="4234" spans="1:9" ht="13.5">
      <c r="A4234" s="128">
        <v>2004</v>
      </c>
      <c r="B4234" s="128" t="s">
        <v>137</v>
      </c>
      <c r="C4234" s="128" t="s">
        <v>21</v>
      </c>
      <c r="D4234" s="128" t="s">
        <v>77</v>
      </c>
      <c r="E4234" s="128" t="s">
        <v>135</v>
      </c>
      <c r="F4234" s="128">
        <v>5247171</v>
      </c>
      <c r="G4234" s="128">
        <v>1517241</v>
      </c>
      <c r="H4234" s="128">
        <v>1500189</v>
      </c>
      <c r="I4234" s="128">
        <v>16701</v>
      </c>
    </row>
    <row r="4235" spans="1:9" ht="13.5">
      <c r="A4235" s="128">
        <v>2004</v>
      </c>
      <c r="B4235" s="128" t="s">
        <v>137</v>
      </c>
      <c r="C4235" s="128" t="s">
        <v>21</v>
      </c>
      <c r="D4235" s="128" t="s">
        <v>79</v>
      </c>
      <c r="E4235" s="128" t="s">
        <v>132</v>
      </c>
      <c r="F4235" s="128">
        <v>3354704</v>
      </c>
      <c r="G4235" s="128">
        <v>2229806</v>
      </c>
      <c r="H4235" s="128">
        <v>736676</v>
      </c>
      <c r="I4235" s="128">
        <v>26605</v>
      </c>
    </row>
    <row r="4236" spans="1:9" ht="13.5">
      <c r="A4236" s="128">
        <v>2004</v>
      </c>
      <c r="B4236" s="128" t="s">
        <v>137</v>
      </c>
      <c r="C4236" s="128" t="s">
        <v>21</v>
      </c>
      <c r="D4236" s="128" t="s">
        <v>79</v>
      </c>
      <c r="E4236" s="128" t="s">
        <v>133</v>
      </c>
      <c r="F4236" s="128">
        <v>3655314</v>
      </c>
      <c r="G4236" s="128">
        <v>1997974</v>
      </c>
      <c r="H4236" s="128">
        <v>681786</v>
      </c>
      <c r="I4236" s="128">
        <v>22172</v>
      </c>
    </row>
    <row r="4237" spans="1:9" ht="13.5">
      <c r="A4237" s="128">
        <v>2004</v>
      </c>
      <c r="B4237" s="128" t="s">
        <v>137</v>
      </c>
      <c r="C4237" s="128" t="s">
        <v>21</v>
      </c>
      <c r="D4237" s="128" t="s">
        <v>79</v>
      </c>
      <c r="E4237" s="128" t="s">
        <v>134</v>
      </c>
      <c r="F4237" s="128">
        <v>8259911</v>
      </c>
      <c r="G4237" s="128">
        <v>3564197</v>
      </c>
      <c r="H4237" s="128">
        <v>1196665</v>
      </c>
      <c r="I4237" s="128">
        <v>58963</v>
      </c>
    </row>
    <row r="4238" spans="1:9" ht="13.5">
      <c r="A4238" s="128">
        <v>2004</v>
      </c>
      <c r="B4238" s="128" t="s">
        <v>137</v>
      </c>
      <c r="C4238" s="128" t="s">
        <v>21</v>
      </c>
      <c r="D4238" s="128" t="s">
        <v>79</v>
      </c>
      <c r="E4238" s="128" t="s">
        <v>135</v>
      </c>
      <c r="F4238" s="128">
        <v>9181195</v>
      </c>
      <c r="G4238" s="128">
        <v>2498716</v>
      </c>
      <c r="H4238" s="128">
        <v>880771</v>
      </c>
      <c r="I4238" s="128">
        <v>25469</v>
      </c>
    </row>
    <row r="4239" spans="1:9" ht="13.5">
      <c r="A4239" s="128">
        <v>2004</v>
      </c>
      <c r="B4239" s="128" t="s">
        <v>137</v>
      </c>
      <c r="C4239" s="128" t="s">
        <v>21</v>
      </c>
      <c r="D4239" s="128" t="s">
        <v>79</v>
      </c>
      <c r="E4239" s="128" t="s">
        <v>136</v>
      </c>
      <c r="F4239" s="128">
        <v>13198145</v>
      </c>
      <c r="G4239" s="128">
        <v>9939821</v>
      </c>
      <c r="H4239" s="128">
        <v>3258289</v>
      </c>
      <c r="I4239" s="128">
        <v>193325</v>
      </c>
    </row>
    <row r="4240" spans="1:9" ht="13.5">
      <c r="A4240" s="128">
        <v>2004</v>
      </c>
      <c r="B4240" s="128" t="s">
        <v>137</v>
      </c>
      <c r="C4240" s="128" t="s">
        <v>21</v>
      </c>
      <c r="D4240" s="128" t="s">
        <v>76</v>
      </c>
      <c r="E4240" s="128" t="s">
        <v>132</v>
      </c>
      <c r="F4240" s="128">
        <v>20087990</v>
      </c>
      <c r="G4240" s="128">
        <v>12952381</v>
      </c>
      <c r="H4240" s="128">
        <v>7135612</v>
      </c>
      <c r="I4240" s="128">
        <v>240691</v>
      </c>
    </row>
    <row r="4241" spans="1:9" ht="13.5">
      <c r="A4241" s="128">
        <v>2004</v>
      </c>
      <c r="B4241" s="128" t="s">
        <v>137</v>
      </c>
      <c r="C4241" s="128" t="s">
        <v>21</v>
      </c>
      <c r="D4241" s="128" t="s">
        <v>76</v>
      </c>
      <c r="E4241" s="128" t="s">
        <v>133</v>
      </c>
      <c r="F4241" s="128">
        <v>52347970</v>
      </c>
      <c r="G4241" s="128">
        <v>29054473</v>
      </c>
      <c r="H4241" s="128">
        <v>23293496</v>
      </c>
      <c r="I4241" s="128">
        <v>329156</v>
      </c>
    </row>
    <row r="4242" spans="1:9" ht="13.5">
      <c r="A4242" s="128">
        <v>2004</v>
      </c>
      <c r="B4242" s="128" t="s">
        <v>137</v>
      </c>
      <c r="C4242" s="128" t="s">
        <v>21</v>
      </c>
      <c r="D4242" s="128" t="s">
        <v>76</v>
      </c>
      <c r="E4242" s="128" t="s">
        <v>134</v>
      </c>
      <c r="F4242" s="128">
        <v>29301763</v>
      </c>
      <c r="G4242" s="128">
        <v>13614159</v>
      </c>
      <c r="H4242" s="128">
        <v>15687600</v>
      </c>
      <c r="I4242" s="128">
        <v>225468</v>
      </c>
    </row>
    <row r="4243" spans="1:9" ht="13.5">
      <c r="A4243" s="128">
        <v>2004</v>
      </c>
      <c r="B4243" s="128" t="s">
        <v>137</v>
      </c>
      <c r="C4243" s="128" t="s">
        <v>21</v>
      </c>
      <c r="D4243" s="128" t="s">
        <v>76</v>
      </c>
      <c r="E4243" s="128" t="s">
        <v>135</v>
      </c>
      <c r="F4243" s="128">
        <v>2364186</v>
      </c>
      <c r="G4243" s="128">
        <v>683258</v>
      </c>
      <c r="H4243" s="128">
        <v>1680928</v>
      </c>
      <c r="I4243" s="128">
        <v>2486</v>
      </c>
    </row>
    <row r="4244" spans="1:9" ht="13.5">
      <c r="A4244" s="128">
        <v>2004</v>
      </c>
      <c r="B4244" s="128" t="s">
        <v>137</v>
      </c>
      <c r="C4244" s="128" t="s">
        <v>21</v>
      </c>
      <c r="D4244" s="128" t="s">
        <v>76</v>
      </c>
      <c r="E4244" s="128" t="s">
        <v>136</v>
      </c>
      <c r="F4244" s="128">
        <v>4015610</v>
      </c>
      <c r="G4244" s="128">
        <v>3033032</v>
      </c>
      <c r="H4244" s="128">
        <v>982574</v>
      </c>
      <c r="I4244" s="128">
        <v>67642</v>
      </c>
    </row>
    <row r="4245" spans="1:9" ht="13.5">
      <c r="A4245" s="128">
        <v>2004</v>
      </c>
      <c r="B4245" s="128" t="s">
        <v>137</v>
      </c>
      <c r="C4245" s="128" t="s">
        <v>24</v>
      </c>
      <c r="D4245" s="128" t="s">
        <v>77</v>
      </c>
      <c r="E4245" s="128" t="s">
        <v>132</v>
      </c>
      <c r="F4245" s="128">
        <v>514858</v>
      </c>
      <c r="G4245" s="128">
        <v>322412</v>
      </c>
      <c r="H4245" s="128">
        <v>146095</v>
      </c>
      <c r="I4245" s="128">
        <v>4543</v>
      </c>
    </row>
    <row r="4246" spans="1:9" ht="13.5">
      <c r="A4246" s="128">
        <v>2004</v>
      </c>
      <c r="B4246" s="128" t="s">
        <v>137</v>
      </c>
      <c r="C4246" s="128" t="s">
        <v>24</v>
      </c>
      <c r="D4246" s="128" t="s">
        <v>77</v>
      </c>
      <c r="E4246" s="128" t="s">
        <v>133</v>
      </c>
      <c r="F4246" s="128">
        <v>2318485</v>
      </c>
      <c r="G4246" s="128">
        <v>1242433</v>
      </c>
      <c r="H4246" s="128">
        <v>782401</v>
      </c>
      <c r="I4246" s="128">
        <v>6977</v>
      </c>
    </row>
    <row r="4247" spans="1:9" ht="13.5">
      <c r="A4247" s="128">
        <v>2004</v>
      </c>
      <c r="B4247" s="128" t="s">
        <v>137</v>
      </c>
      <c r="C4247" s="128" t="s">
        <v>24</v>
      </c>
      <c r="D4247" s="128" t="s">
        <v>77</v>
      </c>
      <c r="E4247" s="128" t="s">
        <v>134</v>
      </c>
      <c r="F4247" s="128">
        <v>5042834</v>
      </c>
      <c r="G4247" s="128">
        <v>2219692</v>
      </c>
      <c r="H4247" s="128">
        <v>1542429</v>
      </c>
      <c r="I4247" s="128">
        <v>28481</v>
      </c>
    </row>
    <row r="4248" spans="1:9" ht="13.5">
      <c r="A4248" s="128">
        <v>2004</v>
      </c>
      <c r="B4248" s="128" t="s">
        <v>137</v>
      </c>
      <c r="C4248" s="128" t="s">
        <v>24</v>
      </c>
      <c r="D4248" s="128" t="s">
        <v>77</v>
      </c>
      <c r="E4248" s="128" t="s">
        <v>135</v>
      </c>
      <c r="F4248" s="128">
        <v>4754783</v>
      </c>
      <c r="G4248" s="128">
        <v>1283095</v>
      </c>
      <c r="H4248" s="128">
        <v>972275</v>
      </c>
      <c r="I4248" s="128">
        <v>17145</v>
      </c>
    </row>
    <row r="4249" spans="1:9" ht="13.5">
      <c r="A4249" s="128">
        <v>2004</v>
      </c>
      <c r="B4249" s="128" t="s">
        <v>137</v>
      </c>
      <c r="C4249" s="128" t="s">
        <v>24</v>
      </c>
      <c r="D4249" s="128" t="s">
        <v>79</v>
      </c>
      <c r="E4249" s="128" t="s">
        <v>132</v>
      </c>
      <c r="F4249" s="128">
        <v>831671</v>
      </c>
      <c r="G4249" s="128">
        <v>538381</v>
      </c>
      <c r="H4249" s="128">
        <v>181092</v>
      </c>
      <c r="I4249" s="128">
        <v>5173</v>
      </c>
    </row>
    <row r="4250" spans="1:9" ht="13.5">
      <c r="A4250" s="128">
        <v>2004</v>
      </c>
      <c r="B4250" s="128" t="s">
        <v>137</v>
      </c>
      <c r="C4250" s="128" t="s">
        <v>24</v>
      </c>
      <c r="D4250" s="128" t="s">
        <v>79</v>
      </c>
      <c r="E4250" s="128" t="s">
        <v>133</v>
      </c>
      <c r="F4250" s="128">
        <v>1542426</v>
      </c>
      <c r="G4250" s="128">
        <v>841653</v>
      </c>
      <c r="H4250" s="128">
        <v>290886</v>
      </c>
      <c r="I4250" s="128">
        <v>15579</v>
      </c>
    </row>
    <row r="4251" spans="1:9" ht="13.5">
      <c r="A4251" s="128">
        <v>2004</v>
      </c>
      <c r="B4251" s="128" t="s">
        <v>137</v>
      </c>
      <c r="C4251" s="128" t="s">
        <v>24</v>
      </c>
      <c r="D4251" s="128" t="s">
        <v>79</v>
      </c>
      <c r="E4251" s="128" t="s">
        <v>134</v>
      </c>
      <c r="F4251" s="128">
        <v>1316385</v>
      </c>
      <c r="G4251" s="128">
        <v>579658</v>
      </c>
      <c r="H4251" s="128">
        <v>200539</v>
      </c>
      <c r="I4251" s="128">
        <v>9434</v>
      </c>
    </row>
    <row r="4252" spans="1:9" ht="13.5">
      <c r="A4252" s="128">
        <v>2004</v>
      </c>
      <c r="B4252" s="128" t="s">
        <v>137</v>
      </c>
      <c r="C4252" s="128" t="s">
        <v>24</v>
      </c>
      <c r="D4252" s="128" t="s">
        <v>79</v>
      </c>
      <c r="E4252" s="128" t="s">
        <v>135</v>
      </c>
      <c r="F4252" s="128">
        <v>1369295</v>
      </c>
      <c r="G4252" s="128">
        <v>383299</v>
      </c>
      <c r="H4252" s="128">
        <v>151479</v>
      </c>
      <c r="I4252" s="128">
        <v>3687</v>
      </c>
    </row>
    <row r="4253" spans="1:9" ht="13.5">
      <c r="A4253" s="128">
        <v>2004</v>
      </c>
      <c r="B4253" s="128" t="s">
        <v>137</v>
      </c>
      <c r="C4253" s="128" t="s">
        <v>24</v>
      </c>
      <c r="D4253" s="128" t="s">
        <v>79</v>
      </c>
      <c r="E4253" s="128" t="s">
        <v>136</v>
      </c>
      <c r="F4253" s="128">
        <v>1461252</v>
      </c>
      <c r="G4253" s="128">
        <v>1099699</v>
      </c>
      <c r="H4253" s="128">
        <v>361548</v>
      </c>
      <c r="I4253" s="128">
        <v>27337</v>
      </c>
    </row>
    <row r="4254" spans="1:9" ht="13.5">
      <c r="A4254" s="128">
        <v>2004</v>
      </c>
      <c r="B4254" s="128" t="s">
        <v>137</v>
      </c>
      <c r="C4254" s="128" t="s">
        <v>24</v>
      </c>
      <c r="D4254" s="128" t="s">
        <v>76</v>
      </c>
      <c r="E4254" s="128" t="s">
        <v>132</v>
      </c>
      <c r="F4254" s="128">
        <v>9424468</v>
      </c>
      <c r="G4254" s="128">
        <v>5981359</v>
      </c>
      <c r="H4254" s="128">
        <v>3443107</v>
      </c>
      <c r="I4254" s="128">
        <v>124203</v>
      </c>
    </row>
    <row r="4255" spans="1:9" ht="13.5">
      <c r="A4255" s="128">
        <v>2004</v>
      </c>
      <c r="B4255" s="128" t="s">
        <v>137</v>
      </c>
      <c r="C4255" s="128" t="s">
        <v>24</v>
      </c>
      <c r="D4255" s="128" t="s">
        <v>76</v>
      </c>
      <c r="E4255" s="128" t="s">
        <v>133</v>
      </c>
      <c r="F4255" s="128">
        <v>16021829</v>
      </c>
      <c r="G4255" s="128">
        <v>8825468</v>
      </c>
      <c r="H4255" s="128">
        <v>7196365</v>
      </c>
      <c r="I4255" s="128">
        <v>64282</v>
      </c>
    </row>
    <row r="4256" spans="1:9" ht="13.5">
      <c r="A4256" s="128">
        <v>2004</v>
      </c>
      <c r="B4256" s="128" t="s">
        <v>137</v>
      </c>
      <c r="C4256" s="128" t="s">
        <v>24</v>
      </c>
      <c r="D4256" s="128" t="s">
        <v>76</v>
      </c>
      <c r="E4256" s="128" t="s">
        <v>134</v>
      </c>
      <c r="F4256" s="128">
        <v>7851578</v>
      </c>
      <c r="G4256" s="128">
        <v>3706729</v>
      </c>
      <c r="H4256" s="128">
        <v>4144849</v>
      </c>
      <c r="I4256" s="128">
        <v>51169</v>
      </c>
    </row>
    <row r="4257" spans="1:9" ht="13.5">
      <c r="A4257" s="128">
        <v>2004</v>
      </c>
      <c r="B4257" s="128" t="s">
        <v>137</v>
      </c>
      <c r="C4257" s="128" t="s">
        <v>24</v>
      </c>
      <c r="D4257" s="128" t="s">
        <v>76</v>
      </c>
      <c r="E4257" s="128" t="s">
        <v>135</v>
      </c>
      <c r="F4257" s="128">
        <v>1862452</v>
      </c>
      <c r="G4257" s="128">
        <v>459678</v>
      </c>
      <c r="H4257" s="128">
        <v>1402775</v>
      </c>
      <c r="I4257" s="128">
        <v>1930</v>
      </c>
    </row>
    <row r="4258" spans="1:9" ht="13.5">
      <c r="A4258" s="128">
        <v>2004</v>
      </c>
      <c r="B4258" s="128" t="s">
        <v>137</v>
      </c>
      <c r="C4258" s="128" t="s">
        <v>24</v>
      </c>
      <c r="D4258" s="128" t="s">
        <v>76</v>
      </c>
      <c r="E4258" s="128" t="s">
        <v>136</v>
      </c>
      <c r="F4258" s="128">
        <v>1600714</v>
      </c>
      <c r="G4258" s="128">
        <v>1241154</v>
      </c>
      <c r="H4258" s="128">
        <v>359559</v>
      </c>
      <c r="I4258" s="128">
        <v>21430</v>
      </c>
    </row>
    <row r="4259" spans="1:9" ht="13.5">
      <c r="A4259" s="128">
        <v>2005</v>
      </c>
      <c r="B4259" s="128" t="s">
        <v>131</v>
      </c>
      <c r="C4259" s="128" t="s">
        <v>26</v>
      </c>
      <c r="D4259" s="128" t="s">
        <v>77</v>
      </c>
      <c r="E4259" s="128" t="s">
        <v>132</v>
      </c>
      <c r="F4259" s="128">
        <v>0</v>
      </c>
      <c r="G4259" s="128">
        <v>0</v>
      </c>
      <c r="H4259" s="128">
        <v>0</v>
      </c>
      <c r="I4259" s="128">
        <v>0</v>
      </c>
    </row>
    <row r="4260" spans="1:9" ht="13.5">
      <c r="A4260" s="128">
        <v>2005</v>
      </c>
      <c r="B4260" s="128" t="s">
        <v>131</v>
      </c>
      <c r="C4260" s="128" t="s">
        <v>26</v>
      </c>
      <c r="D4260" s="128" t="s">
        <v>77</v>
      </c>
      <c r="E4260" s="128" t="s">
        <v>133</v>
      </c>
      <c r="F4260" s="128">
        <v>0</v>
      </c>
      <c r="G4260" s="128">
        <v>0</v>
      </c>
      <c r="H4260" s="128">
        <v>0</v>
      </c>
      <c r="I4260" s="128">
        <v>0</v>
      </c>
    </row>
    <row r="4261" spans="1:9" ht="13.5">
      <c r="A4261" s="128">
        <v>2005</v>
      </c>
      <c r="B4261" s="128" t="s">
        <v>131</v>
      </c>
      <c r="C4261" s="128" t="s">
        <v>26</v>
      </c>
      <c r="D4261" s="128" t="s">
        <v>77</v>
      </c>
      <c r="E4261" s="128" t="s">
        <v>134</v>
      </c>
      <c r="F4261" s="128">
        <v>0</v>
      </c>
      <c r="G4261" s="128">
        <v>0</v>
      </c>
      <c r="H4261" s="128">
        <v>0</v>
      </c>
      <c r="I4261" s="128">
        <v>0</v>
      </c>
    </row>
    <row r="4262" spans="1:9" ht="13.5">
      <c r="A4262" s="128">
        <v>2005</v>
      </c>
      <c r="B4262" s="128" t="s">
        <v>131</v>
      </c>
      <c r="C4262" s="128" t="s">
        <v>26</v>
      </c>
      <c r="D4262" s="128" t="s">
        <v>77</v>
      </c>
      <c r="E4262" s="128" t="s">
        <v>135</v>
      </c>
      <c r="F4262" s="128">
        <v>0</v>
      </c>
      <c r="G4262" s="128">
        <v>0</v>
      </c>
      <c r="H4262" s="128">
        <v>0</v>
      </c>
      <c r="I4262" s="128">
        <v>0</v>
      </c>
    </row>
    <row r="4263" spans="1:9" ht="13.5">
      <c r="A4263" s="128">
        <v>2005</v>
      </c>
      <c r="B4263" s="128" t="s">
        <v>131</v>
      </c>
      <c r="C4263" s="128" t="s">
        <v>26</v>
      </c>
      <c r="D4263" s="128" t="s">
        <v>79</v>
      </c>
      <c r="E4263" s="128" t="s">
        <v>132</v>
      </c>
      <c r="F4263" s="128">
        <v>0</v>
      </c>
      <c r="G4263" s="128">
        <v>0</v>
      </c>
      <c r="H4263" s="128">
        <v>0</v>
      </c>
      <c r="I4263" s="128">
        <v>0</v>
      </c>
    </row>
    <row r="4264" spans="1:9" ht="13.5">
      <c r="A4264" s="128">
        <v>2005</v>
      </c>
      <c r="B4264" s="128" t="s">
        <v>131</v>
      </c>
      <c r="C4264" s="128" t="s">
        <v>26</v>
      </c>
      <c r="D4264" s="128" t="s">
        <v>79</v>
      </c>
      <c r="E4264" s="128" t="s">
        <v>133</v>
      </c>
      <c r="F4264" s="128">
        <v>0</v>
      </c>
      <c r="G4264" s="128">
        <v>0</v>
      </c>
      <c r="H4264" s="128">
        <v>0</v>
      </c>
      <c r="I4264" s="128">
        <v>0</v>
      </c>
    </row>
    <row r="4265" spans="1:9" ht="13.5">
      <c r="A4265" s="128">
        <v>2005</v>
      </c>
      <c r="B4265" s="128" t="s">
        <v>131</v>
      </c>
      <c r="C4265" s="128" t="s">
        <v>26</v>
      </c>
      <c r="D4265" s="128" t="s">
        <v>79</v>
      </c>
      <c r="E4265" s="128" t="s">
        <v>134</v>
      </c>
      <c r="F4265" s="128">
        <v>0</v>
      </c>
      <c r="G4265" s="128">
        <v>0</v>
      </c>
      <c r="H4265" s="128">
        <v>0</v>
      </c>
      <c r="I4265" s="128">
        <v>0</v>
      </c>
    </row>
    <row r="4266" spans="1:9" ht="13.5">
      <c r="A4266" s="128">
        <v>2005</v>
      </c>
      <c r="B4266" s="128" t="s">
        <v>131</v>
      </c>
      <c r="C4266" s="128" t="s">
        <v>26</v>
      </c>
      <c r="D4266" s="128" t="s">
        <v>79</v>
      </c>
      <c r="E4266" s="128" t="s">
        <v>135</v>
      </c>
      <c r="F4266" s="128">
        <v>0</v>
      </c>
      <c r="G4266" s="128">
        <v>0</v>
      </c>
      <c r="H4266" s="128">
        <v>0</v>
      </c>
      <c r="I4266" s="128">
        <v>0</v>
      </c>
    </row>
    <row r="4267" spans="1:9" ht="13.5">
      <c r="A4267" s="128">
        <v>2005</v>
      </c>
      <c r="B4267" s="128" t="s">
        <v>131</v>
      </c>
      <c r="C4267" s="128" t="s">
        <v>26</v>
      </c>
      <c r="D4267" s="128" t="s">
        <v>79</v>
      </c>
      <c r="E4267" s="128" t="s">
        <v>136</v>
      </c>
      <c r="F4267" s="128">
        <v>0</v>
      </c>
      <c r="G4267" s="128">
        <v>0</v>
      </c>
      <c r="H4267" s="128">
        <v>0</v>
      </c>
      <c r="I4267" s="128">
        <v>0</v>
      </c>
    </row>
    <row r="4268" spans="1:9" ht="13.5">
      <c r="A4268" s="128">
        <v>2005</v>
      </c>
      <c r="B4268" s="128" t="s">
        <v>131</v>
      </c>
      <c r="C4268" s="128" t="s">
        <v>26</v>
      </c>
      <c r="D4268" s="128" t="s">
        <v>76</v>
      </c>
      <c r="E4268" s="128" t="s">
        <v>132</v>
      </c>
      <c r="F4268" s="128">
        <v>0</v>
      </c>
      <c r="G4268" s="128">
        <v>0</v>
      </c>
      <c r="H4268" s="128">
        <v>0</v>
      </c>
      <c r="I4268" s="128">
        <v>0</v>
      </c>
    </row>
    <row r="4269" spans="1:9" ht="13.5">
      <c r="A4269" s="128">
        <v>2005</v>
      </c>
      <c r="B4269" s="128" t="s">
        <v>131</v>
      </c>
      <c r="C4269" s="128" t="s">
        <v>26</v>
      </c>
      <c r="D4269" s="128" t="s">
        <v>76</v>
      </c>
      <c r="E4269" s="128" t="s">
        <v>133</v>
      </c>
      <c r="F4269" s="128">
        <v>0</v>
      </c>
      <c r="G4269" s="128">
        <v>0</v>
      </c>
      <c r="H4269" s="128">
        <v>0</v>
      </c>
      <c r="I4269" s="128">
        <v>0</v>
      </c>
    </row>
    <row r="4270" spans="1:9" ht="13.5">
      <c r="A4270" s="128">
        <v>2005</v>
      </c>
      <c r="B4270" s="128" t="s">
        <v>131</v>
      </c>
      <c r="C4270" s="128" t="s">
        <v>26</v>
      </c>
      <c r="D4270" s="128" t="s">
        <v>76</v>
      </c>
      <c r="E4270" s="128" t="s">
        <v>134</v>
      </c>
      <c r="F4270" s="128">
        <v>0</v>
      </c>
      <c r="G4270" s="128">
        <v>0</v>
      </c>
      <c r="H4270" s="128">
        <v>0</v>
      </c>
      <c r="I4270" s="128">
        <v>0</v>
      </c>
    </row>
    <row r="4271" spans="1:9" ht="13.5">
      <c r="A4271" s="128">
        <v>2005</v>
      </c>
      <c r="B4271" s="128" t="s">
        <v>131</v>
      </c>
      <c r="C4271" s="128" t="s">
        <v>26</v>
      </c>
      <c r="D4271" s="128" t="s">
        <v>76</v>
      </c>
      <c r="E4271" s="128" t="s">
        <v>135</v>
      </c>
      <c r="F4271" s="128">
        <v>0</v>
      </c>
      <c r="G4271" s="128">
        <v>0</v>
      </c>
      <c r="H4271" s="128">
        <v>0</v>
      </c>
      <c r="I4271" s="128">
        <v>0</v>
      </c>
    </row>
    <row r="4272" spans="1:9" ht="13.5">
      <c r="A4272" s="128">
        <v>2005</v>
      </c>
      <c r="B4272" s="128" t="s">
        <v>131</v>
      </c>
      <c r="C4272" s="128" t="s">
        <v>26</v>
      </c>
      <c r="D4272" s="128" t="s">
        <v>76</v>
      </c>
      <c r="E4272" s="128" t="s">
        <v>136</v>
      </c>
      <c r="F4272" s="128">
        <v>0</v>
      </c>
      <c r="G4272" s="128">
        <v>0</v>
      </c>
      <c r="H4272" s="128">
        <v>0</v>
      </c>
      <c r="I4272" s="128">
        <v>0</v>
      </c>
    </row>
    <row r="4273" spans="1:9" ht="13.5">
      <c r="A4273" s="128">
        <v>2005</v>
      </c>
      <c r="B4273" s="128" t="s">
        <v>131</v>
      </c>
      <c r="C4273" s="128" t="s">
        <v>20</v>
      </c>
      <c r="D4273" s="128" t="s">
        <v>77</v>
      </c>
      <c r="E4273" s="128" t="s">
        <v>132</v>
      </c>
      <c r="F4273" s="128">
        <v>717085.41</v>
      </c>
      <c r="G4273" s="128">
        <v>469031.47</v>
      </c>
      <c r="H4273" s="128">
        <v>214094.25</v>
      </c>
      <c r="I4273" s="128">
        <v>4865</v>
      </c>
    </row>
    <row r="4274" spans="1:9" ht="13.5">
      <c r="A4274" s="128">
        <v>2005</v>
      </c>
      <c r="B4274" s="128" t="s">
        <v>131</v>
      </c>
      <c r="C4274" s="128" t="s">
        <v>20</v>
      </c>
      <c r="D4274" s="128" t="s">
        <v>77</v>
      </c>
      <c r="E4274" s="128" t="s">
        <v>133</v>
      </c>
      <c r="F4274" s="128">
        <v>1603217.88</v>
      </c>
      <c r="G4274" s="128">
        <v>870848.5</v>
      </c>
      <c r="H4274" s="128">
        <v>601226.80000000005</v>
      </c>
      <c r="I4274" s="128">
        <v>7545</v>
      </c>
    </row>
    <row r="4275" spans="1:9" ht="13.5">
      <c r="A4275" s="128">
        <v>2005</v>
      </c>
      <c r="B4275" s="128" t="s">
        <v>131</v>
      </c>
      <c r="C4275" s="128" t="s">
        <v>20</v>
      </c>
      <c r="D4275" s="128" t="s">
        <v>77</v>
      </c>
      <c r="E4275" s="128" t="s">
        <v>134</v>
      </c>
      <c r="F4275" s="128">
        <v>3660387.14</v>
      </c>
      <c r="G4275" s="128">
        <v>1607086.22</v>
      </c>
      <c r="H4275" s="128">
        <v>1427512.62</v>
      </c>
      <c r="I4275" s="128">
        <v>14309</v>
      </c>
    </row>
    <row r="4276" spans="1:9" ht="13.5">
      <c r="A4276" s="128">
        <v>2005</v>
      </c>
      <c r="B4276" s="128" t="s">
        <v>131</v>
      </c>
      <c r="C4276" s="128" t="s">
        <v>20</v>
      </c>
      <c r="D4276" s="128" t="s">
        <v>77</v>
      </c>
      <c r="E4276" s="128" t="s">
        <v>135</v>
      </c>
      <c r="F4276" s="128">
        <v>5216233.4400000004</v>
      </c>
      <c r="G4276" s="128">
        <v>1441851.04</v>
      </c>
      <c r="H4276" s="128">
        <v>1353221.01</v>
      </c>
      <c r="I4276" s="128">
        <v>14710</v>
      </c>
    </row>
    <row r="4277" spans="1:9" ht="13.5">
      <c r="A4277" s="128">
        <v>2005</v>
      </c>
      <c r="B4277" s="128" t="s">
        <v>131</v>
      </c>
      <c r="C4277" s="128" t="s">
        <v>20</v>
      </c>
      <c r="D4277" s="128" t="s">
        <v>79</v>
      </c>
      <c r="E4277" s="128" t="s">
        <v>132</v>
      </c>
      <c r="F4277" s="128">
        <v>3268900.09</v>
      </c>
      <c r="G4277" s="128">
        <v>2171918.9900000002</v>
      </c>
      <c r="H4277" s="128">
        <v>715140.96</v>
      </c>
      <c r="I4277" s="128">
        <v>18894</v>
      </c>
    </row>
    <row r="4278" spans="1:9" ht="13.5">
      <c r="A4278" s="128">
        <v>2005</v>
      </c>
      <c r="B4278" s="128" t="s">
        <v>131</v>
      </c>
      <c r="C4278" s="128" t="s">
        <v>20</v>
      </c>
      <c r="D4278" s="128" t="s">
        <v>79</v>
      </c>
      <c r="E4278" s="128" t="s">
        <v>133</v>
      </c>
      <c r="F4278" s="128">
        <v>5032317.13</v>
      </c>
      <c r="G4278" s="128">
        <v>2751304.86</v>
      </c>
      <c r="H4278" s="128">
        <v>917503.45</v>
      </c>
      <c r="I4278" s="128">
        <v>36364</v>
      </c>
    </row>
    <row r="4279" spans="1:9" ht="13.5">
      <c r="A4279" s="128">
        <v>2005</v>
      </c>
      <c r="B4279" s="128" t="s">
        <v>131</v>
      </c>
      <c r="C4279" s="128" t="s">
        <v>20</v>
      </c>
      <c r="D4279" s="128" t="s">
        <v>79</v>
      </c>
      <c r="E4279" s="128" t="s">
        <v>134</v>
      </c>
      <c r="F4279" s="128">
        <v>16662783.949999999</v>
      </c>
      <c r="G4279" s="128">
        <v>7069499.7999999998</v>
      </c>
      <c r="H4279" s="128">
        <v>2368827.4700000002</v>
      </c>
      <c r="I4279" s="128">
        <v>67048</v>
      </c>
    </row>
    <row r="4280" spans="1:9" ht="13.5">
      <c r="A4280" s="128">
        <v>2005</v>
      </c>
      <c r="B4280" s="128" t="s">
        <v>131</v>
      </c>
      <c r="C4280" s="128" t="s">
        <v>20</v>
      </c>
      <c r="D4280" s="128" t="s">
        <v>79</v>
      </c>
      <c r="E4280" s="128" t="s">
        <v>135</v>
      </c>
      <c r="F4280" s="128">
        <v>56659285.689999998</v>
      </c>
      <c r="G4280" s="128">
        <v>15855690.880000001</v>
      </c>
      <c r="H4280" s="128">
        <v>5308443.05</v>
      </c>
      <c r="I4280" s="128">
        <v>131917</v>
      </c>
    </row>
    <row r="4281" spans="1:9" ht="13.5">
      <c r="A4281" s="128">
        <v>2005</v>
      </c>
      <c r="B4281" s="128" t="s">
        <v>131</v>
      </c>
      <c r="C4281" s="128" t="s">
        <v>20</v>
      </c>
      <c r="D4281" s="128" t="s">
        <v>79</v>
      </c>
      <c r="E4281" s="128" t="s">
        <v>136</v>
      </c>
      <c r="F4281" s="128">
        <v>19945401.579999998</v>
      </c>
      <c r="G4281" s="128">
        <v>15037808.68</v>
      </c>
      <c r="H4281" s="128">
        <v>4905742.0999999996</v>
      </c>
      <c r="I4281" s="128">
        <v>320166</v>
      </c>
    </row>
    <row r="4282" spans="1:9" ht="13.5">
      <c r="A4282" s="128">
        <v>2005</v>
      </c>
      <c r="B4282" s="128" t="s">
        <v>131</v>
      </c>
      <c r="C4282" s="128" t="s">
        <v>20</v>
      </c>
      <c r="D4282" s="128" t="s">
        <v>76</v>
      </c>
      <c r="E4282" s="128" t="s">
        <v>132</v>
      </c>
      <c r="F4282" s="128">
        <v>24345906.5</v>
      </c>
      <c r="G4282" s="128">
        <v>15634825.01</v>
      </c>
      <c r="H4282" s="128">
        <v>8710897.8399999999</v>
      </c>
      <c r="I4282" s="128">
        <v>305904</v>
      </c>
    </row>
    <row r="4283" spans="1:9" ht="13.5">
      <c r="A4283" s="128">
        <v>2005</v>
      </c>
      <c r="B4283" s="128" t="s">
        <v>131</v>
      </c>
      <c r="C4283" s="128" t="s">
        <v>20</v>
      </c>
      <c r="D4283" s="128" t="s">
        <v>76</v>
      </c>
      <c r="E4283" s="128" t="s">
        <v>133</v>
      </c>
      <c r="F4283" s="128">
        <v>44164956.840000004</v>
      </c>
      <c r="G4283" s="128">
        <v>24257630.530000001</v>
      </c>
      <c r="H4283" s="128">
        <v>19907141.489999998</v>
      </c>
      <c r="I4283" s="128">
        <v>207746</v>
      </c>
    </row>
    <row r="4284" spans="1:9" ht="13.5">
      <c r="A4284" s="128">
        <v>2005</v>
      </c>
      <c r="B4284" s="128" t="s">
        <v>131</v>
      </c>
      <c r="C4284" s="128" t="s">
        <v>20</v>
      </c>
      <c r="D4284" s="128" t="s">
        <v>76</v>
      </c>
      <c r="E4284" s="128" t="s">
        <v>134</v>
      </c>
      <c r="F4284" s="128">
        <v>29050142.859999999</v>
      </c>
      <c r="G4284" s="128">
        <v>13634032.789999999</v>
      </c>
      <c r="H4284" s="128">
        <v>15415807.65</v>
      </c>
      <c r="I4284" s="128">
        <v>200271</v>
      </c>
    </row>
    <row r="4285" spans="1:9" ht="13.5">
      <c r="A4285" s="128">
        <v>2005</v>
      </c>
      <c r="B4285" s="128" t="s">
        <v>131</v>
      </c>
      <c r="C4285" s="128" t="s">
        <v>20</v>
      </c>
      <c r="D4285" s="128" t="s">
        <v>76</v>
      </c>
      <c r="E4285" s="128" t="s">
        <v>135</v>
      </c>
      <c r="F4285" s="128">
        <v>3586061.61</v>
      </c>
      <c r="G4285" s="128">
        <v>1063236.81</v>
      </c>
      <c r="H4285" s="128">
        <v>2522823.4</v>
      </c>
      <c r="I4285" s="128">
        <v>4483</v>
      </c>
    </row>
    <row r="4286" spans="1:9" ht="13.5">
      <c r="A4286" s="128">
        <v>2005</v>
      </c>
      <c r="B4286" s="128" t="s">
        <v>131</v>
      </c>
      <c r="C4286" s="128" t="s">
        <v>20</v>
      </c>
      <c r="D4286" s="128" t="s">
        <v>76</v>
      </c>
      <c r="E4286" s="128" t="s">
        <v>136</v>
      </c>
      <c r="F4286" s="128">
        <v>6257034.9800000004</v>
      </c>
      <c r="G4286" s="128">
        <v>4709155.43</v>
      </c>
      <c r="H4286" s="128">
        <v>1547988.92</v>
      </c>
      <c r="I4286" s="128">
        <v>149047</v>
      </c>
    </row>
    <row r="4287" spans="1:9" ht="13.5">
      <c r="A4287" s="128">
        <v>2005</v>
      </c>
      <c r="B4287" s="128" t="s">
        <v>131</v>
      </c>
      <c r="C4287" s="128" t="s">
        <v>27</v>
      </c>
      <c r="D4287" s="128" t="s">
        <v>77</v>
      </c>
      <c r="E4287" s="128" t="s">
        <v>132</v>
      </c>
      <c r="F4287" s="128">
        <v>13634.4</v>
      </c>
      <c r="G4287" s="128">
        <v>8509.15</v>
      </c>
      <c r="H4287" s="128">
        <v>4153.8500000000004</v>
      </c>
      <c r="I4287" s="128">
        <v>77</v>
      </c>
    </row>
    <row r="4288" spans="1:9" ht="13.5">
      <c r="A4288" s="128">
        <v>2005</v>
      </c>
      <c r="B4288" s="128" t="s">
        <v>131</v>
      </c>
      <c r="C4288" s="128" t="s">
        <v>27</v>
      </c>
      <c r="D4288" s="128" t="s">
        <v>77</v>
      </c>
      <c r="E4288" s="128" t="s">
        <v>133</v>
      </c>
      <c r="F4288" s="128">
        <v>17563.13</v>
      </c>
      <c r="G4288" s="128">
        <v>9370.25</v>
      </c>
      <c r="H4288" s="128">
        <v>6954.43</v>
      </c>
      <c r="I4288" s="128">
        <v>92</v>
      </c>
    </row>
    <row r="4289" spans="1:9" ht="13.5">
      <c r="A4289" s="128">
        <v>2005</v>
      </c>
      <c r="B4289" s="128" t="s">
        <v>131</v>
      </c>
      <c r="C4289" s="128" t="s">
        <v>27</v>
      </c>
      <c r="D4289" s="128" t="s">
        <v>77</v>
      </c>
      <c r="E4289" s="128" t="s">
        <v>134</v>
      </c>
      <c r="F4289" s="128">
        <v>66912.97</v>
      </c>
      <c r="G4289" s="128">
        <v>28595</v>
      </c>
      <c r="H4289" s="128">
        <v>24563.14</v>
      </c>
      <c r="I4289" s="128">
        <v>150</v>
      </c>
    </row>
    <row r="4290" spans="1:9" ht="13.5">
      <c r="A4290" s="128">
        <v>2005</v>
      </c>
      <c r="B4290" s="128" t="s">
        <v>131</v>
      </c>
      <c r="C4290" s="128" t="s">
        <v>27</v>
      </c>
      <c r="D4290" s="128" t="s">
        <v>77</v>
      </c>
      <c r="E4290" s="128" t="s">
        <v>135</v>
      </c>
      <c r="F4290" s="128">
        <v>190113.47</v>
      </c>
      <c r="G4290" s="128">
        <v>57510.9</v>
      </c>
      <c r="H4290" s="128">
        <v>53384.05</v>
      </c>
      <c r="I4290" s="128">
        <v>510</v>
      </c>
    </row>
    <row r="4291" spans="1:9" ht="13.5">
      <c r="A4291" s="128">
        <v>2005</v>
      </c>
      <c r="B4291" s="128" t="s">
        <v>131</v>
      </c>
      <c r="C4291" s="128" t="s">
        <v>27</v>
      </c>
      <c r="D4291" s="128" t="s">
        <v>79</v>
      </c>
      <c r="E4291" s="128" t="s">
        <v>132</v>
      </c>
      <c r="F4291" s="128">
        <v>57621.7</v>
      </c>
      <c r="G4291" s="128">
        <v>38424.75</v>
      </c>
      <c r="H4291" s="128">
        <v>12806.85</v>
      </c>
      <c r="I4291" s="128">
        <v>290</v>
      </c>
    </row>
    <row r="4292" spans="1:9" ht="13.5">
      <c r="A4292" s="128">
        <v>2005</v>
      </c>
      <c r="B4292" s="128" t="s">
        <v>131</v>
      </c>
      <c r="C4292" s="128" t="s">
        <v>27</v>
      </c>
      <c r="D4292" s="128" t="s">
        <v>79</v>
      </c>
      <c r="E4292" s="128" t="s">
        <v>133</v>
      </c>
      <c r="F4292" s="128">
        <v>65929</v>
      </c>
      <c r="G4292" s="128">
        <v>35858.959999999999</v>
      </c>
      <c r="H4292" s="128">
        <v>12106.14</v>
      </c>
      <c r="I4292" s="128">
        <v>405</v>
      </c>
    </row>
    <row r="4293" spans="1:9" ht="13.5">
      <c r="A4293" s="128">
        <v>2005</v>
      </c>
      <c r="B4293" s="128" t="s">
        <v>131</v>
      </c>
      <c r="C4293" s="128" t="s">
        <v>27</v>
      </c>
      <c r="D4293" s="128" t="s">
        <v>79</v>
      </c>
      <c r="E4293" s="128" t="s">
        <v>134</v>
      </c>
      <c r="F4293" s="128">
        <v>175814.83</v>
      </c>
      <c r="G4293" s="128">
        <v>73603.3</v>
      </c>
      <c r="H4293" s="128">
        <v>24735.65</v>
      </c>
      <c r="I4293" s="128">
        <v>1209</v>
      </c>
    </row>
    <row r="4294" spans="1:9" ht="13.5">
      <c r="A4294" s="128">
        <v>2005</v>
      </c>
      <c r="B4294" s="128" t="s">
        <v>131</v>
      </c>
      <c r="C4294" s="128" t="s">
        <v>27</v>
      </c>
      <c r="D4294" s="128" t="s">
        <v>79</v>
      </c>
      <c r="E4294" s="128" t="s">
        <v>135</v>
      </c>
      <c r="F4294" s="128">
        <v>440324.9</v>
      </c>
      <c r="G4294" s="128">
        <v>135667.20000000001</v>
      </c>
      <c r="H4294" s="128">
        <v>44419.55</v>
      </c>
      <c r="I4294" s="128">
        <v>1036</v>
      </c>
    </row>
    <row r="4295" spans="1:9" ht="13.5">
      <c r="A4295" s="128">
        <v>2005</v>
      </c>
      <c r="B4295" s="128" t="s">
        <v>131</v>
      </c>
      <c r="C4295" s="128" t="s">
        <v>27</v>
      </c>
      <c r="D4295" s="128" t="s">
        <v>79</v>
      </c>
      <c r="E4295" s="128" t="s">
        <v>136</v>
      </c>
      <c r="F4295" s="128">
        <v>189696.59</v>
      </c>
      <c r="G4295" s="128">
        <v>143922.4</v>
      </c>
      <c r="H4295" s="128">
        <v>45772.94</v>
      </c>
      <c r="I4295" s="128">
        <v>1842</v>
      </c>
    </row>
    <row r="4296" spans="1:9" ht="13.5">
      <c r="A4296" s="128">
        <v>2005</v>
      </c>
      <c r="B4296" s="128" t="s">
        <v>131</v>
      </c>
      <c r="C4296" s="128" t="s">
        <v>27</v>
      </c>
      <c r="D4296" s="128" t="s">
        <v>76</v>
      </c>
      <c r="E4296" s="128" t="s">
        <v>132</v>
      </c>
      <c r="F4296" s="128">
        <v>272576.7</v>
      </c>
      <c r="G4296" s="128">
        <v>177300.95</v>
      </c>
      <c r="H4296" s="128">
        <v>95274.25</v>
      </c>
      <c r="I4296" s="128">
        <v>3269</v>
      </c>
    </row>
    <row r="4297" spans="1:9" ht="13.5">
      <c r="A4297" s="128">
        <v>2005</v>
      </c>
      <c r="B4297" s="128" t="s">
        <v>131</v>
      </c>
      <c r="C4297" s="128" t="s">
        <v>27</v>
      </c>
      <c r="D4297" s="128" t="s">
        <v>76</v>
      </c>
      <c r="E4297" s="128" t="s">
        <v>133</v>
      </c>
      <c r="F4297" s="128">
        <v>819986.78</v>
      </c>
      <c r="G4297" s="128">
        <v>449708.64</v>
      </c>
      <c r="H4297" s="128">
        <v>370275.49</v>
      </c>
      <c r="I4297" s="128">
        <v>3489</v>
      </c>
    </row>
    <row r="4298" spans="1:9" ht="13.5">
      <c r="A4298" s="128">
        <v>2005</v>
      </c>
      <c r="B4298" s="128" t="s">
        <v>131</v>
      </c>
      <c r="C4298" s="128" t="s">
        <v>27</v>
      </c>
      <c r="D4298" s="128" t="s">
        <v>76</v>
      </c>
      <c r="E4298" s="128" t="s">
        <v>134</v>
      </c>
      <c r="F4298" s="128">
        <v>514392.15</v>
      </c>
      <c r="G4298" s="128">
        <v>238620.45</v>
      </c>
      <c r="H4298" s="128">
        <v>275771.25</v>
      </c>
      <c r="I4298" s="128">
        <v>3297</v>
      </c>
    </row>
    <row r="4299" spans="1:9" ht="13.5">
      <c r="A4299" s="128">
        <v>2005</v>
      </c>
      <c r="B4299" s="128" t="s">
        <v>131</v>
      </c>
      <c r="C4299" s="128" t="s">
        <v>27</v>
      </c>
      <c r="D4299" s="128" t="s">
        <v>76</v>
      </c>
      <c r="E4299" s="128" t="s">
        <v>135</v>
      </c>
      <c r="F4299" s="128">
        <v>56281.1</v>
      </c>
      <c r="G4299" s="128">
        <v>16697.650000000001</v>
      </c>
      <c r="H4299" s="128">
        <v>39582.449999999997</v>
      </c>
      <c r="I4299" s="128">
        <v>67</v>
      </c>
    </row>
    <row r="4300" spans="1:9" ht="13.5">
      <c r="A4300" s="128">
        <v>2005</v>
      </c>
      <c r="B4300" s="128" t="s">
        <v>131</v>
      </c>
      <c r="C4300" s="128" t="s">
        <v>27</v>
      </c>
      <c r="D4300" s="128" t="s">
        <v>76</v>
      </c>
      <c r="E4300" s="128" t="s">
        <v>136</v>
      </c>
      <c r="F4300" s="128">
        <v>43139.62</v>
      </c>
      <c r="G4300" s="128">
        <v>32585.69</v>
      </c>
      <c r="H4300" s="128">
        <v>10553.93</v>
      </c>
      <c r="I4300" s="128">
        <v>525</v>
      </c>
    </row>
    <row r="4301" spans="1:9" ht="13.5">
      <c r="A4301" s="128">
        <v>2005</v>
      </c>
      <c r="B4301" s="128" t="s">
        <v>131</v>
      </c>
      <c r="C4301" s="128" t="s">
        <v>22</v>
      </c>
      <c r="D4301" s="128" t="s">
        <v>77</v>
      </c>
      <c r="E4301" s="128" t="s">
        <v>132</v>
      </c>
      <c r="F4301" s="128">
        <v>470289.68</v>
      </c>
      <c r="G4301" s="128">
        <v>309154.40000000002</v>
      </c>
      <c r="H4301" s="128">
        <v>140259.19</v>
      </c>
      <c r="I4301" s="128">
        <v>3460</v>
      </c>
    </row>
    <row r="4302" spans="1:9" ht="13.5">
      <c r="A4302" s="128">
        <v>2005</v>
      </c>
      <c r="B4302" s="128" t="s">
        <v>131</v>
      </c>
      <c r="C4302" s="128" t="s">
        <v>22</v>
      </c>
      <c r="D4302" s="128" t="s">
        <v>77</v>
      </c>
      <c r="E4302" s="128" t="s">
        <v>133</v>
      </c>
      <c r="F4302" s="128">
        <v>1319771</v>
      </c>
      <c r="G4302" s="128">
        <v>709077.5</v>
      </c>
      <c r="H4302" s="128">
        <v>505599.07</v>
      </c>
      <c r="I4302" s="128">
        <v>6093</v>
      </c>
    </row>
    <row r="4303" spans="1:9" ht="13.5">
      <c r="A4303" s="128">
        <v>2005</v>
      </c>
      <c r="B4303" s="128" t="s">
        <v>131</v>
      </c>
      <c r="C4303" s="128" t="s">
        <v>22</v>
      </c>
      <c r="D4303" s="128" t="s">
        <v>77</v>
      </c>
      <c r="E4303" s="128" t="s">
        <v>134</v>
      </c>
      <c r="F4303" s="128">
        <v>4409637.6100000003</v>
      </c>
      <c r="G4303" s="128">
        <v>1883650.42</v>
      </c>
      <c r="H4303" s="128">
        <v>1736312.41</v>
      </c>
      <c r="I4303" s="128">
        <v>13181</v>
      </c>
    </row>
    <row r="4304" spans="1:9" ht="13.5">
      <c r="A4304" s="128">
        <v>2005</v>
      </c>
      <c r="B4304" s="128" t="s">
        <v>131</v>
      </c>
      <c r="C4304" s="128" t="s">
        <v>22</v>
      </c>
      <c r="D4304" s="128" t="s">
        <v>77</v>
      </c>
      <c r="E4304" s="128" t="s">
        <v>135</v>
      </c>
      <c r="F4304" s="128">
        <v>5787802.6900000004</v>
      </c>
      <c r="G4304" s="128">
        <v>1649435.67</v>
      </c>
      <c r="H4304" s="128">
        <v>1835031</v>
      </c>
      <c r="I4304" s="128">
        <v>18216</v>
      </c>
    </row>
    <row r="4305" spans="1:9" ht="13.5">
      <c r="A4305" s="128">
        <v>2005</v>
      </c>
      <c r="B4305" s="128" t="s">
        <v>131</v>
      </c>
      <c r="C4305" s="128" t="s">
        <v>22</v>
      </c>
      <c r="D4305" s="128" t="s">
        <v>79</v>
      </c>
      <c r="E4305" s="128" t="s">
        <v>132</v>
      </c>
      <c r="F4305" s="128">
        <v>2760049.06</v>
      </c>
      <c r="G4305" s="128">
        <v>1835960.58</v>
      </c>
      <c r="H4305" s="128">
        <v>608923.01</v>
      </c>
      <c r="I4305" s="128">
        <v>16799</v>
      </c>
    </row>
    <row r="4306" spans="1:9" ht="13.5">
      <c r="A4306" s="128">
        <v>2005</v>
      </c>
      <c r="B4306" s="128" t="s">
        <v>131</v>
      </c>
      <c r="C4306" s="128" t="s">
        <v>22</v>
      </c>
      <c r="D4306" s="128" t="s">
        <v>79</v>
      </c>
      <c r="E4306" s="128" t="s">
        <v>133</v>
      </c>
      <c r="F4306" s="128">
        <v>5320628.29</v>
      </c>
      <c r="G4306" s="128">
        <v>2915879.77</v>
      </c>
      <c r="H4306" s="128">
        <v>980982.11</v>
      </c>
      <c r="I4306" s="128">
        <v>36358</v>
      </c>
    </row>
    <row r="4307" spans="1:9" ht="13.5">
      <c r="A4307" s="128">
        <v>2005</v>
      </c>
      <c r="B4307" s="128" t="s">
        <v>131</v>
      </c>
      <c r="C4307" s="128" t="s">
        <v>22</v>
      </c>
      <c r="D4307" s="128" t="s">
        <v>79</v>
      </c>
      <c r="E4307" s="128" t="s">
        <v>134</v>
      </c>
      <c r="F4307" s="128">
        <v>10395457.470000001</v>
      </c>
      <c r="G4307" s="128">
        <v>4423139.4400000004</v>
      </c>
      <c r="H4307" s="128">
        <v>1476172.22</v>
      </c>
      <c r="I4307" s="128">
        <v>41241</v>
      </c>
    </row>
    <row r="4308" spans="1:9" ht="13.5">
      <c r="A4308" s="128">
        <v>2005</v>
      </c>
      <c r="B4308" s="128" t="s">
        <v>131</v>
      </c>
      <c r="C4308" s="128" t="s">
        <v>22</v>
      </c>
      <c r="D4308" s="128" t="s">
        <v>79</v>
      </c>
      <c r="E4308" s="128" t="s">
        <v>135</v>
      </c>
      <c r="F4308" s="128">
        <v>17767331</v>
      </c>
      <c r="G4308" s="128">
        <v>5193570.8</v>
      </c>
      <c r="H4308" s="128">
        <v>1735690.02</v>
      </c>
      <c r="I4308" s="128">
        <v>49519</v>
      </c>
    </row>
    <row r="4309" spans="1:9" ht="13.5">
      <c r="A4309" s="128">
        <v>2005</v>
      </c>
      <c r="B4309" s="128" t="s">
        <v>131</v>
      </c>
      <c r="C4309" s="128" t="s">
        <v>22</v>
      </c>
      <c r="D4309" s="128" t="s">
        <v>79</v>
      </c>
      <c r="E4309" s="128" t="s">
        <v>136</v>
      </c>
      <c r="F4309" s="128">
        <v>7271728.8200000003</v>
      </c>
      <c r="G4309" s="128">
        <v>5548471.1299999999</v>
      </c>
      <c r="H4309" s="128">
        <v>1723130.54</v>
      </c>
      <c r="I4309" s="128">
        <v>97760</v>
      </c>
    </row>
    <row r="4310" spans="1:9" ht="13.5">
      <c r="A4310" s="128">
        <v>2005</v>
      </c>
      <c r="B4310" s="128" t="s">
        <v>131</v>
      </c>
      <c r="C4310" s="128" t="s">
        <v>22</v>
      </c>
      <c r="D4310" s="128" t="s">
        <v>76</v>
      </c>
      <c r="E4310" s="128" t="s">
        <v>132</v>
      </c>
      <c r="F4310" s="128">
        <v>23646867.48</v>
      </c>
      <c r="G4310" s="128">
        <v>15390617.310000001</v>
      </c>
      <c r="H4310" s="128">
        <v>8256188.5999999996</v>
      </c>
      <c r="I4310" s="128">
        <v>373820</v>
      </c>
    </row>
    <row r="4311" spans="1:9" ht="13.5">
      <c r="A4311" s="128">
        <v>2005</v>
      </c>
      <c r="B4311" s="128" t="s">
        <v>131</v>
      </c>
      <c r="C4311" s="128" t="s">
        <v>22</v>
      </c>
      <c r="D4311" s="128" t="s">
        <v>76</v>
      </c>
      <c r="E4311" s="128" t="s">
        <v>133</v>
      </c>
      <c r="F4311" s="128">
        <v>37177732.590000004</v>
      </c>
      <c r="G4311" s="128">
        <v>20629260.219999999</v>
      </c>
      <c r="H4311" s="128">
        <v>16548398.59</v>
      </c>
      <c r="I4311" s="128">
        <v>220238</v>
      </c>
    </row>
    <row r="4312" spans="1:9" ht="13.5">
      <c r="A4312" s="128">
        <v>2005</v>
      </c>
      <c r="B4312" s="128" t="s">
        <v>131</v>
      </c>
      <c r="C4312" s="128" t="s">
        <v>22</v>
      </c>
      <c r="D4312" s="128" t="s">
        <v>76</v>
      </c>
      <c r="E4312" s="128" t="s">
        <v>134</v>
      </c>
      <c r="F4312" s="128">
        <v>20756515.780000001</v>
      </c>
      <c r="G4312" s="128">
        <v>9823715</v>
      </c>
      <c r="H4312" s="128">
        <v>10932708.710000001</v>
      </c>
      <c r="I4312" s="128">
        <v>161256</v>
      </c>
    </row>
    <row r="4313" spans="1:9" ht="13.5">
      <c r="A4313" s="128">
        <v>2005</v>
      </c>
      <c r="B4313" s="128" t="s">
        <v>131</v>
      </c>
      <c r="C4313" s="128" t="s">
        <v>22</v>
      </c>
      <c r="D4313" s="128" t="s">
        <v>76</v>
      </c>
      <c r="E4313" s="128" t="s">
        <v>135</v>
      </c>
      <c r="F4313" s="128">
        <v>3243924.45</v>
      </c>
      <c r="G4313" s="128">
        <v>935269.68</v>
      </c>
      <c r="H4313" s="128">
        <v>2308654.87</v>
      </c>
      <c r="I4313" s="128">
        <v>3457</v>
      </c>
    </row>
    <row r="4314" spans="1:9" ht="13.5">
      <c r="A4314" s="128">
        <v>2005</v>
      </c>
      <c r="B4314" s="128" t="s">
        <v>131</v>
      </c>
      <c r="C4314" s="128" t="s">
        <v>22</v>
      </c>
      <c r="D4314" s="128" t="s">
        <v>76</v>
      </c>
      <c r="E4314" s="128" t="s">
        <v>136</v>
      </c>
      <c r="F4314" s="128">
        <v>1820938.45</v>
      </c>
      <c r="G4314" s="128">
        <v>1379131.34</v>
      </c>
      <c r="H4314" s="128">
        <v>441807.11</v>
      </c>
      <c r="I4314" s="128">
        <v>34984</v>
      </c>
    </row>
    <row r="4315" spans="1:9" ht="13.5">
      <c r="A4315" s="128">
        <v>2005</v>
      </c>
      <c r="B4315" s="128" t="s">
        <v>131</v>
      </c>
      <c r="C4315" s="128" t="s">
        <v>23</v>
      </c>
      <c r="D4315" s="128" t="s">
        <v>77</v>
      </c>
      <c r="E4315" s="128" t="s">
        <v>132</v>
      </c>
      <c r="F4315" s="128">
        <v>1234353.8899999999</v>
      </c>
      <c r="G4315" s="128">
        <v>796157.75</v>
      </c>
      <c r="H4315" s="128">
        <v>400117.89</v>
      </c>
      <c r="I4315" s="128">
        <v>9736</v>
      </c>
    </row>
    <row r="4316" spans="1:9" ht="13.5">
      <c r="A4316" s="128">
        <v>2005</v>
      </c>
      <c r="B4316" s="128" t="s">
        <v>131</v>
      </c>
      <c r="C4316" s="128" t="s">
        <v>23</v>
      </c>
      <c r="D4316" s="128" t="s">
        <v>77</v>
      </c>
      <c r="E4316" s="128" t="s">
        <v>133</v>
      </c>
      <c r="F4316" s="128">
        <v>1915452.7</v>
      </c>
      <c r="G4316" s="128">
        <v>1039771.52</v>
      </c>
      <c r="H4316" s="128">
        <v>814672.44</v>
      </c>
      <c r="I4316" s="128">
        <v>7448</v>
      </c>
    </row>
    <row r="4317" spans="1:9" ht="13.5">
      <c r="A4317" s="128">
        <v>2005</v>
      </c>
      <c r="B4317" s="128" t="s">
        <v>131</v>
      </c>
      <c r="C4317" s="128" t="s">
        <v>23</v>
      </c>
      <c r="D4317" s="128" t="s">
        <v>77</v>
      </c>
      <c r="E4317" s="128" t="s">
        <v>134</v>
      </c>
      <c r="F4317" s="128">
        <v>1995150.68</v>
      </c>
      <c r="G4317" s="128">
        <v>913000.1</v>
      </c>
      <c r="H4317" s="128">
        <v>937925.29</v>
      </c>
      <c r="I4317" s="128">
        <v>8611</v>
      </c>
    </row>
    <row r="4318" spans="1:9" ht="13.5">
      <c r="A4318" s="128">
        <v>2005</v>
      </c>
      <c r="B4318" s="128" t="s">
        <v>131</v>
      </c>
      <c r="C4318" s="128" t="s">
        <v>23</v>
      </c>
      <c r="D4318" s="128" t="s">
        <v>77</v>
      </c>
      <c r="E4318" s="128" t="s">
        <v>135</v>
      </c>
      <c r="F4318" s="128">
        <v>917304.07</v>
      </c>
      <c r="G4318" s="128">
        <v>246503.95</v>
      </c>
      <c r="H4318" s="128">
        <v>295568.5</v>
      </c>
      <c r="I4318" s="128">
        <v>2041</v>
      </c>
    </row>
    <row r="4319" spans="1:9" ht="13.5">
      <c r="A4319" s="128">
        <v>2005</v>
      </c>
      <c r="B4319" s="128" t="s">
        <v>131</v>
      </c>
      <c r="C4319" s="128" t="s">
        <v>23</v>
      </c>
      <c r="D4319" s="128" t="s">
        <v>79</v>
      </c>
      <c r="E4319" s="128" t="s">
        <v>132</v>
      </c>
      <c r="F4319" s="128">
        <v>478309.66</v>
      </c>
      <c r="G4319" s="128">
        <v>315012.65000000002</v>
      </c>
      <c r="H4319" s="128">
        <v>111008.92</v>
      </c>
      <c r="I4319" s="128">
        <v>4577</v>
      </c>
    </row>
    <row r="4320" spans="1:9" ht="13.5">
      <c r="A4320" s="128">
        <v>2005</v>
      </c>
      <c r="B4320" s="128" t="s">
        <v>131</v>
      </c>
      <c r="C4320" s="128" t="s">
        <v>23</v>
      </c>
      <c r="D4320" s="128" t="s">
        <v>79</v>
      </c>
      <c r="E4320" s="128" t="s">
        <v>133</v>
      </c>
      <c r="F4320" s="128">
        <v>644314.57999999996</v>
      </c>
      <c r="G4320" s="128">
        <v>352595.14</v>
      </c>
      <c r="H4320" s="128">
        <v>132624.94</v>
      </c>
      <c r="I4320" s="128">
        <v>4688</v>
      </c>
    </row>
    <row r="4321" spans="1:9" ht="13.5">
      <c r="A4321" s="128">
        <v>2005</v>
      </c>
      <c r="B4321" s="128" t="s">
        <v>131</v>
      </c>
      <c r="C4321" s="128" t="s">
        <v>23</v>
      </c>
      <c r="D4321" s="128" t="s">
        <v>79</v>
      </c>
      <c r="E4321" s="128" t="s">
        <v>134</v>
      </c>
      <c r="F4321" s="128">
        <v>540620.29</v>
      </c>
      <c r="G4321" s="128">
        <v>232070.99</v>
      </c>
      <c r="H4321" s="128">
        <v>84811.16</v>
      </c>
      <c r="I4321" s="128">
        <v>3336</v>
      </c>
    </row>
    <row r="4322" spans="1:9" ht="13.5">
      <c r="A4322" s="128">
        <v>2005</v>
      </c>
      <c r="B4322" s="128" t="s">
        <v>131</v>
      </c>
      <c r="C4322" s="128" t="s">
        <v>23</v>
      </c>
      <c r="D4322" s="128" t="s">
        <v>79</v>
      </c>
      <c r="E4322" s="128" t="s">
        <v>135</v>
      </c>
      <c r="F4322" s="128">
        <v>976025.67</v>
      </c>
      <c r="G4322" s="128">
        <v>231861.88</v>
      </c>
      <c r="H4322" s="128">
        <v>109286.02</v>
      </c>
      <c r="I4322" s="128">
        <v>4746</v>
      </c>
    </row>
    <row r="4323" spans="1:9" ht="13.5">
      <c r="A4323" s="128">
        <v>2005</v>
      </c>
      <c r="B4323" s="128" t="s">
        <v>131</v>
      </c>
      <c r="C4323" s="128" t="s">
        <v>23</v>
      </c>
      <c r="D4323" s="128" t="s">
        <v>79</v>
      </c>
      <c r="E4323" s="128" t="s">
        <v>136</v>
      </c>
      <c r="F4323" s="128">
        <v>6041686.3899999997</v>
      </c>
      <c r="G4323" s="128">
        <v>4540628.82</v>
      </c>
      <c r="H4323" s="128">
        <v>1500757.68</v>
      </c>
      <c r="I4323" s="128">
        <v>60843</v>
      </c>
    </row>
    <row r="4324" spans="1:9" ht="13.5">
      <c r="A4324" s="128">
        <v>2005</v>
      </c>
      <c r="B4324" s="128" t="s">
        <v>131</v>
      </c>
      <c r="C4324" s="128" t="s">
        <v>23</v>
      </c>
      <c r="D4324" s="128" t="s">
        <v>76</v>
      </c>
      <c r="E4324" s="128" t="s">
        <v>132</v>
      </c>
      <c r="F4324" s="128">
        <v>7546379.4900000002</v>
      </c>
      <c r="G4324" s="128">
        <v>5000468.53</v>
      </c>
      <c r="H4324" s="128">
        <v>2545829.9</v>
      </c>
      <c r="I4324" s="128">
        <v>128249</v>
      </c>
    </row>
    <row r="4325" spans="1:9" ht="13.5">
      <c r="A4325" s="128">
        <v>2005</v>
      </c>
      <c r="B4325" s="128" t="s">
        <v>131</v>
      </c>
      <c r="C4325" s="128" t="s">
        <v>23</v>
      </c>
      <c r="D4325" s="128" t="s">
        <v>76</v>
      </c>
      <c r="E4325" s="128" t="s">
        <v>133</v>
      </c>
      <c r="F4325" s="128">
        <v>17567720</v>
      </c>
      <c r="G4325" s="128">
        <v>9648152.3699999992</v>
      </c>
      <c r="H4325" s="128">
        <v>7919536.8300000001</v>
      </c>
      <c r="I4325" s="128">
        <v>84972</v>
      </c>
    </row>
    <row r="4326" spans="1:9" ht="13.5">
      <c r="A4326" s="128">
        <v>2005</v>
      </c>
      <c r="B4326" s="128" t="s">
        <v>131</v>
      </c>
      <c r="C4326" s="128" t="s">
        <v>23</v>
      </c>
      <c r="D4326" s="128" t="s">
        <v>76</v>
      </c>
      <c r="E4326" s="128" t="s">
        <v>134</v>
      </c>
      <c r="F4326" s="128">
        <v>13670928.060000001</v>
      </c>
      <c r="G4326" s="128">
        <v>6357668.3200000003</v>
      </c>
      <c r="H4326" s="128">
        <v>7313230.1699999999</v>
      </c>
      <c r="I4326" s="128">
        <v>73902</v>
      </c>
    </row>
    <row r="4327" spans="1:9" ht="13.5">
      <c r="A4327" s="128">
        <v>2005</v>
      </c>
      <c r="B4327" s="128" t="s">
        <v>131</v>
      </c>
      <c r="C4327" s="128" t="s">
        <v>23</v>
      </c>
      <c r="D4327" s="128" t="s">
        <v>76</v>
      </c>
      <c r="E4327" s="128" t="s">
        <v>135</v>
      </c>
      <c r="F4327" s="128">
        <v>1019394.1</v>
      </c>
      <c r="G4327" s="128">
        <v>273822.8</v>
      </c>
      <c r="H4327" s="128">
        <v>745571.3</v>
      </c>
      <c r="I4327" s="128">
        <v>890</v>
      </c>
    </row>
    <row r="4328" spans="1:9" ht="13.5">
      <c r="A4328" s="128">
        <v>2005</v>
      </c>
      <c r="B4328" s="128" t="s">
        <v>131</v>
      </c>
      <c r="C4328" s="128" t="s">
        <v>23</v>
      </c>
      <c r="D4328" s="128" t="s">
        <v>76</v>
      </c>
      <c r="E4328" s="128" t="s">
        <v>136</v>
      </c>
      <c r="F4328" s="128">
        <v>1670723.11</v>
      </c>
      <c r="G4328" s="128">
        <v>1258195.6599999999</v>
      </c>
      <c r="H4328" s="128">
        <v>412596.35</v>
      </c>
      <c r="I4328" s="128">
        <v>17500</v>
      </c>
    </row>
    <row r="4329" spans="1:9" ht="13.5">
      <c r="A4329" s="128">
        <v>2005</v>
      </c>
      <c r="B4329" s="128" t="s">
        <v>131</v>
      </c>
      <c r="C4329" s="128" t="s">
        <v>25</v>
      </c>
      <c r="D4329" s="128" t="s">
        <v>77</v>
      </c>
      <c r="E4329" s="128" t="s">
        <v>132</v>
      </c>
      <c r="F4329" s="128">
        <v>50038.75</v>
      </c>
      <c r="G4329" s="128">
        <v>33090.199999999997</v>
      </c>
      <c r="H4329" s="128">
        <v>14309.25</v>
      </c>
      <c r="I4329" s="128">
        <v>355</v>
      </c>
    </row>
    <row r="4330" spans="1:9" ht="13.5">
      <c r="A4330" s="128">
        <v>2005</v>
      </c>
      <c r="B4330" s="128" t="s">
        <v>131</v>
      </c>
      <c r="C4330" s="128" t="s">
        <v>25</v>
      </c>
      <c r="D4330" s="128" t="s">
        <v>77</v>
      </c>
      <c r="E4330" s="128" t="s">
        <v>133</v>
      </c>
      <c r="F4330" s="128">
        <v>107760.58</v>
      </c>
      <c r="G4330" s="128">
        <v>58438.400000000001</v>
      </c>
      <c r="H4330" s="128">
        <v>40011.24</v>
      </c>
      <c r="I4330" s="128">
        <v>478</v>
      </c>
    </row>
    <row r="4331" spans="1:9" ht="13.5">
      <c r="A4331" s="128">
        <v>2005</v>
      </c>
      <c r="B4331" s="128" t="s">
        <v>131</v>
      </c>
      <c r="C4331" s="128" t="s">
        <v>25</v>
      </c>
      <c r="D4331" s="128" t="s">
        <v>77</v>
      </c>
      <c r="E4331" s="128" t="s">
        <v>134</v>
      </c>
      <c r="F4331" s="128">
        <v>371164.35</v>
      </c>
      <c r="G4331" s="128">
        <v>157132.25</v>
      </c>
      <c r="H4331" s="128">
        <v>161492.57</v>
      </c>
      <c r="I4331" s="128">
        <v>1519</v>
      </c>
    </row>
    <row r="4332" spans="1:9" ht="13.5">
      <c r="A4332" s="128">
        <v>2005</v>
      </c>
      <c r="B4332" s="128" t="s">
        <v>131</v>
      </c>
      <c r="C4332" s="128" t="s">
        <v>25</v>
      </c>
      <c r="D4332" s="128" t="s">
        <v>77</v>
      </c>
      <c r="E4332" s="128" t="s">
        <v>135</v>
      </c>
      <c r="F4332" s="128">
        <v>565925.4</v>
      </c>
      <c r="G4332" s="128">
        <v>166891.85</v>
      </c>
      <c r="H4332" s="128">
        <v>187230.52</v>
      </c>
      <c r="I4332" s="128">
        <v>2034</v>
      </c>
    </row>
    <row r="4333" spans="1:9" ht="13.5">
      <c r="A4333" s="128">
        <v>2005</v>
      </c>
      <c r="B4333" s="128" t="s">
        <v>131</v>
      </c>
      <c r="C4333" s="128" t="s">
        <v>25</v>
      </c>
      <c r="D4333" s="128" t="s">
        <v>79</v>
      </c>
      <c r="E4333" s="128" t="s">
        <v>132</v>
      </c>
      <c r="F4333" s="128">
        <v>231733.77</v>
      </c>
      <c r="G4333" s="128">
        <v>151738.73000000001</v>
      </c>
      <c r="H4333" s="128">
        <v>50563.67</v>
      </c>
      <c r="I4333" s="128">
        <v>1519</v>
      </c>
    </row>
    <row r="4334" spans="1:9" ht="13.5">
      <c r="A4334" s="128">
        <v>2005</v>
      </c>
      <c r="B4334" s="128" t="s">
        <v>131</v>
      </c>
      <c r="C4334" s="128" t="s">
        <v>25</v>
      </c>
      <c r="D4334" s="128" t="s">
        <v>79</v>
      </c>
      <c r="E4334" s="128" t="s">
        <v>133</v>
      </c>
      <c r="F4334" s="128">
        <v>299627.90999999997</v>
      </c>
      <c r="G4334" s="128">
        <v>162854.42000000001</v>
      </c>
      <c r="H4334" s="128">
        <v>54688.79</v>
      </c>
      <c r="I4334" s="128">
        <v>1384</v>
      </c>
    </row>
    <row r="4335" spans="1:9" ht="13.5">
      <c r="A4335" s="128">
        <v>2005</v>
      </c>
      <c r="B4335" s="128" t="s">
        <v>131</v>
      </c>
      <c r="C4335" s="128" t="s">
        <v>25</v>
      </c>
      <c r="D4335" s="128" t="s">
        <v>79</v>
      </c>
      <c r="E4335" s="128" t="s">
        <v>134</v>
      </c>
      <c r="F4335" s="128">
        <v>490541.74</v>
      </c>
      <c r="G4335" s="128">
        <v>207955.64</v>
      </c>
      <c r="H4335" s="128">
        <v>69593.38</v>
      </c>
      <c r="I4335" s="128">
        <v>2667</v>
      </c>
    </row>
    <row r="4336" spans="1:9" ht="13.5">
      <c r="A4336" s="128">
        <v>2005</v>
      </c>
      <c r="B4336" s="128" t="s">
        <v>131</v>
      </c>
      <c r="C4336" s="128" t="s">
        <v>25</v>
      </c>
      <c r="D4336" s="128" t="s">
        <v>79</v>
      </c>
      <c r="E4336" s="128" t="s">
        <v>135</v>
      </c>
      <c r="F4336" s="128">
        <v>1244285.08</v>
      </c>
      <c r="G4336" s="128">
        <v>313988.42</v>
      </c>
      <c r="H4336" s="128">
        <v>108462.27</v>
      </c>
      <c r="I4336" s="128">
        <v>2530</v>
      </c>
    </row>
    <row r="4337" spans="1:9" ht="13.5">
      <c r="A4337" s="128">
        <v>2005</v>
      </c>
      <c r="B4337" s="128" t="s">
        <v>131</v>
      </c>
      <c r="C4337" s="128" t="s">
        <v>25</v>
      </c>
      <c r="D4337" s="128" t="s">
        <v>79</v>
      </c>
      <c r="E4337" s="128" t="s">
        <v>136</v>
      </c>
      <c r="F4337" s="128">
        <v>1411855.98</v>
      </c>
      <c r="G4337" s="128">
        <v>1062952.8600000001</v>
      </c>
      <c r="H4337" s="128">
        <v>348903.12</v>
      </c>
      <c r="I4337" s="128">
        <v>21112</v>
      </c>
    </row>
    <row r="4338" spans="1:9" ht="13.5">
      <c r="A4338" s="128">
        <v>2005</v>
      </c>
      <c r="B4338" s="128" t="s">
        <v>131</v>
      </c>
      <c r="C4338" s="128" t="s">
        <v>25</v>
      </c>
      <c r="D4338" s="128" t="s">
        <v>76</v>
      </c>
      <c r="E4338" s="128" t="s">
        <v>132</v>
      </c>
      <c r="F4338" s="128">
        <v>2345724.56</v>
      </c>
      <c r="G4338" s="128">
        <v>1527896.11</v>
      </c>
      <c r="H4338" s="128">
        <v>817827.35</v>
      </c>
      <c r="I4338" s="128">
        <v>32569</v>
      </c>
    </row>
    <row r="4339" spans="1:9" ht="13.5">
      <c r="A4339" s="128">
        <v>2005</v>
      </c>
      <c r="B4339" s="128" t="s">
        <v>131</v>
      </c>
      <c r="C4339" s="128" t="s">
        <v>25</v>
      </c>
      <c r="D4339" s="128" t="s">
        <v>76</v>
      </c>
      <c r="E4339" s="128" t="s">
        <v>133</v>
      </c>
      <c r="F4339" s="128">
        <v>4149307.16</v>
      </c>
      <c r="G4339" s="128">
        <v>2272732.7000000002</v>
      </c>
      <c r="H4339" s="128">
        <v>1876571.55</v>
      </c>
      <c r="I4339" s="128">
        <v>15808</v>
      </c>
    </row>
    <row r="4340" spans="1:9" ht="13.5">
      <c r="A4340" s="128">
        <v>2005</v>
      </c>
      <c r="B4340" s="128" t="s">
        <v>131</v>
      </c>
      <c r="C4340" s="128" t="s">
        <v>25</v>
      </c>
      <c r="D4340" s="128" t="s">
        <v>76</v>
      </c>
      <c r="E4340" s="128" t="s">
        <v>134</v>
      </c>
      <c r="F4340" s="128">
        <v>3009775.41</v>
      </c>
      <c r="G4340" s="128">
        <v>1404561.05</v>
      </c>
      <c r="H4340" s="128">
        <v>1605215.23</v>
      </c>
      <c r="I4340" s="128">
        <v>19828</v>
      </c>
    </row>
    <row r="4341" spans="1:9" ht="13.5">
      <c r="A4341" s="128">
        <v>2005</v>
      </c>
      <c r="B4341" s="128" t="s">
        <v>131</v>
      </c>
      <c r="C4341" s="128" t="s">
        <v>25</v>
      </c>
      <c r="D4341" s="128" t="s">
        <v>76</v>
      </c>
      <c r="E4341" s="128" t="s">
        <v>135</v>
      </c>
      <c r="F4341" s="128">
        <v>409368.74</v>
      </c>
      <c r="G4341" s="128">
        <v>114693.65</v>
      </c>
      <c r="H4341" s="128">
        <v>294675.09000000003</v>
      </c>
      <c r="I4341" s="128">
        <v>360</v>
      </c>
    </row>
    <row r="4342" spans="1:9" ht="13.5">
      <c r="A4342" s="128">
        <v>2005</v>
      </c>
      <c r="B4342" s="128" t="s">
        <v>131</v>
      </c>
      <c r="C4342" s="128" t="s">
        <v>25</v>
      </c>
      <c r="D4342" s="128" t="s">
        <v>76</v>
      </c>
      <c r="E4342" s="128" t="s">
        <v>136</v>
      </c>
      <c r="F4342" s="128">
        <v>212730.11</v>
      </c>
      <c r="G4342" s="128">
        <v>161141.4</v>
      </c>
      <c r="H4342" s="128">
        <v>51588.71</v>
      </c>
      <c r="I4342" s="128">
        <v>2451</v>
      </c>
    </row>
    <row r="4343" spans="1:9" ht="13.5">
      <c r="A4343" s="128">
        <v>2005</v>
      </c>
      <c r="B4343" s="128" t="s">
        <v>131</v>
      </c>
      <c r="C4343" s="128" t="s">
        <v>21</v>
      </c>
      <c r="D4343" s="128" t="s">
        <v>77</v>
      </c>
      <c r="E4343" s="128" t="s">
        <v>132</v>
      </c>
      <c r="F4343" s="128">
        <v>2012958.3</v>
      </c>
      <c r="G4343" s="128">
        <v>1312405.8</v>
      </c>
      <c r="H4343" s="128">
        <v>607649.96</v>
      </c>
      <c r="I4343" s="128">
        <v>10998</v>
      </c>
    </row>
    <row r="4344" spans="1:9" ht="13.5">
      <c r="A4344" s="128">
        <v>2005</v>
      </c>
      <c r="B4344" s="128" t="s">
        <v>131</v>
      </c>
      <c r="C4344" s="128" t="s">
        <v>21</v>
      </c>
      <c r="D4344" s="128" t="s">
        <v>77</v>
      </c>
      <c r="E4344" s="128" t="s">
        <v>133</v>
      </c>
      <c r="F4344" s="128">
        <v>3254840.82</v>
      </c>
      <c r="G4344" s="128">
        <v>1769933.3</v>
      </c>
      <c r="H4344" s="128">
        <v>1202613.07</v>
      </c>
      <c r="I4344" s="128">
        <v>11241</v>
      </c>
    </row>
    <row r="4345" spans="1:9" ht="13.5">
      <c r="A4345" s="128">
        <v>2005</v>
      </c>
      <c r="B4345" s="128" t="s">
        <v>131</v>
      </c>
      <c r="C4345" s="128" t="s">
        <v>21</v>
      </c>
      <c r="D4345" s="128" t="s">
        <v>77</v>
      </c>
      <c r="E4345" s="128" t="s">
        <v>134</v>
      </c>
      <c r="F4345" s="128">
        <v>6790004.7400000002</v>
      </c>
      <c r="G4345" s="128">
        <v>2925645.35</v>
      </c>
      <c r="H4345" s="128">
        <v>2597938.71</v>
      </c>
      <c r="I4345" s="128">
        <v>31102</v>
      </c>
    </row>
    <row r="4346" spans="1:9" ht="13.5">
      <c r="A4346" s="128">
        <v>2005</v>
      </c>
      <c r="B4346" s="128" t="s">
        <v>131</v>
      </c>
      <c r="C4346" s="128" t="s">
        <v>21</v>
      </c>
      <c r="D4346" s="128" t="s">
        <v>77</v>
      </c>
      <c r="E4346" s="128" t="s">
        <v>135</v>
      </c>
      <c r="F4346" s="128">
        <v>5864244.54</v>
      </c>
      <c r="G4346" s="128">
        <v>1701940.15</v>
      </c>
      <c r="H4346" s="128">
        <v>1684237.86</v>
      </c>
      <c r="I4346" s="128">
        <v>18321</v>
      </c>
    </row>
    <row r="4347" spans="1:9" ht="13.5">
      <c r="A4347" s="128">
        <v>2005</v>
      </c>
      <c r="B4347" s="128" t="s">
        <v>131</v>
      </c>
      <c r="C4347" s="128" t="s">
        <v>21</v>
      </c>
      <c r="D4347" s="128" t="s">
        <v>79</v>
      </c>
      <c r="E4347" s="128" t="s">
        <v>132</v>
      </c>
      <c r="F4347" s="128">
        <v>2785128.88</v>
      </c>
      <c r="G4347" s="128">
        <v>1850092.07</v>
      </c>
      <c r="H4347" s="128">
        <v>611375.66</v>
      </c>
      <c r="I4347" s="128">
        <v>22963</v>
      </c>
    </row>
    <row r="4348" spans="1:9" ht="13.5">
      <c r="A4348" s="128">
        <v>2005</v>
      </c>
      <c r="B4348" s="128" t="s">
        <v>131</v>
      </c>
      <c r="C4348" s="128" t="s">
        <v>21</v>
      </c>
      <c r="D4348" s="128" t="s">
        <v>79</v>
      </c>
      <c r="E4348" s="128" t="s">
        <v>133</v>
      </c>
      <c r="F4348" s="128">
        <v>2732052.53</v>
      </c>
      <c r="G4348" s="128">
        <v>1497216.49</v>
      </c>
      <c r="H4348" s="128">
        <v>509102.62</v>
      </c>
      <c r="I4348" s="128">
        <v>15907</v>
      </c>
    </row>
    <row r="4349" spans="1:9" ht="13.5">
      <c r="A4349" s="128">
        <v>2005</v>
      </c>
      <c r="B4349" s="128" t="s">
        <v>131</v>
      </c>
      <c r="C4349" s="128" t="s">
        <v>21</v>
      </c>
      <c r="D4349" s="128" t="s">
        <v>79</v>
      </c>
      <c r="E4349" s="128" t="s">
        <v>134</v>
      </c>
      <c r="F4349" s="128">
        <v>7257574.2800000003</v>
      </c>
      <c r="G4349" s="128">
        <v>3124102.58</v>
      </c>
      <c r="H4349" s="128">
        <v>1049115.95</v>
      </c>
      <c r="I4349" s="128">
        <v>51397</v>
      </c>
    </row>
    <row r="4350" spans="1:9" ht="13.5">
      <c r="A4350" s="128">
        <v>2005</v>
      </c>
      <c r="B4350" s="128" t="s">
        <v>131</v>
      </c>
      <c r="C4350" s="128" t="s">
        <v>21</v>
      </c>
      <c r="D4350" s="128" t="s">
        <v>79</v>
      </c>
      <c r="E4350" s="128" t="s">
        <v>135</v>
      </c>
      <c r="F4350" s="128">
        <v>9739184.5299999993</v>
      </c>
      <c r="G4350" s="128">
        <v>2725162.92</v>
      </c>
      <c r="H4350" s="128">
        <v>924308.67</v>
      </c>
      <c r="I4350" s="128">
        <v>26689</v>
      </c>
    </row>
    <row r="4351" spans="1:9" ht="13.5">
      <c r="A4351" s="128">
        <v>2005</v>
      </c>
      <c r="B4351" s="128" t="s">
        <v>131</v>
      </c>
      <c r="C4351" s="128" t="s">
        <v>21</v>
      </c>
      <c r="D4351" s="128" t="s">
        <v>79</v>
      </c>
      <c r="E4351" s="128" t="s">
        <v>136</v>
      </c>
      <c r="F4351" s="128">
        <v>12703721.73</v>
      </c>
      <c r="G4351" s="128">
        <v>9568694.1999999993</v>
      </c>
      <c r="H4351" s="128">
        <v>3134909.33</v>
      </c>
      <c r="I4351" s="128">
        <v>166290</v>
      </c>
    </row>
    <row r="4352" spans="1:9" ht="13.5">
      <c r="A4352" s="128">
        <v>2005</v>
      </c>
      <c r="B4352" s="128" t="s">
        <v>131</v>
      </c>
      <c r="C4352" s="128" t="s">
        <v>21</v>
      </c>
      <c r="D4352" s="128" t="s">
        <v>76</v>
      </c>
      <c r="E4352" s="128" t="s">
        <v>132</v>
      </c>
      <c r="F4352" s="128">
        <v>21772064.140000001</v>
      </c>
      <c r="G4352" s="128">
        <v>14028159.390000001</v>
      </c>
      <c r="H4352" s="128">
        <v>7743807.4699999997</v>
      </c>
      <c r="I4352" s="128">
        <v>267270</v>
      </c>
    </row>
    <row r="4353" spans="1:9" ht="13.5">
      <c r="A4353" s="128">
        <v>2005</v>
      </c>
      <c r="B4353" s="128" t="s">
        <v>131</v>
      </c>
      <c r="C4353" s="128" t="s">
        <v>21</v>
      </c>
      <c r="D4353" s="128" t="s">
        <v>76</v>
      </c>
      <c r="E4353" s="128" t="s">
        <v>133</v>
      </c>
      <c r="F4353" s="128">
        <v>53835736.020000003</v>
      </c>
      <c r="G4353" s="128">
        <v>29738040.760000002</v>
      </c>
      <c r="H4353" s="128">
        <v>24097614.489999998</v>
      </c>
      <c r="I4353" s="128">
        <v>325861</v>
      </c>
    </row>
    <row r="4354" spans="1:9" ht="13.5">
      <c r="A4354" s="128">
        <v>2005</v>
      </c>
      <c r="B4354" s="128" t="s">
        <v>131</v>
      </c>
      <c r="C4354" s="128" t="s">
        <v>21</v>
      </c>
      <c r="D4354" s="128" t="s">
        <v>76</v>
      </c>
      <c r="E4354" s="128" t="s">
        <v>134</v>
      </c>
      <c r="F4354" s="128">
        <v>31129042.219999999</v>
      </c>
      <c r="G4354" s="128">
        <v>14488593.550000001</v>
      </c>
      <c r="H4354" s="128">
        <v>16640361.859999999</v>
      </c>
      <c r="I4354" s="128">
        <v>231331</v>
      </c>
    </row>
    <row r="4355" spans="1:9" ht="13.5">
      <c r="A4355" s="128">
        <v>2005</v>
      </c>
      <c r="B4355" s="128" t="s">
        <v>131</v>
      </c>
      <c r="C4355" s="128" t="s">
        <v>21</v>
      </c>
      <c r="D4355" s="128" t="s">
        <v>76</v>
      </c>
      <c r="E4355" s="128" t="s">
        <v>135</v>
      </c>
      <c r="F4355" s="128">
        <v>2330556.25</v>
      </c>
      <c r="G4355" s="128">
        <v>664914.89</v>
      </c>
      <c r="H4355" s="128">
        <v>1665639.66</v>
      </c>
      <c r="I4355" s="128">
        <v>2280</v>
      </c>
    </row>
    <row r="4356" spans="1:9" ht="13.5">
      <c r="A4356" s="128">
        <v>2005</v>
      </c>
      <c r="B4356" s="128" t="s">
        <v>131</v>
      </c>
      <c r="C4356" s="128" t="s">
        <v>21</v>
      </c>
      <c r="D4356" s="128" t="s">
        <v>76</v>
      </c>
      <c r="E4356" s="128" t="s">
        <v>136</v>
      </c>
      <c r="F4356" s="128">
        <v>4983643.53</v>
      </c>
      <c r="G4356" s="128">
        <v>3757288.13</v>
      </c>
      <c r="H4356" s="128">
        <v>1226377.45</v>
      </c>
      <c r="I4356" s="128">
        <v>86383</v>
      </c>
    </row>
    <row r="4357" spans="1:9" ht="13.5">
      <c r="A4357" s="128">
        <v>2005</v>
      </c>
      <c r="B4357" s="128" t="s">
        <v>131</v>
      </c>
      <c r="C4357" s="128" t="s">
        <v>24</v>
      </c>
      <c r="D4357" s="128" t="s">
        <v>77</v>
      </c>
      <c r="E4357" s="128" t="s">
        <v>132</v>
      </c>
      <c r="F4357" s="128">
        <v>1377563.72</v>
      </c>
      <c r="G4357" s="128">
        <v>929984.03</v>
      </c>
      <c r="H4357" s="128">
        <v>409348.43</v>
      </c>
      <c r="I4357" s="128">
        <v>10728</v>
      </c>
    </row>
    <row r="4358" spans="1:9" ht="13.5">
      <c r="A4358" s="128">
        <v>2005</v>
      </c>
      <c r="B4358" s="128" t="s">
        <v>131</v>
      </c>
      <c r="C4358" s="128" t="s">
        <v>24</v>
      </c>
      <c r="D4358" s="128" t="s">
        <v>77</v>
      </c>
      <c r="E4358" s="128" t="s">
        <v>133</v>
      </c>
      <c r="F4358" s="128">
        <v>3166190.3</v>
      </c>
      <c r="G4358" s="128">
        <v>1702478.15</v>
      </c>
      <c r="H4358" s="128">
        <v>1181579.44</v>
      </c>
      <c r="I4358" s="128">
        <v>12497</v>
      </c>
    </row>
    <row r="4359" spans="1:9" ht="13.5">
      <c r="A4359" s="128">
        <v>2005</v>
      </c>
      <c r="B4359" s="128" t="s">
        <v>131</v>
      </c>
      <c r="C4359" s="128" t="s">
        <v>24</v>
      </c>
      <c r="D4359" s="128" t="s">
        <v>77</v>
      </c>
      <c r="E4359" s="128" t="s">
        <v>134</v>
      </c>
      <c r="F4359" s="128">
        <v>4734122.4000000004</v>
      </c>
      <c r="G4359" s="128">
        <v>2084766.4</v>
      </c>
      <c r="H4359" s="128">
        <v>1463260.1599999999</v>
      </c>
      <c r="I4359" s="128">
        <v>21485</v>
      </c>
    </row>
    <row r="4360" spans="1:9" ht="13.5">
      <c r="A4360" s="128">
        <v>2005</v>
      </c>
      <c r="B4360" s="128" t="s">
        <v>131</v>
      </c>
      <c r="C4360" s="128" t="s">
        <v>24</v>
      </c>
      <c r="D4360" s="128" t="s">
        <v>77</v>
      </c>
      <c r="E4360" s="128" t="s">
        <v>135</v>
      </c>
      <c r="F4360" s="128">
        <v>6950815.8600000003</v>
      </c>
      <c r="G4360" s="128">
        <v>1660343.4</v>
      </c>
      <c r="H4360" s="128">
        <v>1292994.31</v>
      </c>
      <c r="I4360" s="128">
        <v>18993</v>
      </c>
    </row>
    <row r="4361" spans="1:9" ht="13.5">
      <c r="A4361" s="128">
        <v>2005</v>
      </c>
      <c r="B4361" s="128" t="s">
        <v>131</v>
      </c>
      <c r="C4361" s="128" t="s">
        <v>24</v>
      </c>
      <c r="D4361" s="128" t="s">
        <v>79</v>
      </c>
      <c r="E4361" s="128" t="s">
        <v>132</v>
      </c>
      <c r="F4361" s="128">
        <v>671693.5</v>
      </c>
      <c r="G4361" s="128">
        <v>434760.08</v>
      </c>
      <c r="H4361" s="128">
        <v>150049.46</v>
      </c>
      <c r="I4361" s="128">
        <v>4505</v>
      </c>
    </row>
    <row r="4362" spans="1:9" ht="13.5">
      <c r="A4362" s="128">
        <v>2005</v>
      </c>
      <c r="B4362" s="128" t="s">
        <v>131</v>
      </c>
      <c r="C4362" s="128" t="s">
        <v>24</v>
      </c>
      <c r="D4362" s="128" t="s">
        <v>79</v>
      </c>
      <c r="E4362" s="128" t="s">
        <v>133</v>
      </c>
      <c r="F4362" s="128">
        <v>1480956.85</v>
      </c>
      <c r="G4362" s="128">
        <v>793291.31</v>
      </c>
      <c r="H4362" s="128">
        <v>277398.08</v>
      </c>
      <c r="I4362" s="128">
        <v>13798</v>
      </c>
    </row>
    <row r="4363" spans="1:9" ht="13.5">
      <c r="A4363" s="128">
        <v>2005</v>
      </c>
      <c r="B4363" s="128" t="s">
        <v>131</v>
      </c>
      <c r="C4363" s="128" t="s">
        <v>24</v>
      </c>
      <c r="D4363" s="128" t="s">
        <v>79</v>
      </c>
      <c r="E4363" s="128" t="s">
        <v>134</v>
      </c>
      <c r="F4363" s="128">
        <v>1163736.98</v>
      </c>
      <c r="G4363" s="128">
        <v>506273.37</v>
      </c>
      <c r="H4363" s="128">
        <v>177113.12</v>
      </c>
      <c r="I4363" s="128">
        <v>8540</v>
      </c>
    </row>
    <row r="4364" spans="1:9" ht="13.5">
      <c r="A4364" s="128">
        <v>2005</v>
      </c>
      <c r="B4364" s="128" t="s">
        <v>131</v>
      </c>
      <c r="C4364" s="128" t="s">
        <v>24</v>
      </c>
      <c r="D4364" s="128" t="s">
        <v>79</v>
      </c>
      <c r="E4364" s="128" t="s">
        <v>135</v>
      </c>
      <c r="F4364" s="128">
        <v>1649976.72</v>
      </c>
      <c r="G4364" s="128">
        <v>420920.61</v>
      </c>
      <c r="H4364" s="128">
        <v>153286.64000000001</v>
      </c>
      <c r="I4364" s="128">
        <v>4053</v>
      </c>
    </row>
    <row r="4365" spans="1:9" ht="13.5">
      <c r="A4365" s="128">
        <v>2005</v>
      </c>
      <c r="B4365" s="128" t="s">
        <v>131</v>
      </c>
      <c r="C4365" s="128" t="s">
        <v>24</v>
      </c>
      <c r="D4365" s="128" t="s">
        <v>79</v>
      </c>
      <c r="E4365" s="128" t="s">
        <v>136</v>
      </c>
      <c r="F4365" s="128">
        <v>1389622.73</v>
      </c>
      <c r="G4365" s="128">
        <v>1048359.44</v>
      </c>
      <c r="H4365" s="128">
        <v>340890.74</v>
      </c>
      <c r="I4365" s="128">
        <v>27113</v>
      </c>
    </row>
    <row r="4366" spans="1:9" ht="13.5">
      <c r="A4366" s="128">
        <v>2005</v>
      </c>
      <c r="B4366" s="128" t="s">
        <v>131</v>
      </c>
      <c r="C4366" s="128" t="s">
        <v>24</v>
      </c>
      <c r="D4366" s="128" t="s">
        <v>76</v>
      </c>
      <c r="E4366" s="128" t="s">
        <v>132</v>
      </c>
      <c r="F4366" s="128">
        <v>9997397.7100000009</v>
      </c>
      <c r="G4366" s="128">
        <v>6325585.1699999999</v>
      </c>
      <c r="H4366" s="128">
        <v>3671807.18</v>
      </c>
      <c r="I4366" s="128">
        <v>124441</v>
      </c>
    </row>
    <row r="4367" spans="1:9" ht="13.5">
      <c r="A4367" s="128">
        <v>2005</v>
      </c>
      <c r="B4367" s="128" t="s">
        <v>131</v>
      </c>
      <c r="C4367" s="128" t="s">
        <v>24</v>
      </c>
      <c r="D4367" s="128" t="s">
        <v>76</v>
      </c>
      <c r="E4367" s="128" t="s">
        <v>133</v>
      </c>
      <c r="F4367" s="128">
        <v>16737403.59</v>
      </c>
      <c r="G4367" s="128">
        <v>9198558.7699999996</v>
      </c>
      <c r="H4367" s="128">
        <v>7538840.1699999999</v>
      </c>
      <c r="I4367" s="128">
        <v>55997</v>
      </c>
    </row>
    <row r="4368" spans="1:9" ht="13.5">
      <c r="A4368" s="128">
        <v>2005</v>
      </c>
      <c r="B4368" s="128" t="s">
        <v>131</v>
      </c>
      <c r="C4368" s="128" t="s">
        <v>24</v>
      </c>
      <c r="D4368" s="128" t="s">
        <v>76</v>
      </c>
      <c r="E4368" s="128" t="s">
        <v>134</v>
      </c>
      <c r="F4368" s="128">
        <v>11580193.84</v>
      </c>
      <c r="G4368" s="128">
        <v>5156685.6100000003</v>
      </c>
      <c r="H4368" s="128">
        <v>6423501.8499999996</v>
      </c>
      <c r="I4368" s="128">
        <v>78751</v>
      </c>
    </row>
    <row r="4369" spans="1:9" ht="13.5">
      <c r="A4369" s="128">
        <v>2005</v>
      </c>
      <c r="B4369" s="128" t="s">
        <v>131</v>
      </c>
      <c r="C4369" s="128" t="s">
        <v>24</v>
      </c>
      <c r="D4369" s="128" t="s">
        <v>76</v>
      </c>
      <c r="E4369" s="128" t="s">
        <v>135</v>
      </c>
      <c r="F4369" s="128">
        <v>2218169.2200000002</v>
      </c>
      <c r="G4369" s="128">
        <v>532751.44999999995</v>
      </c>
      <c r="H4369" s="128">
        <v>1685417.77</v>
      </c>
      <c r="I4369" s="128">
        <v>1805</v>
      </c>
    </row>
    <row r="4370" spans="1:9" ht="13.5">
      <c r="A4370" s="128">
        <v>2005</v>
      </c>
      <c r="B4370" s="128" t="s">
        <v>131</v>
      </c>
      <c r="C4370" s="128" t="s">
        <v>24</v>
      </c>
      <c r="D4370" s="128" t="s">
        <v>76</v>
      </c>
      <c r="E4370" s="128" t="s">
        <v>136</v>
      </c>
      <c r="F4370" s="128">
        <v>1090184.8600000001</v>
      </c>
      <c r="G4370" s="128">
        <v>827454.42</v>
      </c>
      <c r="H4370" s="128">
        <v>262730.44</v>
      </c>
      <c r="I4370" s="128">
        <v>19931</v>
      </c>
    </row>
    <row r="4371" spans="1:9" ht="13.5">
      <c r="A4371" s="128">
        <v>2005</v>
      </c>
      <c r="B4371" s="128" t="s">
        <v>138</v>
      </c>
      <c r="C4371" s="128" t="s">
        <v>26</v>
      </c>
      <c r="D4371" s="128" t="s">
        <v>77</v>
      </c>
      <c r="E4371" s="128" t="s">
        <v>132</v>
      </c>
      <c r="F4371" s="128">
        <v>0</v>
      </c>
      <c r="G4371" s="128">
        <v>0</v>
      </c>
      <c r="H4371" s="128">
        <v>0</v>
      </c>
      <c r="I4371" s="128">
        <v>0</v>
      </c>
    </row>
    <row r="4372" spans="1:9" ht="13.5">
      <c r="A4372" s="128">
        <v>2005</v>
      </c>
      <c r="B4372" s="128" t="s">
        <v>138</v>
      </c>
      <c r="C4372" s="128" t="s">
        <v>26</v>
      </c>
      <c r="D4372" s="128" t="s">
        <v>77</v>
      </c>
      <c r="E4372" s="128" t="s">
        <v>133</v>
      </c>
      <c r="F4372" s="128">
        <v>0</v>
      </c>
      <c r="G4372" s="128">
        <v>0</v>
      </c>
      <c r="H4372" s="128">
        <v>0</v>
      </c>
      <c r="I4372" s="128">
        <v>0</v>
      </c>
    </row>
    <row r="4373" spans="1:9" ht="13.5">
      <c r="A4373" s="128">
        <v>2005</v>
      </c>
      <c r="B4373" s="128" t="s">
        <v>138</v>
      </c>
      <c r="C4373" s="128" t="s">
        <v>26</v>
      </c>
      <c r="D4373" s="128" t="s">
        <v>77</v>
      </c>
      <c r="E4373" s="128" t="s">
        <v>134</v>
      </c>
      <c r="F4373" s="128">
        <v>0</v>
      </c>
      <c r="G4373" s="128">
        <v>0</v>
      </c>
      <c r="H4373" s="128">
        <v>0</v>
      </c>
      <c r="I4373" s="128">
        <v>0</v>
      </c>
    </row>
    <row r="4374" spans="1:9" ht="13.5">
      <c r="A4374" s="128">
        <v>2005</v>
      </c>
      <c r="B4374" s="128" t="s">
        <v>138</v>
      </c>
      <c r="C4374" s="128" t="s">
        <v>26</v>
      </c>
      <c r="D4374" s="128" t="s">
        <v>77</v>
      </c>
      <c r="E4374" s="128" t="s">
        <v>135</v>
      </c>
      <c r="F4374" s="128">
        <v>0</v>
      </c>
      <c r="G4374" s="128">
        <v>0</v>
      </c>
      <c r="H4374" s="128">
        <v>0</v>
      </c>
      <c r="I4374" s="128">
        <v>0</v>
      </c>
    </row>
    <row r="4375" spans="1:9" ht="13.5">
      <c r="A4375" s="128">
        <v>2005</v>
      </c>
      <c r="B4375" s="128" t="s">
        <v>138</v>
      </c>
      <c r="C4375" s="128" t="s">
        <v>26</v>
      </c>
      <c r="D4375" s="128" t="s">
        <v>79</v>
      </c>
      <c r="E4375" s="128" t="s">
        <v>132</v>
      </c>
      <c r="F4375" s="128">
        <v>0</v>
      </c>
      <c r="G4375" s="128">
        <v>0</v>
      </c>
      <c r="H4375" s="128">
        <v>0</v>
      </c>
      <c r="I4375" s="128">
        <v>0</v>
      </c>
    </row>
    <row r="4376" spans="1:9" ht="13.5">
      <c r="A4376" s="128">
        <v>2005</v>
      </c>
      <c r="B4376" s="128" t="s">
        <v>138</v>
      </c>
      <c r="C4376" s="128" t="s">
        <v>26</v>
      </c>
      <c r="D4376" s="128" t="s">
        <v>79</v>
      </c>
      <c r="E4376" s="128" t="s">
        <v>133</v>
      </c>
      <c r="F4376" s="128">
        <v>0</v>
      </c>
      <c r="G4376" s="128">
        <v>0</v>
      </c>
      <c r="H4376" s="128">
        <v>0</v>
      </c>
      <c r="I4376" s="128">
        <v>0</v>
      </c>
    </row>
    <row r="4377" spans="1:9" ht="13.5">
      <c r="A4377" s="128">
        <v>2005</v>
      </c>
      <c r="B4377" s="128" t="s">
        <v>138</v>
      </c>
      <c r="C4377" s="128" t="s">
        <v>26</v>
      </c>
      <c r="D4377" s="128" t="s">
        <v>79</v>
      </c>
      <c r="E4377" s="128" t="s">
        <v>134</v>
      </c>
      <c r="F4377" s="128">
        <v>0</v>
      </c>
      <c r="G4377" s="128">
        <v>0</v>
      </c>
      <c r="H4377" s="128">
        <v>0</v>
      </c>
      <c r="I4377" s="128">
        <v>0</v>
      </c>
    </row>
    <row r="4378" spans="1:9" ht="13.5">
      <c r="A4378" s="128">
        <v>2005</v>
      </c>
      <c r="B4378" s="128" t="s">
        <v>138</v>
      </c>
      <c r="C4378" s="128" t="s">
        <v>26</v>
      </c>
      <c r="D4378" s="128" t="s">
        <v>79</v>
      </c>
      <c r="E4378" s="128" t="s">
        <v>135</v>
      </c>
      <c r="F4378" s="128">
        <v>0</v>
      </c>
      <c r="G4378" s="128">
        <v>0</v>
      </c>
      <c r="H4378" s="128">
        <v>0</v>
      </c>
      <c r="I4378" s="128">
        <v>0</v>
      </c>
    </row>
    <row r="4379" spans="1:9" ht="13.5">
      <c r="A4379" s="128">
        <v>2005</v>
      </c>
      <c r="B4379" s="128" t="s">
        <v>138</v>
      </c>
      <c r="C4379" s="128" t="s">
        <v>26</v>
      </c>
      <c r="D4379" s="128" t="s">
        <v>79</v>
      </c>
      <c r="E4379" s="128" t="s">
        <v>136</v>
      </c>
      <c r="F4379" s="128">
        <v>0</v>
      </c>
      <c r="G4379" s="128">
        <v>0</v>
      </c>
      <c r="H4379" s="128">
        <v>0</v>
      </c>
      <c r="I4379" s="128">
        <v>0</v>
      </c>
    </row>
    <row r="4380" spans="1:9" ht="13.5">
      <c r="A4380" s="128">
        <v>2005</v>
      </c>
      <c r="B4380" s="128" t="s">
        <v>138</v>
      </c>
      <c r="C4380" s="128" t="s">
        <v>26</v>
      </c>
      <c r="D4380" s="128" t="s">
        <v>76</v>
      </c>
      <c r="E4380" s="128" t="s">
        <v>132</v>
      </c>
      <c r="F4380" s="128">
        <v>0</v>
      </c>
      <c r="G4380" s="128">
        <v>0</v>
      </c>
      <c r="H4380" s="128">
        <v>0</v>
      </c>
      <c r="I4380" s="128">
        <v>0</v>
      </c>
    </row>
    <row r="4381" spans="1:9" ht="13.5">
      <c r="A4381" s="128">
        <v>2005</v>
      </c>
      <c r="B4381" s="128" t="s">
        <v>138</v>
      </c>
      <c r="C4381" s="128" t="s">
        <v>26</v>
      </c>
      <c r="D4381" s="128" t="s">
        <v>76</v>
      </c>
      <c r="E4381" s="128" t="s">
        <v>133</v>
      </c>
      <c r="F4381" s="128">
        <v>0</v>
      </c>
      <c r="G4381" s="128">
        <v>0</v>
      </c>
      <c r="H4381" s="128">
        <v>0</v>
      </c>
      <c r="I4381" s="128">
        <v>0</v>
      </c>
    </row>
    <row r="4382" spans="1:9" ht="13.5">
      <c r="A4382" s="128">
        <v>2005</v>
      </c>
      <c r="B4382" s="128" t="s">
        <v>138</v>
      </c>
      <c r="C4382" s="128" t="s">
        <v>26</v>
      </c>
      <c r="D4382" s="128" t="s">
        <v>76</v>
      </c>
      <c r="E4382" s="128" t="s">
        <v>134</v>
      </c>
      <c r="F4382" s="128">
        <v>0</v>
      </c>
      <c r="G4382" s="128">
        <v>0</v>
      </c>
      <c r="H4382" s="128">
        <v>0</v>
      </c>
      <c r="I4382" s="128">
        <v>0</v>
      </c>
    </row>
    <row r="4383" spans="1:9" ht="13.5">
      <c r="A4383" s="128">
        <v>2005</v>
      </c>
      <c r="B4383" s="128" t="s">
        <v>138</v>
      </c>
      <c r="C4383" s="128" t="s">
        <v>26</v>
      </c>
      <c r="D4383" s="128" t="s">
        <v>76</v>
      </c>
      <c r="E4383" s="128" t="s">
        <v>135</v>
      </c>
      <c r="F4383" s="128">
        <v>0</v>
      </c>
      <c r="G4383" s="128">
        <v>0</v>
      </c>
      <c r="H4383" s="128">
        <v>0</v>
      </c>
      <c r="I4383" s="128">
        <v>0</v>
      </c>
    </row>
    <row r="4384" spans="1:9" ht="13.5">
      <c r="A4384" s="128">
        <v>2005</v>
      </c>
      <c r="B4384" s="128" t="s">
        <v>138</v>
      </c>
      <c r="C4384" s="128" t="s">
        <v>26</v>
      </c>
      <c r="D4384" s="128" t="s">
        <v>76</v>
      </c>
      <c r="E4384" s="128" t="s">
        <v>136</v>
      </c>
      <c r="F4384" s="128">
        <v>0</v>
      </c>
      <c r="G4384" s="128">
        <v>0</v>
      </c>
      <c r="H4384" s="128">
        <v>0</v>
      </c>
      <c r="I4384" s="128">
        <v>0</v>
      </c>
    </row>
    <row r="4385" spans="1:9" ht="13.5">
      <c r="A4385" s="128">
        <v>2005</v>
      </c>
      <c r="B4385" s="128" t="s">
        <v>138</v>
      </c>
      <c r="C4385" s="128" t="s">
        <v>20</v>
      </c>
      <c r="D4385" s="128" t="s">
        <v>77</v>
      </c>
      <c r="E4385" s="128" t="s">
        <v>132</v>
      </c>
      <c r="F4385" s="128">
        <v>1048228.93</v>
      </c>
      <c r="G4385" s="128">
        <v>693582.15</v>
      </c>
      <c r="H4385" s="128">
        <v>312364.51</v>
      </c>
      <c r="I4385" s="128">
        <v>8926</v>
      </c>
    </row>
    <row r="4386" spans="1:9" ht="13.5">
      <c r="A4386" s="128">
        <v>2005</v>
      </c>
      <c r="B4386" s="128" t="s">
        <v>138</v>
      </c>
      <c r="C4386" s="128" t="s">
        <v>20</v>
      </c>
      <c r="D4386" s="128" t="s">
        <v>77</v>
      </c>
      <c r="E4386" s="128" t="s">
        <v>133</v>
      </c>
      <c r="F4386" s="128">
        <v>2272999.02</v>
      </c>
      <c r="G4386" s="128">
        <v>1245439.51</v>
      </c>
      <c r="H4386" s="128">
        <v>848430.95</v>
      </c>
      <c r="I4386" s="128">
        <v>14953</v>
      </c>
    </row>
    <row r="4387" spans="1:9" ht="13.5">
      <c r="A4387" s="128">
        <v>2005</v>
      </c>
      <c r="B4387" s="128" t="s">
        <v>138</v>
      </c>
      <c r="C4387" s="128" t="s">
        <v>20</v>
      </c>
      <c r="D4387" s="128" t="s">
        <v>77</v>
      </c>
      <c r="E4387" s="128" t="s">
        <v>134</v>
      </c>
      <c r="F4387" s="128">
        <v>4231505.8</v>
      </c>
      <c r="G4387" s="128">
        <v>1854285.63</v>
      </c>
      <c r="H4387" s="128">
        <v>1604886.06</v>
      </c>
      <c r="I4387" s="128">
        <v>17621</v>
      </c>
    </row>
    <row r="4388" spans="1:9" ht="13.5">
      <c r="A4388" s="128">
        <v>2005</v>
      </c>
      <c r="B4388" s="128" t="s">
        <v>138</v>
      </c>
      <c r="C4388" s="128" t="s">
        <v>20</v>
      </c>
      <c r="D4388" s="128" t="s">
        <v>77</v>
      </c>
      <c r="E4388" s="128" t="s">
        <v>135</v>
      </c>
      <c r="F4388" s="128">
        <v>5524590</v>
      </c>
      <c r="G4388" s="128">
        <v>1562361</v>
      </c>
      <c r="H4388" s="128">
        <v>1400378</v>
      </c>
      <c r="I4388" s="128">
        <v>15765</v>
      </c>
    </row>
    <row r="4389" spans="1:9" ht="13.5">
      <c r="A4389" s="128">
        <v>2005</v>
      </c>
      <c r="B4389" s="128" t="s">
        <v>138</v>
      </c>
      <c r="C4389" s="128" t="s">
        <v>20</v>
      </c>
      <c r="D4389" s="128" t="s">
        <v>79</v>
      </c>
      <c r="E4389" s="128" t="s">
        <v>132</v>
      </c>
      <c r="F4389" s="128">
        <v>3564408</v>
      </c>
      <c r="G4389" s="128">
        <v>2368667</v>
      </c>
      <c r="H4389" s="128">
        <v>784235</v>
      </c>
      <c r="I4389" s="128">
        <v>21814</v>
      </c>
    </row>
    <row r="4390" spans="1:9" ht="13.5">
      <c r="A4390" s="128">
        <v>2005</v>
      </c>
      <c r="B4390" s="128" t="s">
        <v>138</v>
      </c>
      <c r="C4390" s="128" t="s">
        <v>20</v>
      </c>
      <c r="D4390" s="128" t="s">
        <v>79</v>
      </c>
      <c r="E4390" s="128" t="s">
        <v>133</v>
      </c>
      <c r="F4390" s="128">
        <v>5972864</v>
      </c>
      <c r="G4390" s="128">
        <v>3272137</v>
      </c>
      <c r="H4390" s="128">
        <v>1091403</v>
      </c>
      <c r="I4390" s="128">
        <v>41012</v>
      </c>
    </row>
    <row r="4391" spans="1:9" ht="13.5">
      <c r="A4391" s="128">
        <v>2005</v>
      </c>
      <c r="B4391" s="128" t="s">
        <v>138</v>
      </c>
      <c r="C4391" s="128" t="s">
        <v>20</v>
      </c>
      <c r="D4391" s="128" t="s">
        <v>79</v>
      </c>
      <c r="E4391" s="128" t="s">
        <v>134</v>
      </c>
      <c r="F4391" s="128">
        <v>18036500</v>
      </c>
      <c r="G4391" s="128">
        <v>7674122</v>
      </c>
      <c r="H4391" s="128">
        <v>2547934</v>
      </c>
      <c r="I4391" s="128">
        <v>75003</v>
      </c>
    </row>
    <row r="4392" spans="1:9" ht="13.5">
      <c r="A4392" s="128">
        <v>2005</v>
      </c>
      <c r="B4392" s="128" t="s">
        <v>138</v>
      </c>
      <c r="C4392" s="128" t="s">
        <v>20</v>
      </c>
      <c r="D4392" s="128" t="s">
        <v>79</v>
      </c>
      <c r="E4392" s="128" t="s">
        <v>135</v>
      </c>
      <c r="F4392" s="128">
        <v>59416754</v>
      </c>
      <c r="G4392" s="128">
        <v>16811196</v>
      </c>
      <c r="H4392" s="128">
        <v>5719249</v>
      </c>
      <c r="I4392" s="128">
        <v>141412</v>
      </c>
    </row>
    <row r="4393" spans="1:9" ht="13.5">
      <c r="A4393" s="128">
        <v>2005</v>
      </c>
      <c r="B4393" s="128" t="s">
        <v>138</v>
      </c>
      <c r="C4393" s="128" t="s">
        <v>20</v>
      </c>
      <c r="D4393" s="128" t="s">
        <v>79</v>
      </c>
      <c r="E4393" s="128" t="s">
        <v>136</v>
      </c>
      <c r="F4393" s="128">
        <v>22259760</v>
      </c>
      <c r="G4393" s="128">
        <v>16828868</v>
      </c>
      <c r="H4393" s="128">
        <v>5430713</v>
      </c>
      <c r="I4393" s="128">
        <v>355641</v>
      </c>
    </row>
    <row r="4394" spans="1:9" ht="13.5">
      <c r="A4394" s="128">
        <v>2005</v>
      </c>
      <c r="B4394" s="128" t="s">
        <v>138</v>
      </c>
      <c r="C4394" s="128" t="s">
        <v>20</v>
      </c>
      <c r="D4394" s="128" t="s">
        <v>76</v>
      </c>
      <c r="E4394" s="128" t="s">
        <v>132</v>
      </c>
      <c r="F4394" s="128">
        <v>24588099.899999999</v>
      </c>
      <c r="G4394" s="128">
        <v>15781268.65</v>
      </c>
      <c r="H4394" s="128">
        <v>8806831.8300000001</v>
      </c>
      <c r="I4394" s="128">
        <v>304462</v>
      </c>
    </row>
    <row r="4395" spans="1:9" ht="13.5">
      <c r="A4395" s="128">
        <v>2005</v>
      </c>
      <c r="B4395" s="128" t="s">
        <v>138</v>
      </c>
      <c r="C4395" s="128" t="s">
        <v>20</v>
      </c>
      <c r="D4395" s="128" t="s">
        <v>76</v>
      </c>
      <c r="E4395" s="128" t="s">
        <v>133</v>
      </c>
      <c r="F4395" s="128">
        <v>43786331.030000001</v>
      </c>
      <c r="G4395" s="128">
        <v>24012534.449999999</v>
      </c>
      <c r="H4395" s="128">
        <v>19773797.739999998</v>
      </c>
      <c r="I4395" s="128">
        <v>203475</v>
      </c>
    </row>
    <row r="4396" spans="1:9" ht="13.5">
      <c r="A4396" s="128">
        <v>2005</v>
      </c>
      <c r="B4396" s="128" t="s">
        <v>138</v>
      </c>
      <c r="C4396" s="128" t="s">
        <v>20</v>
      </c>
      <c r="D4396" s="128" t="s">
        <v>76</v>
      </c>
      <c r="E4396" s="128" t="s">
        <v>134</v>
      </c>
      <c r="F4396" s="128">
        <v>28970245.489999998</v>
      </c>
      <c r="G4396" s="128">
        <v>13580521.25</v>
      </c>
      <c r="H4396" s="128">
        <v>15389724.49</v>
      </c>
      <c r="I4396" s="128">
        <v>199453</v>
      </c>
    </row>
    <row r="4397" spans="1:9" ht="13.5">
      <c r="A4397" s="128">
        <v>2005</v>
      </c>
      <c r="B4397" s="128" t="s">
        <v>138</v>
      </c>
      <c r="C4397" s="128" t="s">
        <v>20</v>
      </c>
      <c r="D4397" s="128" t="s">
        <v>76</v>
      </c>
      <c r="E4397" s="128" t="s">
        <v>135</v>
      </c>
      <c r="F4397" s="128">
        <v>4097587</v>
      </c>
      <c r="G4397" s="128">
        <v>1160060.8400000001</v>
      </c>
      <c r="H4397" s="128">
        <v>2937526.05</v>
      </c>
      <c r="I4397" s="128">
        <v>5168</v>
      </c>
    </row>
    <row r="4398" spans="1:9" ht="13.5">
      <c r="A4398" s="128">
        <v>2005</v>
      </c>
      <c r="B4398" s="128" t="s">
        <v>138</v>
      </c>
      <c r="C4398" s="128" t="s">
        <v>20</v>
      </c>
      <c r="D4398" s="128" t="s">
        <v>76</v>
      </c>
      <c r="E4398" s="128" t="s">
        <v>136</v>
      </c>
      <c r="F4398" s="128">
        <v>5770766.3499999996</v>
      </c>
      <c r="G4398" s="128">
        <v>4347623.1900000004</v>
      </c>
      <c r="H4398" s="128">
        <v>1423185.99</v>
      </c>
      <c r="I4398" s="128">
        <v>129805</v>
      </c>
    </row>
    <row r="4399" spans="1:9" ht="13.5">
      <c r="A4399" s="128">
        <v>2005</v>
      </c>
      <c r="B4399" s="128" t="s">
        <v>138</v>
      </c>
      <c r="C4399" s="128" t="s">
        <v>27</v>
      </c>
      <c r="D4399" s="128" t="s">
        <v>77</v>
      </c>
      <c r="E4399" s="128" t="s">
        <v>132</v>
      </c>
      <c r="F4399" s="128">
        <v>10090.65</v>
      </c>
      <c r="G4399" s="128">
        <v>6322.9</v>
      </c>
      <c r="H4399" s="128">
        <v>2869.15</v>
      </c>
      <c r="I4399" s="128">
        <v>51</v>
      </c>
    </row>
    <row r="4400" spans="1:9" ht="13.5">
      <c r="A4400" s="128">
        <v>2005</v>
      </c>
      <c r="B4400" s="128" t="s">
        <v>138</v>
      </c>
      <c r="C4400" s="128" t="s">
        <v>27</v>
      </c>
      <c r="D4400" s="128" t="s">
        <v>77</v>
      </c>
      <c r="E4400" s="128" t="s">
        <v>133</v>
      </c>
      <c r="F4400" s="128">
        <v>15868</v>
      </c>
      <c r="G4400" s="128">
        <v>8373</v>
      </c>
      <c r="H4400" s="128">
        <v>6281</v>
      </c>
      <c r="I4400" s="128">
        <v>62</v>
      </c>
    </row>
    <row r="4401" spans="1:9" ht="13.5">
      <c r="A4401" s="128">
        <v>2005</v>
      </c>
      <c r="B4401" s="128" t="s">
        <v>138</v>
      </c>
      <c r="C4401" s="128" t="s">
        <v>27</v>
      </c>
      <c r="D4401" s="128" t="s">
        <v>77</v>
      </c>
      <c r="E4401" s="128" t="s">
        <v>134</v>
      </c>
      <c r="F4401" s="128">
        <v>76890</v>
      </c>
      <c r="G4401" s="128">
        <v>33552</v>
      </c>
      <c r="H4401" s="128">
        <v>29322</v>
      </c>
      <c r="I4401" s="128">
        <v>205</v>
      </c>
    </row>
    <row r="4402" spans="1:9" ht="13.5">
      <c r="A4402" s="128">
        <v>2005</v>
      </c>
      <c r="B4402" s="128" t="s">
        <v>138</v>
      </c>
      <c r="C4402" s="128" t="s">
        <v>27</v>
      </c>
      <c r="D4402" s="128" t="s">
        <v>77</v>
      </c>
      <c r="E4402" s="128" t="s">
        <v>135</v>
      </c>
      <c r="F4402" s="128">
        <v>132152</v>
      </c>
      <c r="G4402" s="128">
        <v>36625</v>
      </c>
      <c r="H4402" s="128">
        <v>40743</v>
      </c>
      <c r="I4402" s="128">
        <v>362</v>
      </c>
    </row>
    <row r="4403" spans="1:9" ht="13.5">
      <c r="A4403" s="128">
        <v>2005</v>
      </c>
      <c r="B4403" s="128" t="s">
        <v>138</v>
      </c>
      <c r="C4403" s="128" t="s">
        <v>27</v>
      </c>
      <c r="D4403" s="128" t="s">
        <v>79</v>
      </c>
      <c r="E4403" s="128" t="s">
        <v>132</v>
      </c>
      <c r="F4403" s="128">
        <v>61430</v>
      </c>
      <c r="G4403" s="128">
        <v>40899</v>
      </c>
      <c r="H4403" s="128">
        <v>13661</v>
      </c>
      <c r="I4403" s="128">
        <v>433</v>
      </c>
    </row>
    <row r="4404" spans="1:9" ht="13.5">
      <c r="A4404" s="128">
        <v>2005</v>
      </c>
      <c r="B4404" s="128" t="s">
        <v>138</v>
      </c>
      <c r="C4404" s="128" t="s">
        <v>27</v>
      </c>
      <c r="D4404" s="128" t="s">
        <v>79</v>
      </c>
      <c r="E4404" s="128" t="s">
        <v>133</v>
      </c>
      <c r="F4404" s="128">
        <v>75144</v>
      </c>
      <c r="G4404" s="128">
        <v>40821</v>
      </c>
      <c r="H4404" s="128">
        <v>13668</v>
      </c>
      <c r="I4404" s="128">
        <v>465</v>
      </c>
    </row>
    <row r="4405" spans="1:9" ht="13.5">
      <c r="A4405" s="128">
        <v>2005</v>
      </c>
      <c r="B4405" s="128" t="s">
        <v>138</v>
      </c>
      <c r="C4405" s="128" t="s">
        <v>27</v>
      </c>
      <c r="D4405" s="128" t="s">
        <v>79</v>
      </c>
      <c r="E4405" s="128" t="s">
        <v>134</v>
      </c>
      <c r="F4405" s="128">
        <v>218998</v>
      </c>
      <c r="G4405" s="128">
        <v>92206</v>
      </c>
      <c r="H4405" s="128">
        <v>30518</v>
      </c>
      <c r="I4405" s="128">
        <v>1693</v>
      </c>
    </row>
    <row r="4406" spans="1:9" ht="13.5">
      <c r="A4406" s="128">
        <v>2005</v>
      </c>
      <c r="B4406" s="128" t="s">
        <v>138</v>
      </c>
      <c r="C4406" s="128" t="s">
        <v>27</v>
      </c>
      <c r="D4406" s="128" t="s">
        <v>79</v>
      </c>
      <c r="E4406" s="128" t="s">
        <v>135</v>
      </c>
      <c r="F4406" s="128">
        <v>442387</v>
      </c>
      <c r="G4406" s="128">
        <v>132776</v>
      </c>
      <c r="H4406" s="128">
        <v>42749</v>
      </c>
      <c r="I4406" s="128">
        <v>999</v>
      </c>
    </row>
    <row r="4407" spans="1:9" ht="13.5">
      <c r="A4407" s="128">
        <v>2005</v>
      </c>
      <c r="B4407" s="128" t="s">
        <v>138</v>
      </c>
      <c r="C4407" s="128" t="s">
        <v>27</v>
      </c>
      <c r="D4407" s="128" t="s">
        <v>79</v>
      </c>
      <c r="E4407" s="128" t="s">
        <v>136</v>
      </c>
      <c r="F4407" s="128">
        <v>234253</v>
      </c>
      <c r="G4407" s="128">
        <v>176281</v>
      </c>
      <c r="H4407" s="128">
        <v>57971</v>
      </c>
      <c r="I4407" s="128">
        <v>3403</v>
      </c>
    </row>
    <row r="4408" spans="1:9" ht="13.5">
      <c r="A4408" s="128">
        <v>2005</v>
      </c>
      <c r="B4408" s="128" t="s">
        <v>138</v>
      </c>
      <c r="C4408" s="128" t="s">
        <v>27</v>
      </c>
      <c r="D4408" s="128" t="s">
        <v>76</v>
      </c>
      <c r="E4408" s="128" t="s">
        <v>132</v>
      </c>
      <c r="F4408" s="128">
        <v>229965.27</v>
      </c>
      <c r="G4408" s="128">
        <v>148716.76999999999</v>
      </c>
      <c r="H4408" s="128">
        <v>81249.5</v>
      </c>
      <c r="I4408" s="128">
        <v>2873</v>
      </c>
    </row>
    <row r="4409" spans="1:9" ht="13.5">
      <c r="A4409" s="128">
        <v>2005</v>
      </c>
      <c r="B4409" s="128" t="s">
        <v>138</v>
      </c>
      <c r="C4409" s="128" t="s">
        <v>27</v>
      </c>
      <c r="D4409" s="128" t="s">
        <v>76</v>
      </c>
      <c r="E4409" s="128" t="s">
        <v>133</v>
      </c>
      <c r="F4409" s="128">
        <v>747808.42</v>
      </c>
      <c r="G4409" s="128">
        <v>409591.15</v>
      </c>
      <c r="H4409" s="128">
        <v>338216.27</v>
      </c>
      <c r="I4409" s="128">
        <v>3343</v>
      </c>
    </row>
    <row r="4410" spans="1:9" ht="13.5">
      <c r="A4410" s="128">
        <v>2005</v>
      </c>
      <c r="B4410" s="128" t="s">
        <v>138</v>
      </c>
      <c r="C4410" s="128" t="s">
        <v>27</v>
      </c>
      <c r="D4410" s="128" t="s">
        <v>76</v>
      </c>
      <c r="E4410" s="128" t="s">
        <v>134</v>
      </c>
      <c r="F4410" s="128">
        <v>477537.52</v>
      </c>
      <c r="G4410" s="128">
        <v>222418.87</v>
      </c>
      <c r="H4410" s="128">
        <v>255118.65</v>
      </c>
      <c r="I4410" s="128">
        <v>3164</v>
      </c>
    </row>
    <row r="4411" spans="1:9" ht="13.5">
      <c r="A4411" s="128">
        <v>2005</v>
      </c>
      <c r="B4411" s="128" t="s">
        <v>138</v>
      </c>
      <c r="C4411" s="128" t="s">
        <v>27</v>
      </c>
      <c r="D4411" s="128" t="s">
        <v>76</v>
      </c>
      <c r="E4411" s="128" t="s">
        <v>135</v>
      </c>
      <c r="F4411" s="128">
        <v>46742</v>
      </c>
      <c r="G4411" s="128">
        <v>13765</v>
      </c>
      <c r="H4411" s="128">
        <v>32976</v>
      </c>
      <c r="I4411" s="128">
        <v>49</v>
      </c>
    </row>
    <row r="4412" spans="1:9" ht="13.5">
      <c r="A4412" s="128">
        <v>2005</v>
      </c>
      <c r="B4412" s="128" t="s">
        <v>138</v>
      </c>
      <c r="C4412" s="128" t="s">
        <v>27</v>
      </c>
      <c r="D4412" s="128" t="s">
        <v>76</v>
      </c>
      <c r="E4412" s="128" t="s">
        <v>136</v>
      </c>
      <c r="F4412" s="128">
        <v>48991.8</v>
      </c>
      <c r="G4412" s="128">
        <v>36909.949999999997</v>
      </c>
      <c r="H4412" s="128">
        <v>12082.85</v>
      </c>
      <c r="I4412" s="128">
        <v>513</v>
      </c>
    </row>
    <row r="4413" spans="1:9" ht="13.5">
      <c r="A4413" s="128">
        <v>2005</v>
      </c>
      <c r="B4413" s="128" t="s">
        <v>138</v>
      </c>
      <c r="C4413" s="128" t="s">
        <v>22</v>
      </c>
      <c r="D4413" s="128" t="s">
        <v>77</v>
      </c>
      <c r="E4413" s="128" t="s">
        <v>132</v>
      </c>
      <c r="F4413" s="128">
        <v>584208.9</v>
      </c>
      <c r="G4413" s="128">
        <v>384061.2</v>
      </c>
      <c r="H4413" s="128">
        <v>173928.02</v>
      </c>
      <c r="I4413" s="128">
        <v>4931</v>
      </c>
    </row>
    <row r="4414" spans="1:9" ht="13.5">
      <c r="A4414" s="128">
        <v>2005</v>
      </c>
      <c r="B4414" s="128" t="s">
        <v>138</v>
      </c>
      <c r="C4414" s="128" t="s">
        <v>22</v>
      </c>
      <c r="D4414" s="128" t="s">
        <v>77</v>
      </c>
      <c r="E4414" s="128" t="s">
        <v>133</v>
      </c>
      <c r="F4414" s="128">
        <v>1734837.46</v>
      </c>
      <c r="G4414" s="128">
        <v>943419.3</v>
      </c>
      <c r="H4414" s="128">
        <v>655415.68000000005</v>
      </c>
      <c r="I4414" s="128">
        <v>12447</v>
      </c>
    </row>
    <row r="4415" spans="1:9" ht="13.5">
      <c r="A4415" s="128">
        <v>2005</v>
      </c>
      <c r="B4415" s="128" t="s">
        <v>138</v>
      </c>
      <c r="C4415" s="128" t="s">
        <v>22</v>
      </c>
      <c r="D4415" s="128" t="s">
        <v>77</v>
      </c>
      <c r="E4415" s="128" t="s">
        <v>134</v>
      </c>
      <c r="F4415" s="128">
        <v>4375236.4800000004</v>
      </c>
      <c r="G4415" s="128">
        <v>1883857.2</v>
      </c>
      <c r="H4415" s="128">
        <v>1709894.45</v>
      </c>
      <c r="I4415" s="128">
        <v>13930</v>
      </c>
    </row>
    <row r="4416" spans="1:9" ht="13.5">
      <c r="A4416" s="128">
        <v>2005</v>
      </c>
      <c r="B4416" s="128" t="s">
        <v>138</v>
      </c>
      <c r="C4416" s="128" t="s">
        <v>22</v>
      </c>
      <c r="D4416" s="128" t="s">
        <v>77</v>
      </c>
      <c r="E4416" s="128" t="s">
        <v>135</v>
      </c>
      <c r="F4416" s="128">
        <v>5469119</v>
      </c>
      <c r="G4416" s="128">
        <v>1561361</v>
      </c>
      <c r="H4416" s="128">
        <v>1696069</v>
      </c>
      <c r="I4416" s="128">
        <v>17370</v>
      </c>
    </row>
    <row r="4417" spans="1:9" ht="13.5">
      <c r="A4417" s="128">
        <v>2005</v>
      </c>
      <c r="B4417" s="128" t="s">
        <v>138</v>
      </c>
      <c r="C4417" s="128" t="s">
        <v>22</v>
      </c>
      <c r="D4417" s="128" t="s">
        <v>79</v>
      </c>
      <c r="E4417" s="128" t="s">
        <v>132</v>
      </c>
      <c r="F4417" s="128">
        <v>3053394</v>
      </c>
      <c r="G4417" s="128">
        <v>2045118</v>
      </c>
      <c r="H4417" s="128">
        <v>678790</v>
      </c>
      <c r="I4417" s="128">
        <v>18542</v>
      </c>
    </row>
    <row r="4418" spans="1:9" ht="13.5">
      <c r="A4418" s="128">
        <v>2005</v>
      </c>
      <c r="B4418" s="128" t="s">
        <v>138</v>
      </c>
      <c r="C4418" s="128" t="s">
        <v>22</v>
      </c>
      <c r="D4418" s="128" t="s">
        <v>79</v>
      </c>
      <c r="E4418" s="128" t="s">
        <v>133</v>
      </c>
      <c r="F4418" s="128">
        <v>5744220</v>
      </c>
      <c r="G4418" s="128">
        <v>3140185</v>
      </c>
      <c r="H4418" s="128">
        <v>1051294</v>
      </c>
      <c r="I4418" s="128">
        <v>43325</v>
      </c>
    </row>
    <row r="4419" spans="1:9" ht="13.5">
      <c r="A4419" s="128">
        <v>2005</v>
      </c>
      <c r="B4419" s="128" t="s">
        <v>138</v>
      </c>
      <c r="C4419" s="128" t="s">
        <v>22</v>
      </c>
      <c r="D4419" s="128" t="s">
        <v>79</v>
      </c>
      <c r="E4419" s="128" t="s">
        <v>134</v>
      </c>
      <c r="F4419" s="128">
        <v>10501819</v>
      </c>
      <c r="G4419" s="128">
        <v>4478395</v>
      </c>
      <c r="H4419" s="128">
        <v>1494106</v>
      </c>
      <c r="I4419" s="128">
        <v>43292</v>
      </c>
    </row>
    <row r="4420" spans="1:9" ht="13.5">
      <c r="A4420" s="128">
        <v>2005</v>
      </c>
      <c r="B4420" s="128" t="s">
        <v>138</v>
      </c>
      <c r="C4420" s="128" t="s">
        <v>22</v>
      </c>
      <c r="D4420" s="128" t="s">
        <v>79</v>
      </c>
      <c r="E4420" s="128" t="s">
        <v>135</v>
      </c>
      <c r="F4420" s="128">
        <v>20234310</v>
      </c>
      <c r="G4420" s="128">
        <v>5114273</v>
      </c>
      <c r="H4420" s="128">
        <v>1719146</v>
      </c>
      <c r="I4420" s="128">
        <v>50838</v>
      </c>
    </row>
    <row r="4421" spans="1:9" ht="13.5">
      <c r="A4421" s="128">
        <v>2005</v>
      </c>
      <c r="B4421" s="128" t="s">
        <v>138</v>
      </c>
      <c r="C4421" s="128" t="s">
        <v>22</v>
      </c>
      <c r="D4421" s="128" t="s">
        <v>79</v>
      </c>
      <c r="E4421" s="128" t="s">
        <v>136</v>
      </c>
      <c r="F4421" s="128">
        <v>8221916</v>
      </c>
      <c r="G4421" s="128">
        <v>6249937</v>
      </c>
      <c r="H4421" s="128">
        <v>1971771</v>
      </c>
      <c r="I4421" s="128">
        <v>108678</v>
      </c>
    </row>
    <row r="4422" spans="1:9" ht="13.5">
      <c r="A4422" s="128">
        <v>2005</v>
      </c>
      <c r="B4422" s="128" t="s">
        <v>138</v>
      </c>
      <c r="C4422" s="128" t="s">
        <v>22</v>
      </c>
      <c r="D4422" s="128" t="s">
        <v>76</v>
      </c>
      <c r="E4422" s="128" t="s">
        <v>132</v>
      </c>
      <c r="F4422" s="128">
        <v>20322590.120000001</v>
      </c>
      <c r="G4422" s="128">
        <v>13217492.199999999</v>
      </c>
      <c r="H4422" s="128">
        <v>7105092.8300000001</v>
      </c>
      <c r="I4422" s="128">
        <v>331685</v>
      </c>
    </row>
    <row r="4423" spans="1:9" ht="13.5">
      <c r="A4423" s="128">
        <v>2005</v>
      </c>
      <c r="B4423" s="128" t="s">
        <v>138</v>
      </c>
      <c r="C4423" s="128" t="s">
        <v>22</v>
      </c>
      <c r="D4423" s="128" t="s">
        <v>76</v>
      </c>
      <c r="E4423" s="128" t="s">
        <v>133</v>
      </c>
      <c r="F4423" s="128">
        <v>34183379.5</v>
      </c>
      <c r="G4423" s="128">
        <v>18933865.449999999</v>
      </c>
      <c r="H4423" s="128">
        <v>15249510.07</v>
      </c>
      <c r="I4423" s="128">
        <v>200814</v>
      </c>
    </row>
    <row r="4424" spans="1:9" ht="13.5">
      <c r="A4424" s="128">
        <v>2005</v>
      </c>
      <c r="B4424" s="128" t="s">
        <v>138</v>
      </c>
      <c r="C4424" s="128" t="s">
        <v>22</v>
      </c>
      <c r="D4424" s="128" t="s">
        <v>76</v>
      </c>
      <c r="E4424" s="128" t="s">
        <v>134</v>
      </c>
      <c r="F4424" s="128">
        <v>19441746.18</v>
      </c>
      <c r="G4424" s="128">
        <v>9200799.0800000001</v>
      </c>
      <c r="H4424" s="128">
        <v>10240948.09</v>
      </c>
      <c r="I4424" s="128">
        <v>147755</v>
      </c>
    </row>
    <row r="4425" spans="1:9" ht="13.5">
      <c r="A4425" s="128">
        <v>2005</v>
      </c>
      <c r="B4425" s="128" t="s">
        <v>138</v>
      </c>
      <c r="C4425" s="128" t="s">
        <v>22</v>
      </c>
      <c r="D4425" s="128" t="s">
        <v>76</v>
      </c>
      <c r="E4425" s="128" t="s">
        <v>135</v>
      </c>
      <c r="F4425" s="128">
        <v>3247906</v>
      </c>
      <c r="G4425" s="128">
        <v>939607.1</v>
      </c>
      <c r="H4425" s="128">
        <v>2308298.7799999998</v>
      </c>
      <c r="I4425" s="128">
        <v>3449</v>
      </c>
    </row>
    <row r="4426" spans="1:9" ht="13.5">
      <c r="A4426" s="128">
        <v>2005</v>
      </c>
      <c r="B4426" s="128" t="s">
        <v>138</v>
      </c>
      <c r="C4426" s="128" t="s">
        <v>22</v>
      </c>
      <c r="D4426" s="128" t="s">
        <v>76</v>
      </c>
      <c r="E4426" s="128" t="s">
        <v>136</v>
      </c>
      <c r="F4426" s="128">
        <v>1230688.69</v>
      </c>
      <c r="G4426" s="128">
        <v>929961.6</v>
      </c>
      <c r="H4426" s="128">
        <v>300728.08</v>
      </c>
      <c r="I4426" s="128">
        <v>24467</v>
      </c>
    </row>
    <row r="4427" spans="1:9" ht="13.5">
      <c r="A4427" s="128">
        <v>2005</v>
      </c>
      <c r="B4427" s="128" t="s">
        <v>138</v>
      </c>
      <c r="C4427" s="128" t="s">
        <v>23</v>
      </c>
      <c r="D4427" s="128" t="s">
        <v>77</v>
      </c>
      <c r="E4427" s="128" t="s">
        <v>132</v>
      </c>
      <c r="F4427" s="128">
        <v>1082294.49</v>
      </c>
      <c r="G4427" s="128">
        <v>706012.25</v>
      </c>
      <c r="H4427" s="128">
        <v>347182.06</v>
      </c>
      <c r="I4427" s="128">
        <v>8389</v>
      </c>
    </row>
    <row r="4428" spans="1:9" ht="13.5">
      <c r="A4428" s="128">
        <v>2005</v>
      </c>
      <c r="B4428" s="128" t="s">
        <v>138</v>
      </c>
      <c r="C4428" s="128" t="s">
        <v>23</v>
      </c>
      <c r="D4428" s="128" t="s">
        <v>77</v>
      </c>
      <c r="E4428" s="128" t="s">
        <v>133</v>
      </c>
      <c r="F4428" s="128">
        <v>1956594.41</v>
      </c>
      <c r="G4428" s="128">
        <v>1068085.1499999999</v>
      </c>
      <c r="H4428" s="128">
        <v>832474.13</v>
      </c>
      <c r="I4428" s="128">
        <v>10410</v>
      </c>
    </row>
    <row r="4429" spans="1:9" ht="13.5">
      <c r="A4429" s="128">
        <v>2005</v>
      </c>
      <c r="B4429" s="128" t="s">
        <v>138</v>
      </c>
      <c r="C4429" s="128" t="s">
        <v>23</v>
      </c>
      <c r="D4429" s="128" t="s">
        <v>77</v>
      </c>
      <c r="E4429" s="128" t="s">
        <v>134</v>
      </c>
      <c r="F4429" s="128">
        <v>1868083.55</v>
      </c>
      <c r="G4429" s="128">
        <v>853260.9</v>
      </c>
      <c r="H4429" s="128">
        <v>873962.53</v>
      </c>
      <c r="I4429" s="128">
        <v>8172</v>
      </c>
    </row>
    <row r="4430" spans="1:9" ht="13.5">
      <c r="A4430" s="128">
        <v>2005</v>
      </c>
      <c r="B4430" s="128" t="s">
        <v>138</v>
      </c>
      <c r="C4430" s="128" t="s">
        <v>23</v>
      </c>
      <c r="D4430" s="128" t="s">
        <v>77</v>
      </c>
      <c r="E4430" s="128" t="s">
        <v>135</v>
      </c>
      <c r="F4430" s="128">
        <v>1009977</v>
      </c>
      <c r="G4430" s="128">
        <v>259392</v>
      </c>
      <c r="H4430" s="128">
        <v>313172</v>
      </c>
      <c r="I4430" s="128">
        <v>2158</v>
      </c>
    </row>
    <row r="4431" spans="1:9" ht="13.5">
      <c r="A4431" s="128">
        <v>2005</v>
      </c>
      <c r="B4431" s="128" t="s">
        <v>138</v>
      </c>
      <c r="C4431" s="128" t="s">
        <v>23</v>
      </c>
      <c r="D4431" s="128" t="s">
        <v>79</v>
      </c>
      <c r="E4431" s="128" t="s">
        <v>132</v>
      </c>
      <c r="F4431" s="128">
        <v>479479</v>
      </c>
      <c r="G4431" s="128">
        <v>314889</v>
      </c>
      <c r="H4431" s="128">
        <v>102023</v>
      </c>
      <c r="I4431" s="128">
        <v>4674</v>
      </c>
    </row>
    <row r="4432" spans="1:9" ht="13.5">
      <c r="A4432" s="128">
        <v>2005</v>
      </c>
      <c r="B4432" s="128" t="s">
        <v>138</v>
      </c>
      <c r="C4432" s="128" t="s">
        <v>23</v>
      </c>
      <c r="D4432" s="128" t="s">
        <v>79</v>
      </c>
      <c r="E4432" s="128" t="s">
        <v>133</v>
      </c>
      <c r="F4432" s="128">
        <v>800831</v>
      </c>
      <c r="G4432" s="128">
        <v>429744</v>
      </c>
      <c r="H4432" s="128">
        <v>132965</v>
      </c>
      <c r="I4432" s="128">
        <v>3874</v>
      </c>
    </row>
    <row r="4433" spans="1:9" ht="13.5">
      <c r="A4433" s="128">
        <v>2005</v>
      </c>
      <c r="B4433" s="128" t="s">
        <v>138</v>
      </c>
      <c r="C4433" s="128" t="s">
        <v>23</v>
      </c>
      <c r="D4433" s="128" t="s">
        <v>79</v>
      </c>
      <c r="E4433" s="128" t="s">
        <v>134</v>
      </c>
      <c r="F4433" s="128">
        <v>547923</v>
      </c>
      <c r="G4433" s="128">
        <v>233691</v>
      </c>
      <c r="H4433" s="128">
        <v>91926</v>
      </c>
      <c r="I4433" s="128">
        <v>3470</v>
      </c>
    </row>
    <row r="4434" spans="1:9" ht="13.5">
      <c r="A4434" s="128">
        <v>2005</v>
      </c>
      <c r="B4434" s="128" t="s">
        <v>138</v>
      </c>
      <c r="C4434" s="128" t="s">
        <v>23</v>
      </c>
      <c r="D4434" s="128" t="s">
        <v>79</v>
      </c>
      <c r="E4434" s="128" t="s">
        <v>135</v>
      </c>
      <c r="F4434" s="128">
        <v>1143636</v>
      </c>
      <c r="G4434" s="128">
        <v>266116</v>
      </c>
      <c r="H4434" s="128">
        <v>139639</v>
      </c>
      <c r="I4434" s="128">
        <v>6655</v>
      </c>
    </row>
    <row r="4435" spans="1:9" ht="13.5">
      <c r="A4435" s="128">
        <v>2005</v>
      </c>
      <c r="B4435" s="128" t="s">
        <v>138</v>
      </c>
      <c r="C4435" s="128" t="s">
        <v>23</v>
      </c>
      <c r="D4435" s="128" t="s">
        <v>79</v>
      </c>
      <c r="E4435" s="128" t="s">
        <v>136</v>
      </c>
      <c r="F4435" s="128">
        <v>4783639</v>
      </c>
      <c r="G4435" s="128">
        <v>3597221</v>
      </c>
      <c r="H4435" s="128">
        <v>1186133</v>
      </c>
      <c r="I4435" s="128">
        <v>58213</v>
      </c>
    </row>
    <row r="4436" spans="1:9" ht="13.5">
      <c r="A4436" s="128">
        <v>2005</v>
      </c>
      <c r="B4436" s="128" t="s">
        <v>138</v>
      </c>
      <c r="C4436" s="128" t="s">
        <v>23</v>
      </c>
      <c r="D4436" s="128" t="s">
        <v>76</v>
      </c>
      <c r="E4436" s="128" t="s">
        <v>132</v>
      </c>
      <c r="F4436" s="128">
        <v>8960593.8599999994</v>
      </c>
      <c r="G4436" s="128">
        <v>5838181.5700000003</v>
      </c>
      <c r="H4436" s="128">
        <v>3122410.33</v>
      </c>
      <c r="I4436" s="128">
        <v>143906</v>
      </c>
    </row>
    <row r="4437" spans="1:9" ht="13.5">
      <c r="A4437" s="128">
        <v>2005</v>
      </c>
      <c r="B4437" s="128" t="s">
        <v>138</v>
      </c>
      <c r="C4437" s="128" t="s">
        <v>23</v>
      </c>
      <c r="D4437" s="128" t="s">
        <v>76</v>
      </c>
      <c r="E4437" s="128" t="s">
        <v>133</v>
      </c>
      <c r="F4437" s="128">
        <v>15798686.390000001</v>
      </c>
      <c r="G4437" s="128">
        <v>8608492.2599999998</v>
      </c>
      <c r="H4437" s="128">
        <v>7190194.1399999997</v>
      </c>
      <c r="I4437" s="128">
        <v>66331</v>
      </c>
    </row>
    <row r="4438" spans="1:9" ht="13.5">
      <c r="A4438" s="128">
        <v>2005</v>
      </c>
      <c r="B4438" s="128" t="s">
        <v>138</v>
      </c>
      <c r="C4438" s="128" t="s">
        <v>23</v>
      </c>
      <c r="D4438" s="128" t="s">
        <v>76</v>
      </c>
      <c r="E4438" s="128" t="s">
        <v>134</v>
      </c>
      <c r="F4438" s="128">
        <v>14218055.08</v>
      </c>
      <c r="G4438" s="128">
        <v>6603712.3799999999</v>
      </c>
      <c r="H4438" s="128">
        <v>7614341.6900000004</v>
      </c>
      <c r="I4438" s="128">
        <v>78949</v>
      </c>
    </row>
    <row r="4439" spans="1:9" ht="13.5">
      <c r="A4439" s="128">
        <v>2005</v>
      </c>
      <c r="B4439" s="128" t="s">
        <v>138</v>
      </c>
      <c r="C4439" s="128" t="s">
        <v>23</v>
      </c>
      <c r="D4439" s="128" t="s">
        <v>76</v>
      </c>
      <c r="E4439" s="128" t="s">
        <v>135</v>
      </c>
      <c r="F4439" s="128">
        <v>1094011</v>
      </c>
      <c r="G4439" s="128">
        <v>287761.55</v>
      </c>
      <c r="H4439" s="128">
        <v>806249.22</v>
      </c>
      <c r="I4439" s="128">
        <v>978</v>
      </c>
    </row>
    <row r="4440" spans="1:9" ht="13.5">
      <c r="A4440" s="128">
        <v>2005</v>
      </c>
      <c r="B4440" s="128" t="s">
        <v>138</v>
      </c>
      <c r="C4440" s="128" t="s">
        <v>23</v>
      </c>
      <c r="D4440" s="128" t="s">
        <v>76</v>
      </c>
      <c r="E4440" s="128" t="s">
        <v>136</v>
      </c>
      <c r="F4440" s="128">
        <v>1482853.29</v>
      </c>
      <c r="G4440" s="128">
        <v>1118051.8500000001</v>
      </c>
      <c r="H4440" s="128">
        <v>364820.43</v>
      </c>
      <c r="I4440" s="128">
        <v>14147</v>
      </c>
    </row>
    <row r="4441" spans="1:9" ht="13.5">
      <c r="A4441" s="128">
        <v>2005</v>
      </c>
      <c r="B4441" s="128" t="s">
        <v>138</v>
      </c>
      <c r="C4441" s="128" t="s">
        <v>25</v>
      </c>
      <c r="D4441" s="128" t="s">
        <v>77</v>
      </c>
      <c r="E4441" s="128" t="s">
        <v>132</v>
      </c>
      <c r="F4441" s="128">
        <v>60841.42</v>
      </c>
      <c r="G4441" s="128">
        <v>41284.15</v>
      </c>
      <c r="H4441" s="128">
        <v>16100.27</v>
      </c>
      <c r="I4441" s="128">
        <v>298</v>
      </c>
    </row>
    <row r="4442" spans="1:9" ht="13.5">
      <c r="A4442" s="128">
        <v>2005</v>
      </c>
      <c r="B4442" s="128" t="s">
        <v>138</v>
      </c>
      <c r="C4442" s="128" t="s">
        <v>25</v>
      </c>
      <c r="D4442" s="128" t="s">
        <v>77</v>
      </c>
      <c r="E4442" s="128" t="s">
        <v>133</v>
      </c>
      <c r="F4442" s="128">
        <v>103827.31</v>
      </c>
      <c r="G4442" s="128">
        <v>56402.45</v>
      </c>
      <c r="H4442" s="128">
        <v>39026.35</v>
      </c>
      <c r="I4442" s="128">
        <v>449</v>
      </c>
    </row>
    <row r="4443" spans="1:9" ht="13.5">
      <c r="A4443" s="128">
        <v>2005</v>
      </c>
      <c r="B4443" s="128" t="s">
        <v>138</v>
      </c>
      <c r="C4443" s="128" t="s">
        <v>25</v>
      </c>
      <c r="D4443" s="128" t="s">
        <v>77</v>
      </c>
      <c r="E4443" s="128" t="s">
        <v>134</v>
      </c>
      <c r="F4443" s="128">
        <v>380893.91</v>
      </c>
      <c r="G4443" s="128">
        <v>159871.45000000001</v>
      </c>
      <c r="H4443" s="128">
        <v>164567.47</v>
      </c>
      <c r="I4443" s="128">
        <v>1258</v>
      </c>
    </row>
    <row r="4444" spans="1:9" ht="13.5">
      <c r="A4444" s="128">
        <v>2005</v>
      </c>
      <c r="B4444" s="128" t="s">
        <v>138</v>
      </c>
      <c r="C4444" s="128" t="s">
        <v>25</v>
      </c>
      <c r="D4444" s="128" t="s">
        <v>77</v>
      </c>
      <c r="E4444" s="128" t="s">
        <v>135</v>
      </c>
      <c r="F4444" s="128">
        <v>625804</v>
      </c>
      <c r="G4444" s="128">
        <v>192079</v>
      </c>
      <c r="H4444" s="128">
        <v>227082</v>
      </c>
      <c r="I4444" s="128">
        <v>2000</v>
      </c>
    </row>
    <row r="4445" spans="1:9" ht="13.5">
      <c r="A4445" s="128">
        <v>2005</v>
      </c>
      <c r="B4445" s="128" t="s">
        <v>138</v>
      </c>
      <c r="C4445" s="128" t="s">
        <v>25</v>
      </c>
      <c r="D4445" s="128" t="s">
        <v>79</v>
      </c>
      <c r="E4445" s="128" t="s">
        <v>132</v>
      </c>
      <c r="F4445" s="128">
        <v>217863</v>
      </c>
      <c r="G4445" s="128">
        <v>141767</v>
      </c>
      <c r="H4445" s="128">
        <v>47152</v>
      </c>
      <c r="I4445" s="128">
        <v>1712</v>
      </c>
    </row>
    <row r="4446" spans="1:9" ht="13.5">
      <c r="A4446" s="128">
        <v>2005</v>
      </c>
      <c r="B4446" s="128" t="s">
        <v>138</v>
      </c>
      <c r="C4446" s="128" t="s">
        <v>25</v>
      </c>
      <c r="D4446" s="128" t="s">
        <v>79</v>
      </c>
      <c r="E4446" s="128" t="s">
        <v>133</v>
      </c>
      <c r="F4446" s="128">
        <v>351859</v>
      </c>
      <c r="G4446" s="128">
        <v>191492</v>
      </c>
      <c r="H4446" s="128">
        <v>65676</v>
      </c>
      <c r="I4446" s="128">
        <v>1610</v>
      </c>
    </row>
    <row r="4447" spans="1:9" ht="13.5">
      <c r="A4447" s="128">
        <v>2005</v>
      </c>
      <c r="B4447" s="128" t="s">
        <v>138</v>
      </c>
      <c r="C4447" s="128" t="s">
        <v>25</v>
      </c>
      <c r="D4447" s="128" t="s">
        <v>79</v>
      </c>
      <c r="E4447" s="128" t="s">
        <v>134</v>
      </c>
      <c r="F4447" s="128">
        <v>505381</v>
      </c>
      <c r="G4447" s="128">
        <v>217287</v>
      </c>
      <c r="H4447" s="128">
        <v>80413</v>
      </c>
      <c r="I4447" s="128">
        <v>2811</v>
      </c>
    </row>
    <row r="4448" spans="1:9" ht="13.5">
      <c r="A4448" s="128">
        <v>2005</v>
      </c>
      <c r="B4448" s="128" t="s">
        <v>138</v>
      </c>
      <c r="C4448" s="128" t="s">
        <v>25</v>
      </c>
      <c r="D4448" s="128" t="s">
        <v>79</v>
      </c>
      <c r="E4448" s="128" t="s">
        <v>135</v>
      </c>
      <c r="F4448" s="128">
        <v>1552428</v>
      </c>
      <c r="G4448" s="128">
        <v>364924</v>
      </c>
      <c r="H4448" s="128">
        <v>132325</v>
      </c>
      <c r="I4448" s="128">
        <v>2275</v>
      </c>
    </row>
    <row r="4449" spans="1:9" ht="13.5">
      <c r="A4449" s="128">
        <v>2005</v>
      </c>
      <c r="B4449" s="128" t="s">
        <v>138</v>
      </c>
      <c r="C4449" s="128" t="s">
        <v>25</v>
      </c>
      <c r="D4449" s="128" t="s">
        <v>79</v>
      </c>
      <c r="E4449" s="128" t="s">
        <v>136</v>
      </c>
      <c r="F4449" s="128">
        <v>1620416</v>
      </c>
      <c r="G4449" s="128">
        <v>1244105</v>
      </c>
      <c r="H4449" s="128">
        <v>376311</v>
      </c>
      <c r="I4449" s="128">
        <v>22009</v>
      </c>
    </row>
    <row r="4450" spans="1:9" ht="13.5">
      <c r="A4450" s="128">
        <v>2005</v>
      </c>
      <c r="B4450" s="128" t="s">
        <v>138</v>
      </c>
      <c r="C4450" s="128" t="s">
        <v>25</v>
      </c>
      <c r="D4450" s="128" t="s">
        <v>76</v>
      </c>
      <c r="E4450" s="128" t="s">
        <v>132</v>
      </c>
      <c r="F4450" s="128">
        <v>2444430.7799999998</v>
      </c>
      <c r="G4450" s="128">
        <v>1603327.8</v>
      </c>
      <c r="H4450" s="128">
        <v>841099.97</v>
      </c>
      <c r="I4450" s="128">
        <v>34487</v>
      </c>
    </row>
    <row r="4451" spans="1:9" ht="13.5">
      <c r="A4451" s="128">
        <v>2005</v>
      </c>
      <c r="B4451" s="128" t="s">
        <v>138</v>
      </c>
      <c r="C4451" s="128" t="s">
        <v>25</v>
      </c>
      <c r="D4451" s="128" t="s">
        <v>76</v>
      </c>
      <c r="E4451" s="128" t="s">
        <v>133</v>
      </c>
      <c r="F4451" s="128">
        <v>3921630.82</v>
      </c>
      <c r="G4451" s="128">
        <v>2142848.16</v>
      </c>
      <c r="H4451" s="128">
        <v>1778782.66</v>
      </c>
      <c r="I4451" s="128">
        <v>15304</v>
      </c>
    </row>
    <row r="4452" spans="1:9" ht="13.5">
      <c r="A4452" s="128">
        <v>2005</v>
      </c>
      <c r="B4452" s="128" t="s">
        <v>138</v>
      </c>
      <c r="C4452" s="128" t="s">
        <v>25</v>
      </c>
      <c r="D4452" s="128" t="s">
        <v>76</v>
      </c>
      <c r="E4452" s="128" t="s">
        <v>134</v>
      </c>
      <c r="F4452" s="128">
        <v>3245433.16</v>
      </c>
      <c r="G4452" s="128">
        <v>1512959.69</v>
      </c>
      <c r="H4452" s="128">
        <v>1732473.47</v>
      </c>
      <c r="I4452" s="128">
        <v>20776</v>
      </c>
    </row>
    <row r="4453" spans="1:9" ht="13.5">
      <c r="A4453" s="128">
        <v>2005</v>
      </c>
      <c r="B4453" s="128" t="s">
        <v>138</v>
      </c>
      <c r="C4453" s="128" t="s">
        <v>25</v>
      </c>
      <c r="D4453" s="128" t="s">
        <v>76</v>
      </c>
      <c r="E4453" s="128" t="s">
        <v>135</v>
      </c>
      <c r="F4453" s="128">
        <v>444586</v>
      </c>
      <c r="G4453" s="128">
        <v>123876.85</v>
      </c>
      <c r="H4453" s="128">
        <v>320708.90000000002</v>
      </c>
      <c r="I4453" s="128">
        <v>415</v>
      </c>
    </row>
    <row r="4454" spans="1:9" ht="13.5">
      <c r="A4454" s="128">
        <v>2005</v>
      </c>
      <c r="B4454" s="128" t="s">
        <v>138</v>
      </c>
      <c r="C4454" s="128" t="s">
        <v>25</v>
      </c>
      <c r="D4454" s="128" t="s">
        <v>76</v>
      </c>
      <c r="E4454" s="128" t="s">
        <v>136</v>
      </c>
      <c r="F4454" s="128">
        <v>137660.37</v>
      </c>
      <c r="G4454" s="128">
        <v>109571.65</v>
      </c>
      <c r="H4454" s="128">
        <v>28089.72</v>
      </c>
      <c r="I4454" s="128">
        <v>1632</v>
      </c>
    </row>
    <row r="4455" spans="1:9" ht="13.5">
      <c r="A4455" s="128">
        <v>2005</v>
      </c>
      <c r="B4455" s="128" t="s">
        <v>138</v>
      </c>
      <c r="C4455" s="128" t="s">
        <v>21</v>
      </c>
      <c r="D4455" s="128" t="s">
        <v>77</v>
      </c>
      <c r="E4455" s="128" t="s">
        <v>132</v>
      </c>
      <c r="F4455" s="128">
        <v>1853472.59</v>
      </c>
      <c r="G4455" s="128">
        <v>1218037</v>
      </c>
      <c r="H4455" s="128">
        <v>555473.9</v>
      </c>
      <c r="I4455" s="128">
        <v>11438</v>
      </c>
    </row>
    <row r="4456" spans="1:9" ht="13.5">
      <c r="A4456" s="128">
        <v>2005</v>
      </c>
      <c r="B4456" s="128" t="s">
        <v>138</v>
      </c>
      <c r="C4456" s="128" t="s">
        <v>21</v>
      </c>
      <c r="D4456" s="128" t="s">
        <v>77</v>
      </c>
      <c r="E4456" s="128" t="s">
        <v>133</v>
      </c>
      <c r="F4456" s="128">
        <v>3584278.71</v>
      </c>
      <c r="G4456" s="128">
        <v>1948542.88</v>
      </c>
      <c r="H4456" s="128">
        <v>1294806.8899999999</v>
      </c>
      <c r="I4456" s="128">
        <v>15434</v>
      </c>
    </row>
    <row r="4457" spans="1:9" ht="13.5">
      <c r="A4457" s="128">
        <v>2005</v>
      </c>
      <c r="B4457" s="128" t="s">
        <v>138</v>
      </c>
      <c r="C4457" s="128" t="s">
        <v>21</v>
      </c>
      <c r="D4457" s="128" t="s">
        <v>77</v>
      </c>
      <c r="E4457" s="128" t="s">
        <v>134</v>
      </c>
      <c r="F4457" s="128">
        <v>7617121.7400000002</v>
      </c>
      <c r="G4457" s="128">
        <v>3295748.55</v>
      </c>
      <c r="H4457" s="128">
        <v>2949216.27</v>
      </c>
      <c r="I4457" s="128">
        <v>36397</v>
      </c>
    </row>
    <row r="4458" spans="1:9" ht="13.5">
      <c r="A4458" s="128">
        <v>2005</v>
      </c>
      <c r="B4458" s="128" t="s">
        <v>138</v>
      </c>
      <c r="C4458" s="128" t="s">
        <v>21</v>
      </c>
      <c r="D4458" s="128" t="s">
        <v>77</v>
      </c>
      <c r="E4458" s="128" t="s">
        <v>135</v>
      </c>
      <c r="F4458" s="128">
        <v>5860016</v>
      </c>
      <c r="G4458" s="128">
        <v>1686889</v>
      </c>
      <c r="H4458" s="128">
        <v>1713035</v>
      </c>
      <c r="I4458" s="128">
        <v>18976</v>
      </c>
    </row>
    <row r="4459" spans="1:9" ht="13.5">
      <c r="A4459" s="128">
        <v>2005</v>
      </c>
      <c r="B4459" s="128" t="s">
        <v>138</v>
      </c>
      <c r="C4459" s="128" t="s">
        <v>21</v>
      </c>
      <c r="D4459" s="128" t="s">
        <v>79</v>
      </c>
      <c r="E4459" s="128" t="s">
        <v>132</v>
      </c>
      <c r="F4459" s="128">
        <v>3067813</v>
      </c>
      <c r="G4459" s="128">
        <v>2033342</v>
      </c>
      <c r="H4459" s="128">
        <v>674051</v>
      </c>
      <c r="I4459" s="128">
        <v>23890</v>
      </c>
    </row>
    <row r="4460" spans="1:9" ht="13.5">
      <c r="A4460" s="128">
        <v>2005</v>
      </c>
      <c r="B4460" s="128" t="s">
        <v>138</v>
      </c>
      <c r="C4460" s="128" t="s">
        <v>21</v>
      </c>
      <c r="D4460" s="128" t="s">
        <v>79</v>
      </c>
      <c r="E4460" s="128" t="s">
        <v>133</v>
      </c>
      <c r="F4460" s="128">
        <v>3029437</v>
      </c>
      <c r="G4460" s="128">
        <v>1659366</v>
      </c>
      <c r="H4460" s="128">
        <v>561282</v>
      </c>
      <c r="I4460" s="128">
        <v>18266</v>
      </c>
    </row>
    <row r="4461" spans="1:9" ht="13.5">
      <c r="A4461" s="128">
        <v>2005</v>
      </c>
      <c r="B4461" s="128" t="s">
        <v>138</v>
      </c>
      <c r="C4461" s="128" t="s">
        <v>21</v>
      </c>
      <c r="D4461" s="128" t="s">
        <v>79</v>
      </c>
      <c r="E4461" s="128" t="s">
        <v>134</v>
      </c>
      <c r="F4461" s="128">
        <v>7890575</v>
      </c>
      <c r="G4461" s="128">
        <v>3406178</v>
      </c>
      <c r="H4461" s="128">
        <v>1132219</v>
      </c>
      <c r="I4461" s="128">
        <v>58907</v>
      </c>
    </row>
    <row r="4462" spans="1:9" ht="13.5">
      <c r="A4462" s="128">
        <v>2005</v>
      </c>
      <c r="B4462" s="128" t="s">
        <v>138</v>
      </c>
      <c r="C4462" s="128" t="s">
        <v>21</v>
      </c>
      <c r="D4462" s="128" t="s">
        <v>79</v>
      </c>
      <c r="E4462" s="128" t="s">
        <v>135</v>
      </c>
      <c r="F4462" s="128">
        <v>9979498</v>
      </c>
      <c r="G4462" s="128">
        <v>2769841</v>
      </c>
      <c r="H4462" s="128">
        <v>948734</v>
      </c>
      <c r="I4462" s="128">
        <v>28659</v>
      </c>
    </row>
    <row r="4463" spans="1:9" ht="13.5">
      <c r="A4463" s="128">
        <v>2005</v>
      </c>
      <c r="B4463" s="128" t="s">
        <v>138</v>
      </c>
      <c r="C4463" s="128" t="s">
        <v>21</v>
      </c>
      <c r="D4463" s="128" t="s">
        <v>79</v>
      </c>
      <c r="E4463" s="128" t="s">
        <v>136</v>
      </c>
      <c r="F4463" s="128">
        <v>12272312</v>
      </c>
      <c r="G4463" s="128">
        <v>9243530</v>
      </c>
      <c r="H4463" s="128">
        <v>3028664</v>
      </c>
      <c r="I4463" s="128">
        <v>171232</v>
      </c>
    </row>
    <row r="4464" spans="1:9" ht="13.5">
      <c r="A4464" s="128">
        <v>2005</v>
      </c>
      <c r="B4464" s="128" t="s">
        <v>138</v>
      </c>
      <c r="C4464" s="128" t="s">
        <v>21</v>
      </c>
      <c r="D4464" s="128" t="s">
        <v>76</v>
      </c>
      <c r="E4464" s="128" t="s">
        <v>132</v>
      </c>
      <c r="F4464" s="128">
        <v>22923183.52</v>
      </c>
      <c r="G4464" s="128">
        <v>14681058.82</v>
      </c>
      <c r="H4464" s="128">
        <v>8242122.6600000001</v>
      </c>
      <c r="I4464" s="128">
        <v>271042</v>
      </c>
    </row>
    <row r="4465" spans="1:9" ht="13.5">
      <c r="A4465" s="128">
        <v>2005</v>
      </c>
      <c r="B4465" s="128" t="s">
        <v>138</v>
      </c>
      <c r="C4465" s="128" t="s">
        <v>21</v>
      </c>
      <c r="D4465" s="128" t="s">
        <v>76</v>
      </c>
      <c r="E4465" s="128" t="s">
        <v>133</v>
      </c>
      <c r="F4465" s="128">
        <v>50686027.899999999</v>
      </c>
      <c r="G4465" s="128">
        <v>27918859.309999999</v>
      </c>
      <c r="H4465" s="128">
        <v>22767162.640000001</v>
      </c>
      <c r="I4465" s="128">
        <v>288732</v>
      </c>
    </row>
    <row r="4466" spans="1:9" ht="13.5">
      <c r="A4466" s="128">
        <v>2005</v>
      </c>
      <c r="B4466" s="128" t="s">
        <v>138</v>
      </c>
      <c r="C4466" s="128" t="s">
        <v>21</v>
      </c>
      <c r="D4466" s="128" t="s">
        <v>76</v>
      </c>
      <c r="E4466" s="128" t="s">
        <v>134</v>
      </c>
      <c r="F4466" s="128">
        <v>28786237.73</v>
      </c>
      <c r="G4466" s="128">
        <v>13388133.16</v>
      </c>
      <c r="H4466" s="128">
        <v>15398106.560000001</v>
      </c>
      <c r="I4466" s="128">
        <v>212419</v>
      </c>
    </row>
    <row r="4467" spans="1:9" ht="13.5">
      <c r="A4467" s="128">
        <v>2005</v>
      </c>
      <c r="B4467" s="128" t="s">
        <v>138</v>
      </c>
      <c r="C4467" s="128" t="s">
        <v>21</v>
      </c>
      <c r="D4467" s="128" t="s">
        <v>76</v>
      </c>
      <c r="E4467" s="128" t="s">
        <v>135</v>
      </c>
      <c r="F4467" s="128">
        <v>2339337</v>
      </c>
      <c r="G4467" s="128">
        <v>673377.56</v>
      </c>
      <c r="H4467" s="128">
        <v>1665957.59</v>
      </c>
      <c r="I4467" s="128">
        <v>2314</v>
      </c>
    </row>
    <row r="4468" spans="1:9" ht="13.5">
      <c r="A4468" s="128">
        <v>2005</v>
      </c>
      <c r="B4468" s="128" t="s">
        <v>138</v>
      </c>
      <c r="C4468" s="128" t="s">
        <v>21</v>
      </c>
      <c r="D4468" s="128" t="s">
        <v>76</v>
      </c>
      <c r="E4468" s="128" t="s">
        <v>136</v>
      </c>
      <c r="F4468" s="128">
        <v>4911815.53</v>
      </c>
      <c r="G4468" s="128">
        <v>3704229.62</v>
      </c>
      <c r="H4468" s="128">
        <v>1207590.92</v>
      </c>
      <c r="I4468" s="128">
        <v>87664</v>
      </c>
    </row>
    <row r="4469" spans="1:9" ht="13.5">
      <c r="A4469" s="128">
        <v>2005</v>
      </c>
      <c r="B4469" s="128" t="s">
        <v>138</v>
      </c>
      <c r="C4469" s="128" t="s">
        <v>24</v>
      </c>
      <c r="D4469" s="128" t="s">
        <v>77</v>
      </c>
      <c r="E4469" s="128" t="s">
        <v>132</v>
      </c>
      <c r="F4469" s="128">
        <v>514272.41</v>
      </c>
      <c r="G4469" s="128">
        <v>322765.5</v>
      </c>
      <c r="H4469" s="128">
        <v>128431.41</v>
      </c>
      <c r="I4469" s="128">
        <v>4236</v>
      </c>
    </row>
    <row r="4470" spans="1:9" ht="13.5">
      <c r="A4470" s="128">
        <v>2005</v>
      </c>
      <c r="B4470" s="128" t="s">
        <v>138</v>
      </c>
      <c r="C4470" s="128" t="s">
        <v>24</v>
      </c>
      <c r="D4470" s="128" t="s">
        <v>77</v>
      </c>
      <c r="E4470" s="128" t="s">
        <v>133</v>
      </c>
      <c r="F4470" s="128">
        <v>2274819.12</v>
      </c>
      <c r="G4470" s="128">
        <v>1215720.8999999999</v>
      </c>
      <c r="H4470" s="128">
        <v>776237.42</v>
      </c>
      <c r="I4470" s="128">
        <v>6327</v>
      </c>
    </row>
    <row r="4471" spans="1:9" ht="13.5">
      <c r="A4471" s="128">
        <v>2005</v>
      </c>
      <c r="B4471" s="128" t="s">
        <v>138</v>
      </c>
      <c r="C4471" s="128" t="s">
        <v>24</v>
      </c>
      <c r="D4471" s="128" t="s">
        <v>77</v>
      </c>
      <c r="E4471" s="128" t="s">
        <v>134</v>
      </c>
      <c r="F4471" s="128">
        <v>4524798.4400000004</v>
      </c>
      <c r="G4471" s="128">
        <v>1980756.95</v>
      </c>
      <c r="H4471" s="128">
        <v>1319748.02</v>
      </c>
      <c r="I4471" s="128">
        <v>20499</v>
      </c>
    </row>
    <row r="4472" spans="1:9" ht="13.5">
      <c r="A4472" s="128">
        <v>2005</v>
      </c>
      <c r="B4472" s="128" t="s">
        <v>138</v>
      </c>
      <c r="C4472" s="128" t="s">
        <v>24</v>
      </c>
      <c r="D4472" s="128" t="s">
        <v>77</v>
      </c>
      <c r="E4472" s="128" t="s">
        <v>135</v>
      </c>
      <c r="F4472" s="128">
        <v>5073413</v>
      </c>
      <c r="G4472" s="128">
        <v>1415400</v>
      </c>
      <c r="H4472" s="128">
        <v>1101112</v>
      </c>
      <c r="I4472" s="128">
        <v>17790</v>
      </c>
    </row>
    <row r="4473" spans="1:9" ht="13.5">
      <c r="A4473" s="128">
        <v>2005</v>
      </c>
      <c r="B4473" s="128" t="s">
        <v>138</v>
      </c>
      <c r="C4473" s="128" t="s">
        <v>24</v>
      </c>
      <c r="D4473" s="128" t="s">
        <v>79</v>
      </c>
      <c r="E4473" s="128" t="s">
        <v>132</v>
      </c>
      <c r="F4473" s="128">
        <v>840224</v>
      </c>
      <c r="G4473" s="128">
        <v>541076</v>
      </c>
      <c r="H4473" s="128">
        <v>181061</v>
      </c>
      <c r="I4473" s="128">
        <v>5811</v>
      </c>
    </row>
    <row r="4474" spans="1:9" ht="13.5">
      <c r="A4474" s="128">
        <v>2005</v>
      </c>
      <c r="B4474" s="128" t="s">
        <v>138</v>
      </c>
      <c r="C4474" s="128" t="s">
        <v>24</v>
      </c>
      <c r="D4474" s="128" t="s">
        <v>79</v>
      </c>
      <c r="E4474" s="128" t="s">
        <v>133</v>
      </c>
      <c r="F4474" s="128">
        <v>1490604</v>
      </c>
      <c r="G4474" s="128">
        <v>811543</v>
      </c>
      <c r="H4474" s="128">
        <v>275113</v>
      </c>
      <c r="I4474" s="128">
        <v>15139</v>
      </c>
    </row>
    <row r="4475" spans="1:9" ht="13.5">
      <c r="A4475" s="128">
        <v>2005</v>
      </c>
      <c r="B4475" s="128" t="s">
        <v>138</v>
      </c>
      <c r="C4475" s="128" t="s">
        <v>24</v>
      </c>
      <c r="D4475" s="128" t="s">
        <v>79</v>
      </c>
      <c r="E4475" s="128" t="s">
        <v>134</v>
      </c>
      <c r="F4475" s="128">
        <v>1333522</v>
      </c>
      <c r="G4475" s="128">
        <v>583020</v>
      </c>
      <c r="H4475" s="128">
        <v>200631</v>
      </c>
      <c r="I4475" s="128">
        <v>9706</v>
      </c>
    </row>
    <row r="4476" spans="1:9" ht="13.5">
      <c r="A4476" s="128">
        <v>2005</v>
      </c>
      <c r="B4476" s="128" t="s">
        <v>138</v>
      </c>
      <c r="C4476" s="128" t="s">
        <v>24</v>
      </c>
      <c r="D4476" s="128" t="s">
        <v>79</v>
      </c>
      <c r="E4476" s="128" t="s">
        <v>135</v>
      </c>
      <c r="F4476" s="128">
        <v>1952986</v>
      </c>
      <c r="G4476" s="128">
        <v>506490</v>
      </c>
      <c r="H4476" s="128">
        <v>195196</v>
      </c>
      <c r="I4476" s="128">
        <v>5278</v>
      </c>
    </row>
    <row r="4477" spans="1:9" ht="13.5">
      <c r="A4477" s="128">
        <v>2005</v>
      </c>
      <c r="B4477" s="128" t="s">
        <v>138</v>
      </c>
      <c r="C4477" s="128" t="s">
        <v>24</v>
      </c>
      <c r="D4477" s="128" t="s">
        <v>79</v>
      </c>
      <c r="E4477" s="128" t="s">
        <v>136</v>
      </c>
      <c r="F4477" s="128">
        <v>1217427</v>
      </c>
      <c r="G4477" s="128">
        <v>919934</v>
      </c>
      <c r="H4477" s="128">
        <v>297479</v>
      </c>
      <c r="I4477" s="128">
        <v>23603</v>
      </c>
    </row>
    <row r="4478" spans="1:9" ht="13.5">
      <c r="A4478" s="128">
        <v>2005</v>
      </c>
      <c r="B4478" s="128" t="s">
        <v>138</v>
      </c>
      <c r="C4478" s="128" t="s">
        <v>24</v>
      </c>
      <c r="D4478" s="128" t="s">
        <v>76</v>
      </c>
      <c r="E4478" s="128" t="s">
        <v>132</v>
      </c>
      <c r="F4478" s="128">
        <v>9916739</v>
      </c>
      <c r="G4478" s="128">
        <v>6290580.9100000001</v>
      </c>
      <c r="H4478" s="128">
        <v>3626148.09</v>
      </c>
      <c r="I4478" s="128">
        <v>126484</v>
      </c>
    </row>
    <row r="4479" spans="1:9" ht="13.5">
      <c r="A4479" s="128">
        <v>2005</v>
      </c>
      <c r="B4479" s="128" t="s">
        <v>138</v>
      </c>
      <c r="C4479" s="128" t="s">
        <v>24</v>
      </c>
      <c r="D4479" s="128" t="s">
        <v>76</v>
      </c>
      <c r="E4479" s="128" t="s">
        <v>133</v>
      </c>
      <c r="F4479" s="128">
        <v>17771186.41</v>
      </c>
      <c r="G4479" s="128">
        <v>9730970.8900000006</v>
      </c>
      <c r="H4479" s="128">
        <v>8040218.5300000003</v>
      </c>
      <c r="I4479" s="128">
        <v>58563</v>
      </c>
    </row>
    <row r="4480" spans="1:9" ht="13.5">
      <c r="A4480" s="128">
        <v>2005</v>
      </c>
      <c r="B4480" s="128" t="s">
        <v>138</v>
      </c>
      <c r="C4480" s="128" t="s">
        <v>24</v>
      </c>
      <c r="D4480" s="128" t="s">
        <v>76</v>
      </c>
      <c r="E4480" s="128" t="s">
        <v>134</v>
      </c>
      <c r="F4480" s="128">
        <v>10444684.800000001</v>
      </c>
      <c r="G4480" s="128">
        <v>4628899.46</v>
      </c>
      <c r="H4480" s="128">
        <v>5815784.5899999999</v>
      </c>
      <c r="I4480" s="128">
        <v>75553</v>
      </c>
    </row>
    <row r="4481" spans="1:9" ht="13.5">
      <c r="A4481" s="128">
        <v>2005</v>
      </c>
      <c r="B4481" s="128" t="s">
        <v>138</v>
      </c>
      <c r="C4481" s="128" t="s">
        <v>24</v>
      </c>
      <c r="D4481" s="128" t="s">
        <v>76</v>
      </c>
      <c r="E4481" s="128" t="s">
        <v>135</v>
      </c>
      <c r="F4481" s="128">
        <v>2274063</v>
      </c>
      <c r="G4481" s="128">
        <v>541430.81999999995</v>
      </c>
      <c r="H4481" s="128">
        <v>1732634.18</v>
      </c>
      <c r="I4481" s="128">
        <v>2195</v>
      </c>
    </row>
    <row r="4482" spans="1:9" ht="13.5">
      <c r="A4482" s="128">
        <v>2005</v>
      </c>
      <c r="B4482" s="128" t="s">
        <v>138</v>
      </c>
      <c r="C4482" s="128" t="s">
        <v>24</v>
      </c>
      <c r="D4482" s="128" t="s">
        <v>76</v>
      </c>
      <c r="E4482" s="128" t="s">
        <v>136</v>
      </c>
      <c r="F4482" s="128">
        <v>1454474.64</v>
      </c>
      <c r="G4482" s="128">
        <v>1142810.52</v>
      </c>
      <c r="H4482" s="128">
        <v>311674.13</v>
      </c>
      <c r="I4482" s="128">
        <v>19022</v>
      </c>
    </row>
    <row r="4483" spans="1:9" ht="13.5">
      <c r="A4483" s="128">
        <v>2005</v>
      </c>
      <c r="B4483" s="128" t="s">
        <v>139</v>
      </c>
      <c r="C4483" s="128" t="s">
        <v>26</v>
      </c>
      <c r="D4483" s="128" t="s">
        <v>77</v>
      </c>
      <c r="E4483" s="128" t="s">
        <v>132</v>
      </c>
      <c r="F4483" s="128">
        <v>0</v>
      </c>
      <c r="G4483" s="128">
        <v>0</v>
      </c>
      <c r="H4483" s="128">
        <v>0</v>
      </c>
      <c r="I4483" s="128">
        <v>0</v>
      </c>
    </row>
    <row r="4484" spans="1:9" ht="13.5">
      <c r="A4484" s="128">
        <v>2005</v>
      </c>
      <c r="B4484" s="128" t="s">
        <v>139</v>
      </c>
      <c r="C4484" s="128" t="s">
        <v>26</v>
      </c>
      <c r="D4484" s="128" t="s">
        <v>77</v>
      </c>
      <c r="E4484" s="128" t="s">
        <v>133</v>
      </c>
      <c r="F4484" s="128">
        <v>0</v>
      </c>
      <c r="G4484" s="128">
        <v>0</v>
      </c>
      <c r="H4484" s="128">
        <v>0</v>
      </c>
      <c r="I4484" s="128">
        <v>0</v>
      </c>
    </row>
    <row r="4485" spans="1:9" ht="13.5">
      <c r="A4485" s="128">
        <v>2005</v>
      </c>
      <c r="B4485" s="128" t="s">
        <v>139</v>
      </c>
      <c r="C4485" s="128" t="s">
        <v>26</v>
      </c>
      <c r="D4485" s="128" t="s">
        <v>77</v>
      </c>
      <c r="E4485" s="128" t="s">
        <v>134</v>
      </c>
      <c r="F4485" s="128">
        <v>0</v>
      </c>
      <c r="G4485" s="128">
        <v>0</v>
      </c>
      <c r="H4485" s="128">
        <v>0</v>
      </c>
      <c r="I4485" s="128">
        <v>0</v>
      </c>
    </row>
    <row r="4486" spans="1:9" ht="13.5">
      <c r="A4486" s="128">
        <v>2005</v>
      </c>
      <c r="B4486" s="128" t="s">
        <v>139</v>
      </c>
      <c r="C4486" s="128" t="s">
        <v>26</v>
      </c>
      <c r="D4486" s="128" t="s">
        <v>77</v>
      </c>
      <c r="E4486" s="128" t="s">
        <v>135</v>
      </c>
      <c r="F4486" s="128">
        <v>0</v>
      </c>
      <c r="G4486" s="128">
        <v>0</v>
      </c>
      <c r="H4486" s="128">
        <v>0</v>
      </c>
      <c r="I4486" s="128">
        <v>0</v>
      </c>
    </row>
    <row r="4487" spans="1:9" ht="13.5">
      <c r="A4487" s="128">
        <v>2005</v>
      </c>
      <c r="B4487" s="128" t="s">
        <v>139</v>
      </c>
      <c r="C4487" s="128" t="s">
        <v>26</v>
      </c>
      <c r="D4487" s="128" t="s">
        <v>79</v>
      </c>
      <c r="E4487" s="128" t="s">
        <v>132</v>
      </c>
      <c r="F4487" s="128">
        <v>0</v>
      </c>
      <c r="G4487" s="128">
        <v>0</v>
      </c>
      <c r="H4487" s="128">
        <v>0</v>
      </c>
      <c r="I4487" s="128">
        <v>0</v>
      </c>
    </row>
    <row r="4488" spans="1:9" ht="13.5">
      <c r="A4488" s="128">
        <v>2005</v>
      </c>
      <c r="B4488" s="128" t="s">
        <v>139</v>
      </c>
      <c r="C4488" s="128" t="s">
        <v>26</v>
      </c>
      <c r="D4488" s="128" t="s">
        <v>79</v>
      </c>
      <c r="E4488" s="128" t="s">
        <v>133</v>
      </c>
      <c r="F4488" s="128">
        <v>0</v>
      </c>
      <c r="G4488" s="128">
        <v>0</v>
      </c>
      <c r="H4488" s="128">
        <v>0</v>
      </c>
      <c r="I4488" s="128">
        <v>0</v>
      </c>
    </row>
    <row r="4489" spans="1:9" ht="13.5">
      <c r="A4489" s="128">
        <v>2005</v>
      </c>
      <c r="B4489" s="128" t="s">
        <v>139</v>
      </c>
      <c r="C4489" s="128" t="s">
        <v>26</v>
      </c>
      <c r="D4489" s="128" t="s">
        <v>79</v>
      </c>
      <c r="E4489" s="128" t="s">
        <v>134</v>
      </c>
      <c r="F4489" s="128">
        <v>0</v>
      </c>
      <c r="G4489" s="128">
        <v>0</v>
      </c>
      <c r="H4489" s="128">
        <v>0</v>
      </c>
      <c r="I4489" s="128">
        <v>0</v>
      </c>
    </row>
    <row r="4490" spans="1:9" ht="13.5">
      <c r="A4490" s="128">
        <v>2005</v>
      </c>
      <c r="B4490" s="128" t="s">
        <v>139</v>
      </c>
      <c r="C4490" s="128" t="s">
        <v>26</v>
      </c>
      <c r="D4490" s="128" t="s">
        <v>79</v>
      </c>
      <c r="E4490" s="128" t="s">
        <v>135</v>
      </c>
      <c r="F4490" s="128">
        <v>0</v>
      </c>
      <c r="G4490" s="128">
        <v>0</v>
      </c>
      <c r="H4490" s="128">
        <v>0</v>
      </c>
      <c r="I4490" s="128">
        <v>0</v>
      </c>
    </row>
    <row r="4491" spans="1:9" ht="13.5">
      <c r="A4491" s="128">
        <v>2005</v>
      </c>
      <c r="B4491" s="128" t="s">
        <v>139</v>
      </c>
      <c r="C4491" s="128" t="s">
        <v>26</v>
      </c>
      <c r="D4491" s="128" t="s">
        <v>79</v>
      </c>
      <c r="E4491" s="128" t="s">
        <v>136</v>
      </c>
      <c r="F4491" s="128">
        <v>0</v>
      </c>
      <c r="G4491" s="128">
        <v>0</v>
      </c>
      <c r="H4491" s="128">
        <v>0</v>
      </c>
      <c r="I4491" s="128">
        <v>0</v>
      </c>
    </row>
    <row r="4492" spans="1:9" ht="13.5">
      <c r="A4492" s="128">
        <v>2005</v>
      </c>
      <c r="B4492" s="128" t="s">
        <v>139</v>
      </c>
      <c r="C4492" s="128" t="s">
        <v>26</v>
      </c>
      <c r="D4492" s="128" t="s">
        <v>76</v>
      </c>
      <c r="E4492" s="128" t="s">
        <v>132</v>
      </c>
      <c r="F4492" s="128">
        <v>0</v>
      </c>
      <c r="G4492" s="128">
        <v>0</v>
      </c>
      <c r="H4492" s="128">
        <v>0</v>
      </c>
      <c r="I4492" s="128">
        <v>0</v>
      </c>
    </row>
    <row r="4493" spans="1:9" ht="13.5">
      <c r="A4493" s="128">
        <v>2005</v>
      </c>
      <c r="B4493" s="128" t="s">
        <v>139</v>
      </c>
      <c r="C4493" s="128" t="s">
        <v>26</v>
      </c>
      <c r="D4493" s="128" t="s">
        <v>76</v>
      </c>
      <c r="E4493" s="128" t="s">
        <v>133</v>
      </c>
      <c r="F4493" s="128">
        <v>0</v>
      </c>
      <c r="G4493" s="128">
        <v>0</v>
      </c>
      <c r="H4493" s="128">
        <v>0</v>
      </c>
      <c r="I4493" s="128">
        <v>0</v>
      </c>
    </row>
    <row r="4494" spans="1:9" ht="13.5">
      <c r="A4494" s="128">
        <v>2005</v>
      </c>
      <c r="B4494" s="128" t="s">
        <v>139</v>
      </c>
      <c r="C4494" s="128" t="s">
        <v>26</v>
      </c>
      <c r="D4494" s="128" t="s">
        <v>76</v>
      </c>
      <c r="E4494" s="128" t="s">
        <v>134</v>
      </c>
      <c r="F4494" s="128">
        <v>0</v>
      </c>
      <c r="G4494" s="128">
        <v>0</v>
      </c>
      <c r="H4494" s="128">
        <v>0</v>
      </c>
      <c r="I4494" s="128">
        <v>0</v>
      </c>
    </row>
    <row r="4495" spans="1:9" ht="13.5">
      <c r="A4495" s="128">
        <v>2005</v>
      </c>
      <c r="B4495" s="128" t="s">
        <v>139</v>
      </c>
      <c r="C4495" s="128" t="s">
        <v>26</v>
      </c>
      <c r="D4495" s="128" t="s">
        <v>76</v>
      </c>
      <c r="E4495" s="128" t="s">
        <v>135</v>
      </c>
      <c r="F4495" s="128">
        <v>0</v>
      </c>
      <c r="G4495" s="128">
        <v>0</v>
      </c>
      <c r="H4495" s="128">
        <v>0</v>
      </c>
      <c r="I4495" s="128">
        <v>0</v>
      </c>
    </row>
    <row r="4496" spans="1:9" ht="13.5">
      <c r="A4496" s="128">
        <v>2005</v>
      </c>
      <c r="B4496" s="128" t="s">
        <v>139</v>
      </c>
      <c r="C4496" s="128" t="s">
        <v>26</v>
      </c>
      <c r="D4496" s="128" t="s">
        <v>76</v>
      </c>
      <c r="E4496" s="128" t="s">
        <v>136</v>
      </c>
      <c r="F4496" s="128">
        <v>0</v>
      </c>
      <c r="G4496" s="128">
        <v>0</v>
      </c>
      <c r="H4496" s="128">
        <v>0</v>
      </c>
      <c r="I4496" s="128">
        <v>0</v>
      </c>
    </row>
    <row r="4497" spans="1:9" ht="13.5">
      <c r="A4497" s="128">
        <v>2005</v>
      </c>
      <c r="B4497" s="128" t="s">
        <v>139</v>
      </c>
      <c r="C4497" s="128" t="s">
        <v>20</v>
      </c>
      <c r="D4497" s="128" t="s">
        <v>77</v>
      </c>
      <c r="E4497" s="128" t="s">
        <v>132</v>
      </c>
      <c r="F4497" s="128">
        <v>700435.4</v>
      </c>
      <c r="G4497" s="128">
        <v>462186.4</v>
      </c>
      <c r="H4497" s="128">
        <v>213119.47</v>
      </c>
      <c r="I4497" s="128">
        <v>6493</v>
      </c>
    </row>
    <row r="4498" spans="1:9" ht="13.5">
      <c r="A4498" s="128">
        <v>2005</v>
      </c>
      <c r="B4498" s="128" t="s">
        <v>139</v>
      </c>
      <c r="C4498" s="128" t="s">
        <v>20</v>
      </c>
      <c r="D4498" s="128" t="s">
        <v>77</v>
      </c>
      <c r="E4498" s="128" t="s">
        <v>133</v>
      </c>
      <c r="F4498" s="128">
        <v>1832391.02</v>
      </c>
      <c r="G4498" s="128">
        <v>996910.4</v>
      </c>
      <c r="H4498" s="128">
        <v>709192.07</v>
      </c>
      <c r="I4498" s="128">
        <v>12225</v>
      </c>
    </row>
    <row r="4499" spans="1:9" ht="13.5">
      <c r="A4499" s="128">
        <v>2005</v>
      </c>
      <c r="B4499" s="128" t="s">
        <v>139</v>
      </c>
      <c r="C4499" s="128" t="s">
        <v>20</v>
      </c>
      <c r="D4499" s="128" t="s">
        <v>77</v>
      </c>
      <c r="E4499" s="128" t="s">
        <v>134</v>
      </c>
      <c r="F4499" s="128">
        <v>3156542.47</v>
      </c>
      <c r="G4499" s="128">
        <v>1379595.57</v>
      </c>
      <c r="H4499" s="128">
        <v>1237128.45</v>
      </c>
      <c r="I4499" s="128">
        <v>13249</v>
      </c>
    </row>
    <row r="4500" spans="1:9" ht="13.5">
      <c r="A4500" s="128">
        <v>2005</v>
      </c>
      <c r="B4500" s="128" t="s">
        <v>139</v>
      </c>
      <c r="C4500" s="128" t="s">
        <v>20</v>
      </c>
      <c r="D4500" s="128" t="s">
        <v>77</v>
      </c>
      <c r="E4500" s="128" t="s">
        <v>135</v>
      </c>
      <c r="F4500" s="128">
        <v>4156623</v>
      </c>
      <c r="G4500" s="128">
        <v>1136800</v>
      </c>
      <c r="H4500" s="128">
        <v>1065254</v>
      </c>
      <c r="I4500" s="128">
        <v>11553</v>
      </c>
    </row>
    <row r="4501" spans="1:9" ht="13.5">
      <c r="A4501" s="128">
        <v>2005</v>
      </c>
      <c r="B4501" s="128" t="s">
        <v>139</v>
      </c>
      <c r="C4501" s="128" t="s">
        <v>20</v>
      </c>
      <c r="D4501" s="128" t="s">
        <v>79</v>
      </c>
      <c r="E4501" s="128" t="s">
        <v>132</v>
      </c>
      <c r="F4501" s="128">
        <v>3397674</v>
      </c>
      <c r="G4501" s="128">
        <v>2262394</v>
      </c>
      <c r="H4501" s="128">
        <v>755908</v>
      </c>
      <c r="I4501" s="128">
        <v>22099</v>
      </c>
    </row>
    <row r="4502" spans="1:9" ht="13.5">
      <c r="A4502" s="128">
        <v>2005</v>
      </c>
      <c r="B4502" s="128" t="s">
        <v>139</v>
      </c>
      <c r="C4502" s="128" t="s">
        <v>20</v>
      </c>
      <c r="D4502" s="128" t="s">
        <v>79</v>
      </c>
      <c r="E4502" s="128" t="s">
        <v>133</v>
      </c>
      <c r="F4502" s="128">
        <v>5253680</v>
      </c>
      <c r="G4502" s="128">
        <v>2881236</v>
      </c>
      <c r="H4502" s="128">
        <v>991761</v>
      </c>
      <c r="I4502" s="128">
        <v>38501</v>
      </c>
    </row>
    <row r="4503" spans="1:9" ht="13.5">
      <c r="A4503" s="128">
        <v>2005</v>
      </c>
      <c r="B4503" s="128" t="s">
        <v>139</v>
      </c>
      <c r="C4503" s="128" t="s">
        <v>20</v>
      </c>
      <c r="D4503" s="128" t="s">
        <v>79</v>
      </c>
      <c r="E4503" s="128" t="s">
        <v>134</v>
      </c>
      <c r="F4503" s="128">
        <v>15946133</v>
      </c>
      <c r="G4503" s="128">
        <v>6777092</v>
      </c>
      <c r="H4503" s="128">
        <v>2290882</v>
      </c>
      <c r="I4503" s="128">
        <v>69545</v>
      </c>
    </row>
    <row r="4504" spans="1:9" ht="13.5">
      <c r="A4504" s="128">
        <v>2005</v>
      </c>
      <c r="B4504" s="128" t="s">
        <v>139</v>
      </c>
      <c r="C4504" s="128" t="s">
        <v>20</v>
      </c>
      <c r="D4504" s="128" t="s">
        <v>79</v>
      </c>
      <c r="E4504" s="128" t="s">
        <v>135</v>
      </c>
      <c r="F4504" s="128">
        <v>48413782</v>
      </c>
      <c r="G4504" s="128">
        <v>13299281</v>
      </c>
      <c r="H4504" s="128">
        <v>4699506</v>
      </c>
      <c r="I4504" s="128">
        <v>119080</v>
      </c>
    </row>
    <row r="4505" spans="1:9" ht="13.5">
      <c r="A4505" s="128">
        <v>2005</v>
      </c>
      <c r="B4505" s="128" t="s">
        <v>139</v>
      </c>
      <c r="C4505" s="128" t="s">
        <v>20</v>
      </c>
      <c r="D4505" s="128" t="s">
        <v>79</v>
      </c>
      <c r="E4505" s="128" t="s">
        <v>136</v>
      </c>
      <c r="F4505" s="128">
        <v>18836628</v>
      </c>
      <c r="G4505" s="128">
        <v>14236276</v>
      </c>
      <c r="H4505" s="128">
        <v>4599949</v>
      </c>
      <c r="I4505" s="128">
        <v>310941</v>
      </c>
    </row>
    <row r="4506" spans="1:9" ht="13.5">
      <c r="A4506" s="128">
        <v>2005</v>
      </c>
      <c r="B4506" s="128" t="s">
        <v>139</v>
      </c>
      <c r="C4506" s="128" t="s">
        <v>20</v>
      </c>
      <c r="D4506" s="128" t="s">
        <v>76</v>
      </c>
      <c r="E4506" s="128" t="s">
        <v>132</v>
      </c>
      <c r="F4506" s="128">
        <v>21974010.260000002</v>
      </c>
      <c r="G4506" s="128">
        <v>14091830.039999999</v>
      </c>
      <c r="H4506" s="128">
        <v>7882182.0700000003</v>
      </c>
      <c r="I4506" s="128">
        <v>262536</v>
      </c>
    </row>
    <row r="4507" spans="1:9" ht="13.5">
      <c r="A4507" s="128">
        <v>2005</v>
      </c>
      <c r="B4507" s="128" t="s">
        <v>139</v>
      </c>
      <c r="C4507" s="128" t="s">
        <v>20</v>
      </c>
      <c r="D4507" s="128" t="s">
        <v>76</v>
      </c>
      <c r="E4507" s="128" t="s">
        <v>133</v>
      </c>
      <c r="F4507" s="128">
        <v>36658848.710000001</v>
      </c>
      <c r="G4507" s="128">
        <v>20134292.390000001</v>
      </c>
      <c r="H4507" s="128">
        <v>16524552.33</v>
      </c>
      <c r="I4507" s="128">
        <v>175466</v>
      </c>
    </row>
    <row r="4508" spans="1:9" ht="13.5">
      <c r="A4508" s="128">
        <v>2005</v>
      </c>
      <c r="B4508" s="128" t="s">
        <v>139</v>
      </c>
      <c r="C4508" s="128" t="s">
        <v>20</v>
      </c>
      <c r="D4508" s="128" t="s">
        <v>76</v>
      </c>
      <c r="E4508" s="128" t="s">
        <v>134</v>
      </c>
      <c r="F4508" s="128">
        <v>23751272.510000002</v>
      </c>
      <c r="G4508" s="128">
        <v>11146317.75</v>
      </c>
      <c r="H4508" s="128">
        <v>12604959.01</v>
      </c>
      <c r="I4508" s="128">
        <v>165967</v>
      </c>
    </row>
    <row r="4509" spans="1:9" ht="13.5">
      <c r="A4509" s="128">
        <v>2005</v>
      </c>
      <c r="B4509" s="128" t="s">
        <v>139</v>
      </c>
      <c r="C4509" s="128" t="s">
        <v>20</v>
      </c>
      <c r="D4509" s="128" t="s">
        <v>76</v>
      </c>
      <c r="E4509" s="128" t="s">
        <v>135</v>
      </c>
      <c r="F4509" s="128">
        <v>4133759</v>
      </c>
      <c r="G4509" s="128">
        <v>1126537.77</v>
      </c>
      <c r="H4509" s="128">
        <v>3007217.5</v>
      </c>
      <c r="I4509" s="128">
        <v>4897</v>
      </c>
    </row>
    <row r="4510" spans="1:9" ht="13.5">
      <c r="A4510" s="128">
        <v>2005</v>
      </c>
      <c r="B4510" s="128" t="s">
        <v>139</v>
      </c>
      <c r="C4510" s="128" t="s">
        <v>20</v>
      </c>
      <c r="D4510" s="128" t="s">
        <v>76</v>
      </c>
      <c r="E4510" s="128" t="s">
        <v>136</v>
      </c>
      <c r="F4510" s="128">
        <v>4648497.0999999996</v>
      </c>
      <c r="G4510" s="128">
        <v>3503598.31</v>
      </c>
      <c r="H4510" s="128">
        <v>1144922.75</v>
      </c>
      <c r="I4510" s="128">
        <v>103655</v>
      </c>
    </row>
    <row r="4511" spans="1:9" ht="13.5">
      <c r="A4511" s="128">
        <v>2005</v>
      </c>
      <c r="B4511" s="128" t="s">
        <v>139</v>
      </c>
      <c r="C4511" s="128" t="s">
        <v>27</v>
      </c>
      <c r="D4511" s="128" t="s">
        <v>77</v>
      </c>
      <c r="E4511" s="128" t="s">
        <v>132</v>
      </c>
      <c r="F4511" s="128">
        <v>8058.35</v>
      </c>
      <c r="G4511" s="128">
        <v>5008.3500000000004</v>
      </c>
      <c r="H4511" s="128">
        <v>2462.4499999999998</v>
      </c>
      <c r="I4511" s="128">
        <v>50</v>
      </c>
    </row>
    <row r="4512" spans="1:9" ht="13.5">
      <c r="A4512" s="128">
        <v>2005</v>
      </c>
      <c r="B4512" s="128" t="s">
        <v>139</v>
      </c>
      <c r="C4512" s="128" t="s">
        <v>27</v>
      </c>
      <c r="D4512" s="128" t="s">
        <v>77</v>
      </c>
      <c r="E4512" s="128" t="s">
        <v>133</v>
      </c>
      <c r="F4512" s="128">
        <v>31024</v>
      </c>
      <c r="G4512" s="128">
        <v>16615</v>
      </c>
      <c r="H4512" s="128">
        <v>8882</v>
      </c>
      <c r="I4512" s="128">
        <v>106</v>
      </c>
    </row>
    <row r="4513" spans="1:9" ht="13.5">
      <c r="A4513" s="128">
        <v>2005</v>
      </c>
      <c r="B4513" s="128" t="s">
        <v>139</v>
      </c>
      <c r="C4513" s="128" t="s">
        <v>27</v>
      </c>
      <c r="D4513" s="128" t="s">
        <v>77</v>
      </c>
      <c r="E4513" s="128" t="s">
        <v>134</v>
      </c>
      <c r="F4513" s="128">
        <v>87896</v>
      </c>
      <c r="G4513" s="128">
        <v>38328</v>
      </c>
      <c r="H4513" s="128">
        <v>32238</v>
      </c>
      <c r="I4513" s="128">
        <v>204</v>
      </c>
    </row>
    <row r="4514" spans="1:9" ht="13.5">
      <c r="A4514" s="128">
        <v>2005</v>
      </c>
      <c r="B4514" s="128" t="s">
        <v>139</v>
      </c>
      <c r="C4514" s="128" t="s">
        <v>27</v>
      </c>
      <c r="D4514" s="128" t="s">
        <v>77</v>
      </c>
      <c r="E4514" s="128" t="s">
        <v>135</v>
      </c>
      <c r="F4514" s="128">
        <v>126575</v>
      </c>
      <c r="G4514" s="128">
        <v>35872</v>
      </c>
      <c r="H4514" s="128">
        <v>36707</v>
      </c>
      <c r="I4514" s="128">
        <v>412</v>
      </c>
    </row>
    <row r="4515" spans="1:9" ht="13.5">
      <c r="A4515" s="128">
        <v>2005</v>
      </c>
      <c r="B4515" s="128" t="s">
        <v>139</v>
      </c>
      <c r="C4515" s="128" t="s">
        <v>27</v>
      </c>
      <c r="D4515" s="128" t="s">
        <v>79</v>
      </c>
      <c r="E4515" s="128" t="s">
        <v>132</v>
      </c>
      <c r="F4515" s="128">
        <v>65968</v>
      </c>
      <c r="G4515" s="128">
        <v>44386</v>
      </c>
      <c r="H4515" s="128">
        <v>14785</v>
      </c>
      <c r="I4515" s="128">
        <v>373</v>
      </c>
    </row>
    <row r="4516" spans="1:9" ht="13.5">
      <c r="A4516" s="128">
        <v>2005</v>
      </c>
      <c r="B4516" s="128" t="s">
        <v>139</v>
      </c>
      <c r="C4516" s="128" t="s">
        <v>27</v>
      </c>
      <c r="D4516" s="128" t="s">
        <v>79</v>
      </c>
      <c r="E4516" s="128" t="s">
        <v>133</v>
      </c>
      <c r="F4516" s="128">
        <v>67237</v>
      </c>
      <c r="G4516" s="128">
        <v>36672</v>
      </c>
      <c r="H4516" s="128">
        <v>12508</v>
      </c>
      <c r="I4516" s="128">
        <v>431</v>
      </c>
    </row>
    <row r="4517" spans="1:9" ht="13.5">
      <c r="A4517" s="128">
        <v>2005</v>
      </c>
      <c r="B4517" s="128" t="s">
        <v>139</v>
      </c>
      <c r="C4517" s="128" t="s">
        <v>27</v>
      </c>
      <c r="D4517" s="128" t="s">
        <v>79</v>
      </c>
      <c r="E4517" s="128" t="s">
        <v>134</v>
      </c>
      <c r="F4517" s="128">
        <v>165415</v>
      </c>
      <c r="G4517" s="128">
        <v>69614</v>
      </c>
      <c r="H4517" s="128">
        <v>23084</v>
      </c>
      <c r="I4517" s="128">
        <v>1227</v>
      </c>
    </row>
    <row r="4518" spans="1:9" ht="13.5">
      <c r="A4518" s="128">
        <v>2005</v>
      </c>
      <c r="B4518" s="128" t="s">
        <v>139</v>
      </c>
      <c r="C4518" s="128" t="s">
        <v>27</v>
      </c>
      <c r="D4518" s="128" t="s">
        <v>79</v>
      </c>
      <c r="E4518" s="128" t="s">
        <v>135</v>
      </c>
      <c r="F4518" s="128">
        <v>398092</v>
      </c>
      <c r="G4518" s="128">
        <v>121162</v>
      </c>
      <c r="H4518" s="128">
        <v>39385</v>
      </c>
      <c r="I4518" s="128">
        <v>876</v>
      </c>
    </row>
    <row r="4519" spans="1:9" ht="13.5">
      <c r="A4519" s="128">
        <v>2005</v>
      </c>
      <c r="B4519" s="128" t="s">
        <v>139</v>
      </c>
      <c r="C4519" s="128" t="s">
        <v>27</v>
      </c>
      <c r="D4519" s="128" t="s">
        <v>79</v>
      </c>
      <c r="E4519" s="128" t="s">
        <v>136</v>
      </c>
      <c r="F4519" s="128">
        <v>166448</v>
      </c>
      <c r="G4519" s="128">
        <v>126304</v>
      </c>
      <c r="H4519" s="128">
        <v>40145</v>
      </c>
      <c r="I4519" s="128">
        <v>2422</v>
      </c>
    </row>
    <row r="4520" spans="1:9" ht="13.5">
      <c r="A4520" s="128">
        <v>2005</v>
      </c>
      <c r="B4520" s="128" t="s">
        <v>139</v>
      </c>
      <c r="C4520" s="128" t="s">
        <v>27</v>
      </c>
      <c r="D4520" s="128" t="s">
        <v>76</v>
      </c>
      <c r="E4520" s="128" t="s">
        <v>132</v>
      </c>
      <c r="F4520" s="128">
        <v>226876.41</v>
      </c>
      <c r="G4520" s="128">
        <v>146478.35999999999</v>
      </c>
      <c r="H4520" s="128">
        <v>80398.05</v>
      </c>
      <c r="I4520" s="128">
        <v>2777</v>
      </c>
    </row>
    <row r="4521" spans="1:9" ht="13.5">
      <c r="A4521" s="128">
        <v>2005</v>
      </c>
      <c r="B4521" s="128" t="s">
        <v>139</v>
      </c>
      <c r="C4521" s="128" t="s">
        <v>27</v>
      </c>
      <c r="D4521" s="128" t="s">
        <v>76</v>
      </c>
      <c r="E4521" s="128" t="s">
        <v>133</v>
      </c>
      <c r="F4521" s="128">
        <v>606072.26</v>
      </c>
      <c r="G4521" s="128">
        <v>332727.90000000002</v>
      </c>
      <c r="H4521" s="128">
        <v>273344.36</v>
      </c>
      <c r="I4521" s="128">
        <v>2827</v>
      </c>
    </row>
    <row r="4522" spans="1:9" ht="13.5">
      <c r="A4522" s="128">
        <v>2005</v>
      </c>
      <c r="B4522" s="128" t="s">
        <v>139</v>
      </c>
      <c r="C4522" s="128" t="s">
        <v>27</v>
      </c>
      <c r="D4522" s="128" t="s">
        <v>76</v>
      </c>
      <c r="E4522" s="128" t="s">
        <v>134</v>
      </c>
      <c r="F4522" s="128">
        <v>368687</v>
      </c>
      <c r="G4522" s="128">
        <v>172221.6</v>
      </c>
      <c r="H4522" s="128">
        <v>196465.4</v>
      </c>
      <c r="I4522" s="128">
        <v>2512</v>
      </c>
    </row>
    <row r="4523" spans="1:9" ht="13.5">
      <c r="A4523" s="128">
        <v>2005</v>
      </c>
      <c r="B4523" s="128" t="s">
        <v>139</v>
      </c>
      <c r="C4523" s="128" t="s">
        <v>27</v>
      </c>
      <c r="D4523" s="128" t="s">
        <v>76</v>
      </c>
      <c r="E4523" s="128" t="s">
        <v>135</v>
      </c>
      <c r="F4523" s="128">
        <v>88100</v>
      </c>
      <c r="G4523" s="128">
        <v>25899.599999999999</v>
      </c>
      <c r="H4523" s="128">
        <v>62198.95</v>
      </c>
      <c r="I4523" s="128">
        <v>92</v>
      </c>
    </row>
    <row r="4524" spans="1:9" ht="13.5">
      <c r="A4524" s="128">
        <v>2005</v>
      </c>
      <c r="B4524" s="128" t="s">
        <v>139</v>
      </c>
      <c r="C4524" s="128" t="s">
        <v>27</v>
      </c>
      <c r="D4524" s="128" t="s">
        <v>76</v>
      </c>
      <c r="E4524" s="128" t="s">
        <v>136</v>
      </c>
      <c r="F4524" s="128">
        <v>56134.25</v>
      </c>
      <c r="G4524" s="128">
        <v>42193</v>
      </c>
      <c r="H4524" s="128">
        <v>13940.25</v>
      </c>
      <c r="I4524" s="128">
        <v>797</v>
      </c>
    </row>
    <row r="4525" spans="1:9" ht="13.5">
      <c r="A4525" s="128">
        <v>2005</v>
      </c>
      <c r="B4525" s="128" t="s">
        <v>139</v>
      </c>
      <c r="C4525" s="128" t="s">
        <v>22</v>
      </c>
      <c r="D4525" s="128" t="s">
        <v>77</v>
      </c>
      <c r="E4525" s="128" t="s">
        <v>132</v>
      </c>
      <c r="F4525" s="128">
        <v>436707.62</v>
      </c>
      <c r="G4525" s="128">
        <v>286506.09999999998</v>
      </c>
      <c r="H4525" s="128">
        <v>130594.75</v>
      </c>
      <c r="I4525" s="128">
        <v>3575</v>
      </c>
    </row>
    <row r="4526" spans="1:9" ht="13.5">
      <c r="A4526" s="128">
        <v>2005</v>
      </c>
      <c r="B4526" s="128" t="s">
        <v>139</v>
      </c>
      <c r="C4526" s="128" t="s">
        <v>22</v>
      </c>
      <c r="D4526" s="128" t="s">
        <v>77</v>
      </c>
      <c r="E4526" s="128" t="s">
        <v>133</v>
      </c>
      <c r="F4526" s="128">
        <v>1518186.28</v>
      </c>
      <c r="G4526" s="128">
        <v>829447.39</v>
      </c>
      <c r="H4526" s="128">
        <v>589144.78</v>
      </c>
      <c r="I4526" s="128">
        <v>12793</v>
      </c>
    </row>
    <row r="4527" spans="1:9" ht="13.5">
      <c r="A4527" s="128">
        <v>2005</v>
      </c>
      <c r="B4527" s="128" t="s">
        <v>139</v>
      </c>
      <c r="C4527" s="128" t="s">
        <v>22</v>
      </c>
      <c r="D4527" s="128" t="s">
        <v>77</v>
      </c>
      <c r="E4527" s="128" t="s">
        <v>134</v>
      </c>
      <c r="F4527" s="128">
        <v>3547082.34</v>
      </c>
      <c r="G4527" s="128">
        <v>1512742.47</v>
      </c>
      <c r="H4527" s="128">
        <v>1410886.51</v>
      </c>
      <c r="I4527" s="128">
        <v>11527</v>
      </c>
    </row>
    <row r="4528" spans="1:9" ht="13.5">
      <c r="A4528" s="128">
        <v>2005</v>
      </c>
      <c r="B4528" s="128" t="s">
        <v>139</v>
      </c>
      <c r="C4528" s="128" t="s">
        <v>22</v>
      </c>
      <c r="D4528" s="128" t="s">
        <v>77</v>
      </c>
      <c r="E4528" s="128" t="s">
        <v>135</v>
      </c>
      <c r="F4528" s="128">
        <v>4848855</v>
      </c>
      <c r="G4528" s="128">
        <v>1372227</v>
      </c>
      <c r="H4528" s="128">
        <v>1462998</v>
      </c>
      <c r="I4528" s="128">
        <v>15773</v>
      </c>
    </row>
    <row r="4529" spans="1:9" ht="13.5">
      <c r="A4529" s="128">
        <v>2005</v>
      </c>
      <c r="B4529" s="128" t="s">
        <v>139</v>
      </c>
      <c r="C4529" s="128" t="s">
        <v>22</v>
      </c>
      <c r="D4529" s="128" t="s">
        <v>79</v>
      </c>
      <c r="E4529" s="128" t="s">
        <v>132</v>
      </c>
      <c r="F4529" s="128">
        <v>3126936</v>
      </c>
      <c r="G4529" s="128">
        <v>2094976</v>
      </c>
      <c r="H4529" s="128">
        <v>705909</v>
      </c>
      <c r="I4529" s="128">
        <v>19256</v>
      </c>
    </row>
    <row r="4530" spans="1:9" ht="13.5">
      <c r="A4530" s="128">
        <v>2005</v>
      </c>
      <c r="B4530" s="128" t="s">
        <v>139</v>
      </c>
      <c r="C4530" s="128" t="s">
        <v>22</v>
      </c>
      <c r="D4530" s="128" t="s">
        <v>79</v>
      </c>
      <c r="E4530" s="128" t="s">
        <v>133</v>
      </c>
      <c r="F4530" s="128">
        <v>5501424</v>
      </c>
      <c r="G4530" s="128">
        <v>3012966</v>
      </c>
      <c r="H4530" s="128">
        <v>1029671</v>
      </c>
      <c r="I4530" s="128">
        <v>45492</v>
      </c>
    </row>
    <row r="4531" spans="1:9" ht="13.5">
      <c r="A4531" s="128">
        <v>2005</v>
      </c>
      <c r="B4531" s="128" t="s">
        <v>139</v>
      </c>
      <c r="C4531" s="128" t="s">
        <v>22</v>
      </c>
      <c r="D4531" s="128" t="s">
        <v>79</v>
      </c>
      <c r="E4531" s="128" t="s">
        <v>134</v>
      </c>
      <c r="F4531" s="128">
        <v>9886194</v>
      </c>
      <c r="G4531" s="128">
        <v>4225416</v>
      </c>
      <c r="H4531" s="128">
        <v>1447842</v>
      </c>
      <c r="I4531" s="128">
        <v>42520</v>
      </c>
    </row>
    <row r="4532" spans="1:9" ht="13.5">
      <c r="A4532" s="128">
        <v>2005</v>
      </c>
      <c r="B4532" s="128" t="s">
        <v>139</v>
      </c>
      <c r="C4532" s="128" t="s">
        <v>22</v>
      </c>
      <c r="D4532" s="128" t="s">
        <v>79</v>
      </c>
      <c r="E4532" s="128" t="s">
        <v>135</v>
      </c>
      <c r="F4532" s="128">
        <v>15691941</v>
      </c>
      <c r="G4532" s="128">
        <v>4454917</v>
      </c>
      <c r="H4532" s="128">
        <v>1575699</v>
      </c>
      <c r="I4532" s="128">
        <v>45915</v>
      </c>
    </row>
    <row r="4533" spans="1:9" ht="13.5">
      <c r="A4533" s="128">
        <v>2005</v>
      </c>
      <c r="B4533" s="128" t="s">
        <v>139</v>
      </c>
      <c r="C4533" s="128" t="s">
        <v>22</v>
      </c>
      <c r="D4533" s="128" t="s">
        <v>79</v>
      </c>
      <c r="E4533" s="128" t="s">
        <v>136</v>
      </c>
      <c r="F4533" s="128">
        <v>7912273</v>
      </c>
      <c r="G4533" s="128">
        <v>6008211</v>
      </c>
      <c r="H4533" s="128">
        <v>1904027</v>
      </c>
      <c r="I4533" s="128">
        <v>108214</v>
      </c>
    </row>
    <row r="4534" spans="1:9" ht="13.5">
      <c r="A4534" s="128">
        <v>2005</v>
      </c>
      <c r="B4534" s="128" t="s">
        <v>139</v>
      </c>
      <c r="C4534" s="128" t="s">
        <v>22</v>
      </c>
      <c r="D4534" s="128" t="s">
        <v>76</v>
      </c>
      <c r="E4534" s="128" t="s">
        <v>132</v>
      </c>
      <c r="F4534" s="128">
        <v>20840532.050000001</v>
      </c>
      <c r="G4534" s="128">
        <v>13586588.789999999</v>
      </c>
      <c r="H4534" s="128">
        <v>7253944.3099999996</v>
      </c>
      <c r="I4534" s="128">
        <v>322190</v>
      </c>
    </row>
    <row r="4535" spans="1:9" ht="13.5">
      <c r="A4535" s="128">
        <v>2005</v>
      </c>
      <c r="B4535" s="128" t="s">
        <v>139</v>
      </c>
      <c r="C4535" s="128" t="s">
        <v>22</v>
      </c>
      <c r="D4535" s="128" t="s">
        <v>76</v>
      </c>
      <c r="E4535" s="128" t="s">
        <v>133</v>
      </c>
      <c r="F4535" s="128">
        <v>31820707.309999999</v>
      </c>
      <c r="G4535" s="128">
        <v>17589270.940000001</v>
      </c>
      <c r="H4535" s="128">
        <v>14231434.380000001</v>
      </c>
      <c r="I4535" s="128">
        <v>186268</v>
      </c>
    </row>
    <row r="4536" spans="1:9" ht="13.5">
      <c r="A4536" s="128">
        <v>2005</v>
      </c>
      <c r="B4536" s="128" t="s">
        <v>139</v>
      </c>
      <c r="C4536" s="128" t="s">
        <v>22</v>
      </c>
      <c r="D4536" s="128" t="s">
        <v>76</v>
      </c>
      <c r="E4536" s="128" t="s">
        <v>134</v>
      </c>
      <c r="F4536" s="128">
        <v>16227585.890000001</v>
      </c>
      <c r="G4536" s="128">
        <v>7697800.79</v>
      </c>
      <c r="H4536" s="128">
        <v>8529785.1300000008</v>
      </c>
      <c r="I4536" s="128">
        <v>133018</v>
      </c>
    </row>
    <row r="4537" spans="1:9" ht="13.5">
      <c r="A4537" s="128">
        <v>2005</v>
      </c>
      <c r="B4537" s="128" t="s">
        <v>139</v>
      </c>
      <c r="C4537" s="128" t="s">
        <v>22</v>
      </c>
      <c r="D4537" s="128" t="s">
        <v>76</v>
      </c>
      <c r="E4537" s="128" t="s">
        <v>135</v>
      </c>
      <c r="F4537" s="128">
        <v>3149288</v>
      </c>
      <c r="G4537" s="128">
        <v>907816.3</v>
      </c>
      <c r="H4537" s="128">
        <v>2241473.6</v>
      </c>
      <c r="I4537" s="128">
        <v>3386</v>
      </c>
    </row>
    <row r="4538" spans="1:9" ht="13.5">
      <c r="A4538" s="128">
        <v>2005</v>
      </c>
      <c r="B4538" s="128" t="s">
        <v>139</v>
      </c>
      <c r="C4538" s="128" t="s">
        <v>22</v>
      </c>
      <c r="D4538" s="128" t="s">
        <v>76</v>
      </c>
      <c r="E4538" s="128" t="s">
        <v>136</v>
      </c>
      <c r="F4538" s="128">
        <v>1225813.81</v>
      </c>
      <c r="G4538" s="128">
        <v>929225.17</v>
      </c>
      <c r="H4538" s="128">
        <v>296792.65000000002</v>
      </c>
      <c r="I4538" s="128">
        <v>26283</v>
      </c>
    </row>
    <row r="4539" spans="1:9" ht="13.5">
      <c r="A4539" s="128">
        <v>2005</v>
      </c>
      <c r="B4539" s="128" t="s">
        <v>139</v>
      </c>
      <c r="C4539" s="128" t="s">
        <v>23</v>
      </c>
      <c r="D4539" s="128" t="s">
        <v>77</v>
      </c>
      <c r="E4539" s="128" t="s">
        <v>132</v>
      </c>
      <c r="F4539" s="128">
        <v>1078577.1599999999</v>
      </c>
      <c r="G4539" s="128">
        <v>698075.52</v>
      </c>
      <c r="H4539" s="128">
        <v>348367.96</v>
      </c>
      <c r="I4539" s="128">
        <v>8991</v>
      </c>
    </row>
    <row r="4540" spans="1:9" ht="13.5">
      <c r="A4540" s="128">
        <v>2005</v>
      </c>
      <c r="B4540" s="128" t="s">
        <v>139</v>
      </c>
      <c r="C4540" s="128" t="s">
        <v>23</v>
      </c>
      <c r="D4540" s="128" t="s">
        <v>77</v>
      </c>
      <c r="E4540" s="128" t="s">
        <v>133</v>
      </c>
      <c r="F4540" s="128">
        <v>1657073.73</v>
      </c>
      <c r="G4540" s="128">
        <v>895967.78</v>
      </c>
      <c r="H4540" s="128">
        <v>704358.49</v>
      </c>
      <c r="I4540" s="128">
        <v>7119</v>
      </c>
    </row>
    <row r="4541" spans="1:9" ht="13.5">
      <c r="A4541" s="128">
        <v>2005</v>
      </c>
      <c r="B4541" s="128" t="s">
        <v>139</v>
      </c>
      <c r="C4541" s="128" t="s">
        <v>23</v>
      </c>
      <c r="D4541" s="128" t="s">
        <v>77</v>
      </c>
      <c r="E4541" s="128" t="s">
        <v>134</v>
      </c>
      <c r="F4541" s="128">
        <v>1707624.03</v>
      </c>
      <c r="G4541" s="128">
        <v>727576.24</v>
      </c>
      <c r="H4541" s="128">
        <v>842848.31</v>
      </c>
      <c r="I4541" s="128">
        <v>10521</v>
      </c>
    </row>
    <row r="4542" spans="1:9" ht="13.5">
      <c r="A4542" s="128">
        <v>2005</v>
      </c>
      <c r="B4542" s="128" t="s">
        <v>139</v>
      </c>
      <c r="C4542" s="128" t="s">
        <v>23</v>
      </c>
      <c r="D4542" s="128" t="s">
        <v>77</v>
      </c>
      <c r="E4542" s="128" t="s">
        <v>135</v>
      </c>
      <c r="F4542" s="128">
        <v>833344</v>
      </c>
      <c r="G4542" s="128">
        <v>219837</v>
      </c>
      <c r="H4542" s="128">
        <v>274651</v>
      </c>
      <c r="I4542" s="128">
        <v>1674</v>
      </c>
    </row>
    <row r="4543" spans="1:9" ht="13.5">
      <c r="A4543" s="128">
        <v>2005</v>
      </c>
      <c r="B4543" s="128" t="s">
        <v>139</v>
      </c>
      <c r="C4543" s="128" t="s">
        <v>23</v>
      </c>
      <c r="D4543" s="128" t="s">
        <v>79</v>
      </c>
      <c r="E4543" s="128" t="s">
        <v>132</v>
      </c>
      <c r="F4543" s="128">
        <v>495898</v>
      </c>
      <c r="G4543" s="128">
        <v>329435</v>
      </c>
      <c r="H4543" s="128">
        <v>105141</v>
      </c>
      <c r="I4543" s="128">
        <v>4346</v>
      </c>
    </row>
    <row r="4544" spans="1:9" ht="13.5">
      <c r="A4544" s="128">
        <v>2005</v>
      </c>
      <c r="B4544" s="128" t="s">
        <v>139</v>
      </c>
      <c r="C4544" s="128" t="s">
        <v>23</v>
      </c>
      <c r="D4544" s="128" t="s">
        <v>79</v>
      </c>
      <c r="E4544" s="128" t="s">
        <v>133</v>
      </c>
      <c r="F4544" s="128">
        <v>627477</v>
      </c>
      <c r="G4544" s="128">
        <v>346595</v>
      </c>
      <c r="H4544" s="128">
        <v>110195</v>
      </c>
      <c r="I4544" s="128">
        <v>3290</v>
      </c>
    </row>
    <row r="4545" spans="1:9" ht="13.5">
      <c r="A4545" s="128">
        <v>2005</v>
      </c>
      <c r="B4545" s="128" t="s">
        <v>139</v>
      </c>
      <c r="C4545" s="128" t="s">
        <v>23</v>
      </c>
      <c r="D4545" s="128" t="s">
        <v>79</v>
      </c>
      <c r="E4545" s="128" t="s">
        <v>134</v>
      </c>
      <c r="F4545" s="128">
        <v>628905</v>
      </c>
      <c r="G4545" s="128">
        <v>273637</v>
      </c>
      <c r="H4545" s="128">
        <v>87780</v>
      </c>
      <c r="I4545" s="128">
        <v>3145</v>
      </c>
    </row>
    <row r="4546" spans="1:9" ht="13.5">
      <c r="A4546" s="128">
        <v>2005</v>
      </c>
      <c r="B4546" s="128" t="s">
        <v>139</v>
      </c>
      <c r="C4546" s="128" t="s">
        <v>23</v>
      </c>
      <c r="D4546" s="128" t="s">
        <v>79</v>
      </c>
      <c r="E4546" s="128" t="s">
        <v>135</v>
      </c>
      <c r="F4546" s="128">
        <v>914717</v>
      </c>
      <c r="G4546" s="128">
        <v>206863</v>
      </c>
      <c r="H4546" s="128">
        <v>113871</v>
      </c>
      <c r="I4546" s="128">
        <v>5419</v>
      </c>
    </row>
    <row r="4547" spans="1:9" ht="13.5">
      <c r="A4547" s="128">
        <v>2005</v>
      </c>
      <c r="B4547" s="128" t="s">
        <v>139</v>
      </c>
      <c r="C4547" s="128" t="s">
        <v>23</v>
      </c>
      <c r="D4547" s="128" t="s">
        <v>79</v>
      </c>
      <c r="E4547" s="128" t="s">
        <v>136</v>
      </c>
      <c r="F4547" s="128">
        <v>2897040</v>
      </c>
      <c r="G4547" s="128">
        <v>2184108</v>
      </c>
      <c r="H4547" s="128">
        <v>712695</v>
      </c>
      <c r="I4547" s="128">
        <v>47577</v>
      </c>
    </row>
    <row r="4548" spans="1:9" ht="13.5">
      <c r="A4548" s="128">
        <v>2005</v>
      </c>
      <c r="B4548" s="128" t="s">
        <v>139</v>
      </c>
      <c r="C4548" s="128" t="s">
        <v>23</v>
      </c>
      <c r="D4548" s="128" t="s">
        <v>76</v>
      </c>
      <c r="E4548" s="128" t="s">
        <v>132</v>
      </c>
      <c r="F4548" s="128">
        <v>9421468.7100000009</v>
      </c>
      <c r="G4548" s="128">
        <v>6089921.3499999996</v>
      </c>
      <c r="H4548" s="128">
        <v>3331546.33</v>
      </c>
      <c r="I4548" s="128">
        <v>145918</v>
      </c>
    </row>
    <row r="4549" spans="1:9" ht="13.5">
      <c r="A4549" s="128">
        <v>2005</v>
      </c>
      <c r="B4549" s="128" t="s">
        <v>139</v>
      </c>
      <c r="C4549" s="128" t="s">
        <v>23</v>
      </c>
      <c r="D4549" s="128" t="s">
        <v>76</v>
      </c>
      <c r="E4549" s="128" t="s">
        <v>133</v>
      </c>
      <c r="F4549" s="128">
        <v>13430556.16</v>
      </c>
      <c r="G4549" s="128">
        <v>7297401.8700000001</v>
      </c>
      <c r="H4549" s="128">
        <v>6133154.29</v>
      </c>
      <c r="I4549" s="128">
        <v>51400</v>
      </c>
    </row>
    <row r="4550" spans="1:9" ht="13.5">
      <c r="A4550" s="128">
        <v>2005</v>
      </c>
      <c r="B4550" s="128" t="s">
        <v>139</v>
      </c>
      <c r="C4550" s="128" t="s">
        <v>23</v>
      </c>
      <c r="D4550" s="128" t="s">
        <v>76</v>
      </c>
      <c r="E4550" s="128" t="s">
        <v>134</v>
      </c>
      <c r="F4550" s="128">
        <v>11206918.779999999</v>
      </c>
      <c r="G4550" s="128">
        <v>5204463.43</v>
      </c>
      <c r="H4550" s="128">
        <v>6002457.3399999999</v>
      </c>
      <c r="I4550" s="128">
        <v>69946</v>
      </c>
    </row>
    <row r="4551" spans="1:9" ht="13.5">
      <c r="A4551" s="128">
        <v>2005</v>
      </c>
      <c r="B4551" s="128" t="s">
        <v>139</v>
      </c>
      <c r="C4551" s="128" t="s">
        <v>23</v>
      </c>
      <c r="D4551" s="128" t="s">
        <v>76</v>
      </c>
      <c r="E4551" s="128" t="s">
        <v>135</v>
      </c>
      <c r="F4551" s="128">
        <v>1130681</v>
      </c>
      <c r="G4551" s="128">
        <v>289877.95</v>
      </c>
      <c r="H4551" s="128">
        <v>840805.01</v>
      </c>
      <c r="I4551" s="128">
        <v>985</v>
      </c>
    </row>
    <row r="4552" spans="1:9" ht="13.5">
      <c r="A4552" s="128">
        <v>2005</v>
      </c>
      <c r="B4552" s="128" t="s">
        <v>139</v>
      </c>
      <c r="C4552" s="128" t="s">
        <v>23</v>
      </c>
      <c r="D4552" s="128" t="s">
        <v>76</v>
      </c>
      <c r="E4552" s="128" t="s">
        <v>136</v>
      </c>
      <c r="F4552" s="128">
        <v>1376025.55</v>
      </c>
      <c r="G4552" s="128">
        <v>1037301.09</v>
      </c>
      <c r="H4552" s="128">
        <v>338806.46</v>
      </c>
      <c r="I4552" s="128">
        <v>14166</v>
      </c>
    </row>
    <row r="4553" spans="1:9" ht="13.5">
      <c r="A4553" s="128">
        <v>2005</v>
      </c>
      <c r="B4553" s="128" t="s">
        <v>139</v>
      </c>
      <c r="C4553" s="128" t="s">
        <v>25</v>
      </c>
      <c r="D4553" s="128" t="s">
        <v>77</v>
      </c>
      <c r="E4553" s="128" t="s">
        <v>132</v>
      </c>
      <c r="F4553" s="128">
        <v>39845.449999999997</v>
      </c>
      <c r="G4553" s="128">
        <v>26358</v>
      </c>
      <c r="H4553" s="128">
        <v>11462.6</v>
      </c>
      <c r="I4553" s="128">
        <v>273</v>
      </c>
    </row>
    <row r="4554" spans="1:9" ht="13.5">
      <c r="A4554" s="128">
        <v>2005</v>
      </c>
      <c r="B4554" s="128" t="s">
        <v>139</v>
      </c>
      <c r="C4554" s="128" t="s">
        <v>25</v>
      </c>
      <c r="D4554" s="128" t="s">
        <v>77</v>
      </c>
      <c r="E4554" s="128" t="s">
        <v>133</v>
      </c>
      <c r="F4554" s="128">
        <v>107942.48</v>
      </c>
      <c r="G4554" s="128">
        <v>58766.3</v>
      </c>
      <c r="H4554" s="128">
        <v>44267.85</v>
      </c>
      <c r="I4554" s="128">
        <v>473</v>
      </c>
    </row>
    <row r="4555" spans="1:9" ht="13.5">
      <c r="A4555" s="128">
        <v>2005</v>
      </c>
      <c r="B4555" s="128" t="s">
        <v>139</v>
      </c>
      <c r="C4555" s="128" t="s">
        <v>25</v>
      </c>
      <c r="D4555" s="128" t="s">
        <v>77</v>
      </c>
      <c r="E4555" s="128" t="s">
        <v>134</v>
      </c>
      <c r="F4555" s="128">
        <v>250395.15</v>
      </c>
      <c r="G4555" s="128">
        <v>107437.4</v>
      </c>
      <c r="H4555" s="128">
        <v>109217.55</v>
      </c>
      <c r="I4555" s="128">
        <v>928</v>
      </c>
    </row>
    <row r="4556" spans="1:9" ht="13.5">
      <c r="A4556" s="128">
        <v>2005</v>
      </c>
      <c r="B4556" s="128" t="s">
        <v>139</v>
      </c>
      <c r="C4556" s="128" t="s">
        <v>25</v>
      </c>
      <c r="D4556" s="128" t="s">
        <v>77</v>
      </c>
      <c r="E4556" s="128" t="s">
        <v>135</v>
      </c>
      <c r="F4556" s="128">
        <v>350331</v>
      </c>
      <c r="G4556" s="128">
        <v>105206</v>
      </c>
      <c r="H4556" s="128">
        <v>122458</v>
      </c>
      <c r="I4556" s="128">
        <v>1193</v>
      </c>
    </row>
    <row r="4557" spans="1:9" ht="13.5">
      <c r="A4557" s="128">
        <v>2005</v>
      </c>
      <c r="B4557" s="128" t="s">
        <v>139</v>
      </c>
      <c r="C4557" s="128" t="s">
        <v>25</v>
      </c>
      <c r="D4557" s="128" t="s">
        <v>79</v>
      </c>
      <c r="E4557" s="128" t="s">
        <v>132</v>
      </c>
      <c r="F4557" s="128">
        <v>345636</v>
      </c>
      <c r="G4557" s="128">
        <v>232864</v>
      </c>
      <c r="H4557" s="128">
        <v>77880</v>
      </c>
      <c r="I4557" s="128">
        <v>3529</v>
      </c>
    </row>
    <row r="4558" spans="1:9" ht="13.5">
      <c r="A4558" s="128">
        <v>2005</v>
      </c>
      <c r="B4558" s="128" t="s">
        <v>139</v>
      </c>
      <c r="C4558" s="128" t="s">
        <v>25</v>
      </c>
      <c r="D4558" s="128" t="s">
        <v>79</v>
      </c>
      <c r="E4558" s="128" t="s">
        <v>133</v>
      </c>
      <c r="F4558" s="128">
        <v>276840</v>
      </c>
      <c r="G4558" s="128">
        <v>150084</v>
      </c>
      <c r="H4558" s="128">
        <v>50722</v>
      </c>
      <c r="I4558" s="128">
        <v>1645</v>
      </c>
    </row>
    <row r="4559" spans="1:9" ht="13.5">
      <c r="A4559" s="128">
        <v>2005</v>
      </c>
      <c r="B4559" s="128" t="s">
        <v>139</v>
      </c>
      <c r="C4559" s="128" t="s">
        <v>25</v>
      </c>
      <c r="D4559" s="128" t="s">
        <v>79</v>
      </c>
      <c r="E4559" s="128" t="s">
        <v>134</v>
      </c>
      <c r="F4559" s="128">
        <v>425658</v>
      </c>
      <c r="G4559" s="128">
        <v>182489</v>
      </c>
      <c r="H4559" s="128">
        <v>63586</v>
      </c>
      <c r="I4559" s="128">
        <v>2277</v>
      </c>
    </row>
    <row r="4560" spans="1:9" ht="13.5">
      <c r="A4560" s="128">
        <v>2005</v>
      </c>
      <c r="B4560" s="128" t="s">
        <v>139</v>
      </c>
      <c r="C4560" s="128" t="s">
        <v>25</v>
      </c>
      <c r="D4560" s="128" t="s">
        <v>79</v>
      </c>
      <c r="E4560" s="128" t="s">
        <v>135</v>
      </c>
      <c r="F4560" s="128">
        <v>1051998</v>
      </c>
      <c r="G4560" s="128">
        <v>270168</v>
      </c>
      <c r="H4560" s="128">
        <v>123744</v>
      </c>
      <c r="I4560" s="128">
        <v>3090</v>
      </c>
    </row>
    <row r="4561" spans="1:9" ht="13.5">
      <c r="A4561" s="128">
        <v>2005</v>
      </c>
      <c r="B4561" s="128" t="s">
        <v>139</v>
      </c>
      <c r="C4561" s="128" t="s">
        <v>25</v>
      </c>
      <c r="D4561" s="128" t="s">
        <v>79</v>
      </c>
      <c r="E4561" s="128" t="s">
        <v>136</v>
      </c>
      <c r="F4561" s="128">
        <v>1112992</v>
      </c>
      <c r="G4561" s="128">
        <v>839890</v>
      </c>
      <c r="H4561" s="128">
        <v>273101</v>
      </c>
      <c r="I4561" s="128">
        <v>14235</v>
      </c>
    </row>
    <row r="4562" spans="1:9" ht="13.5">
      <c r="A4562" s="128">
        <v>2005</v>
      </c>
      <c r="B4562" s="128" t="s">
        <v>139</v>
      </c>
      <c r="C4562" s="128" t="s">
        <v>25</v>
      </c>
      <c r="D4562" s="128" t="s">
        <v>76</v>
      </c>
      <c r="E4562" s="128" t="s">
        <v>132</v>
      </c>
      <c r="F4562" s="128">
        <v>1667595.76</v>
      </c>
      <c r="G4562" s="128">
        <v>1077774.8999999999</v>
      </c>
      <c r="H4562" s="128">
        <v>589817.86</v>
      </c>
      <c r="I4562" s="128">
        <v>21376</v>
      </c>
    </row>
    <row r="4563" spans="1:9" ht="13.5">
      <c r="A4563" s="128">
        <v>2005</v>
      </c>
      <c r="B4563" s="128" t="s">
        <v>139</v>
      </c>
      <c r="C4563" s="128" t="s">
        <v>25</v>
      </c>
      <c r="D4563" s="128" t="s">
        <v>76</v>
      </c>
      <c r="E4563" s="128" t="s">
        <v>133</v>
      </c>
      <c r="F4563" s="128">
        <v>2643200.56</v>
      </c>
      <c r="G4563" s="128">
        <v>1446750.04</v>
      </c>
      <c r="H4563" s="128">
        <v>1196447.5</v>
      </c>
      <c r="I4563" s="128">
        <v>10322</v>
      </c>
    </row>
    <row r="4564" spans="1:9" ht="13.5">
      <c r="A4564" s="128">
        <v>2005</v>
      </c>
      <c r="B4564" s="128" t="s">
        <v>139</v>
      </c>
      <c r="C4564" s="128" t="s">
        <v>25</v>
      </c>
      <c r="D4564" s="128" t="s">
        <v>76</v>
      </c>
      <c r="E4564" s="128" t="s">
        <v>134</v>
      </c>
      <c r="F4564" s="128">
        <v>1872245.36</v>
      </c>
      <c r="G4564" s="128">
        <v>880179.4</v>
      </c>
      <c r="H4564" s="128">
        <v>992063.97</v>
      </c>
      <c r="I4564" s="128">
        <v>12932</v>
      </c>
    </row>
    <row r="4565" spans="1:9" ht="13.5">
      <c r="A4565" s="128">
        <v>2005</v>
      </c>
      <c r="B4565" s="128" t="s">
        <v>139</v>
      </c>
      <c r="C4565" s="128" t="s">
        <v>25</v>
      </c>
      <c r="D4565" s="128" t="s">
        <v>76</v>
      </c>
      <c r="E4565" s="128" t="s">
        <v>135</v>
      </c>
      <c r="F4565" s="128">
        <v>215182</v>
      </c>
      <c r="G4565" s="128">
        <v>60857.15</v>
      </c>
      <c r="H4565" s="128">
        <v>154326.39999999999</v>
      </c>
      <c r="I4565" s="128">
        <v>198</v>
      </c>
    </row>
    <row r="4566" spans="1:9" ht="13.5">
      <c r="A4566" s="128">
        <v>2005</v>
      </c>
      <c r="B4566" s="128" t="s">
        <v>139</v>
      </c>
      <c r="C4566" s="128" t="s">
        <v>25</v>
      </c>
      <c r="D4566" s="128" t="s">
        <v>76</v>
      </c>
      <c r="E4566" s="128" t="s">
        <v>136</v>
      </c>
      <c r="F4566" s="128">
        <v>94365.92</v>
      </c>
      <c r="G4566" s="128">
        <v>72495.3</v>
      </c>
      <c r="H4566" s="128">
        <v>21868.62</v>
      </c>
      <c r="I4566" s="128">
        <v>1098</v>
      </c>
    </row>
    <row r="4567" spans="1:9" ht="13.5">
      <c r="A4567" s="128">
        <v>2005</v>
      </c>
      <c r="B4567" s="128" t="s">
        <v>139</v>
      </c>
      <c r="C4567" s="128" t="s">
        <v>21</v>
      </c>
      <c r="D4567" s="128" t="s">
        <v>77</v>
      </c>
      <c r="E4567" s="128" t="s">
        <v>132</v>
      </c>
      <c r="F4567" s="128">
        <v>1609437.03</v>
      </c>
      <c r="G4567" s="128">
        <v>1043845.9</v>
      </c>
      <c r="H4567" s="128">
        <v>486201.3</v>
      </c>
      <c r="I4567" s="128">
        <v>10394</v>
      </c>
    </row>
    <row r="4568" spans="1:9" ht="13.5">
      <c r="A4568" s="128">
        <v>2005</v>
      </c>
      <c r="B4568" s="128" t="s">
        <v>139</v>
      </c>
      <c r="C4568" s="128" t="s">
        <v>21</v>
      </c>
      <c r="D4568" s="128" t="s">
        <v>77</v>
      </c>
      <c r="E4568" s="128" t="s">
        <v>133</v>
      </c>
      <c r="F4568" s="128">
        <v>3494747.82</v>
      </c>
      <c r="G4568" s="128">
        <v>1901314.33</v>
      </c>
      <c r="H4568" s="128">
        <v>1284847.04</v>
      </c>
      <c r="I4568" s="128">
        <v>15129</v>
      </c>
    </row>
    <row r="4569" spans="1:9" ht="13.5">
      <c r="A4569" s="128">
        <v>2005</v>
      </c>
      <c r="B4569" s="128" t="s">
        <v>139</v>
      </c>
      <c r="C4569" s="128" t="s">
        <v>21</v>
      </c>
      <c r="D4569" s="128" t="s">
        <v>77</v>
      </c>
      <c r="E4569" s="128" t="s">
        <v>134</v>
      </c>
      <c r="F4569" s="128">
        <v>6189060.5099999998</v>
      </c>
      <c r="G4569" s="128">
        <v>2684254.4500000002</v>
      </c>
      <c r="H4569" s="128">
        <v>2330545.62</v>
      </c>
      <c r="I4569" s="128">
        <v>29787</v>
      </c>
    </row>
    <row r="4570" spans="1:9" ht="13.5">
      <c r="A4570" s="128">
        <v>2005</v>
      </c>
      <c r="B4570" s="128" t="s">
        <v>139</v>
      </c>
      <c r="C4570" s="128" t="s">
        <v>21</v>
      </c>
      <c r="D4570" s="128" t="s">
        <v>77</v>
      </c>
      <c r="E4570" s="128" t="s">
        <v>135</v>
      </c>
      <c r="F4570" s="128">
        <v>4893884</v>
      </c>
      <c r="G4570" s="128">
        <v>1406071</v>
      </c>
      <c r="H4570" s="128">
        <v>1411665</v>
      </c>
      <c r="I4570" s="128">
        <v>16022</v>
      </c>
    </row>
    <row r="4571" spans="1:9" ht="13.5">
      <c r="A4571" s="128">
        <v>2005</v>
      </c>
      <c r="B4571" s="128" t="s">
        <v>139</v>
      </c>
      <c r="C4571" s="128" t="s">
        <v>21</v>
      </c>
      <c r="D4571" s="128" t="s">
        <v>79</v>
      </c>
      <c r="E4571" s="128" t="s">
        <v>132</v>
      </c>
      <c r="F4571" s="128">
        <v>3049118</v>
      </c>
      <c r="G4571" s="128">
        <v>2031116</v>
      </c>
      <c r="H4571" s="128">
        <v>674649</v>
      </c>
      <c r="I4571" s="128">
        <v>24861</v>
      </c>
    </row>
    <row r="4572" spans="1:9" ht="13.5">
      <c r="A4572" s="128">
        <v>2005</v>
      </c>
      <c r="B4572" s="128" t="s">
        <v>139</v>
      </c>
      <c r="C4572" s="128" t="s">
        <v>21</v>
      </c>
      <c r="D4572" s="128" t="s">
        <v>79</v>
      </c>
      <c r="E4572" s="128" t="s">
        <v>133</v>
      </c>
      <c r="F4572" s="128">
        <v>2907631</v>
      </c>
      <c r="G4572" s="128">
        <v>1589983</v>
      </c>
      <c r="H4572" s="128">
        <v>547571</v>
      </c>
      <c r="I4572" s="128">
        <v>18716</v>
      </c>
    </row>
    <row r="4573" spans="1:9" ht="13.5">
      <c r="A4573" s="128">
        <v>2005</v>
      </c>
      <c r="B4573" s="128" t="s">
        <v>139</v>
      </c>
      <c r="C4573" s="128" t="s">
        <v>21</v>
      </c>
      <c r="D4573" s="128" t="s">
        <v>79</v>
      </c>
      <c r="E4573" s="128" t="s">
        <v>134</v>
      </c>
      <c r="F4573" s="128">
        <v>6859895</v>
      </c>
      <c r="G4573" s="128">
        <v>2954274</v>
      </c>
      <c r="H4573" s="128">
        <v>993569</v>
      </c>
      <c r="I4573" s="128">
        <v>51259</v>
      </c>
    </row>
    <row r="4574" spans="1:9" ht="13.5">
      <c r="A4574" s="128">
        <v>2005</v>
      </c>
      <c r="B4574" s="128" t="s">
        <v>139</v>
      </c>
      <c r="C4574" s="128" t="s">
        <v>21</v>
      </c>
      <c r="D4574" s="128" t="s">
        <v>79</v>
      </c>
      <c r="E4574" s="128" t="s">
        <v>135</v>
      </c>
      <c r="F4574" s="128">
        <v>8801973</v>
      </c>
      <c r="G4574" s="128">
        <v>2360356</v>
      </c>
      <c r="H4574" s="128">
        <v>857578</v>
      </c>
      <c r="I4574" s="128">
        <v>25657</v>
      </c>
    </row>
    <row r="4575" spans="1:9" ht="13.5">
      <c r="A4575" s="128">
        <v>2005</v>
      </c>
      <c r="B4575" s="128" t="s">
        <v>139</v>
      </c>
      <c r="C4575" s="128" t="s">
        <v>21</v>
      </c>
      <c r="D4575" s="128" t="s">
        <v>79</v>
      </c>
      <c r="E4575" s="128" t="s">
        <v>136</v>
      </c>
      <c r="F4575" s="128">
        <v>10828837</v>
      </c>
      <c r="G4575" s="128">
        <v>8164168</v>
      </c>
      <c r="H4575" s="128">
        <v>2664597</v>
      </c>
      <c r="I4575" s="128">
        <v>157877</v>
      </c>
    </row>
    <row r="4576" spans="1:9" ht="13.5">
      <c r="A4576" s="128">
        <v>2005</v>
      </c>
      <c r="B4576" s="128" t="s">
        <v>139</v>
      </c>
      <c r="C4576" s="128" t="s">
        <v>21</v>
      </c>
      <c r="D4576" s="128" t="s">
        <v>76</v>
      </c>
      <c r="E4576" s="128" t="s">
        <v>132</v>
      </c>
      <c r="F4576" s="128">
        <v>21514291.969999999</v>
      </c>
      <c r="G4576" s="128">
        <v>13723085.619999999</v>
      </c>
      <c r="H4576" s="128">
        <v>7791205.3499999996</v>
      </c>
      <c r="I4576" s="128">
        <v>258157</v>
      </c>
    </row>
    <row r="4577" spans="1:9" ht="13.5">
      <c r="A4577" s="128">
        <v>2005</v>
      </c>
      <c r="B4577" s="128" t="s">
        <v>139</v>
      </c>
      <c r="C4577" s="128" t="s">
        <v>21</v>
      </c>
      <c r="D4577" s="128" t="s">
        <v>76</v>
      </c>
      <c r="E4577" s="128" t="s">
        <v>133</v>
      </c>
      <c r="F4577" s="128">
        <v>43440934.829999998</v>
      </c>
      <c r="G4577" s="128">
        <v>23949922.07</v>
      </c>
      <c r="H4577" s="128">
        <v>19491010.829999998</v>
      </c>
      <c r="I4577" s="128">
        <v>240971</v>
      </c>
    </row>
    <row r="4578" spans="1:9" ht="13.5">
      <c r="A4578" s="128">
        <v>2005</v>
      </c>
      <c r="B4578" s="128" t="s">
        <v>139</v>
      </c>
      <c r="C4578" s="128" t="s">
        <v>21</v>
      </c>
      <c r="D4578" s="128" t="s">
        <v>76</v>
      </c>
      <c r="E4578" s="128" t="s">
        <v>134</v>
      </c>
      <c r="F4578" s="128">
        <v>24065954.09</v>
      </c>
      <c r="G4578" s="128">
        <v>11233831.359999999</v>
      </c>
      <c r="H4578" s="128">
        <v>12832211.66</v>
      </c>
      <c r="I4578" s="128">
        <v>185573</v>
      </c>
    </row>
    <row r="4579" spans="1:9" ht="13.5">
      <c r="A4579" s="128">
        <v>2005</v>
      </c>
      <c r="B4579" s="128" t="s">
        <v>139</v>
      </c>
      <c r="C4579" s="128" t="s">
        <v>21</v>
      </c>
      <c r="D4579" s="128" t="s">
        <v>76</v>
      </c>
      <c r="E4579" s="128" t="s">
        <v>135</v>
      </c>
      <c r="F4579" s="128">
        <v>2222013</v>
      </c>
      <c r="G4579" s="128">
        <v>642419.74</v>
      </c>
      <c r="H4579" s="128">
        <v>1579595.95</v>
      </c>
      <c r="I4579" s="128">
        <v>2256</v>
      </c>
    </row>
    <row r="4580" spans="1:9" ht="13.5">
      <c r="A4580" s="128">
        <v>2005</v>
      </c>
      <c r="B4580" s="128" t="s">
        <v>139</v>
      </c>
      <c r="C4580" s="128" t="s">
        <v>21</v>
      </c>
      <c r="D4580" s="128" t="s">
        <v>76</v>
      </c>
      <c r="E4580" s="128" t="s">
        <v>136</v>
      </c>
      <c r="F4580" s="128">
        <v>4211377.08</v>
      </c>
      <c r="G4580" s="128">
        <v>3182711.16</v>
      </c>
      <c r="H4580" s="128">
        <v>1028659.91</v>
      </c>
      <c r="I4580" s="128">
        <v>77267</v>
      </c>
    </row>
    <row r="4581" spans="1:9" ht="13.5">
      <c r="A4581" s="128">
        <v>2005</v>
      </c>
      <c r="B4581" s="128" t="s">
        <v>139</v>
      </c>
      <c r="C4581" s="128" t="s">
        <v>24</v>
      </c>
      <c r="D4581" s="128" t="s">
        <v>77</v>
      </c>
      <c r="E4581" s="128" t="s">
        <v>132</v>
      </c>
      <c r="F4581" s="128">
        <v>514873.42</v>
      </c>
      <c r="G4581" s="128">
        <v>322728.95</v>
      </c>
      <c r="H4581" s="128">
        <v>157092.35</v>
      </c>
      <c r="I4581" s="128">
        <v>4046</v>
      </c>
    </row>
    <row r="4582" spans="1:9" ht="13.5">
      <c r="A4582" s="128">
        <v>2005</v>
      </c>
      <c r="B4582" s="128" t="s">
        <v>139</v>
      </c>
      <c r="C4582" s="128" t="s">
        <v>24</v>
      </c>
      <c r="D4582" s="128" t="s">
        <v>77</v>
      </c>
      <c r="E4582" s="128" t="s">
        <v>133</v>
      </c>
      <c r="F4582" s="128">
        <v>1942206</v>
      </c>
      <c r="G4582" s="128">
        <v>1038410.65</v>
      </c>
      <c r="H4582" s="128">
        <v>653185.80000000005</v>
      </c>
      <c r="I4582" s="128">
        <v>5305</v>
      </c>
    </row>
    <row r="4583" spans="1:9" ht="13.5">
      <c r="A4583" s="128">
        <v>2005</v>
      </c>
      <c r="B4583" s="128" t="s">
        <v>139</v>
      </c>
      <c r="C4583" s="128" t="s">
        <v>24</v>
      </c>
      <c r="D4583" s="128" t="s">
        <v>77</v>
      </c>
      <c r="E4583" s="128" t="s">
        <v>134</v>
      </c>
      <c r="F4583" s="128">
        <v>3806585</v>
      </c>
      <c r="G4583" s="128">
        <v>1662861</v>
      </c>
      <c r="H4583" s="128">
        <v>1109090</v>
      </c>
      <c r="I4583" s="128">
        <v>18111</v>
      </c>
    </row>
    <row r="4584" spans="1:9" ht="13.5">
      <c r="A4584" s="128">
        <v>2005</v>
      </c>
      <c r="B4584" s="128" t="s">
        <v>139</v>
      </c>
      <c r="C4584" s="128" t="s">
        <v>24</v>
      </c>
      <c r="D4584" s="128" t="s">
        <v>77</v>
      </c>
      <c r="E4584" s="128" t="s">
        <v>135</v>
      </c>
      <c r="F4584" s="128">
        <v>4666326</v>
      </c>
      <c r="G4584" s="128">
        <v>1236973</v>
      </c>
      <c r="H4584" s="128">
        <v>983189</v>
      </c>
      <c r="I4584" s="128">
        <v>15379</v>
      </c>
    </row>
    <row r="4585" spans="1:9" ht="13.5">
      <c r="A4585" s="128">
        <v>2005</v>
      </c>
      <c r="B4585" s="128" t="s">
        <v>139</v>
      </c>
      <c r="C4585" s="128" t="s">
        <v>24</v>
      </c>
      <c r="D4585" s="128" t="s">
        <v>79</v>
      </c>
      <c r="E4585" s="128" t="s">
        <v>132</v>
      </c>
      <c r="F4585" s="128">
        <v>729462</v>
      </c>
      <c r="G4585" s="128">
        <v>470180</v>
      </c>
      <c r="H4585" s="128">
        <v>160899</v>
      </c>
      <c r="I4585" s="128">
        <v>5051</v>
      </c>
    </row>
    <row r="4586" spans="1:9" ht="13.5">
      <c r="A4586" s="128">
        <v>2005</v>
      </c>
      <c r="B4586" s="128" t="s">
        <v>139</v>
      </c>
      <c r="C4586" s="128" t="s">
        <v>24</v>
      </c>
      <c r="D4586" s="128" t="s">
        <v>79</v>
      </c>
      <c r="E4586" s="128" t="s">
        <v>133</v>
      </c>
      <c r="F4586" s="128">
        <v>1326363</v>
      </c>
      <c r="G4586" s="128">
        <v>724621</v>
      </c>
      <c r="H4586" s="128">
        <v>247672</v>
      </c>
      <c r="I4586" s="128">
        <v>13871</v>
      </c>
    </row>
    <row r="4587" spans="1:9" ht="13.5">
      <c r="A4587" s="128">
        <v>2005</v>
      </c>
      <c r="B4587" s="128" t="s">
        <v>139</v>
      </c>
      <c r="C4587" s="128" t="s">
        <v>24</v>
      </c>
      <c r="D4587" s="128" t="s">
        <v>79</v>
      </c>
      <c r="E4587" s="128" t="s">
        <v>134</v>
      </c>
      <c r="F4587" s="128">
        <v>1135874</v>
      </c>
      <c r="G4587" s="128">
        <v>496095</v>
      </c>
      <c r="H4587" s="128">
        <v>174992</v>
      </c>
      <c r="I4587" s="128">
        <v>8333</v>
      </c>
    </row>
    <row r="4588" spans="1:9" ht="13.5">
      <c r="A4588" s="128">
        <v>2005</v>
      </c>
      <c r="B4588" s="128" t="s">
        <v>139</v>
      </c>
      <c r="C4588" s="128" t="s">
        <v>24</v>
      </c>
      <c r="D4588" s="128" t="s">
        <v>79</v>
      </c>
      <c r="E4588" s="128" t="s">
        <v>135</v>
      </c>
      <c r="F4588" s="128">
        <v>1485162</v>
      </c>
      <c r="G4588" s="128">
        <v>395767</v>
      </c>
      <c r="H4588" s="128">
        <v>163709</v>
      </c>
      <c r="I4588" s="128">
        <v>4696</v>
      </c>
    </row>
    <row r="4589" spans="1:9" ht="13.5">
      <c r="A4589" s="128">
        <v>2005</v>
      </c>
      <c r="B4589" s="128" t="s">
        <v>139</v>
      </c>
      <c r="C4589" s="128" t="s">
        <v>24</v>
      </c>
      <c r="D4589" s="128" t="s">
        <v>79</v>
      </c>
      <c r="E4589" s="128" t="s">
        <v>136</v>
      </c>
      <c r="F4589" s="128">
        <v>1220657</v>
      </c>
      <c r="G4589" s="128">
        <v>918978</v>
      </c>
      <c r="H4589" s="128">
        <v>301679</v>
      </c>
      <c r="I4589" s="128">
        <v>22986</v>
      </c>
    </row>
    <row r="4590" spans="1:9" ht="13.5">
      <c r="A4590" s="128">
        <v>2005</v>
      </c>
      <c r="B4590" s="128" t="s">
        <v>139</v>
      </c>
      <c r="C4590" s="128" t="s">
        <v>24</v>
      </c>
      <c r="D4590" s="128" t="s">
        <v>76</v>
      </c>
      <c r="E4590" s="128" t="s">
        <v>132</v>
      </c>
      <c r="F4590" s="128">
        <v>8434379.9399999995</v>
      </c>
      <c r="G4590" s="128">
        <v>5351291.29</v>
      </c>
      <c r="H4590" s="128">
        <v>3083087.53</v>
      </c>
      <c r="I4590" s="128">
        <v>108474</v>
      </c>
    </row>
    <row r="4591" spans="1:9" ht="13.5">
      <c r="A4591" s="128">
        <v>2005</v>
      </c>
      <c r="B4591" s="128" t="s">
        <v>139</v>
      </c>
      <c r="C4591" s="128" t="s">
        <v>24</v>
      </c>
      <c r="D4591" s="128" t="s">
        <v>76</v>
      </c>
      <c r="E4591" s="128" t="s">
        <v>133</v>
      </c>
      <c r="F4591" s="128">
        <v>14763896.02</v>
      </c>
      <c r="G4591" s="128">
        <v>8073686.1900000004</v>
      </c>
      <c r="H4591" s="128">
        <v>6690203.8499999996</v>
      </c>
      <c r="I4591" s="128">
        <v>52316</v>
      </c>
    </row>
    <row r="4592" spans="1:9" ht="13.5">
      <c r="A4592" s="128">
        <v>2005</v>
      </c>
      <c r="B4592" s="128" t="s">
        <v>139</v>
      </c>
      <c r="C4592" s="128" t="s">
        <v>24</v>
      </c>
      <c r="D4592" s="128" t="s">
        <v>76</v>
      </c>
      <c r="E4592" s="128" t="s">
        <v>134</v>
      </c>
      <c r="F4592" s="128">
        <v>8366053.3700000001</v>
      </c>
      <c r="G4592" s="128">
        <v>3722736.42</v>
      </c>
      <c r="H4592" s="128">
        <v>4643319.08</v>
      </c>
      <c r="I4592" s="128">
        <v>61159</v>
      </c>
    </row>
    <row r="4593" spans="1:9" ht="13.5">
      <c r="A4593" s="128">
        <v>2005</v>
      </c>
      <c r="B4593" s="128" t="s">
        <v>139</v>
      </c>
      <c r="C4593" s="128" t="s">
        <v>24</v>
      </c>
      <c r="D4593" s="128" t="s">
        <v>76</v>
      </c>
      <c r="E4593" s="128" t="s">
        <v>135</v>
      </c>
      <c r="F4593" s="128">
        <v>2031094</v>
      </c>
      <c r="G4593" s="128">
        <v>481478.15</v>
      </c>
      <c r="H4593" s="128">
        <v>1549614.66</v>
      </c>
      <c r="I4593" s="128">
        <v>2069</v>
      </c>
    </row>
    <row r="4594" spans="1:9" ht="13.5">
      <c r="A4594" s="128">
        <v>2005</v>
      </c>
      <c r="B4594" s="128" t="s">
        <v>139</v>
      </c>
      <c r="C4594" s="128" t="s">
        <v>24</v>
      </c>
      <c r="D4594" s="128" t="s">
        <v>76</v>
      </c>
      <c r="E4594" s="128" t="s">
        <v>136</v>
      </c>
      <c r="F4594" s="128">
        <v>1360786.98</v>
      </c>
      <c r="G4594" s="128">
        <v>1054117.76</v>
      </c>
      <c r="H4594" s="128">
        <v>306673.21999999997</v>
      </c>
      <c r="I4594" s="128">
        <v>18987</v>
      </c>
    </row>
    <row r="4595" spans="1:9" ht="13.5">
      <c r="A4595" s="128">
        <v>2005</v>
      </c>
      <c r="B4595" s="128" t="s">
        <v>137</v>
      </c>
      <c r="C4595" s="128" t="s">
        <v>26</v>
      </c>
      <c r="D4595" s="128" t="s">
        <v>77</v>
      </c>
      <c r="E4595" s="128" t="s">
        <v>132</v>
      </c>
      <c r="F4595" s="128">
        <v>0</v>
      </c>
      <c r="G4595" s="128">
        <v>0</v>
      </c>
      <c r="H4595" s="128">
        <v>0</v>
      </c>
      <c r="I4595" s="128">
        <v>0</v>
      </c>
    </row>
    <row r="4596" spans="1:9" ht="13.5">
      <c r="A4596" s="128">
        <v>2005</v>
      </c>
      <c r="B4596" s="128" t="s">
        <v>137</v>
      </c>
      <c r="C4596" s="128" t="s">
        <v>26</v>
      </c>
      <c r="D4596" s="128" t="s">
        <v>77</v>
      </c>
      <c r="E4596" s="128" t="s">
        <v>133</v>
      </c>
      <c r="F4596" s="128">
        <v>0</v>
      </c>
      <c r="G4596" s="128">
        <v>0</v>
      </c>
      <c r="H4596" s="128">
        <v>0</v>
      </c>
      <c r="I4596" s="128">
        <v>0</v>
      </c>
    </row>
    <row r="4597" spans="1:9" ht="13.5">
      <c r="A4597" s="128">
        <v>2005</v>
      </c>
      <c r="B4597" s="128" t="s">
        <v>137</v>
      </c>
      <c r="C4597" s="128" t="s">
        <v>26</v>
      </c>
      <c r="D4597" s="128" t="s">
        <v>77</v>
      </c>
      <c r="E4597" s="128" t="s">
        <v>134</v>
      </c>
      <c r="F4597" s="128">
        <v>0</v>
      </c>
      <c r="G4597" s="128">
        <v>0</v>
      </c>
      <c r="H4597" s="128">
        <v>0</v>
      </c>
      <c r="I4597" s="128">
        <v>0</v>
      </c>
    </row>
    <row r="4598" spans="1:9" ht="13.5">
      <c r="A4598" s="128">
        <v>2005</v>
      </c>
      <c r="B4598" s="128" t="s">
        <v>137</v>
      </c>
      <c r="C4598" s="128" t="s">
        <v>26</v>
      </c>
      <c r="D4598" s="128" t="s">
        <v>77</v>
      </c>
      <c r="E4598" s="128" t="s">
        <v>135</v>
      </c>
      <c r="F4598" s="128">
        <v>0</v>
      </c>
      <c r="G4598" s="128">
        <v>0</v>
      </c>
      <c r="H4598" s="128">
        <v>0</v>
      </c>
      <c r="I4598" s="128">
        <v>0</v>
      </c>
    </row>
    <row r="4599" spans="1:9" ht="13.5">
      <c r="A4599" s="128">
        <v>2005</v>
      </c>
      <c r="B4599" s="128" t="s">
        <v>137</v>
      </c>
      <c r="C4599" s="128" t="s">
        <v>26</v>
      </c>
      <c r="D4599" s="128" t="s">
        <v>79</v>
      </c>
      <c r="E4599" s="128" t="s">
        <v>132</v>
      </c>
      <c r="F4599" s="128">
        <v>0</v>
      </c>
      <c r="G4599" s="128">
        <v>0</v>
      </c>
      <c r="H4599" s="128">
        <v>0</v>
      </c>
      <c r="I4599" s="128">
        <v>0</v>
      </c>
    </row>
    <row r="4600" spans="1:9" ht="13.5">
      <c r="A4600" s="128">
        <v>2005</v>
      </c>
      <c r="B4600" s="128" t="s">
        <v>137</v>
      </c>
      <c r="C4600" s="128" t="s">
        <v>26</v>
      </c>
      <c r="D4600" s="128" t="s">
        <v>79</v>
      </c>
      <c r="E4600" s="128" t="s">
        <v>133</v>
      </c>
      <c r="F4600" s="128">
        <v>0</v>
      </c>
      <c r="G4600" s="128">
        <v>0</v>
      </c>
      <c r="H4600" s="128">
        <v>0</v>
      </c>
      <c r="I4600" s="128">
        <v>0</v>
      </c>
    </row>
    <row r="4601" spans="1:9" ht="13.5">
      <c r="A4601" s="128">
        <v>2005</v>
      </c>
      <c r="B4601" s="128" t="s">
        <v>137</v>
      </c>
      <c r="C4601" s="128" t="s">
        <v>26</v>
      </c>
      <c r="D4601" s="128" t="s">
        <v>79</v>
      </c>
      <c r="E4601" s="128" t="s">
        <v>134</v>
      </c>
      <c r="F4601" s="128">
        <v>0</v>
      </c>
      <c r="G4601" s="128">
        <v>0</v>
      </c>
      <c r="H4601" s="128">
        <v>0</v>
      </c>
      <c r="I4601" s="128">
        <v>0</v>
      </c>
    </row>
    <row r="4602" spans="1:9" ht="13.5">
      <c r="A4602" s="128">
        <v>2005</v>
      </c>
      <c r="B4602" s="128" t="s">
        <v>137</v>
      </c>
      <c r="C4602" s="128" t="s">
        <v>26</v>
      </c>
      <c r="D4602" s="128" t="s">
        <v>79</v>
      </c>
      <c r="E4602" s="128" t="s">
        <v>135</v>
      </c>
      <c r="F4602" s="128">
        <v>0</v>
      </c>
      <c r="G4602" s="128">
        <v>0</v>
      </c>
      <c r="H4602" s="128">
        <v>0</v>
      </c>
      <c r="I4602" s="128">
        <v>0</v>
      </c>
    </row>
    <row r="4603" spans="1:9" ht="13.5">
      <c r="A4603" s="128">
        <v>2005</v>
      </c>
      <c r="B4603" s="128" t="s">
        <v>137</v>
      </c>
      <c r="C4603" s="128" t="s">
        <v>26</v>
      </c>
      <c r="D4603" s="128" t="s">
        <v>79</v>
      </c>
      <c r="E4603" s="128" t="s">
        <v>136</v>
      </c>
      <c r="F4603" s="128">
        <v>0</v>
      </c>
      <c r="G4603" s="128">
        <v>0</v>
      </c>
      <c r="H4603" s="128">
        <v>0</v>
      </c>
      <c r="I4603" s="128">
        <v>0</v>
      </c>
    </row>
    <row r="4604" spans="1:9" ht="13.5">
      <c r="A4604" s="128">
        <v>2005</v>
      </c>
      <c r="B4604" s="128" t="s">
        <v>137</v>
      </c>
      <c r="C4604" s="128" t="s">
        <v>26</v>
      </c>
      <c r="D4604" s="128" t="s">
        <v>76</v>
      </c>
      <c r="E4604" s="128" t="s">
        <v>132</v>
      </c>
      <c r="F4604" s="128">
        <v>0</v>
      </c>
      <c r="G4604" s="128">
        <v>0</v>
      </c>
      <c r="H4604" s="128">
        <v>0</v>
      </c>
      <c r="I4604" s="128">
        <v>0</v>
      </c>
    </row>
    <row r="4605" spans="1:9" ht="13.5">
      <c r="A4605" s="128">
        <v>2005</v>
      </c>
      <c r="B4605" s="128" t="s">
        <v>137</v>
      </c>
      <c r="C4605" s="128" t="s">
        <v>26</v>
      </c>
      <c r="D4605" s="128" t="s">
        <v>76</v>
      </c>
      <c r="E4605" s="128" t="s">
        <v>133</v>
      </c>
      <c r="F4605" s="128">
        <v>0</v>
      </c>
      <c r="G4605" s="128">
        <v>0</v>
      </c>
      <c r="H4605" s="128">
        <v>0</v>
      </c>
      <c r="I4605" s="128">
        <v>0</v>
      </c>
    </row>
    <row r="4606" spans="1:9" ht="13.5">
      <c r="A4606" s="128">
        <v>2005</v>
      </c>
      <c r="B4606" s="128" t="s">
        <v>137</v>
      </c>
      <c r="C4606" s="128" t="s">
        <v>26</v>
      </c>
      <c r="D4606" s="128" t="s">
        <v>76</v>
      </c>
      <c r="E4606" s="128" t="s">
        <v>134</v>
      </c>
      <c r="F4606" s="128">
        <v>0</v>
      </c>
      <c r="G4606" s="128">
        <v>0</v>
      </c>
      <c r="H4606" s="128">
        <v>0</v>
      </c>
      <c r="I4606" s="128">
        <v>0</v>
      </c>
    </row>
    <row r="4607" spans="1:9" ht="13.5">
      <c r="A4607" s="128">
        <v>2005</v>
      </c>
      <c r="B4607" s="128" t="s">
        <v>137</v>
      </c>
      <c r="C4607" s="128" t="s">
        <v>26</v>
      </c>
      <c r="D4607" s="128" t="s">
        <v>76</v>
      </c>
      <c r="E4607" s="128" t="s">
        <v>135</v>
      </c>
      <c r="F4607" s="128">
        <v>0</v>
      </c>
      <c r="G4607" s="128">
        <v>0</v>
      </c>
      <c r="H4607" s="128">
        <v>0</v>
      </c>
      <c r="I4607" s="128">
        <v>0</v>
      </c>
    </row>
    <row r="4608" spans="1:9" ht="13.5">
      <c r="A4608" s="128">
        <v>2005</v>
      </c>
      <c r="B4608" s="128" t="s">
        <v>137</v>
      </c>
      <c r="C4608" s="128" t="s">
        <v>26</v>
      </c>
      <c r="D4608" s="128" t="s">
        <v>76</v>
      </c>
      <c r="E4608" s="128" t="s">
        <v>136</v>
      </c>
      <c r="F4608" s="128">
        <v>0</v>
      </c>
      <c r="G4608" s="128">
        <v>0</v>
      </c>
      <c r="H4608" s="128">
        <v>0</v>
      </c>
      <c r="I4608" s="128">
        <v>0</v>
      </c>
    </row>
    <row r="4609" spans="1:9" ht="13.5">
      <c r="A4609" s="128">
        <v>2005</v>
      </c>
      <c r="B4609" s="128" t="s">
        <v>137</v>
      </c>
      <c r="C4609" s="128" t="s">
        <v>20</v>
      </c>
      <c r="D4609" s="128" t="s">
        <v>77</v>
      </c>
      <c r="E4609" s="128" t="s">
        <v>132</v>
      </c>
      <c r="F4609" s="128">
        <v>943357.1</v>
      </c>
      <c r="G4609" s="128">
        <v>620270.35</v>
      </c>
      <c r="H4609" s="128">
        <v>286130.8</v>
      </c>
      <c r="I4609" s="128">
        <v>7749</v>
      </c>
    </row>
    <row r="4610" spans="1:9" ht="13.5">
      <c r="A4610" s="128">
        <v>2005</v>
      </c>
      <c r="B4610" s="128" t="s">
        <v>137</v>
      </c>
      <c r="C4610" s="128" t="s">
        <v>20</v>
      </c>
      <c r="D4610" s="128" t="s">
        <v>77</v>
      </c>
      <c r="E4610" s="128" t="s">
        <v>133</v>
      </c>
      <c r="F4610" s="128">
        <v>2138852.0099999998</v>
      </c>
      <c r="G4610" s="128">
        <v>1172185.68</v>
      </c>
      <c r="H4610" s="128">
        <v>832337.75</v>
      </c>
      <c r="I4610" s="128">
        <v>15628</v>
      </c>
    </row>
    <row r="4611" spans="1:9" ht="13.5">
      <c r="A4611" s="128">
        <v>2005</v>
      </c>
      <c r="B4611" s="128" t="s">
        <v>137</v>
      </c>
      <c r="C4611" s="128" t="s">
        <v>20</v>
      </c>
      <c r="D4611" s="128" t="s">
        <v>77</v>
      </c>
      <c r="E4611" s="128" t="s">
        <v>134</v>
      </c>
      <c r="F4611" s="128">
        <v>4032711.66</v>
      </c>
      <c r="G4611" s="128">
        <v>1768100.85</v>
      </c>
      <c r="H4611" s="128">
        <v>1573912.55</v>
      </c>
      <c r="I4611" s="128">
        <v>16630</v>
      </c>
    </row>
    <row r="4612" spans="1:9" ht="13.5">
      <c r="A4612" s="128">
        <v>2005</v>
      </c>
      <c r="B4612" s="128" t="s">
        <v>137</v>
      </c>
      <c r="C4612" s="128" t="s">
        <v>20</v>
      </c>
      <c r="D4612" s="128" t="s">
        <v>77</v>
      </c>
      <c r="E4612" s="128" t="s">
        <v>135</v>
      </c>
      <c r="F4612" s="128">
        <v>5956588.8799999999</v>
      </c>
      <c r="G4612" s="128">
        <v>1626758.98</v>
      </c>
      <c r="H4612" s="128">
        <v>1455467.59</v>
      </c>
      <c r="I4612" s="128">
        <v>16555</v>
      </c>
    </row>
    <row r="4613" spans="1:9" ht="13.5">
      <c r="A4613" s="128">
        <v>2005</v>
      </c>
      <c r="B4613" s="128" t="s">
        <v>137</v>
      </c>
      <c r="C4613" s="128" t="s">
        <v>20</v>
      </c>
      <c r="D4613" s="128" t="s">
        <v>79</v>
      </c>
      <c r="E4613" s="128" t="s">
        <v>132</v>
      </c>
      <c r="F4613" s="128">
        <v>3414940.89</v>
      </c>
      <c r="G4613" s="128">
        <v>2257023.25</v>
      </c>
      <c r="H4613" s="128">
        <v>752600.45</v>
      </c>
      <c r="I4613" s="128">
        <v>20570</v>
      </c>
    </row>
    <row r="4614" spans="1:9" ht="13.5">
      <c r="A4614" s="128">
        <v>2005</v>
      </c>
      <c r="B4614" s="128" t="s">
        <v>137</v>
      </c>
      <c r="C4614" s="128" t="s">
        <v>20</v>
      </c>
      <c r="D4614" s="128" t="s">
        <v>79</v>
      </c>
      <c r="E4614" s="128" t="s">
        <v>133</v>
      </c>
      <c r="F4614" s="128">
        <v>5632627.3300000001</v>
      </c>
      <c r="G4614" s="128">
        <v>3097877.65</v>
      </c>
      <c r="H4614" s="128">
        <v>1026400.2</v>
      </c>
      <c r="I4614" s="128">
        <v>38944</v>
      </c>
    </row>
    <row r="4615" spans="1:9" ht="13.5">
      <c r="A4615" s="128">
        <v>2005</v>
      </c>
      <c r="B4615" s="128" t="s">
        <v>137</v>
      </c>
      <c r="C4615" s="128" t="s">
        <v>20</v>
      </c>
      <c r="D4615" s="128" t="s">
        <v>79</v>
      </c>
      <c r="E4615" s="128" t="s">
        <v>134</v>
      </c>
      <c r="F4615" s="128">
        <v>17703339.41</v>
      </c>
      <c r="G4615" s="128">
        <v>7535829.5</v>
      </c>
      <c r="H4615" s="128">
        <v>2512272.35</v>
      </c>
      <c r="I4615" s="128">
        <v>72495</v>
      </c>
    </row>
    <row r="4616" spans="1:9" ht="13.5">
      <c r="A4616" s="128">
        <v>2005</v>
      </c>
      <c r="B4616" s="128" t="s">
        <v>137</v>
      </c>
      <c r="C4616" s="128" t="s">
        <v>20</v>
      </c>
      <c r="D4616" s="128" t="s">
        <v>79</v>
      </c>
      <c r="E4616" s="128" t="s">
        <v>135</v>
      </c>
      <c r="F4616" s="128">
        <v>59799034.289999999</v>
      </c>
      <c r="G4616" s="128">
        <v>16826598.399999999</v>
      </c>
      <c r="H4616" s="128">
        <v>5711528.5499999998</v>
      </c>
      <c r="I4616" s="128">
        <v>141913</v>
      </c>
    </row>
    <row r="4617" spans="1:9" ht="13.5">
      <c r="A4617" s="128">
        <v>2005</v>
      </c>
      <c r="B4617" s="128" t="s">
        <v>137</v>
      </c>
      <c r="C4617" s="128" t="s">
        <v>20</v>
      </c>
      <c r="D4617" s="128" t="s">
        <v>79</v>
      </c>
      <c r="E4617" s="128" t="s">
        <v>136</v>
      </c>
      <c r="F4617" s="128">
        <v>22315934</v>
      </c>
      <c r="G4617" s="128">
        <v>16852207</v>
      </c>
      <c r="H4617" s="128">
        <v>5463698</v>
      </c>
      <c r="I4617" s="128">
        <v>363879</v>
      </c>
    </row>
    <row r="4618" spans="1:9" ht="13.5">
      <c r="A4618" s="128">
        <v>2005</v>
      </c>
      <c r="B4618" s="128" t="s">
        <v>137</v>
      </c>
      <c r="C4618" s="128" t="s">
        <v>20</v>
      </c>
      <c r="D4618" s="128" t="s">
        <v>76</v>
      </c>
      <c r="E4618" s="128" t="s">
        <v>132</v>
      </c>
      <c r="F4618" s="128">
        <v>25427541.27</v>
      </c>
      <c r="G4618" s="128">
        <v>16324851.98</v>
      </c>
      <c r="H4618" s="128">
        <v>9102686.1099999994</v>
      </c>
      <c r="I4618" s="128">
        <v>317776</v>
      </c>
    </row>
    <row r="4619" spans="1:9" ht="13.5">
      <c r="A4619" s="128">
        <v>2005</v>
      </c>
      <c r="B4619" s="128" t="s">
        <v>137</v>
      </c>
      <c r="C4619" s="128" t="s">
        <v>20</v>
      </c>
      <c r="D4619" s="128" t="s">
        <v>76</v>
      </c>
      <c r="E4619" s="128" t="s">
        <v>133</v>
      </c>
      <c r="F4619" s="128">
        <v>46630923.439999998</v>
      </c>
      <c r="G4619" s="128">
        <v>25608823.949999999</v>
      </c>
      <c r="H4619" s="128">
        <v>21022094.850000001</v>
      </c>
      <c r="I4619" s="128">
        <v>222832</v>
      </c>
    </row>
    <row r="4620" spans="1:9" ht="13.5">
      <c r="A4620" s="128">
        <v>2005</v>
      </c>
      <c r="B4620" s="128" t="s">
        <v>137</v>
      </c>
      <c r="C4620" s="128" t="s">
        <v>20</v>
      </c>
      <c r="D4620" s="128" t="s">
        <v>76</v>
      </c>
      <c r="E4620" s="128" t="s">
        <v>134</v>
      </c>
      <c r="F4620" s="128">
        <v>31079882.260000002</v>
      </c>
      <c r="G4620" s="128">
        <v>14578765.449999999</v>
      </c>
      <c r="H4620" s="128">
        <v>16501103.060000001</v>
      </c>
      <c r="I4620" s="128">
        <v>212294</v>
      </c>
    </row>
    <row r="4621" spans="1:9" ht="13.5">
      <c r="A4621" s="128">
        <v>2005</v>
      </c>
      <c r="B4621" s="128" t="s">
        <v>137</v>
      </c>
      <c r="C4621" s="128" t="s">
        <v>20</v>
      </c>
      <c r="D4621" s="128" t="s">
        <v>76</v>
      </c>
      <c r="E4621" s="128" t="s">
        <v>135</v>
      </c>
      <c r="F4621" s="128">
        <v>3846484</v>
      </c>
      <c r="G4621" s="128">
        <v>1133009.1499999999</v>
      </c>
      <c r="H4621" s="128">
        <v>2713474.91</v>
      </c>
      <c r="I4621" s="128">
        <v>4853</v>
      </c>
    </row>
    <row r="4622" spans="1:9" ht="13.5">
      <c r="A4622" s="128">
        <v>2005</v>
      </c>
      <c r="B4622" s="128" t="s">
        <v>137</v>
      </c>
      <c r="C4622" s="128" t="s">
        <v>20</v>
      </c>
      <c r="D4622" s="128" t="s">
        <v>76</v>
      </c>
      <c r="E4622" s="128" t="s">
        <v>136</v>
      </c>
      <c r="F4622" s="128">
        <v>6248282.1600000001</v>
      </c>
      <c r="G4622" s="128">
        <v>4707279.71</v>
      </c>
      <c r="H4622" s="128">
        <v>1541119.47</v>
      </c>
      <c r="I4622" s="128">
        <v>139247</v>
      </c>
    </row>
    <row r="4623" spans="1:9" ht="13.5">
      <c r="A4623" s="128">
        <v>2005</v>
      </c>
      <c r="B4623" s="128" t="s">
        <v>137</v>
      </c>
      <c r="C4623" s="128" t="s">
        <v>27</v>
      </c>
      <c r="D4623" s="128" t="s">
        <v>77</v>
      </c>
      <c r="E4623" s="128" t="s">
        <v>132</v>
      </c>
      <c r="F4623" s="128">
        <v>10451.5</v>
      </c>
      <c r="G4623" s="128">
        <v>6509.65</v>
      </c>
      <c r="H4623" s="128">
        <v>3082.6</v>
      </c>
      <c r="I4623" s="128">
        <v>44</v>
      </c>
    </row>
    <row r="4624" spans="1:9" ht="13.5">
      <c r="A4624" s="128">
        <v>2005</v>
      </c>
      <c r="B4624" s="128" t="s">
        <v>137</v>
      </c>
      <c r="C4624" s="128" t="s">
        <v>27</v>
      </c>
      <c r="D4624" s="128" t="s">
        <v>77</v>
      </c>
      <c r="E4624" s="128" t="s">
        <v>133</v>
      </c>
      <c r="F4624" s="128">
        <v>14067.6</v>
      </c>
      <c r="G4624" s="128">
        <v>7430</v>
      </c>
      <c r="H4624" s="128">
        <v>5208.5</v>
      </c>
      <c r="I4624" s="128">
        <v>68</v>
      </c>
    </row>
    <row r="4625" spans="1:9" ht="13.5">
      <c r="A4625" s="128">
        <v>2005</v>
      </c>
      <c r="B4625" s="128" t="s">
        <v>137</v>
      </c>
      <c r="C4625" s="128" t="s">
        <v>27</v>
      </c>
      <c r="D4625" s="128" t="s">
        <v>77</v>
      </c>
      <c r="E4625" s="128" t="s">
        <v>134</v>
      </c>
      <c r="F4625" s="128">
        <v>60705</v>
      </c>
      <c r="G4625" s="128">
        <v>26292</v>
      </c>
      <c r="H4625" s="128">
        <v>23114</v>
      </c>
      <c r="I4625" s="128">
        <v>141</v>
      </c>
    </row>
    <row r="4626" spans="1:9" ht="13.5">
      <c r="A4626" s="128">
        <v>2005</v>
      </c>
      <c r="B4626" s="128" t="s">
        <v>137</v>
      </c>
      <c r="C4626" s="128" t="s">
        <v>27</v>
      </c>
      <c r="D4626" s="128" t="s">
        <v>77</v>
      </c>
      <c r="E4626" s="128" t="s">
        <v>135</v>
      </c>
      <c r="F4626" s="128">
        <v>165089</v>
      </c>
      <c r="G4626" s="128">
        <v>48442</v>
      </c>
      <c r="H4626" s="128">
        <v>48615</v>
      </c>
      <c r="I4626" s="128">
        <v>447</v>
      </c>
    </row>
    <row r="4627" spans="1:9" ht="13.5">
      <c r="A4627" s="128">
        <v>2005</v>
      </c>
      <c r="B4627" s="128" t="s">
        <v>137</v>
      </c>
      <c r="C4627" s="128" t="s">
        <v>27</v>
      </c>
      <c r="D4627" s="128" t="s">
        <v>79</v>
      </c>
      <c r="E4627" s="128" t="s">
        <v>132</v>
      </c>
      <c r="F4627" s="128">
        <v>58261</v>
      </c>
      <c r="G4627" s="128">
        <v>38229</v>
      </c>
      <c r="H4627" s="128">
        <v>12835</v>
      </c>
      <c r="I4627" s="128">
        <v>312</v>
      </c>
    </row>
    <row r="4628" spans="1:9" ht="13.5">
      <c r="A4628" s="128">
        <v>2005</v>
      </c>
      <c r="B4628" s="128" t="s">
        <v>137</v>
      </c>
      <c r="C4628" s="128" t="s">
        <v>27</v>
      </c>
      <c r="D4628" s="128" t="s">
        <v>79</v>
      </c>
      <c r="E4628" s="128" t="s">
        <v>133</v>
      </c>
      <c r="F4628" s="128">
        <v>53031</v>
      </c>
      <c r="G4628" s="128">
        <v>28627</v>
      </c>
      <c r="H4628" s="128">
        <v>9621</v>
      </c>
      <c r="I4628" s="128">
        <v>383</v>
      </c>
    </row>
    <row r="4629" spans="1:9" ht="13.5">
      <c r="A4629" s="128">
        <v>2005</v>
      </c>
      <c r="B4629" s="128" t="s">
        <v>137</v>
      </c>
      <c r="C4629" s="128" t="s">
        <v>27</v>
      </c>
      <c r="D4629" s="128" t="s">
        <v>79</v>
      </c>
      <c r="E4629" s="128" t="s">
        <v>134</v>
      </c>
      <c r="F4629" s="128">
        <v>210440</v>
      </c>
      <c r="G4629" s="128">
        <v>87525</v>
      </c>
      <c r="H4629" s="128">
        <v>30179</v>
      </c>
      <c r="I4629" s="128">
        <v>1469</v>
      </c>
    </row>
    <row r="4630" spans="1:9" ht="13.5">
      <c r="A4630" s="128">
        <v>2005</v>
      </c>
      <c r="B4630" s="128" t="s">
        <v>137</v>
      </c>
      <c r="C4630" s="128" t="s">
        <v>27</v>
      </c>
      <c r="D4630" s="128" t="s">
        <v>79</v>
      </c>
      <c r="E4630" s="128" t="s">
        <v>135</v>
      </c>
      <c r="F4630" s="128">
        <v>450442</v>
      </c>
      <c r="G4630" s="128">
        <v>136001</v>
      </c>
      <c r="H4630" s="128">
        <v>46921</v>
      </c>
      <c r="I4630" s="128">
        <v>1069</v>
      </c>
    </row>
    <row r="4631" spans="1:9" ht="13.5">
      <c r="A4631" s="128">
        <v>2005</v>
      </c>
      <c r="B4631" s="128" t="s">
        <v>137</v>
      </c>
      <c r="C4631" s="128" t="s">
        <v>27</v>
      </c>
      <c r="D4631" s="128" t="s">
        <v>79</v>
      </c>
      <c r="E4631" s="128" t="s">
        <v>136</v>
      </c>
      <c r="F4631" s="128">
        <v>194268</v>
      </c>
      <c r="G4631" s="128">
        <v>147056</v>
      </c>
      <c r="H4631" s="128">
        <v>47211</v>
      </c>
      <c r="I4631" s="128">
        <v>2123</v>
      </c>
    </row>
    <row r="4632" spans="1:9" ht="13.5">
      <c r="A4632" s="128">
        <v>2005</v>
      </c>
      <c r="B4632" s="128" t="s">
        <v>137</v>
      </c>
      <c r="C4632" s="128" t="s">
        <v>27</v>
      </c>
      <c r="D4632" s="128" t="s">
        <v>76</v>
      </c>
      <c r="E4632" s="128" t="s">
        <v>132</v>
      </c>
      <c r="F4632" s="128">
        <v>228383.79</v>
      </c>
      <c r="G4632" s="128">
        <v>148377.42000000001</v>
      </c>
      <c r="H4632" s="128">
        <v>80006.37</v>
      </c>
      <c r="I4632" s="128">
        <v>2732</v>
      </c>
    </row>
    <row r="4633" spans="1:9" ht="13.5">
      <c r="A4633" s="128">
        <v>2005</v>
      </c>
      <c r="B4633" s="128" t="s">
        <v>137</v>
      </c>
      <c r="C4633" s="128" t="s">
        <v>27</v>
      </c>
      <c r="D4633" s="128" t="s">
        <v>76</v>
      </c>
      <c r="E4633" s="128" t="s">
        <v>133</v>
      </c>
      <c r="F4633" s="128">
        <v>643698.44999999995</v>
      </c>
      <c r="G4633" s="128">
        <v>354059.15</v>
      </c>
      <c r="H4633" s="128">
        <v>289639.3</v>
      </c>
      <c r="I4633" s="128">
        <v>2885</v>
      </c>
    </row>
    <row r="4634" spans="1:9" ht="13.5">
      <c r="A4634" s="128">
        <v>2005</v>
      </c>
      <c r="B4634" s="128" t="s">
        <v>137</v>
      </c>
      <c r="C4634" s="128" t="s">
        <v>27</v>
      </c>
      <c r="D4634" s="128" t="s">
        <v>76</v>
      </c>
      <c r="E4634" s="128" t="s">
        <v>134</v>
      </c>
      <c r="F4634" s="128">
        <v>460309.42</v>
      </c>
      <c r="G4634" s="128">
        <v>214246.22</v>
      </c>
      <c r="H4634" s="128">
        <v>246064.2</v>
      </c>
      <c r="I4634" s="128">
        <v>3029</v>
      </c>
    </row>
    <row r="4635" spans="1:9" ht="13.5">
      <c r="A4635" s="128">
        <v>2005</v>
      </c>
      <c r="B4635" s="128" t="s">
        <v>137</v>
      </c>
      <c r="C4635" s="128" t="s">
        <v>27</v>
      </c>
      <c r="D4635" s="128" t="s">
        <v>76</v>
      </c>
      <c r="E4635" s="128" t="s">
        <v>135</v>
      </c>
      <c r="F4635" s="128">
        <v>48146</v>
      </c>
      <c r="G4635" s="128">
        <v>14097</v>
      </c>
      <c r="H4635" s="128">
        <v>34049</v>
      </c>
      <c r="I4635" s="128">
        <v>49</v>
      </c>
    </row>
    <row r="4636" spans="1:9" ht="13.5">
      <c r="A4636" s="128">
        <v>2005</v>
      </c>
      <c r="B4636" s="128" t="s">
        <v>137</v>
      </c>
      <c r="C4636" s="128" t="s">
        <v>27</v>
      </c>
      <c r="D4636" s="128" t="s">
        <v>76</v>
      </c>
      <c r="E4636" s="128" t="s">
        <v>136</v>
      </c>
      <c r="F4636" s="128">
        <v>51297.599999999999</v>
      </c>
      <c r="G4636" s="128">
        <v>38631.199999999997</v>
      </c>
      <c r="H4636" s="128">
        <v>12665.4</v>
      </c>
      <c r="I4636" s="128">
        <v>547</v>
      </c>
    </row>
    <row r="4637" spans="1:9" ht="13.5">
      <c r="A4637" s="128">
        <v>2005</v>
      </c>
      <c r="B4637" s="128" t="s">
        <v>137</v>
      </c>
      <c r="C4637" s="128" t="s">
        <v>22</v>
      </c>
      <c r="D4637" s="128" t="s">
        <v>77</v>
      </c>
      <c r="E4637" s="128" t="s">
        <v>132</v>
      </c>
      <c r="F4637" s="128">
        <v>456285.35</v>
      </c>
      <c r="G4637" s="128">
        <v>300991.96000000002</v>
      </c>
      <c r="H4637" s="128">
        <v>137667.84</v>
      </c>
      <c r="I4637" s="128">
        <v>3667</v>
      </c>
    </row>
    <row r="4638" spans="1:9" ht="13.5">
      <c r="A4638" s="128">
        <v>2005</v>
      </c>
      <c r="B4638" s="128" t="s">
        <v>137</v>
      </c>
      <c r="C4638" s="128" t="s">
        <v>22</v>
      </c>
      <c r="D4638" s="128" t="s">
        <v>77</v>
      </c>
      <c r="E4638" s="128" t="s">
        <v>133</v>
      </c>
      <c r="F4638" s="128">
        <v>1503175.27</v>
      </c>
      <c r="G4638" s="128">
        <v>811704.6</v>
      </c>
      <c r="H4638" s="128">
        <v>576885.5</v>
      </c>
      <c r="I4638" s="128">
        <v>9081</v>
      </c>
    </row>
    <row r="4639" spans="1:9" ht="13.5">
      <c r="A4639" s="128">
        <v>2005</v>
      </c>
      <c r="B4639" s="128" t="s">
        <v>137</v>
      </c>
      <c r="C4639" s="128" t="s">
        <v>22</v>
      </c>
      <c r="D4639" s="128" t="s">
        <v>77</v>
      </c>
      <c r="E4639" s="128" t="s">
        <v>134</v>
      </c>
      <c r="F4639" s="128">
        <v>4733064.6900000004</v>
      </c>
      <c r="G4639" s="128">
        <v>2022188.05</v>
      </c>
      <c r="H4639" s="128">
        <v>1860697.28</v>
      </c>
      <c r="I4639" s="128">
        <v>14386</v>
      </c>
    </row>
    <row r="4640" spans="1:9" ht="13.5">
      <c r="A4640" s="128">
        <v>2005</v>
      </c>
      <c r="B4640" s="128" t="s">
        <v>137</v>
      </c>
      <c r="C4640" s="128" t="s">
        <v>22</v>
      </c>
      <c r="D4640" s="128" t="s">
        <v>77</v>
      </c>
      <c r="E4640" s="128" t="s">
        <v>135</v>
      </c>
      <c r="F4640" s="128">
        <v>5795307.8300000001</v>
      </c>
      <c r="G4640" s="128">
        <v>1646334.47</v>
      </c>
      <c r="H4640" s="128">
        <v>1801527.47</v>
      </c>
      <c r="I4640" s="128">
        <v>18244</v>
      </c>
    </row>
    <row r="4641" spans="1:9" ht="13.5">
      <c r="A4641" s="128">
        <v>2005</v>
      </c>
      <c r="B4641" s="128" t="s">
        <v>137</v>
      </c>
      <c r="C4641" s="128" t="s">
        <v>22</v>
      </c>
      <c r="D4641" s="128" t="s">
        <v>79</v>
      </c>
      <c r="E4641" s="128" t="s">
        <v>132</v>
      </c>
      <c r="F4641" s="128">
        <v>3066413.69</v>
      </c>
      <c r="G4641" s="128">
        <v>2040882.7</v>
      </c>
      <c r="H4641" s="128">
        <v>677564.2</v>
      </c>
      <c r="I4641" s="128">
        <v>18667</v>
      </c>
    </row>
    <row r="4642" spans="1:9" ht="13.5">
      <c r="A4642" s="128">
        <v>2005</v>
      </c>
      <c r="B4642" s="128" t="s">
        <v>137</v>
      </c>
      <c r="C4642" s="128" t="s">
        <v>22</v>
      </c>
      <c r="D4642" s="128" t="s">
        <v>79</v>
      </c>
      <c r="E4642" s="128" t="s">
        <v>133</v>
      </c>
      <c r="F4642" s="128">
        <v>5651574.5599999996</v>
      </c>
      <c r="G4642" s="128">
        <v>3099930.85</v>
      </c>
      <c r="H4642" s="128">
        <v>1038283.45</v>
      </c>
      <c r="I4642" s="128">
        <v>41025</v>
      </c>
    </row>
    <row r="4643" spans="1:9" ht="13.5">
      <c r="A4643" s="128">
        <v>2005</v>
      </c>
      <c r="B4643" s="128" t="s">
        <v>137</v>
      </c>
      <c r="C4643" s="128" t="s">
        <v>22</v>
      </c>
      <c r="D4643" s="128" t="s">
        <v>79</v>
      </c>
      <c r="E4643" s="128" t="s">
        <v>134</v>
      </c>
      <c r="F4643" s="128">
        <v>10672752.470000001</v>
      </c>
      <c r="G4643" s="128">
        <v>4539563.45</v>
      </c>
      <c r="H4643" s="128">
        <v>1510952.2</v>
      </c>
      <c r="I4643" s="128">
        <v>43467</v>
      </c>
    </row>
    <row r="4644" spans="1:9" ht="13.5">
      <c r="A4644" s="128">
        <v>2005</v>
      </c>
      <c r="B4644" s="128" t="s">
        <v>137</v>
      </c>
      <c r="C4644" s="128" t="s">
        <v>22</v>
      </c>
      <c r="D4644" s="128" t="s">
        <v>79</v>
      </c>
      <c r="E4644" s="128" t="s">
        <v>135</v>
      </c>
      <c r="F4644" s="128">
        <v>17593397.489999998</v>
      </c>
      <c r="G4644" s="128">
        <v>5187679.9000000004</v>
      </c>
      <c r="H4644" s="128">
        <v>1736732.1</v>
      </c>
      <c r="I4644" s="128">
        <v>51544</v>
      </c>
    </row>
    <row r="4645" spans="1:9" ht="13.5">
      <c r="A4645" s="128">
        <v>2005</v>
      </c>
      <c r="B4645" s="128" t="s">
        <v>137</v>
      </c>
      <c r="C4645" s="128" t="s">
        <v>22</v>
      </c>
      <c r="D4645" s="128" t="s">
        <v>79</v>
      </c>
      <c r="E4645" s="128" t="s">
        <v>136</v>
      </c>
      <c r="F4645" s="128">
        <v>7732071.5899999999</v>
      </c>
      <c r="G4645" s="128">
        <v>5895837.3700000001</v>
      </c>
      <c r="H4645" s="128">
        <v>1836075.22</v>
      </c>
      <c r="I4645" s="128">
        <v>104682</v>
      </c>
    </row>
    <row r="4646" spans="1:9" ht="13.5">
      <c r="A4646" s="128">
        <v>2005</v>
      </c>
      <c r="B4646" s="128" t="s">
        <v>137</v>
      </c>
      <c r="C4646" s="128" t="s">
        <v>22</v>
      </c>
      <c r="D4646" s="128" t="s">
        <v>76</v>
      </c>
      <c r="E4646" s="128" t="s">
        <v>132</v>
      </c>
      <c r="F4646" s="128">
        <v>23019749.109999999</v>
      </c>
      <c r="G4646" s="128">
        <v>14962328.35</v>
      </c>
      <c r="H4646" s="128">
        <v>8057424.8099999996</v>
      </c>
      <c r="I4646" s="128">
        <v>376869</v>
      </c>
    </row>
    <row r="4647" spans="1:9" ht="13.5">
      <c r="A4647" s="128">
        <v>2005</v>
      </c>
      <c r="B4647" s="128" t="s">
        <v>137</v>
      </c>
      <c r="C4647" s="128" t="s">
        <v>22</v>
      </c>
      <c r="D4647" s="128" t="s">
        <v>76</v>
      </c>
      <c r="E4647" s="128" t="s">
        <v>133</v>
      </c>
      <c r="F4647" s="128">
        <v>37256435.859999999</v>
      </c>
      <c r="G4647" s="128">
        <v>20657177.34</v>
      </c>
      <c r="H4647" s="128">
        <v>16599256.550000001</v>
      </c>
      <c r="I4647" s="128">
        <v>227476</v>
      </c>
    </row>
    <row r="4648" spans="1:9" ht="13.5">
      <c r="A4648" s="128">
        <v>2005</v>
      </c>
      <c r="B4648" s="128" t="s">
        <v>137</v>
      </c>
      <c r="C4648" s="128" t="s">
        <v>22</v>
      </c>
      <c r="D4648" s="128" t="s">
        <v>76</v>
      </c>
      <c r="E4648" s="128" t="s">
        <v>134</v>
      </c>
      <c r="F4648" s="128">
        <v>21905558.390000001</v>
      </c>
      <c r="G4648" s="128">
        <v>10360558.970000001</v>
      </c>
      <c r="H4648" s="128">
        <v>11544995.460000001</v>
      </c>
      <c r="I4648" s="128">
        <v>166289</v>
      </c>
    </row>
    <row r="4649" spans="1:9" ht="13.5">
      <c r="A4649" s="128">
        <v>2005</v>
      </c>
      <c r="B4649" s="128" t="s">
        <v>137</v>
      </c>
      <c r="C4649" s="128" t="s">
        <v>22</v>
      </c>
      <c r="D4649" s="128" t="s">
        <v>76</v>
      </c>
      <c r="E4649" s="128" t="s">
        <v>135</v>
      </c>
      <c r="F4649" s="128">
        <v>3388237.15</v>
      </c>
      <c r="G4649" s="128">
        <v>972555.48</v>
      </c>
      <c r="H4649" s="128">
        <v>2415676.0499999998</v>
      </c>
      <c r="I4649" s="128">
        <v>3547</v>
      </c>
    </row>
    <row r="4650" spans="1:9" ht="13.5">
      <c r="A4650" s="128">
        <v>2005</v>
      </c>
      <c r="B4650" s="128" t="s">
        <v>137</v>
      </c>
      <c r="C4650" s="128" t="s">
        <v>22</v>
      </c>
      <c r="D4650" s="128" t="s">
        <v>76</v>
      </c>
      <c r="E4650" s="128" t="s">
        <v>136</v>
      </c>
      <c r="F4650" s="128">
        <v>1816062.47</v>
      </c>
      <c r="G4650" s="128">
        <v>1369570.02</v>
      </c>
      <c r="H4650" s="128">
        <v>446494.45</v>
      </c>
      <c r="I4650" s="128">
        <v>37485</v>
      </c>
    </row>
    <row r="4651" spans="1:9" ht="13.5">
      <c r="A4651" s="128">
        <v>2005</v>
      </c>
      <c r="B4651" s="128" t="s">
        <v>137</v>
      </c>
      <c r="C4651" s="128" t="s">
        <v>23</v>
      </c>
      <c r="D4651" s="128" t="s">
        <v>77</v>
      </c>
      <c r="E4651" s="128" t="s">
        <v>132</v>
      </c>
      <c r="F4651" s="128">
        <v>1236498.95</v>
      </c>
      <c r="G4651" s="128">
        <v>799062.75</v>
      </c>
      <c r="H4651" s="128">
        <v>400861.7</v>
      </c>
      <c r="I4651" s="128">
        <v>10107</v>
      </c>
    </row>
    <row r="4652" spans="1:9" ht="13.5">
      <c r="A4652" s="128">
        <v>2005</v>
      </c>
      <c r="B4652" s="128" t="s">
        <v>137</v>
      </c>
      <c r="C4652" s="128" t="s">
        <v>23</v>
      </c>
      <c r="D4652" s="128" t="s">
        <v>77</v>
      </c>
      <c r="E4652" s="128" t="s">
        <v>133</v>
      </c>
      <c r="F4652" s="128">
        <v>1804353.5</v>
      </c>
      <c r="G4652" s="128">
        <v>980797.2</v>
      </c>
      <c r="H4652" s="128">
        <v>764315.06</v>
      </c>
      <c r="I4652" s="128">
        <v>7337</v>
      </c>
    </row>
    <row r="4653" spans="1:9" ht="13.5">
      <c r="A4653" s="128">
        <v>2005</v>
      </c>
      <c r="B4653" s="128" t="s">
        <v>137</v>
      </c>
      <c r="C4653" s="128" t="s">
        <v>23</v>
      </c>
      <c r="D4653" s="128" t="s">
        <v>77</v>
      </c>
      <c r="E4653" s="128" t="s">
        <v>134</v>
      </c>
      <c r="F4653" s="128">
        <v>1881112.1</v>
      </c>
      <c r="G4653" s="128">
        <v>859211.35</v>
      </c>
      <c r="H4653" s="128">
        <v>880457.17</v>
      </c>
      <c r="I4653" s="128">
        <v>8500</v>
      </c>
    </row>
    <row r="4654" spans="1:9" ht="13.5">
      <c r="A4654" s="128">
        <v>2005</v>
      </c>
      <c r="B4654" s="128" t="s">
        <v>137</v>
      </c>
      <c r="C4654" s="128" t="s">
        <v>23</v>
      </c>
      <c r="D4654" s="128" t="s">
        <v>77</v>
      </c>
      <c r="E4654" s="128" t="s">
        <v>135</v>
      </c>
      <c r="F4654" s="128">
        <v>999724</v>
      </c>
      <c r="G4654" s="128">
        <v>265230</v>
      </c>
      <c r="H4654" s="128">
        <v>308441</v>
      </c>
      <c r="I4654" s="128">
        <v>2096</v>
      </c>
    </row>
    <row r="4655" spans="1:9" ht="13.5">
      <c r="A4655" s="128">
        <v>2005</v>
      </c>
      <c r="B4655" s="128" t="s">
        <v>137</v>
      </c>
      <c r="C4655" s="128" t="s">
        <v>23</v>
      </c>
      <c r="D4655" s="128" t="s">
        <v>79</v>
      </c>
      <c r="E4655" s="128" t="s">
        <v>132</v>
      </c>
      <c r="F4655" s="128">
        <v>611859</v>
      </c>
      <c r="G4655" s="128">
        <v>398108</v>
      </c>
      <c r="H4655" s="128">
        <v>153146</v>
      </c>
      <c r="I4655" s="128">
        <v>5044</v>
      </c>
    </row>
    <row r="4656" spans="1:9" ht="13.5">
      <c r="A4656" s="128">
        <v>2005</v>
      </c>
      <c r="B4656" s="128" t="s">
        <v>137</v>
      </c>
      <c r="C4656" s="128" t="s">
        <v>23</v>
      </c>
      <c r="D4656" s="128" t="s">
        <v>79</v>
      </c>
      <c r="E4656" s="128" t="s">
        <v>133</v>
      </c>
      <c r="F4656" s="128">
        <v>686034</v>
      </c>
      <c r="G4656" s="128">
        <v>369613</v>
      </c>
      <c r="H4656" s="128">
        <v>156931</v>
      </c>
      <c r="I4656" s="128">
        <v>4258</v>
      </c>
    </row>
    <row r="4657" spans="1:9" ht="13.5">
      <c r="A4657" s="128">
        <v>2005</v>
      </c>
      <c r="B4657" s="128" t="s">
        <v>137</v>
      </c>
      <c r="C4657" s="128" t="s">
        <v>23</v>
      </c>
      <c r="D4657" s="128" t="s">
        <v>79</v>
      </c>
      <c r="E4657" s="128" t="s">
        <v>134</v>
      </c>
      <c r="F4657" s="128">
        <v>553217</v>
      </c>
      <c r="G4657" s="128">
        <v>235242</v>
      </c>
      <c r="H4657" s="128">
        <v>85737</v>
      </c>
      <c r="I4657" s="128">
        <v>3457</v>
      </c>
    </row>
    <row r="4658" spans="1:9" ht="13.5">
      <c r="A4658" s="128">
        <v>2005</v>
      </c>
      <c r="B4658" s="128" t="s">
        <v>137</v>
      </c>
      <c r="C4658" s="128" t="s">
        <v>23</v>
      </c>
      <c r="D4658" s="128" t="s">
        <v>79</v>
      </c>
      <c r="E4658" s="128" t="s">
        <v>135</v>
      </c>
      <c r="F4658" s="128">
        <v>1200218</v>
      </c>
      <c r="G4658" s="128">
        <v>244666</v>
      </c>
      <c r="H4658" s="128">
        <v>132155</v>
      </c>
      <c r="I4658" s="128">
        <v>6557</v>
      </c>
    </row>
    <row r="4659" spans="1:9" ht="13.5">
      <c r="A4659" s="128">
        <v>2005</v>
      </c>
      <c r="B4659" s="128" t="s">
        <v>137</v>
      </c>
      <c r="C4659" s="128" t="s">
        <v>23</v>
      </c>
      <c r="D4659" s="128" t="s">
        <v>79</v>
      </c>
      <c r="E4659" s="128" t="s">
        <v>136</v>
      </c>
      <c r="F4659" s="128">
        <v>5590591</v>
      </c>
      <c r="G4659" s="128">
        <v>4209809</v>
      </c>
      <c r="H4659" s="128">
        <v>1380759</v>
      </c>
      <c r="I4659" s="128">
        <v>62138</v>
      </c>
    </row>
    <row r="4660" spans="1:9" ht="13.5">
      <c r="A4660" s="128">
        <v>2005</v>
      </c>
      <c r="B4660" s="128" t="s">
        <v>137</v>
      </c>
      <c r="C4660" s="128" t="s">
        <v>23</v>
      </c>
      <c r="D4660" s="128" t="s">
        <v>76</v>
      </c>
      <c r="E4660" s="128" t="s">
        <v>132</v>
      </c>
      <c r="F4660" s="128">
        <v>8421565.7100000009</v>
      </c>
      <c r="G4660" s="128">
        <v>5552977.4900000002</v>
      </c>
      <c r="H4660" s="128">
        <v>2868576.16</v>
      </c>
      <c r="I4660" s="128">
        <v>147319</v>
      </c>
    </row>
    <row r="4661" spans="1:9" ht="13.5">
      <c r="A4661" s="128">
        <v>2005</v>
      </c>
      <c r="B4661" s="128" t="s">
        <v>137</v>
      </c>
      <c r="C4661" s="128" t="s">
        <v>23</v>
      </c>
      <c r="D4661" s="128" t="s">
        <v>76</v>
      </c>
      <c r="E4661" s="128" t="s">
        <v>133</v>
      </c>
      <c r="F4661" s="128">
        <v>17187183.760000002</v>
      </c>
      <c r="G4661" s="128">
        <v>9425681.1400000006</v>
      </c>
      <c r="H4661" s="128">
        <v>7761502.6600000001</v>
      </c>
      <c r="I4661" s="128">
        <v>82171</v>
      </c>
    </row>
    <row r="4662" spans="1:9" ht="13.5">
      <c r="A4662" s="128">
        <v>2005</v>
      </c>
      <c r="B4662" s="128" t="s">
        <v>137</v>
      </c>
      <c r="C4662" s="128" t="s">
        <v>23</v>
      </c>
      <c r="D4662" s="128" t="s">
        <v>76</v>
      </c>
      <c r="E4662" s="128" t="s">
        <v>134</v>
      </c>
      <c r="F4662" s="128">
        <v>14667490.4</v>
      </c>
      <c r="G4662" s="128">
        <v>6824110.3899999997</v>
      </c>
      <c r="H4662" s="128">
        <v>7843376.9800000004</v>
      </c>
      <c r="I4662" s="128">
        <v>79428</v>
      </c>
    </row>
    <row r="4663" spans="1:9" ht="13.5">
      <c r="A4663" s="128">
        <v>2005</v>
      </c>
      <c r="B4663" s="128" t="s">
        <v>137</v>
      </c>
      <c r="C4663" s="128" t="s">
        <v>23</v>
      </c>
      <c r="D4663" s="128" t="s">
        <v>76</v>
      </c>
      <c r="E4663" s="128" t="s">
        <v>135</v>
      </c>
      <c r="F4663" s="128">
        <v>1056672</v>
      </c>
      <c r="G4663" s="128">
        <v>277790.25</v>
      </c>
      <c r="H4663" s="128">
        <v>778881.12</v>
      </c>
      <c r="I4663" s="128">
        <v>889</v>
      </c>
    </row>
    <row r="4664" spans="1:9" ht="13.5">
      <c r="A4664" s="128">
        <v>2005</v>
      </c>
      <c r="B4664" s="128" t="s">
        <v>137</v>
      </c>
      <c r="C4664" s="128" t="s">
        <v>23</v>
      </c>
      <c r="D4664" s="128" t="s">
        <v>76</v>
      </c>
      <c r="E4664" s="128" t="s">
        <v>136</v>
      </c>
      <c r="F4664" s="128">
        <v>1610900.88</v>
      </c>
      <c r="G4664" s="128">
        <v>1213155.18</v>
      </c>
      <c r="H4664" s="128">
        <v>397843.7</v>
      </c>
      <c r="I4664" s="128">
        <v>16028</v>
      </c>
    </row>
    <row r="4665" spans="1:9" ht="13.5">
      <c r="A4665" s="128">
        <v>2005</v>
      </c>
      <c r="B4665" s="128" t="s">
        <v>137</v>
      </c>
      <c r="C4665" s="128" t="s">
        <v>25</v>
      </c>
      <c r="D4665" s="128" t="s">
        <v>77</v>
      </c>
      <c r="E4665" s="128" t="s">
        <v>132</v>
      </c>
      <c r="F4665" s="128">
        <v>68693.399999999994</v>
      </c>
      <c r="G4665" s="128">
        <v>46232.2</v>
      </c>
      <c r="H4665" s="128">
        <v>18513.5</v>
      </c>
      <c r="I4665" s="128">
        <v>428</v>
      </c>
    </row>
    <row r="4666" spans="1:9" ht="13.5">
      <c r="A4666" s="128">
        <v>2005</v>
      </c>
      <c r="B4666" s="128" t="s">
        <v>137</v>
      </c>
      <c r="C4666" s="128" t="s">
        <v>25</v>
      </c>
      <c r="D4666" s="128" t="s">
        <v>77</v>
      </c>
      <c r="E4666" s="128" t="s">
        <v>133</v>
      </c>
      <c r="F4666" s="128">
        <v>117246.63</v>
      </c>
      <c r="G4666" s="128">
        <v>64491.25</v>
      </c>
      <c r="H4666" s="128">
        <v>41924.050000000003</v>
      </c>
      <c r="I4666" s="128">
        <v>555</v>
      </c>
    </row>
    <row r="4667" spans="1:9" ht="13.5">
      <c r="A4667" s="128">
        <v>2005</v>
      </c>
      <c r="B4667" s="128" t="s">
        <v>137</v>
      </c>
      <c r="C4667" s="128" t="s">
        <v>25</v>
      </c>
      <c r="D4667" s="128" t="s">
        <v>77</v>
      </c>
      <c r="E4667" s="128" t="s">
        <v>134</v>
      </c>
      <c r="F4667" s="128">
        <v>371908.08</v>
      </c>
      <c r="G4667" s="128">
        <v>158862.6</v>
      </c>
      <c r="H4667" s="128">
        <v>157815.45000000001</v>
      </c>
      <c r="I4667" s="128">
        <v>1275</v>
      </c>
    </row>
    <row r="4668" spans="1:9" ht="13.5">
      <c r="A4668" s="128">
        <v>2005</v>
      </c>
      <c r="B4668" s="128" t="s">
        <v>137</v>
      </c>
      <c r="C4668" s="128" t="s">
        <v>25</v>
      </c>
      <c r="D4668" s="128" t="s">
        <v>77</v>
      </c>
      <c r="E4668" s="128" t="s">
        <v>135</v>
      </c>
      <c r="F4668" s="128">
        <v>562264</v>
      </c>
      <c r="G4668" s="128">
        <v>169421</v>
      </c>
      <c r="H4668" s="128">
        <v>199932</v>
      </c>
      <c r="I4668" s="128">
        <v>1943</v>
      </c>
    </row>
    <row r="4669" spans="1:9" ht="13.5">
      <c r="A4669" s="128">
        <v>2005</v>
      </c>
      <c r="B4669" s="128" t="s">
        <v>137</v>
      </c>
      <c r="C4669" s="128" t="s">
        <v>25</v>
      </c>
      <c r="D4669" s="128" t="s">
        <v>79</v>
      </c>
      <c r="E4669" s="128" t="s">
        <v>132</v>
      </c>
      <c r="F4669" s="128">
        <v>270467</v>
      </c>
      <c r="G4669" s="128">
        <v>178254</v>
      </c>
      <c r="H4669" s="128">
        <v>59401</v>
      </c>
      <c r="I4669" s="128">
        <v>2040</v>
      </c>
    </row>
    <row r="4670" spans="1:9" ht="13.5">
      <c r="A4670" s="128">
        <v>2005</v>
      </c>
      <c r="B4670" s="128" t="s">
        <v>137</v>
      </c>
      <c r="C4670" s="128" t="s">
        <v>25</v>
      </c>
      <c r="D4670" s="128" t="s">
        <v>79</v>
      </c>
      <c r="E4670" s="128" t="s">
        <v>133</v>
      </c>
      <c r="F4670" s="128">
        <v>281485</v>
      </c>
      <c r="G4670" s="128">
        <v>153063</v>
      </c>
      <c r="H4670" s="128">
        <v>51905</v>
      </c>
      <c r="I4670" s="128">
        <v>1760</v>
      </c>
    </row>
    <row r="4671" spans="1:9" ht="13.5">
      <c r="A4671" s="128">
        <v>2005</v>
      </c>
      <c r="B4671" s="128" t="s">
        <v>137</v>
      </c>
      <c r="C4671" s="128" t="s">
        <v>25</v>
      </c>
      <c r="D4671" s="128" t="s">
        <v>79</v>
      </c>
      <c r="E4671" s="128" t="s">
        <v>134</v>
      </c>
      <c r="F4671" s="128">
        <v>497664</v>
      </c>
      <c r="G4671" s="128">
        <v>213384</v>
      </c>
      <c r="H4671" s="128">
        <v>75514</v>
      </c>
      <c r="I4671" s="128">
        <v>2855</v>
      </c>
    </row>
    <row r="4672" spans="1:9" ht="13.5">
      <c r="A4672" s="128">
        <v>2005</v>
      </c>
      <c r="B4672" s="128" t="s">
        <v>137</v>
      </c>
      <c r="C4672" s="128" t="s">
        <v>25</v>
      </c>
      <c r="D4672" s="128" t="s">
        <v>79</v>
      </c>
      <c r="E4672" s="128" t="s">
        <v>135</v>
      </c>
      <c r="F4672" s="128">
        <v>1404246</v>
      </c>
      <c r="G4672" s="128">
        <v>339322</v>
      </c>
      <c r="H4672" s="128">
        <v>116873</v>
      </c>
      <c r="I4672" s="128">
        <v>3318</v>
      </c>
    </row>
    <row r="4673" spans="1:9" ht="13.5">
      <c r="A4673" s="128">
        <v>2005</v>
      </c>
      <c r="B4673" s="128" t="s">
        <v>137</v>
      </c>
      <c r="C4673" s="128" t="s">
        <v>25</v>
      </c>
      <c r="D4673" s="128" t="s">
        <v>79</v>
      </c>
      <c r="E4673" s="128" t="s">
        <v>136</v>
      </c>
      <c r="F4673" s="128">
        <v>1714105</v>
      </c>
      <c r="G4673" s="128">
        <v>1307630</v>
      </c>
      <c r="H4673" s="128">
        <v>406474</v>
      </c>
      <c r="I4673" s="128">
        <v>24690</v>
      </c>
    </row>
    <row r="4674" spans="1:9" ht="13.5">
      <c r="A4674" s="128">
        <v>2005</v>
      </c>
      <c r="B4674" s="128" t="s">
        <v>137</v>
      </c>
      <c r="C4674" s="128" t="s">
        <v>25</v>
      </c>
      <c r="D4674" s="128" t="s">
        <v>76</v>
      </c>
      <c r="E4674" s="128" t="s">
        <v>132</v>
      </c>
      <c r="F4674" s="128">
        <v>2476708.64</v>
      </c>
      <c r="G4674" s="128">
        <v>1613758.74</v>
      </c>
      <c r="H4674" s="128">
        <v>862947.89</v>
      </c>
      <c r="I4674" s="128">
        <v>34936</v>
      </c>
    </row>
    <row r="4675" spans="1:9" ht="13.5">
      <c r="A4675" s="128">
        <v>2005</v>
      </c>
      <c r="B4675" s="128" t="s">
        <v>137</v>
      </c>
      <c r="C4675" s="128" t="s">
        <v>25</v>
      </c>
      <c r="D4675" s="128" t="s">
        <v>76</v>
      </c>
      <c r="E4675" s="128" t="s">
        <v>133</v>
      </c>
      <c r="F4675" s="128">
        <v>3908612.93</v>
      </c>
      <c r="G4675" s="128">
        <v>2141332.58</v>
      </c>
      <c r="H4675" s="128">
        <v>1767284.35</v>
      </c>
      <c r="I4675" s="128">
        <v>15800</v>
      </c>
    </row>
    <row r="4676" spans="1:9" ht="13.5">
      <c r="A4676" s="128">
        <v>2005</v>
      </c>
      <c r="B4676" s="128" t="s">
        <v>137</v>
      </c>
      <c r="C4676" s="128" t="s">
        <v>25</v>
      </c>
      <c r="D4676" s="128" t="s">
        <v>76</v>
      </c>
      <c r="E4676" s="128" t="s">
        <v>134</v>
      </c>
      <c r="F4676" s="128">
        <v>3085662.74</v>
      </c>
      <c r="G4676" s="128">
        <v>1436113.76</v>
      </c>
      <c r="H4676" s="128">
        <v>1649549.96</v>
      </c>
      <c r="I4676" s="128">
        <v>19907</v>
      </c>
    </row>
    <row r="4677" spans="1:9" ht="13.5">
      <c r="A4677" s="128">
        <v>2005</v>
      </c>
      <c r="B4677" s="128" t="s">
        <v>137</v>
      </c>
      <c r="C4677" s="128" t="s">
        <v>25</v>
      </c>
      <c r="D4677" s="128" t="s">
        <v>76</v>
      </c>
      <c r="E4677" s="128" t="s">
        <v>135</v>
      </c>
      <c r="F4677" s="128">
        <v>376818</v>
      </c>
      <c r="G4677" s="128">
        <v>112974.5</v>
      </c>
      <c r="H4677" s="128">
        <v>263844.53999999998</v>
      </c>
      <c r="I4677" s="128">
        <v>385</v>
      </c>
    </row>
    <row r="4678" spans="1:9" ht="13.5">
      <c r="A4678" s="128">
        <v>2005</v>
      </c>
      <c r="B4678" s="128" t="s">
        <v>137</v>
      </c>
      <c r="C4678" s="128" t="s">
        <v>25</v>
      </c>
      <c r="D4678" s="128" t="s">
        <v>76</v>
      </c>
      <c r="E4678" s="128" t="s">
        <v>136</v>
      </c>
      <c r="F4678" s="128">
        <v>178811.9</v>
      </c>
      <c r="G4678" s="128">
        <v>146643.25</v>
      </c>
      <c r="H4678" s="128">
        <v>32168.65</v>
      </c>
      <c r="I4678" s="128">
        <v>2743</v>
      </c>
    </row>
    <row r="4679" spans="1:9" ht="13.5">
      <c r="A4679" s="128">
        <v>2005</v>
      </c>
      <c r="B4679" s="128" t="s">
        <v>137</v>
      </c>
      <c r="C4679" s="128" t="s">
        <v>21</v>
      </c>
      <c r="D4679" s="128" t="s">
        <v>77</v>
      </c>
      <c r="E4679" s="128" t="s">
        <v>132</v>
      </c>
      <c r="F4679" s="128">
        <v>1836950.34</v>
      </c>
      <c r="G4679" s="128">
        <v>1202650.6599999999</v>
      </c>
      <c r="H4679" s="128">
        <v>553048.39</v>
      </c>
      <c r="I4679" s="128">
        <v>11063</v>
      </c>
    </row>
    <row r="4680" spans="1:9" ht="13.5">
      <c r="A4680" s="128">
        <v>2005</v>
      </c>
      <c r="B4680" s="128" t="s">
        <v>137</v>
      </c>
      <c r="C4680" s="128" t="s">
        <v>21</v>
      </c>
      <c r="D4680" s="128" t="s">
        <v>77</v>
      </c>
      <c r="E4680" s="128" t="s">
        <v>133</v>
      </c>
      <c r="F4680" s="128">
        <v>3472388.82</v>
      </c>
      <c r="G4680" s="128">
        <v>1894099.41</v>
      </c>
      <c r="H4680" s="128">
        <v>1259951.19</v>
      </c>
      <c r="I4680" s="128">
        <v>14156</v>
      </c>
    </row>
    <row r="4681" spans="1:9" ht="13.5">
      <c r="A4681" s="128">
        <v>2005</v>
      </c>
      <c r="B4681" s="128" t="s">
        <v>137</v>
      </c>
      <c r="C4681" s="128" t="s">
        <v>21</v>
      </c>
      <c r="D4681" s="128" t="s">
        <v>77</v>
      </c>
      <c r="E4681" s="128" t="s">
        <v>134</v>
      </c>
      <c r="F4681" s="128">
        <v>7688888.2699999996</v>
      </c>
      <c r="G4681" s="128">
        <v>3311208.29</v>
      </c>
      <c r="H4681" s="128">
        <v>2960300.31</v>
      </c>
      <c r="I4681" s="128">
        <v>36765</v>
      </c>
    </row>
    <row r="4682" spans="1:9" ht="13.5">
      <c r="A4682" s="128">
        <v>2005</v>
      </c>
      <c r="B4682" s="128" t="s">
        <v>137</v>
      </c>
      <c r="C4682" s="128" t="s">
        <v>21</v>
      </c>
      <c r="D4682" s="128" t="s">
        <v>77</v>
      </c>
      <c r="E4682" s="128" t="s">
        <v>135</v>
      </c>
      <c r="F4682" s="128">
        <v>6191340</v>
      </c>
      <c r="G4682" s="128">
        <v>1784042</v>
      </c>
      <c r="H4682" s="128">
        <v>1782830</v>
      </c>
      <c r="I4682" s="128">
        <v>20122</v>
      </c>
    </row>
    <row r="4683" spans="1:9" ht="13.5">
      <c r="A4683" s="128">
        <v>2005</v>
      </c>
      <c r="B4683" s="128" t="s">
        <v>137</v>
      </c>
      <c r="C4683" s="128" t="s">
        <v>21</v>
      </c>
      <c r="D4683" s="128" t="s">
        <v>79</v>
      </c>
      <c r="E4683" s="128" t="s">
        <v>132</v>
      </c>
      <c r="F4683" s="128">
        <v>2846314</v>
      </c>
      <c r="G4683" s="128">
        <v>1881884</v>
      </c>
      <c r="H4683" s="128">
        <v>622876</v>
      </c>
      <c r="I4683" s="128">
        <v>22761</v>
      </c>
    </row>
    <row r="4684" spans="1:9" ht="13.5">
      <c r="A4684" s="128">
        <v>2005</v>
      </c>
      <c r="B4684" s="128" t="s">
        <v>137</v>
      </c>
      <c r="C4684" s="128" t="s">
        <v>21</v>
      </c>
      <c r="D4684" s="128" t="s">
        <v>79</v>
      </c>
      <c r="E4684" s="128" t="s">
        <v>133</v>
      </c>
      <c r="F4684" s="128">
        <v>3045116</v>
      </c>
      <c r="G4684" s="128">
        <v>1668754</v>
      </c>
      <c r="H4684" s="128">
        <v>572569</v>
      </c>
      <c r="I4684" s="128">
        <v>19073</v>
      </c>
    </row>
    <row r="4685" spans="1:9" ht="13.5">
      <c r="A4685" s="128">
        <v>2005</v>
      </c>
      <c r="B4685" s="128" t="s">
        <v>137</v>
      </c>
      <c r="C4685" s="128" t="s">
        <v>21</v>
      </c>
      <c r="D4685" s="128" t="s">
        <v>79</v>
      </c>
      <c r="E4685" s="128" t="s">
        <v>134</v>
      </c>
      <c r="F4685" s="128">
        <v>7818659</v>
      </c>
      <c r="G4685" s="128">
        <v>3373947</v>
      </c>
      <c r="H4685" s="128">
        <v>1123415</v>
      </c>
      <c r="I4685" s="128">
        <v>58235</v>
      </c>
    </row>
    <row r="4686" spans="1:9" ht="13.5">
      <c r="A4686" s="128">
        <v>2005</v>
      </c>
      <c r="B4686" s="128" t="s">
        <v>137</v>
      </c>
      <c r="C4686" s="128" t="s">
        <v>21</v>
      </c>
      <c r="D4686" s="128" t="s">
        <v>79</v>
      </c>
      <c r="E4686" s="128" t="s">
        <v>135</v>
      </c>
      <c r="F4686" s="128">
        <v>10424752</v>
      </c>
      <c r="G4686" s="128">
        <v>2898928</v>
      </c>
      <c r="H4686" s="128">
        <v>998132</v>
      </c>
      <c r="I4686" s="128">
        <v>30904</v>
      </c>
    </row>
    <row r="4687" spans="1:9" ht="13.5">
      <c r="A4687" s="128">
        <v>2005</v>
      </c>
      <c r="B4687" s="128" t="s">
        <v>137</v>
      </c>
      <c r="C4687" s="128" t="s">
        <v>21</v>
      </c>
      <c r="D4687" s="128" t="s">
        <v>79</v>
      </c>
      <c r="E4687" s="128" t="s">
        <v>136</v>
      </c>
      <c r="F4687" s="128">
        <v>12811265</v>
      </c>
      <c r="G4687" s="128">
        <v>9642414</v>
      </c>
      <c r="H4687" s="128">
        <v>3168716</v>
      </c>
      <c r="I4687" s="128">
        <v>176292</v>
      </c>
    </row>
    <row r="4688" spans="1:9" ht="13.5">
      <c r="A4688" s="128">
        <v>2005</v>
      </c>
      <c r="B4688" s="128" t="s">
        <v>137</v>
      </c>
      <c r="C4688" s="128" t="s">
        <v>21</v>
      </c>
      <c r="D4688" s="128" t="s">
        <v>76</v>
      </c>
      <c r="E4688" s="128" t="s">
        <v>132</v>
      </c>
      <c r="F4688" s="128">
        <v>23740006.510000002</v>
      </c>
      <c r="G4688" s="128">
        <v>15267078.09</v>
      </c>
      <c r="H4688" s="128">
        <v>8472924.5500000007</v>
      </c>
      <c r="I4688" s="128">
        <v>285772</v>
      </c>
    </row>
    <row r="4689" spans="1:9" ht="13.5">
      <c r="A4689" s="128">
        <v>2005</v>
      </c>
      <c r="B4689" s="128" t="s">
        <v>137</v>
      </c>
      <c r="C4689" s="128" t="s">
        <v>21</v>
      </c>
      <c r="D4689" s="128" t="s">
        <v>76</v>
      </c>
      <c r="E4689" s="128" t="s">
        <v>133</v>
      </c>
      <c r="F4689" s="128">
        <v>57864974.990000002</v>
      </c>
      <c r="G4689" s="128">
        <v>31935280.23</v>
      </c>
      <c r="H4689" s="128">
        <v>25929698.780000001</v>
      </c>
      <c r="I4689" s="128">
        <v>348188</v>
      </c>
    </row>
    <row r="4690" spans="1:9" ht="13.5">
      <c r="A4690" s="128">
        <v>2005</v>
      </c>
      <c r="B4690" s="128" t="s">
        <v>137</v>
      </c>
      <c r="C4690" s="128" t="s">
        <v>21</v>
      </c>
      <c r="D4690" s="128" t="s">
        <v>76</v>
      </c>
      <c r="E4690" s="128" t="s">
        <v>134</v>
      </c>
      <c r="F4690" s="128">
        <v>32706323.699999999</v>
      </c>
      <c r="G4690" s="128">
        <v>15194951.58</v>
      </c>
      <c r="H4690" s="128">
        <v>17511370.059999999</v>
      </c>
      <c r="I4690" s="128">
        <v>244708</v>
      </c>
    </row>
    <row r="4691" spans="1:9" ht="13.5">
      <c r="A4691" s="128">
        <v>2005</v>
      </c>
      <c r="B4691" s="128" t="s">
        <v>137</v>
      </c>
      <c r="C4691" s="128" t="s">
        <v>21</v>
      </c>
      <c r="D4691" s="128" t="s">
        <v>76</v>
      </c>
      <c r="E4691" s="128" t="s">
        <v>135</v>
      </c>
      <c r="F4691" s="128">
        <v>2304053</v>
      </c>
      <c r="G4691" s="128">
        <v>658876.55000000005</v>
      </c>
      <c r="H4691" s="128">
        <v>1645174.41</v>
      </c>
      <c r="I4691" s="128">
        <v>2344</v>
      </c>
    </row>
    <row r="4692" spans="1:9" ht="13.5">
      <c r="A4692" s="128">
        <v>2005</v>
      </c>
      <c r="B4692" s="128" t="s">
        <v>137</v>
      </c>
      <c r="C4692" s="128" t="s">
        <v>21</v>
      </c>
      <c r="D4692" s="128" t="s">
        <v>76</v>
      </c>
      <c r="E4692" s="128" t="s">
        <v>136</v>
      </c>
      <c r="F4692" s="128">
        <v>5225190.16</v>
      </c>
      <c r="G4692" s="128">
        <v>3939990.33</v>
      </c>
      <c r="H4692" s="128">
        <v>1285200.82</v>
      </c>
      <c r="I4692" s="128">
        <v>95554</v>
      </c>
    </row>
    <row r="4693" spans="1:9" ht="13.5">
      <c r="A4693" s="128">
        <v>2005</v>
      </c>
      <c r="B4693" s="128" t="s">
        <v>137</v>
      </c>
      <c r="C4693" s="128" t="s">
        <v>24</v>
      </c>
      <c r="D4693" s="128" t="s">
        <v>77</v>
      </c>
      <c r="E4693" s="128" t="s">
        <v>132</v>
      </c>
      <c r="F4693" s="128">
        <v>1274367.7</v>
      </c>
      <c r="G4693" s="128">
        <v>855465.95</v>
      </c>
      <c r="H4693" s="128">
        <v>389003.5</v>
      </c>
      <c r="I4693" s="128">
        <v>9206</v>
      </c>
    </row>
    <row r="4694" spans="1:9" ht="13.5">
      <c r="A4694" s="128">
        <v>2005</v>
      </c>
      <c r="B4694" s="128" t="s">
        <v>137</v>
      </c>
      <c r="C4694" s="128" t="s">
        <v>24</v>
      </c>
      <c r="D4694" s="128" t="s">
        <v>77</v>
      </c>
      <c r="E4694" s="128" t="s">
        <v>133</v>
      </c>
      <c r="F4694" s="128">
        <v>3145285.02</v>
      </c>
      <c r="G4694" s="128">
        <v>1691511.95</v>
      </c>
      <c r="H4694" s="128">
        <v>1215764.6599999999</v>
      </c>
      <c r="I4694" s="128">
        <v>12976</v>
      </c>
    </row>
    <row r="4695" spans="1:9" ht="13.5">
      <c r="A4695" s="128">
        <v>2005</v>
      </c>
      <c r="B4695" s="128" t="s">
        <v>137</v>
      </c>
      <c r="C4695" s="128" t="s">
        <v>24</v>
      </c>
      <c r="D4695" s="128" t="s">
        <v>77</v>
      </c>
      <c r="E4695" s="128" t="s">
        <v>134</v>
      </c>
      <c r="F4695" s="128">
        <v>4601332.0999999996</v>
      </c>
      <c r="G4695" s="128">
        <v>2010417.85</v>
      </c>
      <c r="H4695" s="128">
        <v>1411180.2</v>
      </c>
      <c r="I4695" s="128">
        <v>19720</v>
      </c>
    </row>
    <row r="4696" spans="1:9" ht="13.5">
      <c r="A4696" s="128">
        <v>2005</v>
      </c>
      <c r="B4696" s="128" t="s">
        <v>137</v>
      </c>
      <c r="C4696" s="128" t="s">
        <v>24</v>
      </c>
      <c r="D4696" s="128" t="s">
        <v>77</v>
      </c>
      <c r="E4696" s="128" t="s">
        <v>135</v>
      </c>
      <c r="F4696" s="128">
        <v>5970892</v>
      </c>
      <c r="G4696" s="128">
        <v>1577167</v>
      </c>
      <c r="H4696" s="128">
        <v>1230146</v>
      </c>
      <c r="I4696" s="128">
        <v>18393</v>
      </c>
    </row>
    <row r="4697" spans="1:9" ht="13.5">
      <c r="A4697" s="128">
        <v>2005</v>
      </c>
      <c r="B4697" s="128" t="s">
        <v>137</v>
      </c>
      <c r="C4697" s="128" t="s">
        <v>24</v>
      </c>
      <c r="D4697" s="128" t="s">
        <v>79</v>
      </c>
      <c r="E4697" s="128" t="s">
        <v>132</v>
      </c>
      <c r="F4697" s="128">
        <v>813321</v>
      </c>
      <c r="G4697" s="128">
        <v>528176</v>
      </c>
      <c r="H4697" s="128">
        <v>177882</v>
      </c>
      <c r="I4697" s="128">
        <v>5507</v>
      </c>
    </row>
    <row r="4698" spans="1:9" ht="13.5">
      <c r="A4698" s="128">
        <v>2005</v>
      </c>
      <c r="B4698" s="128" t="s">
        <v>137</v>
      </c>
      <c r="C4698" s="128" t="s">
        <v>24</v>
      </c>
      <c r="D4698" s="128" t="s">
        <v>79</v>
      </c>
      <c r="E4698" s="128" t="s">
        <v>133</v>
      </c>
      <c r="F4698" s="128">
        <v>1550980</v>
      </c>
      <c r="G4698" s="128">
        <v>834940</v>
      </c>
      <c r="H4698" s="128">
        <v>283715</v>
      </c>
      <c r="I4698" s="128">
        <v>14923</v>
      </c>
    </row>
    <row r="4699" spans="1:9" ht="13.5">
      <c r="A4699" s="128">
        <v>2005</v>
      </c>
      <c r="B4699" s="128" t="s">
        <v>137</v>
      </c>
      <c r="C4699" s="128" t="s">
        <v>24</v>
      </c>
      <c r="D4699" s="128" t="s">
        <v>79</v>
      </c>
      <c r="E4699" s="128" t="s">
        <v>134</v>
      </c>
      <c r="F4699" s="128">
        <v>1168050</v>
      </c>
      <c r="G4699" s="128">
        <v>508228</v>
      </c>
      <c r="H4699" s="128">
        <v>176399</v>
      </c>
      <c r="I4699" s="128">
        <v>8703</v>
      </c>
    </row>
    <row r="4700" spans="1:9" ht="13.5">
      <c r="A4700" s="128">
        <v>2005</v>
      </c>
      <c r="B4700" s="128" t="s">
        <v>137</v>
      </c>
      <c r="C4700" s="128" t="s">
        <v>24</v>
      </c>
      <c r="D4700" s="128" t="s">
        <v>79</v>
      </c>
      <c r="E4700" s="128" t="s">
        <v>135</v>
      </c>
      <c r="F4700" s="128">
        <v>1833429</v>
      </c>
      <c r="G4700" s="128">
        <v>463775</v>
      </c>
      <c r="H4700" s="128">
        <v>167860</v>
      </c>
      <c r="I4700" s="128">
        <v>4814</v>
      </c>
    </row>
    <row r="4701" spans="1:9" ht="13.5">
      <c r="A4701" s="128">
        <v>2005</v>
      </c>
      <c r="B4701" s="128" t="s">
        <v>137</v>
      </c>
      <c r="C4701" s="128" t="s">
        <v>24</v>
      </c>
      <c r="D4701" s="128" t="s">
        <v>79</v>
      </c>
      <c r="E4701" s="128" t="s">
        <v>136</v>
      </c>
      <c r="F4701" s="128">
        <v>1397529</v>
      </c>
      <c r="G4701" s="128">
        <v>1053091</v>
      </c>
      <c r="H4701" s="128">
        <v>344436</v>
      </c>
      <c r="I4701" s="128">
        <v>27354</v>
      </c>
    </row>
    <row r="4702" spans="1:9" ht="13.5">
      <c r="A4702" s="128">
        <v>2005</v>
      </c>
      <c r="B4702" s="128" t="s">
        <v>137</v>
      </c>
      <c r="C4702" s="128" t="s">
        <v>24</v>
      </c>
      <c r="D4702" s="128" t="s">
        <v>76</v>
      </c>
      <c r="E4702" s="128" t="s">
        <v>132</v>
      </c>
      <c r="F4702" s="128">
        <v>8974277.0700000003</v>
      </c>
      <c r="G4702" s="128">
        <v>5688914.2999999998</v>
      </c>
      <c r="H4702" s="128">
        <v>3285363.77</v>
      </c>
      <c r="I4702" s="128">
        <v>117328</v>
      </c>
    </row>
    <row r="4703" spans="1:9" ht="13.5">
      <c r="A4703" s="128">
        <v>2005</v>
      </c>
      <c r="B4703" s="128" t="s">
        <v>137</v>
      </c>
      <c r="C4703" s="128" t="s">
        <v>24</v>
      </c>
      <c r="D4703" s="128" t="s">
        <v>76</v>
      </c>
      <c r="E4703" s="128" t="s">
        <v>133</v>
      </c>
      <c r="F4703" s="128">
        <v>16219343.67</v>
      </c>
      <c r="G4703" s="128">
        <v>8904228.4800000004</v>
      </c>
      <c r="H4703" s="128">
        <v>7315114.1900000004</v>
      </c>
      <c r="I4703" s="128">
        <v>55781</v>
      </c>
    </row>
    <row r="4704" spans="1:9" ht="13.5">
      <c r="A4704" s="128">
        <v>2005</v>
      </c>
      <c r="B4704" s="128" t="s">
        <v>137</v>
      </c>
      <c r="C4704" s="128" t="s">
        <v>24</v>
      </c>
      <c r="D4704" s="128" t="s">
        <v>76</v>
      </c>
      <c r="E4704" s="128" t="s">
        <v>134</v>
      </c>
      <c r="F4704" s="128">
        <v>10364481.140000001</v>
      </c>
      <c r="G4704" s="128">
        <v>4603937.4400000004</v>
      </c>
      <c r="H4704" s="128">
        <v>5760543.7000000002</v>
      </c>
      <c r="I4704" s="128">
        <v>75615</v>
      </c>
    </row>
    <row r="4705" spans="1:9" ht="13.5">
      <c r="A4705" s="128">
        <v>2005</v>
      </c>
      <c r="B4705" s="128" t="s">
        <v>137</v>
      </c>
      <c r="C4705" s="128" t="s">
        <v>24</v>
      </c>
      <c r="D4705" s="128" t="s">
        <v>76</v>
      </c>
      <c r="E4705" s="128" t="s">
        <v>135</v>
      </c>
      <c r="F4705" s="128">
        <v>1845952</v>
      </c>
      <c r="G4705" s="128">
        <v>443903.4</v>
      </c>
      <c r="H4705" s="128">
        <v>1402047.85</v>
      </c>
      <c r="I4705" s="128">
        <v>1393</v>
      </c>
    </row>
    <row r="4706" spans="1:9" ht="13.5">
      <c r="A4706" s="128">
        <v>2005</v>
      </c>
      <c r="B4706" s="128" t="s">
        <v>137</v>
      </c>
      <c r="C4706" s="128" t="s">
        <v>24</v>
      </c>
      <c r="D4706" s="128" t="s">
        <v>76</v>
      </c>
      <c r="E4706" s="128" t="s">
        <v>136</v>
      </c>
      <c r="F4706" s="128">
        <v>1013366.94</v>
      </c>
      <c r="G4706" s="128">
        <v>768406.55</v>
      </c>
      <c r="H4706" s="128">
        <v>244998.39</v>
      </c>
      <c r="I4706" s="128">
        <v>17518</v>
      </c>
    </row>
    <row r="4707" spans="1:9" ht="13.5">
      <c r="A4707" s="128">
        <v>2006</v>
      </c>
      <c r="B4707" s="128" t="s">
        <v>131</v>
      </c>
      <c r="C4707" s="128" t="s">
        <v>26</v>
      </c>
      <c r="D4707" s="128" t="s">
        <v>77</v>
      </c>
      <c r="E4707" s="128" t="s">
        <v>132</v>
      </c>
      <c r="F4707" s="128">
        <v>0</v>
      </c>
      <c r="G4707" s="128">
        <v>0</v>
      </c>
      <c r="H4707" s="128">
        <v>0</v>
      </c>
      <c r="I4707" s="128">
        <v>0</v>
      </c>
    </row>
    <row r="4708" spans="1:9" ht="13.5">
      <c r="A4708" s="128">
        <v>2006</v>
      </c>
      <c r="B4708" s="128" t="s">
        <v>131</v>
      </c>
      <c r="C4708" s="128" t="s">
        <v>26</v>
      </c>
      <c r="D4708" s="128" t="s">
        <v>77</v>
      </c>
      <c r="E4708" s="128" t="s">
        <v>133</v>
      </c>
      <c r="F4708" s="128">
        <v>0</v>
      </c>
      <c r="G4708" s="128">
        <v>0</v>
      </c>
      <c r="H4708" s="128">
        <v>0</v>
      </c>
      <c r="I4708" s="128">
        <v>0</v>
      </c>
    </row>
    <row r="4709" spans="1:9" ht="13.5">
      <c r="A4709" s="128">
        <v>2006</v>
      </c>
      <c r="B4709" s="128" t="s">
        <v>131</v>
      </c>
      <c r="C4709" s="128" t="s">
        <v>26</v>
      </c>
      <c r="D4709" s="128" t="s">
        <v>77</v>
      </c>
      <c r="E4709" s="128" t="s">
        <v>134</v>
      </c>
      <c r="F4709" s="128">
        <v>0</v>
      </c>
      <c r="G4709" s="128">
        <v>0</v>
      </c>
      <c r="H4709" s="128">
        <v>0</v>
      </c>
      <c r="I4709" s="128">
        <v>0</v>
      </c>
    </row>
    <row r="4710" spans="1:9" ht="13.5">
      <c r="A4710" s="128">
        <v>2006</v>
      </c>
      <c r="B4710" s="128" t="s">
        <v>131</v>
      </c>
      <c r="C4710" s="128" t="s">
        <v>26</v>
      </c>
      <c r="D4710" s="128" t="s">
        <v>77</v>
      </c>
      <c r="E4710" s="128" t="s">
        <v>135</v>
      </c>
      <c r="F4710" s="128">
        <v>0</v>
      </c>
      <c r="G4710" s="128">
        <v>0</v>
      </c>
      <c r="H4710" s="128">
        <v>0</v>
      </c>
      <c r="I4710" s="128">
        <v>0</v>
      </c>
    </row>
    <row r="4711" spans="1:9" ht="13.5">
      <c r="A4711" s="128">
        <v>2006</v>
      </c>
      <c r="B4711" s="128" t="s">
        <v>131</v>
      </c>
      <c r="C4711" s="128" t="s">
        <v>26</v>
      </c>
      <c r="D4711" s="128" t="s">
        <v>79</v>
      </c>
      <c r="E4711" s="128" t="s">
        <v>132</v>
      </c>
      <c r="F4711" s="128">
        <v>0</v>
      </c>
      <c r="G4711" s="128">
        <v>0</v>
      </c>
      <c r="H4711" s="128">
        <v>0</v>
      </c>
      <c r="I4711" s="128">
        <v>0</v>
      </c>
    </row>
    <row r="4712" spans="1:9" ht="13.5">
      <c r="A4712" s="128">
        <v>2006</v>
      </c>
      <c r="B4712" s="128" t="s">
        <v>131</v>
      </c>
      <c r="C4712" s="128" t="s">
        <v>26</v>
      </c>
      <c r="D4712" s="128" t="s">
        <v>79</v>
      </c>
      <c r="E4712" s="128" t="s">
        <v>133</v>
      </c>
      <c r="F4712" s="128">
        <v>0</v>
      </c>
      <c r="G4712" s="128">
        <v>0</v>
      </c>
      <c r="H4712" s="128">
        <v>0</v>
      </c>
      <c r="I4712" s="128">
        <v>0</v>
      </c>
    </row>
    <row r="4713" spans="1:9" ht="13.5">
      <c r="A4713" s="128">
        <v>2006</v>
      </c>
      <c r="B4713" s="128" t="s">
        <v>131</v>
      </c>
      <c r="C4713" s="128" t="s">
        <v>26</v>
      </c>
      <c r="D4713" s="128" t="s">
        <v>79</v>
      </c>
      <c r="E4713" s="128" t="s">
        <v>134</v>
      </c>
      <c r="F4713" s="128">
        <v>0</v>
      </c>
      <c r="G4713" s="128">
        <v>0</v>
      </c>
      <c r="H4713" s="128">
        <v>0</v>
      </c>
      <c r="I4713" s="128">
        <v>0</v>
      </c>
    </row>
    <row r="4714" spans="1:9" ht="13.5">
      <c r="A4714" s="128">
        <v>2006</v>
      </c>
      <c r="B4714" s="128" t="s">
        <v>131</v>
      </c>
      <c r="C4714" s="128" t="s">
        <v>26</v>
      </c>
      <c r="D4714" s="128" t="s">
        <v>79</v>
      </c>
      <c r="E4714" s="128" t="s">
        <v>135</v>
      </c>
      <c r="F4714" s="128">
        <v>0</v>
      </c>
      <c r="G4714" s="128">
        <v>0</v>
      </c>
      <c r="H4714" s="128">
        <v>0</v>
      </c>
      <c r="I4714" s="128">
        <v>0</v>
      </c>
    </row>
    <row r="4715" spans="1:9" ht="13.5">
      <c r="A4715" s="128">
        <v>2006</v>
      </c>
      <c r="B4715" s="128" t="s">
        <v>131</v>
      </c>
      <c r="C4715" s="128" t="s">
        <v>26</v>
      </c>
      <c r="D4715" s="128" t="s">
        <v>79</v>
      </c>
      <c r="E4715" s="128" t="s">
        <v>136</v>
      </c>
      <c r="F4715" s="128">
        <v>0</v>
      </c>
      <c r="G4715" s="128">
        <v>0</v>
      </c>
      <c r="H4715" s="128">
        <v>0</v>
      </c>
      <c r="I4715" s="128">
        <v>0</v>
      </c>
    </row>
    <row r="4716" spans="1:9" ht="13.5">
      <c r="A4716" s="128">
        <v>2006</v>
      </c>
      <c r="B4716" s="128" t="s">
        <v>131</v>
      </c>
      <c r="C4716" s="128" t="s">
        <v>26</v>
      </c>
      <c r="D4716" s="128" t="s">
        <v>76</v>
      </c>
      <c r="E4716" s="128" t="s">
        <v>132</v>
      </c>
      <c r="F4716" s="128">
        <v>0</v>
      </c>
      <c r="G4716" s="128">
        <v>0</v>
      </c>
      <c r="H4716" s="128">
        <v>0</v>
      </c>
      <c r="I4716" s="128">
        <v>0</v>
      </c>
    </row>
    <row r="4717" spans="1:9" ht="13.5">
      <c r="A4717" s="128">
        <v>2006</v>
      </c>
      <c r="B4717" s="128" t="s">
        <v>131</v>
      </c>
      <c r="C4717" s="128" t="s">
        <v>26</v>
      </c>
      <c r="D4717" s="128" t="s">
        <v>76</v>
      </c>
      <c r="E4717" s="128" t="s">
        <v>133</v>
      </c>
      <c r="F4717" s="128">
        <v>0</v>
      </c>
      <c r="G4717" s="128">
        <v>0</v>
      </c>
      <c r="H4717" s="128">
        <v>0</v>
      </c>
      <c r="I4717" s="128">
        <v>0</v>
      </c>
    </row>
    <row r="4718" spans="1:9" ht="13.5">
      <c r="A4718" s="128">
        <v>2006</v>
      </c>
      <c r="B4718" s="128" t="s">
        <v>131</v>
      </c>
      <c r="C4718" s="128" t="s">
        <v>26</v>
      </c>
      <c r="D4718" s="128" t="s">
        <v>76</v>
      </c>
      <c r="E4718" s="128" t="s">
        <v>134</v>
      </c>
      <c r="F4718" s="128">
        <v>0</v>
      </c>
      <c r="G4718" s="128">
        <v>0</v>
      </c>
      <c r="H4718" s="128">
        <v>0</v>
      </c>
      <c r="I4718" s="128">
        <v>0</v>
      </c>
    </row>
    <row r="4719" spans="1:9" ht="13.5">
      <c r="A4719" s="128">
        <v>2006</v>
      </c>
      <c r="B4719" s="128" t="s">
        <v>131</v>
      </c>
      <c r="C4719" s="128" t="s">
        <v>26</v>
      </c>
      <c r="D4719" s="128" t="s">
        <v>76</v>
      </c>
      <c r="E4719" s="128" t="s">
        <v>135</v>
      </c>
      <c r="F4719" s="128">
        <v>0</v>
      </c>
      <c r="G4719" s="128">
        <v>0</v>
      </c>
      <c r="H4719" s="128">
        <v>0</v>
      </c>
      <c r="I4719" s="128">
        <v>0</v>
      </c>
    </row>
    <row r="4720" spans="1:9" ht="13.5">
      <c r="A4720" s="128">
        <v>2006</v>
      </c>
      <c r="B4720" s="128" t="s">
        <v>131</v>
      </c>
      <c r="C4720" s="128" t="s">
        <v>26</v>
      </c>
      <c r="D4720" s="128" t="s">
        <v>76</v>
      </c>
      <c r="E4720" s="128" t="s">
        <v>136</v>
      </c>
      <c r="F4720" s="128">
        <v>0</v>
      </c>
      <c r="G4720" s="128">
        <v>0</v>
      </c>
      <c r="H4720" s="128">
        <v>0</v>
      </c>
      <c r="I4720" s="128">
        <v>0</v>
      </c>
    </row>
    <row r="4721" spans="1:9" ht="13.5">
      <c r="A4721" s="128">
        <v>2006</v>
      </c>
      <c r="B4721" s="128" t="s">
        <v>131</v>
      </c>
      <c r="C4721" s="128" t="s">
        <v>20</v>
      </c>
      <c r="D4721" s="128" t="s">
        <v>77</v>
      </c>
      <c r="E4721" s="128" t="s">
        <v>132</v>
      </c>
      <c r="F4721" s="128">
        <v>776187.68</v>
      </c>
      <c r="G4721" s="128">
        <v>514741.55</v>
      </c>
      <c r="H4721" s="128">
        <v>231302.08</v>
      </c>
      <c r="I4721" s="128">
        <v>5119</v>
      </c>
    </row>
    <row r="4722" spans="1:9" ht="13.5">
      <c r="A4722" s="128">
        <v>2006</v>
      </c>
      <c r="B4722" s="128" t="s">
        <v>131</v>
      </c>
      <c r="C4722" s="128" t="s">
        <v>20</v>
      </c>
      <c r="D4722" s="128" t="s">
        <v>77</v>
      </c>
      <c r="E4722" s="128" t="s">
        <v>133</v>
      </c>
      <c r="F4722" s="128">
        <v>1619129.24</v>
      </c>
      <c r="G4722" s="128">
        <v>883892.57</v>
      </c>
      <c r="H4722" s="128">
        <v>613789.78</v>
      </c>
      <c r="I4722" s="128">
        <v>6974</v>
      </c>
    </row>
    <row r="4723" spans="1:9" ht="13.5">
      <c r="A4723" s="128">
        <v>2006</v>
      </c>
      <c r="B4723" s="128" t="s">
        <v>131</v>
      </c>
      <c r="C4723" s="128" t="s">
        <v>20</v>
      </c>
      <c r="D4723" s="128" t="s">
        <v>77</v>
      </c>
      <c r="E4723" s="128" t="s">
        <v>134</v>
      </c>
      <c r="F4723" s="128">
        <v>4349694.1399999997</v>
      </c>
      <c r="G4723" s="128">
        <v>1896040.19</v>
      </c>
      <c r="H4723" s="128">
        <v>1774119.97</v>
      </c>
      <c r="I4723" s="128">
        <v>17304</v>
      </c>
    </row>
    <row r="4724" spans="1:9" ht="13.5">
      <c r="A4724" s="128">
        <v>2006</v>
      </c>
      <c r="B4724" s="128" t="s">
        <v>131</v>
      </c>
      <c r="C4724" s="128" t="s">
        <v>20</v>
      </c>
      <c r="D4724" s="128" t="s">
        <v>77</v>
      </c>
      <c r="E4724" s="128" t="s">
        <v>135</v>
      </c>
      <c r="F4724" s="128">
        <v>6141993.6299999999</v>
      </c>
      <c r="G4724" s="128">
        <v>1645120.9</v>
      </c>
      <c r="H4724" s="128">
        <v>1570309.7</v>
      </c>
      <c r="I4724" s="128">
        <v>16803</v>
      </c>
    </row>
    <row r="4725" spans="1:9" ht="13.5">
      <c r="A4725" s="128">
        <v>2006</v>
      </c>
      <c r="B4725" s="128" t="s">
        <v>131</v>
      </c>
      <c r="C4725" s="128" t="s">
        <v>20</v>
      </c>
      <c r="D4725" s="128" t="s">
        <v>79</v>
      </c>
      <c r="E4725" s="128" t="s">
        <v>132</v>
      </c>
      <c r="F4725" s="128">
        <v>3242812.66</v>
      </c>
      <c r="G4725" s="128">
        <v>2148196.0299999998</v>
      </c>
      <c r="H4725" s="128">
        <v>727808.4</v>
      </c>
      <c r="I4725" s="128">
        <v>18262</v>
      </c>
    </row>
    <row r="4726" spans="1:9" ht="13.5">
      <c r="A4726" s="128">
        <v>2006</v>
      </c>
      <c r="B4726" s="128" t="s">
        <v>131</v>
      </c>
      <c r="C4726" s="128" t="s">
        <v>20</v>
      </c>
      <c r="D4726" s="128" t="s">
        <v>79</v>
      </c>
      <c r="E4726" s="128" t="s">
        <v>133</v>
      </c>
      <c r="F4726" s="128">
        <v>4913220.9400000004</v>
      </c>
      <c r="G4726" s="128">
        <v>2691833.81</v>
      </c>
      <c r="H4726" s="128">
        <v>907207.97</v>
      </c>
      <c r="I4726" s="128">
        <v>37786</v>
      </c>
    </row>
    <row r="4727" spans="1:9" ht="13.5">
      <c r="A4727" s="128">
        <v>2006</v>
      </c>
      <c r="B4727" s="128" t="s">
        <v>131</v>
      </c>
      <c r="C4727" s="128" t="s">
        <v>20</v>
      </c>
      <c r="D4727" s="128" t="s">
        <v>79</v>
      </c>
      <c r="E4727" s="128" t="s">
        <v>134</v>
      </c>
      <c r="F4727" s="128">
        <v>16273049.35</v>
      </c>
      <c r="G4727" s="128">
        <v>6877661.9699999997</v>
      </c>
      <c r="H4727" s="128">
        <v>2335870.12</v>
      </c>
      <c r="I4727" s="128">
        <v>65417</v>
      </c>
    </row>
    <row r="4728" spans="1:9" ht="13.5">
      <c r="A4728" s="128">
        <v>2006</v>
      </c>
      <c r="B4728" s="128" t="s">
        <v>131</v>
      </c>
      <c r="C4728" s="128" t="s">
        <v>20</v>
      </c>
      <c r="D4728" s="128" t="s">
        <v>79</v>
      </c>
      <c r="E4728" s="128" t="s">
        <v>135</v>
      </c>
      <c r="F4728" s="128">
        <v>67576010.790000007</v>
      </c>
      <c r="G4728" s="128">
        <v>17892260.850000001</v>
      </c>
      <c r="H4728" s="128">
        <v>6049315.7699999996</v>
      </c>
      <c r="I4728" s="128">
        <v>138408</v>
      </c>
    </row>
    <row r="4729" spans="1:9" ht="13.5">
      <c r="A4729" s="128">
        <v>2006</v>
      </c>
      <c r="B4729" s="128" t="s">
        <v>131</v>
      </c>
      <c r="C4729" s="128" t="s">
        <v>20</v>
      </c>
      <c r="D4729" s="128" t="s">
        <v>79</v>
      </c>
      <c r="E4729" s="128" t="s">
        <v>136</v>
      </c>
      <c r="F4729" s="128">
        <v>21125743.969999999</v>
      </c>
      <c r="G4729" s="128">
        <v>16115748.48</v>
      </c>
      <c r="H4729" s="128">
        <v>5007950.8899999997</v>
      </c>
      <c r="I4729" s="128">
        <v>312428</v>
      </c>
    </row>
    <row r="4730" spans="1:9" ht="13.5">
      <c r="A4730" s="128">
        <v>2006</v>
      </c>
      <c r="B4730" s="128" t="s">
        <v>131</v>
      </c>
      <c r="C4730" s="128" t="s">
        <v>20</v>
      </c>
      <c r="D4730" s="128" t="s">
        <v>76</v>
      </c>
      <c r="E4730" s="128" t="s">
        <v>132</v>
      </c>
      <c r="F4730" s="128">
        <v>25763942.530000001</v>
      </c>
      <c r="G4730" s="128">
        <v>16531598.970000001</v>
      </c>
      <c r="H4730" s="128">
        <v>9230707.3000000007</v>
      </c>
      <c r="I4730" s="128">
        <v>332377</v>
      </c>
    </row>
    <row r="4731" spans="1:9" ht="13.5">
      <c r="A4731" s="128">
        <v>2006</v>
      </c>
      <c r="B4731" s="128" t="s">
        <v>131</v>
      </c>
      <c r="C4731" s="128" t="s">
        <v>20</v>
      </c>
      <c r="D4731" s="128" t="s">
        <v>76</v>
      </c>
      <c r="E4731" s="128" t="s">
        <v>133</v>
      </c>
      <c r="F4731" s="128">
        <v>46774823.829999998</v>
      </c>
      <c r="G4731" s="128">
        <v>25687224.68</v>
      </c>
      <c r="H4731" s="128">
        <v>21087391.829999998</v>
      </c>
      <c r="I4731" s="128">
        <v>214531</v>
      </c>
    </row>
    <row r="4732" spans="1:9" ht="13.5">
      <c r="A4732" s="128">
        <v>2006</v>
      </c>
      <c r="B4732" s="128" t="s">
        <v>131</v>
      </c>
      <c r="C4732" s="128" t="s">
        <v>20</v>
      </c>
      <c r="D4732" s="128" t="s">
        <v>76</v>
      </c>
      <c r="E4732" s="128" t="s">
        <v>134</v>
      </c>
      <c r="F4732" s="128">
        <v>35600547.560000002</v>
      </c>
      <c r="G4732" s="128">
        <v>16621213.9</v>
      </c>
      <c r="H4732" s="128">
        <v>18979143.879999999</v>
      </c>
      <c r="I4732" s="128">
        <v>231837</v>
      </c>
    </row>
    <row r="4733" spans="1:9" ht="13.5">
      <c r="A4733" s="128">
        <v>2006</v>
      </c>
      <c r="B4733" s="128" t="s">
        <v>131</v>
      </c>
      <c r="C4733" s="128" t="s">
        <v>20</v>
      </c>
      <c r="D4733" s="128" t="s">
        <v>76</v>
      </c>
      <c r="E4733" s="128" t="s">
        <v>135</v>
      </c>
      <c r="F4733" s="128">
        <v>3895035.99</v>
      </c>
      <c r="G4733" s="128">
        <v>1128254.1499999999</v>
      </c>
      <c r="H4733" s="128">
        <v>2766777.85</v>
      </c>
      <c r="I4733" s="128">
        <v>4528</v>
      </c>
    </row>
    <row r="4734" spans="1:9" ht="13.5">
      <c r="A4734" s="128">
        <v>2006</v>
      </c>
      <c r="B4734" s="128" t="s">
        <v>131</v>
      </c>
      <c r="C4734" s="128" t="s">
        <v>20</v>
      </c>
      <c r="D4734" s="128" t="s">
        <v>76</v>
      </c>
      <c r="E4734" s="128" t="s">
        <v>136</v>
      </c>
      <c r="F4734" s="128">
        <v>6422378.9500000002</v>
      </c>
      <c r="G4734" s="128">
        <v>4840742.2</v>
      </c>
      <c r="H4734" s="128">
        <v>1583003.42</v>
      </c>
      <c r="I4734" s="128">
        <v>148262</v>
      </c>
    </row>
    <row r="4735" spans="1:9" ht="13.5">
      <c r="A4735" s="128">
        <v>2006</v>
      </c>
      <c r="B4735" s="128" t="s">
        <v>131</v>
      </c>
      <c r="C4735" s="128" t="s">
        <v>27</v>
      </c>
      <c r="D4735" s="128" t="s">
        <v>77</v>
      </c>
      <c r="E4735" s="128" t="s">
        <v>132</v>
      </c>
      <c r="F4735" s="128">
        <v>14181.02</v>
      </c>
      <c r="G4735" s="128">
        <v>9211.25</v>
      </c>
      <c r="H4735" s="128">
        <v>4048</v>
      </c>
      <c r="I4735" s="128">
        <v>78</v>
      </c>
    </row>
    <row r="4736" spans="1:9" ht="13.5">
      <c r="A4736" s="128">
        <v>2006</v>
      </c>
      <c r="B4736" s="128" t="s">
        <v>131</v>
      </c>
      <c r="C4736" s="128" t="s">
        <v>27</v>
      </c>
      <c r="D4736" s="128" t="s">
        <v>77</v>
      </c>
      <c r="E4736" s="128" t="s">
        <v>133</v>
      </c>
      <c r="F4736" s="128">
        <v>21344.06</v>
      </c>
      <c r="G4736" s="128">
        <v>11306.2</v>
      </c>
      <c r="H4736" s="128">
        <v>6849.45</v>
      </c>
      <c r="I4736" s="128">
        <v>72</v>
      </c>
    </row>
    <row r="4737" spans="1:9" ht="13.5">
      <c r="A4737" s="128">
        <v>2006</v>
      </c>
      <c r="B4737" s="128" t="s">
        <v>131</v>
      </c>
      <c r="C4737" s="128" t="s">
        <v>27</v>
      </c>
      <c r="D4737" s="128" t="s">
        <v>77</v>
      </c>
      <c r="E4737" s="128" t="s">
        <v>134</v>
      </c>
      <c r="F4737" s="128">
        <v>96967.42</v>
      </c>
      <c r="G4737" s="128">
        <v>41145.050000000003</v>
      </c>
      <c r="H4737" s="128">
        <v>39195.4</v>
      </c>
      <c r="I4737" s="128">
        <v>159</v>
      </c>
    </row>
    <row r="4738" spans="1:9" ht="13.5">
      <c r="A4738" s="128">
        <v>2006</v>
      </c>
      <c r="B4738" s="128" t="s">
        <v>131</v>
      </c>
      <c r="C4738" s="128" t="s">
        <v>27</v>
      </c>
      <c r="D4738" s="128" t="s">
        <v>77</v>
      </c>
      <c r="E4738" s="128" t="s">
        <v>135</v>
      </c>
      <c r="F4738" s="128">
        <v>192356.91</v>
      </c>
      <c r="G4738" s="128">
        <v>53210.3</v>
      </c>
      <c r="H4738" s="128">
        <v>53342.37</v>
      </c>
      <c r="I4738" s="128">
        <v>518</v>
      </c>
    </row>
    <row r="4739" spans="1:9" ht="13.5">
      <c r="A4739" s="128">
        <v>2006</v>
      </c>
      <c r="B4739" s="128" t="s">
        <v>131</v>
      </c>
      <c r="C4739" s="128" t="s">
        <v>27</v>
      </c>
      <c r="D4739" s="128" t="s">
        <v>79</v>
      </c>
      <c r="E4739" s="128" t="s">
        <v>132</v>
      </c>
      <c r="F4739" s="128">
        <v>51707.4</v>
      </c>
      <c r="G4739" s="128">
        <v>33554</v>
      </c>
      <c r="H4739" s="128">
        <v>11256.85</v>
      </c>
      <c r="I4739" s="128">
        <v>286</v>
      </c>
    </row>
    <row r="4740" spans="1:9" ht="13.5">
      <c r="A4740" s="128">
        <v>2006</v>
      </c>
      <c r="B4740" s="128" t="s">
        <v>131</v>
      </c>
      <c r="C4740" s="128" t="s">
        <v>27</v>
      </c>
      <c r="D4740" s="128" t="s">
        <v>79</v>
      </c>
      <c r="E4740" s="128" t="s">
        <v>133</v>
      </c>
      <c r="F4740" s="128">
        <v>66063.009999999995</v>
      </c>
      <c r="G4740" s="128">
        <v>35988.5</v>
      </c>
      <c r="H4740" s="128">
        <v>12239.45</v>
      </c>
      <c r="I4740" s="128">
        <v>319</v>
      </c>
    </row>
    <row r="4741" spans="1:9" ht="13.5">
      <c r="A4741" s="128">
        <v>2006</v>
      </c>
      <c r="B4741" s="128" t="s">
        <v>131</v>
      </c>
      <c r="C4741" s="128" t="s">
        <v>27</v>
      </c>
      <c r="D4741" s="128" t="s">
        <v>79</v>
      </c>
      <c r="E4741" s="128" t="s">
        <v>134</v>
      </c>
      <c r="F4741" s="128">
        <v>153183.14000000001</v>
      </c>
      <c r="G4741" s="128">
        <v>65073.4</v>
      </c>
      <c r="H4741" s="128">
        <v>22477.99</v>
      </c>
      <c r="I4741" s="128">
        <v>1016</v>
      </c>
    </row>
    <row r="4742" spans="1:9" ht="13.5">
      <c r="A4742" s="128">
        <v>2006</v>
      </c>
      <c r="B4742" s="128" t="s">
        <v>131</v>
      </c>
      <c r="C4742" s="128" t="s">
        <v>27</v>
      </c>
      <c r="D4742" s="128" t="s">
        <v>79</v>
      </c>
      <c r="E4742" s="128" t="s">
        <v>135</v>
      </c>
      <c r="F4742" s="128">
        <v>577326.80000000005</v>
      </c>
      <c r="G4742" s="128">
        <v>166616.54999999999</v>
      </c>
      <c r="H4742" s="128">
        <v>57116.21</v>
      </c>
      <c r="I4742" s="128">
        <v>1299</v>
      </c>
    </row>
    <row r="4743" spans="1:9" ht="13.5">
      <c r="A4743" s="128">
        <v>2006</v>
      </c>
      <c r="B4743" s="128" t="s">
        <v>131</v>
      </c>
      <c r="C4743" s="128" t="s">
        <v>27</v>
      </c>
      <c r="D4743" s="128" t="s">
        <v>79</v>
      </c>
      <c r="E4743" s="128" t="s">
        <v>136</v>
      </c>
      <c r="F4743" s="128">
        <v>239683.69</v>
      </c>
      <c r="G4743" s="128">
        <v>182882.14</v>
      </c>
      <c r="H4743" s="128">
        <v>56801.55</v>
      </c>
      <c r="I4743" s="128">
        <v>2281</v>
      </c>
    </row>
    <row r="4744" spans="1:9" ht="13.5">
      <c r="A4744" s="128">
        <v>2006</v>
      </c>
      <c r="B4744" s="128" t="s">
        <v>131</v>
      </c>
      <c r="C4744" s="128" t="s">
        <v>27</v>
      </c>
      <c r="D4744" s="128" t="s">
        <v>76</v>
      </c>
      <c r="E4744" s="128" t="s">
        <v>132</v>
      </c>
      <c r="F4744" s="128">
        <v>232983.95</v>
      </c>
      <c r="G4744" s="128">
        <v>151274.70000000001</v>
      </c>
      <c r="H4744" s="128">
        <v>81709.100000000006</v>
      </c>
      <c r="I4744" s="128">
        <v>2425</v>
      </c>
    </row>
    <row r="4745" spans="1:9" ht="13.5">
      <c r="A4745" s="128">
        <v>2006</v>
      </c>
      <c r="B4745" s="128" t="s">
        <v>131</v>
      </c>
      <c r="C4745" s="128" t="s">
        <v>27</v>
      </c>
      <c r="D4745" s="128" t="s">
        <v>76</v>
      </c>
      <c r="E4745" s="128" t="s">
        <v>133</v>
      </c>
      <c r="F4745" s="128">
        <v>713751.59</v>
      </c>
      <c r="G4745" s="128">
        <v>387510.17</v>
      </c>
      <c r="H4745" s="128">
        <v>326228.71999999997</v>
      </c>
      <c r="I4745" s="128">
        <v>2325</v>
      </c>
    </row>
    <row r="4746" spans="1:9" ht="13.5">
      <c r="A4746" s="128">
        <v>2006</v>
      </c>
      <c r="B4746" s="128" t="s">
        <v>131</v>
      </c>
      <c r="C4746" s="128" t="s">
        <v>27</v>
      </c>
      <c r="D4746" s="128" t="s">
        <v>76</v>
      </c>
      <c r="E4746" s="128" t="s">
        <v>134</v>
      </c>
      <c r="F4746" s="128">
        <v>515389.08</v>
      </c>
      <c r="G4746" s="128">
        <v>236999.1</v>
      </c>
      <c r="H4746" s="128">
        <v>278366.73</v>
      </c>
      <c r="I4746" s="128">
        <v>2941</v>
      </c>
    </row>
    <row r="4747" spans="1:9" ht="13.5">
      <c r="A4747" s="128">
        <v>2006</v>
      </c>
      <c r="B4747" s="128" t="s">
        <v>131</v>
      </c>
      <c r="C4747" s="128" t="s">
        <v>27</v>
      </c>
      <c r="D4747" s="128" t="s">
        <v>76</v>
      </c>
      <c r="E4747" s="128" t="s">
        <v>135</v>
      </c>
      <c r="F4747" s="128">
        <v>47589.45</v>
      </c>
      <c r="G4747" s="128">
        <v>14072.8</v>
      </c>
      <c r="H4747" s="128">
        <v>33516.65</v>
      </c>
      <c r="I4747" s="128">
        <v>815</v>
      </c>
    </row>
    <row r="4748" spans="1:9" ht="13.5">
      <c r="A4748" s="128">
        <v>2006</v>
      </c>
      <c r="B4748" s="128" t="s">
        <v>131</v>
      </c>
      <c r="C4748" s="128" t="s">
        <v>27</v>
      </c>
      <c r="D4748" s="128" t="s">
        <v>76</v>
      </c>
      <c r="E4748" s="128" t="s">
        <v>136</v>
      </c>
      <c r="F4748" s="128">
        <v>47433.15</v>
      </c>
      <c r="G4748" s="128">
        <v>35859.9</v>
      </c>
      <c r="H4748" s="128">
        <v>11573.25</v>
      </c>
      <c r="I4748" s="128">
        <v>780</v>
      </c>
    </row>
    <row r="4749" spans="1:9" ht="13.5">
      <c r="A4749" s="128">
        <v>2006</v>
      </c>
      <c r="B4749" s="128" t="s">
        <v>131</v>
      </c>
      <c r="C4749" s="128" t="s">
        <v>22</v>
      </c>
      <c r="D4749" s="128" t="s">
        <v>77</v>
      </c>
      <c r="E4749" s="128" t="s">
        <v>132</v>
      </c>
      <c r="F4749" s="128">
        <v>552578.74</v>
      </c>
      <c r="G4749" s="128">
        <v>365136.18</v>
      </c>
      <c r="H4749" s="128">
        <v>163909.29999999999</v>
      </c>
      <c r="I4749" s="128">
        <v>3912</v>
      </c>
    </row>
    <row r="4750" spans="1:9" ht="13.5">
      <c r="A4750" s="128">
        <v>2006</v>
      </c>
      <c r="B4750" s="128" t="s">
        <v>131</v>
      </c>
      <c r="C4750" s="128" t="s">
        <v>22</v>
      </c>
      <c r="D4750" s="128" t="s">
        <v>77</v>
      </c>
      <c r="E4750" s="128" t="s">
        <v>133</v>
      </c>
      <c r="F4750" s="128">
        <v>1332920.73</v>
      </c>
      <c r="G4750" s="128">
        <v>721676.46</v>
      </c>
      <c r="H4750" s="128">
        <v>495497.06</v>
      </c>
      <c r="I4750" s="128">
        <v>6334</v>
      </c>
    </row>
    <row r="4751" spans="1:9" ht="13.5">
      <c r="A4751" s="128">
        <v>2006</v>
      </c>
      <c r="B4751" s="128" t="s">
        <v>131</v>
      </c>
      <c r="C4751" s="128" t="s">
        <v>22</v>
      </c>
      <c r="D4751" s="128" t="s">
        <v>77</v>
      </c>
      <c r="E4751" s="128" t="s">
        <v>134</v>
      </c>
      <c r="F4751" s="128">
        <v>4756822.03</v>
      </c>
      <c r="G4751" s="128">
        <v>2032227.04</v>
      </c>
      <c r="H4751" s="128">
        <v>1864192.82</v>
      </c>
      <c r="I4751" s="128">
        <v>14119</v>
      </c>
    </row>
    <row r="4752" spans="1:9" ht="13.5">
      <c r="A4752" s="128">
        <v>2006</v>
      </c>
      <c r="B4752" s="128" t="s">
        <v>131</v>
      </c>
      <c r="C4752" s="128" t="s">
        <v>22</v>
      </c>
      <c r="D4752" s="128" t="s">
        <v>77</v>
      </c>
      <c r="E4752" s="128" t="s">
        <v>135</v>
      </c>
      <c r="F4752" s="128">
        <v>7646079.8799999999</v>
      </c>
      <c r="G4752" s="128">
        <v>2173602.81</v>
      </c>
      <c r="H4752" s="128">
        <v>2379656.1800000002</v>
      </c>
      <c r="I4752" s="128">
        <v>24261</v>
      </c>
    </row>
    <row r="4753" spans="1:9" ht="13.5">
      <c r="A4753" s="128">
        <v>2006</v>
      </c>
      <c r="B4753" s="128" t="s">
        <v>131</v>
      </c>
      <c r="C4753" s="128" t="s">
        <v>22</v>
      </c>
      <c r="D4753" s="128" t="s">
        <v>79</v>
      </c>
      <c r="E4753" s="128" t="s">
        <v>132</v>
      </c>
      <c r="F4753" s="128">
        <v>2559543.85</v>
      </c>
      <c r="G4753" s="128">
        <v>1698234.34</v>
      </c>
      <c r="H4753" s="128">
        <v>570023.36</v>
      </c>
      <c r="I4753" s="128">
        <v>17218</v>
      </c>
    </row>
    <row r="4754" spans="1:9" ht="13.5">
      <c r="A4754" s="128">
        <v>2006</v>
      </c>
      <c r="B4754" s="128" t="s">
        <v>131</v>
      </c>
      <c r="C4754" s="128" t="s">
        <v>22</v>
      </c>
      <c r="D4754" s="128" t="s">
        <v>79</v>
      </c>
      <c r="E4754" s="128" t="s">
        <v>133</v>
      </c>
      <c r="F4754" s="128">
        <v>4747859.25</v>
      </c>
      <c r="G4754" s="128">
        <v>2597618.83</v>
      </c>
      <c r="H4754" s="128">
        <v>885523.7</v>
      </c>
      <c r="I4754" s="128">
        <v>26944</v>
      </c>
    </row>
    <row r="4755" spans="1:9" ht="13.5">
      <c r="A4755" s="128">
        <v>2006</v>
      </c>
      <c r="B4755" s="128" t="s">
        <v>131</v>
      </c>
      <c r="C4755" s="128" t="s">
        <v>22</v>
      </c>
      <c r="D4755" s="128" t="s">
        <v>79</v>
      </c>
      <c r="E4755" s="128" t="s">
        <v>134</v>
      </c>
      <c r="F4755" s="128">
        <v>11218513.289999999</v>
      </c>
      <c r="G4755" s="128">
        <v>4795173.7699999996</v>
      </c>
      <c r="H4755" s="128">
        <v>1624627.58</v>
      </c>
      <c r="I4755" s="128">
        <v>51993</v>
      </c>
    </row>
    <row r="4756" spans="1:9" ht="13.5">
      <c r="A4756" s="128">
        <v>2006</v>
      </c>
      <c r="B4756" s="128" t="s">
        <v>131</v>
      </c>
      <c r="C4756" s="128" t="s">
        <v>22</v>
      </c>
      <c r="D4756" s="128" t="s">
        <v>79</v>
      </c>
      <c r="E4756" s="128" t="s">
        <v>135</v>
      </c>
      <c r="F4756" s="128">
        <v>23513565.800000001</v>
      </c>
      <c r="G4756" s="128">
        <v>6317146.8200000003</v>
      </c>
      <c r="H4756" s="128">
        <v>2137041.86</v>
      </c>
      <c r="I4756" s="128">
        <v>56801</v>
      </c>
    </row>
    <row r="4757" spans="1:9" ht="13.5">
      <c r="A4757" s="128">
        <v>2006</v>
      </c>
      <c r="B4757" s="128" t="s">
        <v>131</v>
      </c>
      <c r="C4757" s="128" t="s">
        <v>22</v>
      </c>
      <c r="D4757" s="128" t="s">
        <v>79</v>
      </c>
      <c r="E4757" s="128" t="s">
        <v>136</v>
      </c>
      <c r="F4757" s="128">
        <v>7724117.5800000001</v>
      </c>
      <c r="G4757" s="128">
        <v>5879161.04</v>
      </c>
      <c r="H4757" s="128">
        <v>1844845.74</v>
      </c>
      <c r="I4757" s="128">
        <v>96319</v>
      </c>
    </row>
    <row r="4758" spans="1:9" ht="13.5">
      <c r="A4758" s="128">
        <v>2006</v>
      </c>
      <c r="B4758" s="128" t="s">
        <v>131</v>
      </c>
      <c r="C4758" s="128" t="s">
        <v>22</v>
      </c>
      <c r="D4758" s="128" t="s">
        <v>76</v>
      </c>
      <c r="E4758" s="128" t="s">
        <v>132</v>
      </c>
      <c r="F4758" s="128">
        <v>24162189.609999999</v>
      </c>
      <c r="G4758" s="128">
        <v>15626493.060000001</v>
      </c>
      <c r="H4758" s="128">
        <v>8535591.1799999997</v>
      </c>
      <c r="I4758" s="128">
        <v>396956</v>
      </c>
    </row>
    <row r="4759" spans="1:9" ht="13.5">
      <c r="A4759" s="128">
        <v>2006</v>
      </c>
      <c r="B4759" s="128" t="s">
        <v>131</v>
      </c>
      <c r="C4759" s="128" t="s">
        <v>22</v>
      </c>
      <c r="D4759" s="128" t="s">
        <v>76</v>
      </c>
      <c r="E4759" s="128" t="s">
        <v>133</v>
      </c>
      <c r="F4759" s="128">
        <v>37503686.82</v>
      </c>
      <c r="G4759" s="128">
        <v>20705456.280000001</v>
      </c>
      <c r="H4759" s="128">
        <v>16798155.170000002</v>
      </c>
      <c r="I4759" s="128">
        <v>198673</v>
      </c>
    </row>
    <row r="4760" spans="1:9" ht="13.5">
      <c r="A4760" s="128">
        <v>2006</v>
      </c>
      <c r="B4760" s="128" t="s">
        <v>131</v>
      </c>
      <c r="C4760" s="128" t="s">
        <v>22</v>
      </c>
      <c r="D4760" s="128" t="s">
        <v>76</v>
      </c>
      <c r="E4760" s="128" t="s">
        <v>134</v>
      </c>
      <c r="F4760" s="128">
        <v>21737165.489999998</v>
      </c>
      <c r="G4760" s="128">
        <v>10222020.52</v>
      </c>
      <c r="H4760" s="128">
        <v>11515093.789999999</v>
      </c>
      <c r="I4760" s="128">
        <v>157029</v>
      </c>
    </row>
    <row r="4761" spans="1:9" ht="13.5">
      <c r="A4761" s="128">
        <v>2006</v>
      </c>
      <c r="B4761" s="128" t="s">
        <v>131</v>
      </c>
      <c r="C4761" s="128" t="s">
        <v>22</v>
      </c>
      <c r="D4761" s="128" t="s">
        <v>76</v>
      </c>
      <c r="E4761" s="128" t="s">
        <v>135</v>
      </c>
      <c r="F4761" s="128">
        <v>3214499.15</v>
      </c>
      <c r="G4761" s="128">
        <v>895578.5</v>
      </c>
      <c r="H4761" s="128">
        <v>2318920.65</v>
      </c>
      <c r="I4761" s="128">
        <v>3063</v>
      </c>
    </row>
    <row r="4762" spans="1:9" ht="13.5">
      <c r="A4762" s="128">
        <v>2006</v>
      </c>
      <c r="B4762" s="128" t="s">
        <v>131</v>
      </c>
      <c r="C4762" s="128" t="s">
        <v>22</v>
      </c>
      <c r="D4762" s="128" t="s">
        <v>76</v>
      </c>
      <c r="E4762" s="128" t="s">
        <v>136</v>
      </c>
      <c r="F4762" s="128">
        <v>1452952.02</v>
      </c>
      <c r="G4762" s="128">
        <v>1095788.1200000001</v>
      </c>
      <c r="H4762" s="128">
        <v>357163.9</v>
      </c>
      <c r="I4762" s="128">
        <v>29908</v>
      </c>
    </row>
    <row r="4763" spans="1:9" ht="13.5">
      <c r="A4763" s="128">
        <v>2006</v>
      </c>
      <c r="B4763" s="128" t="s">
        <v>131</v>
      </c>
      <c r="C4763" s="128" t="s">
        <v>23</v>
      </c>
      <c r="D4763" s="128" t="s">
        <v>77</v>
      </c>
      <c r="E4763" s="128" t="s">
        <v>132</v>
      </c>
      <c r="F4763" s="128">
        <v>1260863.31</v>
      </c>
      <c r="G4763" s="128">
        <v>812268.6</v>
      </c>
      <c r="H4763" s="128">
        <v>398770.06</v>
      </c>
      <c r="I4763" s="128">
        <v>10151</v>
      </c>
    </row>
    <row r="4764" spans="1:9" ht="13.5">
      <c r="A4764" s="128">
        <v>2006</v>
      </c>
      <c r="B4764" s="128" t="s">
        <v>131</v>
      </c>
      <c r="C4764" s="128" t="s">
        <v>23</v>
      </c>
      <c r="D4764" s="128" t="s">
        <v>77</v>
      </c>
      <c r="E4764" s="128" t="s">
        <v>133</v>
      </c>
      <c r="F4764" s="128">
        <v>1742213.14</v>
      </c>
      <c r="G4764" s="128">
        <v>943203.05</v>
      </c>
      <c r="H4764" s="128">
        <v>725339.16</v>
      </c>
      <c r="I4764" s="128">
        <v>7171</v>
      </c>
    </row>
    <row r="4765" spans="1:9" ht="13.5">
      <c r="A4765" s="128">
        <v>2006</v>
      </c>
      <c r="B4765" s="128" t="s">
        <v>131</v>
      </c>
      <c r="C4765" s="128" t="s">
        <v>23</v>
      </c>
      <c r="D4765" s="128" t="s">
        <v>77</v>
      </c>
      <c r="E4765" s="128" t="s">
        <v>134</v>
      </c>
      <c r="F4765" s="128">
        <v>2141527.2400000002</v>
      </c>
      <c r="G4765" s="128">
        <v>974311.15</v>
      </c>
      <c r="H4765" s="128">
        <v>1000261.99</v>
      </c>
      <c r="I4765" s="128">
        <v>8771</v>
      </c>
    </row>
    <row r="4766" spans="1:9" ht="13.5">
      <c r="A4766" s="128">
        <v>2006</v>
      </c>
      <c r="B4766" s="128" t="s">
        <v>131</v>
      </c>
      <c r="C4766" s="128" t="s">
        <v>23</v>
      </c>
      <c r="D4766" s="128" t="s">
        <v>77</v>
      </c>
      <c r="E4766" s="128" t="s">
        <v>135</v>
      </c>
      <c r="F4766" s="128">
        <v>1121941.07</v>
      </c>
      <c r="G4766" s="128">
        <v>297078</v>
      </c>
      <c r="H4766" s="128">
        <v>356304.32</v>
      </c>
      <c r="I4766" s="128">
        <v>2560</v>
      </c>
    </row>
    <row r="4767" spans="1:9" ht="13.5">
      <c r="A4767" s="128">
        <v>2006</v>
      </c>
      <c r="B4767" s="128" t="s">
        <v>131</v>
      </c>
      <c r="C4767" s="128" t="s">
        <v>23</v>
      </c>
      <c r="D4767" s="128" t="s">
        <v>79</v>
      </c>
      <c r="E4767" s="128" t="s">
        <v>132</v>
      </c>
      <c r="F4767" s="128">
        <v>396376.54</v>
      </c>
      <c r="G4767" s="128">
        <v>260711.06</v>
      </c>
      <c r="H4767" s="128">
        <v>90922.5</v>
      </c>
      <c r="I4767" s="128">
        <v>4066</v>
      </c>
    </row>
    <row r="4768" spans="1:9" ht="13.5">
      <c r="A4768" s="128">
        <v>2006</v>
      </c>
      <c r="B4768" s="128" t="s">
        <v>131</v>
      </c>
      <c r="C4768" s="128" t="s">
        <v>23</v>
      </c>
      <c r="D4768" s="128" t="s">
        <v>79</v>
      </c>
      <c r="E4768" s="128" t="s">
        <v>133</v>
      </c>
      <c r="F4768" s="128">
        <v>661038.43000000005</v>
      </c>
      <c r="G4768" s="128">
        <v>359280.36</v>
      </c>
      <c r="H4768" s="128">
        <v>141524.79</v>
      </c>
      <c r="I4768" s="128">
        <v>5051</v>
      </c>
    </row>
    <row r="4769" spans="1:9" ht="13.5">
      <c r="A4769" s="128">
        <v>2006</v>
      </c>
      <c r="B4769" s="128" t="s">
        <v>131</v>
      </c>
      <c r="C4769" s="128" t="s">
        <v>23</v>
      </c>
      <c r="D4769" s="128" t="s">
        <v>79</v>
      </c>
      <c r="E4769" s="128" t="s">
        <v>134</v>
      </c>
      <c r="F4769" s="128">
        <v>608978.88</v>
      </c>
      <c r="G4769" s="128">
        <v>262952.31</v>
      </c>
      <c r="H4769" s="128">
        <v>119146.56</v>
      </c>
      <c r="I4769" s="128">
        <v>3787</v>
      </c>
    </row>
    <row r="4770" spans="1:9" ht="13.5">
      <c r="A4770" s="128">
        <v>2006</v>
      </c>
      <c r="B4770" s="128" t="s">
        <v>131</v>
      </c>
      <c r="C4770" s="128" t="s">
        <v>23</v>
      </c>
      <c r="D4770" s="128" t="s">
        <v>79</v>
      </c>
      <c r="E4770" s="128" t="s">
        <v>135</v>
      </c>
      <c r="F4770" s="128">
        <v>1016864.79</v>
      </c>
      <c r="G4770" s="128">
        <v>279588.52</v>
      </c>
      <c r="H4770" s="128">
        <v>100615.79</v>
      </c>
      <c r="I4770" s="128">
        <v>2655</v>
      </c>
    </row>
    <row r="4771" spans="1:9" ht="13.5">
      <c r="A4771" s="128">
        <v>2006</v>
      </c>
      <c r="B4771" s="128" t="s">
        <v>131</v>
      </c>
      <c r="C4771" s="128" t="s">
        <v>23</v>
      </c>
      <c r="D4771" s="128" t="s">
        <v>79</v>
      </c>
      <c r="E4771" s="128" t="s">
        <v>136</v>
      </c>
      <c r="F4771" s="128">
        <v>6643967.29</v>
      </c>
      <c r="G4771" s="128">
        <v>5009465.8499999996</v>
      </c>
      <c r="H4771" s="128">
        <v>1634270.49</v>
      </c>
      <c r="I4771" s="128">
        <v>57098</v>
      </c>
    </row>
    <row r="4772" spans="1:9" ht="13.5">
      <c r="A4772" s="128">
        <v>2006</v>
      </c>
      <c r="B4772" s="128" t="s">
        <v>131</v>
      </c>
      <c r="C4772" s="128" t="s">
        <v>23</v>
      </c>
      <c r="D4772" s="128" t="s">
        <v>76</v>
      </c>
      <c r="E4772" s="128" t="s">
        <v>132</v>
      </c>
      <c r="F4772" s="128">
        <v>8406182.1899999995</v>
      </c>
      <c r="G4772" s="128">
        <v>5621920.9100000001</v>
      </c>
      <c r="H4772" s="128">
        <v>2784167.63</v>
      </c>
      <c r="I4772" s="128">
        <v>146812</v>
      </c>
    </row>
    <row r="4773" spans="1:9" ht="13.5">
      <c r="A4773" s="128">
        <v>2006</v>
      </c>
      <c r="B4773" s="128" t="s">
        <v>131</v>
      </c>
      <c r="C4773" s="128" t="s">
        <v>23</v>
      </c>
      <c r="D4773" s="128" t="s">
        <v>76</v>
      </c>
      <c r="E4773" s="128" t="s">
        <v>133</v>
      </c>
      <c r="F4773" s="128">
        <v>18661025.489999998</v>
      </c>
      <c r="G4773" s="128">
        <v>10208851.800000001</v>
      </c>
      <c r="H4773" s="128">
        <v>8452149.6999999993</v>
      </c>
      <c r="I4773" s="128">
        <v>89128</v>
      </c>
    </row>
    <row r="4774" spans="1:9" ht="13.5">
      <c r="A4774" s="128">
        <v>2006</v>
      </c>
      <c r="B4774" s="128" t="s">
        <v>131</v>
      </c>
      <c r="C4774" s="128" t="s">
        <v>23</v>
      </c>
      <c r="D4774" s="128" t="s">
        <v>76</v>
      </c>
      <c r="E4774" s="128" t="s">
        <v>134</v>
      </c>
      <c r="F4774" s="128">
        <v>14958388.710000001</v>
      </c>
      <c r="G4774" s="128">
        <v>6907297.0800000001</v>
      </c>
      <c r="H4774" s="128">
        <v>8051067.71</v>
      </c>
      <c r="I4774" s="128">
        <v>76691</v>
      </c>
    </row>
    <row r="4775" spans="1:9" ht="13.5">
      <c r="A4775" s="128">
        <v>2006</v>
      </c>
      <c r="B4775" s="128" t="s">
        <v>131</v>
      </c>
      <c r="C4775" s="128" t="s">
        <v>23</v>
      </c>
      <c r="D4775" s="128" t="s">
        <v>76</v>
      </c>
      <c r="E4775" s="128" t="s">
        <v>135</v>
      </c>
      <c r="F4775" s="128">
        <v>985289.12</v>
      </c>
      <c r="G4775" s="128">
        <v>261182.33</v>
      </c>
      <c r="H4775" s="128">
        <v>724106.79</v>
      </c>
      <c r="I4775" s="128">
        <v>789</v>
      </c>
    </row>
    <row r="4776" spans="1:9" ht="13.5">
      <c r="A4776" s="128">
        <v>2006</v>
      </c>
      <c r="B4776" s="128" t="s">
        <v>131</v>
      </c>
      <c r="C4776" s="128" t="s">
        <v>23</v>
      </c>
      <c r="D4776" s="128" t="s">
        <v>76</v>
      </c>
      <c r="E4776" s="128" t="s">
        <v>136</v>
      </c>
      <c r="F4776" s="128">
        <v>2063674.69</v>
      </c>
      <c r="G4776" s="128">
        <v>1553275.31</v>
      </c>
      <c r="H4776" s="128">
        <v>510399.43</v>
      </c>
      <c r="I4776" s="128">
        <v>22053</v>
      </c>
    </row>
    <row r="4777" spans="1:9" ht="13.5">
      <c r="A4777" s="128">
        <v>2006</v>
      </c>
      <c r="B4777" s="128" t="s">
        <v>131</v>
      </c>
      <c r="C4777" s="128" t="s">
        <v>25</v>
      </c>
      <c r="D4777" s="128" t="s">
        <v>77</v>
      </c>
      <c r="E4777" s="128" t="s">
        <v>132</v>
      </c>
      <c r="F4777" s="128">
        <v>58997.56</v>
      </c>
      <c r="G4777" s="128">
        <v>39672.75</v>
      </c>
      <c r="H4777" s="128">
        <v>15872.29</v>
      </c>
      <c r="I4777" s="128">
        <v>309</v>
      </c>
    </row>
    <row r="4778" spans="1:9" ht="13.5">
      <c r="A4778" s="128">
        <v>2006</v>
      </c>
      <c r="B4778" s="128" t="s">
        <v>131</v>
      </c>
      <c r="C4778" s="128" t="s">
        <v>25</v>
      </c>
      <c r="D4778" s="128" t="s">
        <v>77</v>
      </c>
      <c r="E4778" s="128" t="s">
        <v>133</v>
      </c>
      <c r="F4778" s="128">
        <v>81861.69</v>
      </c>
      <c r="G4778" s="128">
        <v>43830.2</v>
      </c>
      <c r="H4778" s="128">
        <v>31944.26</v>
      </c>
      <c r="I4778" s="128">
        <v>357</v>
      </c>
    </row>
    <row r="4779" spans="1:9" ht="13.5">
      <c r="A4779" s="128">
        <v>2006</v>
      </c>
      <c r="B4779" s="128" t="s">
        <v>131</v>
      </c>
      <c r="C4779" s="128" t="s">
        <v>25</v>
      </c>
      <c r="D4779" s="128" t="s">
        <v>77</v>
      </c>
      <c r="E4779" s="128" t="s">
        <v>134</v>
      </c>
      <c r="F4779" s="128">
        <v>365815.43</v>
      </c>
      <c r="G4779" s="128">
        <v>157265.29999999999</v>
      </c>
      <c r="H4779" s="128">
        <v>159302.15</v>
      </c>
      <c r="I4779" s="128">
        <v>1096</v>
      </c>
    </row>
    <row r="4780" spans="1:9" ht="13.5">
      <c r="A4780" s="128">
        <v>2006</v>
      </c>
      <c r="B4780" s="128" t="s">
        <v>131</v>
      </c>
      <c r="C4780" s="128" t="s">
        <v>25</v>
      </c>
      <c r="D4780" s="128" t="s">
        <v>77</v>
      </c>
      <c r="E4780" s="128" t="s">
        <v>135</v>
      </c>
      <c r="F4780" s="128">
        <v>759565.09</v>
      </c>
      <c r="G4780" s="128">
        <v>231866.95</v>
      </c>
      <c r="H4780" s="128">
        <v>260739.12</v>
      </c>
      <c r="I4780" s="128">
        <v>2706</v>
      </c>
    </row>
    <row r="4781" spans="1:9" ht="13.5">
      <c r="A4781" s="128">
        <v>2006</v>
      </c>
      <c r="B4781" s="128" t="s">
        <v>131</v>
      </c>
      <c r="C4781" s="128" t="s">
        <v>25</v>
      </c>
      <c r="D4781" s="128" t="s">
        <v>79</v>
      </c>
      <c r="E4781" s="128" t="s">
        <v>132</v>
      </c>
      <c r="F4781" s="128">
        <v>233594.01</v>
      </c>
      <c r="G4781" s="128">
        <v>155219.95000000001</v>
      </c>
      <c r="H4781" s="128">
        <v>52567.01</v>
      </c>
      <c r="I4781" s="128">
        <v>1710</v>
      </c>
    </row>
    <row r="4782" spans="1:9" ht="13.5">
      <c r="A4782" s="128">
        <v>2006</v>
      </c>
      <c r="B4782" s="128" t="s">
        <v>131</v>
      </c>
      <c r="C4782" s="128" t="s">
        <v>25</v>
      </c>
      <c r="D4782" s="128" t="s">
        <v>79</v>
      </c>
      <c r="E4782" s="128" t="s">
        <v>133</v>
      </c>
      <c r="F4782" s="128">
        <v>317153.07</v>
      </c>
      <c r="G4782" s="128">
        <v>174075.83</v>
      </c>
      <c r="H4782" s="128">
        <v>58538.14</v>
      </c>
      <c r="I4782" s="128">
        <v>1118</v>
      </c>
    </row>
    <row r="4783" spans="1:9" ht="13.5">
      <c r="A4783" s="128">
        <v>2006</v>
      </c>
      <c r="B4783" s="128" t="s">
        <v>131</v>
      </c>
      <c r="C4783" s="128" t="s">
        <v>25</v>
      </c>
      <c r="D4783" s="128" t="s">
        <v>79</v>
      </c>
      <c r="E4783" s="128" t="s">
        <v>134</v>
      </c>
      <c r="F4783" s="128">
        <v>579196.30000000005</v>
      </c>
      <c r="G4783" s="128">
        <v>244066.25</v>
      </c>
      <c r="H4783" s="128">
        <v>83099.360000000001</v>
      </c>
      <c r="I4783" s="128">
        <v>2763</v>
      </c>
    </row>
    <row r="4784" spans="1:9" ht="13.5">
      <c r="A4784" s="128">
        <v>2006</v>
      </c>
      <c r="B4784" s="128" t="s">
        <v>131</v>
      </c>
      <c r="C4784" s="128" t="s">
        <v>25</v>
      </c>
      <c r="D4784" s="128" t="s">
        <v>79</v>
      </c>
      <c r="E4784" s="128" t="s">
        <v>135</v>
      </c>
      <c r="F4784" s="128">
        <v>1665790.38</v>
      </c>
      <c r="G4784" s="128">
        <v>422087.54</v>
      </c>
      <c r="H4784" s="128">
        <v>142803.51999999999</v>
      </c>
      <c r="I4784" s="128">
        <v>3306</v>
      </c>
    </row>
    <row r="4785" spans="1:9" ht="13.5">
      <c r="A4785" s="128">
        <v>2006</v>
      </c>
      <c r="B4785" s="128" t="s">
        <v>131</v>
      </c>
      <c r="C4785" s="128" t="s">
        <v>25</v>
      </c>
      <c r="D4785" s="128" t="s">
        <v>79</v>
      </c>
      <c r="E4785" s="128" t="s">
        <v>136</v>
      </c>
      <c r="F4785" s="128">
        <v>1427789.96</v>
      </c>
      <c r="G4785" s="128">
        <v>1077809.3899999999</v>
      </c>
      <c r="H4785" s="128">
        <v>349980.57</v>
      </c>
      <c r="I4785" s="128">
        <v>19546</v>
      </c>
    </row>
    <row r="4786" spans="1:9" ht="13.5">
      <c r="A4786" s="128">
        <v>2006</v>
      </c>
      <c r="B4786" s="128" t="s">
        <v>131</v>
      </c>
      <c r="C4786" s="128" t="s">
        <v>25</v>
      </c>
      <c r="D4786" s="128" t="s">
        <v>76</v>
      </c>
      <c r="E4786" s="128" t="s">
        <v>132</v>
      </c>
      <c r="F4786" s="128">
        <v>2151315.62</v>
      </c>
      <c r="G4786" s="128">
        <v>1399328.31</v>
      </c>
      <c r="H4786" s="128">
        <v>751981.49</v>
      </c>
      <c r="I4786" s="128">
        <v>30493</v>
      </c>
    </row>
    <row r="4787" spans="1:9" ht="13.5">
      <c r="A4787" s="128">
        <v>2006</v>
      </c>
      <c r="B4787" s="128" t="s">
        <v>131</v>
      </c>
      <c r="C4787" s="128" t="s">
        <v>25</v>
      </c>
      <c r="D4787" s="128" t="s">
        <v>76</v>
      </c>
      <c r="E4787" s="128" t="s">
        <v>133</v>
      </c>
      <c r="F4787" s="128">
        <v>3812659.56</v>
      </c>
      <c r="G4787" s="128">
        <v>2084025.05</v>
      </c>
      <c r="H4787" s="128">
        <v>1729538.44</v>
      </c>
      <c r="I4787" s="128">
        <v>13736</v>
      </c>
    </row>
    <row r="4788" spans="1:9" ht="13.5">
      <c r="A4788" s="128">
        <v>2006</v>
      </c>
      <c r="B4788" s="128" t="s">
        <v>131</v>
      </c>
      <c r="C4788" s="128" t="s">
        <v>25</v>
      </c>
      <c r="D4788" s="128" t="s">
        <v>76</v>
      </c>
      <c r="E4788" s="128" t="s">
        <v>134</v>
      </c>
      <c r="F4788" s="128">
        <v>2662990.0699999998</v>
      </c>
      <c r="G4788" s="128">
        <v>1236687.22</v>
      </c>
      <c r="H4788" s="128">
        <v>1426301.05</v>
      </c>
      <c r="I4788" s="128">
        <v>18614</v>
      </c>
    </row>
    <row r="4789" spans="1:9" ht="13.5">
      <c r="A4789" s="128">
        <v>2006</v>
      </c>
      <c r="B4789" s="128" t="s">
        <v>131</v>
      </c>
      <c r="C4789" s="128" t="s">
        <v>25</v>
      </c>
      <c r="D4789" s="128" t="s">
        <v>76</v>
      </c>
      <c r="E4789" s="128" t="s">
        <v>135</v>
      </c>
      <c r="F4789" s="128">
        <v>327579.55</v>
      </c>
      <c r="G4789" s="128">
        <v>92116.05</v>
      </c>
      <c r="H4789" s="128">
        <v>234559.5</v>
      </c>
      <c r="I4789" s="128">
        <v>348</v>
      </c>
    </row>
    <row r="4790" spans="1:9" ht="13.5">
      <c r="A4790" s="128">
        <v>2006</v>
      </c>
      <c r="B4790" s="128" t="s">
        <v>131</v>
      </c>
      <c r="C4790" s="128" t="s">
        <v>25</v>
      </c>
      <c r="D4790" s="128" t="s">
        <v>76</v>
      </c>
      <c r="E4790" s="128" t="s">
        <v>136</v>
      </c>
      <c r="F4790" s="128">
        <v>160587.66</v>
      </c>
      <c r="G4790" s="128">
        <v>121644.73</v>
      </c>
      <c r="H4790" s="128">
        <v>38942.93</v>
      </c>
      <c r="I4790" s="128">
        <v>1747</v>
      </c>
    </row>
    <row r="4791" spans="1:9" ht="13.5">
      <c r="A4791" s="128">
        <v>2006</v>
      </c>
      <c r="B4791" s="128" t="s">
        <v>131</v>
      </c>
      <c r="C4791" s="128" t="s">
        <v>21</v>
      </c>
      <c r="D4791" s="128" t="s">
        <v>77</v>
      </c>
      <c r="E4791" s="128" t="s">
        <v>132</v>
      </c>
      <c r="F4791" s="128">
        <v>2159103.7999999998</v>
      </c>
      <c r="G4791" s="128">
        <v>1417821.25</v>
      </c>
      <c r="H4791" s="128">
        <v>654498.62</v>
      </c>
      <c r="I4791" s="128">
        <v>10824</v>
      </c>
    </row>
    <row r="4792" spans="1:9" ht="13.5">
      <c r="A4792" s="128">
        <v>2006</v>
      </c>
      <c r="B4792" s="128" t="s">
        <v>131</v>
      </c>
      <c r="C4792" s="128" t="s">
        <v>21</v>
      </c>
      <c r="D4792" s="128" t="s">
        <v>77</v>
      </c>
      <c r="E4792" s="128" t="s">
        <v>133</v>
      </c>
      <c r="F4792" s="128">
        <v>3500051.43</v>
      </c>
      <c r="G4792" s="128">
        <v>1906478.71</v>
      </c>
      <c r="H4792" s="128">
        <v>1278471.31</v>
      </c>
      <c r="I4792" s="128">
        <v>14260</v>
      </c>
    </row>
    <row r="4793" spans="1:9" ht="13.5">
      <c r="A4793" s="128">
        <v>2006</v>
      </c>
      <c r="B4793" s="128" t="s">
        <v>131</v>
      </c>
      <c r="C4793" s="128" t="s">
        <v>21</v>
      </c>
      <c r="D4793" s="128" t="s">
        <v>77</v>
      </c>
      <c r="E4793" s="128" t="s">
        <v>134</v>
      </c>
      <c r="F4793" s="128">
        <v>6957150.3300000001</v>
      </c>
      <c r="G4793" s="128">
        <v>2988505.75</v>
      </c>
      <c r="H4793" s="128">
        <v>2624014.83</v>
      </c>
      <c r="I4793" s="128">
        <v>29027</v>
      </c>
    </row>
    <row r="4794" spans="1:9" ht="13.5">
      <c r="A4794" s="128">
        <v>2006</v>
      </c>
      <c r="B4794" s="128" t="s">
        <v>131</v>
      </c>
      <c r="C4794" s="128" t="s">
        <v>21</v>
      </c>
      <c r="D4794" s="128" t="s">
        <v>77</v>
      </c>
      <c r="E4794" s="128" t="s">
        <v>135</v>
      </c>
      <c r="F4794" s="128">
        <v>6556953.04</v>
      </c>
      <c r="G4794" s="128">
        <v>1909061.87</v>
      </c>
      <c r="H4794" s="128">
        <v>1895674.85</v>
      </c>
      <c r="I4794" s="128">
        <v>18597</v>
      </c>
    </row>
    <row r="4795" spans="1:9" ht="13.5">
      <c r="A4795" s="128">
        <v>2006</v>
      </c>
      <c r="B4795" s="128" t="s">
        <v>131</v>
      </c>
      <c r="C4795" s="128" t="s">
        <v>21</v>
      </c>
      <c r="D4795" s="128" t="s">
        <v>79</v>
      </c>
      <c r="E4795" s="128" t="s">
        <v>132</v>
      </c>
      <c r="F4795" s="128">
        <v>2709639.34</v>
      </c>
      <c r="G4795" s="128">
        <v>1799596.41</v>
      </c>
      <c r="H4795" s="128">
        <v>612321.05000000005</v>
      </c>
      <c r="I4795" s="128">
        <v>20935</v>
      </c>
    </row>
    <row r="4796" spans="1:9" ht="13.5">
      <c r="A4796" s="128">
        <v>2006</v>
      </c>
      <c r="B4796" s="128" t="s">
        <v>131</v>
      </c>
      <c r="C4796" s="128" t="s">
        <v>21</v>
      </c>
      <c r="D4796" s="128" t="s">
        <v>79</v>
      </c>
      <c r="E4796" s="128" t="s">
        <v>133</v>
      </c>
      <c r="F4796" s="128">
        <v>2890389.87</v>
      </c>
      <c r="G4796" s="128">
        <v>1588913.52</v>
      </c>
      <c r="H4796" s="128">
        <v>580381.42000000004</v>
      </c>
      <c r="I4796" s="128">
        <v>16683</v>
      </c>
    </row>
    <row r="4797" spans="1:9" ht="13.5">
      <c r="A4797" s="128">
        <v>2006</v>
      </c>
      <c r="B4797" s="128" t="s">
        <v>131</v>
      </c>
      <c r="C4797" s="128" t="s">
        <v>21</v>
      </c>
      <c r="D4797" s="128" t="s">
        <v>79</v>
      </c>
      <c r="E4797" s="128" t="s">
        <v>134</v>
      </c>
      <c r="F4797" s="128">
        <v>6843245.9900000002</v>
      </c>
      <c r="G4797" s="128">
        <v>2921883.04</v>
      </c>
      <c r="H4797" s="128">
        <v>1018263.76</v>
      </c>
      <c r="I4797" s="128">
        <v>47137</v>
      </c>
    </row>
    <row r="4798" spans="1:9" ht="13.5">
      <c r="A4798" s="128">
        <v>2006</v>
      </c>
      <c r="B4798" s="128" t="s">
        <v>131</v>
      </c>
      <c r="C4798" s="128" t="s">
        <v>21</v>
      </c>
      <c r="D4798" s="128" t="s">
        <v>79</v>
      </c>
      <c r="E4798" s="128" t="s">
        <v>135</v>
      </c>
      <c r="F4798" s="128">
        <v>12119088.619999999</v>
      </c>
      <c r="G4798" s="128">
        <v>3219751.55</v>
      </c>
      <c r="H4798" s="128">
        <v>1119004</v>
      </c>
      <c r="I4798" s="128">
        <v>28734</v>
      </c>
    </row>
    <row r="4799" spans="1:9" ht="13.5">
      <c r="A4799" s="128">
        <v>2006</v>
      </c>
      <c r="B4799" s="128" t="s">
        <v>131</v>
      </c>
      <c r="C4799" s="128" t="s">
        <v>21</v>
      </c>
      <c r="D4799" s="128" t="s">
        <v>79</v>
      </c>
      <c r="E4799" s="128" t="s">
        <v>136</v>
      </c>
      <c r="F4799" s="128">
        <v>14068934.41</v>
      </c>
      <c r="G4799" s="128">
        <v>10598029.1</v>
      </c>
      <c r="H4799" s="128">
        <v>3470887.36</v>
      </c>
      <c r="I4799" s="128">
        <v>161540</v>
      </c>
    </row>
    <row r="4800" spans="1:9" ht="13.5">
      <c r="A4800" s="128">
        <v>2006</v>
      </c>
      <c r="B4800" s="128" t="s">
        <v>131</v>
      </c>
      <c r="C4800" s="128" t="s">
        <v>21</v>
      </c>
      <c r="D4800" s="128" t="s">
        <v>76</v>
      </c>
      <c r="E4800" s="128" t="s">
        <v>132</v>
      </c>
      <c r="F4800" s="128">
        <v>25605979.829999998</v>
      </c>
      <c r="G4800" s="128">
        <v>16566050.869999999</v>
      </c>
      <c r="H4800" s="128">
        <v>9039831.8599999994</v>
      </c>
      <c r="I4800" s="128">
        <v>328989</v>
      </c>
    </row>
    <row r="4801" spans="1:9" ht="13.5">
      <c r="A4801" s="128">
        <v>2006</v>
      </c>
      <c r="B4801" s="128" t="s">
        <v>131</v>
      </c>
      <c r="C4801" s="128" t="s">
        <v>21</v>
      </c>
      <c r="D4801" s="128" t="s">
        <v>76</v>
      </c>
      <c r="E4801" s="128" t="s">
        <v>133</v>
      </c>
      <c r="F4801" s="128">
        <v>57895920.649999999</v>
      </c>
      <c r="G4801" s="128">
        <v>32014547.59</v>
      </c>
      <c r="H4801" s="128">
        <v>25881312.859999999</v>
      </c>
      <c r="I4801" s="128">
        <v>350814</v>
      </c>
    </row>
    <row r="4802" spans="1:9" ht="13.5">
      <c r="A4802" s="128">
        <v>2006</v>
      </c>
      <c r="B4802" s="128" t="s">
        <v>131</v>
      </c>
      <c r="C4802" s="128" t="s">
        <v>21</v>
      </c>
      <c r="D4802" s="128" t="s">
        <v>76</v>
      </c>
      <c r="E4802" s="128" t="s">
        <v>134</v>
      </c>
      <c r="F4802" s="128">
        <v>39843076.909999996</v>
      </c>
      <c r="G4802" s="128">
        <v>18439433.960000001</v>
      </c>
      <c r="H4802" s="128">
        <v>21403544.879999999</v>
      </c>
      <c r="I4802" s="128">
        <v>262797</v>
      </c>
    </row>
    <row r="4803" spans="1:9" ht="13.5">
      <c r="A4803" s="128">
        <v>2006</v>
      </c>
      <c r="B4803" s="128" t="s">
        <v>131</v>
      </c>
      <c r="C4803" s="128" t="s">
        <v>21</v>
      </c>
      <c r="D4803" s="128" t="s">
        <v>76</v>
      </c>
      <c r="E4803" s="128" t="s">
        <v>135</v>
      </c>
      <c r="F4803" s="128">
        <v>2593565.02</v>
      </c>
      <c r="G4803" s="128">
        <v>732021.65</v>
      </c>
      <c r="H4803" s="128">
        <v>1861543.77</v>
      </c>
      <c r="I4803" s="128">
        <v>2542</v>
      </c>
    </row>
    <row r="4804" spans="1:9" ht="13.5">
      <c r="A4804" s="128">
        <v>2006</v>
      </c>
      <c r="B4804" s="128" t="s">
        <v>131</v>
      </c>
      <c r="C4804" s="128" t="s">
        <v>21</v>
      </c>
      <c r="D4804" s="128" t="s">
        <v>76</v>
      </c>
      <c r="E4804" s="128" t="s">
        <v>136</v>
      </c>
      <c r="F4804" s="128">
        <v>6096165.5599999996</v>
      </c>
      <c r="G4804" s="128">
        <v>4592455.96</v>
      </c>
      <c r="H4804" s="128">
        <v>1503703.6</v>
      </c>
      <c r="I4804" s="128">
        <v>103337</v>
      </c>
    </row>
    <row r="4805" spans="1:9" ht="13.5">
      <c r="A4805" s="128">
        <v>2006</v>
      </c>
      <c r="B4805" s="128" t="s">
        <v>131</v>
      </c>
      <c r="C4805" s="128" t="s">
        <v>24</v>
      </c>
      <c r="D4805" s="128" t="s">
        <v>77</v>
      </c>
      <c r="E4805" s="128" t="s">
        <v>132</v>
      </c>
      <c r="F4805" s="128">
        <v>1380105.58</v>
      </c>
      <c r="G4805" s="128">
        <v>934793</v>
      </c>
      <c r="H4805" s="128">
        <v>412348.94</v>
      </c>
      <c r="I4805" s="128">
        <v>10010</v>
      </c>
    </row>
    <row r="4806" spans="1:9" ht="13.5">
      <c r="A4806" s="128">
        <v>2006</v>
      </c>
      <c r="B4806" s="128" t="s">
        <v>131</v>
      </c>
      <c r="C4806" s="128" t="s">
        <v>24</v>
      </c>
      <c r="D4806" s="128" t="s">
        <v>77</v>
      </c>
      <c r="E4806" s="128" t="s">
        <v>133</v>
      </c>
      <c r="F4806" s="128">
        <v>3017099.06</v>
      </c>
      <c r="G4806" s="128">
        <v>1642650.35</v>
      </c>
      <c r="H4806" s="128">
        <v>1107161.97</v>
      </c>
      <c r="I4806" s="128">
        <v>13137</v>
      </c>
    </row>
    <row r="4807" spans="1:9" ht="13.5">
      <c r="A4807" s="128">
        <v>2006</v>
      </c>
      <c r="B4807" s="128" t="s">
        <v>131</v>
      </c>
      <c r="C4807" s="128" t="s">
        <v>24</v>
      </c>
      <c r="D4807" s="128" t="s">
        <v>77</v>
      </c>
      <c r="E4807" s="128" t="s">
        <v>134</v>
      </c>
      <c r="F4807" s="128">
        <v>4975502.26</v>
      </c>
      <c r="G4807" s="128">
        <v>2195220.85</v>
      </c>
      <c r="H4807" s="128">
        <v>1578889.54</v>
      </c>
      <c r="I4807" s="128">
        <v>19290</v>
      </c>
    </row>
    <row r="4808" spans="1:9" ht="13.5">
      <c r="A4808" s="128">
        <v>2006</v>
      </c>
      <c r="B4808" s="128" t="s">
        <v>131</v>
      </c>
      <c r="C4808" s="128" t="s">
        <v>24</v>
      </c>
      <c r="D4808" s="128" t="s">
        <v>77</v>
      </c>
      <c r="E4808" s="128" t="s">
        <v>135</v>
      </c>
      <c r="F4808" s="128">
        <v>7948363.7800000003</v>
      </c>
      <c r="G4808" s="128">
        <v>1778020.6</v>
      </c>
      <c r="H4808" s="128">
        <v>1414964.73</v>
      </c>
      <c r="I4808" s="128">
        <v>18015</v>
      </c>
    </row>
    <row r="4809" spans="1:9" ht="13.5">
      <c r="A4809" s="128">
        <v>2006</v>
      </c>
      <c r="B4809" s="128" t="s">
        <v>131</v>
      </c>
      <c r="C4809" s="128" t="s">
        <v>24</v>
      </c>
      <c r="D4809" s="128" t="s">
        <v>79</v>
      </c>
      <c r="E4809" s="128" t="s">
        <v>132</v>
      </c>
      <c r="F4809" s="128">
        <v>543439.12</v>
      </c>
      <c r="G4809" s="128">
        <v>354127.29</v>
      </c>
      <c r="H4809" s="128">
        <v>120691.69</v>
      </c>
      <c r="I4809" s="128">
        <v>3961</v>
      </c>
    </row>
    <row r="4810" spans="1:9" ht="13.5">
      <c r="A4810" s="128">
        <v>2006</v>
      </c>
      <c r="B4810" s="128" t="s">
        <v>131</v>
      </c>
      <c r="C4810" s="128" t="s">
        <v>24</v>
      </c>
      <c r="D4810" s="128" t="s">
        <v>79</v>
      </c>
      <c r="E4810" s="128" t="s">
        <v>133</v>
      </c>
      <c r="F4810" s="128">
        <v>1431258.92</v>
      </c>
      <c r="G4810" s="128">
        <v>783448.51</v>
      </c>
      <c r="H4810" s="128">
        <v>268421.73</v>
      </c>
      <c r="I4810" s="128">
        <v>11037</v>
      </c>
    </row>
    <row r="4811" spans="1:9" ht="13.5">
      <c r="A4811" s="128">
        <v>2006</v>
      </c>
      <c r="B4811" s="128" t="s">
        <v>131</v>
      </c>
      <c r="C4811" s="128" t="s">
        <v>24</v>
      </c>
      <c r="D4811" s="128" t="s">
        <v>79</v>
      </c>
      <c r="E4811" s="128" t="s">
        <v>134</v>
      </c>
      <c r="F4811" s="128">
        <v>1725948.65</v>
      </c>
      <c r="G4811" s="128">
        <v>751447.09</v>
      </c>
      <c r="H4811" s="128">
        <v>258198.48</v>
      </c>
      <c r="I4811" s="128">
        <v>15180</v>
      </c>
    </row>
    <row r="4812" spans="1:9" ht="13.5">
      <c r="A4812" s="128">
        <v>2006</v>
      </c>
      <c r="B4812" s="128" t="s">
        <v>131</v>
      </c>
      <c r="C4812" s="128" t="s">
        <v>24</v>
      </c>
      <c r="D4812" s="128" t="s">
        <v>79</v>
      </c>
      <c r="E4812" s="128" t="s">
        <v>135</v>
      </c>
      <c r="F4812" s="128">
        <v>2434811.04</v>
      </c>
      <c r="G4812" s="128">
        <v>558253.5</v>
      </c>
      <c r="H4812" s="128">
        <v>191118.44</v>
      </c>
      <c r="I4812" s="128">
        <v>4532</v>
      </c>
    </row>
    <row r="4813" spans="1:9" ht="13.5">
      <c r="A4813" s="128">
        <v>2006</v>
      </c>
      <c r="B4813" s="128" t="s">
        <v>131</v>
      </c>
      <c r="C4813" s="128" t="s">
        <v>24</v>
      </c>
      <c r="D4813" s="128" t="s">
        <v>79</v>
      </c>
      <c r="E4813" s="128" t="s">
        <v>136</v>
      </c>
      <c r="F4813" s="128">
        <v>1347183.06</v>
      </c>
      <c r="G4813" s="128">
        <v>1015159.67</v>
      </c>
      <c r="H4813" s="128">
        <v>332023.39</v>
      </c>
      <c r="I4813" s="128">
        <v>26784</v>
      </c>
    </row>
    <row r="4814" spans="1:9" ht="13.5">
      <c r="A4814" s="128">
        <v>2006</v>
      </c>
      <c r="B4814" s="128" t="s">
        <v>131</v>
      </c>
      <c r="C4814" s="128" t="s">
        <v>24</v>
      </c>
      <c r="D4814" s="128" t="s">
        <v>76</v>
      </c>
      <c r="E4814" s="128" t="s">
        <v>132</v>
      </c>
      <c r="F4814" s="128">
        <v>7987565.4199999999</v>
      </c>
      <c r="G4814" s="128">
        <v>5108652.8</v>
      </c>
      <c r="H4814" s="128">
        <v>2878905.05</v>
      </c>
      <c r="I4814" s="128">
        <v>94699</v>
      </c>
    </row>
    <row r="4815" spans="1:9" ht="13.5">
      <c r="A4815" s="128">
        <v>2006</v>
      </c>
      <c r="B4815" s="128" t="s">
        <v>131</v>
      </c>
      <c r="C4815" s="128" t="s">
        <v>24</v>
      </c>
      <c r="D4815" s="128" t="s">
        <v>76</v>
      </c>
      <c r="E4815" s="128" t="s">
        <v>133</v>
      </c>
      <c r="F4815" s="128">
        <v>16907037.440000001</v>
      </c>
      <c r="G4815" s="128">
        <v>9394683.8699999992</v>
      </c>
      <c r="H4815" s="128">
        <v>7512345.5899999999</v>
      </c>
      <c r="I4815" s="128">
        <v>69080</v>
      </c>
    </row>
    <row r="4816" spans="1:9" ht="13.5">
      <c r="A4816" s="128">
        <v>2006</v>
      </c>
      <c r="B4816" s="128" t="s">
        <v>131</v>
      </c>
      <c r="C4816" s="128" t="s">
        <v>24</v>
      </c>
      <c r="D4816" s="128" t="s">
        <v>76</v>
      </c>
      <c r="E4816" s="128" t="s">
        <v>134</v>
      </c>
      <c r="F4816" s="128">
        <v>14812071.07</v>
      </c>
      <c r="G4816" s="128">
        <v>6600819.0499999998</v>
      </c>
      <c r="H4816" s="128">
        <v>8211247.5999999996</v>
      </c>
      <c r="I4816" s="128">
        <v>95933</v>
      </c>
    </row>
    <row r="4817" spans="1:9" ht="13.5">
      <c r="A4817" s="128">
        <v>2006</v>
      </c>
      <c r="B4817" s="128" t="s">
        <v>131</v>
      </c>
      <c r="C4817" s="128" t="s">
        <v>24</v>
      </c>
      <c r="D4817" s="128" t="s">
        <v>76</v>
      </c>
      <c r="E4817" s="128" t="s">
        <v>135</v>
      </c>
      <c r="F4817" s="128">
        <v>2104528.33</v>
      </c>
      <c r="G4817" s="128">
        <v>493251.15</v>
      </c>
      <c r="H4817" s="128">
        <v>1611276.78</v>
      </c>
      <c r="I4817" s="128">
        <v>1671</v>
      </c>
    </row>
    <row r="4818" spans="1:9" ht="13.5">
      <c r="A4818" s="128">
        <v>2006</v>
      </c>
      <c r="B4818" s="128" t="s">
        <v>131</v>
      </c>
      <c r="C4818" s="128" t="s">
        <v>24</v>
      </c>
      <c r="D4818" s="128" t="s">
        <v>76</v>
      </c>
      <c r="E4818" s="128" t="s">
        <v>136</v>
      </c>
      <c r="F4818" s="128">
        <v>986314.06</v>
      </c>
      <c r="G4818" s="128">
        <v>747327.54</v>
      </c>
      <c r="H4818" s="128">
        <v>238986.47</v>
      </c>
      <c r="I4818" s="128">
        <v>15473</v>
      </c>
    </row>
    <row r="4819" spans="1:9" ht="13.5">
      <c r="A4819" s="128">
        <v>2006</v>
      </c>
      <c r="B4819" s="128" t="s">
        <v>138</v>
      </c>
      <c r="C4819" s="128" t="s">
        <v>26</v>
      </c>
      <c r="D4819" s="128" t="s">
        <v>77</v>
      </c>
      <c r="E4819" s="128" t="s">
        <v>132</v>
      </c>
      <c r="F4819" s="128">
        <v>0</v>
      </c>
      <c r="G4819" s="128">
        <v>0</v>
      </c>
      <c r="H4819" s="128">
        <v>0</v>
      </c>
      <c r="I4819" s="128">
        <v>0</v>
      </c>
    </row>
    <row r="4820" spans="1:9" ht="13.5">
      <c r="A4820" s="128">
        <v>2006</v>
      </c>
      <c r="B4820" s="128" t="s">
        <v>138</v>
      </c>
      <c r="C4820" s="128" t="s">
        <v>26</v>
      </c>
      <c r="D4820" s="128" t="s">
        <v>77</v>
      </c>
      <c r="E4820" s="128" t="s">
        <v>133</v>
      </c>
      <c r="F4820" s="128">
        <v>0</v>
      </c>
      <c r="G4820" s="128">
        <v>0</v>
      </c>
      <c r="H4820" s="128">
        <v>0</v>
      </c>
      <c r="I4820" s="128">
        <v>0</v>
      </c>
    </row>
    <row r="4821" spans="1:9" ht="13.5">
      <c r="A4821" s="128">
        <v>2006</v>
      </c>
      <c r="B4821" s="128" t="s">
        <v>138</v>
      </c>
      <c r="C4821" s="128" t="s">
        <v>26</v>
      </c>
      <c r="D4821" s="128" t="s">
        <v>77</v>
      </c>
      <c r="E4821" s="128" t="s">
        <v>134</v>
      </c>
      <c r="F4821" s="128">
        <v>0</v>
      </c>
      <c r="G4821" s="128">
        <v>0</v>
      </c>
      <c r="H4821" s="128">
        <v>0</v>
      </c>
      <c r="I4821" s="128">
        <v>0</v>
      </c>
    </row>
    <row r="4822" spans="1:9" ht="13.5">
      <c r="A4822" s="128">
        <v>2006</v>
      </c>
      <c r="B4822" s="128" t="s">
        <v>138</v>
      </c>
      <c r="C4822" s="128" t="s">
        <v>26</v>
      </c>
      <c r="D4822" s="128" t="s">
        <v>77</v>
      </c>
      <c r="E4822" s="128" t="s">
        <v>135</v>
      </c>
      <c r="F4822" s="128">
        <v>0</v>
      </c>
      <c r="G4822" s="128">
        <v>0</v>
      </c>
      <c r="H4822" s="128">
        <v>0</v>
      </c>
      <c r="I4822" s="128">
        <v>0</v>
      </c>
    </row>
    <row r="4823" spans="1:9" ht="13.5">
      <c r="A4823" s="128">
        <v>2006</v>
      </c>
      <c r="B4823" s="128" t="s">
        <v>138</v>
      </c>
      <c r="C4823" s="128" t="s">
        <v>26</v>
      </c>
      <c r="D4823" s="128" t="s">
        <v>79</v>
      </c>
      <c r="E4823" s="128" t="s">
        <v>132</v>
      </c>
      <c r="F4823" s="128">
        <v>0</v>
      </c>
      <c r="G4823" s="128">
        <v>0</v>
      </c>
      <c r="H4823" s="128">
        <v>0</v>
      </c>
      <c r="I4823" s="128">
        <v>0</v>
      </c>
    </row>
    <row r="4824" spans="1:9" ht="13.5">
      <c r="A4824" s="128">
        <v>2006</v>
      </c>
      <c r="B4824" s="128" t="s">
        <v>138</v>
      </c>
      <c r="C4824" s="128" t="s">
        <v>26</v>
      </c>
      <c r="D4824" s="128" t="s">
        <v>79</v>
      </c>
      <c r="E4824" s="128" t="s">
        <v>133</v>
      </c>
      <c r="F4824" s="128">
        <v>0</v>
      </c>
      <c r="G4824" s="128">
        <v>0</v>
      </c>
      <c r="H4824" s="128">
        <v>0</v>
      </c>
      <c r="I4824" s="128">
        <v>0</v>
      </c>
    </row>
    <row r="4825" spans="1:9" ht="13.5">
      <c r="A4825" s="128">
        <v>2006</v>
      </c>
      <c r="B4825" s="128" t="s">
        <v>138</v>
      </c>
      <c r="C4825" s="128" t="s">
        <v>26</v>
      </c>
      <c r="D4825" s="128" t="s">
        <v>79</v>
      </c>
      <c r="E4825" s="128" t="s">
        <v>134</v>
      </c>
      <c r="F4825" s="128">
        <v>0</v>
      </c>
      <c r="G4825" s="128">
        <v>0</v>
      </c>
      <c r="H4825" s="128">
        <v>0</v>
      </c>
      <c r="I4825" s="128">
        <v>0</v>
      </c>
    </row>
    <row r="4826" spans="1:9" ht="13.5">
      <c r="A4826" s="128">
        <v>2006</v>
      </c>
      <c r="B4826" s="128" t="s">
        <v>138</v>
      </c>
      <c r="C4826" s="128" t="s">
        <v>26</v>
      </c>
      <c r="D4826" s="128" t="s">
        <v>79</v>
      </c>
      <c r="E4826" s="128" t="s">
        <v>135</v>
      </c>
      <c r="F4826" s="128">
        <v>0</v>
      </c>
      <c r="G4826" s="128">
        <v>0</v>
      </c>
      <c r="H4826" s="128">
        <v>0</v>
      </c>
      <c r="I4826" s="128">
        <v>0</v>
      </c>
    </row>
    <row r="4827" spans="1:9" ht="13.5">
      <c r="A4827" s="128">
        <v>2006</v>
      </c>
      <c r="B4827" s="128" t="s">
        <v>138</v>
      </c>
      <c r="C4827" s="128" t="s">
        <v>26</v>
      </c>
      <c r="D4827" s="128" t="s">
        <v>79</v>
      </c>
      <c r="E4827" s="128" t="s">
        <v>136</v>
      </c>
      <c r="F4827" s="128">
        <v>0</v>
      </c>
      <c r="G4827" s="128">
        <v>0</v>
      </c>
      <c r="H4827" s="128">
        <v>0</v>
      </c>
      <c r="I4827" s="128">
        <v>0</v>
      </c>
    </row>
    <row r="4828" spans="1:9" ht="13.5">
      <c r="A4828" s="128">
        <v>2006</v>
      </c>
      <c r="B4828" s="128" t="s">
        <v>138</v>
      </c>
      <c r="C4828" s="128" t="s">
        <v>26</v>
      </c>
      <c r="D4828" s="128" t="s">
        <v>76</v>
      </c>
      <c r="E4828" s="128" t="s">
        <v>132</v>
      </c>
      <c r="F4828" s="128">
        <v>0</v>
      </c>
      <c r="G4828" s="128">
        <v>0</v>
      </c>
      <c r="H4828" s="128">
        <v>0</v>
      </c>
      <c r="I4828" s="128">
        <v>0</v>
      </c>
    </row>
    <row r="4829" spans="1:9" ht="13.5">
      <c r="A4829" s="128">
        <v>2006</v>
      </c>
      <c r="B4829" s="128" t="s">
        <v>138</v>
      </c>
      <c r="C4829" s="128" t="s">
        <v>26</v>
      </c>
      <c r="D4829" s="128" t="s">
        <v>76</v>
      </c>
      <c r="E4829" s="128" t="s">
        <v>133</v>
      </c>
      <c r="F4829" s="128">
        <v>0</v>
      </c>
      <c r="G4829" s="128">
        <v>0</v>
      </c>
      <c r="H4829" s="128">
        <v>0</v>
      </c>
      <c r="I4829" s="128">
        <v>0</v>
      </c>
    </row>
    <row r="4830" spans="1:9" ht="13.5">
      <c r="A4830" s="128">
        <v>2006</v>
      </c>
      <c r="B4830" s="128" t="s">
        <v>138</v>
      </c>
      <c r="C4830" s="128" t="s">
        <v>26</v>
      </c>
      <c r="D4830" s="128" t="s">
        <v>76</v>
      </c>
      <c r="E4830" s="128" t="s">
        <v>134</v>
      </c>
      <c r="F4830" s="128">
        <v>0</v>
      </c>
      <c r="G4830" s="128">
        <v>0</v>
      </c>
      <c r="H4830" s="128">
        <v>0</v>
      </c>
      <c r="I4830" s="128">
        <v>0</v>
      </c>
    </row>
    <row r="4831" spans="1:9" ht="13.5">
      <c r="A4831" s="128">
        <v>2006</v>
      </c>
      <c r="B4831" s="128" t="s">
        <v>138</v>
      </c>
      <c r="C4831" s="128" t="s">
        <v>26</v>
      </c>
      <c r="D4831" s="128" t="s">
        <v>76</v>
      </c>
      <c r="E4831" s="128" t="s">
        <v>135</v>
      </c>
      <c r="F4831" s="128">
        <v>0</v>
      </c>
      <c r="G4831" s="128">
        <v>0</v>
      </c>
      <c r="H4831" s="128">
        <v>0</v>
      </c>
      <c r="I4831" s="128">
        <v>0</v>
      </c>
    </row>
    <row r="4832" spans="1:9" ht="13.5">
      <c r="A4832" s="128">
        <v>2006</v>
      </c>
      <c r="B4832" s="128" t="s">
        <v>138</v>
      </c>
      <c r="C4832" s="128" t="s">
        <v>26</v>
      </c>
      <c r="D4832" s="128" t="s">
        <v>76</v>
      </c>
      <c r="E4832" s="128" t="s">
        <v>136</v>
      </c>
      <c r="F4832" s="128">
        <v>0</v>
      </c>
      <c r="G4832" s="128">
        <v>0</v>
      </c>
      <c r="H4832" s="128">
        <v>0</v>
      </c>
      <c r="I4832" s="128">
        <v>0</v>
      </c>
    </row>
    <row r="4833" spans="1:9" ht="13.5">
      <c r="A4833" s="128">
        <v>2006</v>
      </c>
      <c r="B4833" s="128" t="s">
        <v>138</v>
      </c>
      <c r="C4833" s="128" t="s">
        <v>20</v>
      </c>
      <c r="D4833" s="128" t="s">
        <v>77</v>
      </c>
      <c r="E4833" s="128" t="s">
        <v>132</v>
      </c>
      <c r="F4833" s="128">
        <v>715350.34</v>
      </c>
      <c r="G4833" s="128">
        <v>471039.26</v>
      </c>
      <c r="H4833" s="128">
        <v>209263.42</v>
      </c>
      <c r="I4833" s="128">
        <v>4476</v>
      </c>
    </row>
    <row r="4834" spans="1:9" ht="13.5">
      <c r="A4834" s="128">
        <v>2006</v>
      </c>
      <c r="B4834" s="128" t="s">
        <v>138</v>
      </c>
      <c r="C4834" s="128" t="s">
        <v>20</v>
      </c>
      <c r="D4834" s="128" t="s">
        <v>77</v>
      </c>
      <c r="E4834" s="128" t="s">
        <v>133</v>
      </c>
      <c r="F4834" s="128">
        <v>1682558.58</v>
      </c>
      <c r="G4834" s="128">
        <v>917514.47</v>
      </c>
      <c r="H4834" s="128">
        <v>618313.87</v>
      </c>
      <c r="I4834" s="128">
        <v>7327</v>
      </c>
    </row>
    <row r="4835" spans="1:9" ht="13.5">
      <c r="A4835" s="128">
        <v>2006</v>
      </c>
      <c r="B4835" s="128" t="s">
        <v>138</v>
      </c>
      <c r="C4835" s="128" t="s">
        <v>20</v>
      </c>
      <c r="D4835" s="128" t="s">
        <v>77</v>
      </c>
      <c r="E4835" s="128" t="s">
        <v>134</v>
      </c>
      <c r="F4835" s="128">
        <v>3938854.38</v>
      </c>
      <c r="G4835" s="128">
        <v>1717503.54</v>
      </c>
      <c r="H4835" s="128">
        <v>1541156.8</v>
      </c>
      <c r="I4835" s="128">
        <v>14899</v>
      </c>
    </row>
    <row r="4836" spans="1:9" ht="13.5">
      <c r="A4836" s="128">
        <v>2006</v>
      </c>
      <c r="B4836" s="128" t="s">
        <v>138</v>
      </c>
      <c r="C4836" s="128" t="s">
        <v>20</v>
      </c>
      <c r="D4836" s="128" t="s">
        <v>77</v>
      </c>
      <c r="E4836" s="128" t="s">
        <v>135</v>
      </c>
      <c r="F4836" s="128">
        <v>6206543.2999999998</v>
      </c>
      <c r="G4836" s="128">
        <v>1683676.12</v>
      </c>
      <c r="H4836" s="128">
        <v>1591930.36</v>
      </c>
      <c r="I4836" s="128">
        <v>16144</v>
      </c>
    </row>
    <row r="4837" spans="1:9" ht="13.5">
      <c r="A4837" s="128">
        <v>2006</v>
      </c>
      <c r="B4837" s="128" t="s">
        <v>138</v>
      </c>
      <c r="C4837" s="128" t="s">
        <v>20</v>
      </c>
      <c r="D4837" s="128" t="s">
        <v>79</v>
      </c>
      <c r="E4837" s="128" t="s">
        <v>132</v>
      </c>
      <c r="F4837" s="128">
        <v>3353243.21</v>
      </c>
      <c r="G4837" s="128">
        <v>2228399.9</v>
      </c>
      <c r="H4837" s="128">
        <v>740845.07</v>
      </c>
      <c r="I4837" s="128">
        <v>17883</v>
      </c>
    </row>
    <row r="4838" spans="1:9" ht="13.5">
      <c r="A4838" s="128">
        <v>2006</v>
      </c>
      <c r="B4838" s="128" t="s">
        <v>138</v>
      </c>
      <c r="C4838" s="128" t="s">
        <v>20</v>
      </c>
      <c r="D4838" s="128" t="s">
        <v>79</v>
      </c>
      <c r="E4838" s="128" t="s">
        <v>133</v>
      </c>
      <c r="F4838" s="128">
        <v>5157344.4400000004</v>
      </c>
      <c r="G4838" s="128">
        <v>2834693.74</v>
      </c>
      <c r="H4838" s="128">
        <v>928594.68</v>
      </c>
      <c r="I4838" s="128">
        <v>37272</v>
      </c>
    </row>
    <row r="4839" spans="1:9" ht="13.5">
      <c r="A4839" s="128">
        <v>2006</v>
      </c>
      <c r="B4839" s="128" t="s">
        <v>138</v>
      </c>
      <c r="C4839" s="128" t="s">
        <v>20</v>
      </c>
      <c r="D4839" s="128" t="s">
        <v>79</v>
      </c>
      <c r="E4839" s="128" t="s">
        <v>134</v>
      </c>
      <c r="F4839" s="128">
        <v>16299970.18</v>
      </c>
      <c r="G4839" s="128">
        <v>6902229.3099999996</v>
      </c>
      <c r="H4839" s="128">
        <v>2313301.36</v>
      </c>
      <c r="I4839" s="128">
        <v>65269</v>
      </c>
    </row>
    <row r="4840" spans="1:9" ht="13.5">
      <c r="A4840" s="128">
        <v>2006</v>
      </c>
      <c r="B4840" s="128" t="s">
        <v>138</v>
      </c>
      <c r="C4840" s="128" t="s">
        <v>20</v>
      </c>
      <c r="D4840" s="128" t="s">
        <v>79</v>
      </c>
      <c r="E4840" s="128" t="s">
        <v>135</v>
      </c>
      <c r="F4840" s="128">
        <v>63158771.259999998</v>
      </c>
      <c r="G4840" s="128">
        <v>17263226.48</v>
      </c>
      <c r="H4840" s="128">
        <v>5823116.6699999999</v>
      </c>
      <c r="I4840" s="128">
        <v>134100</v>
      </c>
    </row>
    <row r="4841" spans="1:9" ht="13.5">
      <c r="A4841" s="128">
        <v>2006</v>
      </c>
      <c r="B4841" s="128" t="s">
        <v>138</v>
      </c>
      <c r="C4841" s="128" t="s">
        <v>20</v>
      </c>
      <c r="D4841" s="128" t="s">
        <v>79</v>
      </c>
      <c r="E4841" s="128" t="s">
        <v>136</v>
      </c>
      <c r="F4841" s="128">
        <v>21054580.59</v>
      </c>
      <c r="G4841" s="128">
        <v>15931601.08</v>
      </c>
      <c r="H4841" s="128">
        <v>5120838.28</v>
      </c>
      <c r="I4841" s="128">
        <v>334773</v>
      </c>
    </row>
    <row r="4842" spans="1:9" ht="13.5">
      <c r="A4842" s="128">
        <v>2006</v>
      </c>
      <c r="B4842" s="128" t="s">
        <v>138</v>
      </c>
      <c r="C4842" s="128" t="s">
        <v>20</v>
      </c>
      <c r="D4842" s="128" t="s">
        <v>76</v>
      </c>
      <c r="E4842" s="128" t="s">
        <v>132</v>
      </c>
      <c r="F4842" s="128">
        <v>24610366.43</v>
      </c>
      <c r="G4842" s="128">
        <v>15822734.119999999</v>
      </c>
      <c r="H4842" s="128">
        <v>8787504.7899999991</v>
      </c>
      <c r="I4842" s="128">
        <v>307785</v>
      </c>
    </row>
    <row r="4843" spans="1:9" ht="13.5">
      <c r="A4843" s="128">
        <v>2006</v>
      </c>
      <c r="B4843" s="128" t="s">
        <v>138</v>
      </c>
      <c r="C4843" s="128" t="s">
        <v>20</v>
      </c>
      <c r="D4843" s="128" t="s">
        <v>76</v>
      </c>
      <c r="E4843" s="128" t="s">
        <v>133</v>
      </c>
      <c r="F4843" s="128">
        <v>46750243.469999999</v>
      </c>
      <c r="G4843" s="128">
        <v>25635678.510000002</v>
      </c>
      <c r="H4843" s="128">
        <v>21114330.300000001</v>
      </c>
      <c r="I4843" s="128">
        <v>219537</v>
      </c>
    </row>
    <row r="4844" spans="1:9" ht="13.5">
      <c r="A4844" s="128">
        <v>2006</v>
      </c>
      <c r="B4844" s="128" t="s">
        <v>138</v>
      </c>
      <c r="C4844" s="128" t="s">
        <v>20</v>
      </c>
      <c r="D4844" s="128" t="s">
        <v>76</v>
      </c>
      <c r="E4844" s="128" t="s">
        <v>134</v>
      </c>
      <c r="F4844" s="128">
        <v>33257416.079999998</v>
      </c>
      <c r="G4844" s="128">
        <v>15550483</v>
      </c>
      <c r="H4844" s="128">
        <v>17706683.34</v>
      </c>
      <c r="I4844" s="128">
        <v>220265</v>
      </c>
    </row>
    <row r="4845" spans="1:9" ht="13.5">
      <c r="A4845" s="128">
        <v>2006</v>
      </c>
      <c r="B4845" s="128" t="s">
        <v>138</v>
      </c>
      <c r="C4845" s="128" t="s">
        <v>20</v>
      </c>
      <c r="D4845" s="128" t="s">
        <v>76</v>
      </c>
      <c r="E4845" s="128" t="s">
        <v>135</v>
      </c>
      <c r="F4845" s="128">
        <v>3773216.17</v>
      </c>
      <c r="G4845" s="128">
        <v>1114533.6000000001</v>
      </c>
      <c r="H4845" s="128">
        <v>2658683.4900000002</v>
      </c>
      <c r="I4845" s="128">
        <v>4613</v>
      </c>
    </row>
    <row r="4846" spans="1:9" ht="13.5">
      <c r="A4846" s="128">
        <v>2006</v>
      </c>
      <c r="B4846" s="128" t="s">
        <v>138</v>
      </c>
      <c r="C4846" s="128" t="s">
        <v>20</v>
      </c>
      <c r="D4846" s="128" t="s">
        <v>76</v>
      </c>
      <c r="E4846" s="128" t="s">
        <v>136</v>
      </c>
      <c r="F4846" s="128">
        <v>6126503.75</v>
      </c>
      <c r="G4846" s="128">
        <v>4609776.63</v>
      </c>
      <c r="H4846" s="128">
        <v>1516759.93</v>
      </c>
      <c r="I4846" s="128">
        <v>138283</v>
      </c>
    </row>
    <row r="4847" spans="1:9" ht="13.5">
      <c r="A4847" s="128">
        <v>2006</v>
      </c>
      <c r="B4847" s="128" t="s">
        <v>138</v>
      </c>
      <c r="C4847" s="128" t="s">
        <v>27</v>
      </c>
      <c r="D4847" s="128" t="s">
        <v>77</v>
      </c>
      <c r="E4847" s="128" t="s">
        <v>132</v>
      </c>
      <c r="F4847" s="128">
        <v>9265.56</v>
      </c>
      <c r="G4847" s="128">
        <v>5820.2</v>
      </c>
      <c r="H4847" s="128">
        <v>2566.35</v>
      </c>
      <c r="I4847" s="128">
        <v>47</v>
      </c>
    </row>
    <row r="4848" spans="1:9" ht="13.5">
      <c r="A4848" s="128">
        <v>2006</v>
      </c>
      <c r="B4848" s="128" t="s">
        <v>138</v>
      </c>
      <c r="C4848" s="128" t="s">
        <v>27</v>
      </c>
      <c r="D4848" s="128" t="s">
        <v>77</v>
      </c>
      <c r="E4848" s="128" t="s">
        <v>133</v>
      </c>
      <c r="F4848" s="128">
        <v>33135.35</v>
      </c>
      <c r="G4848" s="128">
        <v>17628.849999999999</v>
      </c>
      <c r="H4848" s="128">
        <v>12696.7</v>
      </c>
      <c r="I4848" s="128">
        <v>118</v>
      </c>
    </row>
    <row r="4849" spans="1:9" ht="13.5">
      <c r="A4849" s="128">
        <v>2006</v>
      </c>
      <c r="B4849" s="128" t="s">
        <v>138</v>
      </c>
      <c r="C4849" s="128" t="s">
        <v>27</v>
      </c>
      <c r="D4849" s="128" t="s">
        <v>77</v>
      </c>
      <c r="E4849" s="128" t="s">
        <v>134</v>
      </c>
      <c r="F4849" s="128">
        <v>76505.98</v>
      </c>
      <c r="G4849" s="128">
        <v>33385.75</v>
      </c>
      <c r="H4849" s="128">
        <v>30632.06</v>
      </c>
      <c r="I4849" s="128">
        <v>139</v>
      </c>
    </row>
    <row r="4850" spans="1:9" ht="13.5">
      <c r="A4850" s="128">
        <v>2006</v>
      </c>
      <c r="B4850" s="128" t="s">
        <v>138</v>
      </c>
      <c r="C4850" s="128" t="s">
        <v>27</v>
      </c>
      <c r="D4850" s="128" t="s">
        <v>77</v>
      </c>
      <c r="E4850" s="128" t="s">
        <v>135</v>
      </c>
      <c r="F4850" s="128">
        <v>164487.04000000001</v>
      </c>
      <c r="G4850" s="128">
        <v>46329.75</v>
      </c>
      <c r="H4850" s="128">
        <v>47290.65</v>
      </c>
      <c r="I4850" s="128">
        <v>454</v>
      </c>
    </row>
    <row r="4851" spans="1:9" ht="13.5">
      <c r="A4851" s="128">
        <v>2006</v>
      </c>
      <c r="B4851" s="128" t="s">
        <v>138</v>
      </c>
      <c r="C4851" s="128" t="s">
        <v>27</v>
      </c>
      <c r="D4851" s="128" t="s">
        <v>79</v>
      </c>
      <c r="E4851" s="128" t="s">
        <v>132</v>
      </c>
      <c r="F4851" s="128">
        <v>47170.97</v>
      </c>
      <c r="G4851" s="128">
        <v>31735.15</v>
      </c>
      <c r="H4851" s="128">
        <v>10561.1</v>
      </c>
      <c r="I4851" s="128">
        <v>288</v>
      </c>
    </row>
    <row r="4852" spans="1:9" ht="13.5">
      <c r="A4852" s="128">
        <v>2006</v>
      </c>
      <c r="B4852" s="128" t="s">
        <v>138</v>
      </c>
      <c r="C4852" s="128" t="s">
        <v>27</v>
      </c>
      <c r="D4852" s="128" t="s">
        <v>79</v>
      </c>
      <c r="E4852" s="128" t="s">
        <v>133</v>
      </c>
      <c r="F4852" s="128">
        <v>70778.67</v>
      </c>
      <c r="G4852" s="128">
        <v>38160.050000000003</v>
      </c>
      <c r="H4852" s="128">
        <v>14105.28</v>
      </c>
      <c r="I4852" s="128">
        <v>283</v>
      </c>
    </row>
    <row r="4853" spans="1:9" ht="13.5">
      <c r="A4853" s="128">
        <v>2006</v>
      </c>
      <c r="B4853" s="128" t="s">
        <v>138</v>
      </c>
      <c r="C4853" s="128" t="s">
        <v>27</v>
      </c>
      <c r="D4853" s="128" t="s">
        <v>79</v>
      </c>
      <c r="E4853" s="128" t="s">
        <v>134</v>
      </c>
      <c r="F4853" s="128">
        <v>149859.5</v>
      </c>
      <c r="G4853" s="128">
        <v>63300.84</v>
      </c>
      <c r="H4853" s="128">
        <v>21723.57</v>
      </c>
      <c r="I4853" s="128">
        <v>1085</v>
      </c>
    </row>
    <row r="4854" spans="1:9" ht="13.5">
      <c r="A4854" s="128">
        <v>2006</v>
      </c>
      <c r="B4854" s="128" t="s">
        <v>138</v>
      </c>
      <c r="C4854" s="128" t="s">
        <v>27</v>
      </c>
      <c r="D4854" s="128" t="s">
        <v>79</v>
      </c>
      <c r="E4854" s="128" t="s">
        <v>135</v>
      </c>
      <c r="F4854" s="128">
        <v>590708.32999999996</v>
      </c>
      <c r="G4854" s="128">
        <v>160275.20000000001</v>
      </c>
      <c r="H4854" s="128">
        <v>53823.9</v>
      </c>
      <c r="I4854" s="128">
        <v>1340</v>
      </c>
    </row>
    <row r="4855" spans="1:9" ht="13.5">
      <c r="A4855" s="128">
        <v>2006</v>
      </c>
      <c r="B4855" s="128" t="s">
        <v>138</v>
      </c>
      <c r="C4855" s="128" t="s">
        <v>27</v>
      </c>
      <c r="D4855" s="128" t="s">
        <v>79</v>
      </c>
      <c r="E4855" s="128" t="s">
        <v>136</v>
      </c>
      <c r="F4855" s="128">
        <v>236601.64</v>
      </c>
      <c r="G4855" s="128">
        <v>178907.7</v>
      </c>
      <c r="H4855" s="128">
        <v>57693.94</v>
      </c>
      <c r="I4855" s="128">
        <v>2648</v>
      </c>
    </row>
    <row r="4856" spans="1:9" ht="13.5">
      <c r="A4856" s="128">
        <v>2006</v>
      </c>
      <c r="B4856" s="128" t="s">
        <v>138</v>
      </c>
      <c r="C4856" s="128" t="s">
        <v>27</v>
      </c>
      <c r="D4856" s="128" t="s">
        <v>76</v>
      </c>
      <c r="E4856" s="128" t="s">
        <v>132</v>
      </c>
      <c r="F4856" s="128">
        <v>260937.29</v>
      </c>
      <c r="G4856" s="128">
        <v>169314.35</v>
      </c>
      <c r="H4856" s="128">
        <v>91622.64</v>
      </c>
      <c r="I4856" s="128">
        <v>3021</v>
      </c>
    </row>
    <row r="4857" spans="1:9" ht="13.5">
      <c r="A4857" s="128">
        <v>2006</v>
      </c>
      <c r="B4857" s="128" t="s">
        <v>138</v>
      </c>
      <c r="C4857" s="128" t="s">
        <v>27</v>
      </c>
      <c r="D4857" s="128" t="s">
        <v>76</v>
      </c>
      <c r="E4857" s="128" t="s">
        <v>133</v>
      </c>
      <c r="F4857" s="128">
        <v>774637.15</v>
      </c>
      <c r="G4857" s="128">
        <v>422357.99</v>
      </c>
      <c r="H4857" s="128">
        <v>352276.26</v>
      </c>
      <c r="I4857" s="128">
        <v>2899</v>
      </c>
    </row>
    <row r="4858" spans="1:9" ht="13.5">
      <c r="A4858" s="128">
        <v>2006</v>
      </c>
      <c r="B4858" s="128" t="s">
        <v>138</v>
      </c>
      <c r="C4858" s="128" t="s">
        <v>27</v>
      </c>
      <c r="D4858" s="128" t="s">
        <v>76</v>
      </c>
      <c r="E4858" s="128" t="s">
        <v>134</v>
      </c>
      <c r="F4858" s="128">
        <v>528792.6</v>
      </c>
      <c r="G4858" s="128">
        <v>244659.4</v>
      </c>
      <c r="H4858" s="128">
        <v>284128.55</v>
      </c>
      <c r="I4858" s="128">
        <v>3213</v>
      </c>
    </row>
    <row r="4859" spans="1:9" ht="13.5">
      <c r="A4859" s="128">
        <v>2006</v>
      </c>
      <c r="B4859" s="128" t="s">
        <v>138</v>
      </c>
      <c r="C4859" s="128" t="s">
        <v>27</v>
      </c>
      <c r="D4859" s="128" t="s">
        <v>76</v>
      </c>
      <c r="E4859" s="128" t="s">
        <v>135</v>
      </c>
      <c r="F4859" s="128">
        <v>66217.100000000006</v>
      </c>
      <c r="G4859" s="128">
        <v>18953.349999999999</v>
      </c>
      <c r="H4859" s="128">
        <v>47263.75</v>
      </c>
      <c r="I4859" s="128">
        <v>67</v>
      </c>
    </row>
    <row r="4860" spans="1:9" ht="13.5">
      <c r="A4860" s="128">
        <v>2006</v>
      </c>
      <c r="B4860" s="128" t="s">
        <v>138</v>
      </c>
      <c r="C4860" s="128" t="s">
        <v>27</v>
      </c>
      <c r="D4860" s="128" t="s">
        <v>76</v>
      </c>
      <c r="E4860" s="128" t="s">
        <v>136</v>
      </c>
      <c r="F4860" s="128">
        <v>52397.7</v>
      </c>
      <c r="G4860" s="128">
        <v>39520.050000000003</v>
      </c>
      <c r="H4860" s="128">
        <v>12877.65</v>
      </c>
      <c r="I4860" s="128">
        <v>493</v>
      </c>
    </row>
    <row r="4861" spans="1:9" ht="13.5">
      <c r="A4861" s="128">
        <v>2006</v>
      </c>
      <c r="B4861" s="128" t="s">
        <v>138</v>
      </c>
      <c r="C4861" s="128" t="s">
        <v>22</v>
      </c>
      <c r="D4861" s="128" t="s">
        <v>77</v>
      </c>
      <c r="E4861" s="128" t="s">
        <v>132</v>
      </c>
      <c r="F4861" s="128">
        <v>488582.15</v>
      </c>
      <c r="G4861" s="128">
        <v>320549.8</v>
      </c>
      <c r="H4861" s="128">
        <v>145094.62</v>
      </c>
      <c r="I4861" s="128">
        <v>3572</v>
      </c>
    </row>
    <row r="4862" spans="1:9" ht="13.5">
      <c r="A4862" s="128">
        <v>2006</v>
      </c>
      <c r="B4862" s="128" t="s">
        <v>138</v>
      </c>
      <c r="C4862" s="128" t="s">
        <v>22</v>
      </c>
      <c r="D4862" s="128" t="s">
        <v>77</v>
      </c>
      <c r="E4862" s="128" t="s">
        <v>133</v>
      </c>
      <c r="F4862" s="128">
        <v>1335126.32</v>
      </c>
      <c r="G4862" s="128">
        <v>717472.4</v>
      </c>
      <c r="H4862" s="128">
        <v>504895.22</v>
      </c>
      <c r="I4862" s="128">
        <v>6490</v>
      </c>
    </row>
    <row r="4863" spans="1:9" ht="13.5">
      <c r="A4863" s="128">
        <v>2006</v>
      </c>
      <c r="B4863" s="128" t="s">
        <v>138</v>
      </c>
      <c r="C4863" s="128" t="s">
        <v>22</v>
      </c>
      <c r="D4863" s="128" t="s">
        <v>77</v>
      </c>
      <c r="E4863" s="128" t="s">
        <v>134</v>
      </c>
      <c r="F4863" s="128">
        <v>4712540.6100000003</v>
      </c>
      <c r="G4863" s="128">
        <v>2013752.9</v>
      </c>
      <c r="H4863" s="128">
        <v>1850732.14</v>
      </c>
      <c r="I4863" s="128">
        <v>12963</v>
      </c>
    </row>
    <row r="4864" spans="1:9" ht="13.5">
      <c r="A4864" s="128">
        <v>2006</v>
      </c>
      <c r="B4864" s="128" t="s">
        <v>138</v>
      </c>
      <c r="C4864" s="128" t="s">
        <v>22</v>
      </c>
      <c r="D4864" s="128" t="s">
        <v>77</v>
      </c>
      <c r="E4864" s="128" t="s">
        <v>135</v>
      </c>
      <c r="F4864" s="128">
        <v>7496696.0999999996</v>
      </c>
      <c r="G4864" s="128">
        <v>2163765.25</v>
      </c>
      <c r="H4864" s="128">
        <v>2371718.75</v>
      </c>
      <c r="I4864" s="128">
        <v>23176</v>
      </c>
    </row>
    <row r="4865" spans="1:9" ht="13.5">
      <c r="A4865" s="128">
        <v>2006</v>
      </c>
      <c r="B4865" s="128" t="s">
        <v>138</v>
      </c>
      <c r="C4865" s="128" t="s">
        <v>22</v>
      </c>
      <c r="D4865" s="128" t="s">
        <v>79</v>
      </c>
      <c r="E4865" s="128" t="s">
        <v>132</v>
      </c>
      <c r="F4865" s="128">
        <v>2536658.5099999998</v>
      </c>
      <c r="G4865" s="128">
        <v>1690793.46</v>
      </c>
      <c r="H4865" s="128">
        <v>562447.76</v>
      </c>
      <c r="I4865" s="128">
        <v>16163</v>
      </c>
    </row>
    <row r="4866" spans="1:9" ht="13.5">
      <c r="A4866" s="128">
        <v>2006</v>
      </c>
      <c r="B4866" s="128" t="s">
        <v>138</v>
      </c>
      <c r="C4866" s="128" t="s">
        <v>22</v>
      </c>
      <c r="D4866" s="128" t="s">
        <v>79</v>
      </c>
      <c r="E4866" s="128" t="s">
        <v>133</v>
      </c>
      <c r="F4866" s="128">
        <v>5244039.6399999997</v>
      </c>
      <c r="G4866" s="128">
        <v>2856234.66</v>
      </c>
      <c r="H4866" s="128">
        <v>961985.03</v>
      </c>
      <c r="I4866" s="128">
        <v>33338</v>
      </c>
    </row>
    <row r="4867" spans="1:9" ht="13.5">
      <c r="A4867" s="128">
        <v>2006</v>
      </c>
      <c r="B4867" s="128" t="s">
        <v>138</v>
      </c>
      <c r="C4867" s="128" t="s">
        <v>22</v>
      </c>
      <c r="D4867" s="128" t="s">
        <v>79</v>
      </c>
      <c r="E4867" s="128" t="s">
        <v>134</v>
      </c>
      <c r="F4867" s="128">
        <v>10585580.619999999</v>
      </c>
      <c r="G4867" s="128">
        <v>4507527.41</v>
      </c>
      <c r="H4867" s="128">
        <v>1505053.1</v>
      </c>
      <c r="I4867" s="128">
        <v>42731</v>
      </c>
    </row>
    <row r="4868" spans="1:9" ht="13.5">
      <c r="A4868" s="128">
        <v>2006</v>
      </c>
      <c r="B4868" s="128" t="s">
        <v>138</v>
      </c>
      <c r="C4868" s="128" t="s">
        <v>22</v>
      </c>
      <c r="D4868" s="128" t="s">
        <v>79</v>
      </c>
      <c r="E4868" s="128" t="s">
        <v>135</v>
      </c>
      <c r="F4868" s="128">
        <v>19936268.010000002</v>
      </c>
      <c r="G4868" s="128">
        <v>5759594.9400000004</v>
      </c>
      <c r="H4868" s="128">
        <v>1930255.66</v>
      </c>
      <c r="I4868" s="128">
        <v>51291</v>
      </c>
    </row>
    <row r="4869" spans="1:9" ht="13.5">
      <c r="A4869" s="128">
        <v>2006</v>
      </c>
      <c r="B4869" s="128" t="s">
        <v>138</v>
      </c>
      <c r="C4869" s="128" t="s">
        <v>22</v>
      </c>
      <c r="D4869" s="128" t="s">
        <v>79</v>
      </c>
      <c r="E4869" s="128" t="s">
        <v>136</v>
      </c>
      <c r="F4869" s="128">
        <v>7194167.46</v>
      </c>
      <c r="G4869" s="128">
        <v>5479713.25</v>
      </c>
      <c r="H4869" s="128">
        <v>1714107.11</v>
      </c>
      <c r="I4869" s="128">
        <v>95482</v>
      </c>
    </row>
    <row r="4870" spans="1:9" ht="13.5">
      <c r="A4870" s="128">
        <v>2006</v>
      </c>
      <c r="B4870" s="128" t="s">
        <v>138</v>
      </c>
      <c r="C4870" s="128" t="s">
        <v>22</v>
      </c>
      <c r="D4870" s="128" t="s">
        <v>76</v>
      </c>
      <c r="E4870" s="128" t="s">
        <v>132</v>
      </c>
      <c r="F4870" s="128">
        <v>24257667.940000001</v>
      </c>
      <c r="G4870" s="128">
        <v>15791430.970000001</v>
      </c>
      <c r="H4870" s="128">
        <v>8466213.5600000005</v>
      </c>
      <c r="I4870" s="128">
        <v>396752</v>
      </c>
    </row>
    <row r="4871" spans="1:9" ht="13.5">
      <c r="A4871" s="128">
        <v>2006</v>
      </c>
      <c r="B4871" s="128" t="s">
        <v>138</v>
      </c>
      <c r="C4871" s="128" t="s">
        <v>22</v>
      </c>
      <c r="D4871" s="128" t="s">
        <v>76</v>
      </c>
      <c r="E4871" s="128" t="s">
        <v>133</v>
      </c>
      <c r="F4871" s="128">
        <v>39731968.670000002</v>
      </c>
      <c r="G4871" s="128">
        <v>22012735.670000002</v>
      </c>
      <c r="H4871" s="128">
        <v>17719209.34</v>
      </c>
      <c r="I4871" s="128">
        <v>236884</v>
      </c>
    </row>
    <row r="4872" spans="1:9" ht="13.5">
      <c r="A4872" s="128">
        <v>2006</v>
      </c>
      <c r="B4872" s="128" t="s">
        <v>138</v>
      </c>
      <c r="C4872" s="128" t="s">
        <v>22</v>
      </c>
      <c r="D4872" s="128" t="s">
        <v>76</v>
      </c>
      <c r="E4872" s="128" t="s">
        <v>134</v>
      </c>
      <c r="F4872" s="128">
        <v>23035045.870000001</v>
      </c>
      <c r="G4872" s="128">
        <v>10849098.49</v>
      </c>
      <c r="H4872" s="128">
        <v>12185910.07</v>
      </c>
      <c r="I4872" s="128">
        <v>164881</v>
      </c>
    </row>
    <row r="4873" spans="1:9" ht="13.5">
      <c r="A4873" s="128">
        <v>2006</v>
      </c>
      <c r="B4873" s="128" t="s">
        <v>138</v>
      </c>
      <c r="C4873" s="128" t="s">
        <v>22</v>
      </c>
      <c r="D4873" s="128" t="s">
        <v>76</v>
      </c>
      <c r="E4873" s="128" t="s">
        <v>135</v>
      </c>
      <c r="F4873" s="128">
        <v>3465880.17</v>
      </c>
      <c r="G4873" s="128">
        <v>995967.65</v>
      </c>
      <c r="H4873" s="128">
        <v>2469911.7000000002</v>
      </c>
      <c r="I4873" s="128">
        <v>3748</v>
      </c>
    </row>
    <row r="4874" spans="1:9" ht="13.5">
      <c r="A4874" s="128">
        <v>2006</v>
      </c>
      <c r="B4874" s="128" t="s">
        <v>138</v>
      </c>
      <c r="C4874" s="128" t="s">
        <v>22</v>
      </c>
      <c r="D4874" s="128" t="s">
        <v>76</v>
      </c>
      <c r="E4874" s="128" t="s">
        <v>136</v>
      </c>
      <c r="F4874" s="128">
        <v>1780211.16</v>
      </c>
      <c r="G4874" s="128">
        <v>1344882.47</v>
      </c>
      <c r="H4874" s="128">
        <v>435327.44</v>
      </c>
      <c r="I4874" s="128">
        <v>33590</v>
      </c>
    </row>
    <row r="4875" spans="1:9" ht="13.5">
      <c r="A4875" s="128">
        <v>2006</v>
      </c>
      <c r="B4875" s="128" t="s">
        <v>138</v>
      </c>
      <c r="C4875" s="128" t="s">
        <v>23</v>
      </c>
      <c r="D4875" s="128" t="s">
        <v>77</v>
      </c>
      <c r="E4875" s="128" t="s">
        <v>132</v>
      </c>
      <c r="F4875" s="128">
        <v>1575287.24</v>
      </c>
      <c r="G4875" s="128">
        <v>1020426.75</v>
      </c>
      <c r="H4875" s="128">
        <v>487295.83</v>
      </c>
      <c r="I4875" s="128">
        <v>11831</v>
      </c>
    </row>
    <row r="4876" spans="1:9" ht="13.5">
      <c r="A4876" s="128">
        <v>2006</v>
      </c>
      <c r="B4876" s="128" t="s">
        <v>138</v>
      </c>
      <c r="C4876" s="128" t="s">
        <v>23</v>
      </c>
      <c r="D4876" s="128" t="s">
        <v>77</v>
      </c>
      <c r="E4876" s="128" t="s">
        <v>133</v>
      </c>
      <c r="F4876" s="128">
        <v>2150327.91</v>
      </c>
      <c r="G4876" s="128">
        <v>1167903.05</v>
      </c>
      <c r="H4876" s="128">
        <v>899345.72</v>
      </c>
      <c r="I4876" s="128">
        <v>8414</v>
      </c>
    </row>
    <row r="4877" spans="1:9" ht="13.5">
      <c r="A4877" s="128">
        <v>2006</v>
      </c>
      <c r="B4877" s="128" t="s">
        <v>138</v>
      </c>
      <c r="C4877" s="128" t="s">
        <v>23</v>
      </c>
      <c r="D4877" s="128" t="s">
        <v>77</v>
      </c>
      <c r="E4877" s="128" t="s">
        <v>134</v>
      </c>
      <c r="F4877" s="128">
        <v>2311088.35</v>
      </c>
      <c r="G4877" s="128">
        <v>1055409.8999999999</v>
      </c>
      <c r="H4877" s="128">
        <v>1097478.29</v>
      </c>
      <c r="I4877" s="128">
        <v>9148</v>
      </c>
    </row>
    <row r="4878" spans="1:9" ht="13.5">
      <c r="A4878" s="128">
        <v>2006</v>
      </c>
      <c r="B4878" s="128" t="s">
        <v>138</v>
      </c>
      <c r="C4878" s="128" t="s">
        <v>23</v>
      </c>
      <c r="D4878" s="128" t="s">
        <v>77</v>
      </c>
      <c r="E4878" s="128" t="s">
        <v>135</v>
      </c>
      <c r="F4878" s="128">
        <v>1081758.8799999999</v>
      </c>
      <c r="G4878" s="128">
        <v>278238.25</v>
      </c>
      <c r="H4878" s="128">
        <v>356704.8</v>
      </c>
      <c r="I4878" s="128">
        <v>2447</v>
      </c>
    </row>
    <row r="4879" spans="1:9" ht="13.5">
      <c r="A4879" s="128">
        <v>2006</v>
      </c>
      <c r="B4879" s="128" t="s">
        <v>138</v>
      </c>
      <c r="C4879" s="128" t="s">
        <v>23</v>
      </c>
      <c r="D4879" s="128" t="s">
        <v>79</v>
      </c>
      <c r="E4879" s="128" t="s">
        <v>132</v>
      </c>
      <c r="F4879" s="128">
        <v>464391.2</v>
      </c>
      <c r="G4879" s="128">
        <v>304957.5</v>
      </c>
      <c r="H4879" s="128">
        <v>105369.77</v>
      </c>
      <c r="I4879" s="128">
        <v>4155</v>
      </c>
    </row>
    <row r="4880" spans="1:9" ht="13.5">
      <c r="A4880" s="128">
        <v>2006</v>
      </c>
      <c r="B4880" s="128" t="s">
        <v>138</v>
      </c>
      <c r="C4880" s="128" t="s">
        <v>23</v>
      </c>
      <c r="D4880" s="128" t="s">
        <v>79</v>
      </c>
      <c r="E4880" s="128" t="s">
        <v>133</v>
      </c>
      <c r="F4880" s="128">
        <v>706875.99</v>
      </c>
      <c r="G4880" s="128">
        <v>383124.33</v>
      </c>
      <c r="H4880" s="128">
        <v>141506.79999999999</v>
      </c>
      <c r="I4880" s="128">
        <v>5424</v>
      </c>
    </row>
    <row r="4881" spans="1:9" ht="13.5">
      <c r="A4881" s="128">
        <v>2006</v>
      </c>
      <c r="B4881" s="128" t="s">
        <v>138</v>
      </c>
      <c r="C4881" s="128" t="s">
        <v>23</v>
      </c>
      <c r="D4881" s="128" t="s">
        <v>79</v>
      </c>
      <c r="E4881" s="128" t="s">
        <v>134</v>
      </c>
      <c r="F4881" s="128">
        <v>647817.86</v>
      </c>
      <c r="G4881" s="128">
        <v>280261.15999999997</v>
      </c>
      <c r="H4881" s="128">
        <v>104494.79</v>
      </c>
      <c r="I4881" s="128">
        <v>3768</v>
      </c>
    </row>
    <row r="4882" spans="1:9" ht="13.5">
      <c r="A4882" s="128">
        <v>2006</v>
      </c>
      <c r="B4882" s="128" t="s">
        <v>138</v>
      </c>
      <c r="C4882" s="128" t="s">
        <v>23</v>
      </c>
      <c r="D4882" s="128" t="s">
        <v>79</v>
      </c>
      <c r="E4882" s="128" t="s">
        <v>135</v>
      </c>
      <c r="F4882" s="128">
        <v>929960.04</v>
      </c>
      <c r="G4882" s="128">
        <v>257891.01</v>
      </c>
      <c r="H4882" s="128">
        <v>96825.31</v>
      </c>
      <c r="I4882" s="128">
        <v>2519</v>
      </c>
    </row>
    <row r="4883" spans="1:9" ht="13.5">
      <c r="A4883" s="128">
        <v>2006</v>
      </c>
      <c r="B4883" s="128" t="s">
        <v>138</v>
      </c>
      <c r="C4883" s="128" t="s">
        <v>23</v>
      </c>
      <c r="D4883" s="128" t="s">
        <v>79</v>
      </c>
      <c r="E4883" s="128" t="s">
        <v>136</v>
      </c>
      <c r="F4883" s="128">
        <v>6800098.8300000001</v>
      </c>
      <c r="G4883" s="128">
        <v>5108747.6900000004</v>
      </c>
      <c r="H4883" s="128">
        <v>1691114.99</v>
      </c>
      <c r="I4883" s="128">
        <v>57804</v>
      </c>
    </row>
    <row r="4884" spans="1:9" ht="13.5">
      <c r="A4884" s="128">
        <v>2006</v>
      </c>
      <c r="B4884" s="128" t="s">
        <v>138</v>
      </c>
      <c r="C4884" s="128" t="s">
        <v>23</v>
      </c>
      <c r="D4884" s="128" t="s">
        <v>76</v>
      </c>
      <c r="E4884" s="128" t="s">
        <v>132</v>
      </c>
      <c r="F4884" s="128">
        <v>7897186.5300000003</v>
      </c>
      <c r="G4884" s="128">
        <v>5252744.92</v>
      </c>
      <c r="H4884" s="128">
        <v>2644425.9</v>
      </c>
      <c r="I4884" s="128">
        <v>144169</v>
      </c>
    </row>
    <row r="4885" spans="1:9" ht="13.5">
      <c r="A4885" s="128">
        <v>2006</v>
      </c>
      <c r="B4885" s="128" t="s">
        <v>138</v>
      </c>
      <c r="C4885" s="128" t="s">
        <v>23</v>
      </c>
      <c r="D4885" s="128" t="s">
        <v>76</v>
      </c>
      <c r="E4885" s="128" t="s">
        <v>133</v>
      </c>
      <c r="F4885" s="128">
        <v>17985170.489999998</v>
      </c>
      <c r="G4885" s="128">
        <v>9858436.6500000004</v>
      </c>
      <c r="H4885" s="128">
        <v>8126720.54</v>
      </c>
      <c r="I4885" s="128">
        <v>84521</v>
      </c>
    </row>
    <row r="4886" spans="1:9" ht="13.5">
      <c r="A4886" s="128">
        <v>2006</v>
      </c>
      <c r="B4886" s="128" t="s">
        <v>138</v>
      </c>
      <c r="C4886" s="128" t="s">
        <v>23</v>
      </c>
      <c r="D4886" s="128" t="s">
        <v>76</v>
      </c>
      <c r="E4886" s="128" t="s">
        <v>134</v>
      </c>
      <c r="F4886" s="128">
        <v>14240429.720000001</v>
      </c>
      <c r="G4886" s="128">
        <v>6599967.1500000004</v>
      </c>
      <c r="H4886" s="128">
        <v>7640436.4000000004</v>
      </c>
      <c r="I4886" s="128">
        <v>75551</v>
      </c>
    </row>
    <row r="4887" spans="1:9" ht="13.5">
      <c r="A4887" s="128">
        <v>2006</v>
      </c>
      <c r="B4887" s="128" t="s">
        <v>138</v>
      </c>
      <c r="C4887" s="128" t="s">
        <v>23</v>
      </c>
      <c r="D4887" s="128" t="s">
        <v>76</v>
      </c>
      <c r="E4887" s="128" t="s">
        <v>135</v>
      </c>
      <c r="F4887" s="128">
        <v>937260.37</v>
      </c>
      <c r="G4887" s="128">
        <v>247073.85</v>
      </c>
      <c r="H4887" s="128">
        <v>690186.52</v>
      </c>
      <c r="I4887" s="128">
        <v>771</v>
      </c>
    </row>
    <row r="4888" spans="1:9" ht="13.5">
      <c r="A4888" s="128">
        <v>2006</v>
      </c>
      <c r="B4888" s="128" t="s">
        <v>138</v>
      </c>
      <c r="C4888" s="128" t="s">
        <v>23</v>
      </c>
      <c r="D4888" s="128" t="s">
        <v>76</v>
      </c>
      <c r="E4888" s="128" t="s">
        <v>136</v>
      </c>
      <c r="F4888" s="128">
        <v>1930978.14</v>
      </c>
      <c r="G4888" s="128">
        <v>1453165.74</v>
      </c>
      <c r="H4888" s="128">
        <v>478008.2</v>
      </c>
      <c r="I4888" s="128">
        <v>19968</v>
      </c>
    </row>
    <row r="4889" spans="1:9" ht="13.5">
      <c r="A4889" s="128">
        <v>2006</v>
      </c>
      <c r="B4889" s="128" t="s">
        <v>138</v>
      </c>
      <c r="C4889" s="128" t="s">
        <v>25</v>
      </c>
      <c r="D4889" s="128" t="s">
        <v>77</v>
      </c>
      <c r="E4889" s="128" t="s">
        <v>132</v>
      </c>
      <c r="F4889" s="128">
        <v>74227.100000000006</v>
      </c>
      <c r="G4889" s="128">
        <v>50443.65</v>
      </c>
      <c r="H4889" s="128">
        <v>20223.41</v>
      </c>
      <c r="I4889" s="128">
        <v>370</v>
      </c>
    </row>
    <row r="4890" spans="1:9" ht="13.5">
      <c r="A4890" s="128">
        <v>2006</v>
      </c>
      <c r="B4890" s="128" t="s">
        <v>138</v>
      </c>
      <c r="C4890" s="128" t="s">
        <v>25</v>
      </c>
      <c r="D4890" s="128" t="s">
        <v>77</v>
      </c>
      <c r="E4890" s="128" t="s">
        <v>133</v>
      </c>
      <c r="F4890" s="128">
        <v>97717.36</v>
      </c>
      <c r="G4890" s="128">
        <v>53029</v>
      </c>
      <c r="H4890" s="128">
        <v>38583.56</v>
      </c>
      <c r="I4890" s="128">
        <v>394</v>
      </c>
    </row>
    <row r="4891" spans="1:9" ht="13.5">
      <c r="A4891" s="128">
        <v>2006</v>
      </c>
      <c r="B4891" s="128" t="s">
        <v>138</v>
      </c>
      <c r="C4891" s="128" t="s">
        <v>25</v>
      </c>
      <c r="D4891" s="128" t="s">
        <v>77</v>
      </c>
      <c r="E4891" s="128" t="s">
        <v>134</v>
      </c>
      <c r="F4891" s="128">
        <v>347947.25</v>
      </c>
      <c r="G4891" s="128">
        <v>149324.5</v>
      </c>
      <c r="H4891" s="128">
        <v>151606.63</v>
      </c>
      <c r="I4891" s="128">
        <v>1300</v>
      </c>
    </row>
    <row r="4892" spans="1:9" ht="13.5">
      <c r="A4892" s="128">
        <v>2006</v>
      </c>
      <c r="B4892" s="128" t="s">
        <v>138</v>
      </c>
      <c r="C4892" s="128" t="s">
        <v>25</v>
      </c>
      <c r="D4892" s="128" t="s">
        <v>77</v>
      </c>
      <c r="E4892" s="128" t="s">
        <v>135</v>
      </c>
      <c r="F4892" s="128">
        <v>625635.42000000004</v>
      </c>
      <c r="G4892" s="128">
        <v>192604.1</v>
      </c>
      <c r="H4892" s="128">
        <v>212167.42</v>
      </c>
      <c r="I4892" s="128">
        <v>2109</v>
      </c>
    </row>
    <row r="4893" spans="1:9" ht="13.5">
      <c r="A4893" s="128">
        <v>2006</v>
      </c>
      <c r="B4893" s="128" t="s">
        <v>138</v>
      </c>
      <c r="C4893" s="128" t="s">
        <v>25</v>
      </c>
      <c r="D4893" s="128" t="s">
        <v>79</v>
      </c>
      <c r="E4893" s="128" t="s">
        <v>132</v>
      </c>
      <c r="F4893" s="128">
        <v>255477.32</v>
      </c>
      <c r="G4893" s="128">
        <v>167206.60999999999</v>
      </c>
      <c r="H4893" s="128">
        <v>53745.86</v>
      </c>
      <c r="I4893" s="128">
        <v>1691</v>
      </c>
    </row>
    <row r="4894" spans="1:9" ht="13.5">
      <c r="A4894" s="128">
        <v>2006</v>
      </c>
      <c r="B4894" s="128" t="s">
        <v>138</v>
      </c>
      <c r="C4894" s="128" t="s">
        <v>25</v>
      </c>
      <c r="D4894" s="128" t="s">
        <v>79</v>
      </c>
      <c r="E4894" s="128" t="s">
        <v>133</v>
      </c>
      <c r="F4894" s="128">
        <v>254923.66</v>
      </c>
      <c r="G4894" s="128">
        <v>140571.65</v>
      </c>
      <c r="H4894" s="128">
        <v>46443.91</v>
      </c>
      <c r="I4894" s="128">
        <v>1065</v>
      </c>
    </row>
    <row r="4895" spans="1:9" ht="13.5">
      <c r="A4895" s="128">
        <v>2006</v>
      </c>
      <c r="B4895" s="128" t="s">
        <v>138</v>
      </c>
      <c r="C4895" s="128" t="s">
        <v>25</v>
      </c>
      <c r="D4895" s="128" t="s">
        <v>79</v>
      </c>
      <c r="E4895" s="128" t="s">
        <v>134</v>
      </c>
      <c r="F4895" s="128">
        <v>435981.3</v>
      </c>
      <c r="G4895" s="128">
        <v>187528.6</v>
      </c>
      <c r="H4895" s="128">
        <v>61512.65</v>
      </c>
      <c r="I4895" s="128">
        <v>2311</v>
      </c>
    </row>
    <row r="4896" spans="1:9" ht="13.5">
      <c r="A4896" s="128">
        <v>2006</v>
      </c>
      <c r="B4896" s="128" t="s">
        <v>138</v>
      </c>
      <c r="C4896" s="128" t="s">
        <v>25</v>
      </c>
      <c r="D4896" s="128" t="s">
        <v>79</v>
      </c>
      <c r="E4896" s="128" t="s">
        <v>135</v>
      </c>
      <c r="F4896" s="128">
        <v>1350206.75</v>
      </c>
      <c r="G4896" s="128">
        <v>340406.85</v>
      </c>
      <c r="H4896" s="128">
        <v>123493.12</v>
      </c>
      <c r="I4896" s="128">
        <v>2957</v>
      </c>
    </row>
    <row r="4897" spans="1:9" ht="13.5">
      <c r="A4897" s="128">
        <v>2006</v>
      </c>
      <c r="B4897" s="128" t="s">
        <v>138</v>
      </c>
      <c r="C4897" s="128" t="s">
        <v>25</v>
      </c>
      <c r="D4897" s="128" t="s">
        <v>79</v>
      </c>
      <c r="E4897" s="128" t="s">
        <v>136</v>
      </c>
      <c r="F4897" s="128">
        <v>1398427.19</v>
      </c>
      <c r="G4897" s="128">
        <v>1054471.3500000001</v>
      </c>
      <c r="H4897" s="128">
        <v>343955.84</v>
      </c>
      <c r="I4897" s="128">
        <v>18161</v>
      </c>
    </row>
    <row r="4898" spans="1:9" ht="13.5">
      <c r="A4898" s="128">
        <v>2006</v>
      </c>
      <c r="B4898" s="128" t="s">
        <v>138</v>
      </c>
      <c r="C4898" s="128" t="s">
        <v>25</v>
      </c>
      <c r="D4898" s="128" t="s">
        <v>76</v>
      </c>
      <c r="E4898" s="128" t="s">
        <v>132</v>
      </c>
      <c r="F4898" s="128">
        <v>2168589.94</v>
      </c>
      <c r="G4898" s="128">
        <v>1423325.08</v>
      </c>
      <c r="H4898" s="128">
        <v>745264.86</v>
      </c>
      <c r="I4898" s="128">
        <v>28435</v>
      </c>
    </row>
    <row r="4899" spans="1:9" ht="13.5">
      <c r="A4899" s="128">
        <v>2006</v>
      </c>
      <c r="B4899" s="128" t="s">
        <v>138</v>
      </c>
      <c r="C4899" s="128" t="s">
        <v>25</v>
      </c>
      <c r="D4899" s="128" t="s">
        <v>76</v>
      </c>
      <c r="E4899" s="128" t="s">
        <v>133</v>
      </c>
      <c r="F4899" s="128">
        <v>4133039.57</v>
      </c>
      <c r="G4899" s="128">
        <v>2259765.35</v>
      </c>
      <c r="H4899" s="128">
        <v>1873273.76</v>
      </c>
      <c r="I4899" s="128">
        <v>15643</v>
      </c>
    </row>
    <row r="4900" spans="1:9" ht="13.5">
      <c r="A4900" s="128">
        <v>2006</v>
      </c>
      <c r="B4900" s="128" t="s">
        <v>138</v>
      </c>
      <c r="C4900" s="128" t="s">
        <v>25</v>
      </c>
      <c r="D4900" s="128" t="s">
        <v>76</v>
      </c>
      <c r="E4900" s="128" t="s">
        <v>134</v>
      </c>
      <c r="F4900" s="128">
        <v>2926230.93</v>
      </c>
      <c r="G4900" s="128">
        <v>1361348.8</v>
      </c>
      <c r="H4900" s="128">
        <v>1564882.13</v>
      </c>
      <c r="I4900" s="128">
        <v>20083</v>
      </c>
    </row>
    <row r="4901" spans="1:9" ht="13.5">
      <c r="A4901" s="128">
        <v>2006</v>
      </c>
      <c r="B4901" s="128" t="s">
        <v>138</v>
      </c>
      <c r="C4901" s="128" t="s">
        <v>25</v>
      </c>
      <c r="D4901" s="128" t="s">
        <v>76</v>
      </c>
      <c r="E4901" s="128" t="s">
        <v>135</v>
      </c>
      <c r="F4901" s="128">
        <v>329324.45</v>
      </c>
      <c r="G4901" s="128">
        <v>93664.05</v>
      </c>
      <c r="H4901" s="128">
        <v>235660.4</v>
      </c>
      <c r="I4901" s="128">
        <v>322</v>
      </c>
    </row>
    <row r="4902" spans="1:9" ht="13.5">
      <c r="A4902" s="128">
        <v>2006</v>
      </c>
      <c r="B4902" s="128" t="s">
        <v>138</v>
      </c>
      <c r="C4902" s="128" t="s">
        <v>25</v>
      </c>
      <c r="D4902" s="128" t="s">
        <v>76</v>
      </c>
      <c r="E4902" s="128" t="s">
        <v>136</v>
      </c>
      <c r="F4902" s="128">
        <v>123994.49</v>
      </c>
      <c r="G4902" s="128">
        <v>94810.64</v>
      </c>
      <c r="H4902" s="128">
        <v>29183.85</v>
      </c>
      <c r="I4902" s="128">
        <v>1718</v>
      </c>
    </row>
    <row r="4903" spans="1:9" ht="13.5">
      <c r="A4903" s="128">
        <v>2006</v>
      </c>
      <c r="B4903" s="128" t="s">
        <v>138</v>
      </c>
      <c r="C4903" s="128" t="s">
        <v>21</v>
      </c>
      <c r="D4903" s="128" t="s">
        <v>77</v>
      </c>
      <c r="E4903" s="128" t="s">
        <v>132</v>
      </c>
      <c r="F4903" s="128">
        <v>2220809.2999999998</v>
      </c>
      <c r="G4903" s="128">
        <v>1458709.75</v>
      </c>
      <c r="H4903" s="128">
        <v>667336.78</v>
      </c>
      <c r="I4903" s="128">
        <v>11540</v>
      </c>
    </row>
    <row r="4904" spans="1:9" ht="13.5">
      <c r="A4904" s="128">
        <v>2006</v>
      </c>
      <c r="B4904" s="128" t="s">
        <v>138</v>
      </c>
      <c r="C4904" s="128" t="s">
        <v>21</v>
      </c>
      <c r="D4904" s="128" t="s">
        <v>77</v>
      </c>
      <c r="E4904" s="128" t="s">
        <v>133</v>
      </c>
      <c r="F4904" s="128">
        <v>3579844.64</v>
      </c>
      <c r="G4904" s="128">
        <v>1947504.2</v>
      </c>
      <c r="H4904" s="128">
        <v>1302702.33</v>
      </c>
      <c r="I4904" s="128">
        <v>14535</v>
      </c>
    </row>
    <row r="4905" spans="1:9" ht="13.5">
      <c r="A4905" s="128">
        <v>2006</v>
      </c>
      <c r="B4905" s="128" t="s">
        <v>138</v>
      </c>
      <c r="C4905" s="128" t="s">
        <v>21</v>
      </c>
      <c r="D4905" s="128" t="s">
        <v>77</v>
      </c>
      <c r="E4905" s="128" t="s">
        <v>134</v>
      </c>
      <c r="F4905" s="128">
        <v>7630360.7000000002</v>
      </c>
      <c r="G4905" s="128">
        <v>3298960.85</v>
      </c>
      <c r="H4905" s="128">
        <v>2930581.48</v>
      </c>
      <c r="I4905" s="128">
        <v>32991</v>
      </c>
    </row>
    <row r="4906" spans="1:9" ht="13.5">
      <c r="A4906" s="128">
        <v>2006</v>
      </c>
      <c r="B4906" s="128" t="s">
        <v>138</v>
      </c>
      <c r="C4906" s="128" t="s">
        <v>21</v>
      </c>
      <c r="D4906" s="128" t="s">
        <v>77</v>
      </c>
      <c r="E4906" s="128" t="s">
        <v>135</v>
      </c>
      <c r="F4906" s="128">
        <v>6898855.54</v>
      </c>
      <c r="G4906" s="128">
        <v>2010830.05</v>
      </c>
      <c r="H4906" s="128">
        <v>2006147.92</v>
      </c>
      <c r="I4906" s="128">
        <v>20225</v>
      </c>
    </row>
    <row r="4907" spans="1:9" ht="13.5">
      <c r="A4907" s="128">
        <v>2006</v>
      </c>
      <c r="B4907" s="128" t="s">
        <v>138</v>
      </c>
      <c r="C4907" s="128" t="s">
        <v>21</v>
      </c>
      <c r="D4907" s="128" t="s">
        <v>79</v>
      </c>
      <c r="E4907" s="128" t="s">
        <v>132</v>
      </c>
      <c r="F4907" s="128">
        <v>2733060.34</v>
      </c>
      <c r="G4907" s="128">
        <v>1807212.67</v>
      </c>
      <c r="H4907" s="128">
        <v>602731.99</v>
      </c>
      <c r="I4907" s="128">
        <v>22539</v>
      </c>
    </row>
    <row r="4908" spans="1:9" ht="13.5">
      <c r="A4908" s="128">
        <v>2006</v>
      </c>
      <c r="B4908" s="128" t="s">
        <v>138</v>
      </c>
      <c r="C4908" s="128" t="s">
        <v>21</v>
      </c>
      <c r="D4908" s="128" t="s">
        <v>79</v>
      </c>
      <c r="E4908" s="128" t="s">
        <v>133</v>
      </c>
      <c r="F4908" s="128">
        <v>2779596.07</v>
      </c>
      <c r="G4908" s="128">
        <v>1525821.85</v>
      </c>
      <c r="H4908" s="128">
        <v>525420.31000000006</v>
      </c>
      <c r="I4908" s="128">
        <v>15689</v>
      </c>
    </row>
    <row r="4909" spans="1:9" ht="13.5">
      <c r="A4909" s="128">
        <v>2006</v>
      </c>
      <c r="B4909" s="128" t="s">
        <v>138</v>
      </c>
      <c r="C4909" s="128" t="s">
        <v>21</v>
      </c>
      <c r="D4909" s="128" t="s">
        <v>79</v>
      </c>
      <c r="E4909" s="128" t="s">
        <v>134</v>
      </c>
      <c r="F4909" s="128">
        <v>7123770.4199999999</v>
      </c>
      <c r="G4909" s="128">
        <v>3051290.26</v>
      </c>
      <c r="H4909" s="128">
        <v>1025509.47</v>
      </c>
      <c r="I4909" s="128">
        <v>48845</v>
      </c>
    </row>
    <row r="4910" spans="1:9" ht="13.5">
      <c r="A4910" s="128">
        <v>2006</v>
      </c>
      <c r="B4910" s="128" t="s">
        <v>138</v>
      </c>
      <c r="C4910" s="128" t="s">
        <v>21</v>
      </c>
      <c r="D4910" s="128" t="s">
        <v>79</v>
      </c>
      <c r="E4910" s="128" t="s">
        <v>135</v>
      </c>
      <c r="F4910" s="128">
        <v>11427080.359999999</v>
      </c>
      <c r="G4910" s="128">
        <v>3082751.14</v>
      </c>
      <c r="H4910" s="128">
        <v>1053430.5</v>
      </c>
      <c r="I4910" s="128">
        <v>27255</v>
      </c>
    </row>
    <row r="4911" spans="1:9" ht="13.5">
      <c r="A4911" s="128">
        <v>2006</v>
      </c>
      <c r="B4911" s="128" t="s">
        <v>138</v>
      </c>
      <c r="C4911" s="128" t="s">
        <v>21</v>
      </c>
      <c r="D4911" s="128" t="s">
        <v>79</v>
      </c>
      <c r="E4911" s="128" t="s">
        <v>136</v>
      </c>
      <c r="F4911" s="128">
        <v>14332827.77</v>
      </c>
      <c r="G4911" s="128">
        <v>10794909.01</v>
      </c>
      <c r="H4911" s="128">
        <v>3537751.16</v>
      </c>
      <c r="I4911" s="128">
        <v>171261</v>
      </c>
    </row>
    <row r="4912" spans="1:9" ht="13.5">
      <c r="A4912" s="128">
        <v>2006</v>
      </c>
      <c r="B4912" s="128" t="s">
        <v>138</v>
      </c>
      <c r="C4912" s="128" t="s">
        <v>21</v>
      </c>
      <c r="D4912" s="128" t="s">
        <v>76</v>
      </c>
      <c r="E4912" s="128" t="s">
        <v>132</v>
      </c>
      <c r="F4912" s="128">
        <v>24307307.77</v>
      </c>
      <c r="G4912" s="128">
        <v>15764964.119999999</v>
      </c>
      <c r="H4912" s="128">
        <v>8542313.3599999994</v>
      </c>
      <c r="I4912" s="128">
        <v>309464</v>
      </c>
    </row>
    <row r="4913" spans="1:9" ht="13.5">
      <c r="A4913" s="128">
        <v>2006</v>
      </c>
      <c r="B4913" s="128" t="s">
        <v>138</v>
      </c>
      <c r="C4913" s="128" t="s">
        <v>21</v>
      </c>
      <c r="D4913" s="128" t="s">
        <v>76</v>
      </c>
      <c r="E4913" s="128" t="s">
        <v>133</v>
      </c>
      <c r="F4913" s="128">
        <v>56228321.090000004</v>
      </c>
      <c r="G4913" s="128">
        <v>31140236.870000001</v>
      </c>
      <c r="H4913" s="128">
        <v>25088033.02</v>
      </c>
      <c r="I4913" s="128">
        <v>340154</v>
      </c>
    </row>
    <row r="4914" spans="1:9" ht="13.5">
      <c r="A4914" s="128">
        <v>2006</v>
      </c>
      <c r="B4914" s="128" t="s">
        <v>138</v>
      </c>
      <c r="C4914" s="128" t="s">
        <v>21</v>
      </c>
      <c r="D4914" s="128" t="s">
        <v>76</v>
      </c>
      <c r="E4914" s="128" t="s">
        <v>134</v>
      </c>
      <c r="F4914" s="128">
        <v>34684568.710000001</v>
      </c>
      <c r="G4914" s="128">
        <v>16117064.24</v>
      </c>
      <c r="H4914" s="128">
        <v>18567425.649999999</v>
      </c>
      <c r="I4914" s="128">
        <v>240711</v>
      </c>
    </row>
    <row r="4915" spans="1:9" ht="13.5">
      <c r="A4915" s="128">
        <v>2006</v>
      </c>
      <c r="B4915" s="128" t="s">
        <v>138</v>
      </c>
      <c r="C4915" s="128" t="s">
        <v>21</v>
      </c>
      <c r="D4915" s="128" t="s">
        <v>76</v>
      </c>
      <c r="E4915" s="128" t="s">
        <v>135</v>
      </c>
      <c r="F4915" s="128">
        <v>2330178.9500000002</v>
      </c>
      <c r="G4915" s="128">
        <v>662873.77</v>
      </c>
      <c r="H4915" s="128">
        <v>1667305.18</v>
      </c>
      <c r="I4915" s="128">
        <v>2316</v>
      </c>
    </row>
    <row r="4916" spans="1:9" ht="13.5">
      <c r="A4916" s="128">
        <v>2006</v>
      </c>
      <c r="B4916" s="128" t="s">
        <v>138</v>
      </c>
      <c r="C4916" s="128" t="s">
        <v>21</v>
      </c>
      <c r="D4916" s="128" t="s">
        <v>76</v>
      </c>
      <c r="E4916" s="128" t="s">
        <v>136</v>
      </c>
      <c r="F4916" s="128">
        <v>5482583.3399999999</v>
      </c>
      <c r="G4916" s="128">
        <v>4133761.19</v>
      </c>
      <c r="H4916" s="128">
        <v>1348822.17</v>
      </c>
      <c r="I4916" s="128">
        <v>91846</v>
      </c>
    </row>
    <row r="4917" spans="1:9" ht="13.5">
      <c r="A4917" s="128">
        <v>2006</v>
      </c>
      <c r="B4917" s="128" t="s">
        <v>138</v>
      </c>
      <c r="C4917" s="128" t="s">
        <v>24</v>
      </c>
      <c r="D4917" s="128" t="s">
        <v>77</v>
      </c>
      <c r="E4917" s="128" t="s">
        <v>132</v>
      </c>
      <c r="F4917" s="128">
        <v>1311288.8400000001</v>
      </c>
      <c r="G4917" s="128">
        <v>883553.05</v>
      </c>
      <c r="H4917" s="128">
        <v>382084.58</v>
      </c>
      <c r="I4917" s="128">
        <v>10289</v>
      </c>
    </row>
    <row r="4918" spans="1:9" ht="13.5">
      <c r="A4918" s="128">
        <v>2006</v>
      </c>
      <c r="B4918" s="128" t="s">
        <v>138</v>
      </c>
      <c r="C4918" s="128" t="s">
        <v>24</v>
      </c>
      <c r="D4918" s="128" t="s">
        <v>77</v>
      </c>
      <c r="E4918" s="128" t="s">
        <v>133</v>
      </c>
      <c r="F4918" s="128">
        <v>3053042.14</v>
      </c>
      <c r="G4918" s="128">
        <v>1661907.87</v>
      </c>
      <c r="H4918" s="128">
        <v>1102019.6200000001</v>
      </c>
      <c r="I4918" s="128">
        <v>13057</v>
      </c>
    </row>
    <row r="4919" spans="1:9" ht="13.5">
      <c r="A4919" s="128">
        <v>2006</v>
      </c>
      <c r="B4919" s="128" t="s">
        <v>138</v>
      </c>
      <c r="C4919" s="128" t="s">
        <v>24</v>
      </c>
      <c r="D4919" s="128" t="s">
        <v>77</v>
      </c>
      <c r="E4919" s="128" t="s">
        <v>134</v>
      </c>
      <c r="F4919" s="128">
        <v>5335888.3899999997</v>
      </c>
      <c r="G4919" s="128">
        <v>2358841.2999999998</v>
      </c>
      <c r="H4919" s="128">
        <v>1698832.53</v>
      </c>
      <c r="I4919" s="128">
        <v>22532</v>
      </c>
    </row>
    <row r="4920" spans="1:9" ht="13.5">
      <c r="A4920" s="128">
        <v>2006</v>
      </c>
      <c r="B4920" s="128" t="s">
        <v>138</v>
      </c>
      <c r="C4920" s="128" t="s">
        <v>24</v>
      </c>
      <c r="D4920" s="128" t="s">
        <v>77</v>
      </c>
      <c r="E4920" s="128" t="s">
        <v>135</v>
      </c>
      <c r="F4920" s="128">
        <v>7147045.0099999998</v>
      </c>
      <c r="G4920" s="128">
        <v>1835598.25</v>
      </c>
      <c r="H4920" s="128">
        <v>1423818.43</v>
      </c>
      <c r="I4920" s="128">
        <v>19744</v>
      </c>
    </row>
    <row r="4921" spans="1:9" ht="13.5">
      <c r="A4921" s="128">
        <v>2006</v>
      </c>
      <c r="B4921" s="128" t="s">
        <v>138</v>
      </c>
      <c r="C4921" s="128" t="s">
        <v>24</v>
      </c>
      <c r="D4921" s="128" t="s">
        <v>79</v>
      </c>
      <c r="E4921" s="128" t="s">
        <v>132</v>
      </c>
      <c r="F4921" s="128">
        <v>617005.17000000004</v>
      </c>
      <c r="G4921" s="128">
        <v>398510.54</v>
      </c>
      <c r="H4921" s="128">
        <v>136245.14000000001</v>
      </c>
      <c r="I4921" s="128">
        <v>3678</v>
      </c>
    </row>
    <row r="4922" spans="1:9" ht="13.5">
      <c r="A4922" s="128">
        <v>2006</v>
      </c>
      <c r="B4922" s="128" t="s">
        <v>138</v>
      </c>
      <c r="C4922" s="128" t="s">
        <v>24</v>
      </c>
      <c r="D4922" s="128" t="s">
        <v>79</v>
      </c>
      <c r="E4922" s="128" t="s">
        <v>133</v>
      </c>
      <c r="F4922" s="128">
        <v>1268553.94</v>
      </c>
      <c r="G4922" s="128">
        <v>687852.08</v>
      </c>
      <c r="H4922" s="128">
        <v>240907.82</v>
      </c>
      <c r="I4922" s="128">
        <v>7720</v>
      </c>
    </row>
    <row r="4923" spans="1:9" ht="13.5">
      <c r="A4923" s="128">
        <v>2006</v>
      </c>
      <c r="B4923" s="128" t="s">
        <v>138</v>
      </c>
      <c r="C4923" s="128" t="s">
        <v>24</v>
      </c>
      <c r="D4923" s="128" t="s">
        <v>79</v>
      </c>
      <c r="E4923" s="128" t="s">
        <v>134</v>
      </c>
      <c r="F4923" s="128">
        <v>1611021.12</v>
      </c>
      <c r="G4923" s="128">
        <v>715990.15</v>
      </c>
      <c r="H4923" s="128">
        <v>253546.79</v>
      </c>
      <c r="I4923" s="128">
        <v>16199</v>
      </c>
    </row>
    <row r="4924" spans="1:9" ht="13.5">
      <c r="A4924" s="128">
        <v>2006</v>
      </c>
      <c r="B4924" s="128" t="s">
        <v>138</v>
      </c>
      <c r="C4924" s="128" t="s">
        <v>24</v>
      </c>
      <c r="D4924" s="128" t="s">
        <v>79</v>
      </c>
      <c r="E4924" s="128" t="s">
        <v>135</v>
      </c>
      <c r="F4924" s="128">
        <v>1829548.73</v>
      </c>
      <c r="G4924" s="128">
        <v>446479.37</v>
      </c>
      <c r="H4924" s="128">
        <v>167988.39</v>
      </c>
      <c r="I4924" s="128">
        <v>3787</v>
      </c>
    </row>
    <row r="4925" spans="1:9" ht="13.5">
      <c r="A4925" s="128">
        <v>2006</v>
      </c>
      <c r="B4925" s="128" t="s">
        <v>138</v>
      </c>
      <c r="C4925" s="128" t="s">
        <v>24</v>
      </c>
      <c r="D4925" s="128" t="s">
        <v>79</v>
      </c>
      <c r="E4925" s="128" t="s">
        <v>136</v>
      </c>
      <c r="F4925" s="128">
        <v>1460744.49</v>
      </c>
      <c r="G4925" s="128">
        <v>1099598.6399999999</v>
      </c>
      <c r="H4925" s="128">
        <v>361145.85</v>
      </c>
      <c r="I4925" s="128">
        <v>27942</v>
      </c>
    </row>
    <row r="4926" spans="1:9" ht="13.5">
      <c r="A4926" s="128">
        <v>2006</v>
      </c>
      <c r="B4926" s="128" t="s">
        <v>138</v>
      </c>
      <c r="C4926" s="128" t="s">
        <v>24</v>
      </c>
      <c r="D4926" s="128" t="s">
        <v>76</v>
      </c>
      <c r="E4926" s="128" t="s">
        <v>132</v>
      </c>
      <c r="F4926" s="128">
        <v>8513154.2400000002</v>
      </c>
      <c r="G4926" s="128">
        <v>5425594.9800000004</v>
      </c>
      <c r="H4926" s="128">
        <v>3087556.85</v>
      </c>
      <c r="I4926" s="128">
        <v>112198</v>
      </c>
    </row>
    <row r="4927" spans="1:9" ht="13.5">
      <c r="A4927" s="128">
        <v>2006</v>
      </c>
      <c r="B4927" s="128" t="s">
        <v>138</v>
      </c>
      <c r="C4927" s="128" t="s">
        <v>24</v>
      </c>
      <c r="D4927" s="128" t="s">
        <v>76</v>
      </c>
      <c r="E4927" s="128" t="s">
        <v>133</v>
      </c>
      <c r="F4927" s="128">
        <v>16732150.66</v>
      </c>
      <c r="G4927" s="128">
        <v>9297300.0500000007</v>
      </c>
      <c r="H4927" s="128">
        <v>7434849.0099999998</v>
      </c>
      <c r="I4927" s="128">
        <v>60153</v>
      </c>
    </row>
    <row r="4928" spans="1:9" ht="13.5">
      <c r="A4928" s="128">
        <v>2006</v>
      </c>
      <c r="B4928" s="128" t="s">
        <v>138</v>
      </c>
      <c r="C4928" s="128" t="s">
        <v>24</v>
      </c>
      <c r="D4928" s="128" t="s">
        <v>76</v>
      </c>
      <c r="E4928" s="128" t="s">
        <v>134</v>
      </c>
      <c r="F4928" s="128">
        <v>13656685.27</v>
      </c>
      <c r="G4928" s="128">
        <v>6090389.0599999996</v>
      </c>
      <c r="H4928" s="128">
        <v>7566284.1900000004</v>
      </c>
      <c r="I4928" s="128">
        <v>83637</v>
      </c>
    </row>
    <row r="4929" spans="1:9" ht="13.5">
      <c r="A4929" s="128">
        <v>2006</v>
      </c>
      <c r="B4929" s="128" t="s">
        <v>138</v>
      </c>
      <c r="C4929" s="128" t="s">
        <v>24</v>
      </c>
      <c r="D4929" s="128" t="s">
        <v>76</v>
      </c>
      <c r="E4929" s="128" t="s">
        <v>135</v>
      </c>
      <c r="F4929" s="128">
        <v>1960531.99</v>
      </c>
      <c r="G4929" s="128">
        <v>456185</v>
      </c>
      <c r="H4929" s="128">
        <v>1504346.99</v>
      </c>
      <c r="I4929" s="128">
        <v>1416</v>
      </c>
    </row>
    <row r="4930" spans="1:9" ht="13.5">
      <c r="A4930" s="128">
        <v>2006</v>
      </c>
      <c r="B4930" s="128" t="s">
        <v>138</v>
      </c>
      <c r="C4930" s="128" t="s">
        <v>24</v>
      </c>
      <c r="D4930" s="128" t="s">
        <v>76</v>
      </c>
      <c r="E4930" s="128" t="s">
        <v>136</v>
      </c>
      <c r="F4930" s="128">
        <v>1159264.31</v>
      </c>
      <c r="G4930" s="128">
        <v>876415.4</v>
      </c>
      <c r="H4930" s="128">
        <v>282848.90999999997</v>
      </c>
      <c r="I4930" s="128">
        <v>19209</v>
      </c>
    </row>
    <row r="4931" spans="1:9" ht="13.5">
      <c r="A4931" s="128">
        <v>2006</v>
      </c>
      <c r="B4931" s="128" t="s">
        <v>139</v>
      </c>
      <c r="C4931" s="128" t="s">
        <v>26</v>
      </c>
      <c r="D4931" s="128" t="s">
        <v>77</v>
      </c>
      <c r="E4931" s="128" t="s">
        <v>132</v>
      </c>
      <c r="F4931" s="128">
        <v>0</v>
      </c>
      <c r="G4931" s="128">
        <v>0</v>
      </c>
      <c r="H4931" s="128">
        <v>0</v>
      </c>
      <c r="I4931" s="128">
        <v>0</v>
      </c>
    </row>
    <row r="4932" spans="1:9" ht="13.5">
      <c r="A4932" s="128">
        <v>2006</v>
      </c>
      <c r="B4932" s="128" t="s">
        <v>139</v>
      </c>
      <c r="C4932" s="128" t="s">
        <v>26</v>
      </c>
      <c r="D4932" s="128" t="s">
        <v>77</v>
      </c>
      <c r="E4932" s="128" t="s">
        <v>133</v>
      </c>
      <c r="F4932" s="128">
        <v>0</v>
      </c>
      <c r="G4932" s="128">
        <v>0</v>
      </c>
      <c r="H4932" s="128">
        <v>0</v>
      </c>
      <c r="I4932" s="128">
        <v>0</v>
      </c>
    </row>
    <row r="4933" spans="1:9" ht="13.5">
      <c r="A4933" s="128">
        <v>2006</v>
      </c>
      <c r="B4933" s="128" t="s">
        <v>139</v>
      </c>
      <c r="C4933" s="128" t="s">
        <v>26</v>
      </c>
      <c r="D4933" s="128" t="s">
        <v>77</v>
      </c>
      <c r="E4933" s="128" t="s">
        <v>134</v>
      </c>
      <c r="F4933" s="128">
        <v>0</v>
      </c>
      <c r="G4933" s="128">
        <v>0</v>
      </c>
      <c r="H4933" s="128">
        <v>0</v>
      </c>
      <c r="I4933" s="128">
        <v>0</v>
      </c>
    </row>
    <row r="4934" spans="1:9" ht="13.5">
      <c r="A4934" s="128">
        <v>2006</v>
      </c>
      <c r="B4934" s="128" t="s">
        <v>139</v>
      </c>
      <c r="C4934" s="128" t="s">
        <v>26</v>
      </c>
      <c r="D4934" s="128" t="s">
        <v>77</v>
      </c>
      <c r="E4934" s="128" t="s">
        <v>135</v>
      </c>
      <c r="F4934" s="128">
        <v>0</v>
      </c>
      <c r="G4934" s="128">
        <v>0</v>
      </c>
      <c r="H4934" s="128">
        <v>0</v>
      </c>
      <c r="I4934" s="128">
        <v>0</v>
      </c>
    </row>
    <row r="4935" spans="1:9" ht="13.5">
      <c r="A4935" s="128">
        <v>2006</v>
      </c>
      <c r="B4935" s="128" t="s">
        <v>139</v>
      </c>
      <c r="C4935" s="128" t="s">
        <v>26</v>
      </c>
      <c r="D4935" s="128" t="s">
        <v>79</v>
      </c>
      <c r="E4935" s="128" t="s">
        <v>132</v>
      </c>
      <c r="F4935" s="128">
        <v>0</v>
      </c>
      <c r="G4935" s="128">
        <v>0</v>
      </c>
      <c r="H4935" s="128">
        <v>0</v>
      </c>
      <c r="I4935" s="128">
        <v>0</v>
      </c>
    </row>
    <row r="4936" spans="1:9" ht="13.5">
      <c r="A4936" s="128">
        <v>2006</v>
      </c>
      <c r="B4936" s="128" t="s">
        <v>139</v>
      </c>
      <c r="C4936" s="128" t="s">
        <v>26</v>
      </c>
      <c r="D4936" s="128" t="s">
        <v>79</v>
      </c>
      <c r="E4936" s="128" t="s">
        <v>133</v>
      </c>
      <c r="F4936" s="128">
        <v>0</v>
      </c>
      <c r="G4936" s="128">
        <v>0</v>
      </c>
      <c r="H4936" s="128">
        <v>0</v>
      </c>
      <c r="I4936" s="128">
        <v>0</v>
      </c>
    </row>
    <row r="4937" spans="1:9" ht="13.5">
      <c r="A4937" s="128">
        <v>2006</v>
      </c>
      <c r="B4937" s="128" t="s">
        <v>139</v>
      </c>
      <c r="C4937" s="128" t="s">
        <v>26</v>
      </c>
      <c r="D4937" s="128" t="s">
        <v>79</v>
      </c>
      <c r="E4937" s="128" t="s">
        <v>134</v>
      </c>
      <c r="F4937" s="128">
        <v>0</v>
      </c>
      <c r="G4937" s="128">
        <v>0</v>
      </c>
      <c r="H4937" s="128">
        <v>0</v>
      </c>
      <c r="I4937" s="128">
        <v>0</v>
      </c>
    </row>
    <row r="4938" spans="1:9" ht="13.5">
      <c r="A4938" s="128">
        <v>2006</v>
      </c>
      <c r="B4938" s="128" t="s">
        <v>139</v>
      </c>
      <c r="C4938" s="128" t="s">
        <v>26</v>
      </c>
      <c r="D4938" s="128" t="s">
        <v>79</v>
      </c>
      <c r="E4938" s="128" t="s">
        <v>135</v>
      </c>
      <c r="F4938" s="128">
        <v>0</v>
      </c>
      <c r="G4938" s="128">
        <v>0</v>
      </c>
      <c r="H4938" s="128">
        <v>0</v>
      </c>
      <c r="I4938" s="128">
        <v>0</v>
      </c>
    </row>
    <row r="4939" spans="1:9" ht="13.5">
      <c r="A4939" s="128">
        <v>2006</v>
      </c>
      <c r="B4939" s="128" t="s">
        <v>139</v>
      </c>
      <c r="C4939" s="128" t="s">
        <v>26</v>
      </c>
      <c r="D4939" s="128" t="s">
        <v>79</v>
      </c>
      <c r="E4939" s="128" t="s">
        <v>136</v>
      </c>
      <c r="F4939" s="128">
        <v>0</v>
      </c>
      <c r="G4939" s="128">
        <v>0</v>
      </c>
      <c r="H4939" s="128">
        <v>0</v>
      </c>
      <c r="I4939" s="128">
        <v>0</v>
      </c>
    </row>
    <row r="4940" spans="1:9" ht="13.5">
      <c r="A4940" s="128">
        <v>2006</v>
      </c>
      <c r="B4940" s="128" t="s">
        <v>139</v>
      </c>
      <c r="C4940" s="128" t="s">
        <v>26</v>
      </c>
      <c r="D4940" s="128" t="s">
        <v>76</v>
      </c>
      <c r="E4940" s="128" t="s">
        <v>132</v>
      </c>
      <c r="F4940" s="128">
        <v>0</v>
      </c>
      <c r="G4940" s="128">
        <v>0</v>
      </c>
      <c r="H4940" s="128">
        <v>0</v>
      </c>
      <c r="I4940" s="128">
        <v>0</v>
      </c>
    </row>
    <row r="4941" spans="1:9" ht="13.5">
      <c r="A4941" s="128">
        <v>2006</v>
      </c>
      <c r="B4941" s="128" t="s">
        <v>139</v>
      </c>
      <c r="C4941" s="128" t="s">
        <v>26</v>
      </c>
      <c r="D4941" s="128" t="s">
        <v>76</v>
      </c>
      <c r="E4941" s="128" t="s">
        <v>133</v>
      </c>
      <c r="F4941" s="128">
        <v>0</v>
      </c>
      <c r="G4941" s="128">
        <v>0</v>
      </c>
      <c r="H4941" s="128">
        <v>0</v>
      </c>
      <c r="I4941" s="128">
        <v>0</v>
      </c>
    </row>
    <row r="4942" spans="1:9" ht="13.5">
      <c r="A4942" s="128">
        <v>2006</v>
      </c>
      <c r="B4942" s="128" t="s">
        <v>139</v>
      </c>
      <c r="C4942" s="128" t="s">
        <v>26</v>
      </c>
      <c r="D4942" s="128" t="s">
        <v>76</v>
      </c>
      <c r="E4942" s="128" t="s">
        <v>134</v>
      </c>
      <c r="F4942" s="128">
        <v>0</v>
      </c>
      <c r="G4942" s="128">
        <v>0</v>
      </c>
      <c r="H4942" s="128">
        <v>0</v>
      </c>
      <c r="I4942" s="128">
        <v>0</v>
      </c>
    </row>
    <row r="4943" spans="1:9" ht="13.5">
      <c r="A4943" s="128">
        <v>2006</v>
      </c>
      <c r="B4943" s="128" t="s">
        <v>139</v>
      </c>
      <c r="C4943" s="128" t="s">
        <v>26</v>
      </c>
      <c r="D4943" s="128" t="s">
        <v>76</v>
      </c>
      <c r="E4943" s="128" t="s">
        <v>135</v>
      </c>
      <c r="F4943" s="128">
        <v>0</v>
      </c>
      <c r="G4943" s="128">
        <v>0</v>
      </c>
      <c r="H4943" s="128">
        <v>0</v>
      </c>
      <c r="I4943" s="128">
        <v>0</v>
      </c>
    </row>
    <row r="4944" spans="1:9" ht="13.5">
      <c r="A4944" s="128">
        <v>2006</v>
      </c>
      <c r="B4944" s="128" t="s">
        <v>139</v>
      </c>
      <c r="C4944" s="128" t="s">
        <v>26</v>
      </c>
      <c r="D4944" s="128" t="s">
        <v>76</v>
      </c>
      <c r="E4944" s="128" t="s">
        <v>136</v>
      </c>
      <c r="F4944" s="128">
        <v>0</v>
      </c>
      <c r="G4944" s="128">
        <v>0</v>
      </c>
      <c r="H4944" s="128">
        <v>0</v>
      </c>
      <c r="I4944" s="128">
        <v>0</v>
      </c>
    </row>
    <row r="4945" spans="1:9" ht="13.5">
      <c r="A4945" s="128">
        <v>2006</v>
      </c>
      <c r="B4945" s="128" t="s">
        <v>139</v>
      </c>
      <c r="C4945" s="128" t="s">
        <v>20</v>
      </c>
      <c r="D4945" s="128" t="s">
        <v>77</v>
      </c>
      <c r="E4945" s="128" t="s">
        <v>132</v>
      </c>
      <c r="F4945" s="128">
        <v>636021.66</v>
      </c>
      <c r="G4945" s="128">
        <v>415205.83</v>
      </c>
      <c r="H4945" s="128">
        <v>188099.68</v>
      </c>
      <c r="I4945" s="128">
        <v>4307</v>
      </c>
    </row>
    <row r="4946" spans="1:9" ht="13.5">
      <c r="A4946" s="128">
        <v>2006</v>
      </c>
      <c r="B4946" s="128" t="s">
        <v>139</v>
      </c>
      <c r="C4946" s="128" t="s">
        <v>20</v>
      </c>
      <c r="D4946" s="128" t="s">
        <v>77</v>
      </c>
      <c r="E4946" s="128" t="s">
        <v>133</v>
      </c>
      <c r="F4946" s="128">
        <v>1473886.76</v>
      </c>
      <c r="G4946" s="128">
        <v>803164.09</v>
      </c>
      <c r="H4946" s="128">
        <v>540588.86</v>
      </c>
      <c r="I4946" s="128">
        <v>6409</v>
      </c>
    </row>
    <row r="4947" spans="1:9" ht="13.5">
      <c r="A4947" s="128">
        <v>2006</v>
      </c>
      <c r="B4947" s="128" t="s">
        <v>139</v>
      </c>
      <c r="C4947" s="128" t="s">
        <v>20</v>
      </c>
      <c r="D4947" s="128" t="s">
        <v>77</v>
      </c>
      <c r="E4947" s="128" t="s">
        <v>134</v>
      </c>
      <c r="F4947" s="128">
        <v>3479662.62</v>
      </c>
      <c r="G4947" s="128">
        <v>1522389.55</v>
      </c>
      <c r="H4947" s="128">
        <v>1344170.03</v>
      </c>
      <c r="I4947" s="128">
        <v>13269</v>
      </c>
    </row>
    <row r="4948" spans="1:9" ht="13.5">
      <c r="A4948" s="128">
        <v>2006</v>
      </c>
      <c r="B4948" s="128" t="s">
        <v>139</v>
      </c>
      <c r="C4948" s="128" t="s">
        <v>20</v>
      </c>
      <c r="D4948" s="128" t="s">
        <v>77</v>
      </c>
      <c r="E4948" s="128" t="s">
        <v>135</v>
      </c>
      <c r="F4948" s="128">
        <v>5478344.0700000003</v>
      </c>
      <c r="G4948" s="128">
        <v>1503764.51</v>
      </c>
      <c r="H4948" s="128">
        <v>1401173.08</v>
      </c>
      <c r="I4948" s="128">
        <v>14671</v>
      </c>
    </row>
    <row r="4949" spans="1:9" ht="13.5">
      <c r="A4949" s="128">
        <v>2006</v>
      </c>
      <c r="B4949" s="128" t="s">
        <v>139</v>
      </c>
      <c r="C4949" s="128" t="s">
        <v>20</v>
      </c>
      <c r="D4949" s="128" t="s">
        <v>79</v>
      </c>
      <c r="E4949" s="128" t="s">
        <v>132</v>
      </c>
      <c r="F4949" s="128">
        <v>3335520.69</v>
      </c>
      <c r="G4949" s="128">
        <v>2217218.35</v>
      </c>
      <c r="H4949" s="128">
        <v>732695.56</v>
      </c>
      <c r="I4949" s="128">
        <v>18178</v>
      </c>
    </row>
    <row r="4950" spans="1:9" ht="13.5">
      <c r="A4950" s="128">
        <v>2006</v>
      </c>
      <c r="B4950" s="128" t="s">
        <v>139</v>
      </c>
      <c r="C4950" s="128" t="s">
        <v>20</v>
      </c>
      <c r="D4950" s="128" t="s">
        <v>79</v>
      </c>
      <c r="E4950" s="128" t="s">
        <v>133</v>
      </c>
      <c r="F4950" s="128">
        <v>5073852.51</v>
      </c>
      <c r="G4950" s="128">
        <v>2783545.32</v>
      </c>
      <c r="H4950" s="128">
        <v>919239.06</v>
      </c>
      <c r="I4950" s="128">
        <v>36953</v>
      </c>
    </row>
    <row r="4951" spans="1:9" ht="13.5">
      <c r="A4951" s="128">
        <v>2006</v>
      </c>
      <c r="B4951" s="128" t="s">
        <v>139</v>
      </c>
      <c r="C4951" s="128" t="s">
        <v>20</v>
      </c>
      <c r="D4951" s="128" t="s">
        <v>79</v>
      </c>
      <c r="E4951" s="128" t="s">
        <v>134</v>
      </c>
      <c r="F4951" s="128">
        <v>16150954.220000001</v>
      </c>
      <c r="G4951" s="128">
        <v>6846049.6100000003</v>
      </c>
      <c r="H4951" s="128">
        <v>2290842.85</v>
      </c>
      <c r="I4951" s="128">
        <v>64989</v>
      </c>
    </row>
    <row r="4952" spans="1:9" ht="13.5">
      <c r="A4952" s="128">
        <v>2006</v>
      </c>
      <c r="B4952" s="128" t="s">
        <v>139</v>
      </c>
      <c r="C4952" s="128" t="s">
        <v>20</v>
      </c>
      <c r="D4952" s="128" t="s">
        <v>79</v>
      </c>
      <c r="E4952" s="128" t="s">
        <v>135</v>
      </c>
      <c r="F4952" s="128">
        <v>57443852.079999998</v>
      </c>
      <c r="G4952" s="128">
        <v>16057665.5</v>
      </c>
      <c r="H4952" s="128">
        <v>5428228.96</v>
      </c>
      <c r="I4952" s="128">
        <v>127723</v>
      </c>
    </row>
    <row r="4953" spans="1:9" ht="13.5">
      <c r="A4953" s="128">
        <v>2006</v>
      </c>
      <c r="B4953" s="128" t="s">
        <v>139</v>
      </c>
      <c r="C4953" s="128" t="s">
        <v>20</v>
      </c>
      <c r="D4953" s="128" t="s">
        <v>79</v>
      </c>
      <c r="E4953" s="128" t="s">
        <v>136</v>
      </c>
      <c r="F4953" s="128">
        <v>20820039.77</v>
      </c>
      <c r="G4953" s="128">
        <v>15741658.220000001</v>
      </c>
      <c r="H4953" s="128">
        <v>5076946.95</v>
      </c>
      <c r="I4953" s="128">
        <v>331954</v>
      </c>
    </row>
    <row r="4954" spans="1:9" ht="13.5">
      <c r="A4954" s="128">
        <v>2006</v>
      </c>
      <c r="B4954" s="128" t="s">
        <v>139</v>
      </c>
      <c r="C4954" s="128" t="s">
        <v>20</v>
      </c>
      <c r="D4954" s="128" t="s">
        <v>76</v>
      </c>
      <c r="E4954" s="128" t="s">
        <v>132</v>
      </c>
      <c r="F4954" s="128">
        <v>24197541.66</v>
      </c>
      <c r="G4954" s="128">
        <v>15551939.6</v>
      </c>
      <c r="H4954" s="128">
        <v>8645290.8800000008</v>
      </c>
      <c r="I4954" s="128">
        <v>302958</v>
      </c>
    </row>
    <row r="4955" spans="1:9" ht="13.5">
      <c r="A4955" s="128">
        <v>2006</v>
      </c>
      <c r="B4955" s="128" t="s">
        <v>139</v>
      </c>
      <c r="C4955" s="128" t="s">
        <v>20</v>
      </c>
      <c r="D4955" s="128" t="s">
        <v>76</v>
      </c>
      <c r="E4955" s="128" t="s">
        <v>133</v>
      </c>
      <c r="F4955" s="128">
        <v>43641082.409999996</v>
      </c>
      <c r="G4955" s="128">
        <v>23999226.879999999</v>
      </c>
      <c r="H4955" s="128">
        <v>19641660.289999999</v>
      </c>
      <c r="I4955" s="128">
        <v>207498</v>
      </c>
    </row>
    <row r="4956" spans="1:9" ht="13.5">
      <c r="A4956" s="128">
        <v>2006</v>
      </c>
      <c r="B4956" s="128" t="s">
        <v>139</v>
      </c>
      <c r="C4956" s="128" t="s">
        <v>20</v>
      </c>
      <c r="D4956" s="128" t="s">
        <v>76</v>
      </c>
      <c r="E4956" s="128" t="s">
        <v>134</v>
      </c>
      <c r="F4956" s="128">
        <v>31601250.059999999</v>
      </c>
      <c r="G4956" s="128">
        <v>14788150</v>
      </c>
      <c r="H4956" s="128">
        <v>16812876.43</v>
      </c>
      <c r="I4956" s="128">
        <v>206111</v>
      </c>
    </row>
    <row r="4957" spans="1:9" ht="13.5">
      <c r="A4957" s="128">
        <v>2006</v>
      </c>
      <c r="B4957" s="128" t="s">
        <v>139</v>
      </c>
      <c r="C4957" s="128" t="s">
        <v>20</v>
      </c>
      <c r="D4957" s="128" t="s">
        <v>76</v>
      </c>
      <c r="E4957" s="128" t="s">
        <v>135</v>
      </c>
      <c r="F4957" s="128">
        <v>3941960.06</v>
      </c>
      <c r="G4957" s="128">
        <v>1163399.92</v>
      </c>
      <c r="H4957" s="128">
        <v>2778555.14</v>
      </c>
      <c r="I4957" s="128">
        <v>4868</v>
      </c>
    </row>
    <row r="4958" spans="1:9" ht="13.5">
      <c r="A4958" s="128">
        <v>2006</v>
      </c>
      <c r="B4958" s="128" t="s">
        <v>139</v>
      </c>
      <c r="C4958" s="128" t="s">
        <v>20</v>
      </c>
      <c r="D4958" s="128" t="s">
        <v>76</v>
      </c>
      <c r="E4958" s="128" t="s">
        <v>136</v>
      </c>
      <c r="F4958" s="128">
        <v>5984928.3300000001</v>
      </c>
      <c r="G4958" s="128">
        <v>4504883.05</v>
      </c>
      <c r="H4958" s="128">
        <v>1480620.48</v>
      </c>
      <c r="I4958" s="128">
        <v>139912</v>
      </c>
    </row>
    <row r="4959" spans="1:9" ht="13.5">
      <c r="A4959" s="128">
        <v>2006</v>
      </c>
      <c r="B4959" s="128" t="s">
        <v>139</v>
      </c>
      <c r="C4959" s="128" t="s">
        <v>27</v>
      </c>
      <c r="D4959" s="128" t="s">
        <v>77</v>
      </c>
      <c r="E4959" s="128" t="s">
        <v>132</v>
      </c>
      <c r="F4959" s="128">
        <v>12499.91</v>
      </c>
      <c r="G4959" s="128">
        <v>8493.65</v>
      </c>
      <c r="H4959" s="128">
        <v>3265.61</v>
      </c>
      <c r="I4959" s="128">
        <v>45</v>
      </c>
    </row>
    <row r="4960" spans="1:9" ht="13.5">
      <c r="A4960" s="128">
        <v>2006</v>
      </c>
      <c r="B4960" s="128" t="s">
        <v>139</v>
      </c>
      <c r="C4960" s="128" t="s">
        <v>27</v>
      </c>
      <c r="D4960" s="128" t="s">
        <v>77</v>
      </c>
      <c r="E4960" s="128" t="s">
        <v>133</v>
      </c>
      <c r="F4960" s="128">
        <v>19695.490000000002</v>
      </c>
      <c r="G4960" s="128">
        <v>10368.200000000001</v>
      </c>
      <c r="H4960" s="128">
        <v>6875.21</v>
      </c>
      <c r="I4960" s="128">
        <v>80</v>
      </c>
    </row>
    <row r="4961" spans="1:9" ht="13.5">
      <c r="A4961" s="128">
        <v>2006</v>
      </c>
      <c r="B4961" s="128" t="s">
        <v>139</v>
      </c>
      <c r="C4961" s="128" t="s">
        <v>27</v>
      </c>
      <c r="D4961" s="128" t="s">
        <v>77</v>
      </c>
      <c r="E4961" s="128" t="s">
        <v>134</v>
      </c>
      <c r="F4961" s="128">
        <v>79011.37</v>
      </c>
      <c r="G4961" s="128">
        <v>34030.9</v>
      </c>
      <c r="H4961" s="128">
        <v>30680.54</v>
      </c>
      <c r="I4961" s="128">
        <v>130</v>
      </c>
    </row>
    <row r="4962" spans="1:9" ht="13.5">
      <c r="A4962" s="128">
        <v>2006</v>
      </c>
      <c r="B4962" s="128" t="s">
        <v>139</v>
      </c>
      <c r="C4962" s="128" t="s">
        <v>27</v>
      </c>
      <c r="D4962" s="128" t="s">
        <v>77</v>
      </c>
      <c r="E4962" s="128" t="s">
        <v>135</v>
      </c>
      <c r="F4962" s="128">
        <v>154483.26999999999</v>
      </c>
      <c r="G4962" s="128">
        <v>44426.55</v>
      </c>
      <c r="H4962" s="128">
        <v>48049.75</v>
      </c>
      <c r="I4962" s="128">
        <v>491</v>
      </c>
    </row>
    <row r="4963" spans="1:9" ht="13.5">
      <c r="A4963" s="128">
        <v>2006</v>
      </c>
      <c r="B4963" s="128" t="s">
        <v>139</v>
      </c>
      <c r="C4963" s="128" t="s">
        <v>27</v>
      </c>
      <c r="D4963" s="128" t="s">
        <v>79</v>
      </c>
      <c r="E4963" s="128" t="s">
        <v>132</v>
      </c>
      <c r="F4963" s="128">
        <v>62631.67</v>
      </c>
      <c r="G4963" s="128">
        <v>41345.5</v>
      </c>
      <c r="H4963" s="128">
        <v>13777.2</v>
      </c>
      <c r="I4963" s="128">
        <v>315</v>
      </c>
    </row>
    <row r="4964" spans="1:9" ht="13.5">
      <c r="A4964" s="128">
        <v>2006</v>
      </c>
      <c r="B4964" s="128" t="s">
        <v>139</v>
      </c>
      <c r="C4964" s="128" t="s">
        <v>27</v>
      </c>
      <c r="D4964" s="128" t="s">
        <v>79</v>
      </c>
      <c r="E4964" s="128" t="s">
        <v>133</v>
      </c>
      <c r="F4964" s="128">
        <v>73109.3</v>
      </c>
      <c r="G4964" s="128">
        <v>39525.699999999997</v>
      </c>
      <c r="H4964" s="128">
        <v>13256.17</v>
      </c>
      <c r="I4964" s="128">
        <v>346</v>
      </c>
    </row>
    <row r="4965" spans="1:9" ht="13.5">
      <c r="A4965" s="128">
        <v>2006</v>
      </c>
      <c r="B4965" s="128" t="s">
        <v>139</v>
      </c>
      <c r="C4965" s="128" t="s">
        <v>27</v>
      </c>
      <c r="D4965" s="128" t="s">
        <v>79</v>
      </c>
      <c r="E4965" s="128" t="s">
        <v>134</v>
      </c>
      <c r="F4965" s="128">
        <v>147283.60999999999</v>
      </c>
      <c r="G4965" s="128">
        <v>61352.4</v>
      </c>
      <c r="H4965" s="128">
        <v>20498.73</v>
      </c>
      <c r="I4965" s="128">
        <v>886</v>
      </c>
    </row>
    <row r="4966" spans="1:9" ht="13.5">
      <c r="A4966" s="128">
        <v>2006</v>
      </c>
      <c r="B4966" s="128" t="s">
        <v>139</v>
      </c>
      <c r="C4966" s="128" t="s">
        <v>27</v>
      </c>
      <c r="D4966" s="128" t="s">
        <v>79</v>
      </c>
      <c r="E4966" s="128" t="s">
        <v>135</v>
      </c>
      <c r="F4966" s="128">
        <v>460030.79</v>
      </c>
      <c r="G4966" s="128">
        <v>136644.35</v>
      </c>
      <c r="H4966" s="128">
        <v>45863.85</v>
      </c>
      <c r="I4966" s="128">
        <v>1147</v>
      </c>
    </row>
    <row r="4967" spans="1:9" ht="13.5">
      <c r="A4967" s="128">
        <v>2006</v>
      </c>
      <c r="B4967" s="128" t="s">
        <v>139</v>
      </c>
      <c r="C4967" s="128" t="s">
        <v>27</v>
      </c>
      <c r="D4967" s="128" t="s">
        <v>79</v>
      </c>
      <c r="E4967" s="128" t="s">
        <v>136</v>
      </c>
      <c r="F4967" s="128">
        <v>177818.51</v>
      </c>
      <c r="G4967" s="128">
        <v>135275.17000000001</v>
      </c>
      <c r="H4967" s="128">
        <v>42543.34</v>
      </c>
      <c r="I4967" s="128">
        <v>2137</v>
      </c>
    </row>
    <row r="4968" spans="1:9" ht="13.5">
      <c r="A4968" s="128">
        <v>2006</v>
      </c>
      <c r="B4968" s="128" t="s">
        <v>139</v>
      </c>
      <c r="C4968" s="128" t="s">
        <v>27</v>
      </c>
      <c r="D4968" s="128" t="s">
        <v>76</v>
      </c>
      <c r="E4968" s="128" t="s">
        <v>132</v>
      </c>
      <c r="F4968" s="128">
        <v>256309.68</v>
      </c>
      <c r="G4968" s="128">
        <v>167725.9</v>
      </c>
      <c r="H4968" s="128">
        <v>88583.08</v>
      </c>
      <c r="I4968" s="128">
        <v>3073</v>
      </c>
    </row>
    <row r="4969" spans="1:9" ht="13.5">
      <c r="A4969" s="128">
        <v>2006</v>
      </c>
      <c r="B4969" s="128" t="s">
        <v>139</v>
      </c>
      <c r="C4969" s="128" t="s">
        <v>27</v>
      </c>
      <c r="D4969" s="128" t="s">
        <v>76</v>
      </c>
      <c r="E4969" s="128" t="s">
        <v>133</v>
      </c>
      <c r="F4969" s="128">
        <v>737346.72</v>
      </c>
      <c r="G4969" s="128">
        <v>403558.39</v>
      </c>
      <c r="H4969" s="128">
        <v>333781.09000000003</v>
      </c>
      <c r="I4969" s="128">
        <v>3046</v>
      </c>
    </row>
    <row r="4970" spans="1:9" ht="13.5">
      <c r="A4970" s="128">
        <v>2006</v>
      </c>
      <c r="B4970" s="128" t="s">
        <v>139</v>
      </c>
      <c r="C4970" s="128" t="s">
        <v>27</v>
      </c>
      <c r="D4970" s="128" t="s">
        <v>76</v>
      </c>
      <c r="E4970" s="128" t="s">
        <v>134</v>
      </c>
      <c r="F4970" s="128">
        <v>480520.7</v>
      </c>
      <c r="G4970" s="128">
        <v>223888.3</v>
      </c>
      <c r="H4970" s="128">
        <v>256627.55</v>
      </c>
      <c r="I4970" s="128">
        <v>3047</v>
      </c>
    </row>
    <row r="4971" spans="1:9" ht="13.5">
      <c r="A4971" s="128">
        <v>2006</v>
      </c>
      <c r="B4971" s="128" t="s">
        <v>139</v>
      </c>
      <c r="C4971" s="128" t="s">
        <v>27</v>
      </c>
      <c r="D4971" s="128" t="s">
        <v>76</v>
      </c>
      <c r="E4971" s="128" t="s">
        <v>135</v>
      </c>
      <c r="F4971" s="128">
        <v>36855.35</v>
      </c>
      <c r="G4971" s="128">
        <v>11381.65</v>
      </c>
      <c r="H4971" s="128">
        <v>25473.7</v>
      </c>
      <c r="I4971" s="128">
        <v>50</v>
      </c>
    </row>
    <row r="4972" spans="1:9" ht="13.5">
      <c r="A4972" s="128">
        <v>2006</v>
      </c>
      <c r="B4972" s="128" t="s">
        <v>139</v>
      </c>
      <c r="C4972" s="128" t="s">
        <v>27</v>
      </c>
      <c r="D4972" s="128" t="s">
        <v>76</v>
      </c>
      <c r="E4972" s="128" t="s">
        <v>136</v>
      </c>
      <c r="F4972" s="128">
        <v>48823.35</v>
      </c>
      <c r="G4972" s="128">
        <v>36768.800000000003</v>
      </c>
      <c r="H4972" s="128">
        <v>12054.55</v>
      </c>
      <c r="I4972" s="128">
        <v>531</v>
      </c>
    </row>
    <row r="4973" spans="1:9" ht="13.5">
      <c r="A4973" s="128">
        <v>2006</v>
      </c>
      <c r="B4973" s="128" t="s">
        <v>139</v>
      </c>
      <c r="C4973" s="128" t="s">
        <v>22</v>
      </c>
      <c r="D4973" s="128" t="s">
        <v>77</v>
      </c>
      <c r="E4973" s="128" t="s">
        <v>132</v>
      </c>
      <c r="F4973" s="128">
        <v>420537.42</v>
      </c>
      <c r="G4973" s="128">
        <v>275211.2</v>
      </c>
      <c r="H4973" s="128">
        <v>122584.93</v>
      </c>
      <c r="I4973" s="128">
        <v>3048</v>
      </c>
    </row>
    <row r="4974" spans="1:9" ht="13.5">
      <c r="A4974" s="128">
        <v>2006</v>
      </c>
      <c r="B4974" s="128" t="s">
        <v>139</v>
      </c>
      <c r="C4974" s="128" t="s">
        <v>22</v>
      </c>
      <c r="D4974" s="128" t="s">
        <v>77</v>
      </c>
      <c r="E4974" s="128" t="s">
        <v>133</v>
      </c>
      <c r="F4974" s="128">
        <v>1363923.34</v>
      </c>
      <c r="G4974" s="128">
        <v>733716.55</v>
      </c>
      <c r="H4974" s="128">
        <v>503569.13</v>
      </c>
      <c r="I4974" s="128">
        <v>6418</v>
      </c>
    </row>
    <row r="4975" spans="1:9" ht="13.5">
      <c r="A4975" s="128">
        <v>2006</v>
      </c>
      <c r="B4975" s="128" t="s">
        <v>139</v>
      </c>
      <c r="C4975" s="128" t="s">
        <v>22</v>
      </c>
      <c r="D4975" s="128" t="s">
        <v>77</v>
      </c>
      <c r="E4975" s="128" t="s">
        <v>134</v>
      </c>
      <c r="F4975" s="128">
        <v>4335852.53</v>
      </c>
      <c r="G4975" s="128">
        <v>1851435.05</v>
      </c>
      <c r="H4975" s="128">
        <v>1671440.45</v>
      </c>
      <c r="I4975" s="128">
        <v>12146</v>
      </c>
    </row>
    <row r="4976" spans="1:9" ht="13.5">
      <c r="A4976" s="128">
        <v>2006</v>
      </c>
      <c r="B4976" s="128" t="s">
        <v>139</v>
      </c>
      <c r="C4976" s="128" t="s">
        <v>22</v>
      </c>
      <c r="D4976" s="128" t="s">
        <v>77</v>
      </c>
      <c r="E4976" s="128" t="s">
        <v>135</v>
      </c>
      <c r="F4976" s="128">
        <v>6559779.79</v>
      </c>
      <c r="G4976" s="128">
        <v>1881081.24</v>
      </c>
      <c r="H4976" s="128">
        <v>2032220.42</v>
      </c>
      <c r="I4976" s="128">
        <v>20116</v>
      </c>
    </row>
    <row r="4977" spans="1:9" ht="13.5">
      <c r="A4977" s="128">
        <v>2006</v>
      </c>
      <c r="B4977" s="128" t="s">
        <v>139</v>
      </c>
      <c r="C4977" s="128" t="s">
        <v>22</v>
      </c>
      <c r="D4977" s="128" t="s">
        <v>79</v>
      </c>
      <c r="E4977" s="128" t="s">
        <v>132</v>
      </c>
      <c r="F4977" s="128">
        <v>2592622.92</v>
      </c>
      <c r="G4977" s="128">
        <v>1720316.73</v>
      </c>
      <c r="H4977" s="128">
        <v>570879.77</v>
      </c>
      <c r="I4977" s="128">
        <v>16317</v>
      </c>
    </row>
    <row r="4978" spans="1:9" ht="13.5">
      <c r="A4978" s="128">
        <v>2006</v>
      </c>
      <c r="B4978" s="128" t="s">
        <v>139</v>
      </c>
      <c r="C4978" s="128" t="s">
        <v>22</v>
      </c>
      <c r="D4978" s="128" t="s">
        <v>79</v>
      </c>
      <c r="E4978" s="128" t="s">
        <v>133</v>
      </c>
      <c r="F4978" s="128">
        <v>5334829.0999999996</v>
      </c>
      <c r="G4978" s="128">
        <v>2908592.7</v>
      </c>
      <c r="H4978" s="128">
        <v>972994.6</v>
      </c>
      <c r="I4978" s="128">
        <v>38139</v>
      </c>
    </row>
    <row r="4979" spans="1:9" ht="13.5">
      <c r="A4979" s="128">
        <v>2006</v>
      </c>
      <c r="B4979" s="128" t="s">
        <v>139</v>
      </c>
      <c r="C4979" s="128" t="s">
        <v>22</v>
      </c>
      <c r="D4979" s="128" t="s">
        <v>79</v>
      </c>
      <c r="E4979" s="128" t="s">
        <v>134</v>
      </c>
      <c r="F4979" s="128">
        <v>10554156.17</v>
      </c>
      <c r="G4979" s="128">
        <v>4491465.96</v>
      </c>
      <c r="H4979" s="128">
        <v>1497349.58</v>
      </c>
      <c r="I4979" s="128">
        <v>40940</v>
      </c>
    </row>
    <row r="4980" spans="1:9" ht="13.5">
      <c r="A4980" s="128">
        <v>2006</v>
      </c>
      <c r="B4980" s="128" t="s">
        <v>139</v>
      </c>
      <c r="C4980" s="128" t="s">
        <v>22</v>
      </c>
      <c r="D4980" s="128" t="s">
        <v>79</v>
      </c>
      <c r="E4980" s="128" t="s">
        <v>135</v>
      </c>
      <c r="F4980" s="128">
        <v>19272720.379999999</v>
      </c>
      <c r="G4980" s="128">
        <v>5636176.46</v>
      </c>
      <c r="H4980" s="128">
        <v>1899797.3</v>
      </c>
      <c r="I4980" s="128">
        <v>51187</v>
      </c>
    </row>
    <row r="4981" spans="1:9" ht="13.5">
      <c r="A4981" s="128">
        <v>2006</v>
      </c>
      <c r="B4981" s="128" t="s">
        <v>139</v>
      </c>
      <c r="C4981" s="128" t="s">
        <v>22</v>
      </c>
      <c r="D4981" s="128" t="s">
        <v>79</v>
      </c>
      <c r="E4981" s="128" t="s">
        <v>136</v>
      </c>
      <c r="F4981" s="128">
        <v>7293253.2400000002</v>
      </c>
      <c r="G4981" s="128">
        <v>5546520.1699999999</v>
      </c>
      <c r="H4981" s="128">
        <v>1745969.02</v>
      </c>
      <c r="I4981" s="128">
        <v>98200</v>
      </c>
    </row>
    <row r="4982" spans="1:9" ht="13.5">
      <c r="A4982" s="128">
        <v>2006</v>
      </c>
      <c r="B4982" s="128" t="s">
        <v>139</v>
      </c>
      <c r="C4982" s="128" t="s">
        <v>22</v>
      </c>
      <c r="D4982" s="128" t="s">
        <v>76</v>
      </c>
      <c r="E4982" s="128" t="s">
        <v>132</v>
      </c>
      <c r="F4982" s="128">
        <v>23222897.620000001</v>
      </c>
      <c r="G4982" s="128">
        <v>15146322.279999999</v>
      </c>
      <c r="H4982" s="128">
        <v>8076678.7300000004</v>
      </c>
      <c r="I4982" s="128">
        <v>361489</v>
      </c>
    </row>
    <row r="4983" spans="1:9" ht="13.5">
      <c r="A4983" s="128">
        <v>2006</v>
      </c>
      <c r="B4983" s="128" t="s">
        <v>139</v>
      </c>
      <c r="C4983" s="128" t="s">
        <v>22</v>
      </c>
      <c r="D4983" s="128" t="s">
        <v>76</v>
      </c>
      <c r="E4983" s="128" t="s">
        <v>133</v>
      </c>
      <c r="F4983" s="128">
        <v>37084982.5</v>
      </c>
      <c r="G4983" s="128">
        <v>20566992.829999998</v>
      </c>
      <c r="H4983" s="128">
        <v>16518119.68</v>
      </c>
      <c r="I4983" s="128">
        <v>226360</v>
      </c>
    </row>
    <row r="4984" spans="1:9" ht="13.5">
      <c r="A4984" s="128">
        <v>2006</v>
      </c>
      <c r="B4984" s="128" t="s">
        <v>139</v>
      </c>
      <c r="C4984" s="128" t="s">
        <v>22</v>
      </c>
      <c r="D4984" s="128" t="s">
        <v>76</v>
      </c>
      <c r="E4984" s="128" t="s">
        <v>134</v>
      </c>
      <c r="F4984" s="128">
        <v>20270210.039999999</v>
      </c>
      <c r="G4984" s="128">
        <v>9564439.1899999995</v>
      </c>
      <c r="H4984" s="128">
        <v>10705752.6</v>
      </c>
      <c r="I4984" s="128">
        <v>150729</v>
      </c>
    </row>
    <row r="4985" spans="1:9" ht="13.5">
      <c r="A4985" s="128">
        <v>2006</v>
      </c>
      <c r="B4985" s="128" t="s">
        <v>139</v>
      </c>
      <c r="C4985" s="128" t="s">
        <v>22</v>
      </c>
      <c r="D4985" s="128" t="s">
        <v>76</v>
      </c>
      <c r="E4985" s="128" t="s">
        <v>135</v>
      </c>
      <c r="F4985" s="128">
        <v>3334235.57</v>
      </c>
      <c r="G4985" s="128">
        <v>963537.1</v>
      </c>
      <c r="H4985" s="128">
        <v>2370699.4700000002</v>
      </c>
      <c r="I4985" s="128">
        <v>3487</v>
      </c>
    </row>
    <row r="4986" spans="1:9" ht="13.5">
      <c r="A4986" s="128">
        <v>2006</v>
      </c>
      <c r="B4986" s="128" t="s">
        <v>139</v>
      </c>
      <c r="C4986" s="128" t="s">
        <v>22</v>
      </c>
      <c r="D4986" s="128" t="s">
        <v>76</v>
      </c>
      <c r="E4986" s="128" t="s">
        <v>136</v>
      </c>
      <c r="F4986" s="128">
        <v>1928950.81</v>
      </c>
      <c r="G4986" s="128">
        <v>1455906.33</v>
      </c>
      <c r="H4986" s="128">
        <v>472930.78</v>
      </c>
      <c r="I4986" s="128">
        <v>37507</v>
      </c>
    </row>
    <row r="4987" spans="1:9" ht="13.5">
      <c r="A4987" s="128">
        <v>2006</v>
      </c>
      <c r="B4987" s="128" t="s">
        <v>139</v>
      </c>
      <c r="C4987" s="128" t="s">
        <v>23</v>
      </c>
      <c r="D4987" s="128" t="s">
        <v>77</v>
      </c>
      <c r="E4987" s="128" t="s">
        <v>132</v>
      </c>
      <c r="F4987" s="128">
        <v>1228127.04</v>
      </c>
      <c r="G4987" s="128">
        <v>798024.75</v>
      </c>
      <c r="H4987" s="128">
        <v>386958.25</v>
      </c>
      <c r="I4987" s="128">
        <v>9640</v>
      </c>
    </row>
    <row r="4988" spans="1:9" ht="13.5">
      <c r="A4988" s="128">
        <v>2006</v>
      </c>
      <c r="B4988" s="128" t="s">
        <v>139</v>
      </c>
      <c r="C4988" s="128" t="s">
        <v>23</v>
      </c>
      <c r="D4988" s="128" t="s">
        <v>77</v>
      </c>
      <c r="E4988" s="128" t="s">
        <v>133</v>
      </c>
      <c r="F4988" s="128">
        <v>1635455.59</v>
      </c>
      <c r="G4988" s="128">
        <v>888109.9</v>
      </c>
      <c r="H4988" s="128">
        <v>678919.36</v>
      </c>
      <c r="I4988" s="128">
        <v>6674</v>
      </c>
    </row>
    <row r="4989" spans="1:9" ht="13.5">
      <c r="A4989" s="128">
        <v>2006</v>
      </c>
      <c r="B4989" s="128" t="s">
        <v>139</v>
      </c>
      <c r="C4989" s="128" t="s">
        <v>23</v>
      </c>
      <c r="D4989" s="128" t="s">
        <v>77</v>
      </c>
      <c r="E4989" s="128" t="s">
        <v>134</v>
      </c>
      <c r="F4989" s="128">
        <v>1776798.53</v>
      </c>
      <c r="G4989" s="128">
        <v>811074.75</v>
      </c>
      <c r="H4989" s="128">
        <v>819348.47</v>
      </c>
      <c r="I4989" s="128">
        <v>7217</v>
      </c>
    </row>
    <row r="4990" spans="1:9" ht="13.5">
      <c r="A4990" s="128">
        <v>2006</v>
      </c>
      <c r="B4990" s="128" t="s">
        <v>139</v>
      </c>
      <c r="C4990" s="128" t="s">
        <v>23</v>
      </c>
      <c r="D4990" s="128" t="s">
        <v>77</v>
      </c>
      <c r="E4990" s="128" t="s">
        <v>135</v>
      </c>
      <c r="F4990" s="128">
        <v>987725.33</v>
      </c>
      <c r="G4990" s="128">
        <v>262117.75</v>
      </c>
      <c r="H4990" s="128">
        <v>314684.87</v>
      </c>
      <c r="I4990" s="128">
        <v>2260</v>
      </c>
    </row>
    <row r="4991" spans="1:9" ht="13.5">
      <c r="A4991" s="128">
        <v>2006</v>
      </c>
      <c r="B4991" s="128" t="s">
        <v>139</v>
      </c>
      <c r="C4991" s="128" t="s">
        <v>23</v>
      </c>
      <c r="D4991" s="128" t="s">
        <v>79</v>
      </c>
      <c r="E4991" s="128" t="s">
        <v>132</v>
      </c>
      <c r="F4991" s="128">
        <v>474180.16</v>
      </c>
      <c r="G4991" s="128">
        <v>311633.13</v>
      </c>
      <c r="H4991" s="128">
        <v>109537.51</v>
      </c>
      <c r="I4991" s="128">
        <v>4575</v>
      </c>
    </row>
    <row r="4992" spans="1:9" ht="13.5">
      <c r="A4992" s="128">
        <v>2006</v>
      </c>
      <c r="B4992" s="128" t="s">
        <v>139</v>
      </c>
      <c r="C4992" s="128" t="s">
        <v>23</v>
      </c>
      <c r="D4992" s="128" t="s">
        <v>79</v>
      </c>
      <c r="E4992" s="128" t="s">
        <v>133</v>
      </c>
      <c r="F4992" s="128">
        <v>598266.34</v>
      </c>
      <c r="G4992" s="128">
        <v>323063.98</v>
      </c>
      <c r="H4992" s="128">
        <v>121396.7</v>
      </c>
      <c r="I4992" s="128">
        <v>4402</v>
      </c>
    </row>
    <row r="4993" spans="1:9" ht="13.5">
      <c r="A4993" s="128">
        <v>2006</v>
      </c>
      <c r="B4993" s="128" t="s">
        <v>139</v>
      </c>
      <c r="C4993" s="128" t="s">
        <v>23</v>
      </c>
      <c r="D4993" s="128" t="s">
        <v>79</v>
      </c>
      <c r="E4993" s="128" t="s">
        <v>134</v>
      </c>
      <c r="F4993" s="128">
        <v>595119.35</v>
      </c>
      <c r="G4993" s="128">
        <v>255325.6</v>
      </c>
      <c r="H4993" s="128">
        <v>96838.79</v>
      </c>
      <c r="I4993" s="128">
        <v>3524</v>
      </c>
    </row>
    <row r="4994" spans="1:9" ht="13.5">
      <c r="A4994" s="128">
        <v>2006</v>
      </c>
      <c r="B4994" s="128" t="s">
        <v>139</v>
      </c>
      <c r="C4994" s="128" t="s">
        <v>23</v>
      </c>
      <c r="D4994" s="128" t="s">
        <v>79</v>
      </c>
      <c r="E4994" s="128" t="s">
        <v>135</v>
      </c>
      <c r="F4994" s="128">
        <v>899980.72</v>
      </c>
      <c r="G4994" s="128">
        <v>252244.63</v>
      </c>
      <c r="H4994" s="128">
        <v>89697.83</v>
      </c>
      <c r="I4994" s="128">
        <v>2688</v>
      </c>
    </row>
    <row r="4995" spans="1:9" ht="13.5">
      <c r="A4995" s="128">
        <v>2006</v>
      </c>
      <c r="B4995" s="128" t="s">
        <v>139</v>
      </c>
      <c r="C4995" s="128" t="s">
        <v>23</v>
      </c>
      <c r="D4995" s="128" t="s">
        <v>79</v>
      </c>
      <c r="E4995" s="128" t="s">
        <v>136</v>
      </c>
      <c r="F4995" s="128">
        <v>6159633.3099999996</v>
      </c>
      <c r="G4995" s="128">
        <v>4628091.91</v>
      </c>
      <c r="H4995" s="128">
        <v>1531316.3</v>
      </c>
      <c r="I4995" s="128">
        <v>59230</v>
      </c>
    </row>
    <row r="4996" spans="1:9" ht="13.5">
      <c r="A4996" s="128">
        <v>2006</v>
      </c>
      <c r="B4996" s="128" t="s">
        <v>139</v>
      </c>
      <c r="C4996" s="128" t="s">
        <v>23</v>
      </c>
      <c r="D4996" s="128" t="s">
        <v>76</v>
      </c>
      <c r="E4996" s="128" t="s">
        <v>132</v>
      </c>
      <c r="F4996" s="128">
        <v>6979494.04</v>
      </c>
      <c r="G4996" s="128">
        <v>4630767.18</v>
      </c>
      <c r="H4996" s="128">
        <v>2348667.71</v>
      </c>
      <c r="I4996" s="128">
        <v>125563</v>
      </c>
    </row>
    <row r="4997" spans="1:9" ht="13.5">
      <c r="A4997" s="128">
        <v>2006</v>
      </c>
      <c r="B4997" s="128" t="s">
        <v>139</v>
      </c>
      <c r="C4997" s="128" t="s">
        <v>23</v>
      </c>
      <c r="D4997" s="128" t="s">
        <v>76</v>
      </c>
      <c r="E4997" s="128" t="s">
        <v>133</v>
      </c>
      <c r="F4997" s="128">
        <v>16544216.810000001</v>
      </c>
      <c r="G4997" s="128">
        <v>9095634.3800000008</v>
      </c>
      <c r="H4997" s="128">
        <v>7448560.5999999996</v>
      </c>
      <c r="I4997" s="128">
        <v>77470</v>
      </c>
    </row>
    <row r="4998" spans="1:9" ht="13.5">
      <c r="A4998" s="128">
        <v>2006</v>
      </c>
      <c r="B4998" s="128" t="s">
        <v>139</v>
      </c>
      <c r="C4998" s="128" t="s">
        <v>23</v>
      </c>
      <c r="D4998" s="128" t="s">
        <v>76</v>
      </c>
      <c r="E4998" s="128" t="s">
        <v>134</v>
      </c>
      <c r="F4998" s="128">
        <v>11718266.869999999</v>
      </c>
      <c r="G4998" s="128">
        <v>5460901.4100000001</v>
      </c>
      <c r="H4998" s="128">
        <v>6257444.1600000001</v>
      </c>
      <c r="I4998" s="128">
        <v>66830</v>
      </c>
    </row>
    <row r="4999" spans="1:9" ht="13.5">
      <c r="A4999" s="128">
        <v>2006</v>
      </c>
      <c r="B4999" s="128" t="s">
        <v>139</v>
      </c>
      <c r="C4999" s="128" t="s">
        <v>23</v>
      </c>
      <c r="D4999" s="128" t="s">
        <v>76</v>
      </c>
      <c r="E4999" s="128" t="s">
        <v>135</v>
      </c>
      <c r="F4999" s="128">
        <v>966529.38</v>
      </c>
      <c r="G4999" s="128">
        <v>264043.55</v>
      </c>
      <c r="H4999" s="128">
        <v>702484.13</v>
      </c>
      <c r="I4999" s="128">
        <v>843</v>
      </c>
    </row>
    <row r="5000" spans="1:9" ht="13.5">
      <c r="A5000" s="128">
        <v>2006</v>
      </c>
      <c r="B5000" s="128" t="s">
        <v>139</v>
      </c>
      <c r="C5000" s="128" t="s">
        <v>23</v>
      </c>
      <c r="D5000" s="128" t="s">
        <v>76</v>
      </c>
      <c r="E5000" s="128" t="s">
        <v>136</v>
      </c>
      <c r="F5000" s="128">
        <v>1934033.12</v>
      </c>
      <c r="G5000" s="128">
        <v>1455975.55</v>
      </c>
      <c r="H5000" s="128">
        <v>478107.82</v>
      </c>
      <c r="I5000" s="128">
        <v>20307</v>
      </c>
    </row>
    <row r="5001" spans="1:9" ht="13.5">
      <c r="A5001" s="128">
        <v>2006</v>
      </c>
      <c r="B5001" s="128" t="s">
        <v>139</v>
      </c>
      <c r="C5001" s="128" t="s">
        <v>25</v>
      </c>
      <c r="D5001" s="128" t="s">
        <v>77</v>
      </c>
      <c r="E5001" s="128" t="s">
        <v>132</v>
      </c>
      <c r="F5001" s="128">
        <v>50827.21</v>
      </c>
      <c r="G5001" s="128">
        <v>34518.449999999997</v>
      </c>
      <c r="H5001" s="128">
        <v>13799.58</v>
      </c>
      <c r="I5001" s="128">
        <v>281</v>
      </c>
    </row>
    <row r="5002" spans="1:9" ht="13.5">
      <c r="A5002" s="128">
        <v>2006</v>
      </c>
      <c r="B5002" s="128" t="s">
        <v>139</v>
      </c>
      <c r="C5002" s="128" t="s">
        <v>25</v>
      </c>
      <c r="D5002" s="128" t="s">
        <v>77</v>
      </c>
      <c r="E5002" s="128" t="s">
        <v>133</v>
      </c>
      <c r="F5002" s="128">
        <v>120835.71</v>
      </c>
      <c r="G5002" s="128">
        <v>65407.25</v>
      </c>
      <c r="H5002" s="128">
        <v>48903.01</v>
      </c>
      <c r="I5002" s="128">
        <v>531</v>
      </c>
    </row>
    <row r="5003" spans="1:9" ht="13.5">
      <c r="A5003" s="128">
        <v>2006</v>
      </c>
      <c r="B5003" s="128" t="s">
        <v>139</v>
      </c>
      <c r="C5003" s="128" t="s">
        <v>25</v>
      </c>
      <c r="D5003" s="128" t="s">
        <v>77</v>
      </c>
      <c r="E5003" s="128" t="s">
        <v>134</v>
      </c>
      <c r="F5003" s="128">
        <v>316752.33</v>
      </c>
      <c r="G5003" s="128">
        <v>134904.04999999999</v>
      </c>
      <c r="H5003" s="128">
        <v>138886.03</v>
      </c>
      <c r="I5003" s="128">
        <v>1140</v>
      </c>
    </row>
    <row r="5004" spans="1:9" ht="13.5">
      <c r="A5004" s="128">
        <v>2006</v>
      </c>
      <c r="B5004" s="128" t="s">
        <v>139</v>
      </c>
      <c r="C5004" s="128" t="s">
        <v>25</v>
      </c>
      <c r="D5004" s="128" t="s">
        <v>77</v>
      </c>
      <c r="E5004" s="128" t="s">
        <v>135</v>
      </c>
      <c r="F5004" s="128">
        <v>551870.06999999995</v>
      </c>
      <c r="G5004" s="128">
        <v>168697</v>
      </c>
      <c r="H5004" s="128">
        <v>189207.71</v>
      </c>
      <c r="I5004" s="128">
        <v>1841</v>
      </c>
    </row>
    <row r="5005" spans="1:9" ht="13.5">
      <c r="A5005" s="128">
        <v>2006</v>
      </c>
      <c r="B5005" s="128" t="s">
        <v>139</v>
      </c>
      <c r="C5005" s="128" t="s">
        <v>25</v>
      </c>
      <c r="D5005" s="128" t="s">
        <v>79</v>
      </c>
      <c r="E5005" s="128" t="s">
        <v>132</v>
      </c>
      <c r="F5005" s="128">
        <v>258331.19</v>
      </c>
      <c r="G5005" s="128">
        <v>170301.75</v>
      </c>
      <c r="H5005" s="128">
        <v>55366.32</v>
      </c>
      <c r="I5005" s="128">
        <v>1737</v>
      </c>
    </row>
    <row r="5006" spans="1:9" ht="13.5">
      <c r="A5006" s="128">
        <v>2006</v>
      </c>
      <c r="B5006" s="128" t="s">
        <v>139</v>
      </c>
      <c r="C5006" s="128" t="s">
        <v>25</v>
      </c>
      <c r="D5006" s="128" t="s">
        <v>79</v>
      </c>
      <c r="E5006" s="128" t="s">
        <v>133</v>
      </c>
      <c r="F5006" s="128">
        <v>261211.43</v>
      </c>
      <c r="G5006" s="128">
        <v>142570.70000000001</v>
      </c>
      <c r="H5006" s="128">
        <v>47901.91</v>
      </c>
      <c r="I5006" s="128">
        <v>1119</v>
      </c>
    </row>
    <row r="5007" spans="1:9" ht="13.5">
      <c r="A5007" s="128">
        <v>2006</v>
      </c>
      <c r="B5007" s="128" t="s">
        <v>139</v>
      </c>
      <c r="C5007" s="128" t="s">
        <v>25</v>
      </c>
      <c r="D5007" s="128" t="s">
        <v>79</v>
      </c>
      <c r="E5007" s="128" t="s">
        <v>134</v>
      </c>
      <c r="F5007" s="128">
        <v>406660.67</v>
      </c>
      <c r="G5007" s="128">
        <v>175194.03</v>
      </c>
      <c r="H5007" s="128">
        <v>59160.24</v>
      </c>
      <c r="I5007" s="128">
        <v>2194</v>
      </c>
    </row>
    <row r="5008" spans="1:9" ht="13.5">
      <c r="A5008" s="128">
        <v>2006</v>
      </c>
      <c r="B5008" s="128" t="s">
        <v>139</v>
      </c>
      <c r="C5008" s="128" t="s">
        <v>25</v>
      </c>
      <c r="D5008" s="128" t="s">
        <v>79</v>
      </c>
      <c r="E5008" s="128" t="s">
        <v>135</v>
      </c>
      <c r="F5008" s="128">
        <v>1147282.44</v>
      </c>
      <c r="G5008" s="128">
        <v>290806.75</v>
      </c>
      <c r="H5008" s="128">
        <v>104940.08</v>
      </c>
      <c r="I5008" s="128">
        <v>2759</v>
      </c>
    </row>
    <row r="5009" spans="1:9" ht="13.5">
      <c r="A5009" s="128">
        <v>2006</v>
      </c>
      <c r="B5009" s="128" t="s">
        <v>139</v>
      </c>
      <c r="C5009" s="128" t="s">
        <v>25</v>
      </c>
      <c r="D5009" s="128" t="s">
        <v>79</v>
      </c>
      <c r="E5009" s="128" t="s">
        <v>136</v>
      </c>
      <c r="F5009" s="128">
        <v>1414708.86</v>
      </c>
      <c r="G5009" s="128">
        <v>1063058.8500000001</v>
      </c>
      <c r="H5009" s="128">
        <v>351650.01</v>
      </c>
      <c r="I5009" s="128">
        <v>21462</v>
      </c>
    </row>
    <row r="5010" spans="1:9" ht="13.5">
      <c r="A5010" s="128">
        <v>2006</v>
      </c>
      <c r="B5010" s="128" t="s">
        <v>139</v>
      </c>
      <c r="C5010" s="128" t="s">
        <v>25</v>
      </c>
      <c r="D5010" s="128" t="s">
        <v>76</v>
      </c>
      <c r="E5010" s="128" t="s">
        <v>132</v>
      </c>
      <c r="F5010" s="128">
        <v>2263535.71</v>
      </c>
      <c r="G5010" s="128">
        <v>1478980.68</v>
      </c>
      <c r="H5010" s="128">
        <v>784554.33</v>
      </c>
      <c r="I5010" s="128">
        <v>30909</v>
      </c>
    </row>
    <row r="5011" spans="1:9" ht="13.5">
      <c r="A5011" s="128">
        <v>2006</v>
      </c>
      <c r="B5011" s="128" t="s">
        <v>139</v>
      </c>
      <c r="C5011" s="128" t="s">
        <v>25</v>
      </c>
      <c r="D5011" s="128" t="s">
        <v>76</v>
      </c>
      <c r="E5011" s="128" t="s">
        <v>133</v>
      </c>
      <c r="F5011" s="128">
        <v>3973566.31</v>
      </c>
      <c r="G5011" s="128">
        <v>2177713.7599999998</v>
      </c>
      <c r="H5011" s="128">
        <v>1795851.33</v>
      </c>
      <c r="I5011" s="128">
        <v>15373</v>
      </c>
    </row>
    <row r="5012" spans="1:9" ht="13.5">
      <c r="A5012" s="128">
        <v>2006</v>
      </c>
      <c r="B5012" s="128" t="s">
        <v>139</v>
      </c>
      <c r="C5012" s="128" t="s">
        <v>25</v>
      </c>
      <c r="D5012" s="128" t="s">
        <v>76</v>
      </c>
      <c r="E5012" s="128" t="s">
        <v>134</v>
      </c>
      <c r="F5012" s="128">
        <v>2929245.66</v>
      </c>
      <c r="G5012" s="128">
        <v>1365568.15</v>
      </c>
      <c r="H5012" s="128">
        <v>1563677.51</v>
      </c>
      <c r="I5012" s="128">
        <v>19944</v>
      </c>
    </row>
    <row r="5013" spans="1:9" ht="13.5">
      <c r="A5013" s="128">
        <v>2006</v>
      </c>
      <c r="B5013" s="128" t="s">
        <v>139</v>
      </c>
      <c r="C5013" s="128" t="s">
        <v>25</v>
      </c>
      <c r="D5013" s="128" t="s">
        <v>76</v>
      </c>
      <c r="E5013" s="128" t="s">
        <v>135</v>
      </c>
      <c r="F5013" s="128">
        <v>395229.36</v>
      </c>
      <c r="G5013" s="128">
        <v>110609.9</v>
      </c>
      <c r="H5013" s="128">
        <v>284619.46000000002</v>
      </c>
      <c r="I5013" s="128">
        <v>364</v>
      </c>
    </row>
    <row r="5014" spans="1:9" ht="13.5">
      <c r="A5014" s="128">
        <v>2006</v>
      </c>
      <c r="B5014" s="128" t="s">
        <v>139</v>
      </c>
      <c r="C5014" s="128" t="s">
        <v>25</v>
      </c>
      <c r="D5014" s="128" t="s">
        <v>76</v>
      </c>
      <c r="E5014" s="128" t="s">
        <v>136</v>
      </c>
      <c r="F5014" s="128">
        <v>141686.29999999999</v>
      </c>
      <c r="G5014" s="128">
        <v>110096.7</v>
      </c>
      <c r="H5014" s="128">
        <v>31589.599999999999</v>
      </c>
      <c r="I5014" s="128">
        <v>1976</v>
      </c>
    </row>
    <row r="5015" spans="1:9" ht="13.5">
      <c r="A5015" s="128">
        <v>2006</v>
      </c>
      <c r="B5015" s="128" t="s">
        <v>139</v>
      </c>
      <c r="C5015" s="128" t="s">
        <v>21</v>
      </c>
      <c r="D5015" s="128" t="s">
        <v>77</v>
      </c>
      <c r="E5015" s="128" t="s">
        <v>132</v>
      </c>
      <c r="F5015" s="128">
        <v>1806580.89</v>
      </c>
      <c r="G5015" s="128">
        <v>1180737.55</v>
      </c>
      <c r="H5015" s="128">
        <v>540920.43000000005</v>
      </c>
      <c r="I5015" s="128">
        <v>8643</v>
      </c>
    </row>
    <row r="5016" spans="1:9" ht="13.5">
      <c r="A5016" s="128">
        <v>2006</v>
      </c>
      <c r="B5016" s="128" t="s">
        <v>139</v>
      </c>
      <c r="C5016" s="128" t="s">
        <v>21</v>
      </c>
      <c r="D5016" s="128" t="s">
        <v>77</v>
      </c>
      <c r="E5016" s="128" t="s">
        <v>133</v>
      </c>
      <c r="F5016" s="128">
        <v>3087470.3</v>
      </c>
      <c r="G5016" s="128">
        <v>1674627.32</v>
      </c>
      <c r="H5016" s="128">
        <v>1114756.1499999999</v>
      </c>
      <c r="I5016" s="128">
        <v>12389</v>
      </c>
    </row>
    <row r="5017" spans="1:9" ht="13.5">
      <c r="A5017" s="128">
        <v>2006</v>
      </c>
      <c r="B5017" s="128" t="s">
        <v>139</v>
      </c>
      <c r="C5017" s="128" t="s">
        <v>21</v>
      </c>
      <c r="D5017" s="128" t="s">
        <v>77</v>
      </c>
      <c r="E5017" s="128" t="s">
        <v>134</v>
      </c>
      <c r="F5017" s="128">
        <v>6415470.8399999999</v>
      </c>
      <c r="G5017" s="128">
        <v>2769035.01</v>
      </c>
      <c r="H5017" s="128">
        <v>2405566.4900000002</v>
      </c>
      <c r="I5017" s="128">
        <v>28390</v>
      </c>
    </row>
    <row r="5018" spans="1:9" ht="13.5">
      <c r="A5018" s="128">
        <v>2006</v>
      </c>
      <c r="B5018" s="128" t="s">
        <v>139</v>
      </c>
      <c r="C5018" s="128" t="s">
        <v>21</v>
      </c>
      <c r="D5018" s="128" t="s">
        <v>77</v>
      </c>
      <c r="E5018" s="128" t="s">
        <v>135</v>
      </c>
      <c r="F5018" s="128">
        <v>6145507.7300000004</v>
      </c>
      <c r="G5018" s="128">
        <v>1764217.34</v>
      </c>
      <c r="H5018" s="128">
        <v>1756419.36</v>
      </c>
      <c r="I5018" s="128">
        <v>18603</v>
      </c>
    </row>
    <row r="5019" spans="1:9" ht="13.5">
      <c r="A5019" s="128">
        <v>2006</v>
      </c>
      <c r="B5019" s="128" t="s">
        <v>139</v>
      </c>
      <c r="C5019" s="128" t="s">
        <v>21</v>
      </c>
      <c r="D5019" s="128" t="s">
        <v>79</v>
      </c>
      <c r="E5019" s="128" t="s">
        <v>132</v>
      </c>
      <c r="F5019" s="128">
        <v>2789447.05</v>
      </c>
      <c r="G5019" s="128">
        <v>1848877.12</v>
      </c>
      <c r="H5019" s="128">
        <v>612727.46</v>
      </c>
      <c r="I5019" s="128">
        <v>23291</v>
      </c>
    </row>
    <row r="5020" spans="1:9" ht="13.5">
      <c r="A5020" s="128">
        <v>2006</v>
      </c>
      <c r="B5020" s="128" t="s">
        <v>139</v>
      </c>
      <c r="C5020" s="128" t="s">
        <v>21</v>
      </c>
      <c r="D5020" s="128" t="s">
        <v>79</v>
      </c>
      <c r="E5020" s="128" t="s">
        <v>133</v>
      </c>
      <c r="F5020" s="128">
        <v>2641508.73</v>
      </c>
      <c r="G5020" s="128">
        <v>1448525.24</v>
      </c>
      <c r="H5020" s="128">
        <v>484543.86</v>
      </c>
      <c r="I5020" s="128">
        <v>15529</v>
      </c>
    </row>
    <row r="5021" spans="1:9" ht="13.5">
      <c r="A5021" s="128">
        <v>2006</v>
      </c>
      <c r="B5021" s="128" t="s">
        <v>139</v>
      </c>
      <c r="C5021" s="128" t="s">
        <v>21</v>
      </c>
      <c r="D5021" s="128" t="s">
        <v>79</v>
      </c>
      <c r="E5021" s="128" t="s">
        <v>134</v>
      </c>
      <c r="F5021" s="128">
        <v>7051598.5999999996</v>
      </c>
      <c r="G5021" s="128">
        <v>3022968.59</v>
      </c>
      <c r="H5021" s="128">
        <v>1013126.05</v>
      </c>
      <c r="I5021" s="128">
        <v>50995</v>
      </c>
    </row>
    <row r="5022" spans="1:9" ht="13.5">
      <c r="A5022" s="128">
        <v>2006</v>
      </c>
      <c r="B5022" s="128" t="s">
        <v>139</v>
      </c>
      <c r="C5022" s="128" t="s">
        <v>21</v>
      </c>
      <c r="D5022" s="128" t="s">
        <v>79</v>
      </c>
      <c r="E5022" s="128" t="s">
        <v>135</v>
      </c>
      <c r="F5022" s="128">
        <v>10559613.08</v>
      </c>
      <c r="G5022" s="128">
        <v>2870879.76</v>
      </c>
      <c r="H5022" s="128">
        <v>970448.1</v>
      </c>
      <c r="I5022" s="128">
        <v>26248</v>
      </c>
    </row>
    <row r="5023" spans="1:9" ht="13.5">
      <c r="A5023" s="128">
        <v>2006</v>
      </c>
      <c r="B5023" s="128" t="s">
        <v>139</v>
      </c>
      <c r="C5023" s="128" t="s">
        <v>21</v>
      </c>
      <c r="D5023" s="128" t="s">
        <v>79</v>
      </c>
      <c r="E5023" s="128" t="s">
        <v>136</v>
      </c>
      <c r="F5023" s="128">
        <v>12819489.75</v>
      </c>
      <c r="G5023" s="128">
        <v>9647359.6500000004</v>
      </c>
      <c r="H5023" s="128">
        <v>3171814.75</v>
      </c>
      <c r="I5023" s="128">
        <v>164042</v>
      </c>
    </row>
    <row r="5024" spans="1:9" ht="13.5">
      <c r="A5024" s="128">
        <v>2006</v>
      </c>
      <c r="B5024" s="128" t="s">
        <v>139</v>
      </c>
      <c r="C5024" s="128" t="s">
        <v>21</v>
      </c>
      <c r="D5024" s="128" t="s">
        <v>76</v>
      </c>
      <c r="E5024" s="128" t="s">
        <v>132</v>
      </c>
      <c r="F5024" s="128">
        <v>20916199.109999999</v>
      </c>
      <c r="G5024" s="128">
        <v>13543787.039999999</v>
      </c>
      <c r="H5024" s="128">
        <v>7372231.7800000003</v>
      </c>
      <c r="I5024" s="128">
        <v>255110</v>
      </c>
    </row>
    <row r="5025" spans="1:9" ht="13.5">
      <c r="A5025" s="128">
        <v>2006</v>
      </c>
      <c r="B5025" s="128" t="s">
        <v>139</v>
      </c>
      <c r="C5025" s="128" t="s">
        <v>21</v>
      </c>
      <c r="D5025" s="128" t="s">
        <v>76</v>
      </c>
      <c r="E5025" s="128" t="s">
        <v>133</v>
      </c>
      <c r="F5025" s="128">
        <v>53478029.68</v>
      </c>
      <c r="G5025" s="128">
        <v>29594498.399999999</v>
      </c>
      <c r="H5025" s="128">
        <v>23883517.210000001</v>
      </c>
      <c r="I5025" s="128">
        <v>312436</v>
      </c>
    </row>
    <row r="5026" spans="1:9" ht="13.5">
      <c r="A5026" s="128">
        <v>2006</v>
      </c>
      <c r="B5026" s="128" t="s">
        <v>139</v>
      </c>
      <c r="C5026" s="128" t="s">
        <v>21</v>
      </c>
      <c r="D5026" s="128" t="s">
        <v>76</v>
      </c>
      <c r="E5026" s="128" t="s">
        <v>134</v>
      </c>
      <c r="F5026" s="128">
        <v>29744756.27</v>
      </c>
      <c r="G5026" s="128">
        <v>13867462.75</v>
      </c>
      <c r="H5026" s="128">
        <v>15877190.640000001</v>
      </c>
      <c r="I5026" s="128">
        <v>218389</v>
      </c>
    </row>
    <row r="5027" spans="1:9" ht="13.5">
      <c r="A5027" s="128">
        <v>2006</v>
      </c>
      <c r="B5027" s="128" t="s">
        <v>139</v>
      </c>
      <c r="C5027" s="128" t="s">
        <v>21</v>
      </c>
      <c r="D5027" s="128" t="s">
        <v>76</v>
      </c>
      <c r="E5027" s="128" t="s">
        <v>135</v>
      </c>
      <c r="F5027" s="128">
        <v>2346863.85</v>
      </c>
      <c r="G5027" s="128">
        <v>672675.77</v>
      </c>
      <c r="H5027" s="128">
        <v>1674185.08</v>
      </c>
      <c r="I5027" s="128">
        <v>2312</v>
      </c>
    </row>
    <row r="5028" spans="1:9" ht="13.5">
      <c r="A5028" s="128">
        <v>2006</v>
      </c>
      <c r="B5028" s="128" t="s">
        <v>139</v>
      </c>
      <c r="C5028" s="128" t="s">
        <v>21</v>
      </c>
      <c r="D5028" s="128" t="s">
        <v>76</v>
      </c>
      <c r="E5028" s="128" t="s">
        <v>136</v>
      </c>
      <c r="F5028" s="128">
        <v>5142500.3899999997</v>
      </c>
      <c r="G5028" s="128">
        <v>3879446.36</v>
      </c>
      <c r="H5028" s="128">
        <v>1263217.8</v>
      </c>
      <c r="I5028" s="128">
        <v>82951</v>
      </c>
    </row>
    <row r="5029" spans="1:9" ht="13.5">
      <c r="A5029" s="128">
        <v>2006</v>
      </c>
      <c r="B5029" s="128" t="s">
        <v>139</v>
      </c>
      <c r="C5029" s="128" t="s">
        <v>24</v>
      </c>
      <c r="D5029" s="128" t="s">
        <v>77</v>
      </c>
      <c r="E5029" s="128" t="s">
        <v>132</v>
      </c>
      <c r="F5029" s="128">
        <v>1364841.42</v>
      </c>
      <c r="G5029" s="128">
        <v>925785.05</v>
      </c>
      <c r="H5029" s="128">
        <v>411350.8</v>
      </c>
      <c r="I5029" s="128">
        <v>10481</v>
      </c>
    </row>
    <row r="5030" spans="1:9" ht="13.5">
      <c r="A5030" s="128">
        <v>2006</v>
      </c>
      <c r="B5030" s="128" t="s">
        <v>139</v>
      </c>
      <c r="C5030" s="128" t="s">
        <v>24</v>
      </c>
      <c r="D5030" s="128" t="s">
        <v>77</v>
      </c>
      <c r="E5030" s="128" t="s">
        <v>133</v>
      </c>
      <c r="F5030" s="128">
        <v>3102436.96</v>
      </c>
      <c r="G5030" s="128">
        <v>1682590.43</v>
      </c>
      <c r="H5030" s="128">
        <v>1147830.3</v>
      </c>
      <c r="I5030" s="128">
        <v>13162</v>
      </c>
    </row>
    <row r="5031" spans="1:9" ht="13.5">
      <c r="A5031" s="128">
        <v>2006</v>
      </c>
      <c r="B5031" s="128" t="s">
        <v>139</v>
      </c>
      <c r="C5031" s="128" t="s">
        <v>24</v>
      </c>
      <c r="D5031" s="128" t="s">
        <v>77</v>
      </c>
      <c r="E5031" s="128" t="s">
        <v>134</v>
      </c>
      <c r="F5031" s="128">
        <v>5168494.45</v>
      </c>
      <c r="G5031" s="128">
        <v>2282579.35</v>
      </c>
      <c r="H5031" s="128">
        <v>1608240.02</v>
      </c>
      <c r="I5031" s="128">
        <v>21666</v>
      </c>
    </row>
    <row r="5032" spans="1:9" ht="13.5">
      <c r="A5032" s="128">
        <v>2006</v>
      </c>
      <c r="B5032" s="128" t="s">
        <v>139</v>
      </c>
      <c r="C5032" s="128" t="s">
        <v>24</v>
      </c>
      <c r="D5032" s="128" t="s">
        <v>77</v>
      </c>
      <c r="E5032" s="128" t="s">
        <v>135</v>
      </c>
      <c r="F5032" s="128">
        <v>7106515.6299999999</v>
      </c>
      <c r="G5032" s="128">
        <v>1683864.3</v>
      </c>
      <c r="H5032" s="128">
        <v>1300468</v>
      </c>
      <c r="I5032" s="128">
        <v>18796</v>
      </c>
    </row>
    <row r="5033" spans="1:9" ht="13.5">
      <c r="A5033" s="128">
        <v>2006</v>
      </c>
      <c r="B5033" s="128" t="s">
        <v>139</v>
      </c>
      <c r="C5033" s="128" t="s">
        <v>24</v>
      </c>
      <c r="D5033" s="128" t="s">
        <v>79</v>
      </c>
      <c r="E5033" s="128" t="s">
        <v>132</v>
      </c>
      <c r="F5033" s="128">
        <v>666436.77</v>
      </c>
      <c r="G5033" s="128">
        <v>434572.6</v>
      </c>
      <c r="H5033" s="128">
        <v>147692.57</v>
      </c>
      <c r="I5033" s="128">
        <v>4002</v>
      </c>
    </row>
    <row r="5034" spans="1:9" ht="13.5">
      <c r="A5034" s="128">
        <v>2006</v>
      </c>
      <c r="B5034" s="128" t="s">
        <v>139</v>
      </c>
      <c r="C5034" s="128" t="s">
        <v>24</v>
      </c>
      <c r="D5034" s="128" t="s">
        <v>79</v>
      </c>
      <c r="E5034" s="128" t="s">
        <v>133</v>
      </c>
      <c r="F5034" s="128">
        <v>1582279.42</v>
      </c>
      <c r="G5034" s="128">
        <v>850635.69</v>
      </c>
      <c r="H5034" s="128">
        <v>294104.94</v>
      </c>
      <c r="I5034" s="128">
        <v>14191</v>
      </c>
    </row>
    <row r="5035" spans="1:9" ht="13.5">
      <c r="A5035" s="128">
        <v>2006</v>
      </c>
      <c r="B5035" s="128" t="s">
        <v>139</v>
      </c>
      <c r="C5035" s="128" t="s">
        <v>24</v>
      </c>
      <c r="D5035" s="128" t="s">
        <v>79</v>
      </c>
      <c r="E5035" s="128" t="s">
        <v>134</v>
      </c>
      <c r="F5035" s="128">
        <v>1245505.42</v>
      </c>
      <c r="G5035" s="128">
        <v>543557.56000000006</v>
      </c>
      <c r="H5035" s="128">
        <v>191889.01</v>
      </c>
      <c r="I5035" s="128">
        <v>9885</v>
      </c>
    </row>
    <row r="5036" spans="1:9" ht="13.5">
      <c r="A5036" s="128">
        <v>2006</v>
      </c>
      <c r="B5036" s="128" t="s">
        <v>139</v>
      </c>
      <c r="C5036" s="128" t="s">
        <v>24</v>
      </c>
      <c r="D5036" s="128" t="s">
        <v>79</v>
      </c>
      <c r="E5036" s="128" t="s">
        <v>135</v>
      </c>
      <c r="F5036" s="128">
        <v>1820945.72</v>
      </c>
      <c r="G5036" s="128">
        <v>458552.04</v>
      </c>
      <c r="H5036" s="128">
        <v>170417.45</v>
      </c>
      <c r="I5036" s="128">
        <v>3813</v>
      </c>
    </row>
    <row r="5037" spans="1:9" ht="13.5">
      <c r="A5037" s="128">
        <v>2006</v>
      </c>
      <c r="B5037" s="128" t="s">
        <v>139</v>
      </c>
      <c r="C5037" s="128" t="s">
        <v>24</v>
      </c>
      <c r="D5037" s="128" t="s">
        <v>79</v>
      </c>
      <c r="E5037" s="128" t="s">
        <v>136</v>
      </c>
      <c r="F5037" s="128">
        <v>1605236</v>
      </c>
      <c r="G5037" s="128">
        <v>1208498.08</v>
      </c>
      <c r="H5037" s="128">
        <v>396735.22</v>
      </c>
      <c r="I5037" s="128">
        <v>30242</v>
      </c>
    </row>
    <row r="5038" spans="1:9" ht="13.5">
      <c r="A5038" s="128">
        <v>2006</v>
      </c>
      <c r="B5038" s="128" t="s">
        <v>139</v>
      </c>
      <c r="C5038" s="128" t="s">
        <v>24</v>
      </c>
      <c r="D5038" s="128" t="s">
        <v>76</v>
      </c>
      <c r="E5038" s="128" t="s">
        <v>132</v>
      </c>
      <c r="F5038" s="128">
        <v>9439057.9499999993</v>
      </c>
      <c r="G5038" s="128">
        <v>5993851</v>
      </c>
      <c r="H5038" s="128">
        <v>3445222.41</v>
      </c>
      <c r="I5038" s="128">
        <v>117843</v>
      </c>
    </row>
    <row r="5039" spans="1:9" ht="13.5">
      <c r="A5039" s="128">
        <v>2006</v>
      </c>
      <c r="B5039" s="128" t="s">
        <v>139</v>
      </c>
      <c r="C5039" s="128" t="s">
        <v>24</v>
      </c>
      <c r="D5039" s="128" t="s">
        <v>76</v>
      </c>
      <c r="E5039" s="128" t="s">
        <v>133</v>
      </c>
      <c r="F5039" s="128">
        <v>16017133.380000001</v>
      </c>
      <c r="G5039" s="128">
        <v>8877789.5399999991</v>
      </c>
      <c r="H5039" s="128">
        <v>7139340.1200000001</v>
      </c>
      <c r="I5039" s="128">
        <v>57587</v>
      </c>
    </row>
    <row r="5040" spans="1:9" ht="13.5">
      <c r="A5040" s="128">
        <v>2006</v>
      </c>
      <c r="B5040" s="128" t="s">
        <v>139</v>
      </c>
      <c r="C5040" s="128" t="s">
        <v>24</v>
      </c>
      <c r="D5040" s="128" t="s">
        <v>76</v>
      </c>
      <c r="E5040" s="128" t="s">
        <v>134</v>
      </c>
      <c r="F5040" s="128">
        <v>13043620.09</v>
      </c>
      <c r="G5040" s="128">
        <v>5833536.5599999996</v>
      </c>
      <c r="H5040" s="128">
        <v>7210075.0499999998</v>
      </c>
      <c r="I5040" s="128">
        <v>76379</v>
      </c>
    </row>
    <row r="5041" spans="1:9" ht="13.5">
      <c r="A5041" s="128">
        <v>2006</v>
      </c>
      <c r="B5041" s="128" t="s">
        <v>139</v>
      </c>
      <c r="C5041" s="128" t="s">
        <v>24</v>
      </c>
      <c r="D5041" s="128" t="s">
        <v>76</v>
      </c>
      <c r="E5041" s="128" t="s">
        <v>135</v>
      </c>
      <c r="F5041" s="128">
        <v>2116200.69</v>
      </c>
      <c r="G5041" s="128">
        <v>501628.8</v>
      </c>
      <c r="H5041" s="128">
        <v>1614571.89</v>
      </c>
      <c r="I5041" s="128">
        <v>1659</v>
      </c>
    </row>
    <row r="5042" spans="1:9" ht="13.5">
      <c r="A5042" s="128">
        <v>2006</v>
      </c>
      <c r="B5042" s="128" t="s">
        <v>139</v>
      </c>
      <c r="C5042" s="128" t="s">
        <v>24</v>
      </c>
      <c r="D5042" s="128" t="s">
        <v>76</v>
      </c>
      <c r="E5042" s="128" t="s">
        <v>136</v>
      </c>
      <c r="F5042" s="128">
        <v>1134997.6399999999</v>
      </c>
      <c r="G5042" s="128">
        <v>861042.72</v>
      </c>
      <c r="H5042" s="128">
        <v>273945.3</v>
      </c>
      <c r="I5042" s="128">
        <v>20377</v>
      </c>
    </row>
    <row r="5043" spans="1:9" ht="13.5">
      <c r="A5043" s="128">
        <v>2006</v>
      </c>
      <c r="B5043" s="128" t="s">
        <v>137</v>
      </c>
      <c r="C5043" s="128" t="s">
        <v>26</v>
      </c>
      <c r="D5043" s="128" t="s">
        <v>77</v>
      </c>
      <c r="E5043" s="128" t="s">
        <v>132</v>
      </c>
      <c r="F5043" s="128">
        <v>0</v>
      </c>
      <c r="G5043" s="128">
        <v>0</v>
      </c>
      <c r="H5043" s="128">
        <v>0</v>
      </c>
      <c r="I5043" s="128">
        <v>0</v>
      </c>
    </row>
    <row r="5044" spans="1:9" ht="13.5">
      <c r="A5044" s="128">
        <v>2006</v>
      </c>
      <c r="B5044" s="128" t="s">
        <v>137</v>
      </c>
      <c r="C5044" s="128" t="s">
        <v>26</v>
      </c>
      <c r="D5044" s="128" t="s">
        <v>77</v>
      </c>
      <c r="E5044" s="128" t="s">
        <v>133</v>
      </c>
      <c r="F5044" s="128">
        <v>0</v>
      </c>
      <c r="G5044" s="128">
        <v>0</v>
      </c>
      <c r="H5044" s="128">
        <v>0</v>
      </c>
      <c r="I5044" s="128">
        <v>0</v>
      </c>
    </row>
    <row r="5045" spans="1:9" ht="13.5">
      <c r="A5045" s="128">
        <v>2006</v>
      </c>
      <c r="B5045" s="128" t="s">
        <v>137</v>
      </c>
      <c r="C5045" s="128" t="s">
        <v>26</v>
      </c>
      <c r="D5045" s="128" t="s">
        <v>77</v>
      </c>
      <c r="E5045" s="128" t="s">
        <v>134</v>
      </c>
      <c r="F5045" s="128">
        <v>0</v>
      </c>
      <c r="G5045" s="128">
        <v>0</v>
      </c>
      <c r="H5045" s="128">
        <v>0</v>
      </c>
      <c r="I5045" s="128">
        <v>0</v>
      </c>
    </row>
    <row r="5046" spans="1:9" ht="13.5">
      <c r="A5046" s="128">
        <v>2006</v>
      </c>
      <c r="B5046" s="128" t="s">
        <v>137</v>
      </c>
      <c r="C5046" s="128" t="s">
        <v>26</v>
      </c>
      <c r="D5046" s="128" t="s">
        <v>77</v>
      </c>
      <c r="E5046" s="128" t="s">
        <v>135</v>
      </c>
      <c r="F5046" s="128">
        <v>0</v>
      </c>
      <c r="G5046" s="128">
        <v>0</v>
      </c>
      <c r="H5046" s="128">
        <v>0</v>
      </c>
      <c r="I5046" s="128">
        <v>0</v>
      </c>
    </row>
    <row r="5047" spans="1:9" ht="13.5">
      <c r="A5047" s="128">
        <v>2006</v>
      </c>
      <c r="B5047" s="128" t="s">
        <v>137</v>
      </c>
      <c r="C5047" s="128" t="s">
        <v>26</v>
      </c>
      <c r="D5047" s="128" t="s">
        <v>79</v>
      </c>
      <c r="E5047" s="128" t="s">
        <v>132</v>
      </c>
      <c r="F5047" s="128">
        <v>0</v>
      </c>
      <c r="G5047" s="128">
        <v>0</v>
      </c>
      <c r="H5047" s="128">
        <v>0</v>
      </c>
      <c r="I5047" s="128">
        <v>0</v>
      </c>
    </row>
    <row r="5048" spans="1:9" ht="13.5">
      <c r="A5048" s="128">
        <v>2006</v>
      </c>
      <c r="B5048" s="128" t="s">
        <v>137</v>
      </c>
      <c r="C5048" s="128" t="s">
        <v>26</v>
      </c>
      <c r="D5048" s="128" t="s">
        <v>79</v>
      </c>
      <c r="E5048" s="128" t="s">
        <v>133</v>
      </c>
      <c r="F5048" s="128">
        <v>0</v>
      </c>
      <c r="G5048" s="128">
        <v>0</v>
      </c>
      <c r="H5048" s="128">
        <v>0</v>
      </c>
      <c r="I5048" s="128">
        <v>0</v>
      </c>
    </row>
    <row r="5049" spans="1:9" ht="13.5">
      <c r="A5049" s="128">
        <v>2006</v>
      </c>
      <c r="B5049" s="128" t="s">
        <v>137</v>
      </c>
      <c r="C5049" s="128" t="s">
        <v>26</v>
      </c>
      <c r="D5049" s="128" t="s">
        <v>79</v>
      </c>
      <c r="E5049" s="128" t="s">
        <v>134</v>
      </c>
      <c r="F5049" s="128">
        <v>0</v>
      </c>
      <c r="G5049" s="128">
        <v>0</v>
      </c>
      <c r="H5049" s="128">
        <v>0</v>
      </c>
      <c r="I5049" s="128">
        <v>0</v>
      </c>
    </row>
    <row r="5050" spans="1:9" ht="13.5">
      <c r="A5050" s="128">
        <v>2006</v>
      </c>
      <c r="B5050" s="128" t="s">
        <v>137</v>
      </c>
      <c r="C5050" s="128" t="s">
        <v>26</v>
      </c>
      <c r="D5050" s="128" t="s">
        <v>79</v>
      </c>
      <c r="E5050" s="128" t="s">
        <v>135</v>
      </c>
      <c r="F5050" s="128">
        <v>0</v>
      </c>
      <c r="G5050" s="128">
        <v>0</v>
      </c>
      <c r="H5050" s="128">
        <v>0</v>
      </c>
      <c r="I5050" s="128">
        <v>0</v>
      </c>
    </row>
    <row r="5051" spans="1:9" ht="13.5">
      <c r="A5051" s="128">
        <v>2006</v>
      </c>
      <c r="B5051" s="128" t="s">
        <v>137</v>
      </c>
      <c r="C5051" s="128" t="s">
        <v>26</v>
      </c>
      <c r="D5051" s="128" t="s">
        <v>79</v>
      </c>
      <c r="E5051" s="128" t="s">
        <v>136</v>
      </c>
      <c r="F5051" s="128">
        <v>0</v>
      </c>
      <c r="G5051" s="128">
        <v>0</v>
      </c>
      <c r="H5051" s="128">
        <v>0</v>
      </c>
      <c r="I5051" s="128">
        <v>0</v>
      </c>
    </row>
    <row r="5052" spans="1:9" ht="13.5">
      <c r="A5052" s="128">
        <v>2006</v>
      </c>
      <c r="B5052" s="128" t="s">
        <v>137</v>
      </c>
      <c r="C5052" s="128" t="s">
        <v>26</v>
      </c>
      <c r="D5052" s="128" t="s">
        <v>76</v>
      </c>
      <c r="E5052" s="128" t="s">
        <v>132</v>
      </c>
      <c r="F5052" s="128">
        <v>0</v>
      </c>
      <c r="G5052" s="128">
        <v>0</v>
      </c>
      <c r="H5052" s="128">
        <v>0</v>
      </c>
      <c r="I5052" s="128">
        <v>0</v>
      </c>
    </row>
    <row r="5053" spans="1:9" ht="13.5">
      <c r="A5053" s="128">
        <v>2006</v>
      </c>
      <c r="B5053" s="128" t="s">
        <v>137</v>
      </c>
      <c r="C5053" s="128" t="s">
        <v>26</v>
      </c>
      <c r="D5053" s="128" t="s">
        <v>76</v>
      </c>
      <c r="E5053" s="128" t="s">
        <v>133</v>
      </c>
      <c r="F5053" s="128">
        <v>0</v>
      </c>
      <c r="G5053" s="128">
        <v>0</v>
      </c>
      <c r="H5053" s="128">
        <v>0</v>
      </c>
      <c r="I5053" s="128">
        <v>0</v>
      </c>
    </row>
    <row r="5054" spans="1:9" ht="13.5">
      <c r="A5054" s="128">
        <v>2006</v>
      </c>
      <c r="B5054" s="128" t="s">
        <v>137</v>
      </c>
      <c r="C5054" s="128" t="s">
        <v>26</v>
      </c>
      <c r="D5054" s="128" t="s">
        <v>76</v>
      </c>
      <c r="E5054" s="128" t="s">
        <v>134</v>
      </c>
      <c r="F5054" s="128">
        <v>0</v>
      </c>
      <c r="G5054" s="128">
        <v>0</v>
      </c>
      <c r="H5054" s="128">
        <v>0</v>
      </c>
      <c r="I5054" s="128">
        <v>0</v>
      </c>
    </row>
    <row r="5055" spans="1:9" ht="13.5">
      <c r="A5055" s="128">
        <v>2006</v>
      </c>
      <c r="B5055" s="128" t="s">
        <v>137</v>
      </c>
      <c r="C5055" s="128" t="s">
        <v>26</v>
      </c>
      <c r="D5055" s="128" t="s">
        <v>76</v>
      </c>
      <c r="E5055" s="128" t="s">
        <v>135</v>
      </c>
      <c r="F5055" s="128">
        <v>0</v>
      </c>
      <c r="G5055" s="128">
        <v>0</v>
      </c>
      <c r="H5055" s="128">
        <v>0</v>
      </c>
      <c r="I5055" s="128">
        <v>0</v>
      </c>
    </row>
    <row r="5056" spans="1:9" ht="13.5">
      <c r="A5056" s="128">
        <v>2006</v>
      </c>
      <c r="B5056" s="128" t="s">
        <v>137</v>
      </c>
      <c r="C5056" s="128" t="s">
        <v>26</v>
      </c>
      <c r="D5056" s="128" t="s">
        <v>76</v>
      </c>
      <c r="E5056" s="128" t="s">
        <v>136</v>
      </c>
      <c r="F5056" s="128">
        <v>0</v>
      </c>
      <c r="G5056" s="128">
        <v>0</v>
      </c>
      <c r="H5056" s="128">
        <v>0</v>
      </c>
      <c r="I5056" s="128">
        <v>0</v>
      </c>
    </row>
    <row r="5057" spans="1:9" ht="13.5">
      <c r="A5057" s="128">
        <v>2006</v>
      </c>
      <c r="B5057" s="128" t="s">
        <v>137</v>
      </c>
      <c r="C5057" s="128" t="s">
        <v>20</v>
      </c>
      <c r="D5057" s="128" t="s">
        <v>77</v>
      </c>
      <c r="E5057" s="128" t="s">
        <v>132</v>
      </c>
      <c r="F5057" s="128">
        <v>666102.91</v>
      </c>
      <c r="G5057" s="128">
        <v>439172.44</v>
      </c>
      <c r="H5057" s="128">
        <v>197511.65</v>
      </c>
      <c r="I5057" s="128">
        <v>4480</v>
      </c>
    </row>
    <row r="5058" spans="1:9" ht="13.5">
      <c r="A5058" s="128">
        <v>2006</v>
      </c>
      <c r="B5058" s="128" t="s">
        <v>137</v>
      </c>
      <c r="C5058" s="128" t="s">
        <v>20</v>
      </c>
      <c r="D5058" s="128" t="s">
        <v>77</v>
      </c>
      <c r="E5058" s="128" t="s">
        <v>133</v>
      </c>
      <c r="F5058" s="128">
        <v>1580564.82</v>
      </c>
      <c r="G5058" s="128">
        <v>863058.19</v>
      </c>
      <c r="H5058" s="128">
        <v>580738.21</v>
      </c>
      <c r="I5058" s="128">
        <v>6878</v>
      </c>
    </row>
    <row r="5059" spans="1:9" ht="13.5">
      <c r="A5059" s="128">
        <v>2006</v>
      </c>
      <c r="B5059" s="128" t="s">
        <v>137</v>
      </c>
      <c r="C5059" s="128" t="s">
        <v>20</v>
      </c>
      <c r="D5059" s="128" t="s">
        <v>77</v>
      </c>
      <c r="E5059" s="128" t="s">
        <v>134</v>
      </c>
      <c r="F5059" s="128">
        <v>3728065.38</v>
      </c>
      <c r="G5059" s="128">
        <v>1622125.22</v>
      </c>
      <c r="H5059" s="128">
        <v>1450721.02</v>
      </c>
      <c r="I5059" s="128">
        <v>14015</v>
      </c>
    </row>
    <row r="5060" spans="1:9" ht="13.5">
      <c r="A5060" s="128">
        <v>2006</v>
      </c>
      <c r="B5060" s="128" t="s">
        <v>137</v>
      </c>
      <c r="C5060" s="128" t="s">
        <v>20</v>
      </c>
      <c r="D5060" s="128" t="s">
        <v>77</v>
      </c>
      <c r="E5060" s="128" t="s">
        <v>135</v>
      </c>
      <c r="F5060" s="128">
        <v>6037252.2800000003</v>
      </c>
      <c r="G5060" s="128">
        <v>1655472.68</v>
      </c>
      <c r="H5060" s="128">
        <v>1536182.41</v>
      </c>
      <c r="I5060" s="128">
        <v>16242</v>
      </c>
    </row>
    <row r="5061" spans="1:9" ht="13.5">
      <c r="A5061" s="128">
        <v>2006</v>
      </c>
      <c r="B5061" s="128" t="s">
        <v>137</v>
      </c>
      <c r="C5061" s="128" t="s">
        <v>20</v>
      </c>
      <c r="D5061" s="128" t="s">
        <v>79</v>
      </c>
      <c r="E5061" s="128" t="s">
        <v>132</v>
      </c>
      <c r="F5061" s="128">
        <v>3448966.34</v>
      </c>
      <c r="G5061" s="128">
        <v>2283368.2400000002</v>
      </c>
      <c r="H5061" s="128">
        <v>765592.35</v>
      </c>
      <c r="I5061" s="128">
        <v>18327</v>
      </c>
    </row>
    <row r="5062" spans="1:9" ht="13.5">
      <c r="A5062" s="128">
        <v>2006</v>
      </c>
      <c r="B5062" s="128" t="s">
        <v>137</v>
      </c>
      <c r="C5062" s="128" t="s">
        <v>20</v>
      </c>
      <c r="D5062" s="128" t="s">
        <v>79</v>
      </c>
      <c r="E5062" s="128" t="s">
        <v>133</v>
      </c>
      <c r="F5062" s="128">
        <v>5442991.1299999999</v>
      </c>
      <c r="G5062" s="128">
        <v>2982000.39</v>
      </c>
      <c r="H5062" s="128">
        <v>985582.89</v>
      </c>
      <c r="I5062" s="128">
        <v>40410</v>
      </c>
    </row>
    <row r="5063" spans="1:9" ht="13.5">
      <c r="A5063" s="128">
        <v>2006</v>
      </c>
      <c r="B5063" s="128" t="s">
        <v>137</v>
      </c>
      <c r="C5063" s="128" t="s">
        <v>20</v>
      </c>
      <c r="D5063" s="128" t="s">
        <v>79</v>
      </c>
      <c r="E5063" s="128" t="s">
        <v>134</v>
      </c>
      <c r="F5063" s="128">
        <v>16978999.469999999</v>
      </c>
      <c r="G5063" s="128">
        <v>7186189.8200000003</v>
      </c>
      <c r="H5063" s="128">
        <v>2403438.39</v>
      </c>
      <c r="I5063" s="128">
        <v>69039</v>
      </c>
    </row>
    <row r="5064" spans="1:9" ht="13.5">
      <c r="A5064" s="128">
        <v>2006</v>
      </c>
      <c r="B5064" s="128" t="s">
        <v>137</v>
      </c>
      <c r="C5064" s="128" t="s">
        <v>20</v>
      </c>
      <c r="D5064" s="128" t="s">
        <v>79</v>
      </c>
      <c r="E5064" s="128" t="s">
        <v>135</v>
      </c>
      <c r="F5064" s="128">
        <v>66295699.719999999</v>
      </c>
      <c r="G5064" s="128">
        <v>18232506.850000001</v>
      </c>
      <c r="H5064" s="128">
        <v>6137596.4500000002</v>
      </c>
      <c r="I5064" s="128">
        <v>142654</v>
      </c>
    </row>
    <row r="5065" spans="1:9" ht="13.5">
      <c r="A5065" s="128">
        <v>2006</v>
      </c>
      <c r="B5065" s="128" t="s">
        <v>137</v>
      </c>
      <c r="C5065" s="128" t="s">
        <v>20</v>
      </c>
      <c r="D5065" s="128" t="s">
        <v>79</v>
      </c>
      <c r="E5065" s="128" t="s">
        <v>136</v>
      </c>
      <c r="F5065" s="128">
        <v>21407720.030000001</v>
      </c>
      <c r="G5065" s="128">
        <v>16168093.09</v>
      </c>
      <c r="H5065" s="128">
        <v>5236834.49</v>
      </c>
      <c r="I5065" s="128">
        <v>337327</v>
      </c>
    </row>
    <row r="5066" spans="1:9" ht="13.5">
      <c r="A5066" s="128">
        <v>2006</v>
      </c>
      <c r="B5066" s="128" t="s">
        <v>137</v>
      </c>
      <c r="C5066" s="128" t="s">
        <v>20</v>
      </c>
      <c r="D5066" s="128" t="s">
        <v>76</v>
      </c>
      <c r="E5066" s="128" t="s">
        <v>132</v>
      </c>
      <c r="F5066" s="128">
        <v>26767018.969999999</v>
      </c>
      <c r="G5066" s="128">
        <v>17180053.57</v>
      </c>
      <c r="H5066" s="128">
        <v>9586895.5999999996</v>
      </c>
      <c r="I5066" s="128">
        <v>350951</v>
      </c>
    </row>
    <row r="5067" spans="1:9" ht="13.5">
      <c r="A5067" s="128">
        <v>2006</v>
      </c>
      <c r="B5067" s="128" t="s">
        <v>137</v>
      </c>
      <c r="C5067" s="128" t="s">
        <v>20</v>
      </c>
      <c r="D5067" s="128" t="s">
        <v>76</v>
      </c>
      <c r="E5067" s="128" t="s">
        <v>133</v>
      </c>
      <c r="F5067" s="128">
        <v>48618959.640000001</v>
      </c>
      <c r="G5067" s="128">
        <v>26665768.059999999</v>
      </c>
      <c r="H5067" s="128">
        <v>21952985.43</v>
      </c>
      <c r="I5067" s="128">
        <v>229282</v>
      </c>
    </row>
    <row r="5068" spans="1:9" ht="13.5">
      <c r="A5068" s="128">
        <v>2006</v>
      </c>
      <c r="B5068" s="128" t="s">
        <v>137</v>
      </c>
      <c r="C5068" s="128" t="s">
        <v>20</v>
      </c>
      <c r="D5068" s="128" t="s">
        <v>76</v>
      </c>
      <c r="E5068" s="128" t="s">
        <v>134</v>
      </c>
      <c r="F5068" s="128">
        <v>36305086.32</v>
      </c>
      <c r="G5068" s="128">
        <v>16992702.649999999</v>
      </c>
      <c r="H5068" s="128">
        <v>19312117.43</v>
      </c>
      <c r="I5068" s="128">
        <v>237004</v>
      </c>
    </row>
    <row r="5069" spans="1:9" ht="13.5">
      <c r="A5069" s="128">
        <v>2006</v>
      </c>
      <c r="B5069" s="128" t="s">
        <v>137</v>
      </c>
      <c r="C5069" s="128" t="s">
        <v>20</v>
      </c>
      <c r="D5069" s="128" t="s">
        <v>76</v>
      </c>
      <c r="E5069" s="128" t="s">
        <v>135</v>
      </c>
      <c r="F5069" s="128">
        <v>3865298.12</v>
      </c>
      <c r="G5069" s="128">
        <v>1142020.4099999999</v>
      </c>
      <c r="H5069" s="128">
        <v>2723276.59</v>
      </c>
      <c r="I5069" s="128">
        <v>4739</v>
      </c>
    </row>
    <row r="5070" spans="1:9" ht="13.5">
      <c r="A5070" s="128">
        <v>2006</v>
      </c>
      <c r="B5070" s="128" t="s">
        <v>137</v>
      </c>
      <c r="C5070" s="128" t="s">
        <v>20</v>
      </c>
      <c r="D5070" s="128" t="s">
        <v>76</v>
      </c>
      <c r="E5070" s="128" t="s">
        <v>136</v>
      </c>
      <c r="F5070" s="128">
        <v>6940923.5700000003</v>
      </c>
      <c r="G5070" s="128">
        <v>5224083.3600000003</v>
      </c>
      <c r="H5070" s="128">
        <v>1716997.55</v>
      </c>
      <c r="I5070" s="128">
        <v>159589</v>
      </c>
    </row>
    <row r="5071" spans="1:9" ht="13.5">
      <c r="A5071" s="128">
        <v>2006</v>
      </c>
      <c r="B5071" s="128" t="s">
        <v>137</v>
      </c>
      <c r="C5071" s="128" t="s">
        <v>27</v>
      </c>
      <c r="D5071" s="128" t="s">
        <v>77</v>
      </c>
      <c r="E5071" s="128" t="s">
        <v>132</v>
      </c>
      <c r="F5071" s="128">
        <v>9054.56</v>
      </c>
      <c r="G5071" s="128">
        <v>5862.6</v>
      </c>
      <c r="H5071" s="128">
        <v>2361.9</v>
      </c>
      <c r="I5071" s="128">
        <v>56</v>
      </c>
    </row>
    <row r="5072" spans="1:9" ht="13.5">
      <c r="A5072" s="128">
        <v>2006</v>
      </c>
      <c r="B5072" s="128" t="s">
        <v>137</v>
      </c>
      <c r="C5072" s="128" t="s">
        <v>27</v>
      </c>
      <c r="D5072" s="128" t="s">
        <v>77</v>
      </c>
      <c r="E5072" s="128" t="s">
        <v>133</v>
      </c>
      <c r="F5072" s="128">
        <v>11981.85</v>
      </c>
      <c r="G5072" s="128">
        <v>6419.45</v>
      </c>
      <c r="H5072" s="128">
        <v>3861.57</v>
      </c>
      <c r="I5072" s="128">
        <v>56</v>
      </c>
    </row>
    <row r="5073" spans="1:9" ht="13.5">
      <c r="A5073" s="128">
        <v>2006</v>
      </c>
      <c r="B5073" s="128" t="s">
        <v>137</v>
      </c>
      <c r="C5073" s="128" t="s">
        <v>27</v>
      </c>
      <c r="D5073" s="128" t="s">
        <v>77</v>
      </c>
      <c r="E5073" s="128" t="s">
        <v>134</v>
      </c>
      <c r="F5073" s="128">
        <v>83641.91</v>
      </c>
      <c r="G5073" s="128">
        <v>35584.400000000001</v>
      </c>
      <c r="H5073" s="128">
        <v>31824.15</v>
      </c>
      <c r="I5073" s="128">
        <v>187</v>
      </c>
    </row>
    <row r="5074" spans="1:9" ht="13.5">
      <c r="A5074" s="128">
        <v>2006</v>
      </c>
      <c r="B5074" s="128" t="s">
        <v>137</v>
      </c>
      <c r="C5074" s="128" t="s">
        <v>27</v>
      </c>
      <c r="D5074" s="128" t="s">
        <v>77</v>
      </c>
      <c r="E5074" s="128" t="s">
        <v>135</v>
      </c>
      <c r="F5074" s="128">
        <v>174744.62</v>
      </c>
      <c r="G5074" s="128">
        <v>48779.05</v>
      </c>
      <c r="H5074" s="128">
        <v>49725.34</v>
      </c>
      <c r="I5074" s="128">
        <v>503</v>
      </c>
    </row>
    <row r="5075" spans="1:9" ht="13.5">
      <c r="A5075" s="128">
        <v>2006</v>
      </c>
      <c r="B5075" s="128" t="s">
        <v>137</v>
      </c>
      <c r="C5075" s="128" t="s">
        <v>27</v>
      </c>
      <c r="D5075" s="128" t="s">
        <v>79</v>
      </c>
      <c r="E5075" s="128" t="s">
        <v>132</v>
      </c>
      <c r="F5075" s="128">
        <v>55318.29</v>
      </c>
      <c r="G5075" s="128">
        <v>36523.9</v>
      </c>
      <c r="H5075" s="128">
        <v>12384</v>
      </c>
      <c r="I5075" s="128">
        <v>379</v>
      </c>
    </row>
    <row r="5076" spans="1:9" ht="13.5">
      <c r="A5076" s="128">
        <v>2006</v>
      </c>
      <c r="B5076" s="128" t="s">
        <v>137</v>
      </c>
      <c r="C5076" s="128" t="s">
        <v>27</v>
      </c>
      <c r="D5076" s="128" t="s">
        <v>79</v>
      </c>
      <c r="E5076" s="128" t="s">
        <v>133</v>
      </c>
      <c r="F5076" s="128">
        <v>67555.070000000007</v>
      </c>
      <c r="G5076" s="128">
        <v>36581.35</v>
      </c>
      <c r="H5076" s="128">
        <v>13932.84</v>
      </c>
      <c r="I5076" s="128">
        <v>365</v>
      </c>
    </row>
    <row r="5077" spans="1:9" ht="13.5">
      <c r="A5077" s="128">
        <v>2006</v>
      </c>
      <c r="B5077" s="128" t="s">
        <v>137</v>
      </c>
      <c r="C5077" s="128" t="s">
        <v>27</v>
      </c>
      <c r="D5077" s="128" t="s">
        <v>79</v>
      </c>
      <c r="E5077" s="128" t="s">
        <v>134</v>
      </c>
      <c r="F5077" s="128">
        <v>166669</v>
      </c>
      <c r="G5077" s="128">
        <v>70706.350000000006</v>
      </c>
      <c r="H5077" s="128">
        <v>27408.54</v>
      </c>
      <c r="I5077" s="128">
        <v>1202</v>
      </c>
    </row>
    <row r="5078" spans="1:9" ht="13.5">
      <c r="A5078" s="128">
        <v>2006</v>
      </c>
      <c r="B5078" s="128" t="s">
        <v>137</v>
      </c>
      <c r="C5078" s="128" t="s">
        <v>27</v>
      </c>
      <c r="D5078" s="128" t="s">
        <v>79</v>
      </c>
      <c r="E5078" s="128" t="s">
        <v>135</v>
      </c>
      <c r="F5078" s="128">
        <v>499899.46</v>
      </c>
      <c r="G5078" s="128">
        <v>140492.85</v>
      </c>
      <c r="H5078" s="128">
        <v>51095.42</v>
      </c>
      <c r="I5078" s="128">
        <v>1146</v>
      </c>
    </row>
    <row r="5079" spans="1:9" ht="13.5">
      <c r="A5079" s="128">
        <v>2006</v>
      </c>
      <c r="B5079" s="128" t="s">
        <v>137</v>
      </c>
      <c r="C5079" s="128" t="s">
        <v>27</v>
      </c>
      <c r="D5079" s="128" t="s">
        <v>79</v>
      </c>
      <c r="E5079" s="128" t="s">
        <v>136</v>
      </c>
      <c r="F5079" s="128">
        <v>218267.91</v>
      </c>
      <c r="G5079" s="128">
        <v>164538.26</v>
      </c>
      <c r="H5079" s="128">
        <v>53729.65</v>
      </c>
      <c r="I5079" s="128">
        <v>2314</v>
      </c>
    </row>
    <row r="5080" spans="1:9" ht="13.5">
      <c r="A5080" s="128">
        <v>2006</v>
      </c>
      <c r="B5080" s="128" t="s">
        <v>137</v>
      </c>
      <c r="C5080" s="128" t="s">
        <v>27</v>
      </c>
      <c r="D5080" s="128" t="s">
        <v>76</v>
      </c>
      <c r="E5080" s="128" t="s">
        <v>132</v>
      </c>
      <c r="F5080" s="128">
        <v>235949.68</v>
      </c>
      <c r="G5080" s="128">
        <v>152744.5</v>
      </c>
      <c r="H5080" s="128">
        <v>83197.13</v>
      </c>
      <c r="I5080" s="128">
        <v>2706</v>
      </c>
    </row>
    <row r="5081" spans="1:9" ht="13.5">
      <c r="A5081" s="128">
        <v>2006</v>
      </c>
      <c r="B5081" s="128" t="s">
        <v>137</v>
      </c>
      <c r="C5081" s="128" t="s">
        <v>27</v>
      </c>
      <c r="D5081" s="128" t="s">
        <v>76</v>
      </c>
      <c r="E5081" s="128" t="s">
        <v>133</v>
      </c>
      <c r="F5081" s="128">
        <v>700851.43</v>
      </c>
      <c r="G5081" s="128">
        <v>380088.74</v>
      </c>
      <c r="H5081" s="128">
        <v>320753.69</v>
      </c>
      <c r="I5081" s="128">
        <v>2251</v>
      </c>
    </row>
    <row r="5082" spans="1:9" ht="13.5">
      <c r="A5082" s="128">
        <v>2006</v>
      </c>
      <c r="B5082" s="128" t="s">
        <v>137</v>
      </c>
      <c r="C5082" s="128" t="s">
        <v>27</v>
      </c>
      <c r="D5082" s="128" t="s">
        <v>76</v>
      </c>
      <c r="E5082" s="128" t="s">
        <v>134</v>
      </c>
      <c r="F5082" s="128">
        <v>530008.25</v>
      </c>
      <c r="G5082" s="128">
        <v>244011.25</v>
      </c>
      <c r="H5082" s="128">
        <v>285980.40000000002</v>
      </c>
      <c r="I5082" s="128">
        <v>3101</v>
      </c>
    </row>
    <row r="5083" spans="1:9" ht="13.5">
      <c r="A5083" s="128">
        <v>2006</v>
      </c>
      <c r="B5083" s="128" t="s">
        <v>137</v>
      </c>
      <c r="C5083" s="128" t="s">
        <v>27</v>
      </c>
      <c r="D5083" s="128" t="s">
        <v>76</v>
      </c>
      <c r="E5083" s="128" t="s">
        <v>135</v>
      </c>
      <c r="F5083" s="128">
        <v>46363.9</v>
      </c>
      <c r="G5083" s="128">
        <v>13138.05</v>
      </c>
      <c r="H5083" s="128">
        <v>33225.85</v>
      </c>
      <c r="I5083" s="128">
        <v>631</v>
      </c>
    </row>
    <row r="5084" spans="1:9" ht="13.5">
      <c r="A5084" s="128">
        <v>2006</v>
      </c>
      <c r="B5084" s="128" t="s">
        <v>137</v>
      </c>
      <c r="C5084" s="128" t="s">
        <v>27</v>
      </c>
      <c r="D5084" s="128" t="s">
        <v>76</v>
      </c>
      <c r="E5084" s="128" t="s">
        <v>136</v>
      </c>
      <c r="F5084" s="128">
        <v>35769.08</v>
      </c>
      <c r="G5084" s="128">
        <v>26972.15</v>
      </c>
      <c r="H5084" s="128">
        <v>8796.93</v>
      </c>
      <c r="I5084" s="128">
        <v>864</v>
      </c>
    </row>
    <row r="5085" spans="1:9" ht="13.5">
      <c r="A5085" s="128">
        <v>2006</v>
      </c>
      <c r="B5085" s="128" t="s">
        <v>137</v>
      </c>
      <c r="C5085" s="128" t="s">
        <v>22</v>
      </c>
      <c r="D5085" s="128" t="s">
        <v>77</v>
      </c>
      <c r="E5085" s="128" t="s">
        <v>132</v>
      </c>
      <c r="F5085" s="128">
        <v>489029.62</v>
      </c>
      <c r="G5085" s="128">
        <v>323091.75</v>
      </c>
      <c r="H5085" s="128">
        <v>139251.22</v>
      </c>
      <c r="I5085" s="128">
        <v>3450</v>
      </c>
    </row>
    <row r="5086" spans="1:9" ht="13.5">
      <c r="A5086" s="128">
        <v>2006</v>
      </c>
      <c r="B5086" s="128" t="s">
        <v>137</v>
      </c>
      <c r="C5086" s="128" t="s">
        <v>22</v>
      </c>
      <c r="D5086" s="128" t="s">
        <v>77</v>
      </c>
      <c r="E5086" s="128" t="s">
        <v>133</v>
      </c>
      <c r="F5086" s="128">
        <v>1171844.1399999999</v>
      </c>
      <c r="G5086" s="128">
        <v>630409.04</v>
      </c>
      <c r="H5086" s="128">
        <v>441387.56</v>
      </c>
      <c r="I5086" s="128">
        <v>6071</v>
      </c>
    </row>
    <row r="5087" spans="1:9" ht="13.5">
      <c r="A5087" s="128">
        <v>2006</v>
      </c>
      <c r="B5087" s="128" t="s">
        <v>137</v>
      </c>
      <c r="C5087" s="128" t="s">
        <v>22</v>
      </c>
      <c r="D5087" s="128" t="s">
        <v>77</v>
      </c>
      <c r="E5087" s="128" t="s">
        <v>134</v>
      </c>
      <c r="F5087" s="128">
        <v>4404459.3</v>
      </c>
      <c r="G5087" s="128">
        <v>1875630.46</v>
      </c>
      <c r="H5087" s="128">
        <v>1736529.23</v>
      </c>
      <c r="I5087" s="128">
        <v>12463</v>
      </c>
    </row>
    <row r="5088" spans="1:9" ht="13.5">
      <c r="A5088" s="128">
        <v>2006</v>
      </c>
      <c r="B5088" s="128" t="s">
        <v>137</v>
      </c>
      <c r="C5088" s="128" t="s">
        <v>22</v>
      </c>
      <c r="D5088" s="128" t="s">
        <v>77</v>
      </c>
      <c r="E5088" s="128" t="s">
        <v>135</v>
      </c>
      <c r="F5088" s="128">
        <v>7497718.1600000001</v>
      </c>
      <c r="G5088" s="128">
        <v>2152909.35</v>
      </c>
      <c r="H5088" s="128">
        <v>2309770.12</v>
      </c>
      <c r="I5088" s="128">
        <v>24169</v>
      </c>
    </row>
    <row r="5089" spans="1:9" ht="13.5">
      <c r="A5089" s="128">
        <v>2006</v>
      </c>
      <c r="B5089" s="128" t="s">
        <v>137</v>
      </c>
      <c r="C5089" s="128" t="s">
        <v>22</v>
      </c>
      <c r="D5089" s="128" t="s">
        <v>79</v>
      </c>
      <c r="E5089" s="128" t="s">
        <v>132</v>
      </c>
      <c r="F5089" s="128">
        <v>2914315.43</v>
      </c>
      <c r="G5089" s="128">
        <v>1951999.79</v>
      </c>
      <c r="H5089" s="128">
        <v>686106.09</v>
      </c>
      <c r="I5089" s="128">
        <v>25217</v>
      </c>
    </row>
    <row r="5090" spans="1:9" ht="13.5">
      <c r="A5090" s="128">
        <v>2006</v>
      </c>
      <c r="B5090" s="128" t="s">
        <v>137</v>
      </c>
      <c r="C5090" s="128" t="s">
        <v>22</v>
      </c>
      <c r="D5090" s="128" t="s">
        <v>79</v>
      </c>
      <c r="E5090" s="128" t="s">
        <v>133</v>
      </c>
      <c r="F5090" s="128">
        <v>4886018.78</v>
      </c>
      <c r="G5090" s="128">
        <v>2676562.4500000002</v>
      </c>
      <c r="H5090" s="128">
        <v>966361.82</v>
      </c>
      <c r="I5090" s="128">
        <v>27973</v>
      </c>
    </row>
    <row r="5091" spans="1:9" ht="13.5">
      <c r="A5091" s="128">
        <v>2006</v>
      </c>
      <c r="B5091" s="128" t="s">
        <v>137</v>
      </c>
      <c r="C5091" s="128" t="s">
        <v>22</v>
      </c>
      <c r="D5091" s="128" t="s">
        <v>79</v>
      </c>
      <c r="E5091" s="128" t="s">
        <v>134</v>
      </c>
      <c r="F5091" s="128">
        <v>10951610.529999999</v>
      </c>
      <c r="G5091" s="128">
        <v>4688460.96</v>
      </c>
      <c r="H5091" s="128">
        <v>1622188.65</v>
      </c>
      <c r="I5091" s="128">
        <v>50597</v>
      </c>
    </row>
    <row r="5092" spans="1:9" ht="13.5">
      <c r="A5092" s="128">
        <v>2006</v>
      </c>
      <c r="B5092" s="128" t="s">
        <v>137</v>
      </c>
      <c r="C5092" s="128" t="s">
        <v>22</v>
      </c>
      <c r="D5092" s="128" t="s">
        <v>79</v>
      </c>
      <c r="E5092" s="128" t="s">
        <v>135</v>
      </c>
      <c r="F5092" s="128">
        <v>20692836.670000002</v>
      </c>
      <c r="G5092" s="128">
        <v>5772234.6799999997</v>
      </c>
      <c r="H5092" s="128">
        <v>2014826.69</v>
      </c>
      <c r="I5092" s="128">
        <v>47064</v>
      </c>
    </row>
    <row r="5093" spans="1:9" ht="13.5">
      <c r="A5093" s="128">
        <v>2006</v>
      </c>
      <c r="B5093" s="128" t="s">
        <v>137</v>
      </c>
      <c r="C5093" s="128" t="s">
        <v>22</v>
      </c>
      <c r="D5093" s="128" t="s">
        <v>79</v>
      </c>
      <c r="E5093" s="128" t="s">
        <v>136</v>
      </c>
      <c r="F5093" s="128">
        <v>7435369.4000000004</v>
      </c>
      <c r="G5093" s="128">
        <v>5636462.1900000004</v>
      </c>
      <c r="H5093" s="128">
        <v>1798866.41</v>
      </c>
      <c r="I5093" s="128">
        <v>93651</v>
      </c>
    </row>
    <row r="5094" spans="1:9" ht="13.5">
      <c r="A5094" s="128">
        <v>2006</v>
      </c>
      <c r="B5094" s="128" t="s">
        <v>137</v>
      </c>
      <c r="C5094" s="128" t="s">
        <v>22</v>
      </c>
      <c r="D5094" s="128" t="s">
        <v>76</v>
      </c>
      <c r="E5094" s="128" t="s">
        <v>132</v>
      </c>
      <c r="F5094" s="128">
        <v>23388872.539999999</v>
      </c>
      <c r="G5094" s="128">
        <v>15148894.24</v>
      </c>
      <c r="H5094" s="128">
        <v>8239953.8700000001</v>
      </c>
      <c r="I5094" s="128">
        <v>392371</v>
      </c>
    </row>
    <row r="5095" spans="1:9" ht="13.5">
      <c r="A5095" s="128">
        <v>2006</v>
      </c>
      <c r="B5095" s="128" t="s">
        <v>137</v>
      </c>
      <c r="C5095" s="128" t="s">
        <v>22</v>
      </c>
      <c r="D5095" s="128" t="s">
        <v>76</v>
      </c>
      <c r="E5095" s="128" t="s">
        <v>133</v>
      </c>
      <c r="F5095" s="128">
        <v>35398431.600000001</v>
      </c>
      <c r="G5095" s="128">
        <v>19536682.280000001</v>
      </c>
      <c r="H5095" s="128">
        <v>15861739.529999999</v>
      </c>
      <c r="I5095" s="128">
        <v>201072</v>
      </c>
    </row>
    <row r="5096" spans="1:9" ht="13.5">
      <c r="A5096" s="128">
        <v>2006</v>
      </c>
      <c r="B5096" s="128" t="s">
        <v>137</v>
      </c>
      <c r="C5096" s="128" t="s">
        <v>22</v>
      </c>
      <c r="D5096" s="128" t="s">
        <v>76</v>
      </c>
      <c r="E5096" s="128" t="s">
        <v>134</v>
      </c>
      <c r="F5096" s="128">
        <v>21900310.5</v>
      </c>
      <c r="G5096" s="128">
        <v>10295578.359999999</v>
      </c>
      <c r="H5096" s="128">
        <v>11604682.439999999</v>
      </c>
      <c r="I5096" s="128">
        <v>155713</v>
      </c>
    </row>
    <row r="5097" spans="1:9" ht="13.5">
      <c r="A5097" s="128">
        <v>2006</v>
      </c>
      <c r="B5097" s="128" t="s">
        <v>137</v>
      </c>
      <c r="C5097" s="128" t="s">
        <v>22</v>
      </c>
      <c r="D5097" s="128" t="s">
        <v>76</v>
      </c>
      <c r="E5097" s="128" t="s">
        <v>135</v>
      </c>
      <c r="F5097" s="128">
        <v>3186807.03</v>
      </c>
      <c r="G5097" s="128">
        <v>880614.5</v>
      </c>
      <c r="H5097" s="128">
        <v>2306192.5299999998</v>
      </c>
      <c r="I5097" s="128">
        <v>2882</v>
      </c>
    </row>
    <row r="5098" spans="1:9" ht="13.5">
      <c r="A5098" s="128">
        <v>2006</v>
      </c>
      <c r="B5098" s="128" t="s">
        <v>137</v>
      </c>
      <c r="C5098" s="128" t="s">
        <v>22</v>
      </c>
      <c r="D5098" s="128" t="s">
        <v>76</v>
      </c>
      <c r="E5098" s="128" t="s">
        <v>136</v>
      </c>
      <c r="F5098" s="128">
        <v>1487890.49</v>
      </c>
      <c r="G5098" s="128">
        <v>1165666.7</v>
      </c>
      <c r="H5098" s="128">
        <v>322223.78999999998</v>
      </c>
      <c r="I5098" s="128">
        <v>32172</v>
      </c>
    </row>
    <row r="5099" spans="1:9" ht="13.5">
      <c r="A5099" s="128">
        <v>2006</v>
      </c>
      <c r="B5099" s="128" t="s">
        <v>137</v>
      </c>
      <c r="C5099" s="128" t="s">
        <v>23</v>
      </c>
      <c r="D5099" s="128" t="s">
        <v>77</v>
      </c>
      <c r="E5099" s="128" t="s">
        <v>132</v>
      </c>
      <c r="F5099" s="128">
        <v>1348639.97</v>
      </c>
      <c r="G5099" s="128">
        <v>878069.3</v>
      </c>
      <c r="H5099" s="128">
        <v>426898.38</v>
      </c>
      <c r="I5099" s="128">
        <v>9914</v>
      </c>
    </row>
    <row r="5100" spans="1:9" ht="13.5">
      <c r="A5100" s="128">
        <v>2006</v>
      </c>
      <c r="B5100" s="128" t="s">
        <v>137</v>
      </c>
      <c r="C5100" s="128" t="s">
        <v>23</v>
      </c>
      <c r="D5100" s="128" t="s">
        <v>77</v>
      </c>
      <c r="E5100" s="128" t="s">
        <v>133</v>
      </c>
      <c r="F5100" s="128">
        <v>2009242.76</v>
      </c>
      <c r="G5100" s="128">
        <v>1092554.8999999999</v>
      </c>
      <c r="H5100" s="128">
        <v>839407.89</v>
      </c>
      <c r="I5100" s="128">
        <v>8429</v>
      </c>
    </row>
    <row r="5101" spans="1:9" ht="13.5">
      <c r="A5101" s="128">
        <v>2006</v>
      </c>
      <c r="B5101" s="128" t="s">
        <v>137</v>
      </c>
      <c r="C5101" s="128" t="s">
        <v>23</v>
      </c>
      <c r="D5101" s="128" t="s">
        <v>77</v>
      </c>
      <c r="E5101" s="128" t="s">
        <v>134</v>
      </c>
      <c r="F5101" s="128">
        <v>2278847.21</v>
      </c>
      <c r="G5101" s="128">
        <v>1040475.95</v>
      </c>
      <c r="H5101" s="128">
        <v>1071663.3500000001</v>
      </c>
      <c r="I5101" s="128">
        <v>9451</v>
      </c>
    </row>
    <row r="5102" spans="1:9" ht="13.5">
      <c r="A5102" s="128">
        <v>2006</v>
      </c>
      <c r="B5102" s="128" t="s">
        <v>137</v>
      </c>
      <c r="C5102" s="128" t="s">
        <v>23</v>
      </c>
      <c r="D5102" s="128" t="s">
        <v>77</v>
      </c>
      <c r="E5102" s="128" t="s">
        <v>135</v>
      </c>
      <c r="F5102" s="128">
        <v>1119337.9099999999</v>
      </c>
      <c r="G5102" s="128">
        <v>303534.3</v>
      </c>
      <c r="H5102" s="128">
        <v>346659.69</v>
      </c>
      <c r="I5102" s="128">
        <v>2459</v>
      </c>
    </row>
    <row r="5103" spans="1:9" ht="13.5">
      <c r="A5103" s="128">
        <v>2006</v>
      </c>
      <c r="B5103" s="128" t="s">
        <v>137</v>
      </c>
      <c r="C5103" s="128" t="s">
        <v>23</v>
      </c>
      <c r="D5103" s="128" t="s">
        <v>79</v>
      </c>
      <c r="E5103" s="128" t="s">
        <v>132</v>
      </c>
      <c r="F5103" s="128">
        <v>443415.06</v>
      </c>
      <c r="G5103" s="128">
        <v>294540.78999999998</v>
      </c>
      <c r="H5103" s="128">
        <v>104907.95</v>
      </c>
      <c r="I5103" s="128">
        <v>4237</v>
      </c>
    </row>
    <row r="5104" spans="1:9" ht="13.5">
      <c r="A5104" s="128">
        <v>2006</v>
      </c>
      <c r="B5104" s="128" t="s">
        <v>137</v>
      </c>
      <c r="C5104" s="128" t="s">
        <v>23</v>
      </c>
      <c r="D5104" s="128" t="s">
        <v>79</v>
      </c>
      <c r="E5104" s="128" t="s">
        <v>133</v>
      </c>
      <c r="F5104" s="128">
        <v>753503.56</v>
      </c>
      <c r="G5104" s="128">
        <v>402539.45</v>
      </c>
      <c r="H5104" s="128">
        <v>148978.34</v>
      </c>
      <c r="I5104" s="128">
        <v>5701</v>
      </c>
    </row>
    <row r="5105" spans="1:9" ht="13.5">
      <c r="A5105" s="128">
        <v>2006</v>
      </c>
      <c r="B5105" s="128" t="s">
        <v>137</v>
      </c>
      <c r="C5105" s="128" t="s">
        <v>23</v>
      </c>
      <c r="D5105" s="128" t="s">
        <v>79</v>
      </c>
      <c r="E5105" s="128" t="s">
        <v>134</v>
      </c>
      <c r="F5105" s="128">
        <v>649733.49</v>
      </c>
      <c r="G5105" s="128">
        <v>280477.89</v>
      </c>
      <c r="H5105" s="128">
        <v>112434.12</v>
      </c>
      <c r="I5105" s="128">
        <v>3897</v>
      </c>
    </row>
    <row r="5106" spans="1:9" ht="13.5">
      <c r="A5106" s="128">
        <v>2006</v>
      </c>
      <c r="B5106" s="128" t="s">
        <v>137</v>
      </c>
      <c r="C5106" s="128" t="s">
        <v>23</v>
      </c>
      <c r="D5106" s="128" t="s">
        <v>79</v>
      </c>
      <c r="E5106" s="128" t="s">
        <v>135</v>
      </c>
      <c r="F5106" s="128">
        <v>1384845.95</v>
      </c>
      <c r="G5106" s="128">
        <v>314565.59000000003</v>
      </c>
      <c r="H5106" s="128">
        <v>110760.14</v>
      </c>
      <c r="I5106" s="128">
        <v>2654</v>
      </c>
    </row>
    <row r="5107" spans="1:9" ht="13.5">
      <c r="A5107" s="128">
        <v>2006</v>
      </c>
      <c r="B5107" s="128" t="s">
        <v>137</v>
      </c>
      <c r="C5107" s="128" t="s">
        <v>23</v>
      </c>
      <c r="D5107" s="128" t="s">
        <v>79</v>
      </c>
      <c r="E5107" s="128" t="s">
        <v>136</v>
      </c>
      <c r="F5107" s="128">
        <v>7385171.9400000004</v>
      </c>
      <c r="G5107" s="128">
        <v>5583602.29</v>
      </c>
      <c r="H5107" s="128">
        <v>1801364.25</v>
      </c>
      <c r="I5107" s="128">
        <v>58406</v>
      </c>
    </row>
    <row r="5108" spans="1:9" ht="13.5">
      <c r="A5108" s="128">
        <v>2006</v>
      </c>
      <c r="B5108" s="128" t="s">
        <v>137</v>
      </c>
      <c r="C5108" s="128" t="s">
        <v>23</v>
      </c>
      <c r="D5108" s="128" t="s">
        <v>76</v>
      </c>
      <c r="E5108" s="128" t="s">
        <v>132</v>
      </c>
      <c r="F5108" s="128">
        <v>8677457.4299999997</v>
      </c>
      <c r="G5108" s="128">
        <v>5816841.6500000004</v>
      </c>
      <c r="H5108" s="128">
        <v>2860596.54</v>
      </c>
      <c r="I5108" s="128">
        <v>156932</v>
      </c>
    </row>
    <row r="5109" spans="1:9" ht="13.5">
      <c r="A5109" s="128">
        <v>2006</v>
      </c>
      <c r="B5109" s="128" t="s">
        <v>137</v>
      </c>
      <c r="C5109" s="128" t="s">
        <v>23</v>
      </c>
      <c r="D5109" s="128" t="s">
        <v>76</v>
      </c>
      <c r="E5109" s="128" t="s">
        <v>133</v>
      </c>
      <c r="F5109" s="128">
        <v>17845426.949999999</v>
      </c>
      <c r="G5109" s="128">
        <v>9748708.4900000002</v>
      </c>
      <c r="H5109" s="128">
        <v>8096692.4400000004</v>
      </c>
      <c r="I5109" s="128">
        <v>87188</v>
      </c>
    </row>
    <row r="5110" spans="1:9" ht="13.5">
      <c r="A5110" s="128">
        <v>2006</v>
      </c>
      <c r="B5110" s="128" t="s">
        <v>137</v>
      </c>
      <c r="C5110" s="128" t="s">
        <v>23</v>
      </c>
      <c r="D5110" s="128" t="s">
        <v>76</v>
      </c>
      <c r="E5110" s="128" t="s">
        <v>134</v>
      </c>
      <c r="F5110" s="128">
        <v>15895703.449999999</v>
      </c>
      <c r="G5110" s="128">
        <v>7330470.9400000004</v>
      </c>
      <c r="H5110" s="128">
        <v>8565215.9299999997</v>
      </c>
      <c r="I5110" s="128">
        <v>81554</v>
      </c>
    </row>
    <row r="5111" spans="1:9" ht="13.5">
      <c r="A5111" s="128">
        <v>2006</v>
      </c>
      <c r="B5111" s="128" t="s">
        <v>137</v>
      </c>
      <c r="C5111" s="128" t="s">
        <v>23</v>
      </c>
      <c r="D5111" s="128" t="s">
        <v>76</v>
      </c>
      <c r="E5111" s="128" t="s">
        <v>135</v>
      </c>
      <c r="F5111" s="128">
        <v>1014416.97</v>
      </c>
      <c r="G5111" s="128">
        <v>267595.25</v>
      </c>
      <c r="H5111" s="128">
        <v>746821.72</v>
      </c>
      <c r="I5111" s="128">
        <v>840</v>
      </c>
    </row>
    <row r="5112" spans="1:9" ht="13.5">
      <c r="A5112" s="128">
        <v>2006</v>
      </c>
      <c r="B5112" s="128" t="s">
        <v>137</v>
      </c>
      <c r="C5112" s="128" t="s">
        <v>23</v>
      </c>
      <c r="D5112" s="128" t="s">
        <v>76</v>
      </c>
      <c r="E5112" s="128" t="s">
        <v>136</v>
      </c>
      <c r="F5112" s="128">
        <v>1987261.55</v>
      </c>
      <c r="G5112" s="128">
        <v>1497342.71</v>
      </c>
      <c r="H5112" s="128">
        <v>489932.44</v>
      </c>
      <c r="I5112" s="128">
        <v>22081</v>
      </c>
    </row>
    <row r="5113" spans="1:9" ht="13.5">
      <c r="A5113" s="128">
        <v>2006</v>
      </c>
      <c r="B5113" s="128" t="s">
        <v>137</v>
      </c>
      <c r="C5113" s="128" t="s">
        <v>25</v>
      </c>
      <c r="D5113" s="128" t="s">
        <v>77</v>
      </c>
      <c r="E5113" s="128" t="s">
        <v>132</v>
      </c>
      <c r="F5113" s="128">
        <v>72233.210000000006</v>
      </c>
      <c r="G5113" s="128">
        <v>48932.5</v>
      </c>
      <c r="H5113" s="128">
        <v>18988.650000000001</v>
      </c>
      <c r="I5113" s="128">
        <v>373</v>
      </c>
    </row>
    <row r="5114" spans="1:9" ht="13.5">
      <c r="A5114" s="128">
        <v>2006</v>
      </c>
      <c r="B5114" s="128" t="s">
        <v>137</v>
      </c>
      <c r="C5114" s="128" t="s">
        <v>25</v>
      </c>
      <c r="D5114" s="128" t="s">
        <v>77</v>
      </c>
      <c r="E5114" s="128" t="s">
        <v>133</v>
      </c>
      <c r="F5114" s="128">
        <v>79223.34</v>
      </c>
      <c r="G5114" s="128">
        <v>42901.55</v>
      </c>
      <c r="H5114" s="128">
        <v>30478.12</v>
      </c>
      <c r="I5114" s="128">
        <v>409</v>
      </c>
    </row>
    <row r="5115" spans="1:9" ht="13.5">
      <c r="A5115" s="128">
        <v>2006</v>
      </c>
      <c r="B5115" s="128" t="s">
        <v>137</v>
      </c>
      <c r="C5115" s="128" t="s">
        <v>25</v>
      </c>
      <c r="D5115" s="128" t="s">
        <v>77</v>
      </c>
      <c r="E5115" s="128" t="s">
        <v>134</v>
      </c>
      <c r="F5115" s="128">
        <v>450732.08</v>
      </c>
      <c r="G5115" s="128">
        <v>189989.65</v>
      </c>
      <c r="H5115" s="128">
        <v>201600.26</v>
      </c>
      <c r="I5115" s="128">
        <v>1325</v>
      </c>
    </row>
    <row r="5116" spans="1:9" ht="13.5">
      <c r="A5116" s="128">
        <v>2006</v>
      </c>
      <c r="B5116" s="128" t="s">
        <v>137</v>
      </c>
      <c r="C5116" s="128" t="s">
        <v>25</v>
      </c>
      <c r="D5116" s="128" t="s">
        <v>77</v>
      </c>
      <c r="E5116" s="128" t="s">
        <v>135</v>
      </c>
      <c r="F5116" s="128">
        <v>741391.19</v>
      </c>
      <c r="G5116" s="128">
        <v>230793.15</v>
      </c>
      <c r="H5116" s="128">
        <v>259609.4</v>
      </c>
      <c r="I5116" s="128">
        <v>2302</v>
      </c>
    </row>
    <row r="5117" spans="1:9" ht="13.5">
      <c r="A5117" s="128">
        <v>2006</v>
      </c>
      <c r="B5117" s="128" t="s">
        <v>137</v>
      </c>
      <c r="C5117" s="128" t="s">
        <v>25</v>
      </c>
      <c r="D5117" s="128" t="s">
        <v>79</v>
      </c>
      <c r="E5117" s="128" t="s">
        <v>132</v>
      </c>
      <c r="F5117" s="128">
        <v>226485.41</v>
      </c>
      <c r="G5117" s="128">
        <v>149879.06</v>
      </c>
      <c r="H5117" s="128">
        <v>49806.23</v>
      </c>
      <c r="I5117" s="128">
        <v>1697</v>
      </c>
    </row>
    <row r="5118" spans="1:9" ht="13.5">
      <c r="A5118" s="128">
        <v>2006</v>
      </c>
      <c r="B5118" s="128" t="s">
        <v>137</v>
      </c>
      <c r="C5118" s="128" t="s">
        <v>25</v>
      </c>
      <c r="D5118" s="128" t="s">
        <v>79</v>
      </c>
      <c r="E5118" s="128" t="s">
        <v>133</v>
      </c>
      <c r="F5118" s="128">
        <v>326805.49</v>
      </c>
      <c r="G5118" s="128">
        <v>180050.22</v>
      </c>
      <c r="H5118" s="128">
        <v>60433.88</v>
      </c>
      <c r="I5118" s="128">
        <v>1208</v>
      </c>
    </row>
    <row r="5119" spans="1:9" ht="13.5">
      <c r="A5119" s="128">
        <v>2006</v>
      </c>
      <c r="B5119" s="128" t="s">
        <v>137</v>
      </c>
      <c r="C5119" s="128" t="s">
        <v>25</v>
      </c>
      <c r="D5119" s="128" t="s">
        <v>79</v>
      </c>
      <c r="E5119" s="128" t="s">
        <v>134</v>
      </c>
      <c r="F5119" s="128">
        <v>508672.08</v>
      </c>
      <c r="G5119" s="128">
        <v>217712.3</v>
      </c>
      <c r="H5119" s="128">
        <v>72974.95</v>
      </c>
      <c r="I5119" s="128">
        <v>2402</v>
      </c>
    </row>
    <row r="5120" spans="1:9" ht="13.5">
      <c r="A5120" s="128">
        <v>2006</v>
      </c>
      <c r="B5120" s="128" t="s">
        <v>137</v>
      </c>
      <c r="C5120" s="128" t="s">
        <v>25</v>
      </c>
      <c r="D5120" s="128" t="s">
        <v>79</v>
      </c>
      <c r="E5120" s="128" t="s">
        <v>135</v>
      </c>
      <c r="F5120" s="128">
        <v>1563695.99</v>
      </c>
      <c r="G5120" s="128">
        <v>379355</v>
      </c>
      <c r="H5120" s="128">
        <v>135167.42000000001</v>
      </c>
      <c r="I5120" s="128">
        <v>3026</v>
      </c>
    </row>
    <row r="5121" spans="1:9" ht="13.5">
      <c r="A5121" s="128">
        <v>2006</v>
      </c>
      <c r="B5121" s="128" t="s">
        <v>137</v>
      </c>
      <c r="C5121" s="128" t="s">
        <v>25</v>
      </c>
      <c r="D5121" s="128" t="s">
        <v>79</v>
      </c>
      <c r="E5121" s="128" t="s">
        <v>136</v>
      </c>
      <c r="F5121" s="128">
        <v>1573234.65</v>
      </c>
      <c r="G5121" s="128">
        <v>1185494.81</v>
      </c>
      <c r="H5121" s="128">
        <v>387739.84</v>
      </c>
      <c r="I5121" s="128">
        <v>24070</v>
      </c>
    </row>
    <row r="5122" spans="1:9" ht="13.5">
      <c r="A5122" s="128">
        <v>2006</v>
      </c>
      <c r="B5122" s="128" t="s">
        <v>137</v>
      </c>
      <c r="C5122" s="128" t="s">
        <v>25</v>
      </c>
      <c r="D5122" s="128" t="s">
        <v>76</v>
      </c>
      <c r="E5122" s="128" t="s">
        <v>132</v>
      </c>
      <c r="F5122" s="128">
        <v>2384384.83</v>
      </c>
      <c r="G5122" s="128">
        <v>1546612.5</v>
      </c>
      <c r="H5122" s="128">
        <v>837772.26</v>
      </c>
      <c r="I5122" s="128">
        <v>34416</v>
      </c>
    </row>
    <row r="5123" spans="1:9" ht="13.5">
      <c r="A5123" s="128">
        <v>2006</v>
      </c>
      <c r="B5123" s="128" t="s">
        <v>137</v>
      </c>
      <c r="C5123" s="128" t="s">
        <v>25</v>
      </c>
      <c r="D5123" s="128" t="s">
        <v>76</v>
      </c>
      <c r="E5123" s="128" t="s">
        <v>133</v>
      </c>
      <c r="F5123" s="128">
        <v>4278524.79</v>
      </c>
      <c r="G5123" s="128">
        <v>2339606.67</v>
      </c>
      <c r="H5123" s="128">
        <v>1938918.06</v>
      </c>
      <c r="I5123" s="128">
        <v>17223</v>
      </c>
    </row>
    <row r="5124" spans="1:9" ht="13.5">
      <c r="A5124" s="128">
        <v>2006</v>
      </c>
      <c r="B5124" s="128" t="s">
        <v>137</v>
      </c>
      <c r="C5124" s="128" t="s">
        <v>25</v>
      </c>
      <c r="D5124" s="128" t="s">
        <v>76</v>
      </c>
      <c r="E5124" s="128" t="s">
        <v>134</v>
      </c>
      <c r="F5124" s="128">
        <v>3136069.04</v>
      </c>
      <c r="G5124" s="128">
        <v>1451519.7</v>
      </c>
      <c r="H5124" s="128">
        <v>1684548.47</v>
      </c>
      <c r="I5124" s="128">
        <v>21402</v>
      </c>
    </row>
    <row r="5125" spans="1:9" ht="13.5">
      <c r="A5125" s="128">
        <v>2006</v>
      </c>
      <c r="B5125" s="128" t="s">
        <v>137</v>
      </c>
      <c r="C5125" s="128" t="s">
        <v>25</v>
      </c>
      <c r="D5125" s="128" t="s">
        <v>76</v>
      </c>
      <c r="E5125" s="128" t="s">
        <v>135</v>
      </c>
      <c r="F5125" s="128">
        <v>374615.32</v>
      </c>
      <c r="G5125" s="128">
        <v>105315.25</v>
      </c>
      <c r="H5125" s="128">
        <v>269300.07</v>
      </c>
      <c r="I5125" s="128">
        <v>388</v>
      </c>
    </row>
    <row r="5126" spans="1:9" ht="13.5">
      <c r="A5126" s="128">
        <v>2006</v>
      </c>
      <c r="B5126" s="128" t="s">
        <v>137</v>
      </c>
      <c r="C5126" s="128" t="s">
        <v>25</v>
      </c>
      <c r="D5126" s="128" t="s">
        <v>76</v>
      </c>
      <c r="E5126" s="128" t="s">
        <v>136</v>
      </c>
      <c r="F5126" s="128">
        <v>145539.99</v>
      </c>
      <c r="G5126" s="128">
        <v>110708.11</v>
      </c>
      <c r="H5126" s="128">
        <v>34831.879999999997</v>
      </c>
      <c r="I5126" s="128">
        <v>1727</v>
      </c>
    </row>
    <row r="5127" spans="1:9" ht="13.5">
      <c r="A5127" s="128">
        <v>2006</v>
      </c>
      <c r="B5127" s="128" t="s">
        <v>137</v>
      </c>
      <c r="C5127" s="128" t="s">
        <v>21</v>
      </c>
      <c r="D5127" s="128" t="s">
        <v>77</v>
      </c>
      <c r="E5127" s="128" t="s">
        <v>132</v>
      </c>
      <c r="F5127" s="128">
        <v>2020258.07</v>
      </c>
      <c r="G5127" s="128">
        <v>1328046.2</v>
      </c>
      <c r="H5127" s="128">
        <v>607194.64</v>
      </c>
      <c r="I5127" s="128">
        <v>9909</v>
      </c>
    </row>
    <row r="5128" spans="1:9" ht="13.5">
      <c r="A5128" s="128">
        <v>2006</v>
      </c>
      <c r="B5128" s="128" t="s">
        <v>137</v>
      </c>
      <c r="C5128" s="128" t="s">
        <v>21</v>
      </c>
      <c r="D5128" s="128" t="s">
        <v>77</v>
      </c>
      <c r="E5128" s="128" t="s">
        <v>133</v>
      </c>
      <c r="F5128" s="128">
        <v>3197695.6</v>
      </c>
      <c r="G5128" s="128">
        <v>1741725.95</v>
      </c>
      <c r="H5128" s="128">
        <v>1144833.53</v>
      </c>
      <c r="I5128" s="128">
        <v>12585</v>
      </c>
    </row>
    <row r="5129" spans="1:9" ht="13.5">
      <c r="A5129" s="128">
        <v>2006</v>
      </c>
      <c r="B5129" s="128" t="s">
        <v>137</v>
      </c>
      <c r="C5129" s="128" t="s">
        <v>21</v>
      </c>
      <c r="D5129" s="128" t="s">
        <v>77</v>
      </c>
      <c r="E5129" s="128" t="s">
        <v>134</v>
      </c>
      <c r="F5129" s="128">
        <v>6700252.29</v>
      </c>
      <c r="G5129" s="128">
        <v>2881396.4</v>
      </c>
      <c r="H5129" s="128">
        <v>2546834.4</v>
      </c>
      <c r="I5129" s="128">
        <v>28835</v>
      </c>
    </row>
    <row r="5130" spans="1:9" ht="13.5">
      <c r="A5130" s="128">
        <v>2006</v>
      </c>
      <c r="B5130" s="128" t="s">
        <v>137</v>
      </c>
      <c r="C5130" s="128" t="s">
        <v>21</v>
      </c>
      <c r="D5130" s="128" t="s">
        <v>77</v>
      </c>
      <c r="E5130" s="128" t="s">
        <v>135</v>
      </c>
      <c r="F5130" s="128">
        <v>6468576.9199999999</v>
      </c>
      <c r="G5130" s="128">
        <v>1869816.52</v>
      </c>
      <c r="H5130" s="128">
        <v>1882221.49</v>
      </c>
      <c r="I5130" s="128">
        <v>19614</v>
      </c>
    </row>
    <row r="5131" spans="1:9" ht="13.5">
      <c r="A5131" s="128">
        <v>2006</v>
      </c>
      <c r="B5131" s="128" t="s">
        <v>137</v>
      </c>
      <c r="C5131" s="128" t="s">
        <v>21</v>
      </c>
      <c r="D5131" s="128" t="s">
        <v>79</v>
      </c>
      <c r="E5131" s="128" t="s">
        <v>132</v>
      </c>
      <c r="F5131" s="128">
        <v>2803140.4</v>
      </c>
      <c r="G5131" s="128">
        <v>1854355.55</v>
      </c>
      <c r="H5131" s="128">
        <v>628369.07999999996</v>
      </c>
      <c r="I5131" s="128">
        <v>22711</v>
      </c>
    </row>
    <row r="5132" spans="1:9" ht="13.5">
      <c r="A5132" s="128">
        <v>2006</v>
      </c>
      <c r="B5132" s="128" t="s">
        <v>137</v>
      </c>
      <c r="C5132" s="128" t="s">
        <v>21</v>
      </c>
      <c r="D5132" s="128" t="s">
        <v>79</v>
      </c>
      <c r="E5132" s="128" t="s">
        <v>133</v>
      </c>
      <c r="F5132" s="128">
        <v>2985024.33</v>
      </c>
      <c r="G5132" s="128">
        <v>1643480.84</v>
      </c>
      <c r="H5132" s="128">
        <v>568256.02</v>
      </c>
      <c r="I5132" s="128">
        <v>17352</v>
      </c>
    </row>
    <row r="5133" spans="1:9" ht="13.5">
      <c r="A5133" s="128">
        <v>2006</v>
      </c>
      <c r="B5133" s="128" t="s">
        <v>137</v>
      </c>
      <c r="C5133" s="128" t="s">
        <v>21</v>
      </c>
      <c r="D5133" s="128" t="s">
        <v>79</v>
      </c>
      <c r="E5133" s="128" t="s">
        <v>134</v>
      </c>
      <c r="F5133" s="128">
        <v>7053732.5599999996</v>
      </c>
      <c r="G5133" s="128">
        <v>3018277.19</v>
      </c>
      <c r="H5133" s="128">
        <v>1026202</v>
      </c>
      <c r="I5133" s="128">
        <v>47913</v>
      </c>
    </row>
    <row r="5134" spans="1:9" ht="13.5">
      <c r="A5134" s="128">
        <v>2006</v>
      </c>
      <c r="B5134" s="128" t="s">
        <v>137</v>
      </c>
      <c r="C5134" s="128" t="s">
        <v>21</v>
      </c>
      <c r="D5134" s="128" t="s">
        <v>79</v>
      </c>
      <c r="E5134" s="128" t="s">
        <v>135</v>
      </c>
      <c r="F5134" s="128">
        <v>12017584.619999999</v>
      </c>
      <c r="G5134" s="128">
        <v>3239931.41</v>
      </c>
      <c r="H5134" s="128">
        <v>1104044.8899999999</v>
      </c>
      <c r="I5134" s="128">
        <v>28769</v>
      </c>
    </row>
    <row r="5135" spans="1:9" ht="13.5">
      <c r="A5135" s="128">
        <v>2006</v>
      </c>
      <c r="B5135" s="128" t="s">
        <v>137</v>
      </c>
      <c r="C5135" s="128" t="s">
        <v>21</v>
      </c>
      <c r="D5135" s="128" t="s">
        <v>79</v>
      </c>
      <c r="E5135" s="128" t="s">
        <v>136</v>
      </c>
      <c r="F5135" s="128">
        <v>14403678.23</v>
      </c>
      <c r="G5135" s="128">
        <v>10855333.01</v>
      </c>
      <c r="H5135" s="128">
        <v>3548060.77</v>
      </c>
      <c r="I5135" s="128">
        <v>177073</v>
      </c>
    </row>
    <row r="5136" spans="1:9" ht="13.5">
      <c r="A5136" s="128">
        <v>2006</v>
      </c>
      <c r="B5136" s="128" t="s">
        <v>137</v>
      </c>
      <c r="C5136" s="128" t="s">
        <v>21</v>
      </c>
      <c r="D5136" s="128" t="s">
        <v>76</v>
      </c>
      <c r="E5136" s="128" t="s">
        <v>132</v>
      </c>
      <c r="F5136" s="128">
        <v>24735392.609999999</v>
      </c>
      <c r="G5136" s="128">
        <v>16027635.76</v>
      </c>
      <c r="H5136" s="128">
        <v>8707702.4299999997</v>
      </c>
      <c r="I5136" s="128">
        <v>326208</v>
      </c>
    </row>
    <row r="5137" spans="1:9" ht="13.5">
      <c r="A5137" s="128">
        <v>2006</v>
      </c>
      <c r="B5137" s="128" t="s">
        <v>137</v>
      </c>
      <c r="C5137" s="128" t="s">
        <v>21</v>
      </c>
      <c r="D5137" s="128" t="s">
        <v>76</v>
      </c>
      <c r="E5137" s="128" t="s">
        <v>133</v>
      </c>
      <c r="F5137" s="128">
        <v>53650328.369999997</v>
      </c>
      <c r="G5137" s="128">
        <v>29712362.280000001</v>
      </c>
      <c r="H5137" s="128">
        <v>23937916.129999999</v>
      </c>
      <c r="I5137" s="128">
        <v>333912</v>
      </c>
    </row>
    <row r="5138" spans="1:9" ht="13.5">
      <c r="A5138" s="128">
        <v>2006</v>
      </c>
      <c r="B5138" s="128" t="s">
        <v>137</v>
      </c>
      <c r="C5138" s="128" t="s">
        <v>21</v>
      </c>
      <c r="D5138" s="128" t="s">
        <v>76</v>
      </c>
      <c r="E5138" s="128" t="s">
        <v>134</v>
      </c>
      <c r="F5138" s="128">
        <v>39927535.729999997</v>
      </c>
      <c r="G5138" s="128">
        <v>18504147.859999999</v>
      </c>
      <c r="H5138" s="128">
        <v>21423297.079999998</v>
      </c>
      <c r="I5138" s="128">
        <v>261692</v>
      </c>
    </row>
    <row r="5139" spans="1:9" ht="13.5">
      <c r="A5139" s="128">
        <v>2006</v>
      </c>
      <c r="B5139" s="128" t="s">
        <v>137</v>
      </c>
      <c r="C5139" s="128" t="s">
        <v>21</v>
      </c>
      <c r="D5139" s="128" t="s">
        <v>76</v>
      </c>
      <c r="E5139" s="128" t="s">
        <v>135</v>
      </c>
      <c r="F5139" s="128">
        <v>2427530.5499999998</v>
      </c>
      <c r="G5139" s="128">
        <v>689857.09</v>
      </c>
      <c r="H5139" s="128">
        <v>1737673.46</v>
      </c>
      <c r="I5139" s="128">
        <v>2438</v>
      </c>
    </row>
    <row r="5140" spans="1:9" ht="13.5">
      <c r="A5140" s="128">
        <v>2006</v>
      </c>
      <c r="B5140" s="128" t="s">
        <v>137</v>
      </c>
      <c r="C5140" s="128" t="s">
        <v>21</v>
      </c>
      <c r="D5140" s="128" t="s">
        <v>76</v>
      </c>
      <c r="E5140" s="128" t="s">
        <v>136</v>
      </c>
      <c r="F5140" s="128">
        <v>5733397.9299999997</v>
      </c>
      <c r="G5140" s="128">
        <v>4317928.46</v>
      </c>
      <c r="H5140" s="128">
        <v>1415468.62</v>
      </c>
      <c r="I5140" s="128">
        <v>96962</v>
      </c>
    </row>
    <row r="5141" spans="1:9" ht="13.5">
      <c r="A5141" s="128">
        <v>2006</v>
      </c>
      <c r="B5141" s="128" t="s">
        <v>137</v>
      </c>
      <c r="C5141" s="128" t="s">
        <v>24</v>
      </c>
      <c r="D5141" s="128" t="s">
        <v>77</v>
      </c>
      <c r="E5141" s="128" t="s">
        <v>132</v>
      </c>
      <c r="F5141" s="128">
        <v>1328905.3700000001</v>
      </c>
      <c r="G5141" s="128">
        <v>899694.8</v>
      </c>
      <c r="H5141" s="128">
        <v>395905.04</v>
      </c>
      <c r="I5141" s="128">
        <v>10421</v>
      </c>
    </row>
    <row r="5142" spans="1:9" ht="13.5">
      <c r="A5142" s="128">
        <v>2006</v>
      </c>
      <c r="B5142" s="128" t="s">
        <v>137</v>
      </c>
      <c r="C5142" s="128" t="s">
        <v>24</v>
      </c>
      <c r="D5142" s="128" t="s">
        <v>77</v>
      </c>
      <c r="E5142" s="128" t="s">
        <v>133</v>
      </c>
      <c r="F5142" s="128">
        <v>3110309.79</v>
      </c>
      <c r="G5142" s="128">
        <v>1692856.87</v>
      </c>
      <c r="H5142" s="128">
        <v>1103572.6499999999</v>
      </c>
      <c r="I5142" s="128">
        <v>13817</v>
      </c>
    </row>
    <row r="5143" spans="1:9" ht="13.5">
      <c r="A5143" s="128">
        <v>2006</v>
      </c>
      <c r="B5143" s="128" t="s">
        <v>137</v>
      </c>
      <c r="C5143" s="128" t="s">
        <v>24</v>
      </c>
      <c r="D5143" s="128" t="s">
        <v>77</v>
      </c>
      <c r="E5143" s="128" t="s">
        <v>134</v>
      </c>
      <c r="F5143" s="128">
        <v>4938311.04</v>
      </c>
      <c r="G5143" s="128">
        <v>2184818.9500000002</v>
      </c>
      <c r="H5143" s="128">
        <v>1544631.53</v>
      </c>
      <c r="I5143" s="128">
        <v>20527</v>
      </c>
    </row>
    <row r="5144" spans="1:9" ht="13.5">
      <c r="A5144" s="128">
        <v>2006</v>
      </c>
      <c r="B5144" s="128" t="s">
        <v>137</v>
      </c>
      <c r="C5144" s="128" t="s">
        <v>24</v>
      </c>
      <c r="D5144" s="128" t="s">
        <v>77</v>
      </c>
      <c r="E5144" s="128" t="s">
        <v>135</v>
      </c>
      <c r="F5144" s="128">
        <v>7792703.9299999997</v>
      </c>
      <c r="G5144" s="128">
        <v>1853002.3</v>
      </c>
      <c r="H5144" s="128">
        <v>1418850.01</v>
      </c>
      <c r="I5144" s="128">
        <v>18934</v>
      </c>
    </row>
    <row r="5145" spans="1:9" ht="13.5">
      <c r="A5145" s="128">
        <v>2006</v>
      </c>
      <c r="B5145" s="128" t="s">
        <v>137</v>
      </c>
      <c r="C5145" s="128" t="s">
        <v>24</v>
      </c>
      <c r="D5145" s="128" t="s">
        <v>79</v>
      </c>
      <c r="E5145" s="128" t="s">
        <v>132</v>
      </c>
      <c r="F5145" s="128">
        <v>553895.03</v>
      </c>
      <c r="G5145" s="128">
        <v>360430.31</v>
      </c>
      <c r="H5145" s="128">
        <v>120818.75</v>
      </c>
      <c r="I5145" s="128">
        <v>3748</v>
      </c>
    </row>
    <row r="5146" spans="1:9" ht="13.5">
      <c r="A5146" s="128">
        <v>2006</v>
      </c>
      <c r="B5146" s="128" t="s">
        <v>137</v>
      </c>
      <c r="C5146" s="128" t="s">
        <v>24</v>
      </c>
      <c r="D5146" s="128" t="s">
        <v>79</v>
      </c>
      <c r="E5146" s="128" t="s">
        <v>133</v>
      </c>
      <c r="F5146" s="128">
        <v>1403267.51</v>
      </c>
      <c r="G5146" s="128">
        <v>764604.01</v>
      </c>
      <c r="H5146" s="128">
        <v>260648.55</v>
      </c>
      <c r="I5146" s="128">
        <v>9105</v>
      </c>
    </row>
    <row r="5147" spans="1:9" ht="13.5">
      <c r="A5147" s="128">
        <v>2006</v>
      </c>
      <c r="B5147" s="128" t="s">
        <v>137</v>
      </c>
      <c r="C5147" s="128" t="s">
        <v>24</v>
      </c>
      <c r="D5147" s="128" t="s">
        <v>79</v>
      </c>
      <c r="E5147" s="128" t="s">
        <v>134</v>
      </c>
      <c r="F5147" s="128">
        <v>1831513.54</v>
      </c>
      <c r="G5147" s="128">
        <v>804162.72</v>
      </c>
      <c r="H5147" s="128">
        <v>279955.28999999998</v>
      </c>
      <c r="I5147" s="128">
        <v>17791</v>
      </c>
    </row>
    <row r="5148" spans="1:9" ht="13.5">
      <c r="A5148" s="128">
        <v>2006</v>
      </c>
      <c r="B5148" s="128" t="s">
        <v>137</v>
      </c>
      <c r="C5148" s="128" t="s">
        <v>24</v>
      </c>
      <c r="D5148" s="128" t="s">
        <v>79</v>
      </c>
      <c r="E5148" s="128" t="s">
        <v>135</v>
      </c>
      <c r="F5148" s="128">
        <v>2225747.7000000002</v>
      </c>
      <c r="G5148" s="128">
        <v>547592.42000000004</v>
      </c>
      <c r="H5148" s="128">
        <v>190332.72</v>
      </c>
      <c r="I5148" s="128">
        <v>4708</v>
      </c>
    </row>
    <row r="5149" spans="1:9" ht="13.5">
      <c r="A5149" s="128">
        <v>2006</v>
      </c>
      <c r="B5149" s="128" t="s">
        <v>137</v>
      </c>
      <c r="C5149" s="128" t="s">
        <v>24</v>
      </c>
      <c r="D5149" s="128" t="s">
        <v>79</v>
      </c>
      <c r="E5149" s="128" t="s">
        <v>136</v>
      </c>
      <c r="F5149" s="128">
        <v>1376504.49</v>
      </c>
      <c r="G5149" s="128">
        <v>1037942.53</v>
      </c>
      <c r="H5149" s="128">
        <v>338511.01</v>
      </c>
      <c r="I5149" s="128">
        <v>25315</v>
      </c>
    </row>
    <row r="5150" spans="1:9" ht="13.5">
      <c r="A5150" s="128">
        <v>2006</v>
      </c>
      <c r="B5150" s="128" t="s">
        <v>137</v>
      </c>
      <c r="C5150" s="128" t="s">
        <v>24</v>
      </c>
      <c r="D5150" s="128" t="s">
        <v>76</v>
      </c>
      <c r="E5150" s="128" t="s">
        <v>132</v>
      </c>
      <c r="F5150" s="128">
        <v>8759212.1500000004</v>
      </c>
      <c r="G5150" s="128">
        <v>5588288.5999999996</v>
      </c>
      <c r="H5150" s="128">
        <v>3170920</v>
      </c>
      <c r="I5150" s="128">
        <v>112072</v>
      </c>
    </row>
    <row r="5151" spans="1:9" ht="13.5">
      <c r="A5151" s="128">
        <v>2006</v>
      </c>
      <c r="B5151" s="128" t="s">
        <v>137</v>
      </c>
      <c r="C5151" s="128" t="s">
        <v>24</v>
      </c>
      <c r="D5151" s="128" t="s">
        <v>76</v>
      </c>
      <c r="E5151" s="128" t="s">
        <v>133</v>
      </c>
      <c r="F5151" s="128">
        <v>17643466.550000001</v>
      </c>
      <c r="G5151" s="128">
        <v>9791097.9900000002</v>
      </c>
      <c r="H5151" s="128">
        <v>7852368.4100000001</v>
      </c>
      <c r="I5151" s="128">
        <v>66731</v>
      </c>
    </row>
    <row r="5152" spans="1:9" ht="13.5">
      <c r="A5152" s="128">
        <v>2006</v>
      </c>
      <c r="B5152" s="128" t="s">
        <v>137</v>
      </c>
      <c r="C5152" s="128" t="s">
        <v>24</v>
      </c>
      <c r="D5152" s="128" t="s">
        <v>76</v>
      </c>
      <c r="E5152" s="128" t="s">
        <v>134</v>
      </c>
      <c r="F5152" s="128">
        <v>15051430.289999999</v>
      </c>
      <c r="G5152" s="128">
        <v>6716130.0300000003</v>
      </c>
      <c r="H5152" s="128">
        <v>8335300.0899999999</v>
      </c>
      <c r="I5152" s="128">
        <v>92543</v>
      </c>
    </row>
    <row r="5153" spans="1:9" ht="13.5">
      <c r="A5153" s="128">
        <v>2006</v>
      </c>
      <c r="B5153" s="128" t="s">
        <v>137</v>
      </c>
      <c r="C5153" s="128" t="s">
        <v>24</v>
      </c>
      <c r="D5153" s="128" t="s">
        <v>76</v>
      </c>
      <c r="E5153" s="128" t="s">
        <v>135</v>
      </c>
      <c r="F5153" s="128">
        <v>2077202.17</v>
      </c>
      <c r="G5153" s="128">
        <v>480337.75</v>
      </c>
      <c r="H5153" s="128">
        <v>1596864.42</v>
      </c>
      <c r="I5153" s="128">
        <v>1490</v>
      </c>
    </row>
    <row r="5154" spans="1:9" ht="13.5">
      <c r="A5154" s="128">
        <v>2006</v>
      </c>
      <c r="B5154" s="128" t="s">
        <v>137</v>
      </c>
      <c r="C5154" s="128" t="s">
        <v>24</v>
      </c>
      <c r="D5154" s="128" t="s">
        <v>76</v>
      </c>
      <c r="E5154" s="128" t="s">
        <v>136</v>
      </c>
      <c r="F5154" s="128">
        <v>1143129.58</v>
      </c>
      <c r="G5154" s="128">
        <v>866529.64</v>
      </c>
      <c r="H5154" s="128">
        <v>276600.01</v>
      </c>
      <c r="I5154" s="128">
        <v>17657</v>
      </c>
    </row>
    <row r="5155" spans="1:9" ht="13.5">
      <c r="A5155" s="128">
        <v>2007</v>
      </c>
      <c r="B5155" s="128" t="s">
        <v>131</v>
      </c>
      <c r="C5155" s="128" t="s">
        <v>20</v>
      </c>
      <c r="D5155" s="128" t="s">
        <v>79</v>
      </c>
      <c r="E5155" s="128" t="s">
        <v>136</v>
      </c>
      <c r="F5155" s="128">
        <v>24363969.539999999</v>
      </c>
      <c r="G5155" s="128">
        <v>18592898.02</v>
      </c>
      <c r="H5155" s="128">
        <v>5770581.8899999997</v>
      </c>
      <c r="I5155" s="128">
        <v>451029</v>
      </c>
    </row>
    <row r="5156" spans="1:9" ht="13.5">
      <c r="A5156" s="128">
        <v>2007</v>
      </c>
      <c r="B5156" s="128" t="s">
        <v>131</v>
      </c>
      <c r="C5156" s="128" t="s">
        <v>20</v>
      </c>
      <c r="D5156" s="128" t="s">
        <v>79</v>
      </c>
      <c r="E5156" s="128" t="s">
        <v>132</v>
      </c>
      <c r="F5156" s="128">
        <v>3636087.19</v>
      </c>
      <c r="G5156" s="128">
        <v>2426024.34</v>
      </c>
      <c r="H5156" s="128">
        <v>820209.98</v>
      </c>
      <c r="I5156" s="128">
        <v>19745</v>
      </c>
    </row>
    <row r="5157" spans="1:9" ht="13.5">
      <c r="A5157" s="128">
        <v>2007</v>
      </c>
      <c r="B5157" s="128" t="s">
        <v>131</v>
      </c>
      <c r="C5157" s="128" t="s">
        <v>20</v>
      </c>
      <c r="D5157" s="128" t="s">
        <v>79</v>
      </c>
      <c r="E5157" s="128" t="s">
        <v>133</v>
      </c>
      <c r="F5157" s="128">
        <v>5324489.7</v>
      </c>
      <c r="G5157" s="128">
        <v>2865238.72</v>
      </c>
      <c r="H5157" s="128">
        <v>1018497.93</v>
      </c>
      <c r="I5157" s="128">
        <v>52957</v>
      </c>
    </row>
    <row r="5158" spans="1:9" ht="13.5">
      <c r="A5158" s="128">
        <v>2007</v>
      </c>
      <c r="B5158" s="128" t="s">
        <v>131</v>
      </c>
      <c r="C5158" s="128" t="s">
        <v>20</v>
      </c>
      <c r="D5158" s="128" t="s">
        <v>79</v>
      </c>
      <c r="E5158" s="128" t="s">
        <v>134</v>
      </c>
      <c r="F5158" s="128">
        <v>17082362.789999999</v>
      </c>
      <c r="G5158" s="128">
        <v>7211188.9800000004</v>
      </c>
      <c r="H5158" s="128">
        <v>2498135.56</v>
      </c>
      <c r="I5158" s="128">
        <v>68698</v>
      </c>
    </row>
    <row r="5159" spans="1:9" ht="13.5">
      <c r="A5159" s="128">
        <v>2007</v>
      </c>
      <c r="B5159" s="128" t="s">
        <v>131</v>
      </c>
      <c r="C5159" s="128" t="s">
        <v>20</v>
      </c>
      <c r="D5159" s="128" t="s">
        <v>79</v>
      </c>
      <c r="E5159" s="128" t="s">
        <v>135</v>
      </c>
      <c r="F5159" s="128">
        <v>79429463.680000007</v>
      </c>
      <c r="G5159" s="128">
        <v>20697536.859999999</v>
      </c>
      <c r="H5159" s="128">
        <v>7023100.5999999996</v>
      </c>
      <c r="I5159" s="128">
        <v>152954</v>
      </c>
    </row>
    <row r="5160" spans="1:9" ht="13.5">
      <c r="A5160" s="128">
        <v>2007</v>
      </c>
      <c r="B5160" s="128" t="s">
        <v>131</v>
      </c>
      <c r="C5160" s="128" t="s">
        <v>20</v>
      </c>
      <c r="D5160" s="128" t="s">
        <v>77</v>
      </c>
      <c r="E5160" s="128" t="s">
        <v>132</v>
      </c>
      <c r="F5160" s="128">
        <v>675171.25</v>
      </c>
      <c r="G5160" s="128">
        <v>449014.48</v>
      </c>
      <c r="H5160" s="128">
        <v>201567.12</v>
      </c>
      <c r="I5160" s="128">
        <v>4208</v>
      </c>
    </row>
    <row r="5161" spans="1:9" ht="13.5">
      <c r="A5161" s="128">
        <v>2007</v>
      </c>
      <c r="B5161" s="128" t="s">
        <v>131</v>
      </c>
      <c r="C5161" s="128" t="s">
        <v>20</v>
      </c>
      <c r="D5161" s="128" t="s">
        <v>77</v>
      </c>
      <c r="E5161" s="128" t="s">
        <v>133</v>
      </c>
      <c r="F5161" s="128">
        <v>1524252.28</v>
      </c>
      <c r="G5161" s="128">
        <v>825929.18</v>
      </c>
      <c r="H5161" s="128">
        <v>606114.31999999995</v>
      </c>
      <c r="I5161" s="128">
        <v>4623</v>
      </c>
    </row>
    <row r="5162" spans="1:9" ht="13.5">
      <c r="A5162" s="128">
        <v>2007</v>
      </c>
      <c r="B5162" s="128" t="s">
        <v>131</v>
      </c>
      <c r="C5162" s="128" t="s">
        <v>20</v>
      </c>
      <c r="D5162" s="128" t="s">
        <v>77</v>
      </c>
      <c r="E5162" s="128" t="s">
        <v>134</v>
      </c>
      <c r="F5162" s="128">
        <v>3770335.73</v>
      </c>
      <c r="G5162" s="128">
        <v>1640116.71</v>
      </c>
      <c r="H5162" s="128">
        <v>1596784.45</v>
      </c>
      <c r="I5162" s="128">
        <v>14028</v>
      </c>
    </row>
    <row r="5163" spans="1:9" ht="13.5">
      <c r="A5163" s="128">
        <v>2007</v>
      </c>
      <c r="B5163" s="128" t="s">
        <v>131</v>
      </c>
      <c r="C5163" s="128" t="s">
        <v>20</v>
      </c>
      <c r="D5163" s="128" t="s">
        <v>77</v>
      </c>
      <c r="E5163" s="128" t="s">
        <v>135</v>
      </c>
      <c r="F5163" s="128">
        <v>5909107.29</v>
      </c>
      <c r="G5163" s="128">
        <v>1554790.07</v>
      </c>
      <c r="H5163" s="128">
        <v>1772671.72</v>
      </c>
      <c r="I5163" s="128">
        <v>16397</v>
      </c>
    </row>
    <row r="5164" spans="1:9" ht="13.5">
      <c r="A5164" s="128">
        <v>2007</v>
      </c>
      <c r="B5164" s="128" t="s">
        <v>131</v>
      </c>
      <c r="C5164" s="128" t="s">
        <v>20</v>
      </c>
      <c r="D5164" s="128" t="s">
        <v>76</v>
      </c>
      <c r="E5164" s="128" t="s">
        <v>136</v>
      </c>
      <c r="F5164" s="128">
        <v>6959735.6900000004</v>
      </c>
      <c r="G5164" s="128">
        <v>5269923.57</v>
      </c>
      <c r="H5164" s="128">
        <v>1690113.8</v>
      </c>
      <c r="I5164" s="128">
        <v>194250</v>
      </c>
    </row>
    <row r="5165" spans="1:9" ht="13.5">
      <c r="A5165" s="128">
        <v>2007</v>
      </c>
      <c r="B5165" s="128" t="s">
        <v>131</v>
      </c>
      <c r="C5165" s="128" t="s">
        <v>20</v>
      </c>
      <c r="D5165" s="128" t="s">
        <v>76</v>
      </c>
      <c r="E5165" s="128" t="s">
        <v>132</v>
      </c>
      <c r="F5165" s="128">
        <v>30231633.289999999</v>
      </c>
      <c r="G5165" s="128">
        <v>19416075.309999999</v>
      </c>
      <c r="H5165" s="128">
        <v>10815198.300000001</v>
      </c>
      <c r="I5165" s="128">
        <v>397907</v>
      </c>
    </row>
    <row r="5166" spans="1:9" ht="13.5">
      <c r="A5166" s="128">
        <v>2007</v>
      </c>
      <c r="B5166" s="128" t="s">
        <v>131</v>
      </c>
      <c r="C5166" s="128" t="s">
        <v>20</v>
      </c>
      <c r="D5166" s="128" t="s">
        <v>76</v>
      </c>
      <c r="E5166" s="128" t="s">
        <v>133</v>
      </c>
      <c r="F5166" s="128">
        <v>55180404.539999999</v>
      </c>
      <c r="G5166" s="128">
        <v>30341083.23</v>
      </c>
      <c r="H5166" s="128">
        <v>24838955.629999999</v>
      </c>
      <c r="I5166" s="128">
        <v>229184</v>
      </c>
    </row>
    <row r="5167" spans="1:9" ht="13.5">
      <c r="A5167" s="128">
        <v>2007</v>
      </c>
      <c r="B5167" s="128" t="s">
        <v>131</v>
      </c>
      <c r="C5167" s="128" t="s">
        <v>20</v>
      </c>
      <c r="D5167" s="128" t="s">
        <v>76</v>
      </c>
      <c r="E5167" s="128" t="s">
        <v>134</v>
      </c>
      <c r="F5167" s="128">
        <v>46481580</v>
      </c>
      <c r="G5167" s="128">
        <v>21637233.390000001</v>
      </c>
      <c r="H5167" s="128">
        <v>24844135.739999998</v>
      </c>
      <c r="I5167" s="128">
        <v>310705</v>
      </c>
    </row>
    <row r="5168" spans="1:9" ht="13.5">
      <c r="A5168" s="128">
        <v>2007</v>
      </c>
      <c r="B5168" s="128" t="s">
        <v>131</v>
      </c>
      <c r="C5168" s="128" t="s">
        <v>20</v>
      </c>
      <c r="D5168" s="128" t="s">
        <v>76</v>
      </c>
      <c r="E5168" s="128" t="s">
        <v>135</v>
      </c>
      <c r="F5168" s="128">
        <v>4309308.4800000004</v>
      </c>
      <c r="G5168" s="128">
        <v>1213142.3700000001</v>
      </c>
      <c r="H5168" s="128">
        <v>3096165.14</v>
      </c>
      <c r="I5168" s="128">
        <v>4721</v>
      </c>
    </row>
    <row r="5169" spans="1:9" ht="13.5">
      <c r="A5169" s="128">
        <v>2007</v>
      </c>
      <c r="B5169" s="128" t="s">
        <v>131</v>
      </c>
      <c r="C5169" s="128" t="s">
        <v>21</v>
      </c>
      <c r="D5169" s="128" t="s">
        <v>79</v>
      </c>
      <c r="E5169" s="128" t="s">
        <v>136</v>
      </c>
      <c r="F5169" s="128">
        <v>14149683.109999999</v>
      </c>
      <c r="G5169" s="128">
        <v>10668733.65</v>
      </c>
      <c r="H5169" s="128">
        <v>3480365.81</v>
      </c>
      <c r="I5169" s="128">
        <v>152701</v>
      </c>
    </row>
    <row r="5170" spans="1:9" ht="13.5">
      <c r="A5170" s="128">
        <v>2007</v>
      </c>
      <c r="B5170" s="128" t="s">
        <v>131</v>
      </c>
      <c r="C5170" s="128" t="s">
        <v>21</v>
      </c>
      <c r="D5170" s="128" t="s">
        <v>79</v>
      </c>
      <c r="E5170" s="128" t="s">
        <v>132</v>
      </c>
      <c r="F5170" s="128">
        <v>2638004.12</v>
      </c>
      <c r="G5170" s="128">
        <v>1747988.57</v>
      </c>
      <c r="H5170" s="128">
        <v>617828.31999999995</v>
      </c>
      <c r="I5170" s="128">
        <v>18837</v>
      </c>
    </row>
    <row r="5171" spans="1:9" ht="13.5">
      <c r="A5171" s="128">
        <v>2007</v>
      </c>
      <c r="B5171" s="128" t="s">
        <v>131</v>
      </c>
      <c r="C5171" s="128" t="s">
        <v>21</v>
      </c>
      <c r="D5171" s="128" t="s">
        <v>79</v>
      </c>
      <c r="E5171" s="128" t="s">
        <v>133</v>
      </c>
      <c r="F5171" s="128">
        <v>2957659.66</v>
      </c>
      <c r="G5171" s="128">
        <v>1619871.52</v>
      </c>
      <c r="H5171" s="128">
        <v>654635.54</v>
      </c>
      <c r="I5171" s="128">
        <v>16214</v>
      </c>
    </row>
    <row r="5172" spans="1:9" ht="13.5">
      <c r="A5172" s="128">
        <v>2007</v>
      </c>
      <c r="B5172" s="128" t="s">
        <v>131</v>
      </c>
      <c r="C5172" s="128" t="s">
        <v>21</v>
      </c>
      <c r="D5172" s="128" t="s">
        <v>79</v>
      </c>
      <c r="E5172" s="128" t="s">
        <v>134</v>
      </c>
      <c r="F5172" s="128">
        <v>6632982.4800000004</v>
      </c>
      <c r="G5172" s="128">
        <v>2809122.94</v>
      </c>
      <c r="H5172" s="128">
        <v>1008625.14</v>
      </c>
      <c r="I5172" s="128">
        <v>43442</v>
      </c>
    </row>
    <row r="5173" spans="1:9" ht="13.5">
      <c r="A5173" s="128">
        <v>2007</v>
      </c>
      <c r="B5173" s="128" t="s">
        <v>131</v>
      </c>
      <c r="C5173" s="128" t="s">
        <v>21</v>
      </c>
      <c r="D5173" s="128" t="s">
        <v>79</v>
      </c>
      <c r="E5173" s="128" t="s">
        <v>135</v>
      </c>
      <c r="F5173" s="128">
        <v>14152367.130000001</v>
      </c>
      <c r="G5173" s="128">
        <v>3688954.47</v>
      </c>
      <c r="H5173" s="128">
        <v>1269286.1200000001</v>
      </c>
      <c r="I5173" s="128">
        <v>31767</v>
      </c>
    </row>
    <row r="5174" spans="1:9" ht="13.5">
      <c r="A5174" s="128">
        <v>2007</v>
      </c>
      <c r="B5174" s="128" t="s">
        <v>131</v>
      </c>
      <c r="C5174" s="128" t="s">
        <v>21</v>
      </c>
      <c r="D5174" s="128" t="s">
        <v>77</v>
      </c>
      <c r="E5174" s="128" t="s">
        <v>132</v>
      </c>
      <c r="F5174" s="128">
        <v>1652647.28</v>
      </c>
      <c r="G5174" s="128">
        <v>1085405.3999999999</v>
      </c>
      <c r="H5174" s="128">
        <v>470792.89</v>
      </c>
      <c r="I5174" s="128">
        <v>9411</v>
      </c>
    </row>
    <row r="5175" spans="1:9" ht="13.5">
      <c r="A5175" s="128">
        <v>2007</v>
      </c>
      <c r="B5175" s="128" t="s">
        <v>131</v>
      </c>
      <c r="C5175" s="128" t="s">
        <v>21</v>
      </c>
      <c r="D5175" s="128" t="s">
        <v>77</v>
      </c>
      <c r="E5175" s="128" t="s">
        <v>133</v>
      </c>
      <c r="F5175" s="128">
        <v>3220464.14</v>
      </c>
      <c r="G5175" s="128">
        <v>1748414.29</v>
      </c>
      <c r="H5175" s="128">
        <v>1166364.8700000001</v>
      </c>
      <c r="I5175" s="128">
        <v>12535</v>
      </c>
    </row>
    <row r="5176" spans="1:9" ht="13.5">
      <c r="A5176" s="128">
        <v>2007</v>
      </c>
      <c r="B5176" s="128" t="s">
        <v>131</v>
      </c>
      <c r="C5176" s="128" t="s">
        <v>21</v>
      </c>
      <c r="D5176" s="128" t="s">
        <v>77</v>
      </c>
      <c r="E5176" s="128" t="s">
        <v>134</v>
      </c>
      <c r="F5176" s="128">
        <v>6583180.2599999998</v>
      </c>
      <c r="G5176" s="128">
        <v>2808960.44</v>
      </c>
      <c r="H5176" s="128">
        <v>2481411.27</v>
      </c>
      <c r="I5176" s="128">
        <v>26349</v>
      </c>
    </row>
    <row r="5177" spans="1:9" ht="13.5">
      <c r="A5177" s="128">
        <v>2007</v>
      </c>
      <c r="B5177" s="128" t="s">
        <v>131</v>
      </c>
      <c r="C5177" s="128" t="s">
        <v>21</v>
      </c>
      <c r="D5177" s="128" t="s">
        <v>77</v>
      </c>
      <c r="E5177" s="128" t="s">
        <v>135</v>
      </c>
      <c r="F5177" s="128">
        <v>7499129.0599999996</v>
      </c>
      <c r="G5177" s="128">
        <v>2135163.4500000002</v>
      </c>
      <c r="H5177" s="128">
        <v>2171447.52</v>
      </c>
      <c r="I5177" s="128">
        <v>21813</v>
      </c>
    </row>
    <row r="5178" spans="1:9" ht="13.5">
      <c r="A5178" s="128">
        <v>2007</v>
      </c>
      <c r="B5178" s="128" t="s">
        <v>131</v>
      </c>
      <c r="C5178" s="128" t="s">
        <v>21</v>
      </c>
      <c r="D5178" s="128" t="s">
        <v>76</v>
      </c>
      <c r="E5178" s="128" t="s">
        <v>136</v>
      </c>
      <c r="F5178" s="128">
        <v>7391557.2800000003</v>
      </c>
      <c r="G5178" s="128">
        <v>5592060.2800000003</v>
      </c>
      <c r="H5178" s="128">
        <v>1799496.54</v>
      </c>
      <c r="I5178" s="128">
        <v>148473</v>
      </c>
    </row>
    <row r="5179" spans="1:9" ht="13.5">
      <c r="A5179" s="128">
        <v>2007</v>
      </c>
      <c r="B5179" s="128" t="s">
        <v>131</v>
      </c>
      <c r="C5179" s="128" t="s">
        <v>21</v>
      </c>
      <c r="D5179" s="128" t="s">
        <v>76</v>
      </c>
      <c r="E5179" s="128" t="s">
        <v>132</v>
      </c>
      <c r="F5179" s="128">
        <v>30220943.41</v>
      </c>
      <c r="G5179" s="128">
        <v>19543747.140000001</v>
      </c>
      <c r="H5179" s="128">
        <v>10677094.689999999</v>
      </c>
      <c r="I5179" s="128">
        <v>388034</v>
      </c>
    </row>
    <row r="5180" spans="1:9" ht="13.5">
      <c r="A5180" s="128">
        <v>2007</v>
      </c>
      <c r="B5180" s="128" t="s">
        <v>131</v>
      </c>
      <c r="C5180" s="128" t="s">
        <v>21</v>
      </c>
      <c r="D5180" s="128" t="s">
        <v>76</v>
      </c>
      <c r="E5180" s="128" t="s">
        <v>133</v>
      </c>
      <c r="F5180" s="128">
        <v>61160145.740000002</v>
      </c>
      <c r="G5180" s="128">
        <v>33676881.57</v>
      </c>
      <c r="H5180" s="128">
        <v>27483175.390000001</v>
      </c>
      <c r="I5180" s="128">
        <v>364496</v>
      </c>
    </row>
    <row r="5181" spans="1:9" ht="13.5">
      <c r="A5181" s="128">
        <v>2007</v>
      </c>
      <c r="B5181" s="128" t="s">
        <v>131</v>
      </c>
      <c r="C5181" s="128" t="s">
        <v>21</v>
      </c>
      <c r="D5181" s="128" t="s">
        <v>76</v>
      </c>
      <c r="E5181" s="128" t="s">
        <v>134</v>
      </c>
      <c r="F5181" s="128">
        <v>47083300.909999996</v>
      </c>
      <c r="G5181" s="128">
        <v>21574793.640000001</v>
      </c>
      <c r="H5181" s="128">
        <v>25508384.670000002</v>
      </c>
      <c r="I5181" s="128">
        <v>302113</v>
      </c>
    </row>
    <row r="5182" spans="1:9" ht="13.5">
      <c r="A5182" s="128">
        <v>2007</v>
      </c>
      <c r="B5182" s="128" t="s">
        <v>131</v>
      </c>
      <c r="C5182" s="128" t="s">
        <v>21</v>
      </c>
      <c r="D5182" s="128" t="s">
        <v>76</v>
      </c>
      <c r="E5182" s="128" t="s">
        <v>135</v>
      </c>
      <c r="F5182" s="128">
        <v>2667942.84</v>
      </c>
      <c r="G5182" s="128">
        <v>742635.03</v>
      </c>
      <c r="H5182" s="128">
        <v>1925308.31</v>
      </c>
      <c r="I5182" s="128">
        <v>2493</v>
      </c>
    </row>
    <row r="5183" spans="1:9" ht="13.5">
      <c r="A5183" s="128">
        <v>2007</v>
      </c>
      <c r="B5183" s="128" t="s">
        <v>131</v>
      </c>
      <c r="C5183" s="128" t="s">
        <v>22</v>
      </c>
      <c r="D5183" s="128" t="s">
        <v>79</v>
      </c>
      <c r="E5183" s="128" t="s">
        <v>136</v>
      </c>
      <c r="F5183" s="128">
        <v>6992525.1200000001</v>
      </c>
      <c r="G5183" s="128">
        <v>5277402.09</v>
      </c>
      <c r="H5183" s="128">
        <v>1712834.3</v>
      </c>
      <c r="I5183" s="128">
        <v>91459</v>
      </c>
    </row>
    <row r="5184" spans="1:9" ht="13.5">
      <c r="A5184" s="128">
        <v>2007</v>
      </c>
      <c r="B5184" s="128" t="s">
        <v>131</v>
      </c>
      <c r="C5184" s="128" t="s">
        <v>22</v>
      </c>
      <c r="D5184" s="128" t="s">
        <v>79</v>
      </c>
      <c r="E5184" s="128" t="s">
        <v>132</v>
      </c>
      <c r="F5184" s="128">
        <v>2200650.5299999998</v>
      </c>
      <c r="G5184" s="128">
        <v>1484029.76</v>
      </c>
      <c r="H5184" s="128">
        <v>493367.81</v>
      </c>
      <c r="I5184" s="128">
        <v>13895</v>
      </c>
    </row>
    <row r="5185" spans="1:9" ht="13.5">
      <c r="A5185" s="128">
        <v>2007</v>
      </c>
      <c r="B5185" s="128" t="s">
        <v>131</v>
      </c>
      <c r="C5185" s="128" t="s">
        <v>22</v>
      </c>
      <c r="D5185" s="128" t="s">
        <v>79</v>
      </c>
      <c r="E5185" s="128" t="s">
        <v>133</v>
      </c>
      <c r="F5185" s="128">
        <v>4234810.12</v>
      </c>
      <c r="G5185" s="128">
        <v>2310160.4700000002</v>
      </c>
      <c r="H5185" s="128">
        <v>781916</v>
      </c>
      <c r="I5185" s="128">
        <v>22595</v>
      </c>
    </row>
    <row r="5186" spans="1:9" ht="13.5">
      <c r="A5186" s="128">
        <v>2007</v>
      </c>
      <c r="B5186" s="128" t="s">
        <v>131</v>
      </c>
      <c r="C5186" s="128" t="s">
        <v>22</v>
      </c>
      <c r="D5186" s="128" t="s">
        <v>79</v>
      </c>
      <c r="E5186" s="128" t="s">
        <v>134</v>
      </c>
      <c r="F5186" s="128">
        <v>10607871.92</v>
      </c>
      <c r="G5186" s="128">
        <v>4497206.7</v>
      </c>
      <c r="H5186" s="128">
        <v>1533345.74</v>
      </c>
      <c r="I5186" s="128">
        <v>45461</v>
      </c>
    </row>
    <row r="5187" spans="1:9" ht="13.5">
      <c r="A5187" s="128">
        <v>2007</v>
      </c>
      <c r="B5187" s="128" t="s">
        <v>131</v>
      </c>
      <c r="C5187" s="128" t="s">
        <v>22</v>
      </c>
      <c r="D5187" s="128" t="s">
        <v>79</v>
      </c>
      <c r="E5187" s="128" t="s">
        <v>135</v>
      </c>
      <c r="F5187" s="128">
        <v>27023139.5</v>
      </c>
      <c r="G5187" s="128">
        <v>7439208.7199999997</v>
      </c>
      <c r="H5187" s="128">
        <v>2510493.4</v>
      </c>
      <c r="I5187" s="128">
        <v>63763</v>
      </c>
    </row>
    <row r="5188" spans="1:9" ht="13.5">
      <c r="A5188" s="128">
        <v>2007</v>
      </c>
      <c r="B5188" s="128" t="s">
        <v>131</v>
      </c>
      <c r="C5188" s="128" t="s">
        <v>22</v>
      </c>
      <c r="D5188" s="128" t="s">
        <v>77</v>
      </c>
      <c r="E5188" s="128" t="s">
        <v>132</v>
      </c>
      <c r="F5188" s="128">
        <v>371313.75</v>
      </c>
      <c r="G5188" s="128">
        <v>236752.94</v>
      </c>
      <c r="H5188" s="128">
        <v>96655.94</v>
      </c>
      <c r="I5188" s="128">
        <v>2103</v>
      </c>
    </row>
    <row r="5189" spans="1:9" ht="13.5">
      <c r="A5189" s="128">
        <v>2007</v>
      </c>
      <c r="B5189" s="128" t="s">
        <v>131</v>
      </c>
      <c r="C5189" s="128" t="s">
        <v>22</v>
      </c>
      <c r="D5189" s="128" t="s">
        <v>77</v>
      </c>
      <c r="E5189" s="128" t="s">
        <v>133</v>
      </c>
      <c r="F5189" s="128">
        <v>1062559.33</v>
      </c>
      <c r="G5189" s="128">
        <v>578337.81999999995</v>
      </c>
      <c r="H5189" s="128">
        <v>408152.54</v>
      </c>
      <c r="I5189" s="128">
        <v>4080</v>
      </c>
    </row>
    <row r="5190" spans="1:9" ht="13.5">
      <c r="A5190" s="128">
        <v>2007</v>
      </c>
      <c r="B5190" s="128" t="s">
        <v>131</v>
      </c>
      <c r="C5190" s="128" t="s">
        <v>22</v>
      </c>
      <c r="D5190" s="128" t="s">
        <v>77</v>
      </c>
      <c r="E5190" s="128" t="s">
        <v>134</v>
      </c>
      <c r="F5190" s="128">
        <v>4102041.76</v>
      </c>
      <c r="G5190" s="128">
        <v>1725152.53</v>
      </c>
      <c r="H5190" s="128">
        <v>1629593.97</v>
      </c>
      <c r="I5190" s="128">
        <v>10957</v>
      </c>
    </row>
    <row r="5191" spans="1:9" ht="13.5">
      <c r="A5191" s="128">
        <v>2007</v>
      </c>
      <c r="B5191" s="128" t="s">
        <v>131</v>
      </c>
      <c r="C5191" s="128" t="s">
        <v>22</v>
      </c>
      <c r="D5191" s="128" t="s">
        <v>77</v>
      </c>
      <c r="E5191" s="128" t="s">
        <v>135</v>
      </c>
      <c r="F5191" s="128">
        <v>7911714.1399999997</v>
      </c>
      <c r="G5191" s="128">
        <v>2208720.86</v>
      </c>
      <c r="H5191" s="128">
        <v>2483023.54</v>
      </c>
      <c r="I5191" s="128">
        <v>23542</v>
      </c>
    </row>
    <row r="5192" spans="1:9" ht="13.5">
      <c r="A5192" s="128">
        <v>2007</v>
      </c>
      <c r="B5192" s="128" t="s">
        <v>131</v>
      </c>
      <c r="C5192" s="128" t="s">
        <v>22</v>
      </c>
      <c r="D5192" s="128" t="s">
        <v>76</v>
      </c>
      <c r="E5192" s="128" t="s">
        <v>136</v>
      </c>
      <c r="F5192" s="128">
        <v>2251638.8199999998</v>
      </c>
      <c r="G5192" s="128">
        <v>1723064.29</v>
      </c>
      <c r="H5192" s="128">
        <v>529050.86</v>
      </c>
      <c r="I5192" s="128">
        <v>42378</v>
      </c>
    </row>
    <row r="5193" spans="1:9" ht="13.5">
      <c r="A5193" s="128">
        <v>2007</v>
      </c>
      <c r="B5193" s="128" t="s">
        <v>131</v>
      </c>
      <c r="C5193" s="128" t="s">
        <v>22</v>
      </c>
      <c r="D5193" s="128" t="s">
        <v>76</v>
      </c>
      <c r="E5193" s="128" t="s">
        <v>132</v>
      </c>
      <c r="F5193" s="128">
        <v>29175174.530000001</v>
      </c>
      <c r="G5193" s="128">
        <v>18749525.390000001</v>
      </c>
      <c r="H5193" s="128">
        <v>10425535.619999999</v>
      </c>
      <c r="I5193" s="128">
        <v>466534</v>
      </c>
    </row>
    <row r="5194" spans="1:9" ht="13.5">
      <c r="A5194" s="128">
        <v>2007</v>
      </c>
      <c r="B5194" s="128" t="s">
        <v>131</v>
      </c>
      <c r="C5194" s="128" t="s">
        <v>22</v>
      </c>
      <c r="D5194" s="128" t="s">
        <v>76</v>
      </c>
      <c r="E5194" s="128" t="s">
        <v>133</v>
      </c>
      <c r="F5194" s="128">
        <v>43387909.990000002</v>
      </c>
      <c r="G5194" s="128">
        <v>23949500.52</v>
      </c>
      <c r="H5194" s="128">
        <v>19438421.219999999</v>
      </c>
      <c r="I5194" s="128">
        <v>212843</v>
      </c>
    </row>
    <row r="5195" spans="1:9" ht="13.5">
      <c r="A5195" s="128">
        <v>2007</v>
      </c>
      <c r="B5195" s="128" t="s">
        <v>131</v>
      </c>
      <c r="C5195" s="128" t="s">
        <v>22</v>
      </c>
      <c r="D5195" s="128" t="s">
        <v>76</v>
      </c>
      <c r="E5195" s="128" t="s">
        <v>134</v>
      </c>
      <c r="F5195" s="128">
        <v>29767353.359999999</v>
      </c>
      <c r="G5195" s="128">
        <v>13902733.220000001</v>
      </c>
      <c r="H5195" s="128">
        <v>15864507.199999999</v>
      </c>
      <c r="I5195" s="128">
        <v>219160</v>
      </c>
    </row>
    <row r="5196" spans="1:9" ht="13.5">
      <c r="A5196" s="128">
        <v>2007</v>
      </c>
      <c r="B5196" s="128" t="s">
        <v>131</v>
      </c>
      <c r="C5196" s="128" t="s">
        <v>22</v>
      </c>
      <c r="D5196" s="128" t="s">
        <v>76</v>
      </c>
      <c r="E5196" s="128" t="s">
        <v>135</v>
      </c>
      <c r="F5196" s="128">
        <v>3792327.01</v>
      </c>
      <c r="G5196" s="128">
        <v>1030607.24</v>
      </c>
      <c r="H5196" s="128">
        <v>2761717.71</v>
      </c>
      <c r="I5196" s="128">
        <v>3353</v>
      </c>
    </row>
    <row r="5197" spans="1:9" ht="13.5">
      <c r="A5197" s="128">
        <v>2007</v>
      </c>
      <c r="B5197" s="128" t="s">
        <v>131</v>
      </c>
      <c r="C5197" s="128" t="s">
        <v>23</v>
      </c>
      <c r="D5197" s="128" t="s">
        <v>79</v>
      </c>
      <c r="E5197" s="128" t="s">
        <v>136</v>
      </c>
      <c r="F5197" s="128">
        <v>10034112.02</v>
      </c>
      <c r="G5197" s="128">
        <v>7531359.1600000001</v>
      </c>
      <c r="H5197" s="128">
        <v>2502739.96</v>
      </c>
      <c r="I5197" s="128">
        <v>79692</v>
      </c>
    </row>
    <row r="5198" spans="1:9" ht="13.5">
      <c r="A5198" s="128">
        <v>2007</v>
      </c>
      <c r="B5198" s="128" t="s">
        <v>131</v>
      </c>
      <c r="C5198" s="128" t="s">
        <v>23</v>
      </c>
      <c r="D5198" s="128" t="s">
        <v>79</v>
      </c>
      <c r="E5198" s="128" t="s">
        <v>132</v>
      </c>
      <c r="F5198" s="128">
        <v>396446.47</v>
      </c>
      <c r="G5198" s="128">
        <v>262645.26</v>
      </c>
      <c r="H5198" s="128">
        <v>92914.18</v>
      </c>
      <c r="I5198" s="128">
        <v>4135</v>
      </c>
    </row>
    <row r="5199" spans="1:9" ht="13.5">
      <c r="A5199" s="128">
        <v>2007</v>
      </c>
      <c r="B5199" s="128" t="s">
        <v>131</v>
      </c>
      <c r="C5199" s="128" t="s">
        <v>23</v>
      </c>
      <c r="D5199" s="128" t="s">
        <v>79</v>
      </c>
      <c r="E5199" s="128" t="s">
        <v>133</v>
      </c>
      <c r="F5199" s="128">
        <v>757055.26</v>
      </c>
      <c r="G5199" s="128">
        <v>408445.99</v>
      </c>
      <c r="H5199" s="128">
        <v>151386.26</v>
      </c>
      <c r="I5199" s="128">
        <v>4910</v>
      </c>
    </row>
    <row r="5200" spans="1:9" ht="13.5">
      <c r="A5200" s="128">
        <v>2007</v>
      </c>
      <c r="B5200" s="128" t="s">
        <v>131</v>
      </c>
      <c r="C5200" s="128" t="s">
        <v>23</v>
      </c>
      <c r="D5200" s="128" t="s">
        <v>79</v>
      </c>
      <c r="E5200" s="128" t="s">
        <v>134</v>
      </c>
      <c r="F5200" s="128">
        <v>637042.97</v>
      </c>
      <c r="G5200" s="128">
        <v>277493.81</v>
      </c>
      <c r="H5200" s="128">
        <v>155617.26999999999</v>
      </c>
      <c r="I5200" s="128">
        <v>3883</v>
      </c>
    </row>
    <row r="5201" spans="1:9" ht="13.5">
      <c r="A5201" s="128">
        <v>2007</v>
      </c>
      <c r="B5201" s="128" t="s">
        <v>131</v>
      </c>
      <c r="C5201" s="128" t="s">
        <v>23</v>
      </c>
      <c r="D5201" s="128" t="s">
        <v>79</v>
      </c>
      <c r="E5201" s="128" t="s">
        <v>135</v>
      </c>
      <c r="F5201" s="128">
        <v>1104155.6399999999</v>
      </c>
      <c r="G5201" s="128">
        <v>299548.68</v>
      </c>
      <c r="H5201" s="128">
        <v>102663.65</v>
      </c>
      <c r="I5201" s="128">
        <v>2988</v>
      </c>
    </row>
    <row r="5202" spans="1:9" ht="13.5">
      <c r="A5202" s="128">
        <v>2007</v>
      </c>
      <c r="B5202" s="128" t="s">
        <v>131</v>
      </c>
      <c r="C5202" s="128" t="s">
        <v>23</v>
      </c>
      <c r="D5202" s="128" t="s">
        <v>77</v>
      </c>
      <c r="E5202" s="128" t="s">
        <v>132</v>
      </c>
      <c r="F5202" s="128">
        <v>1150867.6000000001</v>
      </c>
      <c r="G5202" s="128">
        <v>762730.03</v>
      </c>
      <c r="H5202" s="128">
        <v>361830.81</v>
      </c>
      <c r="I5202" s="128">
        <v>8621</v>
      </c>
    </row>
    <row r="5203" spans="1:9" ht="13.5">
      <c r="A5203" s="128">
        <v>2007</v>
      </c>
      <c r="B5203" s="128" t="s">
        <v>131</v>
      </c>
      <c r="C5203" s="128" t="s">
        <v>23</v>
      </c>
      <c r="D5203" s="128" t="s">
        <v>77</v>
      </c>
      <c r="E5203" s="128" t="s">
        <v>133</v>
      </c>
      <c r="F5203" s="128">
        <v>1900618.85</v>
      </c>
      <c r="G5203" s="128">
        <v>1030407.2</v>
      </c>
      <c r="H5203" s="128">
        <v>796177.96</v>
      </c>
      <c r="I5203" s="128">
        <v>7841</v>
      </c>
    </row>
    <row r="5204" spans="1:9" ht="13.5">
      <c r="A5204" s="128">
        <v>2007</v>
      </c>
      <c r="B5204" s="128" t="s">
        <v>131</v>
      </c>
      <c r="C5204" s="128" t="s">
        <v>23</v>
      </c>
      <c r="D5204" s="128" t="s">
        <v>77</v>
      </c>
      <c r="E5204" s="128" t="s">
        <v>134</v>
      </c>
      <c r="F5204" s="128">
        <v>2375031.63</v>
      </c>
      <c r="G5204" s="128">
        <v>1070020.72</v>
      </c>
      <c r="H5204" s="128">
        <v>1103667.8400000001</v>
      </c>
      <c r="I5204" s="128">
        <v>8316</v>
      </c>
    </row>
    <row r="5205" spans="1:9" ht="13.5">
      <c r="A5205" s="128">
        <v>2007</v>
      </c>
      <c r="B5205" s="128" t="s">
        <v>131</v>
      </c>
      <c r="C5205" s="128" t="s">
        <v>23</v>
      </c>
      <c r="D5205" s="128" t="s">
        <v>77</v>
      </c>
      <c r="E5205" s="128" t="s">
        <v>135</v>
      </c>
      <c r="F5205" s="128">
        <v>1217127.3400000001</v>
      </c>
      <c r="G5205" s="128">
        <v>335688.29</v>
      </c>
      <c r="H5205" s="128">
        <v>409921.57</v>
      </c>
      <c r="I5205" s="128">
        <v>2531</v>
      </c>
    </row>
    <row r="5206" spans="1:9" ht="13.5">
      <c r="A5206" s="128">
        <v>2007</v>
      </c>
      <c r="B5206" s="128" t="s">
        <v>131</v>
      </c>
      <c r="C5206" s="128" t="s">
        <v>23</v>
      </c>
      <c r="D5206" s="128" t="s">
        <v>76</v>
      </c>
      <c r="E5206" s="128" t="s">
        <v>136</v>
      </c>
      <c r="F5206" s="128">
        <v>2202830.41</v>
      </c>
      <c r="G5206" s="128">
        <v>1661750.74</v>
      </c>
      <c r="H5206" s="128">
        <v>541108.56999999995</v>
      </c>
      <c r="I5206" s="128">
        <v>22609</v>
      </c>
    </row>
    <row r="5207" spans="1:9" ht="13.5">
      <c r="A5207" s="128">
        <v>2007</v>
      </c>
      <c r="B5207" s="128" t="s">
        <v>131</v>
      </c>
      <c r="C5207" s="128" t="s">
        <v>23</v>
      </c>
      <c r="D5207" s="128" t="s">
        <v>76</v>
      </c>
      <c r="E5207" s="128" t="s">
        <v>132</v>
      </c>
      <c r="F5207" s="128">
        <v>8909405.1899999995</v>
      </c>
      <c r="G5207" s="128">
        <v>5933684.6299999999</v>
      </c>
      <c r="H5207" s="128">
        <v>2975634.95</v>
      </c>
      <c r="I5207" s="128">
        <v>152351</v>
      </c>
    </row>
    <row r="5208" spans="1:9" ht="13.5">
      <c r="A5208" s="128">
        <v>2007</v>
      </c>
      <c r="B5208" s="128" t="s">
        <v>131</v>
      </c>
      <c r="C5208" s="128" t="s">
        <v>23</v>
      </c>
      <c r="D5208" s="128" t="s">
        <v>76</v>
      </c>
      <c r="E5208" s="128" t="s">
        <v>133</v>
      </c>
      <c r="F5208" s="128">
        <v>18685900.93</v>
      </c>
      <c r="G5208" s="128">
        <v>10157493.9</v>
      </c>
      <c r="H5208" s="128">
        <v>8528374.3900000006</v>
      </c>
      <c r="I5208" s="128">
        <v>86574</v>
      </c>
    </row>
    <row r="5209" spans="1:9" ht="13.5">
      <c r="A5209" s="128">
        <v>2007</v>
      </c>
      <c r="B5209" s="128" t="s">
        <v>131</v>
      </c>
      <c r="C5209" s="128" t="s">
        <v>23</v>
      </c>
      <c r="D5209" s="128" t="s">
        <v>76</v>
      </c>
      <c r="E5209" s="128" t="s">
        <v>134</v>
      </c>
      <c r="F5209" s="128">
        <v>16043671.68</v>
      </c>
      <c r="G5209" s="128">
        <v>7356845.0700000003</v>
      </c>
      <c r="H5209" s="128">
        <v>8686802.8399999999</v>
      </c>
      <c r="I5209" s="128">
        <v>78022</v>
      </c>
    </row>
    <row r="5210" spans="1:9" ht="13.5">
      <c r="A5210" s="128">
        <v>2007</v>
      </c>
      <c r="B5210" s="128" t="s">
        <v>131</v>
      </c>
      <c r="C5210" s="128" t="s">
        <v>23</v>
      </c>
      <c r="D5210" s="128" t="s">
        <v>76</v>
      </c>
      <c r="E5210" s="128" t="s">
        <v>135</v>
      </c>
      <c r="F5210" s="128">
        <v>1086480.7</v>
      </c>
      <c r="G5210" s="128">
        <v>281782.40000000002</v>
      </c>
      <c r="H5210" s="128">
        <v>804698.3</v>
      </c>
      <c r="I5210" s="128">
        <v>893</v>
      </c>
    </row>
    <row r="5211" spans="1:9" ht="13.5">
      <c r="A5211" s="128">
        <v>2007</v>
      </c>
      <c r="B5211" s="128" t="s">
        <v>131</v>
      </c>
      <c r="C5211" s="128" t="s">
        <v>24</v>
      </c>
      <c r="D5211" s="128" t="s">
        <v>79</v>
      </c>
      <c r="E5211" s="128" t="s">
        <v>136</v>
      </c>
      <c r="F5211" s="128">
        <v>1900733.21</v>
      </c>
      <c r="G5211" s="128">
        <v>1435108.68</v>
      </c>
      <c r="H5211" s="128">
        <v>465622.68</v>
      </c>
      <c r="I5211" s="128">
        <v>50010</v>
      </c>
    </row>
    <row r="5212" spans="1:9" ht="13.5">
      <c r="A5212" s="128">
        <v>2007</v>
      </c>
      <c r="B5212" s="128" t="s">
        <v>131</v>
      </c>
      <c r="C5212" s="128" t="s">
        <v>24</v>
      </c>
      <c r="D5212" s="128" t="s">
        <v>79</v>
      </c>
      <c r="E5212" s="128" t="s">
        <v>132</v>
      </c>
      <c r="F5212" s="128">
        <v>507951.95</v>
      </c>
      <c r="G5212" s="128">
        <v>330503.48</v>
      </c>
      <c r="H5212" s="128">
        <v>113404.64</v>
      </c>
      <c r="I5212" s="128">
        <v>4977</v>
      </c>
    </row>
    <row r="5213" spans="1:9" ht="13.5">
      <c r="A5213" s="128">
        <v>2007</v>
      </c>
      <c r="B5213" s="128" t="s">
        <v>131</v>
      </c>
      <c r="C5213" s="128" t="s">
        <v>24</v>
      </c>
      <c r="D5213" s="128" t="s">
        <v>79</v>
      </c>
      <c r="E5213" s="128" t="s">
        <v>133</v>
      </c>
      <c r="F5213" s="128">
        <v>1825891.5</v>
      </c>
      <c r="G5213" s="128">
        <v>997762.97</v>
      </c>
      <c r="H5213" s="128">
        <v>339899.97</v>
      </c>
      <c r="I5213" s="128">
        <v>19504</v>
      </c>
    </row>
    <row r="5214" spans="1:9" ht="13.5">
      <c r="A5214" s="128">
        <v>2007</v>
      </c>
      <c r="B5214" s="128" t="s">
        <v>131</v>
      </c>
      <c r="C5214" s="128" t="s">
        <v>24</v>
      </c>
      <c r="D5214" s="128" t="s">
        <v>79</v>
      </c>
      <c r="E5214" s="128" t="s">
        <v>134</v>
      </c>
      <c r="F5214" s="128">
        <v>2863099.56</v>
      </c>
      <c r="G5214" s="128">
        <v>1237431.57</v>
      </c>
      <c r="H5214" s="128">
        <v>422464.31</v>
      </c>
      <c r="I5214" s="128">
        <v>27251</v>
      </c>
    </row>
    <row r="5215" spans="1:9" ht="13.5">
      <c r="A5215" s="128">
        <v>2007</v>
      </c>
      <c r="B5215" s="128" t="s">
        <v>131</v>
      </c>
      <c r="C5215" s="128" t="s">
        <v>24</v>
      </c>
      <c r="D5215" s="128" t="s">
        <v>79</v>
      </c>
      <c r="E5215" s="128" t="s">
        <v>135</v>
      </c>
      <c r="F5215" s="128">
        <v>3994943.09</v>
      </c>
      <c r="G5215" s="128">
        <v>847900.63</v>
      </c>
      <c r="H5215" s="128">
        <v>291196.14</v>
      </c>
      <c r="I5215" s="128">
        <v>6411</v>
      </c>
    </row>
    <row r="5216" spans="1:9" ht="13.5">
      <c r="A5216" s="128">
        <v>2007</v>
      </c>
      <c r="B5216" s="128" t="s">
        <v>131</v>
      </c>
      <c r="C5216" s="128" t="s">
        <v>24</v>
      </c>
      <c r="D5216" s="128" t="s">
        <v>77</v>
      </c>
      <c r="E5216" s="128" t="s">
        <v>132</v>
      </c>
      <c r="F5216" s="128">
        <v>1302083.24</v>
      </c>
      <c r="G5216" s="128">
        <v>892403.25</v>
      </c>
      <c r="H5216" s="128">
        <v>391242.27</v>
      </c>
      <c r="I5216" s="128">
        <v>9743</v>
      </c>
    </row>
    <row r="5217" spans="1:9" ht="13.5">
      <c r="A5217" s="128">
        <v>2007</v>
      </c>
      <c r="B5217" s="128" t="s">
        <v>131</v>
      </c>
      <c r="C5217" s="128" t="s">
        <v>24</v>
      </c>
      <c r="D5217" s="128" t="s">
        <v>77</v>
      </c>
      <c r="E5217" s="128" t="s">
        <v>133</v>
      </c>
      <c r="F5217" s="128">
        <v>3265233.02</v>
      </c>
      <c r="G5217" s="128">
        <v>1774688.94</v>
      </c>
      <c r="H5217" s="128">
        <v>1209585.83</v>
      </c>
      <c r="I5217" s="128">
        <v>12414</v>
      </c>
    </row>
    <row r="5218" spans="1:9" ht="13.5">
      <c r="A5218" s="128">
        <v>2007</v>
      </c>
      <c r="B5218" s="128" t="s">
        <v>131</v>
      </c>
      <c r="C5218" s="128" t="s">
        <v>24</v>
      </c>
      <c r="D5218" s="128" t="s">
        <v>77</v>
      </c>
      <c r="E5218" s="128" t="s">
        <v>134</v>
      </c>
      <c r="F5218" s="128">
        <v>5541943.9100000001</v>
      </c>
      <c r="G5218" s="128">
        <v>2433973.5099999998</v>
      </c>
      <c r="H5218" s="128">
        <v>1817452.88</v>
      </c>
      <c r="I5218" s="128">
        <v>21962</v>
      </c>
    </row>
    <row r="5219" spans="1:9" ht="13.5">
      <c r="A5219" s="128">
        <v>2007</v>
      </c>
      <c r="B5219" s="128" t="s">
        <v>131</v>
      </c>
      <c r="C5219" s="128" t="s">
        <v>24</v>
      </c>
      <c r="D5219" s="128" t="s">
        <v>77</v>
      </c>
      <c r="E5219" s="128" t="s">
        <v>135</v>
      </c>
      <c r="F5219" s="128">
        <v>8340823.3300000001</v>
      </c>
      <c r="G5219" s="128">
        <v>1905168.26</v>
      </c>
      <c r="H5219" s="128">
        <v>1507443.62</v>
      </c>
      <c r="I5219" s="128">
        <v>17710</v>
      </c>
    </row>
    <row r="5220" spans="1:9" ht="13.5">
      <c r="A5220" s="128">
        <v>2007</v>
      </c>
      <c r="B5220" s="128" t="s">
        <v>131</v>
      </c>
      <c r="C5220" s="128" t="s">
        <v>24</v>
      </c>
      <c r="D5220" s="128" t="s">
        <v>76</v>
      </c>
      <c r="E5220" s="128" t="s">
        <v>136</v>
      </c>
      <c r="F5220" s="128">
        <v>819577.93</v>
      </c>
      <c r="G5220" s="128">
        <v>631481.62</v>
      </c>
      <c r="H5220" s="128">
        <v>188120.16</v>
      </c>
      <c r="I5220" s="128">
        <v>10293</v>
      </c>
    </row>
    <row r="5221" spans="1:9" ht="13.5">
      <c r="A5221" s="128">
        <v>2007</v>
      </c>
      <c r="B5221" s="128" t="s">
        <v>131</v>
      </c>
      <c r="C5221" s="128" t="s">
        <v>24</v>
      </c>
      <c r="D5221" s="128" t="s">
        <v>76</v>
      </c>
      <c r="E5221" s="128" t="s">
        <v>132</v>
      </c>
      <c r="F5221" s="128">
        <v>7982182.29</v>
      </c>
      <c r="G5221" s="128">
        <v>5085772.01</v>
      </c>
      <c r="H5221" s="128">
        <v>2896392.33</v>
      </c>
      <c r="I5221" s="128">
        <v>93425</v>
      </c>
    </row>
    <row r="5222" spans="1:9" ht="13.5">
      <c r="A5222" s="128">
        <v>2007</v>
      </c>
      <c r="B5222" s="128" t="s">
        <v>131</v>
      </c>
      <c r="C5222" s="128" t="s">
        <v>24</v>
      </c>
      <c r="D5222" s="128" t="s">
        <v>76</v>
      </c>
      <c r="E5222" s="128" t="s">
        <v>133</v>
      </c>
      <c r="F5222" s="128">
        <v>16854596.260000002</v>
      </c>
      <c r="G5222" s="128">
        <v>9324039.2200000007</v>
      </c>
      <c r="H5222" s="128">
        <v>7530551.1600000001</v>
      </c>
      <c r="I5222" s="128">
        <v>70528</v>
      </c>
    </row>
    <row r="5223" spans="1:9" ht="13.5">
      <c r="A5223" s="128">
        <v>2007</v>
      </c>
      <c r="B5223" s="128" t="s">
        <v>131</v>
      </c>
      <c r="C5223" s="128" t="s">
        <v>24</v>
      </c>
      <c r="D5223" s="128" t="s">
        <v>76</v>
      </c>
      <c r="E5223" s="128" t="s">
        <v>134</v>
      </c>
      <c r="F5223" s="128">
        <v>16711072.91</v>
      </c>
      <c r="G5223" s="128">
        <v>7415391.5499999998</v>
      </c>
      <c r="H5223" s="128">
        <v>9295669</v>
      </c>
      <c r="I5223" s="128">
        <v>98614</v>
      </c>
    </row>
    <row r="5224" spans="1:9" ht="13.5">
      <c r="A5224" s="128">
        <v>2007</v>
      </c>
      <c r="B5224" s="128" t="s">
        <v>131</v>
      </c>
      <c r="C5224" s="128" t="s">
        <v>24</v>
      </c>
      <c r="D5224" s="128" t="s">
        <v>76</v>
      </c>
      <c r="E5224" s="128" t="s">
        <v>135</v>
      </c>
      <c r="F5224" s="128">
        <v>2113150.4900000002</v>
      </c>
      <c r="G5224" s="128">
        <v>496684.49</v>
      </c>
      <c r="H5224" s="128">
        <v>1616466</v>
      </c>
      <c r="I5224" s="128">
        <v>1711</v>
      </c>
    </row>
    <row r="5225" spans="1:9" ht="13.5">
      <c r="A5225" s="128">
        <v>2007</v>
      </c>
      <c r="B5225" s="128" t="s">
        <v>131</v>
      </c>
      <c r="C5225" s="128" t="s">
        <v>25</v>
      </c>
      <c r="D5225" s="128" t="s">
        <v>79</v>
      </c>
      <c r="E5225" s="128" t="s">
        <v>136</v>
      </c>
      <c r="F5225" s="128">
        <v>1364639.17</v>
      </c>
      <c r="G5225" s="128">
        <v>1026347.13</v>
      </c>
      <c r="H5225" s="128">
        <v>338292.05</v>
      </c>
      <c r="I5225" s="128">
        <v>20105</v>
      </c>
    </row>
    <row r="5226" spans="1:9" ht="13.5">
      <c r="A5226" s="128">
        <v>2007</v>
      </c>
      <c r="B5226" s="128" t="s">
        <v>131</v>
      </c>
      <c r="C5226" s="128" t="s">
        <v>25</v>
      </c>
      <c r="D5226" s="128" t="s">
        <v>79</v>
      </c>
      <c r="E5226" s="128" t="s">
        <v>132</v>
      </c>
      <c r="F5226" s="128">
        <v>212974.92</v>
      </c>
      <c r="G5226" s="128">
        <v>142951.45000000001</v>
      </c>
      <c r="H5226" s="128">
        <v>47649.83</v>
      </c>
      <c r="I5226" s="128">
        <v>1300</v>
      </c>
    </row>
    <row r="5227" spans="1:9" ht="13.5">
      <c r="A5227" s="128">
        <v>2007</v>
      </c>
      <c r="B5227" s="128" t="s">
        <v>131</v>
      </c>
      <c r="C5227" s="128" t="s">
        <v>25</v>
      </c>
      <c r="D5227" s="128" t="s">
        <v>79</v>
      </c>
      <c r="E5227" s="128" t="s">
        <v>133</v>
      </c>
      <c r="F5227" s="128">
        <v>269487.05</v>
      </c>
      <c r="G5227" s="128">
        <v>146165.64000000001</v>
      </c>
      <c r="H5227" s="128">
        <v>50146.48</v>
      </c>
      <c r="I5227" s="128">
        <v>1180</v>
      </c>
    </row>
    <row r="5228" spans="1:9" ht="13.5">
      <c r="A5228" s="128">
        <v>2007</v>
      </c>
      <c r="B5228" s="128" t="s">
        <v>131</v>
      </c>
      <c r="C5228" s="128" t="s">
        <v>25</v>
      </c>
      <c r="D5228" s="128" t="s">
        <v>79</v>
      </c>
      <c r="E5228" s="128" t="s">
        <v>134</v>
      </c>
      <c r="F5228" s="128">
        <v>525586.29</v>
      </c>
      <c r="G5228" s="128">
        <v>224967.99</v>
      </c>
      <c r="H5228" s="128">
        <v>75707.45</v>
      </c>
      <c r="I5228" s="128">
        <v>2189</v>
      </c>
    </row>
    <row r="5229" spans="1:9" ht="13.5">
      <c r="A5229" s="128">
        <v>2007</v>
      </c>
      <c r="B5229" s="128" t="s">
        <v>131</v>
      </c>
      <c r="C5229" s="128" t="s">
        <v>25</v>
      </c>
      <c r="D5229" s="128" t="s">
        <v>79</v>
      </c>
      <c r="E5229" s="128" t="s">
        <v>135</v>
      </c>
      <c r="F5229" s="128">
        <v>1749591.49</v>
      </c>
      <c r="G5229" s="128">
        <v>438094.37</v>
      </c>
      <c r="H5229" s="128">
        <v>145977.94</v>
      </c>
      <c r="I5229" s="128">
        <v>3285</v>
      </c>
    </row>
    <row r="5230" spans="1:9" ht="13.5">
      <c r="A5230" s="128">
        <v>2007</v>
      </c>
      <c r="B5230" s="128" t="s">
        <v>131</v>
      </c>
      <c r="C5230" s="128" t="s">
        <v>25</v>
      </c>
      <c r="D5230" s="128" t="s">
        <v>77</v>
      </c>
      <c r="E5230" s="128" t="s">
        <v>132</v>
      </c>
      <c r="F5230" s="128">
        <v>45407.31</v>
      </c>
      <c r="G5230" s="128">
        <v>30278.75</v>
      </c>
      <c r="H5230" s="128">
        <v>12088.72</v>
      </c>
      <c r="I5230" s="128">
        <v>263</v>
      </c>
    </row>
    <row r="5231" spans="1:9" ht="13.5">
      <c r="A5231" s="128">
        <v>2007</v>
      </c>
      <c r="B5231" s="128" t="s">
        <v>131</v>
      </c>
      <c r="C5231" s="128" t="s">
        <v>25</v>
      </c>
      <c r="D5231" s="128" t="s">
        <v>77</v>
      </c>
      <c r="E5231" s="128" t="s">
        <v>133</v>
      </c>
      <c r="F5231" s="128">
        <v>110020.41</v>
      </c>
      <c r="G5231" s="128">
        <v>59013.34</v>
      </c>
      <c r="H5231" s="128">
        <v>44230.67</v>
      </c>
      <c r="I5231" s="128">
        <v>432</v>
      </c>
    </row>
    <row r="5232" spans="1:9" ht="13.5">
      <c r="A5232" s="128">
        <v>2007</v>
      </c>
      <c r="B5232" s="128" t="s">
        <v>131</v>
      </c>
      <c r="C5232" s="128" t="s">
        <v>25</v>
      </c>
      <c r="D5232" s="128" t="s">
        <v>77</v>
      </c>
      <c r="E5232" s="128" t="s">
        <v>134</v>
      </c>
      <c r="F5232" s="128">
        <v>446553.68</v>
      </c>
      <c r="G5232" s="128">
        <v>192327.01</v>
      </c>
      <c r="H5232" s="128">
        <v>197099.47</v>
      </c>
      <c r="I5232" s="128">
        <v>1330</v>
      </c>
    </row>
    <row r="5233" spans="1:9" ht="13.5">
      <c r="A5233" s="128">
        <v>2007</v>
      </c>
      <c r="B5233" s="128" t="s">
        <v>131</v>
      </c>
      <c r="C5233" s="128" t="s">
        <v>25</v>
      </c>
      <c r="D5233" s="128" t="s">
        <v>77</v>
      </c>
      <c r="E5233" s="128" t="s">
        <v>135</v>
      </c>
      <c r="F5233" s="128">
        <v>805329.29</v>
      </c>
      <c r="G5233" s="128">
        <v>238685.15</v>
      </c>
      <c r="H5233" s="128">
        <v>278844.15000000002</v>
      </c>
      <c r="I5233" s="128">
        <v>2574</v>
      </c>
    </row>
    <row r="5234" spans="1:9" ht="13.5">
      <c r="A5234" s="128">
        <v>2007</v>
      </c>
      <c r="B5234" s="128" t="s">
        <v>131</v>
      </c>
      <c r="C5234" s="128" t="s">
        <v>25</v>
      </c>
      <c r="D5234" s="128" t="s">
        <v>76</v>
      </c>
      <c r="E5234" s="128" t="s">
        <v>136</v>
      </c>
      <c r="F5234" s="128">
        <v>256586.79</v>
      </c>
      <c r="G5234" s="128">
        <v>196661.56</v>
      </c>
      <c r="H5234" s="128">
        <v>59925.23</v>
      </c>
      <c r="I5234" s="128">
        <v>4366</v>
      </c>
    </row>
    <row r="5235" spans="1:9" ht="13.5">
      <c r="A5235" s="128">
        <v>2007</v>
      </c>
      <c r="B5235" s="128" t="s">
        <v>131</v>
      </c>
      <c r="C5235" s="128" t="s">
        <v>25</v>
      </c>
      <c r="D5235" s="128" t="s">
        <v>76</v>
      </c>
      <c r="E5235" s="128" t="s">
        <v>132</v>
      </c>
      <c r="F5235" s="128">
        <v>2475886.35</v>
      </c>
      <c r="G5235" s="128">
        <v>1599294.57</v>
      </c>
      <c r="H5235" s="128">
        <v>876591.8</v>
      </c>
      <c r="I5235" s="128">
        <v>32870</v>
      </c>
    </row>
    <row r="5236" spans="1:9" ht="13.5">
      <c r="A5236" s="128">
        <v>2007</v>
      </c>
      <c r="B5236" s="128" t="s">
        <v>131</v>
      </c>
      <c r="C5236" s="128" t="s">
        <v>25</v>
      </c>
      <c r="D5236" s="128" t="s">
        <v>76</v>
      </c>
      <c r="E5236" s="128" t="s">
        <v>133</v>
      </c>
      <c r="F5236" s="128">
        <v>4782117.03</v>
      </c>
      <c r="G5236" s="128">
        <v>2610026.7799999998</v>
      </c>
      <c r="H5236" s="128">
        <v>2172085.65</v>
      </c>
      <c r="I5236" s="128">
        <v>15071</v>
      </c>
    </row>
    <row r="5237" spans="1:9" ht="13.5">
      <c r="A5237" s="128">
        <v>2007</v>
      </c>
      <c r="B5237" s="128" t="s">
        <v>131</v>
      </c>
      <c r="C5237" s="128" t="s">
        <v>25</v>
      </c>
      <c r="D5237" s="128" t="s">
        <v>76</v>
      </c>
      <c r="E5237" s="128" t="s">
        <v>134</v>
      </c>
      <c r="F5237" s="128">
        <v>3822449.3</v>
      </c>
      <c r="G5237" s="128">
        <v>1763784.08</v>
      </c>
      <c r="H5237" s="128">
        <v>2058663.61</v>
      </c>
      <c r="I5237" s="128">
        <v>26734</v>
      </c>
    </row>
    <row r="5238" spans="1:9" ht="13.5">
      <c r="A5238" s="128">
        <v>2007</v>
      </c>
      <c r="B5238" s="128" t="s">
        <v>131</v>
      </c>
      <c r="C5238" s="128" t="s">
        <v>25</v>
      </c>
      <c r="D5238" s="128" t="s">
        <v>76</v>
      </c>
      <c r="E5238" s="128" t="s">
        <v>135</v>
      </c>
      <c r="F5238" s="128">
        <v>399498.33</v>
      </c>
      <c r="G5238" s="128">
        <v>109076.95</v>
      </c>
      <c r="H5238" s="128">
        <v>290421.38</v>
      </c>
      <c r="I5238" s="128">
        <v>352</v>
      </c>
    </row>
    <row r="5239" spans="1:9" ht="13.5">
      <c r="A5239" s="128">
        <v>2007</v>
      </c>
      <c r="B5239" s="128" t="s">
        <v>131</v>
      </c>
      <c r="C5239" s="128" t="s">
        <v>27</v>
      </c>
      <c r="D5239" s="128" t="s">
        <v>79</v>
      </c>
      <c r="E5239" s="128" t="s">
        <v>136</v>
      </c>
      <c r="F5239" s="128">
        <v>263417.90999999997</v>
      </c>
      <c r="G5239" s="128">
        <v>198149.16</v>
      </c>
      <c r="H5239" s="128">
        <v>65264.95</v>
      </c>
      <c r="I5239" s="128">
        <v>2815</v>
      </c>
    </row>
    <row r="5240" spans="1:9" ht="13.5">
      <c r="A5240" s="128">
        <v>2007</v>
      </c>
      <c r="B5240" s="128" t="s">
        <v>131</v>
      </c>
      <c r="C5240" s="128" t="s">
        <v>27</v>
      </c>
      <c r="D5240" s="128" t="s">
        <v>79</v>
      </c>
      <c r="E5240" s="128" t="s">
        <v>132</v>
      </c>
      <c r="F5240" s="128">
        <v>51415.45</v>
      </c>
      <c r="G5240" s="128">
        <v>34272.35</v>
      </c>
      <c r="H5240" s="128">
        <v>11411.47</v>
      </c>
      <c r="I5240" s="128">
        <v>302</v>
      </c>
    </row>
    <row r="5241" spans="1:9" ht="13.5">
      <c r="A5241" s="128">
        <v>2007</v>
      </c>
      <c r="B5241" s="128" t="s">
        <v>131</v>
      </c>
      <c r="C5241" s="128" t="s">
        <v>27</v>
      </c>
      <c r="D5241" s="128" t="s">
        <v>79</v>
      </c>
      <c r="E5241" s="128" t="s">
        <v>133</v>
      </c>
      <c r="F5241" s="128">
        <v>49163.66</v>
      </c>
      <c r="G5241" s="128">
        <v>26604.33</v>
      </c>
      <c r="H5241" s="128">
        <v>9202.24</v>
      </c>
      <c r="I5241" s="128">
        <v>293</v>
      </c>
    </row>
    <row r="5242" spans="1:9" ht="13.5">
      <c r="A5242" s="128">
        <v>2007</v>
      </c>
      <c r="B5242" s="128" t="s">
        <v>131</v>
      </c>
      <c r="C5242" s="128" t="s">
        <v>27</v>
      </c>
      <c r="D5242" s="128" t="s">
        <v>79</v>
      </c>
      <c r="E5242" s="128" t="s">
        <v>134</v>
      </c>
      <c r="F5242" s="128">
        <v>174387.72</v>
      </c>
      <c r="G5242" s="128">
        <v>73939.03</v>
      </c>
      <c r="H5242" s="128">
        <v>24758.080000000002</v>
      </c>
      <c r="I5242" s="128">
        <v>1276</v>
      </c>
    </row>
    <row r="5243" spans="1:9" ht="13.5">
      <c r="A5243" s="128">
        <v>2007</v>
      </c>
      <c r="B5243" s="128" t="s">
        <v>131</v>
      </c>
      <c r="C5243" s="128" t="s">
        <v>27</v>
      </c>
      <c r="D5243" s="128" t="s">
        <v>79</v>
      </c>
      <c r="E5243" s="128" t="s">
        <v>135</v>
      </c>
      <c r="F5243" s="128">
        <v>644269.98</v>
      </c>
      <c r="G5243" s="128">
        <v>175437.08</v>
      </c>
      <c r="H5243" s="128">
        <v>58829.34</v>
      </c>
      <c r="I5243" s="128">
        <v>1328</v>
      </c>
    </row>
    <row r="5244" spans="1:9" ht="13.5">
      <c r="A5244" s="128">
        <v>2007</v>
      </c>
      <c r="B5244" s="128" t="s">
        <v>131</v>
      </c>
      <c r="C5244" s="128" t="s">
        <v>27</v>
      </c>
      <c r="D5244" s="128" t="s">
        <v>77</v>
      </c>
      <c r="E5244" s="128" t="s">
        <v>132</v>
      </c>
      <c r="F5244" s="128">
        <v>10021.89</v>
      </c>
      <c r="G5244" s="128">
        <v>6359</v>
      </c>
      <c r="H5244" s="128">
        <v>2440.65</v>
      </c>
      <c r="I5244" s="128">
        <v>43</v>
      </c>
    </row>
    <row r="5245" spans="1:9" ht="13.5">
      <c r="A5245" s="128">
        <v>2007</v>
      </c>
      <c r="B5245" s="128" t="s">
        <v>131</v>
      </c>
      <c r="C5245" s="128" t="s">
        <v>27</v>
      </c>
      <c r="D5245" s="128" t="s">
        <v>77</v>
      </c>
      <c r="E5245" s="128" t="s">
        <v>133</v>
      </c>
      <c r="F5245" s="128">
        <v>30695.52</v>
      </c>
      <c r="G5245" s="128">
        <v>16608</v>
      </c>
      <c r="H5245" s="128">
        <v>11187.74</v>
      </c>
      <c r="I5245" s="128">
        <v>177</v>
      </c>
    </row>
    <row r="5246" spans="1:9" ht="13.5">
      <c r="A5246" s="128">
        <v>2007</v>
      </c>
      <c r="B5246" s="128" t="s">
        <v>131</v>
      </c>
      <c r="C5246" s="128" t="s">
        <v>27</v>
      </c>
      <c r="D5246" s="128" t="s">
        <v>77</v>
      </c>
      <c r="E5246" s="128" t="s">
        <v>134</v>
      </c>
      <c r="F5246" s="128">
        <v>108758.75</v>
      </c>
      <c r="G5246" s="128">
        <v>47088.45</v>
      </c>
      <c r="H5246" s="128">
        <v>45909.09</v>
      </c>
      <c r="I5246" s="128">
        <v>201</v>
      </c>
    </row>
    <row r="5247" spans="1:9" ht="13.5">
      <c r="A5247" s="128">
        <v>2007</v>
      </c>
      <c r="B5247" s="128" t="s">
        <v>131</v>
      </c>
      <c r="C5247" s="128" t="s">
        <v>27</v>
      </c>
      <c r="D5247" s="128" t="s">
        <v>77</v>
      </c>
      <c r="E5247" s="128" t="s">
        <v>135</v>
      </c>
      <c r="F5247" s="128">
        <v>232710.92</v>
      </c>
      <c r="G5247" s="128">
        <v>61989.15</v>
      </c>
      <c r="H5247" s="128">
        <v>66360.350000000006</v>
      </c>
      <c r="I5247" s="128">
        <v>599</v>
      </c>
    </row>
    <row r="5248" spans="1:9" ht="13.5">
      <c r="A5248" s="128">
        <v>2007</v>
      </c>
      <c r="B5248" s="128" t="s">
        <v>131</v>
      </c>
      <c r="C5248" s="128" t="s">
        <v>27</v>
      </c>
      <c r="D5248" s="128" t="s">
        <v>76</v>
      </c>
      <c r="E5248" s="128" t="s">
        <v>136</v>
      </c>
      <c r="F5248" s="128">
        <v>45346.82</v>
      </c>
      <c r="G5248" s="128">
        <v>34108.35</v>
      </c>
      <c r="H5248" s="128">
        <v>11237.23</v>
      </c>
      <c r="I5248" s="128">
        <v>660</v>
      </c>
    </row>
    <row r="5249" spans="1:9" ht="13.5">
      <c r="A5249" s="128">
        <v>2007</v>
      </c>
      <c r="B5249" s="128" t="s">
        <v>131</v>
      </c>
      <c r="C5249" s="128" t="s">
        <v>27</v>
      </c>
      <c r="D5249" s="128" t="s">
        <v>76</v>
      </c>
      <c r="E5249" s="128" t="s">
        <v>132</v>
      </c>
      <c r="F5249" s="128">
        <v>305410.65000000002</v>
      </c>
      <c r="G5249" s="128">
        <v>197616.7</v>
      </c>
      <c r="H5249" s="128">
        <v>107793.77</v>
      </c>
      <c r="I5249" s="128">
        <v>4188</v>
      </c>
    </row>
    <row r="5250" spans="1:9" ht="13.5">
      <c r="A5250" s="128">
        <v>2007</v>
      </c>
      <c r="B5250" s="128" t="s">
        <v>131</v>
      </c>
      <c r="C5250" s="128" t="s">
        <v>27</v>
      </c>
      <c r="D5250" s="128" t="s">
        <v>76</v>
      </c>
      <c r="E5250" s="128" t="s">
        <v>133</v>
      </c>
      <c r="F5250" s="128">
        <v>882200.06</v>
      </c>
      <c r="G5250" s="128">
        <v>479244.15</v>
      </c>
      <c r="H5250" s="128">
        <v>402954.07</v>
      </c>
      <c r="I5250" s="128">
        <v>2942</v>
      </c>
    </row>
    <row r="5251" spans="1:9" ht="13.5">
      <c r="A5251" s="128">
        <v>2007</v>
      </c>
      <c r="B5251" s="128" t="s">
        <v>131</v>
      </c>
      <c r="C5251" s="128" t="s">
        <v>27</v>
      </c>
      <c r="D5251" s="128" t="s">
        <v>76</v>
      </c>
      <c r="E5251" s="128" t="s">
        <v>134</v>
      </c>
      <c r="F5251" s="128">
        <v>652676.51</v>
      </c>
      <c r="G5251" s="128">
        <v>296887.7</v>
      </c>
      <c r="H5251" s="128">
        <v>355776.19</v>
      </c>
      <c r="I5251" s="128">
        <v>4229</v>
      </c>
    </row>
    <row r="5252" spans="1:9" ht="13.5">
      <c r="A5252" s="128">
        <v>2007</v>
      </c>
      <c r="B5252" s="128" t="s">
        <v>131</v>
      </c>
      <c r="C5252" s="128" t="s">
        <v>27</v>
      </c>
      <c r="D5252" s="128" t="s">
        <v>76</v>
      </c>
      <c r="E5252" s="128" t="s">
        <v>135</v>
      </c>
      <c r="F5252" s="128">
        <v>94813.55</v>
      </c>
      <c r="G5252" s="128">
        <v>26754.95</v>
      </c>
      <c r="H5252" s="128">
        <v>68058.600000000006</v>
      </c>
      <c r="I5252" s="128">
        <v>82</v>
      </c>
    </row>
    <row r="5253" spans="1:9" ht="13.5">
      <c r="A5253" s="128">
        <v>2007</v>
      </c>
      <c r="B5253" s="128" t="s">
        <v>138</v>
      </c>
      <c r="C5253" s="128" t="s">
        <v>20</v>
      </c>
      <c r="D5253" s="128" t="s">
        <v>79</v>
      </c>
      <c r="E5253" s="128" t="s">
        <v>136</v>
      </c>
      <c r="F5253" s="128">
        <v>22261309.32</v>
      </c>
      <c r="G5253" s="128">
        <v>16770625.060000001</v>
      </c>
      <c r="H5253" s="128">
        <v>5489179.21</v>
      </c>
      <c r="I5253" s="128">
        <v>346335</v>
      </c>
    </row>
    <row r="5254" spans="1:9" ht="13.5">
      <c r="A5254" s="128">
        <v>2007</v>
      </c>
      <c r="B5254" s="128" t="s">
        <v>138</v>
      </c>
      <c r="C5254" s="128" t="s">
        <v>20</v>
      </c>
      <c r="D5254" s="128" t="s">
        <v>79</v>
      </c>
      <c r="E5254" s="128" t="s">
        <v>132</v>
      </c>
      <c r="F5254" s="128">
        <v>3376265.27</v>
      </c>
      <c r="G5254" s="128">
        <v>2241629.62</v>
      </c>
      <c r="H5254" s="128">
        <v>747932.62</v>
      </c>
      <c r="I5254" s="128">
        <v>17857</v>
      </c>
    </row>
    <row r="5255" spans="1:9" ht="13.5">
      <c r="A5255" s="128">
        <v>2007</v>
      </c>
      <c r="B5255" s="128" t="s">
        <v>138</v>
      </c>
      <c r="C5255" s="128" t="s">
        <v>20</v>
      </c>
      <c r="D5255" s="128" t="s">
        <v>79</v>
      </c>
      <c r="E5255" s="128" t="s">
        <v>133</v>
      </c>
      <c r="F5255" s="128">
        <v>5026806.2</v>
      </c>
      <c r="G5255" s="128">
        <v>2700775.34</v>
      </c>
      <c r="H5255" s="128">
        <v>925775.95</v>
      </c>
      <c r="I5255" s="128">
        <v>44356</v>
      </c>
    </row>
    <row r="5256" spans="1:9" ht="13.5">
      <c r="A5256" s="128">
        <v>2007</v>
      </c>
      <c r="B5256" s="128" t="s">
        <v>138</v>
      </c>
      <c r="C5256" s="128" t="s">
        <v>20</v>
      </c>
      <c r="D5256" s="128" t="s">
        <v>79</v>
      </c>
      <c r="E5256" s="128" t="s">
        <v>134</v>
      </c>
      <c r="F5256" s="128">
        <v>17201387</v>
      </c>
      <c r="G5256" s="128">
        <v>7302290.6100000003</v>
      </c>
      <c r="H5256" s="128">
        <v>2465306.8199999998</v>
      </c>
      <c r="I5256" s="128">
        <v>71214</v>
      </c>
    </row>
    <row r="5257" spans="1:9" ht="13.5">
      <c r="A5257" s="128">
        <v>2007</v>
      </c>
      <c r="B5257" s="128" t="s">
        <v>138</v>
      </c>
      <c r="C5257" s="128" t="s">
        <v>20</v>
      </c>
      <c r="D5257" s="128" t="s">
        <v>79</v>
      </c>
      <c r="E5257" s="128" t="s">
        <v>135</v>
      </c>
      <c r="F5257" s="128">
        <v>72482706.489999995</v>
      </c>
      <c r="G5257" s="128">
        <v>19223145.5</v>
      </c>
      <c r="H5257" s="128">
        <v>6450101.0800000001</v>
      </c>
      <c r="I5257" s="128">
        <v>144883</v>
      </c>
    </row>
    <row r="5258" spans="1:9" ht="13.5">
      <c r="A5258" s="128">
        <v>2007</v>
      </c>
      <c r="B5258" s="128" t="s">
        <v>138</v>
      </c>
      <c r="C5258" s="128" t="s">
        <v>20</v>
      </c>
      <c r="D5258" s="128" t="s">
        <v>77</v>
      </c>
      <c r="E5258" s="128" t="s">
        <v>132</v>
      </c>
      <c r="F5258" s="128">
        <v>655313.61</v>
      </c>
      <c r="G5258" s="128">
        <v>433215.75</v>
      </c>
      <c r="H5258" s="128">
        <v>199153.36</v>
      </c>
      <c r="I5258" s="128">
        <v>6849</v>
      </c>
    </row>
    <row r="5259" spans="1:9" ht="13.5">
      <c r="A5259" s="128">
        <v>2007</v>
      </c>
      <c r="B5259" s="128" t="s">
        <v>138</v>
      </c>
      <c r="C5259" s="128" t="s">
        <v>20</v>
      </c>
      <c r="D5259" s="128" t="s">
        <v>77</v>
      </c>
      <c r="E5259" s="128" t="s">
        <v>133</v>
      </c>
      <c r="F5259" s="128">
        <v>1509567.04</v>
      </c>
      <c r="G5259" s="128">
        <v>814472.92</v>
      </c>
      <c r="H5259" s="128">
        <v>588987.18999999994</v>
      </c>
      <c r="I5259" s="128">
        <v>9481</v>
      </c>
    </row>
    <row r="5260" spans="1:9" ht="13.5">
      <c r="A5260" s="128">
        <v>2007</v>
      </c>
      <c r="B5260" s="128" t="s">
        <v>138</v>
      </c>
      <c r="C5260" s="128" t="s">
        <v>20</v>
      </c>
      <c r="D5260" s="128" t="s">
        <v>77</v>
      </c>
      <c r="E5260" s="128" t="s">
        <v>134</v>
      </c>
      <c r="F5260" s="128">
        <v>4217595.34</v>
      </c>
      <c r="G5260" s="128">
        <v>1834345.09</v>
      </c>
      <c r="H5260" s="128">
        <v>1719061.17</v>
      </c>
      <c r="I5260" s="128">
        <v>20278</v>
      </c>
    </row>
    <row r="5261" spans="1:9" ht="13.5">
      <c r="A5261" s="128">
        <v>2007</v>
      </c>
      <c r="B5261" s="128" t="s">
        <v>138</v>
      </c>
      <c r="C5261" s="128" t="s">
        <v>20</v>
      </c>
      <c r="D5261" s="128" t="s">
        <v>77</v>
      </c>
      <c r="E5261" s="128" t="s">
        <v>135</v>
      </c>
      <c r="F5261" s="128">
        <v>5778699.7400000002</v>
      </c>
      <c r="G5261" s="128">
        <v>1563699.46</v>
      </c>
      <c r="H5261" s="128">
        <v>1692213.31</v>
      </c>
      <c r="I5261" s="128">
        <v>15143</v>
      </c>
    </row>
    <row r="5262" spans="1:9" ht="13.5">
      <c r="A5262" s="128">
        <v>2007</v>
      </c>
      <c r="B5262" s="128" t="s">
        <v>138</v>
      </c>
      <c r="C5262" s="128" t="s">
        <v>20</v>
      </c>
      <c r="D5262" s="128" t="s">
        <v>76</v>
      </c>
      <c r="E5262" s="128" t="s">
        <v>136</v>
      </c>
      <c r="F5262" s="128">
        <v>6332644.4800000004</v>
      </c>
      <c r="G5262" s="128">
        <v>4804222.1399999997</v>
      </c>
      <c r="H5262" s="128">
        <v>1528379.45</v>
      </c>
      <c r="I5262" s="128">
        <v>141353</v>
      </c>
    </row>
    <row r="5263" spans="1:9" ht="13.5">
      <c r="A5263" s="128">
        <v>2007</v>
      </c>
      <c r="B5263" s="128" t="s">
        <v>138</v>
      </c>
      <c r="C5263" s="128" t="s">
        <v>20</v>
      </c>
      <c r="D5263" s="128" t="s">
        <v>76</v>
      </c>
      <c r="E5263" s="128" t="s">
        <v>132</v>
      </c>
      <c r="F5263" s="128">
        <v>25525230.34</v>
      </c>
      <c r="G5263" s="128">
        <v>16441196.859999999</v>
      </c>
      <c r="H5263" s="128">
        <v>9083920.7799999993</v>
      </c>
      <c r="I5263" s="128">
        <v>316824</v>
      </c>
    </row>
    <row r="5264" spans="1:9" ht="13.5">
      <c r="A5264" s="128">
        <v>2007</v>
      </c>
      <c r="B5264" s="128" t="s">
        <v>138</v>
      </c>
      <c r="C5264" s="128" t="s">
        <v>20</v>
      </c>
      <c r="D5264" s="128" t="s">
        <v>76</v>
      </c>
      <c r="E5264" s="128" t="s">
        <v>133</v>
      </c>
      <c r="F5264" s="128">
        <v>52909031.25</v>
      </c>
      <c r="G5264" s="128">
        <v>29084373.879999999</v>
      </c>
      <c r="H5264" s="128">
        <v>23824490.75</v>
      </c>
      <c r="I5264" s="128">
        <v>217996</v>
      </c>
    </row>
    <row r="5265" spans="1:9" ht="13.5">
      <c r="A5265" s="128">
        <v>2007</v>
      </c>
      <c r="B5265" s="128" t="s">
        <v>138</v>
      </c>
      <c r="C5265" s="128" t="s">
        <v>20</v>
      </c>
      <c r="D5265" s="128" t="s">
        <v>76</v>
      </c>
      <c r="E5265" s="128" t="s">
        <v>134</v>
      </c>
      <c r="F5265" s="128">
        <v>43009130.640000001</v>
      </c>
      <c r="G5265" s="128">
        <v>19931452.27</v>
      </c>
      <c r="H5265" s="128">
        <v>23077530.210000001</v>
      </c>
      <c r="I5265" s="128">
        <v>287628</v>
      </c>
    </row>
    <row r="5266" spans="1:9" ht="13.5">
      <c r="A5266" s="128">
        <v>2007</v>
      </c>
      <c r="B5266" s="128" t="s">
        <v>138</v>
      </c>
      <c r="C5266" s="128" t="s">
        <v>20</v>
      </c>
      <c r="D5266" s="128" t="s">
        <v>76</v>
      </c>
      <c r="E5266" s="128" t="s">
        <v>135</v>
      </c>
      <c r="F5266" s="128">
        <v>4050596.52</v>
      </c>
      <c r="G5266" s="128">
        <v>1147146.3899999999</v>
      </c>
      <c r="H5266" s="128">
        <v>2903449.51</v>
      </c>
      <c r="I5266" s="128">
        <v>4704</v>
      </c>
    </row>
    <row r="5267" spans="1:9" ht="13.5">
      <c r="A5267" s="128">
        <v>2007</v>
      </c>
      <c r="B5267" s="128" t="s">
        <v>138</v>
      </c>
      <c r="C5267" s="128" t="s">
        <v>21</v>
      </c>
      <c r="D5267" s="128" t="s">
        <v>79</v>
      </c>
      <c r="E5267" s="128" t="s">
        <v>136</v>
      </c>
      <c r="F5267" s="128">
        <v>13481960.5</v>
      </c>
      <c r="G5267" s="128">
        <v>10153002.93</v>
      </c>
      <c r="H5267" s="128">
        <v>3328897.18</v>
      </c>
      <c r="I5267" s="128">
        <v>144152</v>
      </c>
    </row>
    <row r="5268" spans="1:9" ht="13.5">
      <c r="A5268" s="128">
        <v>2007</v>
      </c>
      <c r="B5268" s="128" t="s">
        <v>138</v>
      </c>
      <c r="C5268" s="128" t="s">
        <v>21</v>
      </c>
      <c r="D5268" s="128" t="s">
        <v>79</v>
      </c>
      <c r="E5268" s="128" t="s">
        <v>132</v>
      </c>
      <c r="F5268" s="128">
        <v>2707834.12</v>
      </c>
      <c r="G5268" s="128">
        <v>1798564.78</v>
      </c>
      <c r="H5268" s="128">
        <v>614976.67000000004</v>
      </c>
      <c r="I5268" s="128">
        <v>21514</v>
      </c>
    </row>
    <row r="5269" spans="1:9" ht="13.5">
      <c r="A5269" s="128">
        <v>2007</v>
      </c>
      <c r="B5269" s="128" t="s">
        <v>138</v>
      </c>
      <c r="C5269" s="128" t="s">
        <v>21</v>
      </c>
      <c r="D5269" s="128" t="s">
        <v>79</v>
      </c>
      <c r="E5269" s="128" t="s">
        <v>133</v>
      </c>
      <c r="F5269" s="128">
        <v>2907388.71</v>
      </c>
      <c r="G5269" s="128">
        <v>1595523.43</v>
      </c>
      <c r="H5269" s="128">
        <v>609975.69999999995</v>
      </c>
      <c r="I5269" s="128">
        <v>15345</v>
      </c>
    </row>
    <row r="5270" spans="1:9" ht="13.5">
      <c r="A5270" s="128">
        <v>2007</v>
      </c>
      <c r="B5270" s="128" t="s">
        <v>138</v>
      </c>
      <c r="C5270" s="128" t="s">
        <v>21</v>
      </c>
      <c r="D5270" s="128" t="s">
        <v>79</v>
      </c>
      <c r="E5270" s="128" t="s">
        <v>134</v>
      </c>
      <c r="F5270" s="128">
        <v>7125214.7999999998</v>
      </c>
      <c r="G5270" s="128">
        <v>3025862.95</v>
      </c>
      <c r="H5270" s="128">
        <v>1052123.04</v>
      </c>
      <c r="I5270" s="128">
        <v>47784</v>
      </c>
    </row>
    <row r="5271" spans="1:9" ht="13.5">
      <c r="A5271" s="128">
        <v>2007</v>
      </c>
      <c r="B5271" s="128" t="s">
        <v>138</v>
      </c>
      <c r="C5271" s="128" t="s">
        <v>21</v>
      </c>
      <c r="D5271" s="128" t="s">
        <v>79</v>
      </c>
      <c r="E5271" s="128" t="s">
        <v>135</v>
      </c>
      <c r="F5271" s="128">
        <v>12691481.74</v>
      </c>
      <c r="G5271" s="128">
        <v>3423981.19</v>
      </c>
      <c r="H5271" s="128">
        <v>1166094.42</v>
      </c>
      <c r="I5271" s="128">
        <v>29571</v>
      </c>
    </row>
    <row r="5272" spans="1:9" ht="13.5">
      <c r="A5272" s="128">
        <v>2007</v>
      </c>
      <c r="B5272" s="128" t="s">
        <v>138</v>
      </c>
      <c r="C5272" s="128" t="s">
        <v>21</v>
      </c>
      <c r="D5272" s="128" t="s">
        <v>77</v>
      </c>
      <c r="E5272" s="128" t="s">
        <v>132</v>
      </c>
      <c r="F5272" s="128">
        <v>1943129.33</v>
      </c>
      <c r="G5272" s="128">
        <v>1268433.96</v>
      </c>
      <c r="H5272" s="128">
        <v>577264.37</v>
      </c>
      <c r="I5272" s="128">
        <v>9596</v>
      </c>
    </row>
    <row r="5273" spans="1:9" ht="13.5">
      <c r="A5273" s="128">
        <v>2007</v>
      </c>
      <c r="B5273" s="128" t="s">
        <v>138</v>
      </c>
      <c r="C5273" s="128" t="s">
        <v>21</v>
      </c>
      <c r="D5273" s="128" t="s">
        <v>77</v>
      </c>
      <c r="E5273" s="128" t="s">
        <v>133</v>
      </c>
      <c r="F5273" s="128">
        <v>3048381.45</v>
      </c>
      <c r="G5273" s="128">
        <v>1649450.92</v>
      </c>
      <c r="H5273" s="128">
        <v>1108754.3799999999</v>
      </c>
      <c r="I5273" s="128">
        <v>12554</v>
      </c>
    </row>
    <row r="5274" spans="1:9" ht="13.5">
      <c r="A5274" s="128">
        <v>2007</v>
      </c>
      <c r="B5274" s="128" t="s">
        <v>138</v>
      </c>
      <c r="C5274" s="128" t="s">
        <v>21</v>
      </c>
      <c r="D5274" s="128" t="s">
        <v>77</v>
      </c>
      <c r="E5274" s="128" t="s">
        <v>134</v>
      </c>
      <c r="F5274" s="128">
        <v>6708022.9000000004</v>
      </c>
      <c r="G5274" s="128">
        <v>2876404</v>
      </c>
      <c r="H5274" s="128">
        <v>2533764.91</v>
      </c>
      <c r="I5274" s="128">
        <v>25044</v>
      </c>
    </row>
    <row r="5275" spans="1:9" ht="13.5">
      <c r="A5275" s="128">
        <v>2007</v>
      </c>
      <c r="B5275" s="128" t="s">
        <v>138</v>
      </c>
      <c r="C5275" s="128" t="s">
        <v>21</v>
      </c>
      <c r="D5275" s="128" t="s">
        <v>77</v>
      </c>
      <c r="E5275" s="128" t="s">
        <v>135</v>
      </c>
      <c r="F5275" s="128">
        <v>6953947.9699999997</v>
      </c>
      <c r="G5275" s="128">
        <v>2019057.7</v>
      </c>
      <c r="H5275" s="128">
        <v>2025251.63</v>
      </c>
      <c r="I5275" s="128">
        <v>20382</v>
      </c>
    </row>
    <row r="5276" spans="1:9" ht="13.5">
      <c r="A5276" s="128">
        <v>2007</v>
      </c>
      <c r="B5276" s="128" t="s">
        <v>138</v>
      </c>
      <c r="C5276" s="128" t="s">
        <v>21</v>
      </c>
      <c r="D5276" s="128" t="s">
        <v>76</v>
      </c>
      <c r="E5276" s="128" t="s">
        <v>136</v>
      </c>
      <c r="F5276" s="128">
        <v>6690601.0300000003</v>
      </c>
      <c r="G5276" s="128">
        <v>5050668.3600000003</v>
      </c>
      <c r="H5276" s="128">
        <v>1640118.82</v>
      </c>
      <c r="I5276" s="128">
        <v>111264</v>
      </c>
    </row>
    <row r="5277" spans="1:9" ht="13.5">
      <c r="A5277" s="128">
        <v>2007</v>
      </c>
      <c r="B5277" s="128" t="s">
        <v>138</v>
      </c>
      <c r="C5277" s="128" t="s">
        <v>21</v>
      </c>
      <c r="D5277" s="128" t="s">
        <v>76</v>
      </c>
      <c r="E5277" s="128" t="s">
        <v>132</v>
      </c>
      <c r="F5277" s="128">
        <v>27429361.82</v>
      </c>
      <c r="G5277" s="128">
        <v>17720661.420000002</v>
      </c>
      <c r="H5277" s="128">
        <v>9708676.0399999991</v>
      </c>
      <c r="I5277" s="128">
        <v>331489</v>
      </c>
    </row>
    <row r="5278" spans="1:9" ht="13.5">
      <c r="A5278" s="128">
        <v>2007</v>
      </c>
      <c r="B5278" s="128" t="s">
        <v>138</v>
      </c>
      <c r="C5278" s="128" t="s">
        <v>21</v>
      </c>
      <c r="D5278" s="128" t="s">
        <v>76</v>
      </c>
      <c r="E5278" s="128" t="s">
        <v>133</v>
      </c>
      <c r="F5278" s="128">
        <v>64299741.740000002</v>
      </c>
      <c r="G5278" s="128">
        <v>35234952.719999999</v>
      </c>
      <c r="H5278" s="128">
        <v>29064729.07</v>
      </c>
      <c r="I5278" s="128">
        <v>337087</v>
      </c>
    </row>
    <row r="5279" spans="1:9" ht="13.5">
      <c r="A5279" s="128">
        <v>2007</v>
      </c>
      <c r="B5279" s="128" t="s">
        <v>138</v>
      </c>
      <c r="C5279" s="128" t="s">
        <v>21</v>
      </c>
      <c r="D5279" s="128" t="s">
        <v>76</v>
      </c>
      <c r="E5279" s="128" t="s">
        <v>134</v>
      </c>
      <c r="F5279" s="128">
        <v>43262621.170000002</v>
      </c>
      <c r="G5279" s="128">
        <v>19804289.850000001</v>
      </c>
      <c r="H5279" s="128">
        <v>23458229.600000001</v>
      </c>
      <c r="I5279" s="128">
        <v>286332</v>
      </c>
    </row>
    <row r="5280" spans="1:9" ht="13.5">
      <c r="A5280" s="128">
        <v>2007</v>
      </c>
      <c r="B5280" s="128" t="s">
        <v>138</v>
      </c>
      <c r="C5280" s="128" t="s">
        <v>21</v>
      </c>
      <c r="D5280" s="128" t="s">
        <v>76</v>
      </c>
      <c r="E5280" s="128" t="s">
        <v>135</v>
      </c>
      <c r="F5280" s="128">
        <v>2769771.29</v>
      </c>
      <c r="G5280" s="128">
        <v>778580.04</v>
      </c>
      <c r="H5280" s="128">
        <v>1991191.26</v>
      </c>
      <c r="I5280" s="128">
        <v>2590</v>
      </c>
    </row>
    <row r="5281" spans="1:9" ht="13.5">
      <c r="A5281" s="128">
        <v>2007</v>
      </c>
      <c r="B5281" s="128" t="s">
        <v>138</v>
      </c>
      <c r="C5281" s="128" t="s">
        <v>22</v>
      </c>
      <c r="D5281" s="128" t="s">
        <v>79</v>
      </c>
      <c r="E5281" s="128" t="s">
        <v>136</v>
      </c>
      <c r="F5281" s="128">
        <v>7229354.2000000002</v>
      </c>
      <c r="G5281" s="128">
        <v>5452714.21</v>
      </c>
      <c r="H5281" s="128">
        <v>1775174.79</v>
      </c>
      <c r="I5281" s="128">
        <v>92087</v>
      </c>
    </row>
    <row r="5282" spans="1:9" ht="13.5">
      <c r="A5282" s="128">
        <v>2007</v>
      </c>
      <c r="B5282" s="128" t="s">
        <v>138</v>
      </c>
      <c r="C5282" s="128" t="s">
        <v>22</v>
      </c>
      <c r="D5282" s="128" t="s">
        <v>79</v>
      </c>
      <c r="E5282" s="128" t="s">
        <v>132</v>
      </c>
      <c r="F5282" s="128">
        <v>2247317.71</v>
      </c>
      <c r="G5282" s="128">
        <v>1490898.69</v>
      </c>
      <c r="H5282" s="128">
        <v>498371.48</v>
      </c>
      <c r="I5282" s="128">
        <v>14558</v>
      </c>
    </row>
    <row r="5283" spans="1:9" ht="13.5">
      <c r="A5283" s="128">
        <v>2007</v>
      </c>
      <c r="B5283" s="128" t="s">
        <v>138</v>
      </c>
      <c r="C5283" s="128" t="s">
        <v>22</v>
      </c>
      <c r="D5283" s="128" t="s">
        <v>79</v>
      </c>
      <c r="E5283" s="128" t="s">
        <v>133</v>
      </c>
      <c r="F5283" s="128">
        <v>4529051.0999999996</v>
      </c>
      <c r="G5283" s="128">
        <v>2479703.36</v>
      </c>
      <c r="H5283" s="128">
        <v>841110.99</v>
      </c>
      <c r="I5283" s="128">
        <v>24504</v>
      </c>
    </row>
    <row r="5284" spans="1:9" ht="13.5">
      <c r="A5284" s="128">
        <v>2007</v>
      </c>
      <c r="B5284" s="128" t="s">
        <v>138</v>
      </c>
      <c r="C5284" s="128" t="s">
        <v>22</v>
      </c>
      <c r="D5284" s="128" t="s">
        <v>79</v>
      </c>
      <c r="E5284" s="128" t="s">
        <v>134</v>
      </c>
      <c r="F5284" s="128">
        <v>10775170.529999999</v>
      </c>
      <c r="G5284" s="128">
        <v>4597964.2</v>
      </c>
      <c r="H5284" s="128">
        <v>1541876.56</v>
      </c>
      <c r="I5284" s="128">
        <v>49931</v>
      </c>
    </row>
    <row r="5285" spans="1:9" ht="13.5">
      <c r="A5285" s="128">
        <v>2007</v>
      </c>
      <c r="B5285" s="128" t="s">
        <v>138</v>
      </c>
      <c r="C5285" s="128" t="s">
        <v>22</v>
      </c>
      <c r="D5285" s="128" t="s">
        <v>79</v>
      </c>
      <c r="E5285" s="128" t="s">
        <v>135</v>
      </c>
      <c r="F5285" s="128">
        <v>24494420.640000001</v>
      </c>
      <c r="G5285" s="128">
        <v>6865619.9000000004</v>
      </c>
      <c r="H5285" s="128">
        <v>2305033.09</v>
      </c>
      <c r="I5285" s="128">
        <v>59040</v>
      </c>
    </row>
    <row r="5286" spans="1:9" ht="13.5">
      <c r="A5286" s="128">
        <v>2007</v>
      </c>
      <c r="B5286" s="128" t="s">
        <v>138</v>
      </c>
      <c r="C5286" s="128" t="s">
        <v>22</v>
      </c>
      <c r="D5286" s="128" t="s">
        <v>77</v>
      </c>
      <c r="E5286" s="128" t="s">
        <v>132</v>
      </c>
      <c r="F5286" s="128">
        <v>331841.77</v>
      </c>
      <c r="G5286" s="128">
        <v>215152.5</v>
      </c>
      <c r="H5286" s="128">
        <v>91087.11</v>
      </c>
      <c r="I5286" s="128">
        <v>2095</v>
      </c>
    </row>
    <row r="5287" spans="1:9" ht="13.5">
      <c r="A5287" s="128">
        <v>2007</v>
      </c>
      <c r="B5287" s="128" t="s">
        <v>138</v>
      </c>
      <c r="C5287" s="128" t="s">
        <v>22</v>
      </c>
      <c r="D5287" s="128" t="s">
        <v>77</v>
      </c>
      <c r="E5287" s="128" t="s">
        <v>133</v>
      </c>
      <c r="F5287" s="128">
        <v>875687.11</v>
      </c>
      <c r="G5287" s="128">
        <v>471739.43</v>
      </c>
      <c r="H5287" s="128">
        <v>329596.34000000003</v>
      </c>
      <c r="I5287" s="128">
        <v>4457</v>
      </c>
    </row>
    <row r="5288" spans="1:9" ht="13.5">
      <c r="A5288" s="128">
        <v>2007</v>
      </c>
      <c r="B5288" s="128" t="s">
        <v>138</v>
      </c>
      <c r="C5288" s="128" t="s">
        <v>22</v>
      </c>
      <c r="D5288" s="128" t="s">
        <v>77</v>
      </c>
      <c r="E5288" s="128" t="s">
        <v>134</v>
      </c>
      <c r="F5288" s="128">
        <v>4505111.1500000004</v>
      </c>
      <c r="G5288" s="128">
        <v>1908218.41</v>
      </c>
      <c r="H5288" s="128">
        <v>1741185.74</v>
      </c>
      <c r="I5288" s="128">
        <v>12416</v>
      </c>
    </row>
    <row r="5289" spans="1:9" ht="13.5">
      <c r="A5289" s="128">
        <v>2007</v>
      </c>
      <c r="B5289" s="128" t="s">
        <v>138</v>
      </c>
      <c r="C5289" s="128" t="s">
        <v>22</v>
      </c>
      <c r="D5289" s="128" t="s">
        <v>77</v>
      </c>
      <c r="E5289" s="128" t="s">
        <v>135</v>
      </c>
      <c r="F5289" s="128">
        <v>8389255.4800000004</v>
      </c>
      <c r="G5289" s="128">
        <v>2382011.87</v>
      </c>
      <c r="H5289" s="128">
        <v>2538609.36</v>
      </c>
      <c r="I5289" s="128">
        <v>24356</v>
      </c>
    </row>
    <row r="5290" spans="1:9" ht="13.5">
      <c r="A5290" s="128">
        <v>2007</v>
      </c>
      <c r="B5290" s="128" t="s">
        <v>138</v>
      </c>
      <c r="C5290" s="128" t="s">
        <v>22</v>
      </c>
      <c r="D5290" s="128" t="s">
        <v>76</v>
      </c>
      <c r="E5290" s="128" t="s">
        <v>136</v>
      </c>
      <c r="F5290" s="128">
        <v>1495056.68</v>
      </c>
      <c r="G5290" s="128">
        <v>1140071.5900000001</v>
      </c>
      <c r="H5290" s="128">
        <v>355070.22</v>
      </c>
      <c r="I5290" s="128">
        <v>28187</v>
      </c>
    </row>
    <row r="5291" spans="1:9" ht="13.5">
      <c r="A5291" s="128">
        <v>2007</v>
      </c>
      <c r="B5291" s="128" t="s">
        <v>138</v>
      </c>
      <c r="C5291" s="128" t="s">
        <v>22</v>
      </c>
      <c r="D5291" s="128" t="s">
        <v>76</v>
      </c>
      <c r="E5291" s="128" t="s">
        <v>132</v>
      </c>
      <c r="F5291" s="128">
        <v>23116265.73</v>
      </c>
      <c r="G5291" s="128">
        <v>14954893</v>
      </c>
      <c r="H5291" s="128">
        <v>8161308.1600000001</v>
      </c>
      <c r="I5291" s="128">
        <v>342662</v>
      </c>
    </row>
    <row r="5292" spans="1:9" ht="13.5">
      <c r="A5292" s="128">
        <v>2007</v>
      </c>
      <c r="B5292" s="128" t="s">
        <v>138</v>
      </c>
      <c r="C5292" s="128" t="s">
        <v>22</v>
      </c>
      <c r="D5292" s="128" t="s">
        <v>76</v>
      </c>
      <c r="E5292" s="128" t="s">
        <v>133</v>
      </c>
      <c r="F5292" s="128">
        <v>40999898.25</v>
      </c>
      <c r="G5292" s="128">
        <v>22629065.850000001</v>
      </c>
      <c r="H5292" s="128">
        <v>18370812.41</v>
      </c>
      <c r="I5292" s="128">
        <v>197530</v>
      </c>
    </row>
    <row r="5293" spans="1:9" ht="13.5">
      <c r="A5293" s="128">
        <v>2007</v>
      </c>
      <c r="B5293" s="128" t="s">
        <v>138</v>
      </c>
      <c r="C5293" s="128" t="s">
        <v>22</v>
      </c>
      <c r="D5293" s="128" t="s">
        <v>76</v>
      </c>
      <c r="E5293" s="128" t="s">
        <v>134</v>
      </c>
      <c r="F5293" s="128">
        <v>27690603.829999998</v>
      </c>
      <c r="G5293" s="128">
        <v>12890518.550000001</v>
      </c>
      <c r="H5293" s="128">
        <v>14800723.93</v>
      </c>
      <c r="I5293" s="128">
        <v>203164</v>
      </c>
    </row>
    <row r="5294" spans="1:9" ht="13.5">
      <c r="A5294" s="128">
        <v>2007</v>
      </c>
      <c r="B5294" s="128" t="s">
        <v>138</v>
      </c>
      <c r="C5294" s="128" t="s">
        <v>22</v>
      </c>
      <c r="D5294" s="128" t="s">
        <v>76</v>
      </c>
      <c r="E5294" s="128" t="s">
        <v>135</v>
      </c>
      <c r="F5294" s="128">
        <v>3881703.13</v>
      </c>
      <c r="G5294" s="128">
        <v>1067198.25</v>
      </c>
      <c r="H5294" s="128">
        <v>2814504.74</v>
      </c>
      <c r="I5294" s="128">
        <v>3519</v>
      </c>
    </row>
    <row r="5295" spans="1:9" ht="13.5">
      <c r="A5295" s="128">
        <v>2007</v>
      </c>
      <c r="B5295" s="128" t="s">
        <v>138</v>
      </c>
      <c r="C5295" s="128" t="s">
        <v>23</v>
      </c>
      <c r="D5295" s="128" t="s">
        <v>79</v>
      </c>
      <c r="E5295" s="128" t="s">
        <v>136</v>
      </c>
      <c r="F5295" s="128">
        <v>8969127.6099999994</v>
      </c>
      <c r="G5295" s="128">
        <v>6729148.9400000004</v>
      </c>
      <c r="H5295" s="128">
        <v>2239979.0499999998</v>
      </c>
      <c r="I5295" s="128">
        <v>69260</v>
      </c>
    </row>
    <row r="5296" spans="1:9" ht="13.5">
      <c r="A5296" s="128">
        <v>2007</v>
      </c>
      <c r="B5296" s="128" t="s">
        <v>138</v>
      </c>
      <c r="C5296" s="128" t="s">
        <v>23</v>
      </c>
      <c r="D5296" s="128" t="s">
        <v>79</v>
      </c>
      <c r="E5296" s="128" t="s">
        <v>132</v>
      </c>
      <c r="F5296" s="128">
        <v>374284.28</v>
      </c>
      <c r="G5296" s="128">
        <v>248045.61</v>
      </c>
      <c r="H5296" s="128">
        <v>86055.81</v>
      </c>
      <c r="I5296" s="128">
        <v>4564</v>
      </c>
    </row>
    <row r="5297" spans="1:9" ht="13.5">
      <c r="A5297" s="128">
        <v>2007</v>
      </c>
      <c r="B5297" s="128" t="s">
        <v>138</v>
      </c>
      <c r="C5297" s="128" t="s">
        <v>23</v>
      </c>
      <c r="D5297" s="128" t="s">
        <v>79</v>
      </c>
      <c r="E5297" s="128" t="s">
        <v>133</v>
      </c>
      <c r="F5297" s="128">
        <v>805521.72</v>
      </c>
      <c r="G5297" s="128">
        <v>435207.05</v>
      </c>
      <c r="H5297" s="128">
        <v>166459.68</v>
      </c>
      <c r="I5297" s="128">
        <v>5534</v>
      </c>
    </row>
    <row r="5298" spans="1:9" ht="13.5">
      <c r="A5298" s="128">
        <v>2007</v>
      </c>
      <c r="B5298" s="128" t="s">
        <v>138</v>
      </c>
      <c r="C5298" s="128" t="s">
        <v>23</v>
      </c>
      <c r="D5298" s="128" t="s">
        <v>79</v>
      </c>
      <c r="E5298" s="128" t="s">
        <v>134</v>
      </c>
      <c r="F5298" s="128">
        <v>662541.84</v>
      </c>
      <c r="G5298" s="128">
        <v>284610.73</v>
      </c>
      <c r="H5298" s="128">
        <v>147308.10999999999</v>
      </c>
      <c r="I5298" s="128">
        <v>3759</v>
      </c>
    </row>
    <row r="5299" spans="1:9" ht="13.5">
      <c r="A5299" s="128">
        <v>2007</v>
      </c>
      <c r="B5299" s="128" t="s">
        <v>138</v>
      </c>
      <c r="C5299" s="128" t="s">
        <v>23</v>
      </c>
      <c r="D5299" s="128" t="s">
        <v>79</v>
      </c>
      <c r="E5299" s="128" t="s">
        <v>135</v>
      </c>
      <c r="F5299" s="128">
        <v>966883.54</v>
      </c>
      <c r="G5299" s="128">
        <v>277340.01</v>
      </c>
      <c r="H5299" s="128">
        <v>95764.21</v>
      </c>
      <c r="I5299" s="128">
        <v>2848</v>
      </c>
    </row>
    <row r="5300" spans="1:9" ht="13.5">
      <c r="A5300" s="128">
        <v>2007</v>
      </c>
      <c r="B5300" s="128" t="s">
        <v>138</v>
      </c>
      <c r="C5300" s="128" t="s">
        <v>23</v>
      </c>
      <c r="D5300" s="128" t="s">
        <v>77</v>
      </c>
      <c r="E5300" s="128" t="s">
        <v>132</v>
      </c>
      <c r="F5300" s="128">
        <v>1310596.27</v>
      </c>
      <c r="G5300" s="128">
        <v>853469.38</v>
      </c>
      <c r="H5300" s="128">
        <v>434935.08</v>
      </c>
      <c r="I5300" s="128">
        <v>28253</v>
      </c>
    </row>
    <row r="5301" spans="1:9" ht="13.5">
      <c r="A5301" s="128">
        <v>2007</v>
      </c>
      <c r="B5301" s="128" t="s">
        <v>138</v>
      </c>
      <c r="C5301" s="128" t="s">
        <v>23</v>
      </c>
      <c r="D5301" s="128" t="s">
        <v>77</v>
      </c>
      <c r="E5301" s="128" t="s">
        <v>133</v>
      </c>
      <c r="F5301" s="128">
        <v>1860124.64</v>
      </c>
      <c r="G5301" s="128">
        <v>1015624.63</v>
      </c>
      <c r="H5301" s="128">
        <v>779837.49</v>
      </c>
      <c r="I5301" s="128">
        <v>10592</v>
      </c>
    </row>
    <row r="5302" spans="1:9" ht="13.5">
      <c r="A5302" s="128">
        <v>2007</v>
      </c>
      <c r="B5302" s="128" t="s">
        <v>138</v>
      </c>
      <c r="C5302" s="128" t="s">
        <v>23</v>
      </c>
      <c r="D5302" s="128" t="s">
        <v>77</v>
      </c>
      <c r="E5302" s="128" t="s">
        <v>134</v>
      </c>
      <c r="F5302" s="128">
        <v>2143390.98</v>
      </c>
      <c r="G5302" s="128">
        <v>976833.53</v>
      </c>
      <c r="H5302" s="128">
        <v>1016230.21</v>
      </c>
      <c r="I5302" s="128">
        <v>16691</v>
      </c>
    </row>
    <row r="5303" spans="1:9" ht="13.5">
      <c r="A5303" s="128">
        <v>2007</v>
      </c>
      <c r="B5303" s="128" t="s">
        <v>138</v>
      </c>
      <c r="C5303" s="128" t="s">
        <v>23</v>
      </c>
      <c r="D5303" s="128" t="s">
        <v>77</v>
      </c>
      <c r="E5303" s="128" t="s">
        <v>135</v>
      </c>
      <c r="F5303" s="128">
        <v>969298.35</v>
      </c>
      <c r="G5303" s="128">
        <v>260263.45</v>
      </c>
      <c r="H5303" s="128">
        <v>325428.42</v>
      </c>
      <c r="I5303" s="128">
        <v>2200</v>
      </c>
    </row>
    <row r="5304" spans="1:9" ht="13.5">
      <c r="A5304" s="128">
        <v>2007</v>
      </c>
      <c r="B5304" s="128" t="s">
        <v>138</v>
      </c>
      <c r="C5304" s="128" t="s">
        <v>23</v>
      </c>
      <c r="D5304" s="128" t="s">
        <v>76</v>
      </c>
      <c r="E5304" s="128" t="s">
        <v>136</v>
      </c>
      <c r="F5304" s="128">
        <v>1665097.98</v>
      </c>
      <c r="G5304" s="128">
        <v>1254754.3899999999</v>
      </c>
      <c r="H5304" s="128">
        <v>410656.34</v>
      </c>
      <c r="I5304" s="128">
        <v>16274</v>
      </c>
    </row>
    <row r="5305" spans="1:9" ht="13.5">
      <c r="A5305" s="128">
        <v>2007</v>
      </c>
      <c r="B5305" s="128" t="s">
        <v>138</v>
      </c>
      <c r="C5305" s="128" t="s">
        <v>23</v>
      </c>
      <c r="D5305" s="128" t="s">
        <v>76</v>
      </c>
      <c r="E5305" s="128" t="s">
        <v>132</v>
      </c>
      <c r="F5305" s="128">
        <v>8117748.0800000001</v>
      </c>
      <c r="G5305" s="128">
        <v>5377423.5</v>
      </c>
      <c r="H5305" s="128">
        <v>2740279.05</v>
      </c>
      <c r="I5305" s="128">
        <v>138900</v>
      </c>
    </row>
    <row r="5306" spans="1:9" ht="13.5">
      <c r="A5306" s="128">
        <v>2007</v>
      </c>
      <c r="B5306" s="128" t="s">
        <v>138</v>
      </c>
      <c r="C5306" s="128" t="s">
        <v>23</v>
      </c>
      <c r="D5306" s="128" t="s">
        <v>76</v>
      </c>
      <c r="E5306" s="128" t="s">
        <v>133</v>
      </c>
      <c r="F5306" s="128">
        <v>19022540.16</v>
      </c>
      <c r="G5306" s="128">
        <v>10354387.85</v>
      </c>
      <c r="H5306" s="128">
        <v>8668138.5600000005</v>
      </c>
      <c r="I5306" s="128">
        <v>84041</v>
      </c>
    </row>
    <row r="5307" spans="1:9" ht="13.5">
      <c r="A5307" s="128">
        <v>2007</v>
      </c>
      <c r="B5307" s="128" t="s">
        <v>138</v>
      </c>
      <c r="C5307" s="128" t="s">
        <v>23</v>
      </c>
      <c r="D5307" s="128" t="s">
        <v>76</v>
      </c>
      <c r="E5307" s="128" t="s">
        <v>134</v>
      </c>
      <c r="F5307" s="128">
        <v>16276019.279999999</v>
      </c>
      <c r="G5307" s="128">
        <v>7463445.7699999996</v>
      </c>
      <c r="H5307" s="128">
        <v>8812565.5</v>
      </c>
      <c r="I5307" s="128">
        <v>92073</v>
      </c>
    </row>
    <row r="5308" spans="1:9" ht="13.5">
      <c r="A5308" s="128">
        <v>2007</v>
      </c>
      <c r="B5308" s="128" t="s">
        <v>138</v>
      </c>
      <c r="C5308" s="128" t="s">
        <v>23</v>
      </c>
      <c r="D5308" s="128" t="s">
        <v>76</v>
      </c>
      <c r="E5308" s="128" t="s">
        <v>135</v>
      </c>
      <c r="F5308" s="128">
        <v>1193485.3600000001</v>
      </c>
      <c r="G5308" s="128">
        <v>312896.77</v>
      </c>
      <c r="H5308" s="128">
        <v>880588.49</v>
      </c>
      <c r="I5308" s="128">
        <v>1029</v>
      </c>
    </row>
    <row r="5309" spans="1:9" ht="13.5">
      <c r="A5309" s="128">
        <v>2007</v>
      </c>
      <c r="B5309" s="128" t="s">
        <v>138</v>
      </c>
      <c r="C5309" s="128" t="s">
        <v>24</v>
      </c>
      <c r="D5309" s="128" t="s">
        <v>79</v>
      </c>
      <c r="E5309" s="128" t="s">
        <v>136</v>
      </c>
      <c r="F5309" s="128">
        <v>1997158.69</v>
      </c>
      <c r="G5309" s="128">
        <v>1508668.73</v>
      </c>
      <c r="H5309" s="128">
        <v>488491.43</v>
      </c>
      <c r="I5309" s="128">
        <v>47682</v>
      </c>
    </row>
    <row r="5310" spans="1:9" ht="13.5">
      <c r="A5310" s="128">
        <v>2007</v>
      </c>
      <c r="B5310" s="128" t="s">
        <v>138</v>
      </c>
      <c r="C5310" s="128" t="s">
        <v>24</v>
      </c>
      <c r="D5310" s="128" t="s">
        <v>79</v>
      </c>
      <c r="E5310" s="128" t="s">
        <v>132</v>
      </c>
      <c r="F5310" s="128">
        <v>627134.52</v>
      </c>
      <c r="G5310" s="128">
        <v>409156.73</v>
      </c>
      <c r="H5310" s="128">
        <v>145638.26999999999</v>
      </c>
      <c r="I5310" s="128">
        <v>5431</v>
      </c>
    </row>
    <row r="5311" spans="1:9" ht="13.5">
      <c r="A5311" s="128">
        <v>2007</v>
      </c>
      <c r="B5311" s="128" t="s">
        <v>138</v>
      </c>
      <c r="C5311" s="128" t="s">
        <v>24</v>
      </c>
      <c r="D5311" s="128" t="s">
        <v>79</v>
      </c>
      <c r="E5311" s="128" t="s">
        <v>133</v>
      </c>
      <c r="F5311" s="128">
        <v>1928914.48</v>
      </c>
      <c r="G5311" s="128">
        <v>1060306.76</v>
      </c>
      <c r="H5311" s="128">
        <v>354940.95</v>
      </c>
      <c r="I5311" s="128">
        <v>21353</v>
      </c>
    </row>
    <row r="5312" spans="1:9" ht="13.5">
      <c r="A5312" s="128">
        <v>2007</v>
      </c>
      <c r="B5312" s="128" t="s">
        <v>138</v>
      </c>
      <c r="C5312" s="128" t="s">
        <v>24</v>
      </c>
      <c r="D5312" s="128" t="s">
        <v>79</v>
      </c>
      <c r="E5312" s="128" t="s">
        <v>134</v>
      </c>
      <c r="F5312" s="128">
        <v>2594823.44</v>
      </c>
      <c r="G5312" s="128">
        <v>1123316.9099999999</v>
      </c>
      <c r="H5312" s="128">
        <v>378821.35</v>
      </c>
      <c r="I5312" s="128">
        <v>27298</v>
      </c>
    </row>
    <row r="5313" spans="1:9" ht="13.5">
      <c r="A5313" s="128">
        <v>2007</v>
      </c>
      <c r="B5313" s="128" t="s">
        <v>138</v>
      </c>
      <c r="C5313" s="128" t="s">
        <v>24</v>
      </c>
      <c r="D5313" s="128" t="s">
        <v>79</v>
      </c>
      <c r="E5313" s="128" t="s">
        <v>135</v>
      </c>
      <c r="F5313" s="128">
        <v>3445310.32</v>
      </c>
      <c r="G5313" s="128">
        <v>682696.34</v>
      </c>
      <c r="H5313" s="128">
        <v>231408.43</v>
      </c>
      <c r="I5313" s="128">
        <v>5583</v>
      </c>
    </row>
    <row r="5314" spans="1:9" ht="13.5">
      <c r="A5314" s="128">
        <v>2007</v>
      </c>
      <c r="B5314" s="128" t="s">
        <v>138</v>
      </c>
      <c r="C5314" s="128" t="s">
        <v>24</v>
      </c>
      <c r="D5314" s="128" t="s">
        <v>77</v>
      </c>
      <c r="E5314" s="128" t="s">
        <v>132</v>
      </c>
      <c r="F5314" s="128">
        <v>1448258.18</v>
      </c>
      <c r="G5314" s="128">
        <v>1002784.13</v>
      </c>
      <c r="H5314" s="128">
        <v>443306.14</v>
      </c>
      <c r="I5314" s="128">
        <v>11429</v>
      </c>
    </row>
    <row r="5315" spans="1:9" ht="13.5">
      <c r="A5315" s="128">
        <v>2007</v>
      </c>
      <c r="B5315" s="128" t="s">
        <v>138</v>
      </c>
      <c r="C5315" s="128" t="s">
        <v>24</v>
      </c>
      <c r="D5315" s="128" t="s">
        <v>77</v>
      </c>
      <c r="E5315" s="128" t="s">
        <v>133</v>
      </c>
      <c r="F5315" s="128">
        <v>3578030.0800000001</v>
      </c>
      <c r="G5315" s="128">
        <v>1951988.2</v>
      </c>
      <c r="H5315" s="128">
        <v>1308799.82</v>
      </c>
      <c r="I5315" s="128">
        <v>15848</v>
      </c>
    </row>
    <row r="5316" spans="1:9" ht="13.5">
      <c r="A5316" s="128">
        <v>2007</v>
      </c>
      <c r="B5316" s="128" t="s">
        <v>138</v>
      </c>
      <c r="C5316" s="128" t="s">
        <v>24</v>
      </c>
      <c r="D5316" s="128" t="s">
        <v>77</v>
      </c>
      <c r="E5316" s="128" t="s">
        <v>134</v>
      </c>
      <c r="F5316" s="128">
        <v>5860504.6100000003</v>
      </c>
      <c r="G5316" s="128">
        <v>2568931.0499999998</v>
      </c>
      <c r="H5316" s="128">
        <v>1903482.94</v>
      </c>
      <c r="I5316" s="128">
        <v>24367</v>
      </c>
    </row>
    <row r="5317" spans="1:9" ht="13.5">
      <c r="A5317" s="128">
        <v>2007</v>
      </c>
      <c r="B5317" s="128" t="s">
        <v>138</v>
      </c>
      <c r="C5317" s="128" t="s">
        <v>24</v>
      </c>
      <c r="D5317" s="128" t="s">
        <v>77</v>
      </c>
      <c r="E5317" s="128" t="s">
        <v>135</v>
      </c>
      <c r="F5317" s="128">
        <v>8595807.75</v>
      </c>
      <c r="G5317" s="128">
        <v>2024315.13</v>
      </c>
      <c r="H5317" s="128">
        <v>1583100.98</v>
      </c>
      <c r="I5317" s="128">
        <v>18652</v>
      </c>
    </row>
    <row r="5318" spans="1:9" ht="13.5">
      <c r="A5318" s="128">
        <v>2007</v>
      </c>
      <c r="B5318" s="128" t="s">
        <v>138</v>
      </c>
      <c r="C5318" s="128" t="s">
        <v>24</v>
      </c>
      <c r="D5318" s="128" t="s">
        <v>76</v>
      </c>
      <c r="E5318" s="128" t="s">
        <v>136</v>
      </c>
      <c r="F5318" s="128">
        <v>1043948.67</v>
      </c>
      <c r="G5318" s="128">
        <v>795701.34</v>
      </c>
      <c r="H5318" s="128">
        <v>248336.28</v>
      </c>
      <c r="I5318" s="128">
        <v>13132</v>
      </c>
    </row>
    <row r="5319" spans="1:9" ht="13.5">
      <c r="A5319" s="128">
        <v>2007</v>
      </c>
      <c r="B5319" s="128" t="s">
        <v>138</v>
      </c>
      <c r="C5319" s="128" t="s">
        <v>24</v>
      </c>
      <c r="D5319" s="128" t="s">
        <v>76</v>
      </c>
      <c r="E5319" s="128" t="s">
        <v>132</v>
      </c>
      <c r="F5319" s="128">
        <v>9042886.4000000004</v>
      </c>
      <c r="G5319" s="128">
        <v>5766814.4699999997</v>
      </c>
      <c r="H5319" s="128">
        <v>3276067.37</v>
      </c>
      <c r="I5319" s="128">
        <v>102769</v>
      </c>
    </row>
    <row r="5320" spans="1:9" ht="13.5">
      <c r="A5320" s="128">
        <v>2007</v>
      </c>
      <c r="B5320" s="128" t="s">
        <v>138</v>
      </c>
      <c r="C5320" s="128" t="s">
        <v>24</v>
      </c>
      <c r="D5320" s="128" t="s">
        <v>76</v>
      </c>
      <c r="E5320" s="128" t="s">
        <v>133</v>
      </c>
      <c r="F5320" s="128">
        <v>20719188.829999998</v>
      </c>
      <c r="G5320" s="128">
        <v>11533726.949999999</v>
      </c>
      <c r="H5320" s="128">
        <v>9185459.1600000001</v>
      </c>
      <c r="I5320" s="128">
        <v>76417</v>
      </c>
    </row>
    <row r="5321" spans="1:9" ht="13.5">
      <c r="A5321" s="128">
        <v>2007</v>
      </c>
      <c r="B5321" s="128" t="s">
        <v>138</v>
      </c>
      <c r="C5321" s="128" t="s">
        <v>24</v>
      </c>
      <c r="D5321" s="128" t="s">
        <v>76</v>
      </c>
      <c r="E5321" s="128" t="s">
        <v>134</v>
      </c>
      <c r="F5321" s="128">
        <v>19513049.280000001</v>
      </c>
      <c r="G5321" s="128">
        <v>8654673.9700000007</v>
      </c>
      <c r="H5321" s="128">
        <v>10858371.75</v>
      </c>
      <c r="I5321" s="128">
        <v>114232</v>
      </c>
    </row>
    <row r="5322" spans="1:9" ht="13.5">
      <c r="A5322" s="128">
        <v>2007</v>
      </c>
      <c r="B5322" s="128" t="s">
        <v>138</v>
      </c>
      <c r="C5322" s="128" t="s">
        <v>24</v>
      </c>
      <c r="D5322" s="128" t="s">
        <v>76</v>
      </c>
      <c r="E5322" s="128" t="s">
        <v>135</v>
      </c>
      <c r="F5322" s="128">
        <v>2722609.49</v>
      </c>
      <c r="G5322" s="128">
        <v>629997.37</v>
      </c>
      <c r="H5322" s="128">
        <v>2092612.06</v>
      </c>
      <c r="I5322" s="128">
        <v>2058</v>
      </c>
    </row>
    <row r="5323" spans="1:9" ht="13.5">
      <c r="A5323" s="128">
        <v>2007</v>
      </c>
      <c r="B5323" s="128" t="s">
        <v>138</v>
      </c>
      <c r="C5323" s="128" t="s">
        <v>25</v>
      </c>
      <c r="D5323" s="128" t="s">
        <v>79</v>
      </c>
      <c r="E5323" s="128" t="s">
        <v>136</v>
      </c>
      <c r="F5323" s="128">
        <v>1431494.38</v>
      </c>
      <c r="G5323" s="128">
        <v>1079252.98</v>
      </c>
      <c r="H5323" s="128">
        <v>352241.49</v>
      </c>
      <c r="I5323" s="128">
        <v>21379</v>
      </c>
    </row>
    <row r="5324" spans="1:9" ht="13.5">
      <c r="A5324" s="128">
        <v>2007</v>
      </c>
      <c r="B5324" s="128" t="s">
        <v>138</v>
      </c>
      <c r="C5324" s="128" t="s">
        <v>25</v>
      </c>
      <c r="D5324" s="128" t="s">
        <v>79</v>
      </c>
      <c r="E5324" s="128" t="s">
        <v>132</v>
      </c>
      <c r="F5324" s="128">
        <v>204651.18</v>
      </c>
      <c r="G5324" s="128">
        <v>136960.89000000001</v>
      </c>
      <c r="H5324" s="128">
        <v>45547.41</v>
      </c>
      <c r="I5324" s="128">
        <v>1556</v>
      </c>
    </row>
    <row r="5325" spans="1:9" ht="13.5">
      <c r="A5325" s="128">
        <v>2007</v>
      </c>
      <c r="B5325" s="128" t="s">
        <v>138</v>
      </c>
      <c r="C5325" s="128" t="s">
        <v>25</v>
      </c>
      <c r="D5325" s="128" t="s">
        <v>79</v>
      </c>
      <c r="E5325" s="128" t="s">
        <v>133</v>
      </c>
      <c r="F5325" s="128">
        <v>328260.21000000002</v>
      </c>
      <c r="G5325" s="128">
        <v>182544.71</v>
      </c>
      <c r="H5325" s="128">
        <v>60688.25</v>
      </c>
      <c r="I5325" s="128">
        <v>1338</v>
      </c>
    </row>
    <row r="5326" spans="1:9" ht="13.5">
      <c r="A5326" s="128">
        <v>2007</v>
      </c>
      <c r="B5326" s="128" t="s">
        <v>138</v>
      </c>
      <c r="C5326" s="128" t="s">
        <v>25</v>
      </c>
      <c r="D5326" s="128" t="s">
        <v>79</v>
      </c>
      <c r="E5326" s="128" t="s">
        <v>134</v>
      </c>
      <c r="F5326" s="128">
        <v>520464.46</v>
      </c>
      <c r="G5326" s="128">
        <v>219354.05</v>
      </c>
      <c r="H5326" s="128">
        <v>74120.42</v>
      </c>
      <c r="I5326" s="128">
        <v>2195</v>
      </c>
    </row>
    <row r="5327" spans="1:9" ht="13.5">
      <c r="A5327" s="128">
        <v>2007</v>
      </c>
      <c r="B5327" s="128" t="s">
        <v>138</v>
      </c>
      <c r="C5327" s="128" t="s">
        <v>25</v>
      </c>
      <c r="D5327" s="128" t="s">
        <v>79</v>
      </c>
      <c r="E5327" s="128" t="s">
        <v>135</v>
      </c>
      <c r="F5327" s="128">
        <v>1720153.87</v>
      </c>
      <c r="G5327" s="128">
        <v>425345.99</v>
      </c>
      <c r="H5327" s="128">
        <v>150793.88</v>
      </c>
      <c r="I5327" s="128">
        <v>3101</v>
      </c>
    </row>
    <row r="5328" spans="1:9" ht="13.5">
      <c r="A5328" s="128">
        <v>2007</v>
      </c>
      <c r="B5328" s="128" t="s">
        <v>138</v>
      </c>
      <c r="C5328" s="128" t="s">
        <v>25</v>
      </c>
      <c r="D5328" s="128" t="s">
        <v>77</v>
      </c>
      <c r="E5328" s="128" t="s">
        <v>132</v>
      </c>
      <c r="F5328" s="128">
        <v>57823.59</v>
      </c>
      <c r="G5328" s="128">
        <v>38749.800000000003</v>
      </c>
      <c r="H5328" s="128">
        <v>14978.96</v>
      </c>
      <c r="I5328" s="128">
        <v>377</v>
      </c>
    </row>
    <row r="5329" spans="1:9" ht="13.5">
      <c r="A5329" s="128">
        <v>2007</v>
      </c>
      <c r="B5329" s="128" t="s">
        <v>138</v>
      </c>
      <c r="C5329" s="128" t="s">
        <v>25</v>
      </c>
      <c r="D5329" s="128" t="s">
        <v>77</v>
      </c>
      <c r="E5329" s="128" t="s">
        <v>133</v>
      </c>
      <c r="F5329" s="128">
        <v>68208.45</v>
      </c>
      <c r="G5329" s="128">
        <v>36565</v>
      </c>
      <c r="H5329" s="128">
        <v>25488.44</v>
      </c>
      <c r="I5329" s="128">
        <v>279</v>
      </c>
    </row>
    <row r="5330" spans="1:9" ht="13.5">
      <c r="A5330" s="128">
        <v>2007</v>
      </c>
      <c r="B5330" s="128" t="s">
        <v>138</v>
      </c>
      <c r="C5330" s="128" t="s">
        <v>25</v>
      </c>
      <c r="D5330" s="128" t="s">
        <v>77</v>
      </c>
      <c r="E5330" s="128" t="s">
        <v>134</v>
      </c>
      <c r="F5330" s="128">
        <v>425898.88</v>
      </c>
      <c r="G5330" s="128">
        <v>182024.4</v>
      </c>
      <c r="H5330" s="128">
        <v>181788.69</v>
      </c>
      <c r="I5330" s="128">
        <v>1153</v>
      </c>
    </row>
    <row r="5331" spans="1:9" ht="13.5">
      <c r="A5331" s="128">
        <v>2007</v>
      </c>
      <c r="B5331" s="128" t="s">
        <v>138</v>
      </c>
      <c r="C5331" s="128" t="s">
        <v>25</v>
      </c>
      <c r="D5331" s="128" t="s">
        <v>77</v>
      </c>
      <c r="E5331" s="128" t="s">
        <v>135</v>
      </c>
      <c r="F5331" s="128">
        <v>780566.69</v>
      </c>
      <c r="G5331" s="128">
        <v>237999.96</v>
      </c>
      <c r="H5331" s="128">
        <v>271851.2</v>
      </c>
      <c r="I5331" s="128">
        <v>2638</v>
      </c>
    </row>
    <row r="5332" spans="1:9" ht="13.5">
      <c r="A5332" s="128">
        <v>2007</v>
      </c>
      <c r="B5332" s="128" t="s">
        <v>138</v>
      </c>
      <c r="C5332" s="128" t="s">
        <v>25</v>
      </c>
      <c r="D5332" s="128" t="s">
        <v>76</v>
      </c>
      <c r="E5332" s="128" t="s">
        <v>136</v>
      </c>
      <c r="F5332" s="128">
        <v>141108.57</v>
      </c>
      <c r="G5332" s="128">
        <v>107233.32</v>
      </c>
      <c r="H5332" s="128">
        <v>33875.26</v>
      </c>
      <c r="I5332" s="128">
        <v>1939</v>
      </c>
    </row>
    <row r="5333" spans="1:9" ht="13.5">
      <c r="A5333" s="128">
        <v>2007</v>
      </c>
      <c r="B5333" s="128" t="s">
        <v>138</v>
      </c>
      <c r="C5333" s="128" t="s">
        <v>25</v>
      </c>
      <c r="D5333" s="128" t="s">
        <v>76</v>
      </c>
      <c r="E5333" s="128" t="s">
        <v>132</v>
      </c>
      <c r="F5333" s="128">
        <v>2067419.28</v>
      </c>
      <c r="G5333" s="128">
        <v>1345371.8</v>
      </c>
      <c r="H5333" s="128">
        <v>722029.79</v>
      </c>
      <c r="I5333" s="128">
        <v>26293</v>
      </c>
    </row>
    <row r="5334" spans="1:9" ht="13.5">
      <c r="A5334" s="128">
        <v>2007</v>
      </c>
      <c r="B5334" s="128" t="s">
        <v>138</v>
      </c>
      <c r="C5334" s="128" t="s">
        <v>25</v>
      </c>
      <c r="D5334" s="128" t="s">
        <v>76</v>
      </c>
      <c r="E5334" s="128" t="s">
        <v>133</v>
      </c>
      <c r="F5334" s="128">
        <v>4483783.57</v>
      </c>
      <c r="G5334" s="128">
        <v>2439952.9500000002</v>
      </c>
      <c r="H5334" s="128">
        <v>2043830.31</v>
      </c>
      <c r="I5334" s="128">
        <v>15120</v>
      </c>
    </row>
    <row r="5335" spans="1:9" ht="13.5">
      <c r="A5335" s="128">
        <v>2007</v>
      </c>
      <c r="B5335" s="128" t="s">
        <v>138</v>
      </c>
      <c r="C5335" s="128" t="s">
        <v>25</v>
      </c>
      <c r="D5335" s="128" t="s">
        <v>76</v>
      </c>
      <c r="E5335" s="128" t="s">
        <v>134</v>
      </c>
      <c r="F5335" s="128">
        <v>3692419.35</v>
      </c>
      <c r="G5335" s="128">
        <v>1701671.01</v>
      </c>
      <c r="H5335" s="128">
        <v>1990748.22</v>
      </c>
      <c r="I5335" s="128">
        <v>25346</v>
      </c>
    </row>
    <row r="5336" spans="1:9" ht="13.5">
      <c r="A5336" s="128">
        <v>2007</v>
      </c>
      <c r="B5336" s="128" t="s">
        <v>138</v>
      </c>
      <c r="C5336" s="128" t="s">
        <v>25</v>
      </c>
      <c r="D5336" s="128" t="s">
        <v>76</v>
      </c>
      <c r="E5336" s="128" t="s">
        <v>135</v>
      </c>
      <c r="F5336" s="128">
        <v>411191.49</v>
      </c>
      <c r="G5336" s="128">
        <v>115754.82</v>
      </c>
      <c r="H5336" s="128">
        <v>295436.61</v>
      </c>
      <c r="I5336" s="128">
        <v>376</v>
      </c>
    </row>
    <row r="5337" spans="1:9" ht="13.5">
      <c r="A5337" s="128">
        <v>2007</v>
      </c>
      <c r="B5337" s="128" t="s">
        <v>138</v>
      </c>
      <c r="C5337" s="128" t="s">
        <v>27</v>
      </c>
      <c r="D5337" s="128" t="s">
        <v>79</v>
      </c>
      <c r="E5337" s="128" t="s">
        <v>136</v>
      </c>
      <c r="F5337" s="128">
        <v>291962.52</v>
      </c>
      <c r="G5337" s="128">
        <v>219539.9</v>
      </c>
      <c r="H5337" s="128">
        <v>72423.02</v>
      </c>
      <c r="I5337" s="128">
        <v>2846</v>
      </c>
    </row>
    <row r="5338" spans="1:9" ht="13.5">
      <c r="A5338" s="128">
        <v>2007</v>
      </c>
      <c r="B5338" s="128" t="s">
        <v>138</v>
      </c>
      <c r="C5338" s="128" t="s">
        <v>27</v>
      </c>
      <c r="D5338" s="128" t="s">
        <v>79</v>
      </c>
      <c r="E5338" s="128" t="s">
        <v>132</v>
      </c>
      <c r="F5338" s="128">
        <v>51272.59</v>
      </c>
      <c r="G5338" s="128">
        <v>33607.199999999997</v>
      </c>
      <c r="H5338" s="128">
        <v>11280.6</v>
      </c>
      <c r="I5338" s="128">
        <v>242</v>
      </c>
    </row>
    <row r="5339" spans="1:9" ht="13.5">
      <c r="A5339" s="128">
        <v>2007</v>
      </c>
      <c r="B5339" s="128" t="s">
        <v>138</v>
      </c>
      <c r="C5339" s="128" t="s">
        <v>27</v>
      </c>
      <c r="D5339" s="128" t="s">
        <v>79</v>
      </c>
      <c r="E5339" s="128" t="s">
        <v>133</v>
      </c>
      <c r="F5339" s="128">
        <v>64977.42</v>
      </c>
      <c r="G5339" s="128">
        <v>35312.65</v>
      </c>
      <c r="H5339" s="128">
        <v>12042.06</v>
      </c>
      <c r="I5339" s="128">
        <v>270</v>
      </c>
    </row>
    <row r="5340" spans="1:9" ht="13.5">
      <c r="A5340" s="128">
        <v>2007</v>
      </c>
      <c r="B5340" s="128" t="s">
        <v>138</v>
      </c>
      <c r="C5340" s="128" t="s">
        <v>27</v>
      </c>
      <c r="D5340" s="128" t="s">
        <v>79</v>
      </c>
      <c r="E5340" s="128" t="s">
        <v>134</v>
      </c>
      <c r="F5340" s="128">
        <v>162173.69</v>
      </c>
      <c r="G5340" s="128">
        <v>68093.37</v>
      </c>
      <c r="H5340" s="128">
        <v>22660.65</v>
      </c>
      <c r="I5340" s="128">
        <v>1362</v>
      </c>
    </row>
    <row r="5341" spans="1:9" ht="13.5">
      <c r="A5341" s="128">
        <v>2007</v>
      </c>
      <c r="B5341" s="128" t="s">
        <v>138</v>
      </c>
      <c r="C5341" s="128" t="s">
        <v>27</v>
      </c>
      <c r="D5341" s="128" t="s">
        <v>79</v>
      </c>
      <c r="E5341" s="128" t="s">
        <v>135</v>
      </c>
      <c r="F5341" s="128">
        <v>590391.85</v>
      </c>
      <c r="G5341" s="128">
        <v>174209.81</v>
      </c>
      <c r="H5341" s="128">
        <v>58190.35</v>
      </c>
      <c r="I5341" s="128">
        <v>1266</v>
      </c>
    </row>
    <row r="5342" spans="1:9" ht="13.5">
      <c r="A5342" s="128">
        <v>2007</v>
      </c>
      <c r="B5342" s="128" t="s">
        <v>138</v>
      </c>
      <c r="C5342" s="128" t="s">
        <v>27</v>
      </c>
      <c r="D5342" s="128" t="s">
        <v>77</v>
      </c>
      <c r="E5342" s="128" t="s">
        <v>132</v>
      </c>
      <c r="F5342" s="128">
        <v>21210.22</v>
      </c>
      <c r="G5342" s="128">
        <v>14043.35</v>
      </c>
      <c r="H5342" s="128">
        <v>6327.14</v>
      </c>
      <c r="I5342" s="128">
        <v>200</v>
      </c>
    </row>
    <row r="5343" spans="1:9" ht="13.5">
      <c r="A5343" s="128">
        <v>2007</v>
      </c>
      <c r="B5343" s="128" t="s">
        <v>138</v>
      </c>
      <c r="C5343" s="128" t="s">
        <v>27</v>
      </c>
      <c r="D5343" s="128" t="s">
        <v>77</v>
      </c>
      <c r="E5343" s="128" t="s">
        <v>133</v>
      </c>
      <c r="F5343" s="128">
        <v>34706.78</v>
      </c>
      <c r="G5343" s="128">
        <v>18723.349999999999</v>
      </c>
      <c r="H5343" s="128">
        <v>11825.94</v>
      </c>
      <c r="I5343" s="128">
        <v>174</v>
      </c>
    </row>
    <row r="5344" spans="1:9" ht="13.5">
      <c r="A5344" s="128">
        <v>2007</v>
      </c>
      <c r="B5344" s="128" t="s">
        <v>138</v>
      </c>
      <c r="C5344" s="128" t="s">
        <v>27</v>
      </c>
      <c r="D5344" s="128" t="s">
        <v>77</v>
      </c>
      <c r="E5344" s="128" t="s">
        <v>134</v>
      </c>
      <c r="F5344" s="128">
        <v>113883.4</v>
      </c>
      <c r="G5344" s="128">
        <v>48901.9</v>
      </c>
      <c r="H5344" s="128">
        <v>47705.37</v>
      </c>
      <c r="I5344" s="128">
        <v>208</v>
      </c>
    </row>
    <row r="5345" spans="1:9" ht="13.5">
      <c r="A5345" s="128">
        <v>2007</v>
      </c>
      <c r="B5345" s="128" t="s">
        <v>138</v>
      </c>
      <c r="C5345" s="128" t="s">
        <v>27</v>
      </c>
      <c r="D5345" s="128" t="s">
        <v>77</v>
      </c>
      <c r="E5345" s="128" t="s">
        <v>135</v>
      </c>
      <c r="F5345" s="128">
        <v>208227.03</v>
      </c>
      <c r="G5345" s="128">
        <v>54832.45</v>
      </c>
      <c r="H5345" s="128">
        <v>56338.04</v>
      </c>
      <c r="I5345" s="128">
        <v>558</v>
      </c>
    </row>
    <row r="5346" spans="1:9" ht="13.5">
      <c r="A5346" s="128">
        <v>2007</v>
      </c>
      <c r="B5346" s="128" t="s">
        <v>138</v>
      </c>
      <c r="C5346" s="128" t="s">
        <v>27</v>
      </c>
      <c r="D5346" s="128" t="s">
        <v>76</v>
      </c>
      <c r="E5346" s="128" t="s">
        <v>136</v>
      </c>
      <c r="F5346" s="128">
        <v>37573.93</v>
      </c>
      <c r="G5346" s="128">
        <v>26321.9</v>
      </c>
      <c r="H5346" s="128">
        <v>11251.98</v>
      </c>
      <c r="I5346" s="128">
        <v>581</v>
      </c>
    </row>
    <row r="5347" spans="1:9" ht="13.5">
      <c r="A5347" s="128">
        <v>2007</v>
      </c>
      <c r="B5347" s="128" t="s">
        <v>138</v>
      </c>
      <c r="C5347" s="128" t="s">
        <v>27</v>
      </c>
      <c r="D5347" s="128" t="s">
        <v>76</v>
      </c>
      <c r="E5347" s="128" t="s">
        <v>132</v>
      </c>
      <c r="F5347" s="128">
        <v>270398.94</v>
      </c>
      <c r="G5347" s="128">
        <v>174937.45</v>
      </c>
      <c r="H5347" s="128">
        <v>95460.86</v>
      </c>
      <c r="I5347" s="128">
        <v>2915</v>
      </c>
    </row>
    <row r="5348" spans="1:9" ht="13.5">
      <c r="A5348" s="128">
        <v>2007</v>
      </c>
      <c r="B5348" s="128" t="s">
        <v>138</v>
      </c>
      <c r="C5348" s="128" t="s">
        <v>27</v>
      </c>
      <c r="D5348" s="128" t="s">
        <v>76</v>
      </c>
      <c r="E5348" s="128" t="s">
        <v>133</v>
      </c>
      <c r="F5348" s="128">
        <v>828136.88</v>
      </c>
      <c r="G5348" s="128">
        <v>446220.9</v>
      </c>
      <c r="H5348" s="128">
        <v>381914.42</v>
      </c>
      <c r="I5348" s="128">
        <v>2756</v>
      </c>
    </row>
    <row r="5349" spans="1:9" ht="13.5">
      <c r="A5349" s="128">
        <v>2007</v>
      </c>
      <c r="B5349" s="128" t="s">
        <v>138</v>
      </c>
      <c r="C5349" s="128" t="s">
        <v>27</v>
      </c>
      <c r="D5349" s="128" t="s">
        <v>76</v>
      </c>
      <c r="E5349" s="128" t="s">
        <v>134</v>
      </c>
      <c r="F5349" s="128">
        <v>655464.26</v>
      </c>
      <c r="G5349" s="128">
        <v>299892.75</v>
      </c>
      <c r="H5349" s="128">
        <v>355570.86</v>
      </c>
      <c r="I5349" s="128">
        <v>4033</v>
      </c>
    </row>
    <row r="5350" spans="1:9" ht="13.5">
      <c r="A5350" s="128">
        <v>2007</v>
      </c>
      <c r="B5350" s="128" t="s">
        <v>138</v>
      </c>
      <c r="C5350" s="128" t="s">
        <v>27</v>
      </c>
      <c r="D5350" s="128" t="s">
        <v>76</v>
      </c>
      <c r="E5350" s="128" t="s">
        <v>135</v>
      </c>
      <c r="F5350" s="128">
        <v>74386.490000000005</v>
      </c>
      <c r="G5350" s="128">
        <v>21199.09</v>
      </c>
      <c r="H5350" s="128">
        <v>53187.4</v>
      </c>
      <c r="I5350" s="128">
        <v>76</v>
      </c>
    </row>
    <row r="5351" spans="1:9" ht="13.5">
      <c r="A5351" s="128">
        <v>2007</v>
      </c>
      <c r="B5351" s="128" t="s">
        <v>139</v>
      </c>
      <c r="C5351" s="128" t="s">
        <v>26</v>
      </c>
      <c r="D5351" s="128" t="s">
        <v>77</v>
      </c>
      <c r="E5351" s="128" t="s">
        <v>132</v>
      </c>
      <c r="F5351" s="128">
        <v>0</v>
      </c>
      <c r="G5351" s="128">
        <v>0</v>
      </c>
      <c r="H5351" s="128">
        <v>0</v>
      </c>
      <c r="I5351" s="128">
        <v>0</v>
      </c>
    </row>
    <row r="5352" spans="1:9" ht="13.5">
      <c r="A5352" s="128">
        <v>2007</v>
      </c>
      <c r="B5352" s="128" t="s">
        <v>139</v>
      </c>
      <c r="C5352" s="128" t="s">
        <v>26</v>
      </c>
      <c r="D5352" s="128" t="s">
        <v>77</v>
      </c>
      <c r="E5352" s="128" t="s">
        <v>133</v>
      </c>
      <c r="F5352" s="128">
        <v>0</v>
      </c>
      <c r="G5352" s="128">
        <v>0</v>
      </c>
      <c r="H5352" s="128">
        <v>0</v>
      </c>
      <c r="I5352" s="128">
        <v>0</v>
      </c>
    </row>
    <row r="5353" spans="1:9" ht="13.5">
      <c r="A5353" s="128">
        <v>2007</v>
      </c>
      <c r="B5353" s="128" t="s">
        <v>139</v>
      </c>
      <c r="C5353" s="128" t="s">
        <v>26</v>
      </c>
      <c r="D5353" s="128" t="s">
        <v>77</v>
      </c>
      <c r="E5353" s="128" t="s">
        <v>134</v>
      </c>
      <c r="F5353" s="128">
        <v>0</v>
      </c>
      <c r="G5353" s="128">
        <v>0</v>
      </c>
      <c r="H5353" s="128">
        <v>0</v>
      </c>
      <c r="I5353" s="128">
        <v>0</v>
      </c>
    </row>
    <row r="5354" spans="1:9" ht="13.5">
      <c r="A5354" s="128">
        <v>2007</v>
      </c>
      <c r="B5354" s="128" t="s">
        <v>139</v>
      </c>
      <c r="C5354" s="128" t="s">
        <v>26</v>
      </c>
      <c r="D5354" s="128" t="s">
        <v>77</v>
      </c>
      <c r="E5354" s="128" t="s">
        <v>135</v>
      </c>
      <c r="F5354" s="128">
        <v>0</v>
      </c>
      <c r="G5354" s="128">
        <v>0</v>
      </c>
      <c r="H5354" s="128">
        <v>0</v>
      </c>
      <c r="I5354" s="128">
        <v>0</v>
      </c>
    </row>
    <row r="5355" spans="1:9" ht="13.5">
      <c r="A5355" s="128">
        <v>2007</v>
      </c>
      <c r="B5355" s="128" t="s">
        <v>139</v>
      </c>
      <c r="C5355" s="128" t="s">
        <v>26</v>
      </c>
      <c r="D5355" s="128" t="s">
        <v>79</v>
      </c>
      <c r="E5355" s="128" t="s">
        <v>132</v>
      </c>
      <c r="F5355" s="128">
        <v>0</v>
      </c>
      <c r="G5355" s="128">
        <v>0</v>
      </c>
      <c r="H5355" s="128">
        <v>0</v>
      </c>
      <c r="I5355" s="128">
        <v>0</v>
      </c>
    </row>
    <row r="5356" spans="1:9" ht="13.5">
      <c r="A5356" s="128">
        <v>2007</v>
      </c>
      <c r="B5356" s="128" t="s">
        <v>139</v>
      </c>
      <c r="C5356" s="128" t="s">
        <v>26</v>
      </c>
      <c r="D5356" s="128" t="s">
        <v>79</v>
      </c>
      <c r="E5356" s="128" t="s">
        <v>133</v>
      </c>
      <c r="F5356" s="128">
        <v>0</v>
      </c>
      <c r="G5356" s="128">
        <v>0</v>
      </c>
      <c r="H5356" s="128">
        <v>0</v>
      </c>
      <c r="I5356" s="128">
        <v>0</v>
      </c>
    </row>
    <row r="5357" spans="1:9" ht="13.5">
      <c r="A5357" s="128">
        <v>2007</v>
      </c>
      <c r="B5357" s="128" t="s">
        <v>139</v>
      </c>
      <c r="C5357" s="128" t="s">
        <v>26</v>
      </c>
      <c r="D5357" s="128" t="s">
        <v>79</v>
      </c>
      <c r="E5357" s="128" t="s">
        <v>134</v>
      </c>
      <c r="F5357" s="128">
        <v>0</v>
      </c>
      <c r="G5357" s="128">
        <v>0</v>
      </c>
      <c r="H5357" s="128">
        <v>0</v>
      </c>
      <c r="I5357" s="128">
        <v>0</v>
      </c>
    </row>
    <row r="5358" spans="1:9" ht="13.5">
      <c r="A5358" s="128">
        <v>2007</v>
      </c>
      <c r="B5358" s="128" t="s">
        <v>139</v>
      </c>
      <c r="C5358" s="128" t="s">
        <v>26</v>
      </c>
      <c r="D5358" s="128" t="s">
        <v>79</v>
      </c>
      <c r="E5358" s="128" t="s">
        <v>135</v>
      </c>
      <c r="F5358" s="128">
        <v>0</v>
      </c>
      <c r="G5358" s="128">
        <v>0</v>
      </c>
      <c r="H5358" s="128">
        <v>0</v>
      </c>
      <c r="I5358" s="128">
        <v>0</v>
      </c>
    </row>
    <row r="5359" spans="1:9" ht="13.5">
      <c r="A5359" s="128">
        <v>2007</v>
      </c>
      <c r="B5359" s="128" t="s">
        <v>139</v>
      </c>
      <c r="C5359" s="128" t="s">
        <v>26</v>
      </c>
      <c r="D5359" s="128" t="s">
        <v>79</v>
      </c>
      <c r="E5359" s="128" t="s">
        <v>136</v>
      </c>
      <c r="F5359" s="128">
        <v>0</v>
      </c>
      <c r="G5359" s="128">
        <v>0</v>
      </c>
      <c r="H5359" s="128">
        <v>0</v>
      </c>
      <c r="I5359" s="128">
        <v>0</v>
      </c>
    </row>
    <row r="5360" spans="1:9" ht="13.5">
      <c r="A5360" s="128">
        <v>2007</v>
      </c>
      <c r="B5360" s="128" t="s">
        <v>139</v>
      </c>
      <c r="C5360" s="128" t="s">
        <v>26</v>
      </c>
      <c r="D5360" s="128" t="s">
        <v>76</v>
      </c>
      <c r="E5360" s="128" t="s">
        <v>132</v>
      </c>
      <c r="F5360" s="128">
        <v>0</v>
      </c>
      <c r="G5360" s="128">
        <v>0</v>
      </c>
      <c r="H5360" s="128">
        <v>0</v>
      </c>
      <c r="I5360" s="128">
        <v>0</v>
      </c>
    </row>
    <row r="5361" spans="1:9" ht="13.5">
      <c r="A5361" s="128">
        <v>2007</v>
      </c>
      <c r="B5361" s="128" t="s">
        <v>139</v>
      </c>
      <c r="C5361" s="128" t="s">
        <v>26</v>
      </c>
      <c r="D5361" s="128" t="s">
        <v>76</v>
      </c>
      <c r="E5361" s="128" t="s">
        <v>133</v>
      </c>
      <c r="F5361" s="128">
        <v>0</v>
      </c>
      <c r="G5361" s="128">
        <v>0</v>
      </c>
      <c r="H5361" s="128">
        <v>0</v>
      </c>
      <c r="I5361" s="128">
        <v>0</v>
      </c>
    </row>
    <row r="5362" spans="1:9" ht="13.5">
      <c r="A5362" s="128">
        <v>2007</v>
      </c>
      <c r="B5362" s="128" t="s">
        <v>139</v>
      </c>
      <c r="C5362" s="128" t="s">
        <v>26</v>
      </c>
      <c r="D5362" s="128" t="s">
        <v>76</v>
      </c>
      <c r="E5362" s="128" t="s">
        <v>134</v>
      </c>
      <c r="F5362" s="128">
        <v>0</v>
      </c>
      <c r="G5362" s="128">
        <v>0</v>
      </c>
      <c r="H5362" s="128">
        <v>0</v>
      </c>
      <c r="I5362" s="128">
        <v>0</v>
      </c>
    </row>
    <row r="5363" spans="1:9" ht="13.5">
      <c r="A5363" s="128">
        <v>2007</v>
      </c>
      <c r="B5363" s="128" t="s">
        <v>139</v>
      </c>
      <c r="C5363" s="128" t="s">
        <v>26</v>
      </c>
      <c r="D5363" s="128" t="s">
        <v>76</v>
      </c>
      <c r="E5363" s="128" t="s">
        <v>135</v>
      </c>
      <c r="F5363" s="128">
        <v>0</v>
      </c>
      <c r="G5363" s="128">
        <v>0</v>
      </c>
      <c r="H5363" s="128">
        <v>0</v>
      </c>
      <c r="I5363" s="128">
        <v>0</v>
      </c>
    </row>
    <row r="5364" spans="1:9" ht="13.5">
      <c r="A5364" s="128">
        <v>2007</v>
      </c>
      <c r="B5364" s="128" t="s">
        <v>139</v>
      </c>
      <c r="C5364" s="128" t="s">
        <v>26</v>
      </c>
      <c r="D5364" s="128" t="s">
        <v>76</v>
      </c>
      <c r="E5364" s="128" t="s">
        <v>136</v>
      </c>
      <c r="F5364" s="128">
        <v>0</v>
      </c>
      <c r="G5364" s="128">
        <v>0</v>
      </c>
      <c r="H5364" s="128">
        <v>0</v>
      </c>
      <c r="I5364" s="128">
        <v>0</v>
      </c>
    </row>
    <row r="5365" spans="1:9" ht="13.5">
      <c r="A5365" s="128">
        <v>2007</v>
      </c>
      <c r="B5365" s="128" t="s">
        <v>139</v>
      </c>
      <c r="C5365" s="128" t="s">
        <v>20</v>
      </c>
      <c r="D5365" s="128" t="s">
        <v>77</v>
      </c>
      <c r="E5365" s="128" t="s">
        <v>132</v>
      </c>
      <c r="F5365" s="128">
        <v>928278.69</v>
      </c>
      <c r="G5365" s="128">
        <v>609548.69999999995</v>
      </c>
      <c r="H5365" s="128">
        <v>286512.71000000002</v>
      </c>
      <c r="I5365" s="128">
        <v>6774</v>
      </c>
    </row>
    <row r="5366" spans="1:9" ht="13.5">
      <c r="A5366" s="128">
        <v>2007</v>
      </c>
      <c r="B5366" s="128" t="s">
        <v>139</v>
      </c>
      <c r="C5366" s="128" t="s">
        <v>20</v>
      </c>
      <c r="D5366" s="128" t="s">
        <v>77</v>
      </c>
      <c r="E5366" s="128" t="s">
        <v>133</v>
      </c>
      <c r="F5366" s="128">
        <v>1673359.35</v>
      </c>
      <c r="G5366" s="128">
        <v>908003.5</v>
      </c>
      <c r="H5366" s="128">
        <v>662441.55000000005</v>
      </c>
      <c r="I5366" s="128">
        <v>7027</v>
      </c>
    </row>
    <row r="5367" spans="1:9" ht="13.5">
      <c r="A5367" s="128">
        <v>2007</v>
      </c>
      <c r="B5367" s="128" t="s">
        <v>139</v>
      </c>
      <c r="C5367" s="128" t="s">
        <v>20</v>
      </c>
      <c r="D5367" s="128" t="s">
        <v>77</v>
      </c>
      <c r="E5367" s="128" t="s">
        <v>134</v>
      </c>
      <c r="F5367" s="128">
        <v>4229068.99</v>
      </c>
      <c r="G5367" s="128">
        <v>1848939.24</v>
      </c>
      <c r="H5367" s="128">
        <v>1795715.54</v>
      </c>
      <c r="I5367" s="128">
        <v>18169</v>
      </c>
    </row>
    <row r="5368" spans="1:9" ht="13.5">
      <c r="A5368" s="128">
        <v>2007</v>
      </c>
      <c r="B5368" s="128" t="s">
        <v>139</v>
      </c>
      <c r="C5368" s="128" t="s">
        <v>20</v>
      </c>
      <c r="D5368" s="128" t="s">
        <v>77</v>
      </c>
      <c r="E5368" s="128" t="s">
        <v>135</v>
      </c>
      <c r="F5368" s="128">
        <v>6075134.3600000003</v>
      </c>
      <c r="G5368" s="128">
        <v>1637820.46</v>
      </c>
      <c r="H5368" s="128">
        <v>1624040.63</v>
      </c>
      <c r="I5368" s="128">
        <v>15368</v>
      </c>
    </row>
    <row r="5369" spans="1:9" ht="13.5">
      <c r="A5369" s="128">
        <v>2007</v>
      </c>
      <c r="B5369" s="128" t="s">
        <v>139</v>
      </c>
      <c r="C5369" s="128" t="s">
        <v>20</v>
      </c>
      <c r="D5369" s="128" t="s">
        <v>79</v>
      </c>
      <c r="E5369" s="128" t="s">
        <v>132</v>
      </c>
      <c r="F5369" s="128">
        <v>3224676.88</v>
      </c>
      <c r="G5369" s="128">
        <v>2136202.81</v>
      </c>
      <c r="H5369" s="128">
        <v>715761.91</v>
      </c>
      <c r="I5369" s="128">
        <v>17028</v>
      </c>
    </row>
    <row r="5370" spans="1:9" ht="13.5">
      <c r="A5370" s="128">
        <v>2007</v>
      </c>
      <c r="B5370" s="128" t="s">
        <v>139</v>
      </c>
      <c r="C5370" s="128" t="s">
        <v>20</v>
      </c>
      <c r="D5370" s="128" t="s">
        <v>79</v>
      </c>
      <c r="E5370" s="128" t="s">
        <v>133</v>
      </c>
      <c r="F5370" s="128">
        <v>4686348.67</v>
      </c>
      <c r="G5370" s="128">
        <v>2567431.08</v>
      </c>
      <c r="H5370" s="128">
        <v>861468.48</v>
      </c>
      <c r="I5370" s="128">
        <v>40859</v>
      </c>
    </row>
    <row r="5371" spans="1:9" ht="13.5">
      <c r="A5371" s="128">
        <v>2007</v>
      </c>
      <c r="B5371" s="128" t="s">
        <v>139</v>
      </c>
      <c r="C5371" s="128" t="s">
        <v>20</v>
      </c>
      <c r="D5371" s="128" t="s">
        <v>79</v>
      </c>
      <c r="E5371" s="128" t="s">
        <v>134</v>
      </c>
      <c r="F5371" s="128">
        <v>15777988.810000001</v>
      </c>
      <c r="G5371" s="128">
        <v>6671395.6200000001</v>
      </c>
      <c r="H5371" s="128">
        <v>2272892.5</v>
      </c>
      <c r="I5371" s="128">
        <v>65014</v>
      </c>
    </row>
    <row r="5372" spans="1:9" ht="13.5">
      <c r="A5372" s="128">
        <v>2007</v>
      </c>
      <c r="B5372" s="128" t="s">
        <v>139</v>
      </c>
      <c r="C5372" s="128" t="s">
        <v>20</v>
      </c>
      <c r="D5372" s="128" t="s">
        <v>79</v>
      </c>
      <c r="E5372" s="128" t="s">
        <v>135</v>
      </c>
      <c r="F5372" s="128">
        <v>65933577.850000001</v>
      </c>
      <c r="G5372" s="128">
        <v>17475549.82</v>
      </c>
      <c r="H5372" s="128">
        <v>5890673.25</v>
      </c>
      <c r="I5372" s="128">
        <v>135571</v>
      </c>
    </row>
    <row r="5373" spans="1:9" ht="13.5">
      <c r="A5373" s="128">
        <v>2007</v>
      </c>
      <c r="B5373" s="128" t="s">
        <v>139</v>
      </c>
      <c r="C5373" s="128" t="s">
        <v>20</v>
      </c>
      <c r="D5373" s="128" t="s">
        <v>79</v>
      </c>
      <c r="E5373" s="128" t="s">
        <v>136</v>
      </c>
      <c r="F5373" s="128">
        <v>21791451.149999999</v>
      </c>
      <c r="G5373" s="128">
        <v>16415261.609999999</v>
      </c>
      <c r="H5373" s="128">
        <v>5374782.6200000001</v>
      </c>
      <c r="I5373" s="128">
        <v>336836</v>
      </c>
    </row>
    <row r="5374" spans="1:9" ht="13.5">
      <c r="A5374" s="128">
        <v>2007</v>
      </c>
      <c r="B5374" s="128" t="s">
        <v>139</v>
      </c>
      <c r="C5374" s="128" t="s">
        <v>20</v>
      </c>
      <c r="D5374" s="128" t="s">
        <v>76</v>
      </c>
      <c r="E5374" s="128" t="s">
        <v>132</v>
      </c>
      <c r="F5374" s="128">
        <v>26550970.960000001</v>
      </c>
      <c r="G5374" s="128">
        <v>17078776.510000002</v>
      </c>
      <c r="H5374" s="128">
        <v>9470385.1099999994</v>
      </c>
      <c r="I5374" s="128">
        <v>337146</v>
      </c>
    </row>
    <row r="5375" spans="1:9" ht="13.5">
      <c r="A5375" s="128">
        <v>2007</v>
      </c>
      <c r="B5375" s="128" t="s">
        <v>139</v>
      </c>
      <c r="C5375" s="128" t="s">
        <v>20</v>
      </c>
      <c r="D5375" s="128" t="s">
        <v>76</v>
      </c>
      <c r="E5375" s="128" t="s">
        <v>133</v>
      </c>
      <c r="F5375" s="128">
        <v>47381155.229999997</v>
      </c>
      <c r="G5375" s="128">
        <v>26034529.93</v>
      </c>
      <c r="H5375" s="128">
        <v>21346446.309999999</v>
      </c>
      <c r="I5375" s="128">
        <v>200045</v>
      </c>
    </row>
    <row r="5376" spans="1:9" ht="13.5">
      <c r="A5376" s="128">
        <v>2007</v>
      </c>
      <c r="B5376" s="128" t="s">
        <v>139</v>
      </c>
      <c r="C5376" s="128" t="s">
        <v>20</v>
      </c>
      <c r="D5376" s="128" t="s">
        <v>76</v>
      </c>
      <c r="E5376" s="128" t="s">
        <v>134</v>
      </c>
      <c r="F5376" s="128">
        <v>37185702.439999998</v>
      </c>
      <c r="G5376" s="128">
        <v>17369480.879999999</v>
      </c>
      <c r="H5376" s="128">
        <v>19816106.129999999</v>
      </c>
      <c r="I5376" s="128">
        <v>253994</v>
      </c>
    </row>
    <row r="5377" spans="1:9" ht="13.5">
      <c r="A5377" s="128">
        <v>2007</v>
      </c>
      <c r="B5377" s="128" t="s">
        <v>139</v>
      </c>
      <c r="C5377" s="128" t="s">
        <v>20</v>
      </c>
      <c r="D5377" s="128" t="s">
        <v>76</v>
      </c>
      <c r="E5377" s="128" t="s">
        <v>135</v>
      </c>
      <c r="F5377" s="128">
        <v>4133392.98</v>
      </c>
      <c r="G5377" s="128">
        <v>1205930.1499999999</v>
      </c>
      <c r="H5377" s="128">
        <v>2927458.25</v>
      </c>
      <c r="I5377" s="128">
        <v>4946</v>
      </c>
    </row>
    <row r="5378" spans="1:9" ht="13.5">
      <c r="A5378" s="128">
        <v>2007</v>
      </c>
      <c r="B5378" s="128" t="s">
        <v>139</v>
      </c>
      <c r="C5378" s="128" t="s">
        <v>20</v>
      </c>
      <c r="D5378" s="128" t="s">
        <v>76</v>
      </c>
      <c r="E5378" s="128" t="s">
        <v>136</v>
      </c>
      <c r="F5378" s="128">
        <v>6511235.1200000001</v>
      </c>
      <c r="G5378" s="128">
        <v>4972736.3099999996</v>
      </c>
      <c r="H5378" s="128">
        <v>1540404.41</v>
      </c>
      <c r="I5378" s="128">
        <v>155831</v>
      </c>
    </row>
    <row r="5379" spans="1:9" ht="13.5">
      <c r="A5379" s="128">
        <v>2007</v>
      </c>
      <c r="B5379" s="128" t="s">
        <v>139</v>
      </c>
      <c r="C5379" s="128" t="s">
        <v>27</v>
      </c>
      <c r="D5379" s="128" t="s">
        <v>77</v>
      </c>
      <c r="E5379" s="128" t="s">
        <v>132</v>
      </c>
      <c r="F5379" s="128">
        <v>11158.7</v>
      </c>
      <c r="G5379" s="128">
        <v>7403.95</v>
      </c>
      <c r="H5379" s="128">
        <v>3131.7</v>
      </c>
      <c r="I5379" s="128">
        <v>55</v>
      </c>
    </row>
    <row r="5380" spans="1:9" ht="13.5">
      <c r="A5380" s="128">
        <v>2007</v>
      </c>
      <c r="B5380" s="128" t="s">
        <v>139</v>
      </c>
      <c r="C5380" s="128" t="s">
        <v>27</v>
      </c>
      <c r="D5380" s="128" t="s">
        <v>77</v>
      </c>
      <c r="E5380" s="128" t="s">
        <v>133</v>
      </c>
      <c r="F5380" s="128">
        <v>27704.87</v>
      </c>
      <c r="G5380" s="128">
        <v>15130.7</v>
      </c>
      <c r="H5380" s="128">
        <v>9073</v>
      </c>
      <c r="I5380" s="128">
        <v>115</v>
      </c>
    </row>
    <row r="5381" spans="1:9" ht="13.5">
      <c r="A5381" s="128">
        <v>2007</v>
      </c>
      <c r="B5381" s="128" t="s">
        <v>139</v>
      </c>
      <c r="C5381" s="128" t="s">
        <v>27</v>
      </c>
      <c r="D5381" s="128" t="s">
        <v>77</v>
      </c>
      <c r="E5381" s="128" t="s">
        <v>134</v>
      </c>
      <c r="F5381" s="128">
        <v>85453.85</v>
      </c>
      <c r="G5381" s="128">
        <v>37177</v>
      </c>
      <c r="H5381" s="128">
        <v>36064.6</v>
      </c>
      <c r="I5381" s="128">
        <v>148</v>
      </c>
    </row>
    <row r="5382" spans="1:9" ht="13.5">
      <c r="A5382" s="128">
        <v>2007</v>
      </c>
      <c r="B5382" s="128" t="s">
        <v>139</v>
      </c>
      <c r="C5382" s="128" t="s">
        <v>27</v>
      </c>
      <c r="D5382" s="128" t="s">
        <v>77</v>
      </c>
      <c r="E5382" s="128" t="s">
        <v>135</v>
      </c>
      <c r="F5382" s="128">
        <v>203097.05</v>
      </c>
      <c r="G5382" s="128">
        <v>55164</v>
      </c>
      <c r="H5382" s="128">
        <v>58094.03</v>
      </c>
      <c r="I5382" s="128">
        <v>522</v>
      </c>
    </row>
    <row r="5383" spans="1:9" ht="13.5">
      <c r="A5383" s="128">
        <v>2007</v>
      </c>
      <c r="B5383" s="128" t="s">
        <v>139</v>
      </c>
      <c r="C5383" s="128" t="s">
        <v>27</v>
      </c>
      <c r="D5383" s="128" t="s">
        <v>79</v>
      </c>
      <c r="E5383" s="128" t="s">
        <v>132</v>
      </c>
      <c r="F5383" s="128">
        <v>57766.47</v>
      </c>
      <c r="G5383" s="128">
        <v>37786.199999999997</v>
      </c>
      <c r="H5383" s="128">
        <v>12718.07</v>
      </c>
      <c r="I5383" s="128">
        <v>272</v>
      </c>
    </row>
    <row r="5384" spans="1:9" ht="13.5">
      <c r="A5384" s="128">
        <v>2007</v>
      </c>
      <c r="B5384" s="128" t="s">
        <v>139</v>
      </c>
      <c r="C5384" s="128" t="s">
        <v>27</v>
      </c>
      <c r="D5384" s="128" t="s">
        <v>79</v>
      </c>
      <c r="E5384" s="128" t="s">
        <v>133</v>
      </c>
      <c r="F5384" s="128">
        <v>67324.800000000003</v>
      </c>
      <c r="G5384" s="128">
        <v>36738.85</v>
      </c>
      <c r="H5384" s="128">
        <v>12361.99</v>
      </c>
      <c r="I5384" s="128">
        <v>388</v>
      </c>
    </row>
    <row r="5385" spans="1:9" ht="13.5">
      <c r="A5385" s="128">
        <v>2007</v>
      </c>
      <c r="B5385" s="128" t="s">
        <v>139</v>
      </c>
      <c r="C5385" s="128" t="s">
        <v>27</v>
      </c>
      <c r="D5385" s="128" t="s">
        <v>79</v>
      </c>
      <c r="E5385" s="128" t="s">
        <v>134</v>
      </c>
      <c r="F5385" s="128">
        <v>147883.68</v>
      </c>
      <c r="G5385" s="128">
        <v>62177.85</v>
      </c>
      <c r="H5385" s="128">
        <v>20807.150000000001</v>
      </c>
      <c r="I5385" s="128">
        <v>1107</v>
      </c>
    </row>
    <row r="5386" spans="1:9" ht="13.5">
      <c r="A5386" s="128">
        <v>2007</v>
      </c>
      <c r="B5386" s="128" t="s">
        <v>139</v>
      </c>
      <c r="C5386" s="128" t="s">
        <v>27</v>
      </c>
      <c r="D5386" s="128" t="s">
        <v>79</v>
      </c>
      <c r="E5386" s="128" t="s">
        <v>135</v>
      </c>
      <c r="F5386" s="128">
        <v>643949.19999999995</v>
      </c>
      <c r="G5386" s="128">
        <v>170866.35</v>
      </c>
      <c r="H5386" s="128">
        <v>57729.27</v>
      </c>
      <c r="I5386" s="128">
        <v>1777</v>
      </c>
    </row>
    <row r="5387" spans="1:9" ht="13.5">
      <c r="A5387" s="128">
        <v>2007</v>
      </c>
      <c r="B5387" s="128" t="s">
        <v>139</v>
      </c>
      <c r="C5387" s="128" t="s">
        <v>27</v>
      </c>
      <c r="D5387" s="128" t="s">
        <v>79</v>
      </c>
      <c r="E5387" s="128" t="s">
        <v>136</v>
      </c>
      <c r="F5387" s="128">
        <v>221887.95</v>
      </c>
      <c r="G5387" s="128">
        <v>167182.54999999999</v>
      </c>
      <c r="H5387" s="128">
        <v>54705.4</v>
      </c>
      <c r="I5387" s="128">
        <v>2067</v>
      </c>
    </row>
    <row r="5388" spans="1:9" ht="13.5">
      <c r="A5388" s="128">
        <v>2007</v>
      </c>
      <c r="B5388" s="128" t="s">
        <v>139</v>
      </c>
      <c r="C5388" s="128" t="s">
        <v>27</v>
      </c>
      <c r="D5388" s="128" t="s">
        <v>76</v>
      </c>
      <c r="E5388" s="128" t="s">
        <v>132</v>
      </c>
      <c r="F5388" s="128">
        <v>252617.56</v>
      </c>
      <c r="G5388" s="128">
        <v>163474.57</v>
      </c>
      <c r="H5388" s="128">
        <v>89141.84</v>
      </c>
      <c r="I5388" s="128">
        <v>2701</v>
      </c>
    </row>
    <row r="5389" spans="1:9" ht="13.5">
      <c r="A5389" s="128">
        <v>2007</v>
      </c>
      <c r="B5389" s="128" t="s">
        <v>139</v>
      </c>
      <c r="C5389" s="128" t="s">
        <v>27</v>
      </c>
      <c r="D5389" s="128" t="s">
        <v>76</v>
      </c>
      <c r="E5389" s="128" t="s">
        <v>133</v>
      </c>
      <c r="F5389" s="128">
        <v>698453.73</v>
      </c>
      <c r="G5389" s="128">
        <v>379124.57</v>
      </c>
      <c r="H5389" s="128">
        <v>319329.15999999997</v>
      </c>
      <c r="I5389" s="128">
        <v>2138</v>
      </c>
    </row>
    <row r="5390" spans="1:9" ht="13.5">
      <c r="A5390" s="128">
        <v>2007</v>
      </c>
      <c r="B5390" s="128" t="s">
        <v>139</v>
      </c>
      <c r="C5390" s="128" t="s">
        <v>27</v>
      </c>
      <c r="D5390" s="128" t="s">
        <v>76</v>
      </c>
      <c r="E5390" s="128" t="s">
        <v>134</v>
      </c>
      <c r="F5390" s="128">
        <v>542802.65</v>
      </c>
      <c r="G5390" s="128">
        <v>251365.9</v>
      </c>
      <c r="H5390" s="128">
        <v>291411.7</v>
      </c>
      <c r="I5390" s="128">
        <v>2878</v>
      </c>
    </row>
    <row r="5391" spans="1:9" ht="13.5">
      <c r="A5391" s="128">
        <v>2007</v>
      </c>
      <c r="B5391" s="128" t="s">
        <v>139</v>
      </c>
      <c r="C5391" s="128" t="s">
        <v>27</v>
      </c>
      <c r="D5391" s="128" t="s">
        <v>76</v>
      </c>
      <c r="E5391" s="128" t="s">
        <v>135</v>
      </c>
      <c r="F5391" s="128">
        <v>51957.95</v>
      </c>
      <c r="G5391" s="128">
        <v>14492.75</v>
      </c>
      <c r="H5391" s="128">
        <v>37465.199999999997</v>
      </c>
      <c r="I5391" s="128">
        <v>723</v>
      </c>
    </row>
    <row r="5392" spans="1:9" ht="13.5">
      <c r="A5392" s="128">
        <v>2007</v>
      </c>
      <c r="B5392" s="128" t="s">
        <v>139</v>
      </c>
      <c r="C5392" s="128" t="s">
        <v>27</v>
      </c>
      <c r="D5392" s="128" t="s">
        <v>76</v>
      </c>
      <c r="E5392" s="128" t="s">
        <v>136</v>
      </c>
      <c r="F5392" s="128">
        <v>47799.35</v>
      </c>
      <c r="G5392" s="128">
        <v>36855.25</v>
      </c>
      <c r="H5392" s="128">
        <v>10944.1</v>
      </c>
      <c r="I5392" s="128">
        <v>908</v>
      </c>
    </row>
    <row r="5393" spans="1:9" ht="13.5">
      <c r="A5393" s="128">
        <v>2007</v>
      </c>
      <c r="B5393" s="128" t="s">
        <v>139</v>
      </c>
      <c r="C5393" s="128" t="s">
        <v>22</v>
      </c>
      <c r="D5393" s="128" t="s">
        <v>77</v>
      </c>
      <c r="E5393" s="128" t="s">
        <v>132</v>
      </c>
      <c r="F5393" s="128">
        <v>609516.34</v>
      </c>
      <c r="G5393" s="128">
        <v>401589.68</v>
      </c>
      <c r="H5393" s="128">
        <v>184502.45</v>
      </c>
      <c r="I5393" s="128">
        <v>4399</v>
      </c>
    </row>
    <row r="5394" spans="1:9" ht="13.5">
      <c r="A5394" s="128">
        <v>2007</v>
      </c>
      <c r="B5394" s="128" t="s">
        <v>139</v>
      </c>
      <c r="C5394" s="128" t="s">
        <v>22</v>
      </c>
      <c r="D5394" s="128" t="s">
        <v>77</v>
      </c>
      <c r="E5394" s="128" t="s">
        <v>133</v>
      </c>
      <c r="F5394" s="128">
        <v>1135168.3899999999</v>
      </c>
      <c r="G5394" s="128">
        <v>617416.43000000005</v>
      </c>
      <c r="H5394" s="128">
        <v>427943</v>
      </c>
      <c r="I5394" s="128">
        <v>5809</v>
      </c>
    </row>
    <row r="5395" spans="1:9" ht="13.5">
      <c r="A5395" s="128">
        <v>2007</v>
      </c>
      <c r="B5395" s="128" t="s">
        <v>139</v>
      </c>
      <c r="C5395" s="128" t="s">
        <v>22</v>
      </c>
      <c r="D5395" s="128" t="s">
        <v>77</v>
      </c>
      <c r="E5395" s="128" t="s">
        <v>134</v>
      </c>
      <c r="F5395" s="128">
        <v>4455238.75</v>
      </c>
      <c r="G5395" s="128">
        <v>1912069.99</v>
      </c>
      <c r="H5395" s="128">
        <v>1809721.73</v>
      </c>
      <c r="I5395" s="128">
        <v>14345</v>
      </c>
    </row>
    <row r="5396" spans="1:9" ht="13.5">
      <c r="A5396" s="128">
        <v>2007</v>
      </c>
      <c r="B5396" s="128" t="s">
        <v>139</v>
      </c>
      <c r="C5396" s="128" t="s">
        <v>22</v>
      </c>
      <c r="D5396" s="128" t="s">
        <v>77</v>
      </c>
      <c r="E5396" s="128" t="s">
        <v>135</v>
      </c>
      <c r="F5396" s="128">
        <v>7568136.2800000003</v>
      </c>
      <c r="G5396" s="128">
        <v>2127529.66</v>
      </c>
      <c r="H5396" s="128">
        <v>2369757.13</v>
      </c>
      <c r="I5396" s="128">
        <v>22068</v>
      </c>
    </row>
    <row r="5397" spans="1:9" ht="13.5">
      <c r="A5397" s="128">
        <v>2007</v>
      </c>
      <c r="B5397" s="128" t="s">
        <v>139</v>
      </c>
      <c r="C5397" s="128" t="s">
        <v>22</v>
      </c>
      <c r="D5397" s="128" t="s">
        <v>79</v>
      </c>
      <c r="E5397" s="128" t="s">
        <v>132</v>
      </c>
      <c r="F5397" s="128">
        <v>2482527.2200000002</v>
      </c>
      <c r="G5397" s="128">
        <v>1653843.55</v>
      </c>
      <c r="H5397" s="128">
        <v>553901.85</v>
      </c>
      <c r="I5397" s="128">
        <v>16204</v>
      </c>
    </row>
    <row r="5398" spans="1:9" ht="13.5">
      <c r="A5398" s="128">
        <v>2007</v>
      </c>
      <c r="B5398" s="128" t="s">
        <v>139</v>
      </c>
      <c r="C5398" s="128" t="s">
        <v>22</v>
      </c>
      <c r="D5398" s="128" t="s">
        <v>79</v>
      </c>
      <c r="E5398" s="128" t="s">
        <v>133</v>
      </c>
      <c r="F5398" s="128">
        <v>4772481.51</v>
      </c>
      <c r="G5398" s="128">
        <v>2618808.88</v>
      </c>
      <c r="H5398" s="128">
        <v>892060.25</v>
      </c>
      <c r="I5398" s="128">
        <v>26662</v>
      </c>
    </row>
    <row r="5399" spans="1:9" ht="13.5">
      <c r="A5399" s="128">
        <v>2007</v>
      </c>
      <c r="B5399" s="128" t="s">
        <v>139</v>
      </c>
      <c r="C5399" s="128" t="s">
        <v>22</v>
      </c>
      <c r="D5399" s="128" t="s">
        <v>79</v>
      </c>
      <c r="E5399" s="128" t="s">
        <v>134</v>
      </c>
      <c r="F5399" s="128">
        <v>10892179.58</v>
      </c>
      <c r="G5399" s="128">
        <v>4647021.9000000004</v>
      </c>
      <c r="H5399" s="128">
        <v>1582856.12</v>
      </c>
      <c r="I5399" s="128">
        <v>51686</v>
      </c>
    </row>
    <row r="5400" spans="1:9" ht="13.5">
      <c r="A5400" s="128">
        <v>2007</v>
      </c>
      <c r="B5400" s="128" t="s">
        <v>139</v>
      </c>
      <c r="C5400" s="128" t="s">
        <v>22</v>
      </c>
      <c r="D5400" s="128" t="s">
        <v>79</v>
      </c>
      <c r="E5400" s="128" t="s">
        <v>135</v>
      </c>
      <c r="F5400" s="128">
        <v>23912835.420000002</v>
      </c>
      <c r="G5400" s="128">
        <v>6410480.5700000003</v>
      </c>
      <c r="H5400" s="128">
        <v>2163233.7799999998</v>
      </c>
      <c r="I5400" s="128">
        <v>57906</v>
      </c>
    </row>
    <row r="5401" spans="1:9" ht="13.5">
      <c r="A5401" s="128">
        <v>2007</v>
      </c>
      <c r="B5401" s="128" t="s">
        <v>139</v>
      </c>
      <c r="C5401" s="128" t="s">
        <v>22</v>
      </c>
      <c r="D5401" s="128" t="s">
        <v>79</v>
      </c>
      <c r="E5401" s="128" t="s">
        <v>136</v>
      </c>
      <c r="F5401" s="128">
        <v>7380197.7400000002</v>
      </c>
      <c r="G5401" s="128">
        <v>5546248.9199999999</v>
      </c>
      <c r="H5401" s="128">
        <v>1801906.31</v>
      </c>
      <c r="I5401" s="128">
        <v>92752</v>
      </c>
    </row>
    <row r="5402" spans="1:9" ht="13.5">
      <c r="A5402" s="128">
        <v>2007</v>
      </c>
      <c r="B5402" s="128" t="s">
        <v>139</v>
      </c>
      <c r="C5402" s="128" t="s">
        <v>22</v>
      </c>
      <c r="D5402" s="128" t="s">
        <v>76</v>
      </c>
      <c r="E5402" s="128" t="s">
        <v>132</v>
      </c>
      <c r="F5402" s="128">
        <v>26551056.370000001</v>
      </c>
      <c r="G5402" s="128">
        <v>17251588.68</v>
      </c>
      <c r="H5402" s="128">
        <v>9299416.5099999998</v>
      </c>
      <c r="I5402" s="128">
        <v>422431</v>
      </c>
    </row>
    <row r="5403" spans="1:9" ht="13.5">
      <c r="A5403" s="128">
        <v>2007</v>
      </c>
      <c r="B5403" s="128" t="s">
        <v>139</v>
      </c>
      <c r="C5403" s="128" t="s">
        <v>22</v>
      </c>
      <c r="D5403" s="128" t="s">
        <v>76</v>
      </c>
      <c r="E5403" s="128" t="s">
        <v>133</v>
      </c>
      <c r="F5403" s="128">
        <v>40560274.490000002</v>
      </c>
      <c r="G5403" s="128">
        <v>22398439.219999999</v>
      </c>
      <c r="H5403" s="128">
        <v>18161738.469999999</v>
      </c>
      <c r="I5403" s="128">
        <v>191458</v>
      </c>
    </row>
    <row r="5404" spans="1:9" ht="13.5">
      <c r="A5404" s="128">
        <v>2007</v>
      </c>
      <c r="B5404" s="128" t="s">
        <v>139</v>
      </c>
      <c r="C5404" s="128" t="s">
        <v>22</v>
      </c>
      <c r="D5404" s="128" t="s">
        <v>76</v>
      </c>
      <c r="E5404" s="128" t="s">
        <v>134</v>
      </c>
      <c r="F5404" s="128">
        <v>25885972.27</v>
      </c>
      <c r="G5404" s="128">
        <v>12156255.84</v>
      </c>
      <c r="H5404" s="128">
        <v>13729640</v>
      </c>
      <c r="I5404" s="128">
        <v>201180</v>
      </c>
    </row>
    <row r="5405" spans="1:9" ht="13.5">
      <c r="A5405" s="128">
        <v>2007</v>
      </c>
      <c r="B5405" s="128" t="s">
        <v>139</v>
      </c>
      <c r="C5405" s="128" t="s">
        <v>22</v>
      </c>
      <c r="D5405" s="128" t="s">
        <v>76</v>
      </c>
      <c r="E5405" s="128" t="s">
        <v>135</v>
      </c>
      <c r="F5405" s="128">
        <v>3749233.65</v>
      </c>
      <c r="G5405" s="128">
        <v>1043365.5</v>
      </c>
      <c r="H5405" s="128">
        <v>2705867.95</v>
      </c>
      <c r="I5405" s="128">
        <v>3699</v>
      </c>
    </row>
    <row r="5406" spans="1:9" ht="13.5">
      <c r="A5406" s="128">
        <v>2007</v>
      </c>
      <c r="B5406" s="128" t="s">
        <v>139</v>
      </c>
      <c r="C5406" s="128" t="s">
        <v>22</v>
      </c>
      <c r="D5406" s="128" t="s">
        <v>76</v>
      </c>
      <c r="E5406" s="128" t="s">
        <v>136</v>
      </c>
      <c r="F5406" s="128">
        <v>1724047.16</v>
      </c>
      <c r="G5406" s="128">
        <v>1359133.84</v>
      </c>
      <c r="H5406" s="128">
        <v>366543.82</v>
      </c>
      <c r="I5406" s="128">
        <v>33310</v>
      </c>
    </row>
    <row r="5407" spans="1:9" ht="13.5">
      <c r="A5407" s="128">
        <v>2007</v>
      </c>
      <c r="B5407" s="128" t="s">
        <v>139</v>
      </c>
      <c r="C5407" s="128" t="s">
        <v>23</v>
      </c>
      <c r="D5407" s="128" t="s">
        <v>77</v>
      </c>
      <c r="E5407" s="128" t="s">
        <v>132</v>
      </c>
      <c r="F5407" s="128">
        <v>1284521.8700000001</v>
      </c>
      <c r="G5407" s="128">
        <v>836199.75</v>
      </c>
      <c r="H5407" s="128">
        <v>417540.23</v>
      </c>
      <c r="I5407" s="128">
        <v>13600</v>
      </c>
    </row>
    <row r="5408" spans="1:9" ht="13.5">
      <c r="A5408" s="128">
        <v>2007</v>
      </c>
      <c r="B5408" s="128" t="s">
        <v>139</v>
      </c>
      <c r="C5408" s="128" t="s">
        <v>23</v>
      </c>
      <c r="D5408" s="128" t="s">
        <v>77</v>
      </c>
      <c r="E5408" s="128" t="s">
        <v>133</v>
      </c>
      <c r="F5408" s="128">
        <v>2087033.31</v>
      </c>
      <c r="G5408" s="128">
        <v>1136921.45</v>
      </c>
      <c r="H5408" s="128">
        <v>864852.35</v>
      </c>
      <c r="I5408" s="128">
        <v>7581</v>
      </c>
    </row>
    <row r="5409" spans="1:9" ht="13.5">
      <c r="A5409" s="128">
        <v>2007</v>
      </c>
      <c r="B5409" s="128" t="s">
        <v>139</v>
      </c>
      <c r="C5409" s="128" t="s">
        <v>23</v>
      </c>
      <c r="D5409" s="128" t="s">
        <v>77</v>
      </c>
      <c r="E5409" s="128" t="s">
        <v>134</v>
      </c>
      <c r="F5409" s="128">
        <v>2175535.35</v>
      </c>
      <c r="G5409" s="128">
        <v>992717.61</v>
      </c>
      <c r="H5409" s="128">
        <v>1027210.23</v>
      </c>
      <c r="I5409" s="128">
        <v>10359</v>
      </c>
    </row>
    <row r="5410" spans="1:9" ht="13.5">
      <c r="A5410" s="128">
        <v>2007</v>
      </c>
      <c r="B5410" s="128" t="s">
        <v>139</v>
      </c>
      <c r="C5410" s="128" t="s">
        <v>23</v>
      </c>
      <c r="D5410" s="128" t="s">
        <v>77</v>
      </c>
      <c r="E5410" s="128" t="s">
        <v>135</v>
      </c>
      <c r="F5410" s="128">
        <v>1138610.75</v>
      </c>
      <c r="G5410" s="128">
        <v>290685.03000000003</v>
      </c>
      <c r="H5410" s="128">
        <v>368425.99</v>
      </c>
      <c r="I5410" s="128">
        <v>2311</v>
      </c>
    </row>
    <row r="5411" spans="1:9" ht="13.5">
      <c r="A5411" s="128">
        <v>2007</v>
      </c>
      <c r="B5411" s="128" t="s">
        <v>139</v>
      </c>
      <c r="C5411" s="128" t="s">
        <v>23</v>
      </c>
      <c r="D5411" s="128" t="s">
        <v>79</v>
      </c>
      <c r="E5411" s="128" t="s">
        <v>132</v>
      </c>
      <c r="F5411" s="128">
        <v>363881.58</v>
      </c>
      <c r="G5411" s="128">
        <v>238993.65</v>
      </c>
      <c r="H5411" s="128">
        <v>87399.3</v>
      </c>
      <c r="I5411" s="128">
        <v>3689</v>
      </c>
    </row>
    <row r="5412" spans="1:9" ht="13.5">
      <c r="A5412" s="128">
        <v>2007</v>
      </c>
      <c r="B5412" s="128" t="s">
        <v>139</v>
      </c>
      <c r="C5412" s="128" t="s">
        <v>23</v>
      </c>
      <c r="D5412" s="128" t="s">
        <v>79</v>
      </c>
      <c r="E5412" s="128" t="s">
        <v>133</v>
      </c>
      <c r="F5412" s="128">
        <v>894105.83</v>
      </c>
      <c r="G5412" s="128">
        <v>486830.34</v>
      </c>
      <c r="H5412" s="128">
        <v>185838.9</v>
      </c>
      <c r="I5412" s="128">
        <v>6493</v>
      </c>
    </row>
    <row r="5413" spans="1:9" ht="13.5">
      <c r="A5413" s="128">
        <v>2007</v>
      </c>
      <c r="B5413" s="128" t="s">
        <v>139</v>
      </c>
      <c r="C5413" s="128" t="s">
        <v>23</v>
      </c>
      <c r="D5413" s="128" t="s">
        <v>79</v>
      </c>
      <c r="E5413" s="128" t="s">
        <v>134</v>
      </c>
      <c r="F5413" s="128">
        <v>630257.77</v>
      </c>
      <c r="G5413" s="128">
        <v>268500.86</v>
      </c>
      <c r="H5413" s="128">
        <v>135860.29</v>
      </c>
      <c r="I5413" s="128">
        <v>3522</v>
      </c>
    </row>
    <row r="5414" spans="1:9" ht="13.5">
      <c r="A5414" s="128">
        <v>2007</v>
      </c>
      <c r="B5414" s="128" t="s">
        <v>139</v>
      </c>
      <c r="C5414" s="128" t="s">
        <v>23</v>
      </c>
      <c r="D5414" s="128" t="s">
        <v>79</v>
      </c>
      <c r="E5414" s="128" t="s">
        <v>135</v>
      </c>
      <c r="F5414" s="128">
        <v>799768.91</v>
      </c>
      <c r="G5414" s="128">
        <v>286869.65000000002</v>
      </c>
      <c r="H5414" s="128">
        <v>100021.36</v>
      </c>
      <c r="I5414" s="128">
        <v>2669</v>
      </c>
    </row>
    <row r="5415" spans="1:9" ht="13.5">
      <c r="A5415" s="128">
        <v>2007</v>
      </c>
      <c r="B5415" s="128" t="s">
        <v>139</v>
      </c>
      <c r="C5415" s="128" t="s">
        <v>23</v>
      </c>
      <c r="D5415" s="128" t="s">
        <v>79</v>
      </c>
      <c r="E5415" s="128" t="s">
        <v>136</v>
      </c>
      <c r="F5415" s="128">
        <v>7545109.5999999996</v>
      </c>
      <c r="G5415" s="128">
        <v>5686828.8300000001</v>
      </c>
      <c r="H5415" s="128">
        <v>1858264.87</v>
      </c>
      <c r="I5415" s="128">
        <v>59674</v>
      </c>
    </row>
    <row r="5416" spans="1:9" ht="13.5">
      <c r="A5416" s="128">
        <v>2007</v>
      </c>
      <c r="B5416" s="128" t="s">
        <v>139</v>
      </c>
      <c r="C5416" s="128" t="s">
        <v>23</v>
      </c>
      <c r="D5416" s="128" t="s">
        <v>76</v>
      </c>
      <c r="E5416" s="128" t="s">
        <v>132</v>
      </c>
      <c r="F5416" s="128">
        <v>7902179.9199999999</v>
      </c>
      <c r="G5416" s="128">
        <v>5246355.58</v>
      </c>
      <c r="H5416" s="128">
        <v>2655769.5299999998</v>
      </c>
      <c r="I5416" s="128">
        <v>135259</v>
      </c>
    </row>
    <row r="5417" spans="1:9" ht="13.5">
      <c r="A5417" s="128">
        <v>2007</v>
      </c>
      <c r="B5417" s="128" t="s">
        <v>139</v>
      </c>
      <c r="C5417" s="128" t="s">
        <v>23</v>
      </c>
      <c r="D5417" s="128" t="s">
        <v>76</v>
      </c>
      <c r="E5417" s="128" t="s">
        <v>133</v>
      </c>
      <c r="F5417" s="128">
        <v>17738513.370000001</v>
      </c>
      <c r="G5417" s="128">
        <v>9689706.1500000004</v>
      </c>
      <c r="H5417" s="128">
        <v>8048799.4100000001</v>
      </c>
      <c r="I5417" s="128">
        <v>75567</v>
      </c>
    </row>
    <row r="5418" spans="1:9" ht="13.5">
      <c r="A5418" s="128">
        <v>2007</v>
      </c>
      <c r="B5418" s="128" t="s">
        <v>139</v>
      </c>
      <c r="C5418" s="128" t="s">
        <v>23</v>
      </c>
      <c r="D5418" s="128" t="s">
        <v>76</v>
      </c>
      <c r="E5418" s="128" t="s">
        <v>134</v>
      </c>
      <c r="F5418" s="128">
        <v>13118022.5</v>
      </c>
      <c r="G5418" s="128">
        <v>6066271.3200000003</v>
      </c>
      <c r="H5418" s="128">
        <v>7051724.0800000001</v>
      </c>
      <c r="I5418" s="128">
        <v>74667</v>
      </c>
    </row>
    <row r="5419" spans="1:9" ht="13.5">
      <c r="A5419" s="128">
        <v>2007</v>
      </c>
      <c r="B5419" s="128" t="s">
        <v>139</v>
      </c>
      <c r="C5419" s="128" t="s">
        <v>23</v>
      </c>
      <c r="D5419" s="128" t="s">
        <v>76</v>
      </c>
      <c r="E5419" s="128" t="s">
        <v>135</v>
      </c>
      <c r="F5419" s="128">
        <v>1044487.17</v>
      </c>
      <c r="G5419" s="128">
        <v>276289.89</v>
      </c>
      <c r="H5419" s="128">
        <v>768197.28</v>
      </c>
      <c r="I5419" s="128">
        <v>876</v>
      </c>
    </row>
    <row r="5420" spans="1:9" ht="13.5">
      <c r="A5420" s="128">
        <v>2007</v>
      </c>
      <c r="B5420" s="128" t="s">
        <v>139</v>
      </c>
      <c r="C5420" s="128" t="s">
        <v>23</v>
      </c>
      <c r="D5420" s="128" t="s">
        <v>76</v>
      </c>
      <c r="E5420" s="128" t="s">
        <v>136</v>
      </c>
      <c r="F5420" s="128">
        <v>2021489.63</v>
      </c>
      <c r="G5420" s="128">
        <v>1526558.94</v>
      </c>
      <c r="H5420" s="128">
        <v>495087.29</v>
      </c>
      <c r="I5420" s="128">
        <v>20615</v>
      </c>
    </row>
    <row r="5421" spans="1:9" ht="13.5">
      <c r="A5421" s="128">
        <v>2007</v>
      </c>
      <c r="B5421" s="128" t="s">
        <v>139</v>
      </c>
      <c r="C5421" s="128" t="s">
        <v>25</v>
      </c>
      <c r="D5421" s="128" t="s">
        <v>77</v>
      </c>
      <c r="E5421" s="128" t="s">
        <v>132</v>
      </c>
      <c r="F5421" s="128">
        <v>52158.64</v>
      </c>
      <c r="G5421" s="128">
        <v>35073.85</v>
      </c>
      <c r="H5421" s="128">
        <v>13430.49</v>
      </c>
      <c r="I5421" s="128">
        <v>324</v>
      </c>
    </row>
    <row r="5422" spans="1:9" ht="13.5">
      <c r="A5422" s="128">
        <v>2007</v>
      </c>
      <c r="B5422" s="128" t="s">
        <v>139</v>
      </c>
      <c r="C5422" s="128" t="s">
        <v>25</v>
      </c>
      <c r="D5422" s="128" t="s">
        <v>77</v>
      </c>
      <c r="E5422" s="128" t="s">
        <v>133</v>
      </c>
      <c r="F5422" s="128">
        <v>114301.8</v>
      </c>
      <c r="G5422" s="128">
        <v>61844.65</v>
      </c>
      <c r="H5422" s="128">
        <v>45892.68</v>
      </c>
      <c r="I5422" s="128">
        <v>549</v>
      </c>
    </row>
    <row r="5423" spans="1:9" ht="13.5">
      <c r="A5423" s="128">
        <v>2007</v>
      </c>
      <c r="B5423" s="128" t="s">
        <v>139</v>
      </c>
      <c r="C5423" s="128" t="s">
        <v>25</v>
      </c>
      <c r="D5423" s="128" t="s">
        <v>77</v>
      </c>
      <c r="E5423" s="128" t="s">
        <v>134</v>
      </c>
      <c r="F5423" s="128">
        <v>416686.53</v>
      </c>
      <c r="G5423" s="128">
        <v>176633.58</v>
      </c>
      <c r="H5423" s="128">
        <v>183327.74</v>
      </c>
      <c r="I5423" s="128">
        <v>1335</v>
      </c>
    </row>
    <row r="5424" spans="1:9" ht="13.5">
      <c r="A5424" s="128">
        <v>2007</v>
      </c>
      <c r="B5424" s="128" t="s">
        <v>139</v>
      </c>
      <c r="C5424" s="128" t="s">
        <v>25</v>
      </c>
      <c r="D5424" s="128" t="s">
        <v>77</v>
      </c>
      <c r="E5424" s="128" t="s">
        <v>135</v>
      </c>
      <c r="F5424" s="128">
        <v>743811.06</v>
      </c>
      <c r="G5424" s="128">
        <v>229250.23</v>
      </c>
      <c r="H5424" s="128">
        <v>263913.65000000002</v>
      </c>
      <c r="I5424" s="128">
        <v>2387</v>
      </c>
    </row>
    <row r="5425" spans="1:9" ht="13.5">
      <c r="A5425" s="128">
        <v>2007</v>
      </c>
      <c r="B5425" s="128" t="s">
        <v>139</v>
      </c>
      <c r="C5425" s="128" t="s">
        <v>25</v>
      </c>
      <c r="D5425" s="128" t="s">
        <v>79</v>
      </c>
      <c r="E5425" s="128" t="s">
        <v>132</v>
      </c>
      <c r="F5425" s="128">
        <v>233496.42</v>
      </c>
      <c r="G5425" s="128">
        <v>154496.35</v>
      </c>
      <c r="H5425" s="128">
        <v>51646.32</v>
      </c>
      <c r="I5425" s="128">
        <v>1574</v>
      </c>
    </row>
    <row r="5426" spans="1:9" ht="13.5">
      <c r="A5426" s="128">
        <v>2007</v>
      </c>
      <c r="B5426" s="128" t="s">
        <v>139</v>
      </c>
      <c r="C5426" s="128" t="s">
        <v>25</v>
      </c>
      <c r="D5426" s="128" t="s">
        <v>79</v>
      </c>
      <c r="E5426" s="128" t="s">
        <v>133</v>
      </c>
      <c r="F5426" s="128">
        <v>316287.64</v>
      </c>
      <c r="G5426" s="128">
        <v>175929.64</v>
      </c>
      <c r="H5426" s="128">
        <v>59026.44</v>
      </c>
      <c r="I5426" s="128">
        <v>1079</v>
      </c>
    </row>
    <row r="5427" spans="1:9" ht="13.5">
      <c r="A5427" s="128">
        <v>2007</v>
      </c>
      <c r="B5427" s="128" t="s">
        <v>139</v>
      </c>
      <c r="C5427" s="128" t="s">
        <v>25</v>
      </c>
      <c r="D5427" s="128" t="s">
        <v>79</v>
      </c>
      <c r="E5427" s="128" t="s">
        <v>134</v>
      </c>
      <c r="F5427" s="128">
        <v>486860.75</v>
      </c>
      <c r="G5427" s="128">
        <v>206509.25</v>
      </c>
      <c r="H5427" s="128">
        <v>70002.06</v>
      </c>
      <c r="I5427" s="128">
        <v>2322</v>
      </c>
    </row>
    <row r="5428" spans="1:9" ht="13.5">
      <c r="A5428" s="128">
        <v>2007</v>
      </c>
      <c r="B5428" s="128" t="s">
        <v>139</v>
      </c>
      <c r="C5428" s="128" t="s">
        <v>25</v>
      </c>
      <c r="D5428" s="128" t="s">
        <v>79</v>
      </c>
      <c r="E5428" s="128" t="s">
        <v>135</v>
      </c>
      <c r="F5428" s="128">
        <v>1549579.25</v>
      </c>
      <c r="G5428" s="128">
        <v>406051.9</v>
      </c>
      <c r="H5428" s="128">
        <v>138092.60999999999</v>
      </c>
      <c r="I5428" s="128">
        <v>3283</v>
      </c>
    </row>
    <row r="5429" spans="1:9" ht="13.5">
      <c r="A5429" s="128">
        <v>2007</v>
      </c>
      <c r="B5429" s="128" t="s">
        <v>139</v>
      </c>
      <c r="C5429" s="128" t="s">
        <v>25</v>
      </c>
      <c r="D5429" s="128" t="s">
        <v>79</v>
      </c>
      <c r="E5429" s="128" t="s">
        <v>136</v>
      </c>
      <c r="F5429" s="128">
        <v>1511065.71</v>
      </c>
      <c r="G5429" s="128">
        <v>1137221.3799999999</v>
      </c>
      <c r="H5429" s="128">
        <v>373844.33</v>
      </c>
      <c r="I5429" s="128">
        <v>20998</v>
      </c>
    </row>
    <row r="5430" spans="1:9" ht="13.5">
      <c r="A5430" s="128">
        <v>2007</v>
      </c>
      <c r="B5430" s="128" t="s">
        <v>139</v>
      </c>
      <c r="C5430" s="128" t="s">
        <v>25</v>
      </c>
      <c r="D5430" s="128" t="s">
        <v>76</v>
      </c>
      <c r="E5430" s="128" t="s">
        <v>132</v>
      </c>
      <c r="F5430" s="128">
        <v>2433928.4300000002</v>
      </c>
      <c r="G5430" s="128">
        <v>1587887.41</v>
      </c>
      <c r="H5430" s="128">
        <v>846039.53</v>
      </c>
      <c r="I5430" s="128">
        <v>31262</v>
      </c>
    </row>
    <row r="5431" spans="1:9" ht="13.5">
      <c r="A5431" s="128">
        <v>2007</v>
      </c>
      <c r="B5431" s="128" t="s">
        <v>139</v>
      </c>
      <c r="C5431" s="128" t="s">
        <v>25</v>
      </c>
      <c r="D5431" s="128" t="s">
        <v>76</v>
      </c>
      <c r="E5431" s="128" t="s">
        <v>133</v>
      </c>
      <c r="F5431" s="128">
        <v>4224139.49</v>
      </c>
      <c r="G5431" s="128">
        <v>2306558.1800000002</v>
      </c>
      <c r="H5431" s="128">
        <v>1918485.18</v>
      </c>
      <c r="I5431" s="128">
        <v>13261</v>
      </c>
    </row>
    <row r="5432" spans="1:9" ht="13.5">
      <c r="A5432" s="128">
        <v>2007</v>
      </c>
      <c r="B5432" s="128" t="s">
        <v>139</v>
      </c>
      <c r="C5432" s="128" t="s">
        <v>25</v>
      </c>
      <c r="D5432" s="128" t="s">
        <v>76</v>
      </c>
      <c r="E5432" s="128" t="s">
        <v>134</v>
      </c>
      <c r="F5432" s="128">
        <v>3322580.51</v>
      </c>
      <c r="G5432" s="128">
        <v>1542097.89</v>
      </c>
      <c r="H5432" s="128">
        <v>1780478.1</v>
      </c>
      <c r="I5432" s="128">
        <v>23438</v>
      </c>
    </row>
    <row r="5433" spans="1:9" ht="13.5">
      <c r="A5433" s="128">
        <v>2007</v>
      </c>
      <c r="B5433" s="128" t="s">
        <v>139</v>
      </c>
      <c r="C5433" s="128" t="s">
        <v>25</v>
      </c>
      <c r="D5433" s="128" t="s">
        <v>76</v>
      </c>
      <c r="E5433" s="128" t="s">
        <v>135</v>
      </c>
      <c r="F5433" s="128">
        <v>396269.31</v>
      </c>
      <c r="G5433" s="128">
        <v>109954.75</v>
      </c>
      <c r="H5433" s="128">
        <v>285410.56</v>
      </c>
      <c r="I5433" s="128">
        <v>343</v>
      </c>
    </row>
    <row r="5434" spans="1:9" ht="13.5">
      <c r="A5434" s="128">
        <v>2007</v>
      </c>
      <c r="B5434" s="128" t="s">
        <v>139</v>
      </c>
      <c r="C5434" s="128" t="s">
        <v>25</v>
      </c>
      <c r="D5434" s="128" t="s">
        <v>76</v>
      </c>
      <c r="E5434" s="128" t="s">
        <v>136</v>
      </c>
      <c r="F5434" s="128">
        <v>164242.79</v>
      </c>
      <c r="G5434" s="128">
        <v>131824.59</v>
      </c>
      <c r="H5434" s="128">
        <v>32418.2</v>
      </c>
      <c r="I5434" s="128">
        <v>1775</v>
      </c>
    </row>
    <row r="5435" spans="1:9" ht="13.5">
      <c r="A5435" s="128">
        <v>2007</v>
      </c>
      <c r="B5435" s="128" t="s">
        <v>139</v>
      </c>
      <c r="C5435" s="128" t="s">
        <v>21</v>
      </c>
      <c r="D5435" s="128" t="s">
        <v>77</v>
      </c>
      <c r="E5435" s="128" t="s">
        <v>132</v>
      </c>
      <c r="F5435" s="128">
        <v>1793414.42</v>
      </c>
      <c r="G5435" s="128">
        <v>1178839.7</v>
      </c>
      <c r="H5435" s="128">
        <v>531654.23</v>
      </c>
      <c r="I5435" s="128">
        <v>9980</v>
      </c>
    </row>
    <row r="5436" spans="1:9" ht="13.5">
      <c r="A5436" s="128">
        <v>2007</v>
      </c>
      <c r="B5436" s="128" t="s">
        <v>139</v>
      </c>
      <c r="C5436" s="128" t="s">
        <v>21</v>
      </c>
      <c r="D5436" s="128" t="s">
        <v>77</v>
      </c>
      <c r="E5436" s="128" t="s">
        <v>133</v>
      </c>
      <c r="F5436" s="128">
        <v>3117540.28</v>
      </c>
      <c r="G5436" s="128">
        <v>1694223.45</v>
      </c>
      <c r="H5436" s="128">
        <v>1137291.8899999999</v>
      </c>
      <c r="I5436" s="128">
        <v>12348</v>
      </c>
    </row>
    <row r="5437" spans="1:9" ht="13.5">
      <c r="A5437" s="128">
        <v>2007</v>
      </c>
      <c r="B5437" s="128" t="s">
        <v>139</v>
      </c>
      <c r="C5437" s="128" t="s">
        <v>21</v>
      </c>
      <c r="D5437" s="128" t="s">
        <v>77</v>
      </c>
      <c r="E5437" s="128" t="s">
        <v>134</v>
      </c>
      <c r="F5437" s="128">
        <v>5753019.1200000001</v>
      </c>
      <c r="G5437" s="128">
        <v>2471517.44</v>
      </c>
      <c r="H5437" s="128">
        <v>2197408.2599999998</v>
      </c>
      <c r="I5437" s="128">
        <v>23615</v>
      </c>
    </row>
    <row r="5438" spans="1:9" ht="13.5">
      <c r="A5438" s="128">
        <v>2007</v>
      </c>
      <c r="B5438" s="128" t="s">
        <v>139</v>
      </c>
      <c r="C5438" s="128" t="s">
        <v>21</v>
      </c>
      <c r="D5438" s="128" t="s">
        <v>77</v>
      </c>
      <c r="E5438" s="128" t="s">
        <v>135</v>
      </c>
      <c r="F5438" s="128">
        <v>5931999.4100000001</v>
      </c>
      <c r="G5438" s="128">
        <v>1709766.48</v>
      </c>
      <c r="H5438" s="128">
        <v>1717319.93</v>
      </c>
      <c r="I5438" s="128">
        <v>18015</v>
      </c>
    </row>
    <row r="5439" spans="1:9" ht="13.5">
      <c r="A5439" s="128">
        <v>2007</v>
      </c>
      <c r="B5439" s="128" t="s">
        <v>139</v>
      </c>
      <c r="C5439" s="128" t="s">
        <v>21</v>
      </c>
      <c r="D5439" s="128" t="s">
        <v>79</v>
      </c>
      <c r="E5439" s="128" t="s">
        <v>132</v>
      </c>
      <c r="F5439" s="128">
        <v>2796581.07</v>
      </c>
      <c r="G5439" s="128">
        <v>1849589.42</v>
      </c>
      <c r="H5439" s="128">
        <v>630259.13</v>
      </c>
      <c r="I5439" s="128">
        <v>21970</v>
      </c>
    </row>
    <row r="5440" spans="1:9" ht="13.5">
      <c r="A5440" s="128">
        <v>2007</v>
      </c>
      <c r="B5440" s="128" t="s">
        <v>139</v>
      </c>
      <c r="C5440" s="128" t="s">
        <v>21</v>
      </c>
      <c r="D5440" s="128" t="s">
        <v>79</v>
      </c>
      <c r="E5440" s="128" t="s">
        <v>133</v>
      </c>
      <c r="F5440" s="128">
        <v>2917212.83</v>
      </c>
      <c r="G5440" s="128">
        <v>1597282.86</v>
      </c>
      <c r="H5440" s="128">
        <v>602844.07999999996</v>
      </c>
      <c r="I5440" s="128">
        <v>15096</v>
      </c>
    </row>
    <row r="5441" spans="1:9" ht="13.5">
      <c r="A5441" s="128">
        <v>2007</v>
      </c>
      <c r="B5441" s="128" t="s">
        <v>139</v>
      </c>
      <c r="C5441" s="128" t="s">
        <v>21</v>
      </c>
      <c r="D5441" s="128" t="s">
        <v>79</v>
      </c>
      <c r="E5441" s="128" t="s">
        <v>134</v>
      </c>
      <c r="F5441" s="128">
        <v>6729120.4699999997</v>
      </c>
      <c r="G5441" s="128">
        <v>2860724.03</v>
      </c>
      <c r="H5441" s="128">
        <v>993106.97</v>
      </c>
      <c r="I5441" s="128">
        <v>47648</v>
      </c>
    </row>
    <row r="5442" spans="1:9" ht="13.5">
      <c r="A5442" s="128">
        <v>2007</v>
      </c>
      <c r="B5442" s="128" t="s">
        <v>139</v>
      </c>
      <c r="C5442" s="128" t="s">
        <v>21</v>
      </c>
      <c r="D5442" s="128" t="s">
        <v>79</v>
      </c>
      <c r="E5442" s="128" t="s">
        <v>135</v>
      </c>
      <c r="F5442" s="128">
        <v>12230880.619999999</v>
      </c>
      <c r="G5442" s="128">
        <v>2978764.11</v>
      </c>
      <c r="H5442" s="128">
        <v>1028743.86</v>
      </c>
      <c r="I5442" s="128">
        <v>27165</v>
      </c>
    </row>
    <row r="5443" spans="1:9" ht="13.5">
      <c r="A5443" s="128">
        <v>2007</v>
      </c>
      <c r="B5443" s="128" t="s">
        <v>139</v>
      </c>
      <c r="C5443" s="128" t="s">
        <v>21</v>
      </c>
      <c r="D5443" s="128" t="s">
        <v>79</v>
      </c>
      <c r="E5443" s="128" t="s">
        <v>136</v>
      </c>
      <c r="F5443" s="128">
        <v>13504680.119999999</v>
      </c>
      <c r="G5443" s="128">
        <v>10172661.289999999</v>
      </c>
      <c r="H5443" s="128">
        <v>3331841.53</v>
      </c>
      <c r="I5443" s="128">
        <v>147975</v>
      </c>
    </row>
    <row r="5444" spans="1:9" ht="13.5">
      <c r="A5444" s="128">
        <v>2007</v>
      </c>
      <c r="B5444" s="128" t="s">
        <v>139</v>
      </c>
      <c r="C5444" s="128" t="s">
        <v>21</v>
      </c>
      <c r="D5444" s="128" t="s">
        <v>76</v>
      </c>
      <c r="E5444" s="128" t="s">
        <v>132</v>
      </c>
      <c r="F5444" s="128">
        <v>24700971.539999999</v>
      </c>
      <c r="G5444" s="128">
        <v>15960634.73</v>
      </c>
      <c r="H5444" s="128">
        <v>8740231.2400000002</v>
      </c>
      <c r="I5444" s="128">
        <v>311820</v>
      </c>
    </row>
    <row r="5445" spans="1:9" ht="13.5">
      <c r="A5445" s="128">
        <v>2007</v>
      </c>
      <c r="B5445" s="128" t="s">
        <v>139</v>
      </c>
      <c r="C5445" s="128" t="s">
        <v>21</v>
      </c>
      <c r="D5445" s="128" t="s">
        <v>76</v>
      </c>
      <c r="E5445" s="128" t="s">
        <v>133</v>
      </c>
      <c r="F5445" s="128">
        <v>54909853.869999997</v>
      </c>
      <c r="G5445" s="128">
        <v>30170692.460000001</v>
      </c>
      <c r="H5445" s="128">
        <v>24739086.149999999</v>
      </c>
      <c r="I5445" s="128">
        <v>312444</v>
      </c>
    </row>
    <row r="5446" spans="1:9" ht="13.5">
      <c r="A5446" s="128">
        <v>2007</v>
      </c>
      <c r="B5446" s="128" t="s">
        <v>139</v>
      </c>
      <c r="C5446" s="128" t="s">
        <v>21</v>
      </c>
      <c r="D5446" s="128" t="s">
        <v>76</v>
      </c>
      <c r="E5446" s="128" t="s">
        <v>134</v>
      </c>
      <c r="F5446" s="128">
        <v>33631508.409999996</v>
      </c>
      <c r="G5446" s="128">
        <v>15503509.029999999</v>
      </c>
      <c r="H5446" s="128">
        <v>18127877.5</v>
      </c>
      <c r="I5446" s="128">
        <v>234603</v>
      </c>
    </row>
    <row r="5447" spans="1:9" ht="13.5">
      <c r="A5447" s="128">
        <v>2007</v>
      </c>
      <c r="B5447" s="128" t="s">
        <v>139</v>
      </c>
      <c r="C5447" s="128" t="s">
        <v>21</v>
      </c>
      <c r="D5447" s="128" t="s">
        <v>76</v>
      </c>
      <c r="E5447" s="128" t="s">
        <v>135</v>
      </c>
      <c r="F5447" s="128">
        <v>2481699.0099999998</v>
      </c>
      <c r="G5447" s="128">
        <v>706464.77</v>
      </c>
      <c r="H5447" s="128">
        <v>1775233.44</v>
      </c>
      <c r="I5447" s="128">
        <v>2547</v>
      </c>
    </row>
    <row r="5448" spans="1:9" ht="13.5">
      <c r="A5448" s="128">
        <v>2007</v>
      </c>
      <c r="B5448" s="128" t="s">
        <v>139</v>
      </c>
      <c r="C5448" s="128" t="s">
        <v>21</v>
      </c>
      <c r="D5448" s="128" t="s">
        <v>76</v>
      </c>
      <c r="E5448" s="128" t="s">
        <v>136</v>
      </c>
      <c r="F5448" s="128">
        <v>6461761.0999999996</v>
      </c>
      <c r="G5448" s="128">
        <v>4876019.58</v>
      </c>
      <c r="H5448" s="128">
        <v>1586021.07</v>
      </c>
      <c r="I5448" s="128">
        <v>106250</v>
      </c>
    </row>
    <row r="5449" spans="1:9" ht="13.5">
      <c r="A5449" s="128">
        <v>2007</v>
      </c>
      <c r="B5449" s="128" t="s">
        <v>139</v>
      </c>
      <c r="C5449" s="128" t="s">
        <v>24</v>
      </c>
      <c r="D5449" s="128" t="s">
        <v>77</v>
      </c>
      <c r="E5449" s="128" t="s">
        <v>132</v>
      </c>
      <c r="F5449" s="128">
        <v>1239290.54</v>
      </c>
      <c r="G5449" s="128">
        <v>845545.48</v>
      </c>
      <c r="H5449" s="128">
        <v>365022.76</v>
      </c>
      <c r="I5449" s="128">
        <v>9057</v>
      </c>
    </row>
    <row r="5450" spans="1:9" ht="13.5">
      <c r="A5450" s="128">
        <v>2007</v>
      </c>
      <c r="B5450" s="128" t="s">
        <v>139</v>
      </c>
      <c r="C5450" s="128" t="s">
        <v>24</v>
      </c>
      <c r="D5450" s="128" t="s">
        <v>77</v>
      </c>
      <c r="E5450" s="128" t="s">
        <v>133</v>
      </c>
      <c r="F5450" s="128">
        <v>2713456.41</v>
      </c>
      <c r="G5450" s="128">
        <v>1479717.85</v>
      </c>
      <c r="H5450" s="128">
        <v>975901.9</v>
      </c>
      <c r="I5450" s="128">
        <v>11488</v>
      </c>
    </row>
    <row r="5451" spans="1:9" ht="13.5">
      <c r="A5451" s="128">
        <v>2007</v>
      </c>
      <c r="B5451" s="128" t="s">
        <v>139</v>
      </c>
      <c r="C5451" s="128" t="s">
        <v>24</v>
      </c>
      <c r="D5451" s="128" t="s">
        <v>77</v>
      </c>
      <c r="E5451" s="128" t="s">
        <v>134</v>
      </c>
      <c r="F5451" s="128">
        <v>4997365.7599999998</v>
      </c>
      <c r="G5451" s="128">
        <v>2197670.86</v>
      </c>
      <c r="H5451" s="128">
        <v>1605114.52</v>
      </c>
      <c r="I5451" s="128">
        <v>20420</v>
      </c>
    </row>
    <row r="5452" spans="1:9" ht="13.5">
      <c r="A5452" s="128">
        <v>2007</v>
      </c>
      <c r="B5452" s="128" t="s">
        <v>139</v>
      </c>
      <c r="C5452" s="128" t="s">
        <v>24</v>
      </c>
      <c r="D5452" s="128" t="s">
        <v>77</v>
      </c>
      <c r="E5452" s="128" t="s">
        <v>135</v>
      </c>
      <c r="F5452" s="128">
        <v>7069515.5499999998</v>
      </c>
      <c r="G5452" s="128">
        <v>1826896.07</v>
      </c>
      <c r="H5452" s="128">
        <v>1422654.99</v>
      </c>
      <c r="I5452" s="128">
        <v>17150</v>
      </c>
    </row>
    <row r="5453" spans="1:9" ht="13.5">
      <c r="A5453" s="128">
        <v>2007</v>
      </c>
      <c r="B5453" s="128" t="s">
        <v>139</v>
      </c>
      <c r="C5453" s="128" t="s">
        <v>24</v>
      </c>
      <c r="D5453" s="128" t="s">
        <v>79</v>
      </c>
      <c r="E5453" s="128" t="s">
        <v>132</v>
      </c>
      <c r="F5453" s="128">
        <v>621132.56999999995</v>
      </c>
      <c r="G5453" s="128">
        <v>402435.62</v>
      </c>
      <c r="H5453" s="128">
        <v>136259.07999999999</v>
      </c>
      <c r="I5453" s="128">
        <v>5490</v>
      </c>
    </row>
    <row r="5454" spans="1:9" ht="13.5">
      <c r="A5454" s="128">
        <v>2007</v>
      </c>
      <c r="B5454" s="128" t="s">
        <v>139</v>
      </c>
      <c r="C5454" s="128" t="s">
        <v>24</v>
      </c>
      <c r="D5454" s="128" t="s">
        <v>79</v>
      </c>
      <c r="E5454" s="128" t="s">
        <v>133</v>
      </c>
      <c r="F5454" s="128">
        <v>1557940.87</v>
      </c>
      <c r="G5454" s="128">
        <v>855119.67</v>
      </c>
      <c r="H5454" s="128">
        <v>289582.53000000003</v>
      </c>
      <c r="I5454" s="128">
        <v>18319</v>
      </c>
    </row>
    <row r="5455" spans="1:9" ht="13.5">
      <c r="A5455" s="128">
        <v>2007</v>
      </c>
      <c r="B5455" s="128" t="s">
        <v>139</v>
      </c>
      <c r="C5455" s="128" t="s">
        <v>24</v>
      </c>
      <c r="D5455" s="128" t="s">
        <v>79</v>
      </c>
      <c r="E5455" s="128" t="s">
        <v>134</v>
      </c>
      <c r="F5455" s="128">
        <v>2233493.94</v>
      </c>
      <c r="G5455" s="128">
        <v>966176.09</v>
      </c>
      <c r="H5455" s="128">
        <v>329088.74</v>
      </c>
      <c r="I5455" s="128">
        <v>23624</v>
      </c>
    </row>
    <row r="5456" spans="1:9" ht="13.5">
      <c r="A5456" s="128">
        <v>2007</v>
      </c>
      <c r="B5456" s="128" t="s">
        <v>139</v>
      </c>
      <c r="C5456" s="128" t="s">
        <v>24</v>
      </c>
      <c r="D5456" s="128" t="s">
        <v>79</v>
      </c>
      <c r="E5456" s="128" t="s">
        <v>135</v>
      </c>
      <c r="F5456" s="128">
        <v>2716103.24</v>
      </c>
      <c r="G5456" s="128">
        <v>584780.12</v>
      </c>
      <c r="H5456" s="128">
        <v>196252.34</v>
      </c>
      <c r="I5456" s="128">
        <v>4842</v>
      </c>
    </row>
    <row r="5457" spans="1:9" ht="13.5">
      <c r="A5457" s="128">
        <v>2007</v>
      </c>
      <c r="B5457" s="128" t="s">
        <v>139</v>
      </c>
      <c r="C5457" s="128" t="s">
        <v>24</v>
      </c>
      <c r="D5457" s="128" t="s">
        <v>79</v>
      </c>
      <c r="E5457" s="128" t="s">
        <v>136</v>
      </c>
      <c r="F5457" s="128">
        <v>1646541.11</v>
      </c>
      <c r="G5457" s="128">
        <v>1244549.8</v>
      </c>
      <c r="H5457" s="128">
        <v>401991.31</v>
      </c>
      <c r="I5457" s="128">
        <v>39649</v>
      </c>
    </row>
    <row r="5458" spans="1:9" ht="13.5">
      <c r="A5458" s="128">
        <v>2007</v>
      </c>
      <c r="B5458" s="128" t="s">
        <v>139</v>
      </c>
      <c r="C5458" s="128" t="s">
        <v>24</v>
      </c>
      <c r="D5458" s="128" t="s">
        <v>76</v>
      </c>
      <c r="E5458" s="128" t="s">
        <v>132</v>
      </c>
      <c r="F5458" s="128">
        <v>7458699.4699999997</v>
      </c>
      <c r="G5458" s="128">
        <v>4759331.51</v>
      </c>
      <c r="H5458" s="128">
        <v>2699352.24</v>
      </c>
      <c r="I5458" s="128">
        <v>85498</v>
      </c>
    </row>
    <row r="5459" spans="1:9" ht="13.5">
      <c r="A5459" s="128">
        <v>2007</v>
      </c>
      <c r="B5459" s="128" t="s">
        <v>139</v>
      </c>
      <c r="C5459" s="128" t="s">
        <v>24</v>
      </c>
      <c r="D5459" s="128" t="s">
        <v>76</v>
      </c>
      <c r="E5459" s="128" t="s">
        <v>133</v>
      </c>
      <c r="F5459" s="128">
        <v>16360755.66</v>
      </c>
      <c r="G5459" s="128">
        <v>9090475.4100000001</v>
      </c>
      <c r="H5459" s="128">
        <v>7270279.6900000004</v>
      </c>
      <c r="I5459" s="128">
        <v>60273</v>
      </c>
    </row>
    <row r="5460" spans="1:9" ht="13.5">
      <c r="A5460" s="128">
        <v>2007</v>
      </c>
      <c r="B5460" s="128" t="s">
        <v>139</v>
      </c>
      <c r="C5460" s="128" t="s">
        <v>24</v>
      </c>
      <c r="D5460" s="128" t="s">
        <v>76</v>
      </c>
      <c r="E5460" s="128" t="s">
        <v>134</v>
      </c>
      <c r="F5460" s="128">
        <v>15722716.6</v>
      </c>
      <c r="G5460" s="128">
        <v>7001820.04</v>
      </c>
      <c r="H5460" s="128">
        <v>8720887.1099999994</v>
      </c>
      <c r="I5460" s="128">
        <v>90876</v>
      </c>
    </row>
    <row r="5461" spans="1:9" ht="13.5">
      <c r="A5461" s="128">
        <v>2007</v>
      </c>
      <c r="B5461" s="128" t="s">
        <v>139</v>
      </c>
      <c r="C5461" s="128" t="s">
        <v>24</v>
      </c>
      <c r="D5461" s="128" t="s">
        <v>76</v>
      </c>
      <c r="E5461" s="128" t="s">
        <v>135</v>
      </c>
      <c r="F5461" s="128">
        <v>2381599.64</v>
      </c>
      <c r="G5461" s="128">
        <v>550997.87</v>
      </c>
      <c r="H5461" s="128">
        <v>1830601.77</v>
      </c>
      <c r="I5461" s="128">
        <v>1705</v>
      </c>
    </row>
    <row r="5462" spans="1:9" ht="13.5">
      <c r="A5462" s="128">
        <v>2007</v>
      </c>
      <c r="B5462" s="128" t="s">
        <v>139</v>
      </c>
      <c r="C5462" s="128" t="s">
        <v>24</v>
      </c>
      <c r="D5462" s="128" t="s">
        <v>76</v>
      </c>
      <c r="E5462" s="128" t="s">
        <v>136</v>
      </c>
      <c r="F5462" s="128">
        <v>1045432.81</v>
      </c>
      <c r="G5462" s="128">
        <v>796797.32</v>
      </c>
      <c r="H5462" s="128">
        <v>248760.79</v>
      </c>
      <c r="I5462" s="128">
        <v>14577</v>
      </c>
    </row>
    <row r="5463" spans="1:9" ht="13.5">
      <c r="A5463" s="128">
        <v>2007</v>
      </c>
      <c r="B5463" s="128" t="s">
        <v>137</v>
      </c>
      <c r="C5463" s="128" t="s">
        <v>20</v>
      </c>
      <c r="D5463" s="128" t="s">
        <v>79</v>
      </c>
      <c r="E5463" s="128" t="s">
        <v>136</v>
      </c>
      <c r="F5463" s="128">
        <v>21828520.640000001</v>
      </c>
      <c r="G5463" s="128">
        <v>16709363.550000001</v>
      </c>
      <c r="H5463" s="128">
        <v>5118790.46</v>
      </c>
      <c r="I5463" s="128">
        <v>388847</v>
      </c>
    </row>
    <row r="5464" spans="1:9" ht="13.5">
      <c r="A5464" s="128">
        <v>2007</v>
      </c>
      <c r="B5464" s="128" t="s">
        <v>137</v>
      </c>
      <c r="C5464" s="128" t="s">
        <v>20</v>
      </c>
      <c r="D5464" s="128" t="s">
        <v>79</v>
      </c>
      <c r="E5464" s="128" t="s">
        <v>132</v>
      </c>
      <c r="F5464" s="128">
        <v>6191832.3099999996</v>
      </c>
      <c r="G5464" s="128">
        <v>4365914.32</v>
      </c>
      <c r="H5464" s="128">
        <v>1446395.75</v>
      </c>
      <c r="I5464" s="128">
        <v>51053</v>
      </c>
    </row>
    <row r="5465" spans="1:9" ht="13.5">
      <c r="A5465" s="128">
        <v>2007</v>
      </c>
      <c r="B5465" s="128" t="s">
        <v>137</v>
      </c>
      <c r="C5465" s="128" t="s">
        <v>20</v>
      </c>
      <c r="D5465" s="128" t="s">
        <v>79</v>
      </c>
      <c r="E5465" s="128" t="s">
        <v>133</v>
      </c>
      <c r="F5465" s="128">
        <v>4991273.57</v>
      </c>
      <c r="G5465" s="128">
        <v>2702233.72</v>
      </c>
      <c r="H5465" s="128">
        <v>929623.42</v>
      </c>
      <c r="I5465" s="128">
        <v>43574</v>
      </c>
    </row>
    <row r="5466" spans="1:9" ht="13.5">
      <c r="A5466" s="128">
        <v>2007</v>
      </c>
      <c r="B5466" s="128" t="s">
        <v>137</v>
      </c>
      <c r="C5466" s="128" t="s">
        <v>20</v>
      </c>
      <c r="D5466" s="128" t="s">
        <v>79</v>
      </c>
      <c r="E5466" s="128" t="s">
        <v>134</v>
      </c>
      <c r="F5466" s="128">
        <v>16807172.129999999</v>
      </c>
      <c r="G5466" s="128">
        <v>7114808.0899999999</v>
      </c>
      <c r="H5466" s="128">
        <v>2440186.5299999998</v>
      </c>
      <c r="I5466" s="128">
        <v>70276</v>
      </c>
    </row>
    <row r="5467" spans="1:9" ht="13.5">
      <c r="A5467" s="128">
        <v>2007</v>
      </c>
      <c r="B5467" s="128" t="s">
        <v>137</v>
      </c>
      <c r="C5467" s="128" t="s">
        <v>20</v>
      </c>
      <c r="D5467" s="128" t="s">
        <v>79</v>
      </c>
      <c r="E5467" s="128" t="s">
        <v>135</v>
      </c>
      <c r="F5467" s="128">
        <v>75148097.549999997</v>
      </c>
      <c r="G5467" s="128">
        <v>19782556.530000001</v>
      </c>
      <c r="H5467" s="128">
        <v>6696173.4100000001</v>
      </c>
      <c r="I5467" s="128">
        <v>148671</v>
      </c>
    </row>
    <row r="5468" spans="1:9" ht="13.5">
      <c r="A5468" s="128">
        <v>2007</v>
      </c>
      <c r="B5468" s="128" t="s">
        <v>137</v>
      </c>
      <c r="C5468" s="128" t="s">
        <v>20</v>
      </c>
      <c r="D5468" s="128" t="s">
        <v>77</v>
      </c>
      <c r="E5468" s="128" t="s">
        <v>132</v>
      </c>
      <c r="F5468" s="128">
        <v>844535.95</v>
      </c>
      <c r="G5468" s="128">
        <v>557292.23</v>
      </c>
      <c r="H5468" s="128">
        <v>259603.7</v>
      </c>
      <c r="I5468" s="128">
        <v>10607</v>
      </c>
    </row>
    <row r="5469" spans="1:9" ht="13.5">
      <c r="A5469" s="128">
        <v>2007</v>
      </c>
      <c r="B5469" s="128" t="s">
        <v>137</v>
      </c>
      <c r="C5469" s="128" t="s">
        <v>20</v>
      </c>
      <c r="D5469" s="128" t="s">
        <v>77</v>
      </c>
      <c r="E5469" s="128" t="s">
        <v>133</v>
      </c>
      <c r="F5469" s="128">
        <v>1527249.43</v>
      </c>
      <c r="G5469" s="128">
        <v>825558.29</v>
      </c>
      <c r="H5469" s="128">
        <v>609382.36</v>
      </c>
      <c r="I5469" s="128">
        <v>8470</v>
      </c>
    </row>
    <row r="5470" spans="1:9" ht="13.5">
      <c r="A5470" s="128">
        <v>2007</v>
      </c>
      <c r="B5470" s="128" t="s">
        <v>137</v>
      </c>
      <c r="C5470" s="128" t="s">
        <v>20</v>
      </c>
      <c r="D5470" s="128" t="s">
        <v>77</v>
      </c>
      <c r="E5470" s="128" t="s">
        <v>134</v>
      </c>
      <c r="F5470" s="128">
        <v>4224561.5199999996</v>
      </c>
      <c r="G5470" s="128">
        <v>1840079.72</v>
      </c>
      <c r="H5470" s="128">
        <v>1745624.86</v>
      </c>
      <c r="I5470" s="128">
        <v>20699</v>
      </c>
    </row>
    <row r="5471" spans="1:9" ht="13.5">
      <c r="A5471" s="128">
        <v>2007</v>
      </c>
      <c r="B5471" s="128" t="s">
        <v>137</v>
      </c>
      <c r="C5471" s="128" t="s">
        <v>20</v>
      </c>
      <c r="D5471" s="128" t="s">
        <v>77</v>
      </c>
      <c r="E5471" s="128" t="s">
        <v>135</v>
      </c>
      <c r="F5471" s="128">
        <v>6175040.1200000001</v>
      </c>
      <c r="G5471" s="128">
        <v>1667084.3</v>
      </c>
      <c r="H5471" s="128">
        <v>1840302.15</v>
      </c>
      <c r="I5471" s="128">
        <v>16315</v>
      </c>
    </row>
    <row r="5472" spans="1:9" ht="13.5">
      <c r="A5472" s="128">
        <v>2007</v>
      </c>
      <c r="B5472" s="128" t="s">
        <v>137</v>
      </c>
      <c r="C5472" s="128" t="s">
        <v>20</v>
      </c>
      <c r="D5472" s="128" t="s">
        <v>76</v>
      </c>
      <c r="E5472" s="128" t="s">
        <v>136</v>
      </c>
      <c r="F5472" s="128">
        <v>6006900.3200000003</v>
      </c>
      <c r="G5472" s="128">
        <v>4552767.58</v>
      </c>
      <c r="H5472" s="128">
        <v>1454526.39</v>
      </c>
      <c r="I5472" s="128">
        <v>192618</v>
      </c>
    </row>
    <row r="5473" spans="1:9" ht="13.5">
      <c r="A5473" s="128">
        <v>2007</v>
      </c>
      <c r="B5473" s="128" t="s">
        <v>137</v>
      </c>
      <c r="C5473" s="128" t="s">
        <v>20</v>
      </c>
      <c r="D5473" s="128" t="s">
        <v>76</v>
      </c>
      <c r="E5473" s="128" t="s">
        <v>132</v>
      </c>
      <c r="F5473" s="128">
        <v>32945425.32</v>
      </c>
      <c r="G5473" s="128">
        <v>21339281.98</v>
      </c>
      <c r="H5473" s="128">
        <v>11606099.869999999</v>
      </c>
      <c r="I5473" s="128">
        <v>458778</v>
      </c>
    </row>
    <row r="5474" spans="1:9" ht="13.5">
      <c r="A5474" s="128">
        <v>2007</v>
      </c>
      <c r="B5474" s="128" t="s">
        <v>137</v>
      </c>
      <c r="C5474" s="128" t="s">
        <v>20</v>
      </c>
      <c r="D5474" s="128" t="s">
        <v>76</v>
      </c>
      <c r="E5474" s="128" t="s">
        <v>133</v>
      </c>
      <c r="F5474" s="128">
        <v>58240533.450000003</v>
      </c>
      <c r="G5474" s="128">
        <v>32019063.239999998</v>
      </c>
      <c r="H5474" s="128">
        <v>26221182.719999999</v>
      </c>
      <c r="I5474" s="128">
        <v>239682</v>
      </c>
    </row>
    <row r="5475" spans="1:9" ht="13.5">
      <c r="A5475" s="128">
        <v>2007</v>
      </c>
      <c r="B5475" s="128" t="s">
        <v>137</v>
      </c>
      <c r="C5475" s="128" t="s">
        <v>20</v>
      </c>
      <c r="D5475" s="128" t="s">
        <v>76</v>
      </c>
      <c r="E5475" s="128" t="s">
        <v>134</v>
      </c>
      <c r="F5475" s="128">
        <v>47685265.539999999</v>
      </c>
      <c r="G5475" s="128">
        <v>22147285.890000001</v>
      </c>
      <c r="H5475" s="128">
        <v>25537933.91</v>
      </c>
      <c r="I5475" s="128">
        <v>324361</v>
      </c>
    </row>
    <row r="5476" spans="1:9" ht="13.5">
      <c r="A5476" s="128">
        <v>2007</v>
      </c>
      <c r="B5476" s="128" t="s">
        <v>137</v>
      </c>
      <c r="C5476" s="128" t="s">
        <v>20</v>
      </c>
      <c r="D5476" s="128" t="s">
        <v>76</v>
      </c>
      <c r="E5476" s="128" t="s">
        <v>135</v>
      </c>
      <c r="F5476" s="128">
        <v>4220748.2699999996</v>
      </c>
      <c r="G5476" s="128">
        <v>1195381.78</v>
      </c>
      <c r="H5476" s="128">
        <v>3025393.4</v>
      </c>
      <c r="I5476" s="128">
        <v>4872</v>
      </c>
    </row>
    <row r="5477" spans="1:9" ht="13.5">
      <c r="A5477" s="128">
        <v>2007</v>
      </c>
      <c r="B5477" s="128" t="s">
        <v>137</v>
      </c>
      <c r="C5477" s="128" t="s">
        <v>21</v>
      </c>
      <c r="D5477" s="128" t="s">
        <v>79</v>
      </c>
      <c r="E5477" s="128" t="s">
        <v>136</v>
      </c>
      <c r="F5477" s="128">
        <v>13426173.960000001</v>
      </c>
      <c r="G5477" s="128">
        <v>10118866.720000001</v>
      </c>
      <c r="H5477" s="128">
        <v>3307249.89</v>
      </c>
      <c r="I5477" s="128">
        <v>154433</v>
      </c>
    </row>
    <row r="5478" spans="1:9" ht="13.5">
      <c r="A5478" s="128">
        <v>2007</v>
      </c>
      <c r="B5478" s="128" t="s">
        <v>137</v>
      </c>
      <c r="C5478" s="128" t="s">
        <v>21</v>
      </c>
      <c r="D5478" s="128" t="s">
        <v>79</v>
      </c>
      <c r="E5478" s="128" t="s">
        <v>132</v>
      </c>
      <c r="F5478" s="128">
        <v>3019241.09</v>
      </c>
      <c r="G5478" s="128">
        <v>2027387.27</v>
      </c>
      <c r="H5478" s="128">
        <v>699147.76</v>
      </c>
      <c r="I5478" s="128">
        <v>23395</v>
      </c>
    </row>
    <row r="5479" spans="1:9" ht="13.5">
      <c r="A5479" s="128">
        <v>2007</v>
      </c>
      <c r="B5479" s="128" t="s">
        <v>137</v>
      </c>
      <c r="C5479" s="128" t="s">
        <v>21</v>
      </c>
      <c r="D5479" s="128" t="s">
        <v>79</v>
      </c>
      <c r="E5479" s="128" t="s">
        <v>133</v>
      </c>
      <c r="F5479" s="128">
        <v>2987205.39</v>
      </c>
      <c r="G5479" s="128">
        <v>1636941.86</v>
      </c>
      <c r="H5479" s="128">
        <v>635207.87</v>
      </c>
      <c r="I5479" s="128">
        <v>17465</v>
      </c>
    </row>
    <row r="5480" spans="1:9" ht="13.5">
      <c r="A5480" s="128">
        <v>2007</v>
      </c>
      <c r="B5480" s="128" t="s">
        <v>137</v>
      </c>
      <c r="C5480" s="128" t="s">
        <v>21</v>
      </c>
      <c r="D5480" s="128" t="s">
        <v>79</v>
      </c>
      <c r="E5480" s="128" t="s">
        <v>134</v>
      </c>
      <c r="F5480" s="128">
        <v>7173700.3700000001</v>
      </c>
      <c r="G5480" s="128">
        <v>3040377.33</v>
      </c>
      <c r="H5480" s="128">
        <v>1061817.04</v>
      </c>
      <c r="I5480" s="128">
        <v>49384</v>
      </c>
    </row>
    <row r="5481" spans="1:9" ht="13.5">
      <c r="A5481" s="128">
        <v>2007</v>
      </c>
      <c r="B5481" s="128" t="s">
        <v>137</v>
      </c>
      <c r="C5481" s="128" t="s">
        <v>21</v>
      </c>
      <c r="D5481" s="128" t="s">
        <v>79</v>
      </c>
      <c r="E5481" s="128" t="s">
        <v>135</v>
      </c>
      <c r="F5481" s="128">
        <v>13433362.949999999</v>
      </c>
      <c r="G5481" s="128">
        <v>3608644.65</v>
      </c>
      <c r="H5481" s="128">
        <v>1211429.6299999999</v>
      </c>
      <c r="I5481" s="128">
        <v>32736</v>
      </c>
    </row>
    <row r="5482" spans="1:9" ht="13.5">
      <c r="A5482" s="128">
        <v>2007</v>
      </c>
      <c r="B5482" s="128" t="s">
        <v>137</v>
      </c>
      <c r="C5482" s="128" t="s">
        <v>21</v>
      </c>
      <c r="D5482" s="128" t="s">
        <v>77</v>
      </c>
      <c r="E5482" s="128" t="s">
        <v>132</v>
      </c>
      <c r="F5482" s="128">
        <v>1942545.02</v>
      </c>
      <c r="G5482" s="128">
        <v>1265180.94</v>
      </c>
      <c r="H5482" s="128">
        <v>553984.36</v>
      </c>
      <c r="I5482" s="128">
        <v>10767</v>
      </c>
    </row>
    <row r="5483" spans="1:9" ht="13.5">
      <c r="A5483" s="128">
        <v>2007</v>
      </c>
      <c r="B5483" s="128" t="s">
        <v>137</v>
      </c>
      <c r="C5483" s="128" t="s">
        <v>21</v>
      </c>
      <c r="D5483" s="128" t="s">
        <v>77</v>
      </c>
      <c r="E5483" s="128" t="s">
        <v>133</v>
      </c>
      <c r="F5483" s="128">
        <v>3206928.91</v>
      </c>
      <c r="G5483" s="128">
        <v>1733626.6</v>
      </c>
      <c r="H5483" s="128">
        <v>1152437.94</v>
      </c>
      <c r="I5483" s="128">
        <v>14119</v>
      </c>
    </row>
    <row r="5484" spans="1:9" ht="13.5">
      <c r="A5484" s="128">
        <v>2007</v>
      </c>
      <c r="B5484" s="128" t="s">
        <v>137</v>
      </c>
      <c r="C5484" s="128" t="s">
        <v>21</v>
      </c>
      <c r="D5484" s="128" t="s">
        <v>77</v>
      </c>
      <c r="E5484" s="128" t="s">
        <v>134</v>
      </c>
      <c r="F5484" s="128">
        <v>6731715.75</v>
      </c>
      <c r="G5484" s="128">
        <v>2883701.58</v>
      </c>
      <c r="H5484" s="128">
        <v>2530531.58</v>
      </c>
      <c r="I5484" s="128">
        <v>26801</v>
      </c>
    </row>
    <row r="5485" spans="1:9" ht="13.5">
      <c r="A5485" s="128">
        <v>2007</v>
      </c>
      <c r="B5485" s="128" t="s">
        <v>137</v>
      </c>
      <c r="C5485" s="128" t="s">
        <v>21</v>
      </c>
      <c r="D5485" s="128" t="s">
        <v>77</v>
      </c>
      <c r="E5485" s="128" t="s">
        <v>135</v>
      </c>
      <c r="F5485" s="128">
        <v>7535765.1900000004</v>
      </c>
      <c r="G5485" s="128">
        <v>2142303.2799999998</v>
      </c>
      <c r="H5485" s="128">
        <v>2131779.29</v>
      </c>
      <c r="I5485" s="128">
        <v>22381</v>
      </c>
    </row>
    <row r="5486" spans="1:9" ht="13.5">
      <c r="A5486" s="128">
        <v>2007</v>
      </c>
      <c r="B5486" s="128" t="s">
        <v>137</v>
      </c>
      <c r="C5486" s="128" t="s">
        <v>21</v>
      </c>
      <c r="D5486" s="128" t="s">
        <v>76</v>
      </c>
      <c r="E5486" s="128" t="s">
        <v>136</v>
      </c>
      <c r="F5486" s="128">
        <v>7450077.1100000003</v>
      </c>
      <c r="G5486" s="128">
        <v>5628384.1900000004</v>
      </c>
      <c r="H5486" s="128">
        <v>1821734.19</v>
      </c>
      <c r="I5486" s="128">
        <v>143704</v>
      </c>
    </row>
    <row r="5487" spans="1:9" ht="13.5">
      <c r="A5487" s="128">
        <v>2007</v>
      </c>
      <c r="B5487" s="128" t="s">
        <v>137</v>
      </c>
      <c r="C5487" s="128" t="s">
        <v>21</v>
      </c>
      <c r="D5487" s="128" t="s">
        <v>76</v>
      </c>
      <c r="E5487" s="128" t="s">
        <v>132</v>
      </c>
      <c r="F5487" s="128">
        <v>30270138.690000001</v>
      </c>
      <c r="G5487" s="128">
        <v>19748655.890000001</v>
      </c>
      <c r="H5487" s="128">
        <v>10521448.619999999</v>
      </c>
      <c r="I5487" s="128">
        <v>401164</v>
      </c>
    </row>
    <row r="5488" spans="1:9" ht="13.5">
      <c r="A5488" s="128">
        <v>2007</v>
      </c>
      <c r="B5488" s="128" t="s">
        <v>137</v>
      </c>
      <c r="C5488" s="128" t="s">
        <v>21</v>
      </c>
      <c r="D5488" s="128" t="s">
        <v>76</v>
      </c>
      <c r="E5488" s="128" t="s">
        <v>133</v>
      </c>
      <c r="F5488" s="128">
        <v>67661527.959999993</v>
      </c>
      <c r="G5488" s="128">
        <v>37303668.939999998</v>
      </c>
      <c r="H5488" s="128">
        <v>30357808.399999999</v>
      </c>
      <c r="I5488" s="128">
        <v>426080</v>
      </c>
    </row>
    <row r="5489" spans="1:9" ht="13.5">
      <c r="A5489" s="128">
        <v>2007</v>
      </c>
      <c r="B5489" s="128" t="s">
        <v>137</v>
      </c>
      <c r="C5489" s="128" t="s">
        <v>21</v>
      </c>
      <c r="D5489" s="128" t="s">
        <v>76</v>
      </c>
      <c r="E5489" s="128" t="s">
        <v>134</v>
      </c>
      <c r="F5489" s="128">
        <v>49975103.649999999</v>
      </c>
      <c r="G5489" s="128">
        <v>22842896.440000001</v>
      </c>
      <c r="H5489" s="128">
        <v>27132129.949999999</v>
      </c>
      <c r="I5489" s="128">
        <v>320812</v>
      </c>
    </row>
    <row r="5490" spans="1:9" ht="13.5">
      <c r="A5490" s="128">
        <v>2007</v>
      </c>
      <c r="B5490" s="128" t="s">
        <v>137</v>
      </c>
      <c r="C5490" s="128" t="s">
        <v>21</v>
      </c>
      <c r="D5490" s="128" t="s">
        <v>76</v>
      </c>
      <c r="E5490" s="128" t="s">
        <v>135</v>
      </c>
      <c r="F5490" s="128">
        <v>2681423.11</v>
      </c>
      <c r="G5490" s="128">
        <v>746485.48</v>
      </c>
      <c r="H5490" s="128">
        <v>1934937.32</v>
      </c>
      <c r="I5490" s="128">
        <v>2683</v>
      </c>
    </row>
    <row r="5491" spans="1:9" ht="13.5">
      <c r="A5491" s="128">
        <v>2007</v>
      </c>
      <c r="B5491" s="128" t="s">
        <v>137</v>
      </c>
      <c r="C5491" s="128" t="s">
        <v>22</v>
      </c>
      <c r="D5491" s="128" t="s">
        <v>79</v>
      </c>
      <c r="E5491" s="128" t="s">
        <v>136</v>
      </c>
      <c r="F5491" s="128">
        <v>5858757.8499999996</v>
      </c>
      <c r="G5491" s="128">
        <v>4421945.8499999996</v>
      </c>
      <c r="H5491" s="128">
        <v>1435074.16</v>
      </c>
      <c r="I5491" s="128">
        <v>79504</v>
      </c>
    </row>
    <row r="5492" spans="1:9" ht="13.5">
      <c r="A5492" s="128">
        <v>2007</v>
      </c>
      <c r="B5492" s="128" t="s">
        <v>137</v>
      </c>
      <c r="C5492" s="128" t="s">
        <v>22</v>
      </c>
      <c r="D5492" s="128" t="s">
        <v>79</v>
      </c>
      <c r="E5492" s="128" t="s">
        <v>132</v>
      </c>
      <c r="F5492" s="128">
        <v>3346212.16</v>
      </c>
      <c r="G5492" s="128">
        <v>2347956.31</v>
      </c>
      <c r="H5492" s="128">
        <v>773017.68</v>
      </c>
      <c r="I5492" s="128">
        <v>25446</v>
      </c>
    </row>
    <row r="5493" spans="1:9" ht="13.5">
      <c r="A5493" s="128">
        <v>2007</v>
      </c>
      <c r="B5493" s="128" t="s">
        <v>137</v>
      </c>
      <c r="C5493" s="128" t="s">
        <v>22</v>
      </c>
      <c r="D5493" s="128" t="s">
        <v>79</v>
      </c>
      <c r="E5493" s="128" t="s">
        <v>133</v>
      </c>
      <c r="F5493" s="128">
        <v>4420029.3499999996</v>
      </c>
      <c r="G5493" s="128">
        <v>2417537.08</v>
      </c>
      <c r="H5493" s="128">
        <v>818417.28</v>
      </c>
      <c r="I5493" s="128">
        <v>23884</v>
      </c>
    </row>
    <row r="5494" spans="1:9" ht="13.5">
      <c r="A5494" s="128">
        <v>2007</v>
      </c>
      <c r="B5494" s="128" t="s">
        <v>137</v>
      </c>
      <c r="C5494" s="128" t="s">
        <v>22</v>
      </c>
      <c r="D5494" s="128" t="s">
        <v>79</v>
      </c>
      <c r="E5494" s="128" t="s">
        <v>134</v>
      </c>
      <c r="F5494" s="128">
        <v>10398948.33</v>
      </c>
      <c r="G5494" s="128">
        <v>4432503.33</v>
      </c>
      <c r="H5494" s="128">
        <v>1494956.06</v>
      </c>
      <c r="I5494" s="128">
        <v>47939</v>
      </c>
    </row>
    <row r="5495" spans="1:9" ht="13.5">
      <c r="A5495" s="128">
        <v>2007</v>
      </c>
      <c r="B5495" s="128" t="s">
        <v>137</v>
      </c>
      <c r="C5495" s="128" t="s">
        <v>22</v>
      </c>
      <c r="D5495" s="128" t="s">
        <v>79</v>
      </c>
      <c r="E5495" s="128" t="s">
        <v>135</v>
      </c>
      <c r="F5495" s="128">
        <v>25477503.52</v>
      </c>
      <c r="G5495" s="128">
        <v>7001228.8499999996</v>
      </c>
      <c r="H5495" s="128">
        <v>2354490.9300000002</v>
      </c>
      <c r="I5495" s="128">
        <v>60386</v>
      </c>
    </row>
    <row r="5496" spans="1:9" ht="13.5">
      <c r="A5496" s="128">
        <v>2007</v>
      </c>
      <c r="B5496" s="128" t="s">
        <v>137</v>
      </c>
      <c r="C5496" s="128" t="s">
        <v>22</v>
      </c>
      <c r="D5496" s="128" t="s">
        <v>77</v>
      </c>
      <c r="E5496" s="128" t="s">
        <v>132</v>
      </c>
      <c r="F5496" s="128">
        <v>373692.24</v>
      </c>
      <c r="G5496" s="128">
        <v>240600.56</v>
      </c>
      <c r="H5496" s="128">
        <v>102820.75</v>
      </c>
      <c r="I5496" s="128">
        <v>2898</v>
      </c>
    </row>
    <row r="5497" spans="1:9" ht="13.5">
      <c r="A5497" s="128">
        <v>2007</v>
      </c>
      <c r="B5497" s="128" t="s">
        <v>137</v>
      </c>
      <c r="C5497" s="128" t="s">
        <v>22</v>
      </c>
      <c r="D5497" s="128" t="s">
        <v>77</v>
      </c>
      <c r="E5497" s="128" t="s">
        <v>133</v>
      </c>
      <c r="F5497" s="128">
        <v>834468.77</v>
      </c>
      <c r="G5497" s="128">
        <v>450058.62</v>
      </c>
      <c r="H5497" s="128">
        <v>323110.31</v>
      </c>
      <c r="I5497" s="128">
        <v>4395</v>
      </c>
    </row>
    <row r="5498" spans="1:9" ht="13.5">
      <c r="A5498" s="128">
        <v>2007</v>
      </c>
      <c r="B5498" s="128" t="s">
        <v>137</v>
      </c>
      <c r="C5498" s="128" t="s">
        <v>22</v>
      </c>
      <c r="D5498" s="128" t="s">
        <v>77</v>
      </c>
      <c r="E5498" s="128" t="s">
        <v>134</v>
      </c>
      <c r="F5498" s="128">
        <v>4350036.05</v>
      </c>
      <c r="G5498" s="128">
        <v>1840235.89</v>
      </c>
      <c r="H5498" s="128">
        <v>1698331.7</v>
      </c>
      <c r="I5498" s="128">
        <v>12404</v>
      </c>
    </row>
    <row r="5499" spans="1:9" ht="13.5">
      <c r="A5499" s="128">
        <v>2007</v>
      </c>
      <c r="B5499" s="128" t="s">
        <v>137</v>
      </c>
      <c r="C5499" s="128" t="s">
        <v>22</v>
      </c>
      <c r="D5499" s="128" t="s">
        <v>77</v>
      </c>
      <c r="E5499" s="128" t="s">
        <v>135</v>
      </c>
      <c r="F5499" s="128">
        <v>8671417.5</v>
      </c>
      <c r="G5499" s="128">
        <v>2436961.58</v>
      </c>
      <c r="H5499" s="128">
        <v>2670320.4300000002</v>
      </c>
      <c r="I5499" s="128">
        <v>25556</v>
      </c>
    </row>
    <row r="5500" spans="1:9" ht="13.5">
      <c r="A5500" s="128">
        <v>2007</v>
      </c>
      <c r="B5500" s="128" t="s">
        <v>137</v>
      </c>
      <c r="C5500" s="128" t="s">
        <v>22</v>
      </c>
      <c r="D5500" s="128" t="s">
        <v>76</v>
      </c>
      <c r="E5500" s="128" t="s">
        <v>136</v>
      </c>
      <c r="F5500" s="128">
        <v>1350165.74</v>
      </c>
      <c r="G5500" s="128">
        <v>1027711.5</v>
      </c>
      <c r="H5500" s="128">
        <v>323115.81</v>
      </c>
      <c r="I5500" s="128">
        <v>30098</v>
      </c>
    </row>
    <row r="5501" spans="1:9" ht="13.5">
      <c r="A5501" s="128">
        <v>2007</v>
      </c>
      <c r="B5501" s="128" t="s">
        <v>137</v>
      </c>
      <c r="C5501" s="128" t="s">
        <v>22</v>
      </c>
      <c r="D5501" s="128" t="s">
        <v>76</v>
      </c>
      <c r="E5501" s="128" t="s">
        <v>132</v>
      </c>
      <c r="F5501" s="128">
        <v>32241375.809999999</v>
      </c>
      <c r="G5501" s="128">
        <v>20888372.469999999</v>
      </c>
      <c r="H5501" s="128">
        <v>11352955.48</v>
      </c>
      <c r="I5501" s="128">
        <v>537093</v>
      </c>
    </row>
    <row r="5502" spans="1:9" ht="13.5">
      <c r="A5502" s="128">
        <v>2007</v>
      </c>
      <c r="B5502" s="128" t="s">
        <v>137</v>
      </c>
      <c r="C5502" s="128" t="s">
        <v>22</v>
      </c>
      <c r="D5502" s="128" t="s">
        <v>76</v>
      </c>
      <c r="E5502" s="128" t="s">
        <v>133</v>
      </c>
      <c r="F5502" s="128">
        <v>45639809.390000001</v>
      </c>
      <c r="G5502" s="128">
        <v>25179664.07</v>
      </c>
      <c r="H5502" s="128">
        <v>20460083.91</v>
      </c>
      <c r="I5502" s="128">
        <v>219475</v>
      </c>
    </row>
    <row r="5503" spans="1:9" ht="13.5">
      <c r="A5503" s="128">
        <v>2007</v>
      </c>
      <c r="B5503" s="128" t="s">
        <v>137</v>
      </c>
      <c r="C5503" s="128" t="s">
        <v>22</v>
      </c>
      <c r="D5503" s="128" t="s">
        <v>76</v>
      </c>
      <c r="E5503" s="128" t="s">
        <v>134</v>
      </c>
      <c r="F5503" s="128">
        <v>32520198.469999999</v>
      </c>
      <c r="G5503" s="128">
        <v>15174247.74</v>
      </c>
      <c r="H5503" s="128">
        <v>17345842.539999999</v>
      </c>
      <c r="I5503" s="128">
        <v>237955</v>
      </c>
    </row>
    <row r="5504" spans="1:9" ht="13.5">
      <c r="A5504" s="128">
        <v>2007</v>
      </c>
      <c r="B5504" s="128" t="s">
        <v>137</v>
      </c>
      <c r="C5504" s="128" t="s">
        <v>22</v>
      </c>
      <c r="D5504" s="128" t="s">
        <v>76</v>
      </c>
      <c r="E5504" s="128" t="s">
        <v>135</v>
      </c>
      <c r="F5504" s="128">
        <v>3968663.15</v>
      </c>
      <c r="G5504" s="128">
        <v>1088423.25</v>
      </c>
      <c r="H5504" s="128">
        <v>2880237.75</v>
      </c>
      <c r="I5504" s="128">
        <v>3579</v>
      </c>
    </row>
    <row r="5505" spans="1:9" ht="13.5">
      <c r="A5505" s="128">
        <v>2007</v>
      </c>
      <c r="B5505" s="128" t="s">
        <v>137</v>
      </c>
      <c r="C5505" s="128" t="s">
        <v>23</v>
      </c>
      <c r="D5505" s="128" t="s">
        <v>79</v>
      </c>
      <c r="E5505" s="128" t="s">
        <v>136</v>
      </c>
      <c r="F5505" s="128">
        <v>10336928.970000001</v>
      </c>
      <c r="G5505" s="128">
        <v>7757983.2999999998</v>
      </c>
      <c r="H5505" s="128">
        <v>2578932.4700000002</v>
      </c>
      <c r="I5505" s="128">
        <v>79547</v>
      </c>
    </row>
    <row r="5506" spans="1:9" ht="13.5">
      <c r="A5506" s="128">
        <v>2007</v>
      </c>
      <c r="B5506" s="128" t="s">
        <v>137</v>
      </c>
      <c r="C5506" s="128" t="s">
        <v>23</v>
      </c>
      <c r="D5506" s="128" t="s">
        <v>79</v>
      </c>
      <c r="E5506" s="128" t="s">
        <v>132</v>
      </c>
      <c r="F5506" s="128">
        <v>479526.46</v>
      </c>
      <c r="G5506" s="128">
        <v>322789.03000000003</v>
      </c>
      <c r="H5506" s="128">
        <v>110139.82</v>
      </c>
      <c r="I5506" s="128">
        <v>5523</v>
      </c>
    </row>
    <row r="5507" spans="1:9" ht="13.5">
      <c r="A5507" s="128">
        <v>2007</v>
      </c>
      <c r="B5507" s="128" t="s">
        <v>137</v>
      </c>
      <c r="C5507" s="128" t="s">
        <v>23</v>
      </c>
      <c r="D5507" s="128" t="s">
        <v>79</v>
      </c>
      <c r="E5507" s="128" t="s">
        <v>133</v>
      </c>
      <c r="F5507" s="128">
        <v>865189.98</v>
      </c>
      <c r="G5507" s="128">
        <v>468761.9</v>
      </c>
      <c r="H5507" s="128">
        <v>170860.35</v>
      </c>
      <c r="I5507" s="128">
        <v>5967</v>
      </c>
    </row>
    <row r="5508" spans="1:9" ht="13.5">
      <c r="A5508" s="128">
        <v>2007</v>
      </c>
      <c r="B5508" s="128" t="s">
        <v>137</v>
      </c>
      <c r="C5508" s="128" t="s">
        <v>23</v>
      </c>
      <c r="D5508" s="128" t="s">
        <v>79</v>
      </c>
      <c r="E5508" s="128" t="s">
        <v>134</v>
      </c>
      <c r="F5508" s="128">
        <v>687887.45</v>
      </c>
      <c r="G5508" s="128">
        <v>298803.20000000001</v>
      </c>
      <c r="H5508" s="128">
        <v>153912.18</v>
      </c>
      <c r="I5508" s="128">
        <v>4164</v>
      </c>
    </row>
    <row r="5509" spans="1:9" ht="13.5">
      <c r="A5509" s="128">
        <v>2007</v>
      </c>
      <c r="B5509" s="128" t="s">
        <v>137</v>
      </c>
      <c r="C5509" s="128" t="s">
        <v>23</v>
      </c>
      <c r="D5509" s="128" t="s">
        <v>79</v>
      </c>
      <c r="E5509" s="128" t="s">
        <v>135</v>
      </c>
      <c r="F5509" s="128">
        <v>1225843.8600000001</v>
      </c>
      <c r="G5509" s="128">
        <v>377537.98</v>
      </c>
      <c r="H5509" s="128">
        <v>97840.89</v>
      </c>
      <c r="I5509" s="128">
        <v>3056</v>
      </c>
    </row>
    <row r="5510" spans="1:9" ht="13.5">
      <c r="A5510" s="128">
        <v>2007</v>
      </c>
      <c r="B5510" s="128" t="s">
        <v>137</v>
      </c>
      <c r="C5510" s="128" t="s">
        <v>23</v>
      </c>
      <c r="D5510" s="128" t="s">
        <v>77</v>
      </c>
      <c r="E5510" s="128" t="s">
        <v>132</v>
      </c>
      <c r="F5510" s="128">
        <v>1616536.78</v>
      </c>
      <c r="G5510" s="128">
        <v>1047060</v>
      </c>
      <c r="H5510" s="128">
        <v>539371.03</v>
      </c>
      <c r="I5510" s="128">
        <v>33939</v>
      </c>
    </row>
    <row r="5511" spans="1:9" ht="13.5">
      <c r="A5511" s="128">
        <v>2007</v>
      </c>
      <c r="B5511" s="128" t="s">
        <v>137</v>
      </c>
      <c r="C5511" s="128" t="s">
        <v>23</v>
      </c>
      <c r="D5511" s="128" t="s">
        <v>77</v>
      </c>
      <c r="E5511" s="128" t="s">
        <v>133</v>
      </c>
      <c r="F5511" s="128">
        <v>2068783.86</v>
      </c>
      <c r="G5511" s="128">
        <v>1127076.1200000001</v>
      </c>
      <c r="H5511" s="128">
        <v>858024.81</v>
      </c>
      <c r="I5511" s="128">
        <v>10839</v>
      </c>
    </row>
    <row r="5512" spans="1:9" ht="13.5">
      <c r="A5512" s="128">
        <v>2007</v>
      </c>
      <c r="B5512" s="128" t="s">
        <v>137</v>
      </c>
      <c r="C5512" s="128" t="s">
        <v>23</v>
      </c>
      <c r="D5512" s="128" t="s">
        <v>77</v>
      </c>
      <c r="E5512" s="128" t="s">
        <v>134</v>
      </c>
      <c r="F5512" s="128">
        <v>2251159.79</v>
      </c>
      <c r="G5512" s="128">
        <v>1026114.14</v>
      </c>
      <c r="H5512" s="128">
        <v>1065791.97</v>
      </c>
      <c r="I5512" s="128">
        <v>17991</v>
      </c>
    </row>
    <row r="5513" spans="1:9" ht="13.5">
      <c r="A5513" s="128">
        <v>2007</v>
      </c>
      <c r="B5513" s="128" t="s">
        <v>137</v>
      </c>
      <c r="C5513" s="128" t="s">
        <v>23</v>
      </c>
      <c r="D5513" s="128" t="s">
        <v>77</v>
      </c>
      <c r="E5513" s="128" t="s">
        <v>135</v>
      </c>
      <c r="F5513" s="128">
        <v>1026301.77</v>
      </c>
      <c r="G5513" s="128">
        <v>275359.08</v>
      </c>
      <c r="H5513" s="128">
        <v>337511.88</v>
      </c>
      <c r="I5513" s="128">
        <v>2423</v>
      </c>
    </row>
    <row r="5514" spans="1:9" ht="13.5">
      <c r="A5514" s="128">
        <v>2007</v>
      </c>
      <c r="B5514" s="128" t="s">
        <v>137</v>
      </c>
      <c r="C5514" s="128" t="s">
        <v>23</v>
      </c>
      <c r="D5514" s="128" t="s">
        <v>76</v>
      </c>
      <c r="E5514" s="128" t="s">
        <v>136</v>
      </c>
      <c r="F5514" s="128">
        <v>1853101.19</v>
      </c>
      <c r="G5514" s="128">
        <v>1396594.41</v>
      </c>
      <c r="H5514" s="128">
        <v>456774.27</v>
      </c>
      <c r="I5514" s="128">
        <v>18347</v>
      </c>
    </row>
    <row r="5515" spans="1:9" ht="13.5">
      <c r="A5515" s="128">
        <v>2007</v>
      </c>
      <c r="B5515" s="128" t="s">
        <v>137</v>
      </c>
      <c r="C5515" s="128" t="s">
        <v>23</v>
      </c>
      <c r="D5515" s="128" t="s">
        <v>76</v>
      </c>
      <c r="E5515" s="128" t="s">
        <v>132</v>
      </c>
      <c r="F5515" s="128">
        <v>9869416.3900000006</v>
      </c>
      <c r="G5515" s="128">
        <v>6580776.4100000001</v>
      </c>
      <c r="H5515" s="128">
        <v>3288580.17</v>
      </c>
      <c r="I5515" s="128">
        <v>180398</v>
      </c>
    </row>
    <row r="5516" spans="1:9" ht="13.5">
      <c r="A5516" s="128">
        <v>2007</v>
      </c>
      <c r="B5516" s="128" t="s">
        <v>137</v>
      </c>
      <c r="C5516" s="128" t="s">
        <v>23</v>
      </c>
      <c r="D5516" s="128" t="s">
        <v>76</v>
      </c>
      <c r="E5516" s="128" t="s">
        <v>133</v>
      </c>
      <c r="F5516" s="128">
        <v>19816824.75</v>
      </c>
      <c r="G5516" s="128">
        <v>10739257.07</v>
      </c>
      <c r="H5516" s="128">
        <v>9077556.0500000007</v>
      </c>
      <c r="I5516" s="128">
        <v>91521</v>
      </c>
    </row>
    <row r="5517" spans="1:9" ht="13.5">
      <c r="A5517" s="128">
        <v>2007</v>
      </c>
      <c r="B5517" s="128" t="s">
        <v>137</v>
      </c>
      <c r="C5517" s="128" t="s">
        <v>23</v>
      </c>
      <c r="D5517" s="128" t="s">
        <v>76</v>
      </c>
      <c r="E5517" s="128" t="s">
        <v>134</v>
      </c>
      <c r="F5517" s="128">
        <v>17506916.850000001</v>
      </c>
      <c r="G5517" s="128">
        <v>7999211.2800000003</v>
      </c>
      <c r="H5517" s="128">
        <v>9507689.7799999993</v>
      </c>
      <c r="I5517" s="128">
        <v>96024</v>
      </c>
    </row>
    <row r="5518" spans="1:9" ht="13.5">
      <c r="A5518" s="128">
        <v>2007</v>
      </c>
      <c r="B5518" s="128" t="s">
        <v>137</v>
      </c>
      <c r="C5518" s="128" t="s">
        <v>23</v>
      </c>
      <c r="D5518" s="128" t="s">
        <v>76</v>
      </c>
      <c r="E5518" s="128" t="s">
        <v>135</v>
      </c>
      <c r="F5518" s="128">
        <v>1130356.18</v>
      </c>
      <c r="G5518" s="128">
        <v>293295.25</v>
      </c>
      <c r="H5518" s="128">
        <v>837060.93</v>
      </c>
      <c r="I5518" s="128">
        <v>1007</v>
      </c>
    </row>
    <row r="5519" spans="1:9" ht="13.5">
      <c r="A5519" s="128">
        <v>2007</v>
      </c>
      <c r="B5519" s="128" t="s">
        <v>137</v>
      </c>
      <c r="C5519" s="128" t="s">
        <v>24</v>
      </c>
      <c r="D5519" s="128" t="s">
        <v>79</v>
      </c>
      <c r="E5519" s="128" t="s">
        <v>136</v>
      </c>
      <c r="F5519" s="128">
        <v>1960325.87</v>
      </c>
      <c r="G5519" s="128">
        <v>1481338.51</v>
      </c>
      <c r="H5519" s="128">
        <v>478770.88</v>
      </c>
      <c r="I5519" s="128">
        <v>47951</v>
      </c>
    </row>
    <row r="5520" spans="1:9" ht="13.5">
      <c r="A5520" s="128">
        <v>2007</v>
      </c>
      <c r="B5520" s="128" t="s">
        <v>137</v>
      </c>
      <c r="C5520" s="128" t="s">
        <v>24</v>
      </c>
      <c r="D5520" s="128" t="s">
        <v>79</v>
      </c>
      <c r="E5520" s="128" t="s">
        <v>132</v>
      </c>
      <c r="F5520" s="128">
        <v>592382.18999999994</v>
      </c>
      <c r="G5520" s="128">
        <v>392390.62</v>
      </c>
      <c r="H5520" s="128">
        <v>132033.84</v>
      </c>
      <c r="I5520" s="128">
        <v>6307</v>
      </c>
    </row>
    <row r="5521" spans="1:9" ht="13.5">
      <c r="A5521" s="128">
        <v>2007</v>
      </c>
      <c r="B5521" s="128" t="s">
        <v>137</v>
      </c>
      <c r="C5521" s="128" t="s">
        <v>24</v>
      </c>
      <c r="D5521" s="128" t="s">
        <v>79</v>
      </c>
      <c r="E5521" s="128" t="s">
        <v>133</v>
      </c>
      <c r="F5521" s="128">
        <v>1908557.59</v>
      </c>
      <c r="G5521" s="128">
        <v>1050810.17</v>
      </c>
      <c r="H5521" s="128">
        <v>353846.6</v>
      </c>
      <c r="I5521" s="128">
        <v>22277</v>
      </c>
    </row>
    <row r="5522" spans="1:9" ht="13.5">
      <c r="A5522" s="128">
        <v>2007</v>
      </c>
      <c r="B5522" s="128" t="s">
        <v>137</v>
      </c>
      <c r="C5522" s="128" t="s">
        <v>24</v>
      </c>
      <c r="D5522" s="128" t="s">
        <v>79</v>
      </c>
      <c r="E5522" s="128" t="s">
        <v>134</v>
      </c>
      <c r="F5522" s="128">
        <v>2627555.9</v>
      </c>
      <c r="G5522" s="128">
        <v>1136867.33</v>
      </c>
      <c r="H5522" s="128">
        <v>382643.04</v>
      </c>
      <c r="I5522" s="128">
        <v>26862</v>
      </c>
    </row>
    <row r="5523" spans="1:9" ht="13.5">
      <c r="A5523" s="128">
        <v>2007</v>
      </c>
      <c r="B5523" s="128" t="s">
        <v>137</v>
      </c>
      <c r="C5523" s="128" t="s">
        <v>24</v>
      </c>
      <c r="D5523" s="128" t="s">
        <v>79</v>
      </c>
      <c r="E5523" s="128" t="s">
        <v>135</v>
      </c>
      <c r="F5523" s="128">
        <v>3244100.26</v>
      </c>
      <c r="G5523" s="128">
        <v>709669.96</v>
      </c>
      <c r="H5523" s="128">
        <v>242765.67</v>
      </c>
      <c r="I5523" s="128">
        <v>5712</v>
      </c>
    </row>
    <row r="5524" spans="1:9" ht="13.5">
      <c r="A5524" s="128">
        <v>2007</v>
      </c>
      <c r="B5524" s="128" t="s">
        <v>137</v>
      </c>
      <c r="C5524" s="128" t="s">
        <v>24</v>
      </c>
      <c r="D5524" s="128" t="s">
        <v>77</v>
      </c>
      <c r="E5524" s="128" t="s">
        <v>132</v>
      </c>
      <c r="F5524" s="128">
        <v>1415658.63</v>
      </c>
      <c r="G5524" s="128">
        <v>985304.95</v>
      </c>
      <c r="H5524" s="128">
        <v>442711.37</v>
      </c>
      <c r="I5524" s="128">
        <v>11575</v>
      </c>
    </row>
    <row r="5525" spans="1:9" ht="13.5">
      <c r="A5525" s="128">
        <v>2007</v>
      </c>
      <c r="B5525" s="128" t="s">
        <v>137</v>
      </c>
      <c r="C5525" s="128" t="s">
        <v>24</v>
      </c>
      <c r="D5525" s="128" t="s">
        <v>77</v>
      </c>
      <c r="E5525" s="128" t="s">
        <v>133</v>
      </c>
      <c r="F5525" s="128">
        <v>3462310.88</v>
      </c>
      <c r="G5525" s="128">
        <v>1887116.61</v>
      </c>
      <c r="H5525" s="128">
        <v>1271756.28</v>
      </c>
      <c r="I5525" s="128">
        <v>15363</v>
      </c>
    </row>
    <row r="5526" spans="1:9" ht="13.5">
      <c r="A5526" s="128">
        <v>2007</v>
      </c>
      <c r="B5526" s="128" t="s">
        <v>137</v>
      </c>
      <c r="C5526" s="128" t="s">
        <v>24</v>
      </c>
      <c r="D5526" s="128" t="s">
        <v>77</v>
      </c>
      <c r="E5526" s="128" t="s">
        <v>134</v>
      </c>
      <c r="F5526" s="128">
        <v>5791022.2800000003</v>
      </c>
      <c r="G5526" s="128">
        <v>2539513.61</v>
      </c>
      <c r="H5526" s="128">
        <v>1902395.18</v>
      </c>
      <c r="I5526" s="128">
        <v>22867</v>
      </c>
    </row>
    <row r="5527" spans="1:9" ht="13.5">
      <c r="A5527" s="128">
        <v>2007</v>
      </c>
      <c r="B5527" s="128" t="s">
        <v>137</v>
      </c>
      <c r="C5527" s="128" t="s">
        <v>24</v>
      </c>
      <c r="D5527" s="128" t="s">
        <v>77</v>
      </c>
      <c r="E5527" s="128" t="s">
        <v>135</v>
      </c>
      <c r="F5527" s="128">
        <v>7729911.21</v>
      </c>
      <c r="G5527" s="128">
        <v>1966334.2</v>
      </c>
      <c r="H5527" s="128">
        <v>1509275.02</v>
      </c>
      <c r="I5527" s="128">
        <v>18251</v>
      </c>
    </row>
    <row r="5528" spans="1:9" ht="13.5">
      <c r="A5528" s="128">
        <v>2007</v>
      </c>
      <c r="B5528" s="128" t="s">
        <v>137</v>
      </c>
      <c r="C5528" s="128" t="s">
        <v>24</v>
      </c>
      <c r="D5528" s="128" t="s">
        <v>76</v>
      </c>
      <c r="E5528" s="128" t="s">
        <v>136</v>
      </c>
      <c r="F5528" s="128">
        <v>1134582.06</v>
      </c>
      <c r="G5528" s="128">
        <v>863699.95</v>
      </c>
      <c r="H5528" s="128">
        <v>270882.07</v>
      </c>
      <c r="I5528" s="128">
        <v>14101</v>
      </c>
    </row>
    <row r="5529" spans="1:9" ht="13.5">
      <c r="A5529" s="128">
        <v>2007</v>
      </c>
      <c r="B5529" s="128" t="s">
        <v>137</v>
      </c>
      <c r="C5529" s="128" t="s">
        <v>24</v>
      </c>
      <c r="D5529" s="128" t="s">
        <v>76</v>
      </c>
      <c r="E5529" s="128" t="s">
        <v>132</v>
      </c>
      <c r="F5529" s="128">
        <v>9335956.5700000003</v>
      </c>
      <c r="G5529" s="128">
        <v>5966663.7699999996</v>
      </c>
      <c r="H5529" s="128">
        <v>3369260.57</v>
      </c>
      <c r="I5529" s="128">
        <v>108040</v>
      </c>
    </row>
    <row r="5530" spans="1:9" ht="13.5">
      <c r="A5530" s="128">
        <v>2007</v>
      </c>
      <c r="B5530" s="128" t="s">
        <v>137</v>
      </c>
      <c r="C5530" s="128" t="s">
        <v>24</v>
      </c>
      <c r="D5530" s="128" t="s">
        <v>76</v>
      </c>
      <c r="E5530" s="128" t="s">
        <v>133</v>
      </c>
      <c r="F5530" s="128">
        <v>20215839.34</v>
      </c>
      <c r="G5530" s="128">
        <v>11252414.300000001</v>
      </c>
      <c r="H5530" s="128">
        <v>8963418.2599999998</v>
      </c>
      <c r="I5530" s="128">
        <v>82518</v>
      </c>
    </row>
    <row r="5531" spans="1:9" ht="13.5">
      <c r="A5531" s="128">
        <v>2007</v>
      </c>
      <c r="B5531" s="128" t="s">
        <v>137</v>
      </c>
      <c r="C5531" s="128" t="s">
        <v>24</v>
      </c>
      <c r="D5531" s="128" t="s">
        <v>76</v>
      </c>
      <c r="E5531" s="128" t="s">
        <v>134</v>
      </c>
      <c r="F5531" s="128">
        <v>19902281.77</v>
      </c>
      <c r="G5531" s="128">
        <v>8837668.3300000001</v>
      </c>
      <c r="H5531" s="128">
        <v>11064603.140000001</v>
      </c>
      <c r="I5531" s="128">
        <v>116874</v>
      </c>
    </row>
    <row r="5532" spans="1:9" ht="13.5">
      <c r="A5532" s="128">
        <v>2007</v>
      </c>
      <c r="B5532" s="128" t="s">
        <v>137</v>
      </c>
      <c r="C5532" s="128" t="s">
        <v>24</v>
      </c>
      <c r="D5532" s="128" t="s">
        <v>76</v>
      </c>
      <c r="E5532" s="128" t="s">
        <v>135</v>
      </c>
      <c r="F5532" s="128">
        <v>2583214.4500000002</v>
      </c>
      <c r="G5532" s="128">
        <v>611501.4</v>
      </c>
      <c r="H5532" s="128">
        <v>1971712.65</v>
      </c>
      <c r="I5532" s="128">
        <v>2264</v>
      </c>
    </row>
    <row r="5533" spans="1:9" ht="13.5">
      <c r="A5533" s="128">
        <v>2007</v>
      </c>
      <c r="B5533" s="128" t="s">
        <v>137</v>
      </c>
      <c r="C5533" s="128" t="s">
        <v>25</v>
      </c>
      <c r="D5533" s="128" t="s">
        <v>79</v>
      </c>
      <c r="E5533" s="128" t="s">
        <v>136</v>
      </c>
      <c r="F5533" s="128">
        <v>1156896.49</v>
      </c>
      <c r="G5533" s="128">
        <v>870566.42</v>
      </c>
      <c r="H5533" s="128">
        <v>286329.49</v>
      </c>
      <c r="I5533" s="128">
        <v>17290</v>
      </c>
    </row>
    <row r="5534" spans="1:9" ht="13.5">
      <c r="A5534" s="128">
        <v>2007</v>
      </c>
      <c r="B5534" s="128" t="s">
        <v>137</v>
      </c>
      <c r="C5534" s="128" t="s">
        <v>25</v>
      </c>
      <c r="D5534" s="128" t="s">
        <v>79</v>
      </c>
      <c r="E5534" s="128" t="s">
        <v>132</v>
      </c>
      <c r="F5534" s="128">
        <v>456135.15</v>
      </c>
      <c r="G5534" s="128">
        <v>326345.73</v>
      </c>
      <c r="H5534" s="128">
        <v>108199.15</v>
      </c>
      <c r="I5534" s="128">
        <v>4421</v>
      </c>
    </row>
    <row r="5535" spans="1:9" ht="13.5">
      <c r="A5535" s="128">
        <v>2007</v>
      </c>
      <c r="B5535" s="128" t="s">
        <v>137</v>
      </c>
      <c r="C5535" s="128" t="s">
        <v>25</v>
      </c>
      <c r="D5535" s="128" t="s">
        <v>79</v>
      </c>
      <c r="E5535" s="128" t="s">
        <v>133</v>
      </c>
      <c r="F5535" s="128">
        <v>307403.46999999997</v>
      </c>
      <c r="G5535" s="128">
        <v>170844.08</v>
      </c>
      <c r="H5535" s="128">
        <v>57249.55</v>
      </c>
      <c r="I5535" s="128">
        <v>1375</v>
      </c>
    </row>
    <row r="5536" spans="1:9" ht="13.5">
      <c r="A5536" s="128">
        <v>2007</v>
      </c>
      <c r="B5536" s="128" t="s">
        <v>137</v>
      </c>
      <c r="C5536" s="128" t="s">
        <v>25</v>
      </c>
      <c r="D5536" s="128" t="s">
        <v>79</v>
      </c>
      <c r="E5536" s="128" t="s">
        <v>134</v>
      </c>
      <c r="F5536" s="128">
        <v>574049.30000000005</v>
      </c>
      <c r="G5536" s="128">
        <v>246123.64</v>
      </c>
      <c r="H5536" s="128">
        <v>82074.42</v>
      </c>
      <c r="I5536" s="128">
        <v>2290</v>
      </c>
    </row>
    <row r="5537" spans="1:9" ht="13.5">
      <c r="A5537" s="128">
        <v>2007</v>
      </c>
      <c r="B5537" s="128" t="s">
        <v>137</v>
      </c>
      <c r="C5537" s="128" t="s">
        <v>25</v>
      </c>
      <c r="D5537" s="128" t="s">
        <v>79</v>
      </c>
      <c r="E5537" s="128" t="s">
        <v>135</v>
      </c>
      <c r="F5537" s="128">
        <v>1882156.99</v>
      </c>
      <c r="G5537" s="128">
        <v>457986.95</v>
      </c>
      <c r="H5537" s="128">
        <v>152531.82999999999</v>
      </c>
      <c r="I5537" s="128">
        <v>3458</v>
      </c>
    </row>
    <row r="5538" spans="1:9" ht="13.5">
      <c r="A5538" s="128">
        <v>2007</v>
      </c>
      <c r="B5538" s="128" t="s">
        <v>137</v>
      </c>
      <c r="C5538" s="128" t="s">
        <v>25</v>
      </c>
      <c r="D5538" s="128" t="s">
        <v>77</v>
      </c>
      <c r="E5538" s="128" t="s">
        <v>132</v>
      </c>
      <c r="F5538" s="128">
        <v>58567.33</v>
      </c>
      <c r="G5538" s="128">
        <v>39931.07</v>
      </c>
      <c r="H5538" s="128">
        <v>14613.92</v>
      </c>
      <c r="I5538" s="128">
        <v>389</v>
      </c>
    </row>
    <row r="5539" spans="1:9" ht="13.5">
      <c r="A5539" s="128">
        <v>2007</v>
      </c>
      <c r="B5539" s="128" t="s">
        <v>137</v>
      </c>
      <c r="C5539" s="128" t="s">
        <v>25</v>
      </c>
      <c r="D5539" s="128" t="s">
        <v>77</v>
      </c>
      <c r="E5539" s="128" t="s">
        <v>133</v>
      </c>
      <c r="F5539" s="128">
        <v>93532.62</v>
      </c>
      <c r="G5539" s="128">
        <v>50014.559999999998</v>
      </c>
      <c r="H5539" s="128">
        <v>34986.01</v>
      </c>
      <c r="I5539" s="128">
        <v>383</v>
      </c>
    </row>
    <row r="5540" spans="1:9" ht="13.5">
      <c r="A5540" s="128">
        <v>2007</v>
      </c>
      <c r="B5540" s="128" t="s">
        <v>137</v>
      </c>
      <c r="C5540" s="128" t="s">
        <v>25</v>
      </c>
      <c r="D5540" s="128" t="s">
        <v>77</v>
      </c>
      <c r="E5540" s="128" t="s">
        <v>134</v>
      </c>
      <c r="F5540" s="128">
        <v>508921.49</v>
      </c>
      <c r="G5540" s="128">
        <v>219636.08</v>
      </c>
      <c r="H5540" s="128">
        <v>219524.65</v>
      </c>
      <c r="I5540" s="128">
        <v>1358</v>
      </c>
    </row>
    <row r="5541" spans="1:9" ht="13.5">
      <c r="A5541" s="128">
        <v>2007</v>
      </c>
      <c r="B5541" s="128" t="s">
        <v>137</v>
      </c>
      <c r="C5541" s="128" t="s">
        <v>25</v>
      </c>
      <c r="D5541" s="128" t="s">
        <v>77</v>
      </c>
      <c r="E5541" s="128" t="s">
        <v>135</v>
      </c>
      <c r="F5541" s="128">
        <v>815224.77</v>
      </c>
      <c r="G5541" s="128">
        <v>243743.49</v>
      </c>
      <c r="H5541" s="128">
        <v>286309.02</v>
      </c>
      <c r="I5541" s="128">
        <v>2729</v>
      </c>
    </row>
    <row r="5542" spans="1:9" ht="13.5">
      <c r="A5542" s="128">
        <v>2007</v>
      </c>
      <c r="B5542" s="128" t="s">
        <v>137</v>
      </c>
      <c r="C5542" s="128" t="s">
        <v>25</v>
      </c>
      <c r="D5542" s="128" t="s">
        <v>76</v>
      </c>
      <c r="E5542" s="128" t="s">
        <v>136</v>
      </c>
      <c r="F5542" s="128">
        <v>157277.24</v>
      </c>
      <c r="G5542" s="128">
        <v>118628.42</v>
      </c>
      <c r="H5542" s="128">
        <v>38648.61</v>
      </c>
      <c r="I5542" s="128">
        <v>2251</v>
      </c>
    </row>
    <row r="5543" spans="1:9" ht="13.5">
      <c r="A5543" s="128">
        <v>2007</v>
      </c>
      <c r="B5543" s="128" t="s">
        <v>137</v>
      </c>
      <c r="C5543" s="128" t="s">
        <v>25</v>
      </c>
      <c r="D5543" s="128" t="s">
        <v>76</v>
      </c>
      <c r="E5543" s="128" t="s">
        <v>132</v>
      </c>
      <c r="F5543" s="128">
        <v>2867970.93</v>
      </c>
      <c r="G5543" s="128">
        <v>1873091.12</v>
      </c>
      <c r="H5543" s="128">
        <v>994879.97</v>
      </c>
      <c r="I5543" s="128">
        <v>37379</v>
      </c>
    </row>
    <row r="5544" spans="1:9" ht="13.5">
      <c r="A5544" s="128">
        <v>2007</v>
      </c>
      <c r="B5544" s="128" t="s">
        <v>137</v>
      </c>
      <c r="C5544" s="128" t="s">
        <v>25</v>
      </c>
      <c r="D5544" s="128" t="s">
        <v>76</v>
      </c>
      <c r="E5544" s="128" t="s">
        <v>133</v>
      </c>
      <c r="F5544" s="128">
        <v>5138093.12</v>
      </c>
      <c r="G5544" s="128">
        <v>2799540.91</v>
      </c>
      <c r="H5544" s="128">
        <v>2338548.7599999998</v>
      </c>
      <c r="I5544" s="128">
        <v>16885</v>
      </c>
    </row>
    <row r="5545" spans="1:9" ht="13.5">
      <c r="A5545" s="128">
        <v>2007</v>
      </c>
      <c r="B5545" s="128" t="s">
        <v>137</v>
      </c>
      <c r="C5545" s="128" t="s">
        <v>25</v>
      </c>
      <c r="D5545" s="128" t="s">
        <v>76</v>
      </c>
      <c r="E5545" s="128" t="s">
        <v>134</v>
      </c>
      <c r="F5545" s="128">
        <v>4274078.08</v>
      </c>
      <c r="G5545" s="128">
        <v>1965808.4</v>
      </c>
      <c r="H5545" s="128">
        <v>2308267.58</v>
      </c>
      <c r="I5545" s="128">
        <v>28863</v>
      </c>
    </row>
    <row r="5546" spans="1:9" ht="13.5">
      <c r="A5546" s="128">
        <v>2007</v>
      </c>
      <c r="B5546" s="128" t="s">
        <v>137</v>
      </c>
      <c r="C5546" s="128" t="s">
        <v>25</v>
      </c>
      <c r="D5546" s="128" t="s">
        <v>76</v>
      </c>
      <c r="E5546" s="128" t="s">
        <v>135</v>
      </c>
      <c r="F5546" s="128">
        <v>392778.7</v>
      </c>
      <c r="G5546" s="128">
        <v>109541.75</v>
      </c>
      <c r="H5546" s="128">
        <v>283236.95</v>
      </c>
      <c r="I5546" s="128">
        <v>348</v>
      </c>
    </row>
    <row r="5547" spans="1:9" ht="13.5">
      <c r="A5547" s="128">
        <v>2007</v>
      </c>
      <c r="B5547" s="128" t="s">
        <v>137</v>
      </c>
      <c r="C5547" s="128" t="s">
        <v>27</v>
      </c>
      <c r="D5547" s="128" t="s">
        <v>79</v>
      </c>
      <c r="E5547" s="128" t="s">
        <v>136</v>
      </c>
      <c r="F5547" s="128">
        <v>229102.32</v>
      </c>
      <c r="G5547" s="128">
        <v>172578.47</v>
      </c>
      <c r="H5547" s="128">
        <v>56523.85</v>
      </c>
      <c r="I5547" s="128">
        <v>2694</v>
      </c>
    </row>
    <row r="5548" spans="1:9" ht="13.5">
      <c r="A5548" s="128">
        <v>2007</v>
      </c>
      <c r="B5548" s="128" t="s">
        <v>137</v>
      </c>
      <c r="C5548" s="128" t="s">
        <v>27</v>
      </c>
      <c r="D5548" s="128" t="s">
        <v>79</v>
      </c>
      <c r="E5548" s="128" t="s">
        <v>132</v>
      </c>
      <c r="F5548" s="128">
        <v>115169.75</v>
      </c>
      <c r="G5548" s="128">
        <v>81948.759999999995</v>
      </c>
      <c r="H5548" s="128">
        <v>26775.67</v>
      </c>
      <c r="I5548" s="128">
        <v>655</v>
      </c>
    </row>
    <row r="5549" spans="1:9" ht="13.5">
      <c r="A5549" s="128">
        <v>2007</v>
      </c>
      <c r="B5549" s="128" t="s">
        <v>137</v>
      </c>
      <c r="C5549" s="128" t="s">
        <v>27</v>
      </c>
      <c r="D5549" s="128" t="s">
        <v>79</v>
      </c>
      <c r="E5549" s="128" t="s">
        <v>133</v>
      </c>
      <c r="F5549" s="128">
        <v>79176.47</v>
      </c>
      <c r="G5549" s="128">
        <v>42976.94</v>
      </c>
      <c r="H5549" s="128">
        <v>14479.38</v>
      </c>
      <c r="I5549" s="128">
        <v>369</v>
      </c>
    </row>
    <row r="5550" spans="1:9" ht="13.5">
      <c r="A5550" s="128">
        <v>2007</v>
      </c>
      <c r="B5550" s="128" t="s">
        <v>137</v>
      </c>
      <c r="C5550" s="128" t="s">
        <v>27</v>
      </c>
      <c r="D5550" s="128" t="s">
        <v>79</v>
      </c>
      <c r="E5550" s="128" t="s">
        <v>134</v>
      </c>
      <c r="F5550" s="128">
        <v>188503.79</v>
      </c>
      <c r="G5550" s="128">
        <v>78478.149999999994</v>
      </c>
      <c r="H5550" s="128">
        <v>26229.22</v>
      </c>
      <c r="I5550" s="128">
        <v>1245</v>
      </c>
    </row>
    <row r="5551" spans="1:9" ht="13.5">
      <c r="A5551" s="128">
        <v>2007</v>
      </c>
      <c r="B5551" s="128" t="s">
        <v>137</v>
      </c>
      <c r="C5551" s="128" t="s">
        <v>27</v>
      </c>
      <c r="D5551" s="128" t="s">
        <v>79</v>
      </c>
      <c r="E5551" s="128" t="s">
        <v>135</v>
      </c>
      <c r="F5551" s="128">
        <v>719599.96</v>
      </c>
      <c r="G5551" s="128">
        <v>198990.18</v>
      </c>
      <c r="H5551" s="128">
        <v>65069.09</v>
      </c>
      <c r="I5551" s="128">
        <v>1376</v>
      </c>
    </row>
    <row r="5552" spans="1:9" ht="13.5">
      <c r="A5552" s="128">
        <v>2007</v>
      </c>
      <c r="B5552" s="128" t="s">
        <v>137</v>
      </c>
      <c r="C5552" s="128" t="s">
        <v>27</v>
      </c>
      <c r="D5552" s="128" t="s">
        <v>77</v>
      </c>
      <c r="E5552" s="128" t="s">
        <v>132</v>
      </c>
      <c r="F5552" s="128">
        <v>13677.82</v>
      </c>
      <c r="G5552" s="128">
        <v>9033.5</v>
      </c>
      <c r="H5552" s="128">
        <v>3588.33</v>
      </c>
      <c r="I5552" s="128">
        <v>72</v>
      </c>
    </row>
    <row r="5553" spans="1:9" ht="13.5">
      <c r="A5553" s="128">
        <v>2007</v>
      </c>
      <c r="B5553" s="128" t="s">
        <v>137</v>
      </c>
      <c r="C5553" s="128" t="s">
        <v>27</v>
      </c>
      <c r="D5553" s="128" t="s">
        <v>77</v>
      </c>
      <c r="E5553" s="128" t="s">
        <v>133</v>
      </c>
      <c r="F5553" s="128">
        <v>28802.78</v>
      </c>
      <c r="G5553" s="128">
        <v>15651.59</v>
      </c>
      <c r="H5553" s="128">
        <v>10131.91</v>
      </c>
      <c r="I5553" s="128">
        <v>147</v>
      </c>
    </row>
    <row r="5554" spans="1:9" ht="13.5">
      <c r="A5554" s="128">
        <v>2007</v>
      </c>
      <c r="B5554" s="128" t="s">
        <v>137</v>
      </c>
      <c r="C5554" s="128" t="s">
        <v>27</v>
      </c>
      <c r="D5554" s="128" t="s">
        <v>77</v>
      </c>
      <c r="E5554" s="128" t="s">
        <v>134</v>
      </c>
      <c r="F5554" s="128">
        <v>97455.4</v>
      </c>
      <c r="G5554" s="128">
        <v>41579.47</v>
      </c>
      <c r="H5554" s="128">
        <v>40057.370000000003</v>
      </c>
      <c r="I5554" s="128">
        <v>190</v>
      </c>
    </row>
    <row r="5555" spans="1:9" ht="13.5">
      <c r="A5555" s="128">
        <v>2007</v>
      </c>
      <c r="B5555" s="128" t="s">
        <v>137</v>
      </c>
      <c r="C5555" s="128" t="s">
        <v>27</v>
      </c>
      <c r="D5555" s="128" t="s">
        <v>77</v>
      </c>
      <c r="E5555" s="128" t="s">
        <v>135</v>
      </c>
      <c r="F5555" s="128">
        <v>249877.74</v>
      </c>
      <c r="G5555" s="128">
        <v>64735.03</v>
      </c>
      <c r="H5555" s="128">
        <v>68930.570000000007</v>
      </c>
      <c r="I5555" s="128">
        <v>645</v>
      </c>
    </row>
    <row r="5556" spans="1:9" ht="13.5">
      <c r="A5556" s="128">
        <v>2007</v>
      </c>
      <c r="B5556" s="128" t="s">
        <v>137</v>
      </c>
      <c r="C5556" s="128" t="s">
        <v>27</v>
      </c>
      <c r="D5556" s="128" t="s">
        <v>76</v>
      </c>
      <c r="E5556" s="128" t="s">
        <v>136</v>
      </c>
      <c r="F5556" s="128">
        <v>45889.77</v>
      </c>
      <c r="G5556" s="128">
        <v>34844.239999999998</v>
      </c>
      <c r="H5556" s="128">
        <v>11200.13</v>
      </c>
      <c r="I5556" s="128">
        <v>517</v>
      </c>
    </row>
    <row r="5557" spans="1:9" ht="13.5">
      <c r="A5557" s="128">
        <v>2007</v>
      </c>
      <c r="B5557" s="128" t="s">
        <v>137</v>
      </c>
      <c r="C5557" s="128" t="s">
        <v>27</v>
      </c>
      <c r="D5557" s="128" t="s">
        <v>76</v>
      </c>
      <c r="E5557" s="128" t="s">
        <v>132</v>
      </c>
      <c r="F5557" s="128">
        <v>288209.42</v>
      </c>
      <c r="G5557" s="128">
        <v>188577.3</v>
      </c>
      <c r="H5557" s="128">
        <v>99632.12</v>
      </c>
      <c r="I5557" s="128">
        <v>3404</v>
      </c>
    </row>
    <row r="5558" spans="1:9" ht="13.5">
      <c r="A5558" s="128">
        <v>2007</v>
      </c>
      <c r="B5558" s="128" t="s">
        <v>137</v>
      </c>
      <c r="C5558" s="128" t="s">
        <v>27</v>
      </c>
      <c r="D5558" s="128" t="s">
        <v>76</v>
      </c>
      <c r="E5558" s="128" t="s">
        <v>133</v>
      </c>
      <c r="F5558" s="128">
        <v>853361.76</v>
      </c>
      <c r="G5558" s="128">
        <v>459588</v>
      </c>
      <c r="H5558" s="128">
        <v>393771.73</v>
      </c>
      <c r="I5558" s="128">
        <v>2734</v>
      </c>
    </row>
    <row r="5559" spans="1:9" ht="13.5">
      <c r="A5559" s="128">
        <v>2007</v>
      </c>
      <c r="B5559" s="128" t="s">
        <v>137</v>
      </c>
      <c r="C5559" s="128" t="s">
        <v>27</v>
      </c>
      <c r="D5559" s="128" t="s">
        <v>76</v>
      </c>
      <c r="E5559" s="128" t="s">
        <v>134</v>
      </c>
      <c r="F5559" s="128">
        <v>731610.77</v>
      </c>
      <c r="G5559" s="128">
        <v>333528.43</v>
      </c>
      <c r="H5559" s="128">
        <v>398082.21</v>
      </c>
      <c r="I5559" s="128">
        <v>4603</v>
      </c>
    </row>
    <row r="5560" spans="1:9" ht="13.5">
      <c r="A5560" s="128">
        <v>2007</v>
      </c>
      <c r="B5560" s="128" t="s">
        <v>137</v>
      </c>
      <c r="C5560" s="128" t="s">
        <v>27</v>
      </c>
      <c r="D5560" s="128" t="s">
        <v>76</v>
      </c>
      <c r="E5560" s="128" t="s">
        <v>135</v>
      </c>
      <c r="F5560" s="128">
        <v>67261.55</v>
      </c>
      <c r="G5560" s="128">
        <v>18806.099999999999</v>
      </c>
      <c r="H5560" s="128">
        <v>48455.45</v>
      </c>
      <c r="I5560" s="128">
        <v>70</v>
      </c>
    </row>
    <row r="5561" spans="1:9" ht="13.5">
      <c r="A5561" s="128">
        <v>2008</v>
      </c>
      <c r="B5561" s="128" t="s">
        <v>131</v>
      </c>
      <c r="C5561" s="128" t="s">
        <v>20</v>
      </c>
      <c r="D5561" s="128" t="s">
        <v>79</v>
      </c>
      <c r="E5561" s="128" t="s">
        <v>136</v>
      </c>
      <c r="F5561" s="128">
        <v>27736425.75</v>
      </c>
      <c r="G5561" s="128">
        <v>20920442.219999999</v>
      </c>
      <c r="H5561" s="128">
        <v>6812270.9400000004</v>
      </c>
      <c r="I5561" s="128">
        <v>492630</v>
      </c>
    </row>
    <row r="5562" spans="1:9" ht="13.5">
      <c r="A5562" s="128">
        <v>2008</v>
      </c>
      <c r="B5562" s="128" t="s">
        <v>131</v>
      </c>
      <c r="C5562" s="128" t="s">
        <v>20</v>
      </c>
      <c r="D5562" s="128" t="s">
        <v>79</v>
      </c>
      <c r="E5562" s="128" t="s">
        <v>132</v>
      </c>
      <c r="F5562" s="128">
        <v>3428713.16</v>
      </c>
      <c r="G5562" s="128">
        <v>2296050.1800000002</v>
      </c>
      <c r="H5562" s="128">
        <v>821247.52</v>
      </c>
      <c r="I5562" s="128">
        <v>19164</v>
      </c>
    </row>
    <row r="5563" spans="1:9" ht="13.5">
      <c r="A5563" s="128">
        <v>2008</v>
      </c>
      <c r="B5563" s="128" t="s">
        <v>131</v>
      </c>
      <c r="C5563" s="128" t="s">
        <v>20</v>
      </c>
      <c r="D5563" s="128" t="s">
        <v>79</v>
      </c>
      <c r="E5563" s="128" t="s">
        <v>133</v>
      </c>
      <c r="F5563" s="128">
        <v>5075983.97</v>
      </c>
      <c r="G5563" s="128">
        <v>2737755.85</v>
      </c>
      <c r="H5563" s="128">
        <v>1096899.17</v>
      </c>
      <c r="I5563" s="128">
        <v>43848</v>
      </c>
    </row>
    <row r="5564" spans="1:9" ht="13.5">
      <c r="A5564" s="128">
        <v>2008</v>
      </c>
      <c r="B5564" s="128" t="s">
        <v>131</v>
      </c>
      <c r="C5564" s="128" t="s">
        <v>20</v>
      </c>
      <c r="D5564" s="128" t="s">
        <v>79</v>
      </c>
      <c r="E5564" s="128" t="s">
        <v>134</v>
      </c>
      <c r="F5564" s="128">
        <v>16153973.390000001</v>
      </c>
      <c r="G5564" s="128">
        <v>6857131.3099999996</v>
      </c>
      <c r="H5564" s="128">
        <v>2800129.84</v>
      </c>
      <c r="I5564" s="128">
        <v>68250</v>
      </c>
    </row>
    <row r="5565" spans="1:9" ht="13.5">
      <c r="A5565" s="128">
        <v>2008</v>
      </c>
      <c r="B5565" s="128" t="s">
        <v>131</v>
      </c>
      <c r="C5565" s="128" t="s">
        <v>20</v>
      </c>
      <c r="D5565" s="128" t="s">
        <v>79</v>
      </c>
      <c r="E5565" s="128" t="s">
        <v>135</v>
      </c>
      <c r="F5565" s="128">
        <v>81273536.450000003</v>
      </c>
      <c r="G5565" s="128">
        <v>20876504.600000001</v>
      </c>
      <c r="H5565" s="128">
        <v>7067162.9699999997</v>
      </c>
      <c r="I5565" s="128">
        <v>149986</v>
      </c>
    </row>
    <row r="5566" spans="1:9" ht="13.5">
      <c r="A5566" s="128">
        <v>2008</v>
      </c>
      <c r="B5566" s="128" t="s">
        <v>131</v>
      </c>
      <c r="C5566" s="128" t="s">
        <v>20</v>
      </c>
      <c r="D5566" s="128" t="s">
        <v>77</v>
      </c>
      <c r="E5566" s="128" t="s">
        <v>132</v>
      </c>
      <c r="F5566" s="128">
        <v>1024354.12</v>
      </c>
      <c r="G5566" s="128">
        <v>677513.22</v>
      </c>
      <c r="H5566" s="128">
        <v>309104.75</v>
      </c>
      <c r="I5566" s="128">
        <v>7487</v>
      </c>
    </row>
    <row r="5567" spans="1:9" ht="13.5">
      <c r="A5567" s="128">
        <v>2008</v>
      </c>
      <c r="B5567" s="128" t="s">
        <v>131</v>
      </c>
      <c r="C5567" s="128" t="s">
        <v>20</v>
      </c>
      <c r="D5567" s="128" t="s">
        <v>77</v>
      </c>
      <c r="E5567" s="128" t="s">
        <v>133</v>
      </c>
      <c r="F5567" s="128">
        <v>2110917.7999999998</v>
      </c>
      <c r="G5567" s="128">
        <v>1142828.1599999999</v>
      </c>
      <c r="H5567" s="128">
        <v>847937.3</v>
      </c>
      <c r="I5567" s="128">
        <v>6614</v>
      </c>
    </row>
    <row r="5568" spans="1:9" ht="13.5">
      <c r="A5568" s="128">
        <v>2008</v>
      </c>
      <c r="B5568" s="128" t="s">
        <v>131</v>
      </c>
      <c r="C5568" s="128" t="s">
        <v>20</v>
      </c>
      <c r="D5568" s="128" t="s">
        <v>77</v>
      </c>
      <c r="E5568" s="128" t="s">
        <v>134</v>
      </c>
      <c r="F5568" s="128">
        <v>4722948.09</v>
      </c>
      <c r="G5568" s="128">
        <v>2058567.71</v>
      </c>
      <c r="H5568" s="128">
        <v>2030452.25</v>
      </c>
      <c r="I5568" s="128">
        <v>17699</v>
      </c>
    </row>
    <row r="5569" spans="1:9" ht="13.5">
      <c r="A5569" s="128">
        <v>2008</v>
      </c>
      <c r="B5569" s="128" t="s">
        <v>131</v>
      </c>
      <c r="C5569" s="128" t="s">
        <v>20</v>
      </c>
      <c r="D5569" s="128" t="s">
        <v>77</v>
      </c>
      <c r="E5569" s="128" t="s">
        <v>135</v>
      </c>
      <c r="F5569" s="128">
        <v>6870138.5700000003</v>
      </c>
      <c r="G5569" s="128">
        <v>1724624.57</v>
      </c>
      <c r="H5569" s="128">
        <v>1932227.33</v>
      </c>
      <c r="I5569" s="128">
        <v>18206</v>
      </c>
    </row>
    <row r="5570" spans="1:9" ht="13.5">
      <c r="A5570" s="128">
        <v>2008</v>
      </c>
      <c r="B5570" s="128" t="s">
        <v>131</v>
      </c>
      <c r="C5570" s="128" t="s">
        <v>20</v>
      </c>
      <c r="D5570" s="128" t="s">
        <v>76</v>
      </c>
      <c r="E5570" s="128" t="s">
        <v>136</v>
      </c>
      <c r="F5570" s="128">
        <v>6795469.5899999999</v>
      </c>
      <c r="G5570" s="128">
        <v>5151675.17</v>
      </c>
      <c r="H5570" s="128">
        <v>1644390.58</v>
      </c>
      <c r="I5570" s="128">
        <v>197757</v>
      </c>
    </row>
    <row r="5571" spans="1:9" ht="13.5">
      <c r="A5571" s="128">
        <v>2008</v>
      </c>
      <c r="B5571" s="128" t="s">
        <v>131</v>
      </c>
      <c r="C5571" s="128" t="s">
        <v>20</v>
      </c>
      <c r="D5571" s="128" t="s">
        <v>76</v>
      </c>
      <c r="E5571" s="128" t="s">
        <v>132</v>
      </c>
      <c r="F5571" s="128">
        <v>33009870.530000001</v>
      </c>
      <c r="G5571" s="128">
        <v>21161717.43</v>
      </c>
      <c r="H5571" s="128">
        <v>11847887.119999999</v>
      </c>
      <c r="I5571" s="128">
        <v>417426</v>
      </c>
    </row>
    <row r="5572" spans="1:9" ht="13.5">
      <c r="A5572" s="128">
        <v>2008</v>
      </c>
      <c r="B5572" s="128" t="s">
        <v>131</v>
      </c>
      <c r="C5572" s="128" t="s">
        <v>20</v>
      </c>
      <c r="D5572" s="128" t="s">
        <v>76</v>
      </c>
      <c r="E5572" s="128" t="s">
        <v>133</v>
      </c>
      <c r="F5572" s="128">
        <v>59312263.789999999</v>
      </c>
      <c r="G5572" s="128">
        <v>32529071.309999999</v>
      </c>
      <c r="H5572" s="128">
        <v>26782862.280000001</v>
      </c>
      <c r="I5572" s="128">
        <v>232874</v>
      </c>
    </row>
    <row r="5573" spans="1:9" ht="13.5">
      <c r="A5573" s="128">
        <v>2008</v>
      </c>
      <c r="B5573" s="128" t="s">
        <v>131</v>
      </c>
      <c r="C5573" s="128" t="s">
        <v>20</v>
      </c>
      <c r="D5573" s="128" t="s">
        <v>76</v>
      </c>
      <c r="E5573" s="128" t="s">
        <v>134</v>
      </c>
      <c r="F5573" s="128">
        <v>48591840.659999996</v>
      </c>
      <c r="G5573" s="128">
        <v>22535068.73</v>
      </c>
      <c r="H5573" s="128">
        <v>26056548.77</v>
      </c>
      <c r="I5573" s="128">
        <v>312445</v>
      </c>
    </row>
    <row r="5574" spans="1:9" ht="13.5">
      <c r="A5574" s="128">
        <v>2008</v>
      </c>
      <c r="B5574" s="128" t="s">
        <v>131</v>
      </c>
      <c r="C5574" s="128" t="s">
        <v>20</v>
      </c>
      <c r="D5574" s="128" t="s">
        <v>76</v>
      </c>
      <c r="E5574" s="128" t="s">
        <v>135</v>
      </c>
      <c r="F5574" s="128">
        <v>4777549.91</v>
      </c>
      <c r="G5574" s="128">
        <v>1355716.29</v>
      </c>
      <c r="H5574" s="128">
        <v>3421831.23</v>
      </c>
      <c r="I5574" s="128">
        <v>5346</v>
      </c>
    </row>
    <row r="5575" spans="1:9" ht="13.5">
      <c r="A5575" s="128">
        <v>2008</v>
      </c>
      <c r="B5575" s="128" t="s">
        <v>131</v>
      </c>
      <c r="C5575" s="128" t="s">
        <v>21</v>
      </c>
      <c r="D5575" s="128" t="s">
        <v>79</v>
      </c>
      <c r="E5575" s="128" t="s">
        <v>136</v>
      </c>
      <c r="F5575" s="128">
        <v>18508261.32</v>
      </c>
      <c r="G5575" s="128">
        <v>13910885.76</v>
      </c>
      <c r="H5575" s="128">
        <v>4597264.45</v>
      </c>
      <c r="I5575" s="128">
        <v>165791</v>
      </c>
    </row>
    <row r="5576" spans="1:9" ht="13.5">
      <c r="A5576" s="128">
        <v>2008</v>
      </c>
      <c r="B5576" s="128" t="s">
        <v>131</v>
      </c>
      <c r="C5576" s="128" t="s">
        <v>21</v>
      </c>
      <c r="D5576" s="128" t="s">
        <v>79</v>
      </c>
      <c r="E5576" s="128" t="s">
        <v>132</v>
      </c>
      <c r="F5576" s="128">
        <v>2578064.81</v>
      </c>
      <c r="G5576" s="128">
        <v>1718037.78</v>
      </c>
      <c r="H5576" s="128">
        <v>630972.53</v>
      </c>
      <c r="I5576" s="128">
        <v>19471</v>
      </c>
    </row>
    <row r="5577" spans="1:9" ht="13.5">
      <c r="A5577" s="128">
        <v>2008</v>
      </c>
      <c r="B5577" s="128" t="s">
        <v>131</v>
      </c>
      <c r="C5577" s="128" t="s">
        <v>21</v>
      </c>
      <c r="D5577" s="128" t="s">
        <v>79</v>
      </c>
      <c r="E5577" s="128" t="s">
        <v>133</v>
      </c>
      <c r="F5577" s="128">
        <v>3207234.05</v>
      </c>
      <c r="G5577" s="128">
        <v>1751483.68</v>
      </c>
      <c r="H5577" s="128">
        <v>817089.89</v>
      </c>
      <c r="I5577" s="128">
        <v>21100</v>
      </c>
    </row>
    <row r="5578" spans="1:9" ht="13.5">
      <c r="A5578" s="128">
        <v>2008</v>
      </c>
      <c r="B5578" s="128" t="s">
        <v>131</v>
      </c>
      <c r="C5578" s="128" t="s">
        <v>21</v>
      </c>
      <c r="D5578" s="128" t="s">
        <v>79</v>
      </c>
      <c r="E5578" s="128" t="s">
        <v>134</v>
      </c>
      <c r="F5578" s="128">
        <v>7362106.8799999999</v>
      </c>
      <c r="G5578" s="128">
        <v>3133006.5</v>
      </c>
      <c r="H5578" s="128">
        <v>1559322.95</v>
      </c>
      <c r="I5578" s="128">
        <v>53895</v>
      </c>
    </row>
    <row r="5579" spans="1:9" ht="13.5">
      <c r="A5579" s="128">
        <v>2008</v>
      </c>
      <c r="B5579" s="128" t="s">
        <v>131</v>
      </c>
      <c r="C5579" s="128" t="s">
        <v>21</v>
      </c>
      <c r="D5579" s="128" t="s">
        <v>79</v>
      </c>
      <c r="E5579" s="128" t="s">
        <v>135</v>
      </c>
      <c r="F5579" s="128">
        <v>16467903.58</v>
      </c>
      <c r="G5579" s="128">
        <v>4206995.25</v>
      </c>
      <c r="H5579" s="128">
        <v>1425488.96</v>
      </c>
      <c r="I5579" s="128">
        <v>35725</v>
      </c>
    </row>
    <row r="5580" spans="1:9" ht="13.5">
      <c r="A5580" s="128">
        <v>2008</v>
      </c>
      <c r="B5580" s="128" t="s">
        <v>131</v>
      </c>
      <c r="C5580" s="128" t="s">
        <v>21</v>
      </c>
      <c r="D5580" s="128" t="s">
        <v>77</v>
      </c>
      <c r="E5580" s="128" t="s">
        <v>132</v>
      </c>
      <c r="F5580" s="128">
        <v>1635317.87</v>
      </c>
      <c r="G5580" s="128">
        <v>1088719.25</v>
      </c>
      <c r="H5580" s="128">
        <v>450941.63</v>
      </c>
      <c r="I5580" s="128">
        <v>8821</v>
      </c>
    </row>
    <row r="5581" spans="1:9" ht="13.5">
      <c r="A5581" s="128">
        <v>2008</v>
      </c>
      <c r="B5581" s="128" t="s">
        <v>131</v>
      </c>
      <c r="C5581" s="128" t="s">
        <v>21</v>
      </c>
      <c r="D5581" s="128" t="s">
        <v>77</v>
      </c>
      <c r="E5581" s="128" t="s">
        <v>133</v>
      </c>
      <c r="F5581" s="128">
        <v>3739879.63</v>
      </c>
      <c r="G5581" s="128">
        <v>2036546.2</v>
      </c>
      <c r="H5581" s="128">
        <v>1373311.55</v>
      </c>
      <c r="I5581" s="128">
        <v>14006</v>
      </c>
    </row>
    <row r="5582" spans="1:9" ht="13.5">
      <c r="A5582" s="128">
        <v>2008</v>
      </c>
      <c r="B5582" s="128" t="s">
        <v>131</v>
      </c>
      <c r="C5582" s="128" t="s">
        <v>21</v>
      </c>
      <c r="D5582" s="128" t="s">
        <v>77</v>
      </c>
      <c r="E5582" s="128" t="s">
        <v>134</v>
      </c>
      <c r="F5582" s="128">
        <v>6886824.1900000004</v>
      </c>
      <c r="G5582" s="128">
        <v>2972072.98</v>
      </c>
      <c r="H5582" s="128">
        <v>2596413.5299999998</v>
      </c>
      <c r="I5582" s="128">
        <v>25440</v>
      </c>
    </row>
    <row r="5583" spans="1:9" ht="13.5">
      <c r="A5583" s="128">
        <v>2008</v>
      </c>
      <c r="B5583" s="128" t="s">
        <v>131</v>
      </c>
      <c r="C5583" s="128" t="s">
        <v>21</v>
      </c>
      <c r="D5583" s="128" t="s">
        <v>77</v>
      </c>
      <c r="E5583" s="128" t="s">
        <v>135</v>
      </c>
      <c r="F5583" s="128">
        <v>9465803.6199999992</v>
      </c>
      <c r="G5583" s="128">
        <v>2513729.81</v>
      </c>
      <c r="H5583" s="128">
        <v>2516585.08</v>
      </c>
      <c r="I5583" s="128">
        <v>24496</v>
      </c>
    </row>
    <row r="5584" spans="1:9" ht="13.5">
      <c r="A5584" s="128">
        <v>2008</v>
      </c>
      <c r="B5584" s="128" t="s">
        <v>131</v>
      </c>
      <c r="C5584" s="128" t="s">
        <v>21</v>
      </c>
      <c r="D5584" s="128" t="s">
        <v>76</v>
      </c>
      <c r="E5584" s="128" t="s">
        <v>136</v>
      </c>
      <c r="F5584" s="128">
        <v>7851392.8200000003</v>
      </c>
      <c r="G5584" s="128">
        <v>5923234.1799999997</v>
      </c>
      <c r="H5584" s="128">
        <v>1928204.74</v>
      </c>
      <c r="I5584" s="128">
        <v>174016</v>
      </c>
    </row>
    <row r="5585" spans="1:9" ht="13.5">
      <c r="A5585" s="128">
        <v>2008</v>
      </c>
      <c r="B5585" s="128" t="s">
        <v>131</v>
      </c>
      <c r="C5585" s="128" t="s">
        <v>21</v>
      </c>
      <c r="D5585" s="128" t="s">
        <v>76</v>
      </c>
      <c r="E5585" s="128" t="s">
        <v>132</v>
      </c>
      <c r="F5585" s="128">
        <v>32012060.149999999</v>
      </c>
      <c r="G5585" s="128">
        <v>20693310.18</v>
      </c>
      <c r="H5585" s="128">
        <v>11318558.74</v>
      </c>
      <c r="I5585" s="128">
        <v>406642</v>
      </c>
    </row>
    <row r="5586" spans="1:9" ht="13.5">
      <c r="A5586" s="128">
        <v>2008</v>
      </c>
      <c r="B5586" s="128" t="s">
        <v>131</v>
      </c>
      <c r="C5586" s="128" t="s">
        <v>21</v>
      </c>
      <c r="D5586" s="128" t="s">
        <v>76</v>
      </c>
      <c r="E5586" s="128" t="s">
        <v>133</v>
      </c>
      <c r="F5586" s="128">
        <v>63939170.07</v>
      </c>
      <c r="G5586" s="128">
        <v>35149166.460000001</v>
      </c>
      <c r="H5586" s="128">
        <v>28789897.23</v>
      </c>
      <c r="I5586" s="128">
        <v>369207</v>
      </c>
    </row>
    <row r="5587" spans="1:9" ht="13.5">
      <c r="A5587" s="128">
        <v>2008</v>
      </c>
      <c r="B5587" s="128" t="s">
        <v>131</v>
      </c>
      <c r="C5587" s="128" t="s">
        <v>21</v>
      </c>
      <c r="D5587" s="128" t="s">
        <v>76</v>
      </c>
      <c r="E5587" s="128" t="s">
        <v>134</v>
      </c>
      <c r="F5587" s="128">
        <v>48537173.600000001</v>
      </c>
      <c r="G5587" s="128">
        <v>22195943.219999999</v>
      </c>
      <c r="H5587" s="128">
        <v>26341089.280000001</v>
      </c>
      <c r="I5587" s="128">
        <v>284357</v>
      </c>
    </row>
    <row r="5588" spans="1:9" ht="13.5">
      <c r="A5588" s="128">
        <v>2008</v>
      </c>
      <c r="B5588" s="128" t="s">
        <v>131</v>
      </c>
      <c r="C5588" s="128" t="s">
        <v>21</v>
      </c>
      <c r="D5588" s="128" t="s">
        <v>76</v>
      </c>
      <c r="E5588" s="128" t="s">
        <v>135</v>
      </c>
      <c r="F5588" s="128">
        <v>2924434.45</v>
      </c>
      <c r="G5588" s="128">
        <v>814006.4</v>
      </c>
      <c r="H5588" s="128">
        <v>2110425.09</v>
      </c>
      <c r="I5588" s="128">
        <v>2671</v>
      </c>
    </row>
    <row r="5589" spans="1:9" ht="13.5">
      <c r="A5589" s="128">
        <v>2008</v>
      </c>
      <c r="B5589" s="128" t="s">
        <v>131</v>
      </c>
      <c r="C5589" s="128" t="s">
        <v>22</v>
      </c>
      <c r="D5589" s="128" t="s">
        <v>79</v>
      </c>
      <c r="E5589" s="128" t="s">
        <v>136</v>
      </c>
      <c r="F5589" s="128">
        <v>6311152.3499999996</v>
      </c>
      <c r="G5589" s="128">
        <v>4751381.1900000004</v>
      </c>
      <c r="H5589" s="128">
        <v>1547967.83</v>
      </c>
      <c r="I5589" s="128">
        <v>70260</v>
      </c>
    </row>
    <row r="5590" spans="1:9" ht="13.5">
      <c r="A5590" s="128">
        <v>2008</v>
      </c>
      <c r="B5590" s="128" t="s">
        <v>131</v>
      </c>
      <c r="C5590" s="128" t="s">
        <v>22</v>
      </c>
      <c r="D5590" s="128" t="s">
        <v>79</v>
      </c>
      <c r="E5590" s="128" t="s">
        <v>132</v>
      </c>
      <c r="F5590" s="128">
        <v>1924476.82</v>
      </c>
      <c r="G5590" s="128">
        <v>1284074.3</v>
      </c>
      <c r="H5590" s="128">
        <v>432168.58</v>
      </c>
      <c r="I5590" s="128">
        <v>11181</v>
      </c>
    </row>
    <row r="5591" spans="1:9" ht="13.5">
      <c r="A5591" s="128">
        <v>2008</v>
      </c>
      <c r="B5591" s="128" t="s">
        <v>131</v>
      </c>
      <c r="C5591" s="128" t="s">
        <v>22</v>
      </c>
      <c r="D5591" s="128" t="s">
        <v>79</v>
      </c>
      <c r="E5591" s="128" t="s">
        <v>133</v>
      </c>
      <c r="F5591" s="128">
        <v>3517098.25</v>
      </c>
      <c r="G5591" s="128">
        <v>1896782.75</v>
      </c>
      <c r="H5591" s="128">
        <v>674056.03</v>
      </c>
      <c r="I5591" s="128">
        <v>18290</v>
      </c>
    </row>
    <row r="5592" spans="1:9" ht="13.5">
      <c r="A5592" s="128">
        <v>2008</v>
      </c>
      <c r="B5592" s="128" t="s">
        <v>131</v>
      </c>
      <c r="C5592" s="128" t="s">
        <v>22</v>
      </c>
      <c r="D5592" s="128" t="s">
        <v>79</v>
      </c>
      <c r="E5592" s="128" t="s">
        <v>134</v>
      </c>
      <c r="F5592" s="128">
        <v>10316271.17</v>
      </c>
      <c r="G5592" s="128">
        <v>4348412.13</v>
      </c>
      <c r="H5592" s="128">
        <v>1625109.17</v>
      </c>
      <c r="I5592" s="128">
        <v>47985</v>
      </c>
    </row>
    <row r="5593" spans="1:9" ht="13.5">
      <c r="A5593" s="128">
        <v>2008</v>
      </c>
      <c r="B5593" s="128" t="s">
        <v>131</v>
      </c>
      <c r="C5593" s="128" t="s">
        <v>22</v>
      </c>
      <c r="D5593" s="128" t="s">
        <v>79</v>
      </c>
      <c r="E5593" s="128" t="s">
        <v>135</v>
      </c>
      <c r="F5593" s="128">
        <v>31003913.809999999</v>
      </c>
      <c r="G5593" s="128">
        <v>8404129.1799999997</v>
      </c>
      <c r="H5593" s="128">
        <v>2813546.83</v>
      </c>
      <c r="I5593" s="128">
        <v>75998</v>
      </c>
    </row>
    <row r="5594" spans="1:9" ht="13.5">
      <c r="A5594" s="128">
        <v>2008</v>
      </c>
      <c r="B5594" s="128" t="s">
        <v>131</v>
      </c>
      <c r="C5594" s="128" t="s">
        <v>22</v>
      </c>
      <c r="D5594" s="128" t="s">
        <v>77</v>
      </c>
      <c r="E5594" s="128" t="s">
        <v>132</v>
      </c>
      <c r="F5594" s="128">
        <v>472212.1</v>
      </c>
      <c r="G5594" s="128">
        <v>299656.14</v>
      </c>
      <c r="H5594" s="128">
        <v>130824.88</v>
      </c>
      <c r="I5594" s="128">
        <v>2739</v>
      </c>
    </row>
    <row r="5595" spans="1:9" ht="13.5">
      <c r="A5595" s="128">
        <v>2008</v>
      </c>
      <c r="B5595" s="128" t="s">
        <v>131</v>
      </c>
      <c r="C5595" s="128" t="s">
        <v>22</v>
      </c>
      <c r="D5595" s="128" t="s">
        <v>77</v>
      </c>
      <c r="E5595" s="128" t="s">
        <v>133</v>
      </c>
      <c r="F5595" s="128">
        <v>1355658.73</v>
      </c>
      <c r="G5595" s="128">
        <v>739624.72</v>
      </c>
      <c r="H5595" s="128">
        <v>534779.04</v>
      </c>
      <c r="I5595" s="128">
        <v>4530</v>
      </c>
    </row>
    <row r="5596" spans="1:9" ht="13.5">
      <c r="A5596" s="128">
        <v>2008</v>
      </c>
      <c r="B5596" s="128" t="s">
        <v>131</v>
      </c>
      <c r="C5596" s="128" t="s">
        <v>22</v>
      </c>
      <c r="D5596" s="128" t="s">
        <v>77</v>
      </c>
      <c r="E5596" s="128" t="s">
        <v>134</v>
      </c>
      <c r="F5596" s="128">
        <v>4083148.33</v>
      </c>
      <c r="G5596" s="128">
        <v>1720816.2</v>
      </c>
      <c r="H5596" s="128">
        <v>1615389.3</v>
      </c>
      <c r="I5596" s="128">
        <v>10769</v>
      </c>
    </row>
    <row r="5597" spans="1:9" ht="13.5">
      <c r="A5597" s="128">
        <v>2008</v>
      </c>
      <c r="B5597" s="128" t="s">
        <v>131</v>
      </c>
      <c r="C5597" s="128" t="s">
        <v>22</v>
      </c>
      <c r="D5597" s="128" t="s">
        <v>77</v>
      </c>
      <c r="E5597" s="128" t="s">
        <v>135</v>
      </c>
      <c r="F5597" s="128">
        <v>9392687.2799999993</v>
      </c>
      <c r="G5597" s="128">
        <v>2364156.4</v>
      </c>
      <c r="H5597" s="128">
        <v>2617886.71</v>
      </c>
      <c r="I5597" s="128">
        <v>25111</v>
      </c>
    </row>
    <row r="5598" spans="1:9" ht="13.5">
      <c r="A5598" s="128">
        <v>2008</v>
      </c>
      <c r="B5598" s="128" t="s">
        <v>131</v>
      </c>
      <c r="C5598" s="128" t="s">
        <v>22</v>
      </c>
      <c r="D5598" s="128" t="s">
        <v>76</v>
      </c>
      <c r="E5598" s="128" t="s">
        <v>136</v>
      </c>
      <c r="F5598" s="128">
        <v>2511834.06</v>
      </c>
      <c r="G5598" s="128">
        <v>1912108.01</v>
      </c>
      <c r="H5598" s="128">
        <v>600131.25</v>
      </c>
      <c r="I5598" s="128">
        <v>49736</v>
      </c>
    </row>
    <row r="5599" spans="1:9" ht="13.5">
      <c r="A5599" s="128">
        <v>2008</v>
      </c>
      <c r="B5599" s="128" t="s">
        <v>131</v>
      </c>
      <c r="C5599" s="128" t="s">
        <v>22</v>
      </c>
      <c r="D5599" s="128" t="s">
        <v>76</v>
      </c>
      <c r="E5599" s="128" t="s">
        <v>132</v>
      </c>
      <c r="F5599" s="128">
        <v>31928364.960000001</v>
      </c>
      <c r="G5599" s="128">
        <v>20500079.739999998</v>
      </c>
      <c r="H5599" s="128">
        <v>11428172.890000001</v>
      </c>
      <c r="I5599" s="128">
        <v>487908</v>
      </c>
    </row>
    <row r="5600" spans="1:9" ht="13.5">
      <c r="A5600" s="128">
        <v>2008</v>
      </c>
      <c r="B5600" s="128" t="s">
        <v>131</v>
      </c>
      <c r="C5600" s="128" t="s">
        <v>22</v>
      </c>
      <c r="D5600" s="128" t="s">
        <v>76</v>
      </c>
      <c r="E5600" s="128" t="s">
        <v>133</v>
      </c>
      <c r="F5600" s="128">
        <v>47646559.93</v>
      </c>
      <c r="G5600" s="128">
        <v>26285445.16</v>
      </c>
      <c r="H5600" s="128">
        <v>21360983.309999999</v>
      </c>
      <c r="I5600" s="128">
        <v>225922</v>
      </c>
    </row>
    <row r="5601" spans="1:9" ht="13.5">
      <c r="A5601" s="128">
        <v>2008</v>
      </c>
      <c r="B5601" s="128" t="s">
        <v>131</v>
      </c>
      <c r="C5601" s="128" t="s">
        <v>22</v>
      </c>
      <c r="D5601" s="128" t="s">
        <v>76</v>
      </c>
      <c r="E5601" s="128" t="s">
        <v>134</v>
      </c>
      <c r="F5601" s="128">
        <v>33228602.370000001</v>
      </c>
      <c r="G5601" s="128">
        <v>15498607.800000001</v>
      </c>
      <c r="H5601" s="128">
        <v>17730173.059999999</v>
      </c>
      <c r="I5601" s="128">
        <v>230234</v>
      </c>
    </row>
    <row r="5602" spans="1:9" ht="13.5">
      <c r="A5602" s="128">
        <v>2008</v>
      </c>
      <c r="B5602" s="128" t="s">
        <v>131</v>
      </c>
      <c r="C5602" s="128" t="s">
        <v>22</v>
      </c>
      <c r="D5602" s="128" t="s">
        <v>76</v>
      </c>
      <c r="E5602" s="128" t="s">
        <v>135</v>
      </c>
      <c r="F5602" s="128">
        <v>4484474.4400000004</v>
      </c>
      <c r="G5602" s="128">
        <v>1230788.1499999999</v>
      </c>
      <c r="H5602" s="128">
        <v>3253686.71</v>
      </c>
      <c r="I5602" s="128">
        <v>4433</v>
      </c>
    </row>
    <row r="5603" spans="1:9" ht="13.5">
      <c r="A5603" s="128">
        <v>2008</v>
      </c>
      <c r="B5603" s="128" t="s">
        <v>131</v>
      </c>
      <c r="C5603" s="128" t="s">
        <v>23</v>
      </c>
      <c r="D5603" s="128" t="s">
        <v>79</v>
      </c>
      <c r="E5603" s="128" t="s">
        <v>136</v>
      </c>
      <c r="F5603" s="128">
        <v>12456945.210000001</v>
      </c>
      <c r="G5603" s="128">
        <v>9345560.5899999999</v>
      </c>
      <c r="H5603" s="128">
        <v>3110499.92</v>
      </c>
      <c r="I5603" s="128">
        <v>81287</v>
      </c>
    </row>
    <row r="5604" spans="1:9" ht="13.5">
      <c r="A5604" s="128">
        <v>2008</v>
      </c>
      <c r="B5604" s="128" t="s">
        <v>131</v>
      </c>
      <c r="C5604" s="128" t="s">
        <v>23</v>
      </c>
      <c r="D5604" s="128" t="s">
        <v>79</v>
      </c>
      <c r="E5604" s="128" t="s">
        <v>132</v>
      </c>
      <c r="F5604" s="128">
        <v>429729.86</v>
      </c>
      <c r="G5604" s="128">
        <v>285777.78999999998</v>
      </c>
      <c r="H5604" s="128">
        <v>107507.31</v>
      </c>
      <c r="I5604" s="128">
        <v>3426</v>
      </c>
    </row>
    <row r="5605" spans="1:9" ht="13.5">
      <c r="A5605" s="128">
        <v>2008</v>
      </c>
      <c r="B5605" s="128" t="s">
        <v>131</v>
      </c>
      <c r="C5605" s="128" t="s">
        <v>23</v>
      </c>
      <c r="D5605" s="128" t="s">
        <v>79</v>
      </c>
      <c r="E5605" s="128" t="s">
        <v>133</v>
      </c>
      <c r="F5605" s="128">
        <v>638122.77</v>
      </c>
      <c r="G5605" s="128">
        <v>343666.63</v>
      </c>
      <c r="H5605" s="128">
        <v>137799.73000000001</v>
      </c>
      <c r="I5605" s="128">
        <v>3482</v>
      </c>
    </row>
    <row r="5606" spans="1:9" ht="13.5">
      <c r="A5606" s="128">
        <v>2008</v>
      </c>
      <c r="B5606" s="128" t="s">
        <v>131</v>
      </c>
      <c r="C5606" s="128" t="s">
        <v>23</v>
      </c>
      <c r="D5606" s="128" t="s">
        <v>79</v>
      </c>
      <c r="E5606" s="128" t="s">
        <v>134</v>
      </c>
      <c r="F5606" s="128">
        <v>768165.03</v>
      </c>
      <c r="G5606" s="128">
        <v>336626.54</v>
      </c>
      <c r="H5606" s="128">
        <v>222443.3</v>
      </c>
      <c r="I5606" s="128">
        <v>5748</v>
      </c>
    </row>
    <row r="5607" spans="1:9" ht="13.5">
      <c r="A5607" s="128">
        <v>2008</v>
      </c>
      <c r="B5607" s="128" t="s">
        <v>131</v>
      </c>
      <c r="C5607" s="128" t="s">
        <v>23</v>
      </c>
      <c r="D5607" s="128" t="s">
        <v>79</v>
      </c>
      <c r="E5607" s="128" t="s">
        <v>135</v>
      </c>
      <c r="F5607" s="128">
        <v>1342304.12</v>
      </c>
      <c r="G5607" s="128">
        <v>365888.31</v>
      </c>
      <c r="H5607" s="128">
        <v>129198.6</v>
      </c>
      <c r="I5607" s="128">
        <v>3702</v>
      </c>
    </row>
    <row r="5608" spans="1:9" ht="13.5">
      <c r="A5608" s="128">
        <v>2008</v>
      </c>
      <c r="B5608" s="128" t="s">
        <v>131</v>
      </c>
      <c r="C5608" s="128" t="s">
        <v>23</v>
      </c>
      <c r="D5608" s="128" t="s">
        <v>77</v>
      </c>
      <c r="E5608" s="128" t="s">
        <v>132</v>
      </c>
      <c r="F5608" s="128">
        <v>1628679.21</v>
      </c>
      <c r="G5608" s="128">
        <v>1068132.3</v>
      </c>
      <c r="H5608" s="128">
        <v>535413.35</v>
      </c>
      <c r="I5608" s="128">
        <v>12677</v>
      </c>
    </row>
    <row r="5609" spans="1:9" ht="13.5">
      <c r="A5609" s="128">
        <v>2008</v>
      </c>
      <c r="B5609" s="128" t="s">
        <v>131</v>
      </c>
      <c r="C5609" s="128" t="s">
        <v>23</v>
      </c>
      <c r="D5609" s="128" t="s">
        <v>77</v>
      </c>
      <c r="E5609" s="128" t="s">
        <v>133</v>
      </c>
      <c r="F5609" s="128">
        <v>2561226.0099999998</v>
      </c>
      <c r="G5609" s="128">
        <v>1403897.65</v>
      </c>
      <c r="H5609" s="128">
        <v>1073577</v>
      </c>
      <c r="I5609" s="128">
        <v>7935</v>
      </c>
    </row>
    <row r="5610" spans="1:9" ht="13.5">
      <c r="A5610" s="128">
        <v>2008</v>
      </c>
      <c r="B5610" s="128" t="s">
        <v>131</v>
      </c>
      <c r="C5610" s="128" t="s">
        <v>23</v>
      </c>
      <c r="D5610" s="128" t="s">
        <v>77</v>
      </c>
      <c r="E5610" s="128" t="s">
        <v>134</v>
      </c>
      <c r="F5610" s="128">
        <v>3049589.55</v>
      </c>
      <c r="G5610" s="128">
        <v>1389693.15</v>
      </c>
      <c r="H5610" s="128">
        <v>1455166.34</v>
      </c>
      <c r="I5610" s="128">
        <v>13379</v>
      </c>
    </row>
    <row r="5611" spans="1:9" ht="13.5">
      <c r="A5611" s="128">
        <v>2008</v>
      </c>
      <c r="B5611" s="128" t="s">
        <v>131</v>
      </c>
      <c r="C5611" s="128" t="s">
        <v>23</v>
      </c>
      <c r="D5611" s="128" t="s">
        <v>77</v>
      </c>
      <c r="E5611" s="128" t="s">
        <v>135</v>
      </c>
      <c r="F5611" s="128">
        <v>1422470.06</v>
      </c>
      <c r="G5611" s="128">
        <v>349230.75</v>
      </c>
      <c r="H5611" s="128">
        <v>430598.9</v>
      </c>
      <c r="I5611" s="128">
        <v>2831</v>
      </c>
    </row>
    <row r="5612" spans="1:9" ht="13.5">
      <c r="A5612" s="128">
        <v>2008</v>
      </c>
      <c r="B5612" s="128" t="s">
        <v>131</v>
      </c>
      <c r="C5612" s="128" t="s">
        <v>23</v>
      </c>
      <c r="D5612" s="128" t="s">
        <v>76</v>
      </c>
      <c r="E5612" s="128" t="s">
        <v>136</v>
      </c>
      <c r="F5612" s="128">
        <v>2307055.3199999998</v>
      </c>
      <c r="G5612" s="128">
        <v>1736051.89</v>
      </c>
      <c r="H5612" s="128">
        <v>571003.43000000005</v>
      </c>
      <c r="I5612" s="128">
        <v>22110</v>
      </c>
    </row>
    <row r="5613" spans="1:9" ht="13.5">
      <c r="A5613" s="128">
        <v>2008</v>
      </c>
      <c r="B5613" s="128" t="s">
        <v>131</v>
      </c>
      <c r="C5613" s="128" t="s">
        <v>23</v>
      </c>
      <c r="D5613" s="128" t="s">
        <v>76</v>
      </c>
      <c r="E5613" s="128" t="s">
        <v>132</v>
      </c>
      <c r="F5613" s="128">
        <v>8714980.7599999998</v>
      </c>
      <c r="G5613" s="128">
        <v>5775347.9800000004</v>
      </c>
      <c r="H5613" s="128">
        <v>2939572.4</v>
      </c>
      <c r="I5613" s="128">
        <v>144054</v>
      </c>
    </row>
    <row r="5614" spans="1:9" ht="13.5">
      <c r="A5614" s="128">
        <v>2008</v>
      </c>
      <c r="B5614" s="128" t="s">
        <v>131</v>
      </c>
      <c r="C5614" s="128" t="s">
        <v>23</v>
      </c>
      <c r="D5614" s="128" t="s">
        <v>76</v>
      </c>
      <c r="E5614" s="128" t="s">
        <v>133</v>
      </c>
      <c r="F5614" s="128">
        <v>19715279.780000001</v>
      </c>
      <c r="G5614" s="128">
        <v>10662606.939999999</v>
      </c>
      <c r="H5614" s="128">
        <v>9052642.1199999992</v>
      </c>
      <c r="I5614" s="128">
        <v>90371</v>
      </c>
    </row>
    <row r="5615" spans="1:9" ht="13.5">
      <c r="A5615" s="128">
        <v>2008</v>
      </c>
      <c r="B5615" s="128" t="s">
        <v>131</v>
      </c>
      <c r="C5615" s="128" t="s">
        <v>23</v>
      </c>
      <c r="D5615" s="128" t="s">
        <v>76</v>
      </c>
      <c r="E5615" s="128" t="s">
        <v>134</v>
      </c>
      <c r="F5615" s="128">
        <v>16515061.57</v>
      </c>
      <c r="G5615" s="128">
        <v>7545004.6799999997</v>
      </c>
      <c r="H5615" s="128">
        <v>8970042.9900000002</v>
      </c>
      <c r="I5615" s="128">
        <v>76407</v>
      </c>
    </row>
    <row r="5616" spans="1:9" ht="13.5">
      <c r="A5616" s="128">
        <v>2008</v>
      </c>
      <c r="B5616" s="128" t="s">
        <v>131</v>
      </c>
      <c r="C5616" s="128" t="s">
        <v>23</v>
      </c>
      <c r="D5616" s="128" t="s">
        <v>76</v>
      </c>
      <c r="E5616" s="128" t="s">
        <v>135</v>
      </c>
      <c r="F5616" s="128">
        <v>1190170.48</v>
      </c>
      <c r="G5616" s="128">
        <v>309478.40000000002</v>
      </c>
      <c r="H5616" s="128">
        <v>880692.08</v>
      </c>
      <c r="I5616" s="128">
        <v>913</v>
      </c>
    </row>
    <row r="5617" spans="1:9" ht="13.5">
      <c r="A5617" s="128">
        <v>2008</v>
      </c>
      <c r="B5617" s="128" t="s">
        <v>131</v>
      </c>
      <c r="C5617" s="128" t="s">
        <v>24</v>
      </c>
      <c r="D5617" s="128" t="s">
        <v>79</v>
      </c>
      <c r="E5617" s="128" t="s">
        <v>136</v>
      </c>
      <c r="F5617" s="128">
        <v>1546970.91</v>
      </c>
      <c r="G5617" s="128">
        <v>1167605.3700000001</v>
      </c>
      <c r="H5617" s="128">
        <v>379363.94</v>
      </c>
      <c r="I5617" s="128">
        <v>35145</v>
      </c>
    </row>
    <row r="5618" spans="1:9" ht="13.5">
      <c r="A5618" s="128">
        <v>2008</v>
      </c>
      <c r="B5618" s="128" t="s">
        <v>131</v>
      </c>
      <c r="C5618" s="128" t="s">
        <v>24</v>
      </c>
      <c r="D5618" s="128" t="s">
        <v>79</v>
      </c>
      <c r="E5618" s="128" t="s">
        <v>132</v>
      </c>
      <c r="F5618" s="128">
        <v>449239.01</v>
      </c>
      <c r="G5618" s="128">
        <v>296057.09000000003</v>
      </c>
      <c r="H5618" s="128">
        <v>99801.67</v>
      </c>
      <c r="I5618" s="128">
        <v>3261</v>
      </c>
    </row>
    <row r="5619" spans="1:9" ht="13.5">
      <c r="A5619" s="128">
        <v>2008</v>
      </c>
      <c r="B5619" s="128" t="s">
        <v>131</v>
      </c>
      <c r="C5619" s="128" t="s">
        <v>24</v>
      </c>
      <c r="D5619" s="128" t="s">
        <v>79</v>
      </c>
      <c r="E5619" s="128" t="s">
        <v>133</v>
      </c>
      <c r="F5619" s="128">
        <v>1535814.62</v>
      </c>
      <c r="G5619" s="128">
        <v>834916.07</v>
      </c>
      <c r="H5619" s="128">
        <v>283334.2</v>
      </c>
      <c r="I5619" s="128">
        <v>10961</v>
      </c>
    </row>
    <row r="5620" spans="1:9" ht="13.5">
      <c r="A5620" s="128">
        <v>2008</v>
      </c>
      <c r="B5620" s="128" t="s">
        <v>131</v>
      </c>
      <c r="C5620" s="128" t="s">
        <v>24</v>
      </c>
      <c r="D5620" s="128" t="s">
        <v>79</v>
      </c>
      <c r="E5620" s="128" t="s">
        <v>134</v>
      </c>
      <c r="F5620" s="128">
        <v>2675251.12</v>
      </c>
      <c r="G5620" s="128">
        <v>1146559.48</v>
      </c>
      <c r="H5620" s="128">
        <v>387469.91</v>
      </c>
      <c r="I5620" s="128">
        <v>19339</v>
      </c>
    </row>
    <row r="5621" spans="1:9" ht="13.5">
      <c r="A5621" s="128">
        <v>2008</v>
      </c>
      <c r="B5621" s="128" t="s">
        <v>131</v>
      </c>
      <c r="C5621" s="128" t="s">
        <v>24</v>
      </c>
      <c r="D5621" s="128" t="s">
        <v>79</v>
      </c>
      <c r="E5621" s="128" t="s">
        <v>135</v>
      </c>
      <c r="F5621" s="128">
        <v>4775386.34</v>
      </c>
      <c r="G5621" s="128">
        <v>1115320.19</v>
      </c>
      <c r="H5621" s="128">
        <v>378863.94</v>
      </c>
      <c r="I5621" s="128">
        <v>8154</v>
      </c>
    </row>
    <row r="5622" spans="1:9" ht="13.5">
      <c r="A5622" s="128">
        <v>2008</v>
      </c>
      <c r="B5622" s="128" t="s">
        <v>131</v>
      </c>
      <c r="C5622" s="128" t="s">
        <v>24</v>
      </c>
      <c r="D5622" s="128" t="s">
        <v>77</v>
      </c>
      <c r="E5622" s="128" t="s">
        <v>132</v>
      </c>
      <c r="F5622" s="128">
        <v>1629900.14</v>
      </c>
      <c r="G5622" s="128">
        <v>1120694.8500000001</v>
      </c>
      <c r="H5622" s="128">
        <v>478220.79</v>
      </c>
      <c r="I5622" s="128">
        <v>10246</v>
      </c>
    </row>
    <row r="5623" spans="1:9" ht="13.5">
      <c r="A5623" s="128">
        <v>2008</v>
      </c>
      <c r="B5623" s="128" t="s">
        <v>131</v>
      </c>
      <c r="C5623" s="128" t="s">
        <v>24</v>
      </c>
      <c r="D5623" s="128" t="s">
        <v>77</v>
      </c>
      <c r="E5623" s="128" t="s">
        <v>133</v>
      </c>
      <c r="F5623" s="128">
        <v>3660581.32</v>
      </c>
      <c r="G5623" s="128">
        <v>1965777.75</v>
      </c>
      <c r="H5623" s="128">
        <v>1376915.3</v>
      </c>
      <c r="I5623" s="128">
        <v>12394</v>
      </c>
    </row>
    <row r="5624" spans="1:9" ht="13.5">
      <c r="A5624" s="128">
        <v>2008</v>
      </c>
      <c r="B5624" s="128" t="s">
        <v>131</v>
      </c>
      <c r="C5624" s="128" t="s">
        <v>24</v>
      </c>
      <c r="D5624" s="128" t="s">
        <v>77</v>
      </c>
      <c r="E5624" s="128" t="s">
        <v>134</v>
      </c>
      <c r="F5624" s="128">
        <v>5715148.7300000004</v>
      </c>
      <c r="G5624" s="128">
        <v>2491175.73</v>
      </c>
      <c r="H5624" s="128">
        <v>1834093.46</v>
      </c>
      <c r="I5624" s="128">
        <v>21711</v>
      </c>
    </row>
    <row r="5625" spans="1:9" ht="13.5">
      <c r="A5625" s="128">
        <v>2008</v>
      </c>
      <c r="B5625" s="128" t="s">
        <v>131</v>
      </c>
      <c r="C5625" s="128" t="s">
        <v>24</v>
      </c>
      <c r="D5625" s="128" t="s">
        <v>77</v>
      </c>
      <c r="E5625" s="128" t="s">
        <v>135</v>
      </c>
      <c r="F5625" s="128">
        <v>10979632.630000001</v>
      </c>
      <c r="G5625" s="128">
        <v>2406546.69</v>
      </c>
      <c r="H5625" s="128">
        <v>1699981.32</v>
      </c>
      <c r="I5625" s="128">
        <v>19515</v>
      </c>
    </row>
    <row r="5626" spans="1:9" ht="13.5">
      <c r="A5626" s="128">
        <v>2008</v>
      </c>
      <c r="B5626" s="128" t="s">
        <v>131</v>
      </c>
      <c r="C5626" s="128" t="s">
        <v>24</v>
      </c>
      <c r="D5626" s="128" t="s">
        <v>76</v>
      </c>
      <c r="E5626" s="128" t="s">
        <v>136</v>
      </c>
      <c r="F5626" s="128">
        <v>903005.45</v>
      </c>
      <c r="G5626" s="128">
        <v>681876.7</v>
      </c>
      <c r="H5626" s="128">
        <v>221030.35</v>
      </c>
      <c r="I5626" s="128">
        <v>9484</v>
      </c>
    </row>
    <row r="5627" spans="1:9" ht="13.5">
      <c r="A5627" s="128">
        <v>2008</v>
      </c>
      <c r="B5627" s="128" t="s">
        <v>131</v>
      </c>
      <c r="C5627" s="128" t="s">
        <v>24</v>
      </c>
      <c r="D5627" s="128" t="s">
        <v>76</v>
      </c>
      <c r="E5627" s="128" t="s">
        <v>132</v>
      </c>
      <c r="F5627" s="128">
        <v>8588394.5399999991</v>
      </c>
      <c r="G5627" s="128">
        <v>5433493.9699999997</v>
      </c>
      <c r="H5627" s="128">
        <v>3154882.97</v>
      </c>
      <c r="I5627" s="128">
        <v>100659</v>
      </c>
    </row>
    <row r="5628" spans="1:9" ht="13.5">
      <c r="A5628" s="128">
        <v>2008</v>
      </c>
      <c r="B5628" s="128" t="s">
        <v>131</v>
      </c>
      <c r="C5628" s="128" t="s">
        <v>24</v>
      </c>
      <c r="D5628" s="128" t="s">
        <v>76</v>
      </c>
      <c r="E5628" s="128" t="s">
        <v>133</v>
      </c>
      <c r="F5628" s="128">
        <v>23047514.899999999</v>
      </c>
      <c r="G5628" s="128">
        <v>12692387.27</v>
      </c>
      <c r="H5628" s="128">
        <v>10355117.58</v>
      </c>
      <c r="I5628" s="128">
        <v>144477</v>
      </c>
    </row>
    <row r="5629" spans="1:9" ht="13.5">
      <c r="A5629" s="128">
        <v>2008</v>
      </c>
      <c r="B5629" s="128" t="s">
        <v>131</v>
      </c>
      <c r="C5629" s="128" t="s">
        <v>24</v>
      </c>
      <c r="D5629" s="128" t="s">
        <v>76</v>
      </c>
      <c r="E5629" s="128" t="s">
        <v>134</v>
      </c>
      <c r="F5629" s="128">
        <v>20374356.5</v>
      </c>
      <c r="G5629" s="128">
        <v>8952071.3000000007</v>
      </c>
      <c r="H5629" s="128">
        <v>11422508.449999999</v>
      </c>
      <c r="I5629" s="128">
        <v>118525</v>
      </c>
    </row>
    <row r="5630" spans="1:9" ht="13.5">
      <c r="A5630" s="128">
        <v>2008</v>
      </c>
      <c r="B5630" s="128" t="s">
        <v>131</v>
      </c>
      <c r="C5630" s="128" t="s">
        <v>24</v>
      </c>
      <c r="D5630" s="128" t="s">
        <v>76</v>
      </c>
      <c r="E5630" s="128" t="s">
        <v>135</v>
      </c>
      <c r="F5630" s="128">
        <v>2616198.35</v>
      </c>
      <c r="G5630" s="128">
        <v>626074.35</v>
      </c>
      <c r="H5630" s="128">
        <v>1990124.2</v>
      </c>
      <c r="I5630" s="128">
        <v>1759</v>
      </c>
    </row>
    <row r="5631" spans="1:9" ht="13.5">
      <c r="A5631" s="128">
        <v>2008</v>
      </c>
      <c r="B5631" s="128" t="s">
        <v>131</v>
      </c>
      <c r="C5631" s="128" t="s">
        <v>25</v>
      </c>
      <c r="D5631" s="128" t="s">
        <v>79</v>
      </c>
      <c r="E5631" s="128" t="s">
        <v>136</v>
      </c>
      <c r="F5631" s="128">
        <v>1171336.94</v>
      </c>
      <c r="G5631" s="128">
        <v>881157.04</v>
      </c>
      <c r="H5631" s="128">
        <v>290179.90000000002</v>
      </c>
      <c r="I5631" s="128">
        <v>17162</v>
      </c>
    </row>
    <row r="5632" spans="1:9" ht="13.5">
      <c r="A5632" s="128">
        <v>2008</v>
      </c>
      <c r="B5632" s="128" t="s">
        <v>131</v>
      </c>
      <c r="C5632" s="128" t="s">
        <v>25</v>
      </c>
      <c r="D5632" s="128" t="s">
        <v>79</v>
      </c>
      <c r="E5632" s="128" t="s">
        <v>132</v>
      </c>
      <c r="F5632" s="128">
        <v>250804.68</v>
      </c>
      <c r="G5632" s="128">
        <v>169344.57</v>
      </c>
      <c r="H5632" s="128">
        <v>56206.02</v>
      </c>
      <c r="I5632" s="128">
        <v>1944</v>
      </c>
    </row>
    <row r="5633" spans="1:9" ht="13.5">
      <c r="A5633" s="128">
        <v>2008</v>
      </c>
      <c r="B5633" s="128" t="s">
        <v>131</v>
      </c>
      <c r="C5633" s="128" t="s">
        <v>25</v>
      </c>
      <c r="D5633" s="128" t="s">
        <v>79</v>
      </c>
      <c r="E5633" s="128" t="s">
        <v>133</v>
      </c>
      <c r="F5633" s="128">
        <v>332364.11</v>
      </c>
      <c r="G5633" s="128">
        <v>180586.76</v>
      </c>
      <c r="H5633" s="128">
        <v>67797.61</v>
      </c>
      <c r="I5633" s="128">
        <v>1040</v>
      </c>
    </row>
    <row r="5634" spans="1:9" ht="13.5">
      <c r="A5634" s="128">
        <v>2008</v>
      </c>
      <c r="B5634" s="128" t="s">
        <v>131</v>
      </c>
      <c r="C5634" s="128" t="s">
        <v>25</v>
      </c>
      <c r="D5634" s="128" t="s">
        <v>79</v>
      </c>
      <c r="E5634" s="128" t="s">
        <v>134</v>
      </c>
      <c r="F5634" s="128">
        <v>591260.37</v>
      </c>
      <c r="G5634" s="128">
        <v>248592.25</v>
      </c>
      <c r="H5634" s="128">
        <v>86966.92</v>
      </c>
      <c r="I5634" s="128">
        <v>2516</v>
      </c>
    </row>
    <row r="5635" spans="1:9" ht="13.5">
      <c r="A5635" s="128">
        <v>2008</v>
      </c>
      <c r="B5635" s="128" t="s">
        <v>131</v>
      </c>
      <c r="C5635" s="128" t="s">
        <v>25</v>
      </c>
      <c r="D5635" s="128" t="s">
        <v>79</v>
      </c>
      <c r="E5635" s="128" t="s">
        <v>135</v>
      </c>
      <c r="F5635" s="128">
        <v>1977169.33</v>
      </c>
      <c r="G5635" s="128">
        <v>486587.84</v>
      </c>
      <c r="H5635" s="128">
        <v>163495.59</v>
      </c>
      <c r="I5635" s="128">
        <v>3669</v>
      </c>
    </row>
    <row r="5636" spans="1:9" ht="13.5">
      <c r="A5636" s="128">
        <v>2008</v>
      </c>
      <c r="B5636" s="128" t="s">
        <v>131</v>
      </c>
      <c r="C5636" s="128" t="s">
        <v>25</v>
      </c>
      <c r="D5636" s="128" t="s">
        <v>77</v>
      </c>
      <c r="E5636" s="128" t="s">
        <v>132</v>
      </c>
      <c r="F5636" s="128">
        <v>48653.51</v>
      </c>
      <c r="G5636" s="128">
        <v>32507.05</v>
      </c>
      <c r="H5636" s="128">
        <v>12985.32</v>
      </c>
      <c r="I5636" s="128">
        <v>354</v>
      </c>
    </row>
    <row r="5637" spans="1:9" ht="13.5">
      <c r="A5637" s="128">
        <v>2008</v>
      </c>
      <c r="B5637" s="128" t="s">
        <v>131</v>
      </c>
      <c r="C5637" s="128" t="s">
        <v>25</v>
      </c>
      <c r="D5637" s="128" t="s">
        <v>77</v>
      </c>
      <c r="E5637" s="128" t="s">
        <v>133</v>
      </c>
      <c r="F5637" s="128">
        <v>101690.08</v>
      </c>
      <c r="G5637" s="128">
        <v>55376.959999999999</v>
      </c>
      <c r="H5637" s="128">
        <v>38552.050000000003</v>
      </c>
      <c r="I5637" s="128">
        <v>408</v>
      </c>
    </row>
    <row r="5638" spans="1:9" ht="13.5">
      <c r="A5638" s="128">
        <v>2008</v>
      </c>
      <c r="B5638" s="128" t="s">
        <v>131</v>
      </c>
      <c r="C5638" s="128" t="s">
        <v>25</v>
      </c>
      <c r="D5638" s="128" t="s">
        <v>77</v>
      </c>
      <c r="E5638" s="128" t="s">
        <v>134</v>
      </c>
      <c r="F5638" s="128">
        <v>568025.43999999994</v>
      </c>
      <c r="G5638" s="128">
        <v>244667.2</v>
      </c>
      <c r="H5638" s="128">
        <v>243046.02</v>
      </c>
      <c r="I5638" s="128">
        <v>1483</v>
      </c>
    </row>
    <row r="5639" spans="1:9" ht="13.5">
      <c r="A5639" s="128">
        <v>2008</v>
      </c>
      <c r="B5639" s="128" t="s">
        <v>131</v>
      </c>
      <c r="C5639" s="128" t="s">
        <v>25</v>
      </c>
      <c r="D5639" s="128" t="s">
        <v>77</v>
      </c>
      <c r="E5639" s="128" t="s">
        <v>135</v>
      </c>
      <c r="F5639" s="128">
        <v>941637.12</v>
      </c>
      <c r="G5639" s="128">
        <v>277067</v>
      </c>
      <c r="H5639" s="128">
        <v>320415.65999999997</v>
      </c>
      <c r="I5639" s="128">
        <v>3110</v>
      </c>
    </row>
    <row r="5640" spans="1:9" ht="13.5">
      <c r="A5640" s="128">
        <v>2008</v>
      </c>
      <c r="B5640" s="128" t="s">
        <v>131</v>
      </c>
      <c r="C5640" s="128" t="s">
        <v>25</v>
      </c>
      <c r="D5640" s="128" t="s">
        <v>76</v>
      </c>
      <c r="E5640" s="128" t="s">
        <v>136</v>
      </c>
      <c r="F5640" s="128">
        <v>313206.38</v>
      </c>
      <c r="G5640" s="128">
        <v>239950.62</v>
      </c>
      <c r="H5640" s="128">
        <v>73255.759999999995</v>
      </c>
      <c r="I5640" s="128">
        <v>6666</v>
      </c>
    </row>
    <row r="5641" spans="1:9" ht="13.5">
      <c r="A5641" s="128">
        <v>2008</v>
      </c>
      <c r="B5641" s="128" t="s">
        <v>131</v>
      </c>
      <c r="C5641" s="128" t="s">
        <v>25</v>
      </c>
      <c r="D5641" s="128" t="s">
        <v>76</v>
      </c>
      <c r="E5641" s="128" t="s">
        <v>132</v>
      </c>
      <c r="F5641" s="128">
        <v>3047994</v>
      </c>
      <c r="G5641" s="128">
        <v>1964104.6</v>
      </c>
      <c r="H5641" s="128">
        <v>1083885.6000000001</v>
      </c>
      <c r="I5641" s="128">
        <v>38701</v>
      </c>
    </row>
    <row r="5642" spans="1:9" ht="13.5">
      <c r="A5642" s="128">
        <v>2008</v>
      </c>
      <c r="B5642" s="128" t="s">
        <v>131</v>
      </c>
      <c r="C5642" s="128" t="s">
        <v>25</v>
      </c>
      <c r="D5642" s="128" t="s">
        <v>76</v>
      </c>
      <c r="E5642" s="128" t="s">
        <v>133</v>
      </c>
      <c r="F5642" s="128">
        <v>5185380.97</v>
      </c>
      <c r="G5642" s="128">
        <v>2829009.65</v>
      </c>
      <c r="H5642" s="128">
        <v>2356368.7999999998</v>
      </c>
      <c r="I5642" s="128">
        <v>16582</v>
      </c>
    </row>
    <row r="5643" spans="1:9" ht="13.5">
      <c r="A5643" s="128">
        <v>2008</v>
      </c>
      <c r="B5643" s="128" t="s">
        <v>131</v>
      </c>
      <c r="C5643" s="128" t="s">
        <v>25</v>
      </c>
      <c r="D5643" s="128" t="s">
        <v>76</v>
      </c>
      <c r="E5643" s="128" t="s">
        <v>134</v>
      </c>
      <c r="F5643" s="128">
        <v>4537906.59</v>
      </c>
      <c r="G5643" s="128">
        <v>2094780.8</v>
      </c>
      <c r="H5643" s="128">
        <v>2443124.0499999998</v>
      </c>
      <c r="I5643" s="128">
        <v>29428</v>
      </c>
    </row>
    <row r="5644" spans="1:9" ht="13.5">
      <c r="A5644" s="128">
        <v>2008</v>
      </c>
      <c r="B5644" s="128" t="s">
        <v>131</v>
      </c>
      <c r="C5644" s="128" t="s">
        <v>25</v>
      </c>
      <c r="D5644" s="128" t="s">
        <v>76</v>
      </c>
      <c r="E5644" s="128" t="s">
        <v>135</v>
      </c>
      <c r="F5644" s="128">
        <v>407753.22</v>
      </c>
      <c r="G5644" s="128">
        <v>113282.95</v>
      </c>
      <c r="H5644" s="128">
        <v>294470.23</v>
      </c>
      <c r="I5644" s="128">
        <v>336</v>
      </c>
    </row>
    <row r="5645" spans="1:9" ht="13.5">
      <c r="A5645" s="128">
        <v>2008</v>
      </c>
      <c r="B5645" s="128" t="s">
        <v>131</v>
      </c>
      <c r="C5645" s="128" t="s">
        <v>27</v>
      </c>
      <c r="D5645" s="128" t="s">
        <v>79</v>
      </c>
      <c r="E5645" s="128" t="s">
        <v>136</v>
      </c>
      <c r="F5645" s="128">
        <v>224347.82</v>
      </c>
      <c r="G5645" s="128">
        <v>168935.93</v>
      </c>
      <c r="H5645" s="128">
        <v>55212.99</v>
      </c>
      <c r="I5645" s="128">
        <v>2235</v>
      </c>
    </row>
    <row r="5646" spans="1:9" ht="13.5">
      <c r="A5646" s="128">
        <v>2008</v>
      </c>
      <c r="B5646" s="128" t="s">
        <v>131</v>
      </c>
      <c r="C5646" s="128" t="s">
        <v>27</v>
      </c>
      <c r="D5646" s="128" t="s">
        <v>79</v>
      </c>
      <c r="E5646" s="128" t="s">
        <v>132</v>
      </c>
      <c r="F5646" s="128">
        <v>47575.75</v>
      </c>
      <c r="G5646" s="128">
        <v>30692.26</v>
      </c>
      <c r="H5646" s="128">
        <v>10148.709999999999</v>
      </c>
      <c r="I5646" s="128">
        <v>273</v>
      </c>
    </row>
    <row r="5647" spans="1:9" ht="13.5">
      <c r="A5647" s="128">
        <v>2008</v>
      </c>
      <c r="B5647" s="128" t="s">
        <v>131</v>
      </c>
      <c r="C5647" s="128" t="s">
        <v>27</v>
      </c>
      <c r="D5647" s="128" t="s">
        <v>79</v>
      </c>
      <c r="E5647" s="128" t="s">
        <v>133</v>
      </c>
      <c r="F5647" s="128">
        <v>55993.85</v>
      </c>
      <c r="G5647" s="128">
        <v>29898.45</v>
      </c>
      <c r="H5647" s="128">
        <v>10351.709999999999</v>
      </c>
      <c r="I5647" s="128">
        <v>237</v>
      </c>
    </row>
    <row r="5648" spans="1:9" ht="13.5">
      <c r="A5648" s="128">
        <v>2008</v>
      </c>
      <c r="B5648" s="128" t="s">
        <v>131</v>
      </c>
      <c r="C5648" s="128" t="s">
        <v>27</v>
      </c>
      <c r="D5648" s="128" t="s">
        <v>79</v>
      </c>
      <c r="E5648" s="128" t="s">
        <v>134</v>
      </c>
      <c r="F5648" s="128">
        <v>159428.99</v>
      </c>
      <c r="G5648" s="128">
        <v>67098.55</v>
      </c>
      <c r="H5648" s="128">
        <v>24409.4</v>
      </c>
      <c r="I5648" s="128">
        <v>930</v>
      </c>
    </row>
    <row r="5649" spans="1:9" ht="13.5">
      <c r="A5649" s="128">
        <v>2008</v>
      </c>
      <c r="B5649" s="128" t="s">
        <v>131</v>
      </c>
      <c r="C5649" s="128" t="s">
        <v>27</v>
      </c>
      <c r="D5649" s="128" t="s">
        <v>79</v>
      </c>
      <c r="E5649" s="128" t="s">
        <v>135</v>
      </c>
      <c r="F5649" s="128">
        <v>721690</v>
      </c>
      <c r="G5649" s="128">
        <v>193584.12</v>
      </c>
      <c r="H5649" s="128">
        <v>64597.8</v>
      </c>
      <c r="I5649" s="128">
        <v>1543</v>
      </c>
    </row>
    <row r="5650" spans="1:9" ht="13.5">
      <c r="A5650" s="128">
        <v>2008</v>
      </c>
      <c r="B5650" s="128" t="s">
        <v>131</v>
      </c>
      <c r="C5650" s="128" t="s">
        <v>27</v>
      </c>
      <c r="D5650" s="128" t="s">
        <v>77</v>
      </c>
      <c r="E5650" s="128" t="s">
        <v>132</v>
      </c>
      <c r="F5650" s="128">
        <v>13587.84</v>
      </c>
      <c r="G5650" s="128">
        <v>8911.36</v>
      </c>
      <c r="H5650" s="128">
        <v>3897.73</v>
      </c>
      <c r="I5650" s="128">
        <v>86</v>
      </c>
    </row>
    <row r="5651" spans="1:9" ht="13.5">
      <c r="A5651" s="128">
        <v>2008</v>
      </c>
      <c r="B5651" s="128" t="s">
        <v>131</v>
      </c>
      <c r="C5651" s="128" t="s">
        <v>27</v>
      </c>
      <c r="D5651" s="128" t="s">
        <v>77</v>
      </c>
      <c r="E5651" s="128" t="s">
        <v>133</v>
      </c>
      <c r="F5651" s="128">
        <v>34159.370000000003</v>
      </c>
      <c r="G5651" s="128">
        <v>18347.05</v>
      </c>
      <c r="H5651" s="128">
        <v>12949.54</v>
      </c>
      <c r="I5651" s="128">
        <v>139</v>
      </c>
    </row>
    <row r="5652" spans="1:9" ht="13.5">
      <c r="A5652" s="128">
        <v>2008</v>
      </c>
      <c r="B5652" s="128" t="s">
        <v>131</v>
      </c>
      <c r="C5652" s="128" t="s">
        <v>27</v>
      </c>
      <c r="D5652" s="128" t="s">
        <v>77</v>
      </c>
      <c r="E5652" s="128" t="s">
        <v>134</v>
      </c>
      <c r="F5652" s="128">
        <v>99465.52</v>
      </c>
      <c r="G5652" s="128">
        <v>42013.55</v>
      </c>
      <c r="H5652" s="128">
        <v>40311.870000000003</v>
      </c>
      <c r="I5652" s="128">
        <v>184</v>
      </c>
    </row>
    <row r="5653" spans="1:9" ht="13.5">
      <c r="A5653" s="128">
        <v>2008</v>
      </c>
      <c r="B5653" s="128" t="s">
        <v>131</v>
      </c>
      <c r="C5653" s="128" t="s">
        <v>27</v>
      </c>
      <c r="D5653" s="128" t="s">
        <v>77</v>
      </c>
      <c r="E5653" s="128" t="s">
        <v>135</v>
      </c>
      <c r="F5653" s="128">
        <v>244124.62</v>
      </c>
      <c r="G5653" s="128">
        <v>59596.55</v>
      </c>
      <c r="H5653" s="128">
        <v>65959.83</v>
      </c>
      <c r="I5653" s="128">
        <v>603</v>
      </c>
    </row>
    <row r="5654" spans="1:9" ht="13.5">
      <c r="A5654" s="128">
        <v>2008</v>
      </c>
      <c r="B5654" s="128" t="s">
        <v>131</v>
      </c>
      <c r="C5654" s="128" t="s">
        <v>27</v>
      </c>
      <c r="D5654" s="128" t="s">
        <v>76</v>
      </c>
      <c r="E5654" s="128" t="s">
        <v>136</v>
      </c>
      <c r="F5654" s="128">
        <v>58333.88</v>
      </c>
      <c r="G5654" s="128">
        <v>44675.199999999997</v>
      </c>
      <c r="H5654" s="128">
        <v>13658.68</v>
      </c>
      <c r="I5654" s="128">
        <v>727</v>
      </c>
    </row>
    <row r="5655" spans="1:9" ht="13.5">
      <c r="A5655" s="128">
        <v>2008</v>
      </c>
      <c r="B5655" s="128" t="s">
        <v>131</v>
      </c>
      <c r="C5655" s="128" t="s">
        <v>27</v>
      </c>
      <c r="D5655" s="128" t="s">
        <v>76</v>
      </c>
      <c r="E5655" s="128" t="s">
        <v>132</v>
      </c>
      <c r="F5655" s="128">
        <v>285148.90000000002</v>
      </c>
      <c r="G5655" s="128">
        <v>183118.16</v>
      </c>
      <c r="H5655" s="128">
        <v>102030.74</v>
      </c>
      <c r="I5655" s="128">
        <v>3289</v>
      </c>
    </row>
    <row r="5656" spans="1:9" ht="13.5">
      <c r="A5656" s="128">
        <v>2008</v>
      </c>
      <c r="B5656" s="128" t="s">
        <v>131</v>
      </c>
      <c r="C5656" s="128" t="s">
        <v>27</v>
      </c>
      <c r="D5656" s="128" t="s">
        <v>76</v>
      </c>
      <c r="E5656" s="128" t="s">
        <v>133</v>
      </c>
      <c r="F5656" s="128">
        <v>895109.88</v>
      </c>
      <c r="G5656" s="128">
        <v>481739.98</v>
      </c>
      <c r="H5656" s="128">
        <v>413363.48</v>
      </c>
      <c r="I5656" s="128">
        <v>2556</v>
      </c>
    </row>
    <row r="5657" spans="1:9" ht="13.5">
      <c r="A5657" s="128">
        <v>2008</v>
      </c>
      <c r="B5657" s="128" t="s">
        <v>131</v>
      </c>
      <c r="C5657" s="128" t="s">
        <v>27</v>
      </c>
      <c r="D5657" s="128" t="s">
        <v>76</v>
      </c>
      <c r="E5657" s="128" t="s">
        <v>134</v>
      </c>
      <c r="F5657" s="128">
        <v>741552.97</v>
      </c>
      <c r="G5657" s="128">
        <v>340034.19</v>
      </c>
      <c r="H5657" s="128">
        <v>401511.13</v>
      </c>
      <c r="I5657" s="128">
        <v>4751</v>
      </c>
    </row>
    <row r="5658" spans="1:9" ht="13.5">
      <c r="A5658" s="128">
        <v>2008</v>
      </c>
      <c r="B5658" s="128" t="s">
        <v>131</v>
      </c>
      <c r="C5658" s="128" t="s">
        <v>27</v>
      </c>
      <c r="D5658" s="128" t="s">
        <v>76</v>
      </c>
      <c r="E5658" s="128" t="s">
        <v>135</v>
      </c>
      <c r="F5658" s="128">
        <v>94276.07</v>
      </c>
      <c r="G5658" s="128">
        <v>26269.25</v>
      </c>
      <c r="H5658" s="128">
        <v>68005.919999999998</v>
      </c>
      <c r="I5658" s="128">
        <v>77</v>
      </c>
    </row>
    <row r="5659" spans="1:9" ht="13.5">
      <c r="A5659" s="128">
        <v>2008</v>
      </c>
      <c r="B5659" s="128" t="s">
        <v>138</v>
      </c>
      <c r="C5659" s="128" t="s">
        <v>20</v>
      </c>
      <c r="D5659" s="128" t="s">
        <v>79</v>
      </c>
      <c r="E5659" s="128" t="s">
        <v>136</v>
      </c>
      <c r="F5659" s="128">
        <v>27278333.079999998</v>
      </c>
      <c r="G5659" s="128">
        <v>20786775.800000001</v>
      </c>
      <c r="H5659" s="128">
        <v>6490231.0800000001</v>
      </c>
      <c r="I5659" s="128">
        <v>488510</v>
      </c>
    </row>
    <row r="5660" spans="1:9" ht="13.5">
      <c r="A5660" s="128">
        <v>2008</v>
      </c>
      <c r="B5660" s="128" t="s">
        <v>138</v>
      </c>
      <c r="C5660" s="128" t="s">
        <v>20</v>
      </c>
      <c r="D5660" s="128" t="s">
        <v>79</v>
      </c>
      <c r="E5660" s="128" t="s">
        <v>132</v>
      </c>
      <c r="F5660" s="128">
        <v>3656825.95</v>
      </c>
      <c r="G5660" s="128">
        <v>2443356.77</v>
      </c>
      <c r="H5660" s="128">
        <v>840558.62</v>
      </c>
      <c r="I5660" s="128">
        <v>20825</v>
      </c>
    </row>
    <row r="5661" spans="1:9" ht="13.5">
      <c r="A5661" s="128">
        <v>2008</v>
      </c>
      <c r="B5661" s="128" t="s">
        <v>138</v>
      </c>
      <c r="C5661" s="128" t="s">
        <v>20</v>
      </c>
      <c r="D5661" s="128" t="s">
        <v>79</v>
      </c>
      <c r="E5661" s="128" t="s">
        <v>133</v>
      </c>
      <c r="F5661" s="128">
        <v>5508772.5300000003</v>
      </c>
      <c r="G5661" s="128">
        <v>2987895.65</v>
      </c>
      <c r="H5661" s="128">
        <v>1120194.5</v>
      </c>
      <c r="I5661" s="128">
        <v>53075</v>
      </c>
    </row>
    <row r="5662" spans="1:9" ht="13.5">
      <c r="A5662" s="128">
        <v>2008</v>
      </c>
      <c r="B5662" s="128" t="s">
        <v>138</v>
      </c>
      <c r="C5662" s="128" t="s">
        <v>20</v>
      </c>
      <c r="D5662" s="128" t="s">
        <v>79</v>
      </c>
      <c r="E5662" s="128" t="s">
        <v>134</v>
      </c>
      <c r="F5662" s="128">
        <v>17416511.829999998</v>
      </c>
      <c r="G5662" s="128">
        <v>7349698.9699999997</v>
      </c>
      <c r="H5662" s="128">
        <v>2774088.87</v>
      </c>
      <c r="I5662" s="128">
        <v>71315</v>
      </c>
    </row>
    <row r="5663" spans="1:9" ht="13.5">
      <c r="A5663" s="128">
        <v>2008</v>
      </c>
      <c r="B5663" s="128" t="s">
        <v>138</v>
      </c>
      <c r="C5663" s="128" t="s">
        <v>20</v>
      </c>
      <c r="D5663" s="128" t="s">
        <v>79</v>
      </c>
      <c r="E5663" s="128" t="s">
        <v>135</v>
      </c>
      <c r="F5663" s="128">
        <v>84769016.230000004</v>
      </c>
      <c r="G5663" s="128">
        <v>21953294.829999998</v>
      </c>
      <c r="H5663" s="128">
        <v>7438602.5800000001</v>
      </c>
      <c r="I5663" s="128">
        <v>158904</v>
      </c>
    </row>
    <row r="5664" spans="1:9" ht="13.5">
      <c r="A5664" s="128">
        <v>2008</v>
      </c>
      <c r="B5664" s="128" t="s">
        <v>138</v>
      </c>
      <c r="C5664" s="128" t="s">
        <v>20</v>
      </c>
      <c r="D5664" s="128" t="s">
        <v>77</v>
      </c>
      <c r="E5664" s="128" t="s">
        <v>132</v>
      </c>
      <c r="F5664" s="128">
        <v>840385.8</v>
      </c>
      <c r="G5664" s="128">
        <v>559044.32999999996</v>
      </c>
      <c r="H5664" s="128">
        <v>252883.79</v>
      </c>
      <c r="I5664" s="128">
        <v>6142</v>
      </c>
    </row>
    <row r="5665" spans="1:9" ht="13.5">
      <c r="A5665" s="128">
        <v>2008</v>
      </c>
      <c r="B5665" s="128" t="s">
        <v>138</v>
      </c>
      <c r="C5665" s="128" t="s">
        <v>20</v>
      </c>
      <c r="D5665" s="128" t="s">
        <v>77</v>
      </c>
      <c r="E5665" s="128" t="s">
        <v>133</v>
      </c>
      <c r="F5665" s="128">
        <v>2049641.36</v>
      </c>
      <c r="G5665" s="128">
        <v>1107961.3700000001</v>
      </c>
      <c r="H5665" s="128">
        <v>830406.98</v>
      </c>
      <c r="I5665" s="128">
        <v>6109</v>
      </c>
    </row>
    <row r="5666" spans="1:9" ht="13.5">
      <c r="A5666" s="128">
        <v>2008</v>
      </c>
      <c r="B5666" s="128" t="s">
        <v>138</v>
      </c>
      <c r="C5666" s="128" t="s">
        <v>20</v>
      </c>
      <c r="D5666" s="128" t="s">
        <v>77</v>
      </c>
      <c r="E5666" s="128" t="s">
        <v>134</v>
      </c>
      <c r="F5666" s="128">
        <v>4459490.8899999997</v>
      </c>
      <c r="G5666" s="128">
        <v>1947252.7</v>
      </c>
      <c r="H5666" s="128">
        <v>1913346.41</v>
      </c>
      <c r="I5666" s="128">
        <v>16316</v>
      </c>
    </row>
    <row r="5667" spans="1:9" ht="13.5">
      <c r="A5667" s="128">
        <v>2008</v>
      </c>
      <c r="B5667" s="128" t="s">
        <v>138</v>
      </c>
      <c r="C5667" s="128" t="s">
        <v>20</v>
      </c>
      <c r="D5667" s="128" t="s">
        <v>77</v>
      </c>
      <c r="E5667" s="128" t="s">
        <v>135</v>
      </c>
      <c r="F5667" s="128">
        <v>6709388.8600000003</v>
      </c>
      <c r="G5667" s="128">
        <v>1725063.41</v>
      </c>
      <c r="H5667" s="128">
        <v>1927152.32</v>
      </c>
      <c r="I5667" s="128">
        <v>17832</v>
      </c>
    </row>
    <row r="5668" spans="1:9" ht="13.5">
      <c r="A5668" s="128">
        <v>2008</v>
      </c>
      <c r="B5668" s="128" t="s">
        <v>138</v>
      </c>
      <c r="C5668" s="128" t="s">
        <v>20</v>
      </c>
      <c r="D5668" s="128" t="s">
        <v>76</v>
      </c>
      <c r="E5668" s="128" t="s">
        <v>136</v>
      </c>
      <c r="F5668" s="128">
        <v>6635919.2300000004</v>
      </c>
      <c r="G5668" s="128">
        <v>5033080.74</v>
      </c>
      <c r="H5668" s="128">
        <v>1603526.64</v>
      </c>
      <c r="I5668" s="128">
        <v>193816</v>
      </c>
    </row>
    <row r="5669" spans="1:9" ht="13.5">
      <c r="A5669" s="128">
        <v>2008</v>
      </c>
      <c r="B5669" s="128" t="s">
        <v>138</v>
      </c>
      <c r="C5669" s="128" t="s">
        <v>20</v>
      </c>
      <c r="D5669" s="128" t="s">
        <v>76</v>
      </c>
      <c r="E5669" s="128" t="s">
        <v>132</v>
      </c>
      <c r="F5669" s="128">
        <v>30823480.77</v>
      </c>
      <c r="G5669" s="128">
        <v>19796062.82</v>
      </c>
      <c r="H5669" s="128">
        <v>11027285.039999999</v>
      </c>
      <c r="I5669" s="128">
        <v>400434</v>
      </c>
    </row>
    <row r="5670" spans="1:9" ht="13.5">
      <c r="A5670" s="128">
        <v>2008</v>
      </c>
      <c r="B5670" s="128" t="s">
        <v>138</v>
      </c>
      <c r="C5670" s="128" t="s">
        <v>20</v>
      </c>
      <c r="D5670" s="128" t="s">
        <v>76</v>
      </c>
      <c r="E5670" s="128" t="s">
        <v>133</v>
      </c>
      <c r="F5670" s="128">
        <v>58852303.619999997</v>
      </c>
      <c r="G5670" s="128">
        <v>32290774.780000001</v>
      </c>
      <c r="H5670" s="128">
        <v>26561247.789999999</v>
      </c>
      <c r="I5670" s="128">
        <v>236163</v>
      </c>
    </row>
    <row r="5671" spans="1:9" ht="13.5">
      <c r="A5671" s="128">
        <v>2008</v>
      </c>
      <c r="B5671" s="128" t="s">
        <v>138</v>
      </c>
      <c r="C5671" s="128" t="s">
        <v>20</v>
      </c>
      <c r="D5671" s="128" t="s">
        <v>76</v>
      </c>
      <c r="E5671" s="128" t="s">
        <v>134</v>
      </c>
      <c r="F5671" s="128">
        <v>48750645.659999996</v>
      </c>
      <c r="G5671" s="128">
        <v>22650255.300000001</v>
      </c>
      <c r="H5671" s="128">
        <v>26100233.489999998</v>
      </c>
      <c r="I5671" s="128">
        <v>318031</v>
      </c>
    </row>
    <row r="5672" spans="1:9" ht="13.5">
      <c r="A5672" s="128">
        <v>2008</v>
      </c>
      <c r="B5672" s="128" t="s">
        <v>138</v>
      </c>
      <c r="C5672" s="128" t="s">
        <v>20</v>
      </c>
      <c r="D5672" s="128" t="s">
        <v>76</v>
      </c>
      <c r="E5672" s="128" t="s">
        <v>135</v>
      </c>
      <c r="F5672" s="128">
        <v>4379638.67</v>
      </c>
      <c r="G5672" s="128">
        <v>1253422.53</v>
      </c>
      <c r="H5672" s="128">
        <v>3126210.74</v>
      </c>
      <c r="I5672" s="128">
        <v>4719</v>
      </c>
    </row>
    <row r="5673" spans="1:9" ht="13.5">
      <c r="A5673" s="128">
        <v>2008</v>
      </c>
      <c r="B5673" s="128" t="s">
        <v>138</v>
      </c>
      <c r="C5673" s="128" t="s">
        <v>21</v>
      </c>
      <c r="D5673" s="128" t="s">
        <v>79</v>
      </c>
      <c r="E5673" s="128" t="s">
        <v>136</v>
      </c>
      <c r="F5673" s="128">
        <v>16517327.560000001</v>
      </c>
      <c r="G5673" s="128">
        <v>12442454.74</v>
      </c>
      <c r="H5673" s="128">
        <v>4074555.06</v>
      </c>
      <c r="I5673" s="128">
        <v>171132</v>
      </c>
    </row>
    <row r="5674" spans="1:9" ht="13.5">
      <c r="A5674" s="128">
        <v>2008</v>
      </c>
      <c r="B5674" s="128" t="s">
        <v>138</v>
      </c>
      <c r="C5674" s="128" t="s">
        <v>21</v>
      </c>
      <c r="D5674" s="128" t="s">
        <v>79</v>
      </c>
      <c r="E5674" s="128" t="s">
        <v>132</v>
      </c>
      <c r="F5674" s="128">
        <v>2844701.73</v>
      </c>
      <c r="G5674" s="128">
        <v>1887402.23</v>
      </c>
      <c r="H5674" s="128">
        <v>688121.69</v>
      </c>
      <c r="I5674" s="128">
        <v>21390</v>
      </c>
    </row>
    <row r="5675" spans="1:9" ht="13.5">
      <c r="A5675" s="128">
        <v>2008</v>
      </c>
      <c r="B5675" s="128" t="s">
        <v>138</v>
      </c>
      <c r="C5675" s="128" t="s">
        <v>21</v>
      </c>
      <c r="D5675" s="128" t="s">
        <v>79</v>
      </c>
      <c r="E5675" s="128" t="s">
        <v>133</v>
      </c>
      <c r="F5675" s="128">
        <v>3459986.54</v>
      </c>
      <c r="G5675" s="128">
        <v>1896166</v>
      </c>
      <c r="H5675" s="128">
        <v>854125.87</v>
      </c>
      <c r="I5675" s="128">
        <v>25942</v>
      </c>
    </row>
    <row r="5676" spans="1:9" ht="13.5">
      <c r="A5676" s="128">
        <v>2008</v>
      </c>
      <c r="B5676" s="128" t="s">
        <v>138</v>
      </c>
      <c r="C5676" s="128" t="s">
        <v>21</v>
      </c>
      <c r="D5676" s="128" t="s">
        <v>79</v>
      </c>
      <c r="E5676" s="128" t="s">
        <v>134</v>
      </c>
      <c r="F5676" s="128">
        <v>7320606.4100000001</v>
      </c>
      <c r="G5676" s="128">
        <v>3109462.9</v>
      </c>
      <c r="H5676" s="128">
        <v>1272268.98</v>
      </c>
      <c r="I5676" s="128">
        <v>47536</v>
      </c>
    </row>
    <row r="5677" spans="1:9" ht="13.5">
      <c r="A5677" s="128">
        <v>2008</v>
      </c>
      <c r="B5677" s="128" t="s">
        <v>138</v>
      </c>
      <c r="C5677" s="128" t="s">
        <v>21</v>
      </c>
      <c r="D5677" s="128" t="s">
        <v>79</v>
      </c>
      <c r="E5677" s="128" t="s">
        <v>135</v>
      </c>
      <c r="F5677" s="128">
        <v>15410105</v>
      </c>
      <c r="G5677" s="128">
        <v>4069239.42</v>
      </c>
      <c r="H5677" s="128">
        <v>1392238.74</v>
      </c>
      <c r="I5677" s="128">
        <v>35881</v>
      </c>
    </row>
    <row r="5678" spans="1:9" ht="13.5">
      <c r="A5678" s="128">
        <v>2008</v>
      </c>
      <c r="B5678" s="128" t="s">
        <v>138</v>
      </c>
      <c r="C5678" s="128" t="s">
        <v>21</v>
      </c>
      <c r="D5678" s="128" t="s">
        <v>77</v>
      </c>
      <c r="E5678" s="128" t="s">
        <v>132</v>
      </c>
      <c r="F5678" s="128">
        <v>1822158.52</v>
      </c>
      <c r="G5678" s="128">
        <v>1186340.06</v>
      </c>
      <c r="H5678" s="128">
        <v>523084.3</v>
      </c>
      <c r="I5678" s="128">
        <v>11678</v>
      </c>
    </row>
    <row r="5679" spans="1:9" ht="13.5">
      <c r="A5679" s="128">
        <v>2008</v>
      </c>
      <c r="B5679" s="128" t="s">
        <v>138</v>
      </c>
      <c r="C5679" s="128" t="s">
        <v>21</v>
      </c>
      <c r="D5679" s="128" t="s">
        <v>77</v>
      </c>
      <c r="E5679" s="128" t="s">
        <v>133</v>
      </c>
      <c r="F5679" s="128">
        <v>3815223.83</v>
      </c>
      <c r="G5679" s="128">
        <v>2071030.3</v>
      </c>
      <c r="H5679" s="128">
        <v>1408204.07</v>
      </c>
      <c r="I5679" s="128">
        <v>15018</v>
      </c>
    </row>
    <row r="5680" spans="1:9" ht="13.5">
      <c r="A5680" s="128">
        <v>2008</v>
      </c>
      <c r="B5680" s="128" t="s">
        <v>138</v>
      </c>
      <c r="C5680" s="128" t="s">
        <v>21</v>
      </c>
      <c r="D5680" s="128" t="s">
        <v>77</v>
      </c>
      <c r="E5680" s="128" t="s">
        <v>134</v>
      </c>
      <c r="F5680" s="128">
        <v>8071495.0300000003</v>
      </c>
      <c r="G5680" s="128">
        <v>3460741.42</v>
      </c>
      <c r="H5680" s="128">
        <v>3140240.15</v>
      </c>
      <c r="I5680" s="128">
        <v>29370</v>
      </c>
    </row>
    <row r="5681" spans="1:9" ht="13.5">
      <c r="A5681" s="128">
        <v>2008</v>
      </c>
      <c r="B5681" s="128" t="s">
        <v>138</v>
      </c>
      <c r="C5681" s="128" t="s">
        <v>21</v>
      </c>
      <c r="D5681" s="128" t="s">
        <v>77</v>
      </c>
      <c r="E5681" s="128" t="s">
        <v>135</v>
      </c>
      <c r="F5681" s="128">
        <v>8872923.3599999994</v>
      </c>
      <c r="G5681" s="128">
        <v>2528090.2000000002</v>
      </c>
      <c r="H5681" s="128">
        <v>2534334.75</v>
      </c>
      <c r="I5681" s="128">
        <v>24271</v>
      </c>
    </row>
    <row r="5682" spans="1:9" ht="13.5">
      <c r="A5682" s="128">
        <v>2008</v>
      </c>
      <c r="B5682" s="128" t="s">
        <v>138</v>
      </c>
      <c r="C5682" s="128" t="s">
        <v>21</v>
      </c>
      <c r="D5682" s="128" t="s">
        <v>76</v>
      </c>
      <c r="E5682" s="128" t="s">
        <v>136</v>
      </c>
      <c r="F5682" s="128">
        <v>7480366.9900000002</v>
      </c>
      <c r="G5682" s="128">
        <v>5644801.4199999999</v>
      </c>
      <c r="H5682" s="128">
        <v>1835587.68</v>
      </c>
      <c r="I5682" s="128">
        <v>154918</v>
      </c>
    </row>
    <row r="5683" spans="1:9" ht="13.5">
      <c r="A5683" s="128">
        <v>2008</v>
      </c>
      <c r="B5683" s="128" t="s">
        <v>138</v>
      </c>
      <c r="C5683" s="128" t="s">
        <v>21</v>
      </c>
      <c r="D5683" s="128" t="s">
        <v>76</v>
      </c>
      <c r="E5683" s="128" t="s">
        <v>132</v>
      </c>
      <c r="F5683" s="128">
        <v>31436909.109999999</v>
      </c>
      <c r="G5683" s="128">
        <v>20311632.109999999</v>
      </c>
      <c r="H5683" s="128">
        <v>11125174.67</v>
      </c>
      <c r="I5683" s="128">
        <v>391087</v>
      </c>
    </row>
    <row r="5684" spans="1:9" ht="13.5">
      <c r="A5684" s="128">
        <v>2008</v>
      </c>
      <c r="B5684" s="128" t="s">
        <v>138</v>
      </c>
      <c r="C5684" s="128" t="s">
        <v>21</v>
      </c>
      <c r="D5684" s="128" t="s">
        <v>76</v>
      </c>
      <c r="E5684" s="128" t="s">
        <v>133</v>
      </c>
      <c r="F5684" s="128">
        <v>64183852.829999998</v>
      </c>
      <c r="G5684" s="128">
        <v>35272624.950000003</v>
      </c>
      <c r="H5684" s="128">
        <v>28911137.780000001</v>
      </c>
      <c r="I5684" s="128">
        <v>359499</v>
      </c>
    </row>
    <row r="5685" spans="1:9" ht="13.5">
      <c r="A5685" s="128">
        <v>2008</v>
      </c>
      <c r="B5685" s="128" t="s">
        <v>138</v>
      </c>
      <c r="C5685" s="128" t="s">
        <v>21</v>
      </c>
      <c r="D5685" s="128" t="s">
        <v>76</v>
      </c>
      <c r="E5685" s="128" t="s">
        <v>134</v>
      </c>
      <c r="F5685" s="128">
        <v>48318577.060000002</v>
      </c>
      <c r="G5685" s="128">
        <v>22110073.890000001</v>
      </c>
      <c r="H5685" s="128">
        <v>26208440.030000001</v>
      </c>
      <c r="I5685" s="128">
        <v>299888</v>
      </c>
    </row>
    <row r="5686" spans="1:9" ht="13.5">
      <c r="A5686" s="128">
        <v>2008</v>
      </c>
      <c r="B5686" s="128" t="s">
        <v>138</v>
      </c>
      <c r="C5686" s="128" t="s">
        <v>21</v>
      </c>
      <c r="D5686" s="128" t="s">
        <v>76</v>
      </c>
      <c r="E5686" s="128" t="s">
        <v>135</v>
      </c>
      <c r="F5686" s="128">
        <v>2478966.65</v>
      </c>
      <c r="G5686" s="128">
        <v>690723.81</v>
      </c>
      <c r="H5686" s="128">
        <v>1788242.84</v>
      </c>
      <c r="I5686" s="128">
        <v>2360</v>
      </c>
    </row>
    <row r="5687" spans="1:9" ht="13.5">
      <c r="A5687" s="128">
        <v>2008</v>
      </c>
      <c r="B5687" s="128" t="s">
        <v>138</v>
      </c>
      <c r="C5687" s="128" t="s">
        <v>22</v>
      </c>
      <c r="D5687" s="128" t="s">
        <v>79</v>
      </c>
      <c r="E5687" s="128" t="s">
        <v>136</v>
      </c>
      <c r="F5687" s="128">
        <v>6701600.2999999998</v>
      </c>
      <c r="G5687" s="128">
        <v>5078731.4000000004</v>
      </c>
      <c r="H5687" s="128">
        <v>1620353.73</v>
      </c>
      <c r="I5687" s="128">
        <v>83679</v>
      </c>
    </row>
    <row r="5688" spans="1:9" ht="13.5">
      <c r="A5688" s="128">
        <v>2008</v>
      </c>
      <c r="B5688" s="128" t="s">
        <v>138</v>
      </c>
      <c r="C5688" s="128" t="s">
        <v>22</v>
      </c>
      <c r="D5688" s="128" t="s">
        <v>79</v>
      </c>
      <c r="E5688" s="128" t="s">
        <v>132</v>
      </c>
      <c r="F5688" s="128">
        <v>2068834.95</v>
      </c>
      <c r="G5688" s="128">
        <v>1381514.39</v>
      </c>
      <c r="H5688" s="128">
        <v>461064.41</v>
      </c>
      <c r="I5688" s="128">
        <v>12432</v>
      </c>
    </row>
    <row r="5689" spans="1:9" ht="13.5">
      <c r="A5689" s="128">
        <v>2008</v>
      </c>
      <c r="B5689" s="128" t="s">
        <v>138</v>
      </c>
      <c r="C5689" s="128" t="s">
        <v>22</v>
      </c>
      <c r="D5689" s="128" t="s">
        <v>79</v>
      </c>
      <c r="E5689" s="128" t="s">
        <v>133</v>
      </c>
      <c r="F5689" s="128">
        <v>3846735.86</v>
      </c>
      <c r="G5689" s="128">
        <v>2080684.4</v>
      </c>
      <c r="H5689" s="128">
        <v>725752.1</v>
      </c>
      <c r="I5689" s="128">
        <v>20912</v>
      </c>
    </row>
    <row r="5690" spans="1:9" ht="13.5">
      <c r="A5690" s="128">
        <v>2008</v>
      </c>
      <c r="B5690" s="128" t="s">
        <v>138</v>
      </c>
      <c r="C5690" s="128" t="s">
        <v>22</v>
      </c>
      <c r="D5690" s="128" t="s">
        <v>79</v>
      </c>
      <c r="E5690" s="128" t="s">
        <v>134</v>
      </c>
      <c r="F5690" s="128">
        <v>11076837.66</v>
      </c>
      <c r="G5690" s="128">
        <v>4653615.53</v>
      </c>
      <c r="H5690" s="128">
        <v>1664416.96</v>
      </c>
      <c r="I5690" s="128">
        <v>45407</v>
      </c>
    </row>
    <row r="5691" spans="1:9" ht="13.5">
      <c r="A5691" s="128">
        <v>2008</v>
      </c>
      <c r="B5691" s="128" t="s">
        <v>138</v>
      </c>
      <c r="C5691" s="128" t="s">
        <v>22</v>
      </c>
      <c r="D5691" s="128" t="s">
        <v>79</v>
      </c>
      <c r="E5691" s="128" t="s">
        <v>135</v>
      </c>
      <c r="F5691" s="128">
        <v>29680085.77</v>
      </c>
      <c r="G5691" s="128">
        <v>8183712.8700000001</v>
      </c>
      <c r="H5691" s="128">
        <v>2757198.43</v>
      </c>
      <c r="I5691" s="128">
        <v>71882</v>
      </c>
    </row>
    <row r="5692" spans="1:9" ht="13.5">
      <c r="A5692" s="128">
        <v>2008</v>
      </c>
      <c r="B5692" s="128" t="s">
        <v>138</v>
      </c>
      <c r="C5692" s="128" t="s">
        <v>22</v>
      </c>
      <c r="D5692" s="128" t="s">
        <v>77</v>
      </c>
      <c r="E5692" s="128" t="s">
        <v>132</v>
      </c>
      <c r="F5692" s="128">
        <v>384718.61</v>
      </c>
      <c r="G5692" s="128">
        <v>243900.91</v>
      </c>
      <c r="H5692" s="128">
        <v>102346.64</v>
      </c>
      <c r="I5692" s="128">
        <v>2330</v>
      </c>
    </row>
    <row r="5693" spans="1:9" ht="13.5">
      <c r="A5693" s="128">
        <v>2008</v>
      </c>
      <c r="B5693" s="128" t="s">
        <v>138</v>
      </c>
      <c r="C5693" s="128" t="s">
        <v>22</v>
      </c>
      <c r="D5693" s="128" t="s">
        <v>77</v>
      </c>
      <c r="E5693" s="128" t="s">
        <v>133</v>
      </c>
      <c r="F5693" s="128">
        <v>1277947.94</v>
      </c>
      <c r="G5693" s="128">
        <v>695589.63</v>
      </c>
      <c r="H5693" s="128">
        <v>508890.34</v>
      </c>
      <c r="I5693" s="128">
        <v>3764</v>
      </c>
    </row>
    <row r="5694" spans="1:9" ht="13.5">
      <c r="A5694" s="128">
        <v>2008</v>
      </c>
      <c r="B5694" s="128" t="s">
        <v>138</v>
      </c>
      <c r="C5694" s="128" t="s">
        <v>22</v>
      </c>
      <c r="D5694" s="128" t="s">
        <v>77</v>
      </c>
      <c r="E5694" s="128" t="s">
        <v>134</v>
      </c>
      <c r="F5694" s="128">
        <v>4246146.26</v>
      </c>
      <c r="G5694" s="128">
        <v>1780687.83</v>
      </c>
      <c r="H5694" s="128">
        <v>1652765.04</v>
      </c>
      <c r="I5694" s="128">
        <v>10982</v>
      </c>
    </row>
    <row r="5695" spans="1:9" ht="13.5">
      <c r="A5695" s="128">
        <v>2008</v>
      </c>
      <c r="B5695" s="128" t="s">
        <v>138</v>
      </c>
      <c r="C5695" s="128" t="s">
        <v>22</v>
      </c>
      <c r="D5695" s="128" t="s">
        <v>77</v>
      </c>
      <c r="E5695" s="128" t="s">
        <v>135</v>
      </c>
      <c r="F5695" s="128">
        <v>9388526.8900000006</v>
      </c>
      <c r="G5695" s="128">
        <v>2564786.06</v>
      </c>
      <c r="H5695" s="128">
        <v>2803726.3</v>
      </c>
      <c r="I5695" s="128">
        <v>26800</v>
      </c>
    </row>
    <row r="5696" spans="1:9" ht="13.5">
      <c r="A5696" s="128">
        <v>2008</v>
      </c>
      <c r="B5696" s="128" t="s">
        <v>138</v>
      </c>
      <c r="C5696" s="128" t="s">
        <v>22</v>
      </c>
      <c r="D5696" s="128" t="s">
        <v>76</v>
      </c>
      <c r="E5696" s="128" t="s">
        <v>136</v>
      </c>
      <c r="F5696" s="128">
        <v>2347470.5099999998</v>
      </c>
      <c r="G5696" s="128">
        <v>1786653.62</v>
      </c>
      <c r="H5696" s="128">
        <v>559622.89</v>
      </c>
      <c r="I5696" s="128">
        <v>52651</v>
      </c>
    </row>
    <row r="5697" spans="1:9" ht="13.5">
      <c r="A5697" s="128">
        <v>2008</v>
      </c>
      <c r="B5697" s="128" t="s">
        <v>138</v>
      </c>
      <c r="C5697" s="128" t="s">
        <v>22</v>
      </c>
      <c r="D5697" s="128" t="s">
        <v>76</v>
      </c>
      <c r="E5697" s="128" t="s">
        <v>132</v>
      </c>
      <c r="F5697" s="128">
        <v>30562794.030000001</v>
      </c>
      <c r="G5697" s="128">
        <v>19612679.289999999</v>
      </c>
      <c r="H5697" s="128">
        <v>10950076.58</v>
      </c>
      <c r="I5697" s="128">
        <v>478634</v>
      </c>
    </row>
    <row r="5698" spans="1:9" ht="13.5">
      <c r="A5698" s="128">
        <v>2008</v>
      </c>
      <c r="B5698" s="128" t="s">
        <v>138</v>
      </c>
      <c r="C5698" s="128" t="s">
        <v>22</v>
      </c>
      <c r="D5698" s="128" t="s">
        <v>76</v>
      </c>
      <c r="E5698" s="128" t="s">
        <v>133</v>
      </c>
      <c r="F5698" s="128">
        <v>46086016.100000001</v>
      </c>
      <c r="G5698" s="128">
        <v>25405727.190000001</v>
      </c>
      <c r="H5698" s="128">
        <v>20680245.140000001</v>
      </c>
      <c r="I5698" s="128">
        <v>218210</v>
      </c>
    </row>
    <row r="5699" spans="1:9" ht="13.5">
      <c r="A5699" s="128">
        <v>2008</v>
      </c>
      <c r="B5699" s="128" t="s">
        <v>138</v>
      </c>
      <c r="C5699" s="128" t="s">
        <v>22</v>
      </c>
      <c r="D5699" s="128" t="s">
        <v>76</v>
      </c>
      <c r="E5699" s="128" t="s">
        <v>134</v>
      </c>
      <c r="F5699" s="128">
        <v>32481194.440000001</v>
      </c>
      <c r="G5699" s="128">
        <v>15142703.76</v>
      </c>
      <c r="H5699" s="128">
        <v>17338426.239999998</v>
      </c>
      <c r="I5699" s="128">
        <v>229699</v>
      </c>
    </row>
    <row r="5700" spans="1:9" ht="13.5">
      <c r="A5700" s="128">
        <v>2008</v>
      </c>
      <c r="B5700" s="128" t="s">
        <v>138</v>
      </c>
      <c r="C5700" s="128" t="s">
        <v>22</v>
      </c>
      <c r="D5700" s="128" t="s">
        <v>76</v>
      </c>
      <c r="E5700" s="128" t="s">
        <v>135</v>
      </c>
      <c r="F5700" s="128">
        <v>4181837.41</v>
      </c>
      <c r="G5700" s="128">
        <v>1144519.32</v>
      </c>
      <c r="H5700" s="128">
        <v>3037317.57</v>
      </c>
      <c r="I5700" s="128">
        <v>4329</v>
      </c>
    </row>
    <row r="5701" spans="1:9" ht="13.5">
      <c r="A5701" s="128">
        <v>2008</v>
      </c>
      <c r="B5701" s="128" t="s">
        <v>138</v>
      </c>
      <c r="C5701" s="128" t="s">
        <v>23</v>
      </c>
      <c r="D5701" s="128" t="s">
        <v>79</v>
      </c>
      <c r="E5701" s="128" t="s">
        <v>136</v>
      </c>
      <c r="F5701" s="128">
        <v>10626691.039999999</v>
      </c>
      <c r="G5701" s="128">
        <v>7975973.2999999998</v>
      </c>
      <c r="H5701" s="128">
        <v>2650744.89</v>
      </c>
      <c r="I5701" s="128">
        <v>81722</v>
      </c>
    </row>
    <row r="5702" spans="1:9" ht="13.5">
      <c r="A5702" s="128">
        <v>2008</v>
      </c>
      <c r="B5702" s="128" t="s">
        <v>138</v>
      </c>
      <c r="C5702" s="128" t="s">
        <v>23</v>
      </c>
      <c r="D5702" s="128" t="s">
        <v>79</v>
      </c>
      <c r="E5702" s="128" t="s">
        <v>132</v>
      </c>
      <c r="F5702" s="128">
        <v>432900.33</v>
      </c>
      <c r="G5702" s="128">
        <v>287743.01</v>
      </c>
      <c r="H5702" s="128">
        <v>104852.27</v>
      </c>
      <c r="I5702" s="128">
        <v>3864</v>
      </c>
    </row>
    <row r="5703" spans="1:9" ht="13.5">
      <c r="A5703" s="128">
        <v>2008</v>
      </c>
      <c r="B5703" s="128" t="s">
        <v>138</v>
      </c>
      <c r="C5703" s="128" t="s">
        <v>23</v>
      </c>
      <c r="D5703" s="128" t="s">
        <v>79</v>
      </c>
      <c r="E5703" s="128" t="s">
        <v>133</v>
      </c>
      <c r="F5703" s="128">
        <v>662036.39</v>
      </c>
      <c r="G5703" s="128">
        <v>357094.85</v>
      </c>
      <c r="H5703" s="128">
        <v>133864.10999999999</v>
      </c>
      <c r="I5703" s="128">
        <v>4146</v>
      </c>
    </row>
    <row r="5704" spans="1:9" ht="13.5">
      <c r="A5704" s="128">
        <v>2008</v>
      </c>
      <c r="B5704" s="128" t="s">
        <v>138</v>
      </c>
      <c r="C5704" s="128" t="s">
        <v>23</v>
      </c>
      <c r="D5704" s="128" t="s">
        <v>79</v>
      </c>
      <c r="E5704" s="128" t="s">
        <v>134</v>
      </c>
      <c r="F5704" s="128">
        <v>781431.21</v>
      </c>
      <c r="G5704" s="128">
        <v>336608.66</v>
      </c>
      <c r="H5704" s="128">
        <v>188741.31</v>
      </c>
      <c r="I5704" s="128">
        <v>4746</v>
      </c>
    </row>
    <row r="5705" spans="1:9" ht="13.5">
      <c r="A5705" s="128">
        <v>2008</v>
      </c>
      <c r="B5705" s="128" t="s">
        <v>138</v>
      </c>
      <c r="C5705" s="128" t="s">
        <v>23</v>
      </c>
      <c r="D5705" s="128" t="s">
        <v>79</v>
      </c>
      <c r="E5705" s="128" t="s">
        <v>135</v>
      </c>
      <c r="F5705" s="128">
        <v>1233171.1399999999</v>
      </c>
      <c r="G5705" s="128">
        <v>343117.32</v>
      </c>
      <c r="H5705" s="128">
        <v>118422.7</v>
      </c>
      <c r="I5705" s="128">
        <v>3635</v>
      </c>
    </row>
    <row r="5706" spans="1:9" ht="13.5">
      <c r="A5706" s="128">
        <v>2008</v>
      </c>
      <c r="B5706" s="128" t="s">
        <v>138</v>
      </c>
      <c r="C5706" s="128" t="s">
        <v>23</v>
      </c>
      <c r="D5706" s="128" t="s">
        <v>77</v>
      </c>
      <c r="E5706" s="128" t="s">
        <v>132</v>
      </c>
      <c r="F5706" s="128">
        <v>1734590.39</v>
      </c>
      <c r="G5706" s="128">
        <v>1153645.32</v>
      </c>
      <c r="H5706" s="128">
        <v>548313.76</v>
      </c>
      <c r="I5706" s="128">
        <v>13133</v>
      </c>
    </row>
    <row r="5707" spans="1:9" ht="13.5">
      <c r="A5707" s="128">
        <v>2008</v>
      </c>
      <c r="B5707" s="128" t="s">
        <v>138</v>
      </c>
      <c r="C5707" s="128" t="s">
        <v>23</v>
      </c>
      <c r="D5707" s="128" t="s">
        <v>77</v>
      </c>
      <c r="E5707" s="128" t="s">
        <v>133</v>
      </c>
      <c r="F5707" s="128">
        <v>2531490.6800000002</v>
      </c>
      <c r="G5707" s="128">
        <v>1381495.05</v>
      </c>
      <c r="H5707" s="128">
        <v>1064648.1299999999</v>
      </c>
      <c r="I5707" s="128">
        <v>8219</v>
      </c>
    </row>
    <row r="5708" spans="1:9" ht="13.5">
      <c r="A5708" s="128">
        <v>2008</v>
      </c>
      <c r="B5708" s="128" t="s">
        <v>138</v>
      </c>
      <c r="C5708" s="128" t="s">
        <v>23</v>
      </c>
      <c r="D5708" s="128" t="s">
        <v>77</v>
      </c>
      <c r="E5708" s="128" t="s">
        <v>134</v>
      </c>
      <c r="F5708" s="128">
        <v>3459386.57</v>
      </c>
      <c r="G5708" s="128">
        <v>1572954.53</v>
      </c>
      <c r="H5708" s="128">
        <v>1637409.71</v>
      </c>
      <c r="I5708" s="128">
        <v>13904</v>
      </c>
    </row>
    <row r="5709" spans="1:9" ht="13.5">
      <c r="A5709" s="128">
        <v>2008</v>
      </c>
      <c r="B5709" s="128" t="s">
        <v>138</v>
      </c>
      <c r="C5709" s="128" t="s">
        <v>23</v>
      </c>
      <c r="D5709" s="128" t="s">
        <v>77</v>
      </c>
      <c r="E5709" s="128" t="s">
        <v>135</v>
      </c>
      <c r="F5709" s="128">
        <v>1483267.34</v>
      </c>
      <c r="G5709" s="128">
        <v>381138.26</v>
      </c>
      <c r="H5709" s="128">
        <v>468779.34</v>
      </c>
      <c r="I5709" s="128">
        <v>2972</v>
      </c>
    </row>
    <row r="5710" spans="1:9" ht="13.5">
      <c r="A5710" s="128">
        <v>2008</v>
      </c>
      <c r="B5710" s="128" t="s">
        <v>138</v>
      </c>
      <c r="C5710" s="128" t="s">
        <v>23</v>
      </c>
      <c r="D5710" s="128" t="s">
        <v>76</v>
      </c>
      <c r="E5710" s="128" t="s">
        <v>136</v>
      </c>
      <c r="F5710" s="128">
        <v>1966410.23</v>
      </c>
      <c r="G5710" s="128">
        <v>1481989.41</v>
      </c>
      <c r="H5710" s="128">
        <v>484438.77</v>
      </c>
      <c r="I5710" s="128">
        <v>20090</v>
      </c>
    </row>
    <row r="5711" spans="1:9" ht="13.5">
      <c r="A5711" s="128">
        <v>2008</v>
      </c>
      <c r="B5711" s="128" t="s">
        <v>138</v>
      </c>
      <c r="C5711" s="128" t="s">
        <v>23</v>
      </c>
      <c r="D5711" s="128" t="s">
        <v>76</v>
      </c>
      <c r="E5711" s="128" t="s">
        <v>132</v>
      </c>
      <c r="F5711" s="128">
        <v>8259770.4500000002</v>
      </c>
      <c r="G5711" s="128">
        <v>5495771.6299999999</v>
      </c>
      <c r="H5711" s="128">
        <v>2763958.18</v>
      </c>
      <c r="I5711" s="128">
        <v>143324</v>
      </c>
    </row>
    <row r="5712" spans="1:9" ht="13.5">
      <c r="A5712" s="128">
        <v>2008</v>
      </c>
      <c r="B5712" s="128" t="s">
        <v>138</v>
      </c>
      <c r="C5712" s="128" t="s">
        <v>23</v>
      </c>
      <c r="D5712" s="128" t="s">
        <v>76</v>
      </c>
      <c r="E5712" s="128" t="s">
        <v>133</v>
      </c>
      <c r="F5712" s="128">
        <v>18785687.030000001</v>
      </c>
      <c r="G5712" s="128">
        <v>10185794.4</v>
      </c>
      <c r="H5712" s="128">
        <v>8599883.3000000007</v>
      </c>
      <c r="I5712" s="128">
        <v>85056</v>
      </c>
    </row>
    <row r="5713" spans="1:9" ht="13.5">
      <c r="A5713" s="128">
        <v>2008</v>
      </c>
      <c r="B5713" s="128" t="s">
        <v>138</v>
      </c>
      <c r="C5713" s="128" t="s">
        <v>23</v>
      </c>
      <c r="D5713" s="128" t="s">
        <v>76</v>
      </c>
      <c r="E5713" s="128" t="s">
        <v>134</v>
      </c>
      <c r="F5713" s="128">
        <v>16435056.779999999</v>
      </c>
      <c r="G5713" s="128">
        <v>7497679.8600000003</v>
      </c>
      <c r="H5713" s="128">
        <v>8937359.3900000006</v>
      </c>
      <c r="I5713" s="128">
        <v>78854</v>
      </c>
    </row>
    <row r="5714" spans="1:9" ht="13.5">
      <c r="A5714" s="128">
        <v>2008</v>
      </c>
      <c r="B5714" s="128" t="s">
        <v>138</v>
      </c>
      <c r="C5714" s="128" t="s">
        <v>23</v>
      </c>
      <c r="D5714" s="128" t="s">
        <v>76</v>
      </c>
      <c r="E5714" s="128" t="s">
        <v>135</v>
      </c>
      <c r="F5714" s="128">
        <v>1151741.8600000001</v>
      </c>
      <c r="G5714" s="128">
        <v>298643.27</v>
      </c>
      <c r="H5714" s="128">
        <v>853097.49</v>
      </c>
      <c r="I5714" s="128">
        <v>897</v>
      </c>
    </row>
    <row r="5715" spans="1:9" ht="13.5">
      <c r="A5715" s="128">
        <v>2008</v>
      </c>
      <c r="B5715" s="128" t="s">
        <v>138</v>
      </c>
      <c r="C5715" s="128" t="s">
        <v>24</v>
      </c>
      <c r="D5715" s="128" t="s">
        <v>79</v>
      </c>
      <c r="E5715" s="128" t="s">
        <v>136</v>
      </c>
      <c r="F5715" s="128">
        <v>1944568.3</v>
      </c>
      <c r="G5715" s="128">
        <v>1471062.58</v>
      </c>
      <c r="H5715" s="128">
        <v>473360.56</v>
      </c>
      <c r="I5715" s="128">
        <v>47205</v>
      </c>
    </row>
    <row r="5716" spans="1:9" ht="13.5">
      <c r="A5716" s="128">
        <v>2008</v>
      </c>
      <c r="B5716" s="128" t="s">
        <v>138</v>
      </c>
      <c r="C5716" s="128" t="s">
        <v>24</v>
      </c>
      <c r="D5716" s="128" t="s">
        <v>79</v>
      </c>
      <c r="E5716" s="128" t="s">
        <v>132</v>
      </c>
      <c r="F5716" s="128">
        <v>496042.66</v>
      </c>
      <c r="G5716" s="128">
        <v>328536.03000000003</v>
      </c>
      <c r="H5716" s="128">
        <v>111633.15</v>
      </c>
      <c r="I5716" s="128">
        <v>4791</v>
      </c>
    </row>
    <row r="5717" spans="1:9" ht="13.5">
      <c r="A5717" s="128">
        <v>2008</v>
      </c>
      <c r="B5717" s="128" t="s">
        <v>138</v>
      </c>
      <c r="C5717" s="128" t="s">
        <v>24</v>
      </c>
      <c r="D5717" s="128" t="s">
        <v>79</v>
      </c>
      <c r="E5717" s="128" t="s">
        <v>133</v>
      </c>
      <c r="F5717" s="128">
        <v>1784134.18</v>
      </c>
      <c r="G5717" s="128">
        <v>975322.17</v>
      </c>
      <c r="H5717" s="128">
        <v>330133.28999999998</v>
      </c>
      <c r="I5717" s="128">
        <v>18348</v>
      </c>
    </row>
    <row r="5718" spans="1:9" ht="13.5">
      <c r="A5718" s="128">
        <v>2008</v>
      </c>
      <c r="B5718" s="128" t="s">
        <v>138</v>
      </c>
      <c r="C5718" s="128" t="s">
        <v>24</v>
      </c>
      <c r="D5718" s="128" t="s">
        <v>79</v>
      </c>
      <c r="E5718" s="128" t="s">
        <v>134</v>
      </c>
      <c r="F5718" s="128">
        <v>3105207.92</v>
      </c>
      <c r="G5718" s="128">
        <v>1342496.88</v>
      </c>
      <c r="H5718" s="128">
        <v>457336.32000000001</v>
      </c>
      <c r="I5718" s="128">
        <v>26624</v>
      </c>
    </row>
    <row r="5719" spans="1:9" ht="13.5">
      <c r="A5719" s="128">
        <v>2008</v>
      </c>
      <c r="B5719" s="128" t="s">
        <v>138</v>
      </c>
      <c r="C5719" s="128" t="s">
        <v>24</v>
      </c>
      <c r="D5719" s="128" t="s">
        <v>79</v>
      </c>
      <c r="E5719" s="128" t="s">
        <v>135</v>
      </c>
      <c r="F5719" s="128">
        <v>3395883.75</v>
      </c>
      <c r="G5719" s="128">
        <v>917371.62</v>
      </c>
      <c r="H5719" s="128">
        <v>316549.51</v>
      </c>
      <c r="I5719" s="128">
        <v>7445</v>
      </c>
    </row>
    <row r="5720" spans="1:9" ht="13.5">
      <c r="A5720" s="128">
        <v>2008</v>
      </c>
      <c r="B5720" s="128" t="s">
        <v>138</v>
      </c>
      <c r="C5720" s="128" t="s">
        <v>24</v>
      </c>
      <c r="D5720" s="128" t="s">
        <v>77</v>
      </c>
      <c r="E5720" s="128" t="s">
        <v>132</v>
      </c>
      <c r="F5720" s="128">
        <v>1422122.99</v>
      </c>
      <c r="G5720" s="128">
        <v>971614.4</v>
      </c>
      <c r="H5720" s="128">
        <v>424465.48</v>
      </c>
      <c r="I5720" s="128">
        <v>9341</v>
      </c>
    </row>
    <row r="5721" spans="1:9" ht="13.5">
      <c r="A5721" s="128">
        <v>2008</v>
      </c>
      <c r="B5721" s="128" t="s">
        <v>138</v>
      </c>
      <c r="C5721" s="128" t="s">
        <v>24</v>
      </c>
      <c r="D5721" s="128" t="s">
        <v>77</v>
      </c>
      <c r="E5721" s="128" t="s">
        <v>133</v>
      </c>
      <c r="F5721" s="128">
        <v>3689247.09</v>
      </c>
      <c r="G5721" s="128">
        <v>1980007.36</v>
      </c>
      <c r="H5721" s="128">
        <v>1370372.92</v>
      </c>
      <c r="I5721" s="128">
        <v>12552</v>
      </c>
    </row>
    <row r="5722" spans="1:9" ht="13.5">
      <c r="A5722" s="128">
        <v>2008</v>
      </c>
      <c r="B5722" s="128" t="s">
        <v>138</v>
      </c>
      <c r="C5722" s="128" t="s">
        <v>24</v>
      </c>
      <c r="D5722" s="128" t="s">
        <v>77</v>
      </c>
      <c r="E5722" s="128" t="s">
        <v>134</v>
      </c>
      <c r="F5722" s="128">
        <v>6027586.2300000004</v>
      </c>
      <c r="G5722" s="128">
        <v>2634196.71</v>
      </c>
      <c r="H5722" s="128">
        <v>1997022.07</v>
      </c>
      <c r="I5722" s="128">
        <v>22631</v>
      </c>
    </row>
    <row r="5723" spans="1:9" ht="13.5">
      <c r="A5723" s="128">
        <v>2008</v>
      </c>
      <c r="B5723" s="128" t="s">
        <v>138</v>
      </c>
      <c r="C5723" s="128" t="s">
        <v>24</v>
      </c>
      <c r="D5723" s="128" t="s">
        <v>77</v>
      </c>
      <c r="E5723" s="128" t="s">
        <v>135</v>
      </c>
      <c r="F5723" s="128">
        <v>10072242.710000001</v>
      </c>
      <c r="G5723" s="128">
        <v>2341660.52</v>
      </c>
      <c r="H5723" s="128">
        <v>1774773.72</v>
      </c>
      <c r="I5723" s="128">
        <v>19355</v>
      </c>
    </row>
    <row r="5724" spans="1:9" ht="13.5">
      <c r="A5724" s="128">
        <v>2008</v>
      </c>
      <c r="B5724" s="128" t="s">
        <v>138</v>
      </c>
      <c r="C5724" s="128" t="s">
        <v>24</v>
      </c>
      <c r="D5724" s="128" t="s">
        <v>76</v>
      </c>
      <c r="E5724" s="128" t="s">
        <v>136</v>
      </c>
      <c r="F5724" s="128">
        <v>923406.92</v>
      </c>
      <c r="G5724" s="128">
        <v>700952.76</v>
      </c>
      <c r="H5724" s="128">
        <v>222454.16</v>
      </c>
      <c r="I5724" s="128">
        <v>10970</v>
      </c>
    </row>
    <row r="5725" spans="1:9" ht="13.5">
      <c r="A5725" s="128">
        <v>2008</v>
      </c>
      <c r="B5725" s="128" t="s">
        <v>138</v>
      </c>
      <c r="C5725" s="128" t="s">
        <v>24</v>
      </c>
      <c r="D5725" s="128" t="s">
        <v>76</v>
      </c>
      <c r="E5725" s="128" t="s">
        <v>132</v>
      </c>
      <c r="F5725" s="128">
        <v>8516095.0700000003</v>
      </c>
      <c r="G5725" s="128">
        <v>5400032.8499999996</v>
      </c>
      <c r="H5725" s="128">
        <v>3116046.74</v>
      </c>
      <c r="I5725" s="128">
        <v>101865</v>
      </c>
    </row>
    <row r="5726" spans="1:9" ht="13.5">
      <c r="A5726" s="128">
        <v>2008</v>
      </c>
      <c r="B5726" s="128" t="s">
        <v>138</v>
      </c>
      <c r="C5726" s="128" t="s">
        <v>24</v>
      </c>
      <c r="D5726" s="128" t="s">
        <v>76</v>
      </c>
      <c r="E5726" s="128" t="s">
        <v>133</v>
      </c>
      <c r="F5726" s="128">
        <v>21171397.460000001</v>
      </c>
      <c r="G5726" s="128">
        <v>11666999.91</v>
      </c>
      <c r="H5726" s="128">
        <v>9504392.7200000007</v>
      </c>
      <c r="I5726" s="128">
        <v>108451</v>
      </c>
    </row>
    <row r="5727" spans="1:9" ht="13.5">
      <c r="A5727" s="128">
        <v>2008</v>
      </c>
      <c r="B5727" s="128" t="s">
        <v>138</v>
      </c>
      <c r="C5727" s="128" t="s">
        <v>24</v>
      </c>
      <c r="D5727" s="128" t="s">
        <v>76</v>
      </c>
      <c r="E5727" s="128" t="s">
        <v>134</v>
      </c>
      <c r="F5727" s="128">
        <v>19546957.52</v>
      </c>
      <c r="G5727" s="128">
        <v>8602758.3200000003</v>
      </c>
      <c r="H5727" s="128">
        <v>10944196.09</v>
      </c>
      <c r="I5727" s="128">
        <v>112776</v>
      </c>
    </row>
    <row r="5728" spans="1:9" ht="13.5">
      <c r="A5728" s="128">
        <v>2008</v>
      </c>
      <c r="B5728" s="128" t="s">
        <v>138</v>
      </c>
      <c r="C5728" s="128" t="s">
        <v>24</v>
      </c>
      <c r="D5728" s="128" t="s">
        <v>76</v>
      </c>
      <c r="E5728" s="128" t="s">
        <v>135</v>
      </c>
      <c r="F5728" s="128">
        <v>2494788.0699999998</v>
      </c>
      <c r="G5728" s="128">
        <v>583558.6</v>
      </c>
      <c r="H5728" s="128">
        <v>1911229.47</v>
      </c>
      <c r="I5728" s="128">
        <v>1894</v>
      </c>
    </row>
    <row r="5729" spans="1:9" ht="13.5">
      <c r="A5729" s="128">
        <v>2008</v>
      </c>
      <c r="B5729" s="128" t="s">
        <v>138</v>
      </c>
      <c r="C5729" s="128" t="s">
        <v>25</v>
      </c>
      <c r="D5729" s="128" t="s">
        <v>79</v>
      </c>
      <c r="E5729" s="128" t="s">
        <v>136</v>
      </c>
      <c r="F5729" s="128">
        <v>1437995.77</v>
      </c>
      <c r="G5729" s="128">
        <v>1081953.99</v>
      </c>
      <c r="H5729" s="128">
        <v>356041.78</v>
      </c>
      <c r="I5729" s="128">
        <v>20268</v>
      </c>
    </row>
    <row r="5730" spans="1:9" ht="13.5">
      <c r="A5730" s="128">
        <v>2008</v>
      </c>
      <c r="B5730" s="128" t="s">
        <v>138</v>
      </c>
      <c r="C5730" s="128" t="s">
        <v>25</v>
      </c>
      <c r="D5730" s="128" t="s">
        <v>79</v>
      </c>
      <c r="E5730" s="128" t="s">
        <v>132</v>
      </c>
      <c r="F5730" s="128">
        <v>197177.3</v>
      </c>
      <c r="G5730" s="128">
        <v>134888.46</v>
      </c>
      <c r="H5730" s="128">
        <v>44201.86</v>
      </c>
      <c r="I5730" s="128">
        <v>1412</v>
      </c>
    </row>
    <row r="5731" spans="1:9" ht="13.5">
      <c r="A5731" s="128">
        <v>2008</v>
      </c>
      <c r="B5731" s="128" t="s">
        <v>138</v>
      </c>
      <c r="C5731" s="128" t="s">
        <v>25</v>
      </c>
      <c r="D5731" s="128" t="s">
        <v>79</v>
      </c>
      <c r="E5731" s="128" t="s">
        <v>133</v>
      </c>
      <c r="F5731" s="128">
        <v>370725.38</v>
      </c>
      <c r="G5731" s="128">
        <v>199844.55</v>
      </c>
      <c r="H5731" s="128">
        <v>74149.279999999999</v>
      </c>
      <c r="I5731" s="128">
        <v>1187</v>
      </c>
    </row>
    <row r="5732" spans="1:9" ht="13.5">
      <c r="A5732" s="128">
        <v>2008</v>
      </c>
      <c r="B5732" s="128" t="s">
        <v>138</v>
      </c>
      <c r="C5732" s="128" t="s">
        <v>25</v>
      </c>
      <c r="D5732" s="128" t="s">
        <v>79</v>
      </c>
      <c r="E5732" s="128" t="s">
        <v>134</v>
      </c>
      <c r="F5732" s="128">
        <v>561832.68999999994</v>
      </c>
      <c r="G5732" s="128">
        <v>239614.12</v>
      </c>
      <c r="H5732" s="128">
        <v>82270.33</v>
      </c>
      <c r="I5732" s="128">
        <v>2316</v>
      </c>
    </row>
    <row r="5733" spans="1:9" ht="13.5">
      <c r="A5733" s="128">
        <v>2008</v>
      </c>
      <c r="B5733" s="128" t="s">
        <v>138</v>
      </c>
      <c r="C5733" s="128" t="s">
        <v>25</v>
      </c>
      <c r="D5733" s="128" t="s">
        <v>79</v>
      </c>
      <c r="E5733" s="128" t="s">
        <v>135</v>
      </c>
      <c r="F5733" s="128">
        <v>2070125.85</v>
      </c>
      <c r="G5733" s="128">
        <v>503048.99</v>
      </c>
      <c r="H5733" s="128">
        <v>168764.04</v>
      </c>
      <c r="I5733" s="128">
        <v>3664</v>
      </c>
    </row>
    <row r="5734" spans="1:9" ht="13.5">
      <c r="A5734" s="128">
        <v>2008</v>
      </c>
      <c r="B5734" s="128" t="s">
        <v>138</v>
      </c>
      <c r="C5734" s="128" t="s">
        <v>25</v>
      </c>
      <c r="D5734" s="128" t="s">
        <v>77</v>
      </c>
      <c r="E5734" s="128" t="s">
        <v>132</v>
      </c>
      <c r="F5734" s="128">
        <v>43967.31</v>
      </c>
      <c r="G5734" s="128">
        <v>29579.65</v>
      </c>
      <c r="H5734" s="128">
        <v>10133.75</v>
      </c>
      <c r="I5734" s="128">
        <v>304</v>
      </c>
    </row>
    <row r="5735" spans="1:9" ht="13.5">
      <c r="A5735" s="128">
        <v>2008</v>
      </c>
      <c r="B5735" s="128" t="s">
        <v>138</v>
      </c>
      <c r="C5735" s="128" t="s">
        <v>25</v>
      </c>
      <c r="D5735" s="128" t="s">
        <v>77</v>
      </c>
      <c r="E5735" s="128" t="s">
        <v>133</v>
      </c>
      <c r="F5735" s="128">
        <v>129796.84</v>
      </c>
      <c r="G5735" s="128">
        <v>70645.240000000005</v>
      </c>
      <c r="H5735" s="128">
        <v>47128.74</v>
      </c>
      <c r="I5735" s="128">
        <v>406</v>
      </c>
    </row>
    <row r="5736" spans="1:9" ht="13.5">
      <c r="A5736" s="128">
        <v>2008</v>
      </c>
      <c r="B5736" s="128" t="s">
        <v>138</v>
      </c>
      <c r="C5736" s="128" t="s">
        <v>25</v>
      </c>
      <c r="D5736" s="128" t="s">
        <v>77</v>
      </c>
      <c r="E5736" s="128" t="s">
        <v>134</v>
      </c>
      <c r="F5736" s="128">
        <v>466175.83</v>
      </c>
      <c r="G5736" s="128">
        <v>201060.8</v>
      </c>
      <c r="H5736" s="128">
        <v>198159.12</v>
      </c>
      <c r="I5736" s="128">
        <v>1186</v>
      </c>
    </row>
    <row r="5737" spans="1:9" ht="13.5">
      <c r="A5737" s="128">
        <v>2008</v>
      </c>
      <c r="B5737" s="128" t="s">
        <v>138</v>
      </c>
      <c r="C5737" s="128" t="s">
        <v>25</v>
      </c>
      <c r="D5737" s="128" t="s">
        <v>77</v>
      </c>
      <c r="E5737" s="128" t="s">
        <v>135</v>
      </c>
      <c r="F5737" s="128">
        <v>840494</v>
      </c>
      <c r="G5737" s="128">
        <v>257745.48</v>
      </c>
      <c r="H5737" s="128">
        <v>295193.87</v>
      </c>
      <c r="I5737" s="128">
        <v>2983</v>
      </c>
    </row>
    <row r="5738" spans="1:9" ht="13.5">
      <c r="A5738" s="128">
        <v>2008</v>
      </c>
      <c r="B5738" s="128" t="s">
        <v>138</v>
      </c>
      <c r="C5738" s="128" t="s">
        <v>25</v>
      </c>
      <c r="D5738" s="128" t="s">
        <v>76</v>
      </c>
      <c r="E5738" s="128" t="s">
        <v>136</v>
      </c>
      <c r="F5738" s="128">
        <v>276210.90999999997</v>
      </c>
      <c r="G5738" s="128">
        <v>209457.14</v>
      </c>
      <c r="H5738" s="128">
        <v>66753.77</v>
      </c>
      <c r="I5738" s="128">
        <v>4379</v>
      </c>
    </row>
    <row r="5739" spans="1:9" ht="13.5">
      <c r="A5739" s="128">
        <v>2008</v>
      </c>
      <c r="B5739" s="128" t="s">
        <v>138</v>
      </c>
      <c r="C5739" s="128" t="s">
        <v>25</v>
      </c>
      <c r="D5739" s="128" t="s">
        <v>76</v>
      </c>
      <c r="E5739" s="128" t="s">
        <v>132</v>
      </c>
      <c r="F5739" s="128">
        <v>2716161.41</v>
      </c>
      <c r="G5739" s="128">
        <v>1746729.15</v>
      </c>
      <c r="H5739" s="128">
        <v>969431.82</v>
      </c>
      <c r="I5739" s="128">
        <v>32113</v>
      </c>
    </row>
    <row r="5740" spans="1:9" ht="13.5">
      <c r="A5740" s="128">
        <v>2008</v>
      </c>
      <c r="B5740" s="128" t="s">
        <v>138</v>
      </c>
      <c r="C5740" s="128" t="s">
        <v>25</v>
      </c>
      <c r="D5740" s="128" t="s">
        <v>76</v>
      </c>
      <c r="E5740" s="128" t="s">
        <v>133</v>
      </c>
      <c r="F5740" s="128">
        <v>5252206.95</v>
      </c>
      <c r="G5740" s="128">
        <v>2848727.82</v>
      </c>
      <c r="H5740" s="128">
        <v>2403475.87</v>
      </c>
      <c r="I5740" s="128">
        <v>16029</v>
      </c>
    </row>
    <row r="5741" spans="1:9" ht="13.5">
      <c r="A5741" s="128">
        <v>2008</v>
      </c>
      <c r="B5741" s="128" t="s">
        <v>138</v>
      </c>
      <c r="C5741" s="128" t="s">
        <v>25</v>
      </c>
      <c r="D5741" s="128" t="s">
        <v>76</v>
      </c>
      <c r="E5741" s="128" t="s">
        <v>134</v>
      </c>
      <c r="F5741" s="128">
        <v>4393243.66</v>
      </c>
      <c r="G5741" s="128">
        <v>2017343.8</v>
      </c>
      <c r="H5741" s="128">
        <v>2376074.1</v>
      </c>
      <c r="I5741" s="128">
        <v>29471</v>
      </c>
    </row>
    <row r="5742" spans="1:9" ht="13.5">
      <c r="A5742" s="128">
        <v>2008</v>
      </c>
      <c r="B5742" s="128" t="s">
        <v>138</v>
      </c>
      <c r="C5742" s="128" t="s">
        <v>25</v>
      </c>
      <c r="D5742" s="128" t="s">
        <v>76</v>
      </c>
      <c r="E5742" s="128" t="s">
        <v>135</v>
      </c>
      <c r="F5742" s="128">
        <v>380723.37</v>
      </c>
      <c r="G5742" s="128">
        <v>106741.7</v>
      </c>
      <c r="H5742" s="128">
        <v>273981.67</v>
      </c>
      <c r="I5742" s="128">
        <v>321</v>
      </c>
    </row>
    <row r="5743" spans="1:9" ht="13.5">
      <c r="A5743" s="128">
        <v>2008</v>
      </c>
      <c r="B5743" s="128" t="s">
        <v>138</v>
      </c>
      <c r="C5743" s="128" t="s">
        <v>27</v>
      </c>
      <c r="D5743" s="128" t="s">
        <v>79</v>
      </c>
      <c r="E5743" s="128" t="s">
        <v>136</v>
      </c>
      <c r="F5743" s="128">
        <v>271570.73</v>
      </c>
      <c r="G5743" s="128">
        <v>204618.78</v>
      </c>
      <c r="H5743" s="128">
        <v>66951.95</v>
      </c>
      <c r="I5743" s="128">
        <v>2565</v>
      </c>
    </row>
    <row r="5744" spans="1:9" ht="13.5">
      <c r="A5744" s="128">
        <v>2008</v>
      </c>
      <c r="B5744" s="128" t="s">
        <v>138</v>
      </c>
      <c r="C5744" s="128" t="s">
        <v>27</v>
      </c>
      <c r="D5744" s="128" t="s">
        <v>79</v>
      </c>
      <c r="E5744" s="128" t="s">
        <v>132</v>
      </c>
      <c r="F5744" s="128">
        <v>67187.3</v>
      </c>
      <c r="G5744" s="128">
        <v>44250.16</v>
      </c>
      <c r="H5744" s="128">
        <v>14823.29</v>
      </c>
      <c r="I5744" s="128">
        <v>283</v>
      </c>
    </row>
    <row r="5745" spans="1:9" ht="13.5">
      <c r="A5745" s="128">
        <v>2008</v>
      </c>
      <c r="B5745" s="128" t="s">
        <v>138</v>
      </c>
      <c r="C5745" s="128" t="s">
        <v>27</v>
      </c>
      <c r="D5745" s="128" t="s">
        <v>79</v>
      </c>
      <c r="E5745" s="128" t="s">
        <v>133</v>
      </c>
      <c r="F5745" s="128">
        <v>44327</v>
      </c>
      <c r="G5745" s="128">
        <v>23992.06</v>
      </c>
      <c r="H5745" s="128">
        <v>8278.25</v>
      </c>
      <c r="I5745" s="128">
        <v>265</v>
      </c>
    </row>
    <row r="5746" spans="1:9" ht="13.5">
      <c r="A5746" s="128">
        <v>2008</v>
      </c>
      <c r="B5746" s="128" t="s">
        <v>138</v>
      </c>
      <c r="C5746" s="128" t="s">
        <v>27</v>
      </c>
      <c r="D5746" s="128" t="s">
        <v>79</v>
      </c>
      <c r="E5746" s="128" t="s">
        <v>134</v>
      </c>
      <c r="F5746" s="128">
        <v>163211.28</v>
      </c>
      <c r="G5746" s="128">
        <v>67984.429999999993</v>
      </c>
      <c r="H5746" s="128">
        <v>23292.52</v>
      </c>
      <c r="I5746" s="128">
        <v>745</v>
      </c>
    </row>
    <row r="5747" spans="1:9" ht="13.5">
      <c r="A5747" s="128">
        <v>2008</v>
      </c>
      <c r="B5747" s="128" t="s">
        <v>138</v>
      </c>
      <c r="C5747" s="128" t="s">
        <v>27</v>
      </c>
      <c r="D5747" s="128" t="s">
        <v>79</v>
      </c>
      <c r="E5747" s="128" t="s">
        <v>135</v>
      </c>
      <c r="F5747" s="128">
        <v>593511.27</v>
      </c>
      <c r="G5747" s="128">
        <v>163667.38</v>
      </c>
      <c r="H5747" s="128">
        <v>54945.32</v>
      </c>
      <c r="I5747" s="128">
        <v>1379</v>
      </c>
    </row>
    <row r="5748" spans="1:9" ht="13.5">
      <c r="A5748" s="128">
        <v>2008</v>
      </c>
      <c r="B5748" s="128" t="s">
        <v>138</v>
      </c>
      <c r="C5748" s="128" t="s">
        <v>27</v>
      </c>
      <c r="D5748" s="128" t="s">
        <v>77</v>
      </c>
      <c r="E5748" s="128" t="s">
        <v>132</v>
      </c>
      <c r="F5748" s="128">
        <v>7529.55</v>
      </c>
      <c r="G5748" s="128">
        <v>5198.7</v>
      </c>
      <c r="H5748" s="128">
        <v>2112.39</v>
      </c>
      <c r="I5748" s="128">
        <v>35</v>
      </c>
    </row>
    <row r="5749" spans="1:9" ht="13.5">
      <c r="A5749" s="128">
        <v>2008</v>
      </c>
      <c r="B5749" s="128" t="s">
        <v>138</v>
      </c>
      <c r="C5749" s="128" t="s">
        <v>27</v>
      </c>
      <c r="D5749" s="128" t="s">
        <v>77</v>
      </c>
      <c r="E5749" s="128" t="s">
        <v>133</v>
      </c>
      <c r="F5749" s="128">
        <v>38120.29</v>
      </c>
      <c r="G5749" s="128">
        <v>20201.349999999999</v>
      </c>
      <c r="H5749" s="128">
        <v>15299.04</v>
      </c>
      <c r="I5749" s="128">
        <v>156</v>
      </c>
    </row>
    <row r="5750" spans="1:9" ht="13.5">
      <c r="A5750" s="128">
        <v>2008</v>
      </c>
      <c r="B5750" s="128" t="s">
        <v>138</v>
      </c>
      <c r="C5750" s="128" t="s">
        <v>27</v>
      </c>
      <c r="D5750" s="128" t="s">
        <v>77</v>
      </c>
      <c r="E5750" s="128" t="s">
        <v>134</v>
      </c>
      <c r="F5750" s="128">
        <v>137677.84</v>
      </c>
      <c r="G5750" s="128">
        <v>59955.6</v>
      </c>
      <c r="H5750" s="128">
        <v>58520.1</v>
      </c>
      <c r="I5750" s="128">
        <v>274</v>
      </c>
    </row>
    <row r="5751" spans="1:9" ht="13.5">
      <c r="A5751" s="128">
        <v>2008</v>
      </c>
      <c r="B5751" s="128" t="s">
        <v>138</v>
      </c>
      <c r="C5751" s="128" t="s">
        <v>27</v>
      </c>
      <c r="D5751" s="128" t="s">
        <v>77</v>
      </c>
      <c r="E5751" s="128" t="s">
        <v>135</v>
      </c>
      <c r="F5751" s="128">
        <v>268893.51</v>
      </c>
      <c r="G5751" s="128">
        <v>72370.48</v>
      </c>
      <c r="H5751" s="128">
        <v>77513.66</v>
      </c>
      <c r="I5751" s="128">
        <v>741</v>
      </c>
    </row>
    <row r="5752" spans="1:9" ht="13.5">
      <c r="A5752" s="128">
        <v>2008</v>
      </c>
      <c r="B5752" s="128" t="s">
        <v>138</v>
      </c>
      <c r="C5752" s="128" t="s">
        <v>27</v>
      </c>
      <c r="D5752" s="128" t="s">
        <v>76</v>
      </c>
      <c r="E5752" s="128" t="s">
        <v>136</v>
      </c>
      <c r="F5752" s="128">
        <v>63631.62</v>
      </c>
      <c r="G5752" s="128">
        <v>48109.25</v>
      </c>
      <c r="H5752" s="128">
        <v>15522.37</v>
      </c>
      <c r="I5752" s="128">
        <v>969</v>
      </c>
    </row>
    <row r="5753" spans="1:9" ht="13.5">
      <c r="A5753" s="128">
        <v>2008</v>
      </c>
      <c r="B5753" s="128" t="s">
        <v>138</v>
      </c>
      <c r="C5753" s="128" t="s">
        <v>27</v>
      </c>
      <c r="D5753" s="128" t="s">
        <v>76</v>
      </c>
      <c r="E5753" s="128" t="s">
        <v>132</v>
      </c>
      <c r="F5753" s="128">
        <v>287985.27</v>
      </c>
      <c r="G5753" s="128">
        <v>186681.85</v>
      </c>
      <c r="H5753" s="128">
        <v>101303.37</v>
      </c>
      <c r="I5753" s="128">
        <v>3380</v>
      </c>
    </row>
    <row r="5754" spans="1:9" ht="13.5">
      <c r="A5754" s="128">
        <v>2008</v>
      </c>
      <c r="B5754" s="128" t="s">
        <v>138</v>
      </c>
      <c r="C5754" s="128" t="s">
        <v>27</v>
      </c>
      <c r="D5754" s="128" t="s">
        <v>76</v>
      </c>
      <c r="E5754" s="128" t="s">
        <v>133</v>
      </c>
      <c r="F5754" s="128">
        <v>904239.3</v>
      </c>
      <c r="G5754" s="128">
        <v>487971.58</v>
      </c>
      <c r="H5754" s="128">
        <v>416261.48</v>
      </c>
      <c r="I5754" s="128">
        <v>2678</v>
      </c>
    </row>
    <row r="5755" spans="1:9" ht="13.5">
      <c r="A5755" s="128">
        <v>2008</v>
      </c>
      <c r="B5755" s="128" t="s">
        <v>138</v>
      </c>
      <c r="C5755" s="128" t="s">
        <v>27</v>
      </c>
      <c r="D5755" s="128" t="s">
        <v>76</v>
      </c>
      <c r="E5755" s="128" t="s">
        <v>134</v>
      </c>
      <c r="F5755" s="128">
        <v>743890.46</v>
      </c>
      <c r="G5755" s="128">
        <v>340005.69</v>
      </c>
      <c r="H5755" s="128">
        <v>403884.77</v>
      </c>
      <c r="I5755" s="128">
        <v>4632</v>
      </c>
    </row>
    <row r="5756" spans="1:9" ht="13.5">
      <c r="A5756" s="128">
        <v>2008</v>
      </c>
      <c r="B5756" s="128" t="s">
        <v>138</v>
      </c>
      <c r="C5756" s="128" t="s">
        <v>27</v>
      </c>
      <c r="D5756" s="128" t="s">
        <v>76</v>
      </c>
      <c r="E5756" s="128" t="s">
        <v>135</v>
      </c>
      <c r="F5756" s="128">
        <v>90705.75</v>
      </c>
      <c r="G5756" s="128">
        <v>25310.55</v>
      </c>
      <c r="H5756" s="128">
        <v>65395.199999999997</v>
      </c>
      <c r="I5756" s="128">
        <v>78</v>
      </c>
    </row>
    <row r="5757" spans="1:9" ht="13.5">
      <c r="A5757" s="128">
        <v>2008</v>
      </c>
      <c r="B5757" s="128" t="s">
        <v>139</v>
      </c>
      <c r="C5757" s="128" t="s">
        <v>20</v>
      </c>
      <c r="D5757" s="128" t="s">
        <v>79</v>
      </c>
      <c r="E5757" s="128" t="s">
        <v>136</v>
      </c>
      <c r="F5757" s="128">
        <v>24006472.489999998</v>
      </c>
      <c r="G5757" s="128">
        <v>18199882.399999999</v>
      </c>
      <c r="H5757" s="128">
        <v>5805573.3399999999</v>
      </c>
      <c r="I5757" s="128">
        <v>442971</v>
      </c>
    </row>
    <row r="5758" spans="1:9" ht="13.5">
      <c r="A5758" s="128">
        <v>2008</v>
      </c>
      <c r="B5758" s="128" t="s">
        <v>139</v>
      </c>
      <c r="C5758" s="128" t="s">
        <v>20</v>
      </c>
      <c r="D5758" s="128" t="s">
        <v>79</v>
      </c>
      <c r="E5758" s="128" t="s">
        <v>132</v>
      </c>
      <c r="F5758" s="128">
        <v>3447718.66</v>
      </c>
      <c r="G5758" s="128">
        <v>2293514.52</v>
      </c>
      <c r="H5758" s="128">
        <v>792415.5</v>
      </c>
      <c r="I5758" s="128">
        <v>20006</v>
      </c>
    </row>
    <row r="5759" spans="1:9" ht="13.5">
      <c r="A5759" s="128">
        <v>2008</v>
      </c>
      <c r="B5759" s="128" t="s">
        <v>139</v>
      </c>
      <c r="C5759" s="128" t="s">
        <v>20</v>
      </c>
      <c r="D5759" s="128" t="s">
        <v>79</v>
      </c>
      <c r="E5759" s="128" t="s">
        <v>133</v>
      </c>
      <c r="F5759" s="128">
        <v>4921520.32</v>
      </c>
      <c r="G5759" s="128">
        <v>2674917.7999999998</v>
      </c>
      <c r="H5759" s="128">
        <v>964998.26</v>
      </c>
      <c r="I5759" s="128">
        <v>48646</v>
      </c>
    </row>
    <row r="5760" spans="1:9" ht="13.5">
      <c r="A5760" s="128">
        <v>2008</v>
      </c>
      <c r="B5760" s="128" t="s">
        <v>139</v>
      </c>
      <c r="C5760" s="128" t="s">
        <v>20</v>
      </c>
      <c r="D5760" s="128" t="s">
        <v>79</v>
      </c>
      <c r="E5760" s="128" t="s">
        <v>134</v>
      </c>
      <c r="F5760" s="128">
        <v>15112116.119999999</v>
      </c>
      <c r="G5760" s="128">
        <v>6367381.29</v>
      </c>
      <c r="H5760" s="128">
        <v>2282671.42</v>
      </c>
      <c r="I5760" s="128">
        <v>60618</v>
      </c>
    </row>
    <row r="5761" spans="1:9" ht="13.5">
      <c r="A5761" s="128">
        <v>2008</v>
      </c>
      <c r="B5761" s="128" t="s">
        <v>139</v>
      </c>
      <c r="C5761" s="128" t="s">
        <v>20</v>
      </c>
      <c r="D5761" s="128" t="s">
        <v>79</v>
      </c>
      <c r="E5761" s="128" t="s">
        <v>135</v>
      </c>
      <c r="F5761" s="128">
        <v>72191370</v>
      </c>
      <c r="G5761" s="128">
        <v>18615167.010000002</v>
      </c>
      <c r="H5761" s="128">
        <v>6313800.6100000003</v>
      </c>
      <c r="I5761" s="128">
        <v>136752</v>
      </c>
    </row>
    <row r="5762" spans="1:9" ht="13.5">
      <c r="A5762" s="128">
        <v>2008</v>
      </c>
      <c r="B5762" s="128" t="s">
        <v>139</v>
      </c>
      <c r="C5762" s="128" t="s">
        <v>20</v>
      </c>
      <c r="D5762" s="128" t="s">
        <v>77</v>
      </c>
      <c r="E5762" s="128" t="s">
        <v>132</v>
      </c>
      <c r="F5762" s="128">
        <v>974907.58</v>
      </c>
      <c r="G5762" s="128">
        <v>654211.98</v>
      </c>
      <c r="H5762" s="128">
        <v>295031.90000000002</v>
      </c>
      <c r="I5762" s="128">
        <v>6621</v>
      </c>
    </row>
    <row r="5763" spans="1:9" ht="13.5">
      <c r="A5763" s="128">
        <v>2008</v>
      </c>
      <c r="B5763" s="128" t="s">
        <v>139</v>
      </c>
      <c r="C5763" s="128" t="s">
        <v>20</v>
      </c>
      <c r="D5763" s="128" t="s">
        <v>77</v>
      </c>
      <c r="E5763" s="128" t="s">
        <v>133</v>
      </c>
      <c r="F5763" s="128">
        <v>1831471.03</v>
      </c>
      <c r="G5763" s="128">
        <v>990953.92</v>
      </c>
      <c r="H5763" s="128">
        <v>749143.16</v>
      </c>
      <c r="I5763" s="128">
        <v>5594</v>
      </c>
    </row>
    <row r="5764" spans="1:9" ht="13.5">
      <c r="A5764" s="128">
        <v>2008</v>
      </c>
      <c r="B5764" s="128" t="s">
        <v>139</v>
      </c>
      <c r="C5764" s="128" t="s">
        <v>20</v>
      </c>
      <c r="D5764" s="128" t="s">
        <v>77</v>
      </c>
      <c r="E5764" s="128" t="s">
        <v>134</v>
      </c>
      <c r="F5764" s="128">
        <v>3965115.21</v>
      </c>
      <c r="G5764" s="128">
        <v>1744092.98</v>
      </c>
      <c r="H5764" s="128">
        <v>1729821.52</v>
      </c>
      <c r="I5764" s="128">
        <v>15258</v>
      </c>
    </row>
    <row r="5765" spans="1:9" ht="13.5">
      <c r="A5765" s="128">
        <v>2008</v>
      </c>
      <c r="B5765" s="128" t="s">
        <v>139</v>
      </c>
      <c r="C5765" s="128" t="s">
        <v>20</v>
      </c>
      <c r="D5765" s="128" t="s">
        <v>77</v>
      </c>
      <c r="E5765" s="128" t="s">
        <v>135</v>
      </c>
      <c r="F5765" s="128">
        <v>5557311.5599999996</v>
      </c>
      <c r="G5765" s="128">
        <v>1447749.48</v>
      </c>
      <c r="H5765" s="128">
        <v>1674229.34</v>
      </c>
      <c r="I5765" s="128">
        <v>14778</v>
      </c>
    </row>
    <row r="5766" spans="1:9" ht="13.5">
      <c r="A5766" s="128">
        <v>2008</v>
      </c>
      <c r="B5766" s="128" t="s">
        <v>139</v>
      </c>
      <c r="C5766" s="128" t="s">
        <v>20</v>
      </c>
      <c r="D5766" s="128" t="s">
        <v>76</v>
      </c>
      <c r="E5766" s="128" t="s">
        <v>136</v>
      </c>
      <c r="F5766" s="128">
        <v>6531839.8200000003</v>
      </c>
      <c r="G5766" s="128">
        <v>4942357.45</v>
      </c>
      <c r="H5766" s="128">
        <v>1589837.71</v>
      </c>
      <c r="I5766" s="128">
        <v>179535</v>
      </c>
    </row>
    <row r="5767" spans="1:9" ht="13.5">
      <c r="A5767" s="128">
        <v>2008</v>
      </c>
      <c r="B5767" s="128" t="s">
        <v>139</v>
      </c>
      <c r="C5767" s="128" t="s">
        <v>20</v>
      </c>
      <c r="D5767" s="128" t="s">
        <v>76</v>
      </c>
      <c r="E5767" s="128" t="s">
        <v>132</v>
      </c>
      <c r="F5767" s="128">
        <v>26673247.629999999</v>
      </c>
      <c r="G5767" s="128">
        <v>17156966.079999998</v>
      </c>
      <c r="H5767" s="128">
        <v>9516179.2400000002</v>
      </c>
      <c r="I5767" s="128">
        <v>344968</v>
      </c>
    </row>
    <row r="5768" spans="1:9" ht="13.5">
      <c r="A5768" s="128">
        <v>2008</v>
      </c>
      <c r="B5768" s="128" t="s">
        <v>139</v>
      </c>
      <c r="C5768" s="128" t="s">
        <v>20</v>
      </c>
      <c r="D5768" s="128" t="s">
        <v>76</v>
      </c>
      <c r="E5768" s="128" t="s">
        <v>133</v>
      </c>
      <c r="F5768" s="128">
        <v>48490692.869999997</v>
      </c>
      <c r="G5768" s="128">
        <v>26632708.25</v>
      </c>
      <c r="H5768" s="128">
        <v>21857750.949999999</v>
      </c>
      <c r="I5768" s="128">
        <v>192740</v>
      </c>
    </row>
    <row r="5769" spans="1:9" ht="13.5">
      <c r="A5769" s="128">
        <v>2008</v>
      </c>
      <c r="B5769" s="128" t="s">
        <v>139</v>
      </c>
      <c r="C5769" s="128" t="s">
        <v>20</v>
      </c>
      <c r="D5769" s="128" t="s">
        <v>76</v>
      </c>
      <c r="E5769" s="128" t="s">
        <v>134</v>
      </c>
      <c r="F5769" s="128">
        <v>38739783.009999998</v>
      </c>
      <c r="G5769" s="128">
        <v>18032913.989999998</v>
      </c>
      <c r="H5769" s="128">
        <v>20706739.800000001</v>
      </c>
      <c r="I5769" s="128">
        <v>256150</v>
      </c>
    </row>
    <row r="5770" spans="1:9" ht="13.5">
      <c r="A5770" s="128">
        <v>2008</v>
      </c>
      <c r="B5770" s="128" t="s">
        <v>139</v>
      </c>
      <c r="C5770" s="128" t="s">
        <v>20</v>
      </c>
      <c r="D5770" s="128" t="s">
        <v>76</v>
      </c>
      <c r="E5770" s="128" t="s">
        <v>135</v>
      </c>
      <c r="F5770" s="128">
        <v>4159965.82</v>
      </c>
      <c r="G5770" s="128">
        <v>1182786.22</v>
      </c>
      <c r="H5770" s="128">
        <v>2977177.76</v>
      </c>
      <c r="I5770" s="128">
        <v>4333</v>
      </c>
    </row>
    <row r="5771" spans="1:9" ht="13.5">
      <c r="A5771" s="128">
        <v>2008</v>
      </c>
      <c r="B5771" s="128" t="s">
        <v>139</v>
      </c>
      <c r="C5771" s="128" t="s">
        <v>21</v>
      </c>
      <c r="D5771" s="128" t="s">
        <v>79</v>
      </c>
      <c r="E5771" s="128" t="s">
        <v>136</v>
      </c>
      <c r="F5771" s="128">
        <v>13325818.09</v>
      </c>
      <c r="G5771" s="128">
        <v>10045602.699999999</v>
      </c>
      <c r="H5771" s="128">
        <v>3280252.83</v>
      </c>
      <c r="I5771" s="128">
        <v>144551</v>
      </c>
    </row>
    <row r="5772" spans="1:9" ht="13.5">
      <c r="A5772" s="128">
        <v>2008</v>
      </c>
      <c r="B5772" s="128" t="s">
        <v>139</v>
      </c>
      <c r="C5772" s="128" t="s">
        <v>21</v>
      </c>
      <c r="D5772" s="128" t="s">
        <v>79</v>
      </c>
      <c r="E5772" s="128" t="s">
        <v>132</v>
      </c>
      <c r="F5772" s="128">
        <v>2681729.84</v>
      </c>
      <c r="G5772" s="128">
        <v>1782226.53</v>
      </c>
      <c r="H5772" s="128">
        <v>638896.14</v>
      </c>
      <c r="I5772" s="128">
        <v>19875</v>
      </c>
    </row>
    <row r="5773" spans="1:9" ht="13.5">
      <c r="A5773" s="128">
        <v>2008</v>
      </c>
      <c r="B5773" s="128" t="s">
        <v>139</v>
      </c>
      <c r="C5773" s="128" t="s">
        <v>21</v>
      </c>
      <c r="D5773" s="128" t="s">
        <v>79</v>
      </c>
      <c r="E5773" s="128" t="s">
        <v>133</v>
      </c>
      <c r="F5773" s="128">
        <v>2869291.23</v>
      </c>
      <c r="G5773" s="128">
        <v>1575751.36</v>
      </c>
      <c r="H5773" s="128">
        <v>658160.5</v>
      </c>
      <c r="I5773" s="128">
        <v>16750</v>
      </c>
    </row>
    <row r="5774" spans="1:9" ht="13.5">
      <c r="A5774" s="128">
        <v>2008</v>
      </c>
      <c r="B5774" s="128" t="s">
        <v>139</v>
      </c>
      <c r="C5774" s="128" t="s">
        <v>21</v>
      </c>
      <c r="D5774" s="128" t="s">
        <v>79</v>
      </c>
      <c r="E5774" s="128" t="s">
        <v>134</v>
      </c>
      <c r="F5774" s="128">
        <v>6281901.4800000004</v>
      </c>
      <c r="G5774" s="128">
        <v>2660888</v>
      </c>
      <c r="H5774" s="128">
        <v>996650.6</v>
      </c>
      <c r="I5774" s="128">
        <v>40706</v>
      </c>
    </row>
    <row r="5775" spans="1:9" ht="13.5">
      <c r="A5775" s="128">
        <v>2008</v>
      </c>
      <c r="B5775" s="128" t="s">
        <v>139</v>
      </c>
      <c r="C5775" s="128" t="s">
        <v>21</v>
      </c>
      <c r="D5775" s="128" t="s">
        <v>79</v>
      </c>
      <c r="E5775" s="128" t="s">
        <v>135</v>
      </c>
      <c r="F5775" s="128">
        <v>13407597.640000001</v>
      </c>
      <c r="G5775" s="128">
        <v>3511544.97</v>
      </c>
      <c r="H5775" s="128">
        <v>1207306.27</v>
      </c>
      <c r="I5775" s="128">
        <v>31491</v>
      </c>
    </row>
    <row r="5776" spans="1:9" ht="13.5">
      <c r="A5776" s="128">
        <v>2008</v>
      </c>
      <c r="B5776" s="128" t="s">
        <v>139</v>
      </c>
      <c r="C5776" s="128" t="s">
        <v>21</v>
      </c>
      <c r="D5776" s="128" t="s">
        <v>77</v>
      </c>
      <c r="E5776" s="128" t="s">
        <v>132</v>
      </c>
      <c r="F5776" s="128">
        <v>1707731.16</v>
      </c>
      <c r="G5776" s="128">
        <v>1124456.58</v>
      </c>
      <c r="H5776" s="128">
        <v>490190</v>
      </c>
      <c r="I5776" s="128">
        <v>13066</v>
      </c>
    </row>
    <row r="5777" spans="1:9" ht="13.5">
      <c r="A5777" s="128">
        <v>2008</v>
      </c>
      <c r="B5777" s="128" t="s">
        <v>139</v>
      </c>
      <c r="C5777" s="128" t="s">
        <v>21</v>
      </c>
      <c r="D5777" s="128" t="s">
        <v>77</v>
      </c>
      <c r="E5777" s="128" t="s">
        <v>133</v>
      </c>
      <c r="F5777" s="128">
        <v>3576410.51</v>
      </c>
      <c r="G5777" s="128">
        <v>1945505.35</v>
      </c>
      <c r="H5777" s="128">
        <v>1329034.33</v>
      </c>
      <c r="I5777" s="128">
        <v>13299</v>
      </c>
    </row>
    <row r="5778" spans="1:9" ht="13.5">
      <c r="A5778" s="128">
        <v>2008</v>
      </c>
      <c r="B5778" s="128" t="s">
        <v>139</v>
      </c>
      <c r="C5778" s="128" t="s">
        <v>21</v>
      </c>
      <c r="D5778" s="128" t="s">
        <v>77</v>
      </c>
      <c r="E5778" s="128" t="s">
        <v>134</v>
      </c>
      <c r="F5778" s="128">
        <v>6438850.8399999999</v>
      </c>
      <c r="G5778" s="128">
        <v>2756218.78</v>
      </c>
      <c r="H5778" s="128">
        <v>2408313.4900000002</v>
      </c>
      <c r="I5778" s="128">
        <v>23685</v>
      </c>
    </row>
    <row r="5779" spans="1:9" ht="13.5">
      <c r="A5779" s="128">
        <v>2008</v>
      </c>
      <c r="B5779" s="128" t="s">
        <v>139</v>
      </c>
      <c r="C5779" s="128" t="s">
        <v>21</v>
      </c>
      <c r="D5779" s="128" t="s">
        <v>77</v>
      </c>
      <c r="E5779" s="128" t="s">
        <v>135</v>
      </c>
      <c r="F5779" s="128">
        <v>7949072</v>
      </c>
      <c r="G5779" s="128">
        <v>2251631.61</v>
      </c>
      <c r="H5779" s="128">
        <v>2268382.96</v>
      </c>
      <c r="I5779" s="128">
        <v>21741</v>
      </c>
    </row>
    <row r="5780" spans="1:9" ht="13.5">
      <c r="A5780" s="128">
        <v>2008</v>
      </c>
      <c r="B5780" s="128" t="s">
        <v>139</v>
      </c>
      <c r="C5780" s="128" t="s">
        <v>21</v>
      </c>
      <c r="D5780" s="128" t="s">
        <v>76</v>
      </c>
      <c r="E5780" s="128" t="s">
        <v>136</v>
      </c>
      <c r="F5780" s="128">
        <v>7347423.0999999996</v>
      </c>
      <c r="G5780" s="128">
        <v>5554533</v>
      </c>
      <c r="H5780" s="128">
        <v>1792859.25</v>
      </c>
      <c r="I5780" s="128">
        <v>151989</v>
      </c>
    </row>
    <row r="5781" spans="1:9" ht="13.5">
      <c r="A5781" s="128">
        <v>2008</v>
      </c>
      <c r="B5781" s="128" t="s">
        <v>139</v>
      </c>
      <c r="C5781" s="128" t="s">
        <v>21</v>
      </c>
      <c r="D5781" s="128" t="s">
        <v>76</v>
      </c>
      <c r="E5781" s="128" t="s">
        <v>132</v>
      </c>
      <c r="F5781" s="128">
        <v>28341224.850000001</v>
      </c>
      <c r="G5781" s="128">
        <v>18335208.82</v>
      </c>
      <c r="H5781" s="128">
        <v>10005918.5</v>
      </c>
      <c r="I5781" s="128">
        <v>365033</v>
      </c>
    </row>
    <row r="5782" spans="1:9" ht="13.5">
      <c r="A5782" s="128">
        <v>2008</v>
      </c>
      <c r="B5782" s="128" t="s">
        <v>139</v>
      </c>
      <c r="C5782" s="128" t="s">
        <v>21</v>
      </c>
      <c r="D5782" s="128" t="s">
        <v>76</v>
      </c>
      <c r="E5782" s="128" t="s">
        <v>133</v>
      </c>
      <c r="F5782" s="128">
        <v>55940942.850000001</v>
      </c>
      <c r="G5782" s="128">
        <v>30822737.190000001</v>
      </c>
      <c r="H5782" s="128">
        <v>25118125.57</v>
      </c>
      <c r="I5782" s="128">
        <v>315283</v>
      </c>
    </row>
    <row r="5783" spans="1:9" ht="13.5">
      <c r="A5783" s="128">
        <v>2008</v>
      </c>
      <c r="B5783" s="128" t="s">
        <v>139</v>
      </c>
      <c r="C5783" s="128" t="s">
        <v>21</v>
      </c>
      <c r="D5783" s="128" t="s">
        <v>76</v>
      </c>
      <c r="E5783" s="128" t="s">
        <v>134</v>
      </c>
      <c r="F5783" s="128">
        <v>42671099.259999998</v>
      </c>
      <c r="G5783" s="128">
        <v>19676209.239999998</v>
      </c>
      <c r="H5783" s="128">
        <v>22994788.859999999</v>
      </c>
      <c r="I5783" s="128">
        <v>270923</v>
      </c>
    </row>
    <row r="5784" spans="1:9" ht="13.5">
      <c r="A5784" s="128">
        <v>2008</v>
      </c>
      <c r="B5784" s="128" t="s">
        <v>139</v>
      </c>
      <c r="C5784" s="128" t="s">
        <v>21</v>
      </c>
      <c r="D5784" s="128" t="s">
        <v>76</v>
      </c>
      <c r="E5784" s="128" t="s">
        <v>135</v>
      </c>
      <c r="F5784" s="128">
        <v>2472842.2400000002</v>
      </c>
      <c r="G5784" s="128">
        <v>695040.66</v>
      </c>
      <c r="H5784" s="128">
        <v>1777801.78</v>
      </c>
      <c r="I5784" s="128">
        <v>2306</v>
      </c>
    </row>
    <row r="5785" spans="1:9" ht="13.5">
      <c r="A5785" s="128">
        <v>2008</v>
      </c>
      <c r="B5785" s="128" t="s">
        <v>139</v>
      </c>
      <c r="C5785" s="128" t="s">
        <v>22</v>
      </c>
      <c r="D5785" s="128" t="s">
        <v>79</v>
      </c>
      <c r="E5785" s="128" t="s">
        <v>136</v>
      </c>
      <c r="F5785" s="128">
        <v>6055121.04</v>
      </c>
      <c r="G5785" s="128">
        <v>4570629.5199999996</v>
      </c>
      <c r="H5785" s="128">
        <v>1483346.2</v>
      </c>
      <c r="I5785" s="128">
        <v>78977</v>
      </c>
    </row>
    <row r="5786" spans="1:9" ht="13.5">
      <c r="A5786" s="128">
        <v>2008</v>
      </c>
      <c r="B5786" s="128" t="s">
        <v>139</v>
      </c>
      <c r="C5786" s="128" t="s">
        <v>22</v>
      </c>
      <c r="D5786" s="128" t="s">
        <v>79</v>
      </c>
      <c r="E5786" s="128" t="s">
        <v>132</v>
      </c>
      <c r="F5786" s="128">
        <v>1932206.98</v>
      </c>
      <c r="G5786" s="128">
        <v>1296212.29</v>
      </c>
      <c r="H5786" s="128">
        <v>434367.21</v>
      </c>
      <c r="I5786" s="128">
        <v>12246</v>
      </c>
    </row>
    <row r="5787" spans="1:9" ht="13.5">
      <c r="A5787" s="128">
        <v>2008</v>
      </c>
      <c r="B5787" s="128" t="s">
        <v>139</v>
      </c>
      <c r="C5787" s="128" t="s">
        <v>22</v>
      </c>
      <c r="D5787" s="128" t="s">
        <v>79</v>
      </c>
      <c r="E5787" s="128" t="s">
        <v>133</v>
      </c>
      <c r="F5787" s="128">
        <v>3549626.82</v>
      </c>
      <c r="G5787" s="128">
        <v>1927147.26</v>
      </c>
      <c r="H5787" s="128">
        <v>664423.12</v>
      </c>
      <c r="I5787" s="128">
        <v>18885</v>
      </c>
    </row>
    <row r="5788" spans="1:9" ht="13.5">
      <c r="A5788" s="128">
        <v>2008</v>
      </c>
      <c r="B5788" s="128" t="s">
        <v>139</v>
      </c>
      <c r="C5788" s="128" t="s">
        <v>22</v>
      </c>
      <c r="D5788" s="128" t="s">
        <v>79</v>
      </c>
      <c r="E5788" s="128" t="s">
        <v>134</v>
      </c>
      <c r="F5788" s="128">
        <v>9720447.3499999996</v>
      </c>
      <c r="G5788" s="128">
        <v>4099566.78</v>
      </c>
      <c r="H5788" s="128">
        <v>1441357.85</v>
      </c>
      <c r="I5788" s="128">
        <v>41371</v>
      </c>
    </row>
    <row r="5789" spans="1:9" ht="13.5">
      <c r="A5789" s="128">
        <v>2008</v>
      </c>
      <c r="B5789" s="128" t="s">
        <v>139</v>
      </c>
      <c r="C5789" s="128" t="s">
        <v>22</v>
      </c>
      <c r="D5789" s="128" t="s">
        <v>79</v>
      </c>
      <c r="E5789" s="128" t="s">
        <v>135</v>
      </c>
      <c r="F5789" s="128">
        <v>25930167.949999999</v>
      </c>
      <c r="G5789" s="128">
        <v>7124335.6500000004</v>
      </c>
      <c r="H5789" s="128">
        <v>2408636.0099999998</v>
      </c>
      <c r="I5789" s="128">
        <v>62616</v>
      </c>
    </row>
    <row r="5790" spans="1:9" ht="13.5">
      <c r="A5790" s="128">
        <v>2008</v>
      </c>
      <c r="B5790" s="128" t="s">
        <v>139</v>
      </c>
      <c r="C5790" s="128" t="s">
        <v>22</v>
      </c>
      <c r="D5790" s="128" t="s">
        <v>77</v>
      </c>
      <c r="E5790" s="128" t="s">
        <v>132</v>
      </c>
      <c r="F5790" s="128">
        <v>372851.22</v>
      </c>
      <c r="G5790" s="128">
        <v>227915.86</v>
      </c>
      <c r="H5790" s="128">
        <v>96933.84</v>
      </c>
      <c r="I5790" s="128">
        <v>2430</v>
      </c>
    </row>
    <row r="5791" spans="1:9" ht="13.5">
      <c r="A5791" s="128">
        <v>2008</v>
      </c>
      <c r="B5791" s="128" t="s">
        <v>139</v>
      </c>
      <c r="C5791" s="128" t="s">
        <v>22</v>
      </c>
      <c r="D5791" s="128" t="s">
        <v>77</v>
      </c>
      <c r="E5791" s="128" t="s">
        <v>133</v>
      </c>
      <c r="F5791" s="128">
        <v>1053577.1399999999</v>
      </c>
      <c r="G5791" s="128">
        <v>572318.28</v>
      </c>
      <c r="H5791" s="128">
        <v>420271.16</v>
      </c>
      <c r="I5791" s="128">
        <v>3550</v>
      </c>
    </row>
    <row r="5792" spans="1:9" ht="13.5">
      <c r="A5792" s="128">
        <v>2008</v>
      </c>
      <c r="B5792" s="128" t="s">
        <v>139</v>
      </c>
      <c r="C5792" s="128" t="s">
        <v>22</v>
      </c>
      <c r="D5792" s="128" t="s">
        <v>77</v>
      </c>
      <c r="E5792" s="128" t="s">
        <v>134</v>
      </c>
      <c r="F5792" s="128">
        <v>3598063.33</v>
      </c>
      <c r="G5792" s="128">
        <v>1507490.31</v>
      </c>
      <c r="H5792" s="128">
        <v>1422863.43</v>
      </c>
      <c r="I5792" s="128">
        <v>9623</v>
      </c>
    </row>
    <row r="5793" spans="1:9" ht="13.5">
      <c r="A5793" s="128">
        <v>2008</v>
      </c>
      <c r="B5793" s="128" t="s">
        <v>139</v>
      </c>
      <c r="C5793" s="128" t="s">
        <v>22</v>
      </c>
      <c r="D5793" s="128" t="s">
        <v>77</v>
      </c>
      <c r="E5793" s="128" t="s">
        <v>135</v>
      </c>
      <c r="F5793" s="128">
        <v>7426899.8099999996</v>
      </c>
      <c r="G5793" s="128">
        <v>2085773.77</v>
      </c>
      <c r="H5793" s="128">
        <v>2342800</v>
      </c>
      <c r="I5793" s="128">
        <v>21941</v>
      </c>
    </row>
    <row r="5794" spans="1:9" ht="13.5">
      <c r="A5794" s="128">
        <v>2008</v>
      </c>
      <c r="B5794" s="128" t="s">
        <v>139</v>
      </c>
      <c r="C5794" s="128" t="s">
        <v>22</v>
      </c>
      <c r="D5794" s="128" t="s">
        <v>76</v>
      </c>
      <c r="E5794" s="128" t="s">
        <v>136</v>
      </c>
      <c r="F5794" s="128">
        <v>2075550.81</v>
      </c>
      <c r="G5794" s="128">
        <v>1579508.14</v>
      </c>
      <c r="H5794" s="128">
        <v>496844.67</v>
      </c>
      <c r="I5794" s="128">
        <v>47393</v>
      </c>
    </row>
    <row r="5795" spans="1:9" ht="13.5">
      <c r="A5795" s="128">
        <v>2008</v>
      </c>
      <c r="B5795" s="128" t="s">
        <v>139</v>
      </c>
      <c r="C5795" s="128" t="s">
        <v>22</v>
      </c>
      <c r="D5795" s="128" t="s">
        <v>76</v>
      </c>
      <c r="E5795" s="128" t="s">
        <v>132</v>
      </c>
      <c r="F5795" s="128">
        <v>27059614.239999998</v>
      </c>
      <c r="G5795" s="128">
        <v>17434068.57</v>
      </c>
      <c r="H5795" s="128">
        <v>9625441.5800000001</v>
      </c>
      <c r="I5795" s="128">
        <v>431458</v>
      </c>
    </row>
    <row r="5796" spans="1:9" ht="13.5">
      <c r="A5796" s="128">
        <v>2008</v>
      </c>
      <c r="B5796" s="128" t="s">
        <v>139</v>
      </c>
      <c r="C5796" s="128" t="s">
        <v>22</v>
      </c>
      <c r="D5796" s="128" t="s">
        <v>76</v>
      </c>
      <c r="E5796" s="128" t="s">
        <v>133</v>
      </c>
      <c r="F5796" s="128">
        <v>40163130.329999998</v>
      </c>
      <c r="G5796" s="128">
        <v>22155745.710000001</v>
      </c>
      <c r="H5796" s="128">
        <v>18007320.09</v>
      </c>
      <c r="I5796" s="128">
        <v>194820</v>
      </c>
    </row>
    <row r="5797" spans="1:9" ht="13.5">
      <c r="A5797" s="128">
        <v>2008</v>
      </c>
      <c r="B5797" s="128" t="s">
        <v>139</v>
      </c>
      <c r="C5797" s="128" t="s">
        <v>22</v>
      </c>
      <c r="D5797" s="128" t="s">
        <v>76</v>
      </c>
      <c r="E5797" s="128" t="s">
        <v>134</v>
      </c>
      <c r="F5797" s="128">
        <v>26031651.850000001</v>
      </c>
      <c r="G5797" s="128">
        <v>12149620.65</v>
      </c>
      <c r="H5797" s="128">
        <v>13881946.050000001</v>
      </c>
      <c r="I5797" s="128">
        <v>189537</v>
      </c>
    </row>
    <row r="5798" spans="1:9" ht="13.5">
      <c r="A5798" s="128">
        <v>2008</v>
      </c>
      <c r="B5798" s="128" t="s">
        <v>139</v>
      </c>
      <c r="C5798" s="128" t="s">
        <v>22</v>
      </c>
      <c r="D5798" s="128" t="s">
        <v>76</v>
      </c>
      <c r="E5798" s="128" t="s">
        <v>135</v>
      </c>
      <c r="F5798" s="128">
        <v>3700947.44</v>
      </c>
      <c r="G5798" s="128">
        <v>1014803.45</v>
      </c>
      <c r="H5798" s="128">
        <v>2686141.94</v>
      </c>
      <c r="I5798" s="128">
        <v>3383</v>
      </c>
    </row>
    <row r="5799" spans="1:9" ht="13.5">
      <c r="A5799" s="128">
        <v>2008</v>
      </c>
      <c r="B5799" s="128" t="s">
        <v>139</v>
      </c>
      <c r="C5799" s="128" t="s">
        <v>23</v>
      </c>
      <c r="D5799" s="128" t="s">
        <v>79</v>
      </c>
      <c r="E5799" s="128" t="s">
        <v>136</v>
      </c>
      <c r="F5799" s="128">
        <v>9960784.6799999997</v>
      </c>
      <c r="G5799" s="128">
        <v>7476107.3099999996</v>
      </c>
      <c r="H5799" s="128">
        <v>2484617.92</v>
      </c>
      <c r="I5799" s="128">
        <v>80481</v>
      </c>
    </row>
    <row r="5800" spans="1:9" ht="13.5">
      <c r="A5800" s="128">
        <v>2008</v>
      </c>
      <c r="B5800" s="128" t="s">
        <v>139</v>
      </c>
      <c r="C5800" s="128" t="s">
        <v>23</v>
      </c>
      <c r="D5800" s="128" t="s">
        <v>79</v>
      </c>
      <c r="E5800" s="128" t="s">
        <v>132</v>
      </c>
      <c r="F5800" s="128">
        <v>381670.43</v>
      </c>
      <c r="G5800" s="128">
        <v>253167.39</v>
      </c>
      <c r="H5800" s="128">
        <v>91103.62</v>
      </c>
      <c r="I5800" s="128">
        <v>3082</v>
      </c>
    </row>
    <row r="5801" spans="1:9" ht="13.5">
      <c r="A5801" s="128">
        <v>2008</v>
      </c>
      <c r="B5801" s="128" t="s">
        <v>139</v>
      </c>
      <c r="C5801" s="128" t="s">
        <v>23</v>
      </c>
      <c r="D5801" s="128" t="s">
        <v>79</v>
      </c>
      <c r="E5801" s="128" t="s">
        <v>133</v>
      </c>
      <c r="F5801" s="128">
        <v>588569.01</v>
      </c>
      <c r="G5801" s="128">
        <v>318604.77</v>
      </c>
      <c r="H5801" s="128">
        <v>117659.65</v>
      </c>
      <c r="I5801" s="128">
        <v>3825</v>
      </c>
    </row>
    <row r="5802" spans="1:9" ht="13.5">
      <c r="A5802" s="128">
        <v>2008</v>
      </c>
      <c r="B5802" s="128" t="s">
        <v>139</v>
      </c>
      <c r="C5802" s="128" t="s">
        <v>23</v>
      </c>
      <c r="D5802" s="128" t="s">
        <v>79</v>
      </c>
      <c r="E5802" s="128" t="s">
        <v>134</v>
      </c>
      <c r="F5802" s="128">
        <v>672014.5</v>
      </c>
      <c r="G5802" s="128">
        <v>292921</v>
      </c>
      <c r="H5802" s="128">
        <v>171385.24</v>
      </c>
      <c r="I5802" s="128">
        <v>4285</v>
      </c>
    </row>
    <row r="5803" spans="1:9" ht="13.5">
      <c r="A5803" s="128">
        <v>2008</v>
      </c>
      <c r="B5803" s="128" t="s">
        <v>139</v>
      </c>
      <c r="C5803" s="128" t="s">
        <v>23</v>
      </c>
      <c r="D5803" s="128" t="s">
        <v>79</v>
      </c>
      <c r="E5803" s="128" t="s">
        <v>135</v>
      </c>
      <c r="F5803" s="128">
        <v>1126817.69</v>
      </c>
      <c r="G5803" s="128">
        <v>298887.34000000003</v>
      </c>
      <c r="H5803" s="128">
        <v>107046</v>
      </c>
      <c r="I5803" s="128">
        <v>3087</v>
      </c>
    </row>
    <row r="5804" spans="1:9" ht="13.5">
      <c r="A5804" s="128">
        <v>2008</v>
      </c>
      <c r="B5804" s="128" t="s">
        <v>139</v>
      </c>
      <c r="C5804" s="128" t="s">
        <v>23</v>
      </c>
      <c r="D5804" s="128" t="s">
        <v>77</v>
      </c>
      <c r="E5804" s="128" t="s">
        <v>132</v>
      </c>
      <c r="F5804" s="128">
        <v>1743216.86</v>
      </c>
      <c r="G5804" s="128">
        <v>1156659.05</v>
      </c>
      <c r="H5804" s="128">
        <v>561628.93000000005</v>
      </c>
      <c r="I5804" s="128">
        <v>13321</v>
      </c>
    </row>
    <row r="5805" spans="1:9" ht="13.5">
      <c r="A5805" s="128">
        <v>2008</v>
      </c>
      <c r="B5805" s="128" t="s">
        <v>139</v>
      </c>
      <c r="C5805" s="128" t="s">
        <v>23</v>
      </c>
      <c r="D5805" s="128" t="s">
        <v>77</v>
      </c>
      <c r="E5805" s="128" t="s">
        <v>133</v>
      </c>
      <c r="F5805" s="128">
        <v>2709345.77</v>
      </c>
      <c r="G5805" s="128">
        <v>1482937.09</v>
      </c>
      <c r="H5805" s="128">
        <v>1154032.32</v>
      </c>
      <c r="I5805" s="128">
        <v>8132</v>
      </c>
    </row>
    <row r="5806" spans="1:9" ht="13.5">
      <c r="A5806" s="128">
        <v>2008</v>
      </c>
      <c r="B5806" s="128" t="s">
        <v>139</v>
      </c>
      <c r="C5806" s="128" t="s">
        <v>23</v>
      </c>
      <c r="D5806" s="128" t="s">
        <v>77</v>
      </c>
      <c r="E5806" s="128" t="s">
        <v>134</v>
      </c>
      <c r="F5806" s="128">
        <v>3504820.2</v>
      </c>
      <c r="G5806" s="128">
        <v>1601081.23</v>
      </c>
      <c r="H5806" s="128">
        <v>1713335.69</v>
      </c>
      <c r="I5806" s="128">
        <v>16036</v>
      </c>
    </row>
    <row r="5807" spans="1:9" ht="13.5">
      <c r="A5807" s="128">
        <v>2008</v>
      </c>
      <c r="B5807" s="128" t="s">
        <v>139</v>
      </c>
      <c r="C5807" s="128" t="s">
        <v>23</v>
      </c>
      <c r="D5807" s="128" t="s">
        <v>77</v>
      </c>
      <c r="E5807" s="128" t="s">
        <v>135</v>
      </c>
      <c r="F5807" s="128">
        <v>1298268.33</v>
      </c>
      <c r="G5807" s="128">
        <v>351019.49</v>
      </c>
      <c r="H5807" s="128">
        <v>436687.98</v>
      </c>
      <c r="I5807" s="128">
        <v>2639</v>
      </c>
    </row>
    <row r="5808" spans="1:9" ht="13.5">
      <c r="A5808" s="128">
        <v>2008</v>
      </c>
      <c r="B5808" s="128" t="s">
        <v>139</v>
      </c>
      <c r="C5808" s="128" t="s">
        <v>23</v>
      </c>
      <c r="D5808" s="128" t="s">
        <v>76</v>
      </c>
      <c r="E5808" s="128" t="s">
        <v>136</v>
      </c>
      <c r="F5808" s="128">
        <v>2036713.78</v>
      </c>
      <c r="G5808" s="128">
        <v>1534891.59</v>
      </c>
      <c r="H5808" s="128">
        <v>501828.59</v>
      </c>
      <c r="I5808" s="128">
        <v>20125</v>
      </c>
    </row>
    <row r="5809" spans="1:9" ht="13.5">
      <c r="A5809" s="128">
        <v>2008</v>
      </c>
      <c r="B5809" s="128" t="s">
        <v>139</v>
      </c>
      <c r="C5809" s="128" t="s">
        <v>23</v>
      </c>
      <c r="D5809" s="128" t="s">
        <v>76</v>
      </c>
      <c r="E5809" s="128" t="s">
        <v>132</v>
      </c>
      <c r="F5809" s="128">
        <v>8058744.8700000001</v>
      </c>
      <c r="G5809" s="128">
        <v>5374157.6500000004</v>
      </c>
      <c r="H5809" s="128">
        <v>2684547.61</v>
      </c>
      <c r="I5809" s="128">
        <v>144438</v>
      </c>
    </row>
    <row r="5810" spans="1:9" ht="13.5">
      <c r="A5810" s="128">
        <v>2008</v>
      </c>
      <c r="B5810" s="128" t="s">
        <v>139</v>
      </c>
      <c r="C5810" s="128" t="s">
        <v>23</v>
      </c>
      <c r="D5810" s="128" t="s">
        <v>76</v>
      </c>
      <c r="E5810" s="128" t="s">
        <v>133</v>
      </c>
      <c r="F5810" s="128">
        <v>16872414.800000001</v>
      </c>
      <c r="G5810" s="128">
        <v>9241591.1500000004</v>
      </c>
      <c r="H5810" s="128">
        <v>7630809.0800000001</v>
      </c>
      <c r="I5810" s="128">
        <v>79256</v>
      </c>
    </row>
    <row r="5811" spans="1:9" ht="13.5">
      <c r="A5811" s="128">
        <v>2008</v>
      </c>
      <c r="B5811" s="128" t="s">
        <v>139</v>
      </c>
      <c r="C5811" s="128" t="s">
        <v>23</v>
      </c>
      <c r="D5811" s="128" t="s">
        <v>76</v>
      </c>
      <c r="E5811" s="128" t="s">
        <v>134</v>
      </c>
      <c r="F5811" s="128">
        <v>14442251.16</v>
      </c>
      <c r="G5811" s="128">
        <v>6676745.0599999996</v>
      </c>
      <c r="H5811" s="128">
        <v>7765495.6100000003</v>
      </c>
      <c r="I5811" s="128">
        <v>71553</v>
      </c>
    </row>
    <row r="5812" spans="1:9" ht="13.5">
      <c r="A5812" s="128">
        <v>2008</v>
      </c>
      <c r="B5812" s="128" t="s">
        <v>139</v>
      </c>
      <c r="C5812" s="128" t="s">
        <v>23</v>
      </c>
      <c r="D5812" s="128" t="s">
        <v>76</v>
      </c>
      <c r="E5812" s="128" t="s">
        <v>135</v>
      </c>
      <c r="F5812" s="128">
        <v>1070404.1499999999</v>
      </c>
      <c r="G5812" s="128">
        <v>281862.90000000002</v>
      </c>
      <c r="H5812" s="128">
        <v>788540.8</v>
      </c>
      <c r="I5812" s="128">
        <v>865</v>
      </c>
    </row>
    <row r="5813" spans="1:9" ht="13.5">
      <c r="A5813" s="128">
        <v>2008</v>
      </c>
      <c r="B5813" s="128" t="s">
        <v>139</v>
      </c>
      <c r="C5813" s="128" t="s">
        <v>24</v>
      </c>
      <c r="D5813" s="128" t="s">
        <v>79</v>
      </c>
      <c r="E5813" s="128" t="s">
        <v>136</v>
      </c>
      <c r="F5813" s="128">
        <v>1932513.88</v>
      </c>
      <c r="G5813" s="128">
        <v>1459449.84</v>
      </c>
      <c r="H5813" s="128">
        <v>472762.59</v>
      </c>
      <c r="I5813" s="128">
        <v>52074</v>
      </c>
    </row>
    <row r="5814" spans="1:9" ht="13.5">
      <c r="A5814" s="128">
        <v>2008</v>
      </c>
      <c r="B5814" s="128" t="s">
        <v>139</v>
      </c>
      <c r="C5814" s="128" t="s">
        <v>24</v>
      </c>
      <c r="D5814" s="128" t="s">
        <v>79</v>
      </c>
      <c r="E5814" s="128" t="s">
        <v>132</v>
      </c>
      <c r="F5814" s="128">
        <v>434723.15</v>
      </c>
      <c r="G5814" s="128">
        <v>283137.78999999998</v>
      </c>
      <c r="H5814" s="128">
        <v>96366.89</v>
      </c>
      <c r="I5814" s="128">
        <v>4559</v>
      </c>
    </row>
    <row r="5815" spans="1:9" ht="13.5">
      <c r="A5815" s="128">
        <v>2008</v>
      </c>
      <c r="B5815" s="128" t="s">
        <v>139</v>
      </c>
      <c r="C5815" s="128" t="s">
        <v>24</v>
      </c>
      <c r="D5815" s="128" t="s">
        <v>79</v>
      </c>
      <c r="E5815" s="128" t="s">
        <v>133</v>
      </c>
      <c r="F5815" s="128">
        <v>1674550.05</v>
      </c>
      <c r="G5815" s="128">
        <v>919042.87</v>
      </c>
      <c r="H5815" s="128">
        <v>307563.57</v>
      </c>
      <c r="I5815" s="128">
        <v>18401</v>
      </c>
    </row>
    <row r="5816" spans="1:9" ht="13.5">
      <c r="A5816" s="128">
        <v>2008</v>
      </c>
      <c r="B5816" s="128" t="s">
        <v>139</v>
      </c>
      <c r="C5816" s="128" t="s">
        <v>24</v>
      </c>
      <c r="D5816" s="128" t="s">
        <v>79</v>
      </c>
      <c r="E5816" s="128" t="s">
        <v>134</v>
      </c>
      <c r="F5816" s="128">
        <v>2818011.46</v>
      </c>
      <c r="G5816" s="128">
        <v>1217632.8</v>
      </c>
      <c r="H5816" s="128">
        <v>411122.68</v>
      </c>
      <c r="I5816" s="128">
        <v>26603</v>
      </c>
    </row>
    <row r="5817" spans="1:9" ht="13.5">
      <c r="A5817" s="128">
        <v>2008</v>
      </c>
      <c r="B5817" s="128" t="s">
        <v>139</v>
      </c>
      <c r="C5817" s="128" t="s">
        <v>24</v>
      </c>
      <c r="D5817" s="128" t="s">
        <v>79</v>
      </c>
      <c r="E5817" s="128" t="s">
        <v>135</v>
      </c>
      <c r="F5817" s="128">
        <v>3927413.54</v>
      </c>
      <c r="G5817" s="128">
        <v>764519.05</v>
      </c>
      <c r="H5817" s="128">
        <v>257022.24</v>
      </c>
      <c r="I5817" s="128">
        <v>6621</v>
      </c>
    </row>
    <row r="5818" spans="1:9" ht="13.5">
      <c r="A5818" s="128">
        <v>2008</v>
      </c>
      <c r="B5818" s="128" t="s">
        <v>139</v>
      </c>
      <c r="C5818" s="128" t="s">
        <v>24</v>
      </c>
      <c r="D5818" s="128" t="s">
        <v>77</v>
      </c>
      <c r="E5818" s="128" t="s">
        <v>132</v>
      </c>
      <c r="F5818" s="128">
        <v>1444621.86</v>
      </c>
      <c r="G5818" s="128">
        <v>985688.96</v>
      </c>
      <c r="H5818" s="128">
        <v>433381.95</v>
      </c>
      <c r="I5818" s="128">
        <v>9742</v>
      </c>
    </row>
    <row r="5819" spans="1:9" ht="13.5">
      <c r="A5819" s="128">
        <v>2008</v>
      </c>
      <c r="B5819" s="128" t="s">
        <v>139</v>
      </c>
      <c r="C5819" s="128" t="s">
        <v>24</v>
      </c>
      <c r="D5819" s="128" t="s">
        <v>77</v>
      </c>
      <c r="E5819" s="128" t="s">
        <v>133</v>
      </c>
      <c r="F5819" s="128">
        <v>3378035.8</v>
      </c>
      <c r="G5819" s="128">
        <v>1815571.2</v>
      </c>
      <c r="H5819" s="128">
        <v>1274222.28</v>
      </c>
      <c r="I5819" s="128">
        <v>11253</v>
      </c>
    </row>
    <row r="5820" spans="1:9" ht="13.5">
      <c r="A5820" s="128">
        <v>2008</v>
      </c>
      <c r="B5820" s="128" t="s">
        <v>139</v>
      </c>
      <c r="C5820" s="128" t="s">
        <v>24</v>
      </c>
      <c r="D5820" s="128" t="s">
        <v>77</v>
      </c>
      <c r="E5820" s="128" t="s">
        <v>134</v>
      </c>
      <c r="F5820" s="128">
        <v>5671543.8099999996</v>
      </c>
      <c r="G5820" s="128">
        <v>2481563.34</v>
      </c>
      <c r="H5820" s="128">
        <v>1894142.91</v>
      </c>
      <c r="I5820" s="128">
        <v>22619</v>
      </c>
    </row>
    <row r="5821" spans="1:9" ht="13.5">
      <c r="A5821" s="128">
        <v>2008</v>
      </c>
      <c r="B5821" s="128" t="s">
        <v>139</v>
      </c>
      <c r="C5821" s="128" t="s">
        <v>24</v>
      </c>
      <c r="D5821" s="128" t="s">
        <v>77</v>
      </c>
      <c r="E5821" s="128" t="s">
        <v>135</v>
      </c>
      <c r="F5821" s="128">
        <v>8803094.2400000002</v>
      </c>
      <c r="G5821" s="128">
        <v>2048851.43</v>
      </c>
      <c r="H5821" s="128">
        <v>1585102.92</v>
      </c>
      <c r="I5821" s="128">
        <v>17492</v>
      </c>
    </row>
    <row r="5822" spans="1:9" ht="13.5">
      <c r="A5822" s="128">
        <v>2008</v>
      </c>
      <c r="B5822" s="128" t="s">
        <v>139</v>
      </c>
      <c r="C5822" s="128" t="s">
        <v>24</v>
      </c>
      <c r="D5822" s="128" t="s">
        <v>76</v>
      </c>
      <c r="E5822" s="128" t="s">
        <v>136</v>
      </c>
      <c r="F5822" s="128">
        <v>877571.44</v>
      </c>
      <c r="G5822" s="128">
        <v>664255.47</v>
      </c>
      <c r="H5822" s="128">
        <v>213316.29</v>
      </c>
      <c r="I5822" s="128">
        <v>10763</v>
      </c>
    </row>
    <row r="5823" spans="1:9" ht="13.5">
      <c r="A5823" s="128">
        <v>2008</v>
      </c>
      <c r="B5823" s="128" t="s">
        <v>139</v>
      </c>
      <c r="C5823" s="128" t="s">
        <v>24</v>
      </c>
      <c r="D5823" s="128" t="s">
        <v>76</v>
      </c>
      <c r="E5823" s="128" t="s">
        <v>132</v>
      </c>
      <c r="F5823" s="128">
        <v>7869073.2199999997</v>
      </c>
      <c r="G5823" s="128">
        <v>4987393.58</v>
      </c>
      <c r="H5823" s="128">
        <v>2881676.39</v>
      </c>
      <c r="I5823" s="128">
        <v>94497</v>
      </c>
    </row>
    <row r="5824" spans="1:9" ht="13.5">
      <c r="A5824" s="128">
        <v>2008</v>
      </c>
      <c r="B5824" s="128" t="s">
        <v>139</v>
      </c>
      <c r="C5824" s="128" t="s">
        <v>24</v>
      </c>
      <c r="D5824" s="128" t="s">
        <v>76</v>
      </c>
      <c r="E5824" s="128" t="s">
        <v>133</v>
      </c>
      <c r="F5824" s="128">
        <v>18696217.550000001</v>
      </c>
      <c r="G5824" s="128">
        <v>10283793.859999999</v>
      </c>
      <c r="H5824" s="128">
        <v>8412418.8300000001</v>
      </c>
      <c r="I5824" s="128">
        <v>78564</v>
      </c>
    </row>
    <row r="5825" spans="1:9" ht="13.5">
      <c r="A5825" s="128">
        <v>2008</v>
      </c>
      <c r="B5825" s="128" t="s">
        <v>139</v>
      </c>
      <c r="C5825" s="128" t="s">
        <v>24</v>
      </c>
      <c r="D5825" s="128" t="s">
        <v>76</v>
      </c>
      <c r="E5825" s="128" t="s">
        <v>134</v>
      </c>
      <c r="F5825" s="128">
        <v>17703917.800000001</v>
      </c>
      <c r="G5825" s="128">
        <v>7788134.9800000004</v>
      </c>
      <c r="H5825" s="128">
        <v>9915780.8200000003</v>
      </c>
      <c r="I5825" s="128">
        <v>100732</v>
      </c>
    </row>
    <row r="5826" spans="1:9" ht="13.5">
      <c r="A5826" s="128">
        <v>2008</v>
      </c>
      <c r="B5826" s="128" t="s">
        <v>139</v>
      </c>
      <c r="C5826" s="128" t="s">
        <v>24</v>
      </c>
      <c r="D5826" s="128" t="s">
        <v>76</v>
      </c>
      <c r="E5826" s="128" t="s">
        <v>135</v>
      </c>
      <c r="F5826" s="128">
        <v>2614453.88</v>
      </c>
      <c r="G5826" s="128">
        <v>616280.15</v>
      </c>
      <c r="H5826" s="128">
        <v>1998173.73</v>
      </c>
      <c r="I5826" s="128">
        <v>2150</v>
      </c>
    </row>
    <row r="5827" spans="1:9" ht="13.5">
      <c r="A5827" s="128">
        <v>2008</v>
      </c>
      <c r="B5827" s="128" t="s">
        <v>139</v>
      </c>
      <c r="C5827" s="128" t="s">
        <v>25</v>
      </c>
      <c r="D5827" s="128" t="s">
        <v>79</v>
      </c>
      <c r="E5827" s="128" t="s">
        <v>136</v>
      </c>
      <c r="F5827" s="128">
        <v>1231162.6599999999</v>
      </c>
      <c r="G5827" s="128">
        <v>927078.15</v>
      </c>
      <c r="H5827" s="128">
        <v>304084.68</v>
      </c>
      <c r="I5827" s="128">
        <v>17735</v>
      </c>
    </row>
    <row r="5828" spans="1:9" ht="13.5">
      <c r="A5828" s="128">
        <v>2008</v>
      </c>
      <c r="B5828" s="128" t="s">
        <v>139</v>
      </c>
      <c r="C5828" s="128" t="s">
        <v>25</v>
      </c>
      <c r="D5828" s="128" t="s">
        <v>79</v>
      </c>
      <c r="E5828" s="128" t="s">
        <v>132</v>
      </c>
      <c r="F5828" s="128">
        <v>166521.16</v>
      </c>
      <c r="G5828" s="128">
        <v>111302.01</v>
      </c>
      <c r="H5828" s="128">
        <v>37592.269999999997</v>
      </c>
      <c r="I5828" s="128">
        <v>1151</v>
      </c>
    </row>
    <row r="5829" spans="1:9" ht="13.5">
      <c r="A5829" s="128">
        <v>2008</v>
      </c>
      <c r="B5829" s="128" t="s">
        <v>139</v>
      </c>
      <c r="C5829" s="128" t="s">
        <v>25</v>
      </c>
      <c r="D5829" s="128" t="s">
        <v>79</v>
      </c>
      <c r="E5829" s="128" t="s">
        <v>133</v>
      </c>
      <c r="F5829" s="128">
        <v>286576.94</v>
      </c>
      <c r="G5829" s="128">
        <v>154198.68</v>
      </c>
      <c r="H5829" s="128">
        <v>52364.5</v>
      </c>
      <c r="I5829" s="128">
        <v>1089</v>
      </c>
    </row>
    <row r="5830" spans="1:9" ht="13.5">
      <c r="A5830" s="128">
        <v>2008</v>
      </c>
      <c r="B5830" s="128" t="s">
        <v>139</v>
      </c>
      <c r="C5830" s="128" t="s">
        <v>25</v>
      </c>
      <c r="D5830" s="128" t="s">
        <v>79</v>
      </c>
      <c r="E5830" s="128" t="s">
        <v>134</v>
      </c>
      <c r="F5830" s="128">
        <v>450244.71</v>
      </c>
      <c r="G5830" s="128">
        <v>190942.42</v>
      </c>
      <c r="H5830" s="128">
        <v>64413</v>
      </c>
      <c r="I5830" s="128">
        <v>2019</v>
      </c>
    </row>
    <row r="5831" spans="1:9" ht="13.5">
      <c r="A5831" s="128">
        <v>2008</v>
      </c>
      <c r="B5831" s="128" t="s">
        <v>139</v>
      </c>
      <c r="C5831" s="128" t="s">
        <v>25</v>
      </c>
      <c r="D5831" s="128" t="s">
        <v>79</v>
      </c>
      <c r="E5831" s="128" t="s">
        <v>135</v>
      </c>
      <c r="F5831" s="128">
        <v>1516050.66</v>
      </c>
      <c r="G5831" s="128">
        <v>373278.81</v>
      </c>
      <c r="H5831" s="128">
        <v>125495.55</v>
      </c>
      <c r="I5831" s="128">
        <v>2720</v>
      </c>
    </row>
    <row r="5832" spans="1:9" ht="13.5">
      <c r="A5832" s="128">
        <v>2008</v>
      </c>
      <c r="B5832" s="128" t="s">
        <v>139</v>
      </c>
      <c r="C5832" s="128" t="s">
        <v>25</v>
      </c>
      <c r="D5832" s="128" t="s">
        <v>77</v>
      </c>
      <c r="E5832" s="128" t="s">
        <v>132</v>
      </c>
      <c r="F5832" s="128">
        <v>54596.91</v>
      </c>
      <c r="G5832" s="128">
        <v>36867.370000000003</v>
      </c>
      <c r="H5832" s="128">
        <v>13938.84</v>
      </c>
      <c r="I5832" s="128">
        <v>346</v>
      </c>
    </row>
    <row r="5833" spans="1:9" ht="13.5">
      <c r="A5833" s="128">
        <v>2008</v>
      </c>
      <c r="B5833" s="128" t="s">
        <v>139</v>
      </c>
      <c r="C5833" s="128" t="s">
        <v>25</v>
      </c>
      <c r="D5833" s="128" t="s">
        <v>77</v>
      </c>
      <c r="E5833" s="128" t="s">
        <v>133</v>
      </c>
      <c r="F5833" s="128">
        <v>120210.01</v>
      </c>
      <c r="G5833" s="128">
        <v>65535.6</v>
      </c>
      <c r="H5833" s="128">
        <v>49121</v>
      </c>
      <c r="I5833" s="128">
        <v>387</v>
      </c>
    </row>
    <row r="5834" spans="1:9" ht="13.5">
      <c r="A5834" s="128">
        <v>2008</v>
      </c>
      <c r="B5834" s="128" t="s">
        <v>139</v>
      </c>
      <c r="C5834" s="128" t="s">
        <v>25</v>
      </c>
      <c r="D5834" s="128" t="s">
        <v>77</v>
      </c>
      <c r="E5834" s="128" t="s">
        <v>134</v>
      </c>
      <c r="F5834" s="128">
        <v>440359.94</v>
      </c>
      <c r="G5834" s="128">
        <v>191201.54</v>
      </c>
      <c r="H5834" s="128">
        <v>191679.1</v>
      </c>
      <c r="I5834" s="128">
        <v>1304</v>
      </c>
    </row>
    <row r="5835" spans="1:9" ht="13.5">
      <c r="A5835" s="128">
        <v>2008</v>
      </c>
      <c r="B5835" s="128" t="s">
        <v>139</v>
      </c>
      <c r="C5835" s="128" t="s">
        <v>25</v>
      </c>
      <c r="D5835" s="128" t="s">
        <v>77</v>
      </c>
      <c r="E5835" s="128" t="s">
        <v>135</v>
      </c>
      <c r="F5835" s="128">
        <v>668770.91</v>
      </c>
      <c r="G5835" s="128">
        <v>196839.3</v>
      </c>
      <c r="H5835" s="128">
        <v>240668.57</v>
      </c>
      <c r="I5835" s="128">
        <v>2165</v>
      </c>
    </row>
    <row r="5836" spans="1:9" ht="13.5">
      <c r="A5836" s="128">
        <v>2008</v>
      </c>
      <c r="B5836" s="128" t="s">
        <v>139</v>
      </c>
      <c r="C5836" s="128" t="s">
        <v>25</v>
      </c>
      <c r="D5836" s="128" t="s">
        <v>76</v>
      </c>
      <c r="E5836" s="128" t="s">
        <v>136</v>
      </c>
      <c r="F5836" s="128">
        <v>270263.84999999998</v>
      </c>
      <c r="G5836" s="128">
        <v>204753.41</v>
      </c>
      <c r="H5836" s="128">
        <v>65510.44</v>
      </c>
      <c r="I5836" s="128">
        <v>5432</v>
      </c>
    </row>
    <row r="5837" spans="1:9" ht="13.5">
      <c r="A5837" s="128">
        <v>2008</v>
      </c>
      <c r="B5837" s="128" t="s">
        <v>139</v>
      </c>
      <c r="C5837" s="128" t="s">
        <v>25</v>
      </c>
      <c r="D5837" s="128" t="s">
        <v>76</v>
      </c>
      <c r="E5837" s="128" t="s">
        <v>132</v>
      </c>
      <c r="F5837" s="128">
        <v>2430479.96</v>
      </c>
      <c r="G5837" s="128">
        <v>1573841.3</v>
      </c>
      <c r="H5837" s="128">
        <v>856636.63</v>
      </c>
      <c r="I5837" s="128">
        <v>30790</v>
      </c>
    </row>
    <row r="5838" spans="1:9" ht="13.5">
      <c r="A5838" s="128">
        <v>2008</v>
      </c>
      <c r="B5838" s="128" t="s">
        <v>139</v>
      </c>
      <c r="C5838" s="128" t="s">
        <v>25</v>
      </c>
      <c r="D5838" s="128" t="s">
        <v>76</v>
      </c>
      <c r="E5838" s="128" t="s">
        <v>133</v>
      </c>
      <c r="F5838" s="128">
        <v>4303926.4800000004</v>
      </c>
      <c r="G5838" s="128">
        <v>2347131</v>
      </c>
      <c r="H5838" s="128">
        <v>1956793.83</v>
      </c>
      <c r="I5838" s="128">
        <v>13230</v>
      </c>
    </row>
    <row r="5839" spans="1:9" ht="13.5">
      <c r="A5839" s="128">
        <v>2008</v>
      </c>
      <c r="B5839" s="128" t="s">
        <v>139</v>
      </c>
      <c r="C5839" s="128" t="s">
        <v>25</v>
      </c>
      <c r="D5839" s="128" t="s">
        <v>76</v>
      </c>
      <c r="E5839" s="128" t="s">
        <v>134</v>
      </c>
      <c r="F5839" s="128">
        <v>3577526.92</v>
      </c>
      <c r="G5839" s="128">
        <v>1654761</v>
      </c>
      <c r="H5839" s="128">
        <v>1922765.83</v>
      </c>
      <c r="I5839" s="128">
        <v>23630</v>
      </c>
    </row>
    <row r="5840" spans="1:9" ht="13.5">
      <c r="A5840" s="128">
        <v>2008</v>
      </c>
      <c r="B5840" s="128" t="s">
        <v>139</v>
      </c>
      <c r="C5840" s="128" t="s">
        <v>25</v>
      </c>
      <c r="D5840" s="128" t="s">
        <v>76</v>
      </c>
      <c r="E5840" s="128" t="s">
        <v>135</v>
      </c>
      <c r="F5840" s="128">
        <v>354181.36</v>
      </c>
      <c r="G5840" s="128">
        <v>98973.91</v>
      </c>
      <c r="H5840" s="128">
        <v>255207.45</v>
      </c>
      <c r="I5840" s="128">
        <v>297</v>
      </c>
    </row>
    <row r="5841" spans="1:9" ht="13.5">
      <c r="A5841" s="128">
        <v>2008</v>
      </c>
      <c r="B5841" s="128" t="s">
        <v>139</v>
      </c>
      <c r="C5841" s="128" t="s">
        <v>27</v>
      </c>
      <c r="D5841" s="128" t="s">
        <v>79</v>
      </c>
      <c r="E5841" s="128" t="s">
        <v>136</v>
      </c>
      <c r="F5841" s="128">
        <v>264276.08</v>
      </c>
      <c r="G5841" s="128">
        <v>198521.3</v>
      </c>
      <c r="H5841" s="128">
        <v>65754.78</v>
      </c>
      <c r="I5841" s="128">
        <v>2509</v>
      </c>
    </row>
    <row r="5842" spans="1:9" ht="13.5">
      <c r="A5842" s="128">
        <v>2008</v>
      </c>
      <c r="B5842" s="128" t="s">
        <v>139</v>
      </c>
      <c r="C5842" s="128" t="s">
        <v>27</v>
      </c>
      <c r="D5842" s="128" t="s">
        <v>79</v>
      </c>
      <c r="E5842" s="128" t="s">
        <v>132</v>
      </c>
      <c r="F5842" s="128">
        <v>45165.22</v>
      </c>
      <c r="G5842" s="128">
        <v>30055.61</v>
      </c>
      <c r="H5842" s="128">
        <v>10009.040000000001</v>
      </c>
      <c r="I5842" s="128">
        <v>246</v>
      </c>
    </row>
    <row r="5843" spans="1:9" ht="13.5">
      <c r="A5843" s="128">
        <v>2008</v>
      </c>
      <c r="B5843" s="128" t="s">
        <v>139</v>
      </c>
      <c r="C5843" s="128" t="s">
        <v>27</v>
      </c>
      <c r="D5843" s="128" t="s">
        <v>79</v>
      </c>
      <c r="E5843" s="128" t="s">
        <v>133</v>
      </c>
      <c r="F5843" s="128">
        <v>67045.179999999993</v>
      </c>
      <c r="G5843" s="128">
        <v>35946.83</v>
      </c>
      <c r="H5843" s="128">
        <v>12138.97</v>
      </c>
      <c r="I5843" s="128">
        <v>337</v>
      </c>
    </row>
    <row r="5844" spans="1:9" ht="13.5">
      <c r="A5844" s="128">
        <v>2008</v>
      </c>
      <c r="B5844" s="128" t="s">
        <v>139</v>
      </c>
      <c r="C5844" s="128" t="s">
        <v>27</v>
      </c>
      <c r="D5844" s="128" t="s">
        <v>79</v>
      </c>
      <c r="E5844" s="128" t="s">
        <v>134</v>
      </c>
      <c r="F5844" s="128">
        <v>156827.68</v>
      </c>
      <c r="G5844" s="128">
        <v>65119.45</v>
      </c>
      <c r="H5844" s="128">
        <v>21935.599999999999</v>
      </c>
      <c r="I5844" s="128">
        <v>1076</v>
      </c>
    </row>
    <row r="5845" spans="1:9" ht="13.5">
      <c r="A5845" s="128">
        <v>2008</v>
      </c>
      <c r="B5845" s="128" t="s">
        <v>139</v>
      </c>
      <c r="C5845" s="128" t="s">
        <v>27</v>
      </c>
      <c r="D5845" s="128" t="s">
        <v>79</v>
      </c>
      <c r="E5845" s="128" t="s">
        <v>135</v>
      </c>
      <c r="F5845" s="128">
        <v>645337.35</v>
      </c>
      <c r="G5845" s="128">
        <v>174732.19</v>
      </c>
      <c r="H5845" s="128">
        <v>58322.25</v>
      </c>
      <c r="I5845" s="128">
        <v>1430</v>
      </c>
    </row>
    <row r="5846" spans="1:9" ht="13.5">
      <c r="A5846" s="128">
        <v>2008</v>
      </c>
      <c r="B5846" s="128" t="s">
        <v>139</v>
      </c>
      <c r="C5846" s="128" t="s">
        <v>27</v>
      </c>
      <c r="D5846" s="128" t="s">
        <v>77</v>
      </c>
      <c r="E5846" s="128" t="s">
        <v>132</v>
      </c>
      <c r="F5846" s="128">
        <v>10501.5</v>
      </c>
      <c r="G5846" s="128">
        <v>6962.5</v>
      </c>
      <c r="H5846" s="128">
        <v>3148.3</v>
      </c>
      <c r="I5846" s="128">
        <v>49</v>
      </c>
    </row>
    <row r="5847" spans="1:9" ht="13.5">
      <c r="A5847" s="128">
        <v>2008</v>
      </c>
      <c r="B5847" s="128" t="s">
        <v>139</v>
      </c>
      <c r="C5847" s="128" t="s">
        <v>27</v>
      </c>
      <c r="D5847" s="128" t="s">
        <v>77</v>
      </c>
      <c r="E5847" s="128" t="s">
        <v>133</v>
      </c>
      <c r="F5847" s="128">
        <v>59764.98</v>
      </c>
      <c r="G5847" s="128">
        <v>31572.6</v>
      </c>
      <c r="H5847" s="128">
        <v>24124.53</v>
      </c>
      <c r="I5847" s="128">
        <v>200</v>
      </c>
    </row>
    <row r="5848" spans="1:9" ht="13.5">
      <c r="A5848" s="128">
        <v>2008</v>
      </c>
      <c r="B5848" s="128" t="s">
        <v>139</v>
      </c>
      <c r="C5848" s="128" t="s">
        <v>27</v>
      </c>
      <c r="D5848" s="128" t="s">
        <v>77</v>
      </c>
      <c r="E5848" s="128" t="s">
        <v>134</v>
      </c>
      <c r="F5848" s="128">
        <v>124525.27</v>
      </c>
      <c r="G5848" s="128">
        <v>54415.75</v>
      </c>
      <c r="H5848" s="128">
        <v>52402.400000000001</v>
      </c>
      <c r="I5848" s="128">
        <v>286</v>
      </c>
    </row>
    <row r="5849" spans="1:9" ht="13.5">
      <c r="A5849" s="128">
        <v>2008</v>
      </c>
      <c r="B5849" s="128" t="s">
        <v>139</v>
      </c>
      <c r="C5849" s="128" t="s">
        <v>27</v>
      </c>
      <c r="D5849" s="128" t="s">
        <v>77</v>
      </c>
      <c r="E5849" s="128" t="s">
        <v>135</v>
      </c>
      <c r="F5849" s="128">
        <v>231957.49</v>
      </c>
      <c r="G5849" s="128">
        <v>60830.25</v>
      </c>
      <c r="H5849" s="128">
        <v>67792.08</v>
      </c>
      <c r="I5849" s="128">
        <v>561</v>
      </c>
    </row>
    <row r="5850" spans="1:9" ht="13.5">
      <c r="A5850" s="128">
        <v>2008</v>
      </c>
      <c r="B5850" s="128" t="s">
        <v>139</v>
      </c>
      <c r="C5850" s="128" t="s">
        <v>27</v>
      </c>
      <c r="D5850" s="128" t="s">
        <v>76</v>
      </c>
      <c r="E5850" s="128" t="s">
        <v>136</v>
      </c>
      <c r="F5850" s="128">
        <v>62479.360000000001</v>
      </c>
      <c r="G5850" s="128">
        <v>47473.5</v>
      </c>
      <c r="H5850" s="128">
        <v>15005.86</v>
      </c>
      <c r="I5850" s="128">
        <v>800</v>
      </c>
    </row>
    <row r="5851" spans="1:9" ht="13.5">
      <c r="A5851" s="128">
        <v>2008</v>
      </c>
      <c r="B5851" s="128" t="s">
        <v>139</v>
      </c>
      <c r="C5851" s="128" t="s">
        <v>27</v>
      </c>
      <c r="D5851" s="128" t="s">
        <v>76</v>
      </c>
      <c r="E5851" s="128" t="s">
        <v>132</v>
      </c>
      <c r="F5851" s="128">
        <v>353986.66</v>
      </c>
      <c r="G5851" s="128">
        <v>226133.7</v>
      </c>
      <c r="H5851" s="128">
        <v>127850.81</v>
      </c>
      <c r="I5851" s="128">
        <v>4887</v>
      </c>
    </row>
    <row r="5852" spans="1:9" ht="13.5">
      <c r="A5852" s="128">
        <v>2008</v>
      </c>
      <c r="B5852" s="128" t="s">
        <v>139</v>
      </c>
      <c r="C5852" s="128" t="s">
        <v>27</v>
      </c>
      <c r="D5852" s="128" t="s">
        <v>76</v>
      </c>
      <c r="E5852" s="128" t="s">
        <v>133</v>
      </c>
      <c r="F5852" s="128">
        <v>778081.06</v>
      </c>
      <c r="G5852" s="128">
        <v>421180.85</v>
      </c>
      <c r="H5852" s="128">
        <v>356899.96</v>
      </c>
      <c r="I5852" s="128">
        <v>2520</v>
      </c>
    </row>
    <row r="5853" spans="1:9" ht="13.5">
      <c r="A5853" s="128">
        <v>2008</v>
      </c>
      <c r="B5853" s="128" t="s">
        <v>139</v>
      </c>
      <c r="C5853" s="128" t="s">
        <v>27</v>
      </c>
      <c r="D5853" s="128" t="s">
        <v>76</v>
      </c>
      <c r="E5853" s="128" t="s">
        <v>134</v>
      </c>
      <c r="F5853" s="128">
        <v>626759.68999999994</v>
      </c>
      <c r="G5853" s="128">
        <v>288104.25</v>
      </c>
      <c r="H5853" s="128">
        <v>338655.39</v>
      </c>
      <c r="I5853" s="128">
        <v>3852</v>
      </c>
    </row>
    <row r="5854" spans="1:9" ht="13.5">
      <c r="A5854" s="128">
        <v>2008</v>
      </c>
      <c r="B5854" s="128" t="s">
        <v>139</v>
      </c>
      <c r="C5854" s="128" t="s">
        <v>27</v>
      </c>
      <c r="D5854" s="128" t="s">
        <v>76</v>
      </c>
      <c r="E5854" s="128" t="s">
        <v>135</v>
      </c>
      <c r="F5854" s="128">
        <v>57179.6</v>
      </c>
      <c r="G5854" s="128">
        <v>16268.4</v>
      </c>
      <c r="H5854" s="128">
        <v>40911.199999999997</v>
      </c>
      <c r="I5854" s="128">
        <v>54</v>
      </c>
    </row>
    <row r="5855" spans="1:9" ht="13.5">
      <c r="A5855" s="128">
        <v>2008</v>
      </c>
      <c r="B5855" s="128" t="s">
        <v>137</v>
      </c>
      <c r="C5855" s="128" t="s">
        <v>20</v>
      </c>
      <c r="D5855" s="128" t="s">
        <v>79</v>
      </c>
      <c r="E5855" s="128" t="s">
        <v>136</v>
      </c>
      <c r="F5855" s="128">
        <v>27246389.309999999</v>
      </c>
      <c r="G5855" s="128">
        <v>20627070.82</v>
      </c>
      <c r="H5855" s="128">
        <v>6617809.8600000003</v>
      </c>
      <c r="I5855" s="128">
        <v>447685</v>
      </c>
    </row>
    <row r="5856" spans="1:9" ht="13.5">
      <c r="A5856" s="128">
        <v>2008</v>
      </c>
      <c r="B5856" s="128" t="s">
        <v>137</v>
      </c>
      <c r="C5856" s="128" t="s">
        <v>20</v>
      </c>
      <c r="D5856" s="128" t="s">
        <v>79</v>
      </c>
      <c r="E5856" s="128" t="s">
        <v>132</v>
      </c>
      <c r="F5856" s="128">
        <v>3606353.1</v>
      </c>
      <c r="G5856" s="128">
        <v>2415873.2599999998</v>
      </c>
      <c r="H5856" s="128">
        <v>839700.97</v>
      </c>
      <c r="I5856" s="128">
        <v>20457</v>
      </c>
    </row>
    <row r="5857" spans="1:9" ht="13.5">
      <c r="A5857" s="128">
        <v>2008</v>
      </c>
      <c r="B5857" s="128" t="s">
        <v>137</v>
      </c>
      <c r="C5857" s="128" t="s">
        <v>20</v>
      </c>
      <c r="D5857" s="128" t="s">
        <v>79</v>
      </c>
      <c r="E5857" s="128" t="s">
        <v>133</v>
      </c>
      <c r="F5857" s="128">
        <v>5459794.9800000004</v>
      </c>
      <c r="G5857" s="128">
        <v>2958351.03</v>
      </c>
      <c r="H5857" s="128">
        <v>1149614.8700000001</v>
      </c>
      <c r="I5857" s="128">
        <v>51786</v>
      </c>
    </row>
    <row r="5858" spans="1:9" ht="13.5">
      <c r="A5858" s="128">
        <v>2008</v>
      </c>
      <c r="B5858" s="128" t="s">
        <v>137</v>
      </c>
      <c r="C5858" s="128" t="s">
        <v>20</v>
      </c>
      <c r="D5858" s="128" t="s">
        <v>79</v>
      </c>
      <c r="E5858" s="128" t="s">
        <v>134</v>
      </c>
      <c r="F5858" s="128">
        <v>16651580.83</v>
      </c>
      <c r="G5858" s="128">
        <v>7052953.1500000004</v>
      </c>
      <c r="H5858" s="128">
        <v>2777914.87</v>
      </c>
      <c r="I5858" s="128">
        <v>70412</v>
      </c>
    </row>
    <row r="5859" spans="1:9" ht="13.5">
      <c r="A5859" s="128">
        <v>2008</v>
      </c>
      <c r="B5859" s="128" t="s">
        <v>137</v>
      </c>
      <c r="C5859" s="128" t="s">
        <v>20</v>
      </c>
      <c r="D5859" s="128" t="s">
        <v>79</v>
      </c>
      <c r="E5859" s="128" t="s">
        <v>135</v>
      </c>
      <c r="F5859" s="128">
        <v>83608139.430000007</v>
      </c>
      <c r="G5859" s="128">
        <v>21594996.289999999</v>
      </c>
      <c r="H5859" s="128">
        <v>7372992.6399999997</v>
      </c>
      <c r="I5859" s="128">
        <v>156582</v>
      </c>
    </row>
    <row r="5860" spans="1:9" ht="13.5">
      <c r="A5860" s="128">
        <v>2008</v>
      </c>
      <c r="B5860" s="128" t="s">
        <v>137</v>
      </c>
      <c r="C5860" s="128" t="s">
        <v>20</v>
      </c>
      <c r="D5860" s="128" t="s">
        <v>77</v>
      </c>
      <c r="E5860" s="128" t="s">
        <v>132</v>
      </c>
      <c r="F5860" s="128">
        <v>1045892.3</v>
      </c>
      <c r="G5860" s="128">
        <v>694950.01</v>
      </c>
      <c r="H5860" s="128">
        <v>318397.46999999997</v>
      </c>
      <c r="I5860" s="128">
        <v>7109</v>
      </c>
    </row>
    <row r="5861" spans="1:9" ht="13.5">
      <c r="A5861" s="128">
        <v>2008</v>
      </c>
      <c r="B5861" s="128" t="s">
        <v>137</v>
      </c>
      <c r="C5861" s="128" t="s">
        <v>20</v>
      </c>
      <c r="D5861" s="128" t="s">
        <v>77</v>
      </c>
      <c r="E5861" s="128" t="s">
        <v>133</v>
      </c>
      <c r="F5861" s="128">
        <v>2027957.63</v>
      </c>
      <c r="G5861" s="128">
        <v>1100524.72</v>
      </c>
      <c r="H5861" s="128">
        <v>814995.29</v>
      </c>
      <c r="I5861" s="128">
        <v>6375</v>
      </c>
    </row>
    <row r="5862" spans="1:9" ht="13.5">
      <c r="A5862" s="128">
        <v>2008</v>
      </c>
      <c r="B5862" s="128" t="s">
        <v>137</v>
      </c>
      <c r="C5862" s="128" t="s">
        <v>20</v>
      </c>
      <c r="D5862" s="128" t="s">
        <v>77</v>
      </c>
      <c r="E5862" s="128" t="s">
        <v>134</v>
      </c>
      <c r="F5862" s="128">
        <v>4773026.84</v>
      </c>
      <c r="G5862" s="128">
        <v>2084657.39</v>
      </c>
      <c r="H5862" s="128">
        <v>2038235.94</v>
      </c>
      <c r="I5862" s="128">
        <v>17477</v>
      </c>
    </row>
    <row r="5863" spans="1:9" ht="13.5">
      <c r="A5863" s="128">
        <v>2008</v>
      </c>
      <c r="B5863" s="128" t="s">
        <v>137</v>
      </c>
      <c r="C5863" s="128" t="s">
        <v>20</v>
      </c>
      <c r="D5863" s="128" t="s">
        <v>77</v>
      </c>
      <c r="E5863" s="128" t="s">
        <v>135</v>
      </c>
      <c r="F5863" s="128">
        <v>7246781.3099999996</v>
      </c>
      <c r="G5863" s="128">
        <v>1801204.9</v>
      </c>
      <c r="H5863" s="128">
        <v>2039782.46</v>
      </c>
      <c r="I5863" s="128">
        <v>18726</v>
      </c>
    </row>
    <row r="5864" spans="1:9" ht="13.5">
      <c r="A5864" s="128">
        <v>2008</v>
      </c>
      <c r="B5864" s="128" t="s">
        <v>137</v>
      </c>
      <c r="C5864" s="128" t="s">
        <v>20</v>
      </c>
      <c r="D5864" s="128" t="s">
        <v>76</v>
      </c>
      <c r="E5864" s="128" t="s">
        <v>136</v>
      </c>
      <c r="F5864" s="128">
        <v>7501359.8799999999</v>
      </c>
      <c r="G5864" s="128">
        <v>5680274.7000000002</v>
      </c>
      <c r="H5864" s="128">
        <v>1821263.07</v>
      </c>
      <c r="I5864" s="128">
        <v>219319</v>
      </c>
    </row>
    <row r="5865" spans="1:9" ht="13.5">
      <c r="A5865" s="128">
        <v>2008</v>
      </c>
      <c r="B5865" s="128" t="s">
        <v>137</v>
      </c>
      <c r="C5865" s="128" t="s">
        <v>20</v>
      </c>
      <c r="D5865" s="128" t="s">
        <v>76</v>
      </c>
      <c r="E5865" s="128" t="s">
        <v>132</v>
      </c>
      <c r="F5865" s="128">
        <v>32160758</v>
      </c>
      <c r="G5865" s="128">
        <v>20647260.140000001</v>
      </c>
      <c r="H5865" s="128">
        <v>11513417.68</v>
      </c>
      <c r="I5865" s="128">
        <v>415883</v>
      </c>
    </row>
    <row r="5866" spans="1:9" ht="13.5">
      <c r="A5866" s="128">
        <v>2008</v>
      </c>
      <c r="B5866" s="128" t="s">
        <v>137</v>
      </c>
      <c r="C5866" s="128" t="s">
        <v>20</v>
      </c>
      <c r="D5866" s="128" t="s">
        <v>76</v>
      </c>
      <c r="E5866" s="128" t="s">
        <v>133</v>
      </c>
      <c r="F5866" s="128">
        <v>61407494.5</v>
      </c>
      <c r="G5866" s="128">
        <v>33645921.380000003</v>
      </c>
      <c r="H5866" s="128">
        <v>27761225.780000001</v>
      </c>
      <c r="I5866" s="128">
        <v>252126</v>
      </c>
    </row>
    <row r="5867" spans="1:9" ht="13.5">
      <c r="A5867" s="128">
        <v>2008</v>
      </c>
      <c r="B5867" s="128" t="s">
        <v>137</v>
      </c>
      <c r="C5867" s="128" t="s">
        <v>20</v>
      </c>
      <c r="D5867" s="128" t="s">
        <v>76</v>
      </c>
      <c r="E5867" s="128" t="s">
        <v>134</v>
      </c>
      <c r="F5867" s="128">
        <v>50684570.07</v>
      </c>
      <c r="G5867" s="128">
        <v>23508425.170000002</v>
      </c>
      <c r="H5867" s="128">
        <v>27175952.32</v>
      </c>
      <c r="I5867" s="128">
        <v>330234</v>
      </c>
    </row>
    <row r="5868" spans="1:9" ht="13.5">
      <c r="A5868" s="128">
        <v>2008</v>
      </c>
      <c r="B5868" s="128" t="s">
        <v>137</v>
      </c>
      <c r="C5868" s="128" t="s">
        <v>20</v>
      </c>
      <c r="D5868" s="128" t="s">
        <v>76</v>
      </c>
      <c r="E5868" s="128" t="s">
        <v>135</v>
      </c>
      <c r="F5868" s="128">
        <v>4466975.13</v>
      </c>
      <c r="G5868" s="128">
        <v>1276258.82</v>
      </c>
      <c r="H5868" s="128">
        <v>3190715.08</v>
      </c>
      <c r="I5868" s="128">
        <v>4869</v>
      </c>
    </row>
    <row r="5869" spans="1:9" ht="13.5">
      <c r="A5869" s="128">
        <v>2008</v>
      </c>
      <c r="B5869" s="128" t="s">
        <v>137</v>
      </c>
      <c r="C5869" s="128" t="s">
        <v>21</v>
      </c>
      <c r="D5869" s="128" t="s">
        <v>79</v>
      </c>
      <c r="E5869" s="128" t="s">
        <v>136</v>
      </c>
      <c r="F5869" s="128">
        <v>19558770.969999999</v>
      </c>
      <c r="G5869" s="128">
        <v>14712106.6</v>
      </c>
      <c r="H5869" s="128">
        <v>4846648.3499999996</v>
      </c>
      <c r="I5869" s="128">
        <v>179455</v>
      </c>
    </row>
    <row r="5870" spans="1:9" ht="13.5">
      <c r="A5870" s="128">
        <v>2008</v>
      </c>
      <c r="B5870" s="128" t="s">
        <v>137</v>
      </c>
      <c r="C5870" s="128" t="s">
        <v>21</v>
      </c>
      <c r="D5870" s="128" t="s">
        <v>79</v>
      </c>
      <c r="E5870" s="128" t="s">
        <v>132</v>
      </c>
      <c r="F5870" s="128">
        <v>2809207.88</v>
      </c>
      <c r="G5870" s="128">
        <v>1864912</v>
      </c>
      <c r="H5870" s="128">
        <v>688795.28</v>
      </c>
      <c r="I5870" s="128">
        <v>21148</v>
      </c>
    </row>
    <row r="5871" spans="1:9" ht="13.5">
      <c r="A5871" s="128">
        <v>2008</v>
      </c>
      <c r="B5871" s="128" t="s">
        <v>137</v>
      </c>
      <c r="C5871" s="128" t="s">
        <v>21</v>
      </c>
      <c r="D5871" s="128" t="s">
        <v>79</v>
      </c>
      <c r="E5871" s="128" t="s">
        <v>133</v>
      </c>
      <c r="F5871" s="128">
        <v>3488737.55</v>
      </c>
      <c r="G5871" s="128">
        <v>1909575.64</v>
      </c>
      <c r="H5871" s="128">
        <v>886729.33</v>
      </c>
      <c r="I5871" s="128">
        <v>25002</v>
      </c>
    </row>
    <row r="5872" spans="1:9" ht="13.5">
      <c r="A5872" s="128">
        <v>2008</v>
      </c>
      <c r="B5872" s="128" t="s">
        <v>137</v>
      </c>
      <c r="C5872" s="128" t="s">
        <v>21</v>
      </c>
      <c r="D5872" s="128" t="s">
        <v>79</v>
      </c>
      <c r="E5872" s="128" t="s">
        <v>134</v>
      </c>
      <c r="F5872" s="128">
        <v>7987290.5999999996</v>
      </c>
      <c r="G5872" s="128">
        <v>3405896.96</v>
      </c>
      <c r="H5872" s="128">
        <v>1679599.68</v>
      </c>
      <c r="I5872" s="128">
        <v>57026</v>
      </c>
    </row>
    <row r="5873" spans="1:9" ht="13.5">
      <c r="A5873" s="128">
        <v>2008</v>
      </c>
      <c r="B5873" s="128" t="s">
        <v>137</v>
      </c>
      <c r="C5873" s="128" t="s">
        <v>21</v>
      </c>
      <c r="D5873" s="128" t="s">
        <v>79</v>
      </c>
      <c r="E5873" s="128" t="s">
        <v>135</v>
      </c>
      <c r="F5873" s="128">
        <v>16313366.74</v>
      </c>
      <c r="G5873" s="128">
        <v>4245992.9000000004</v>
      </c>
      <c r="H5873" s="128">
        <v>1456675.24</v>
      </c>
      <c r="I5873" s="128">
        <v>37980</v>
      </c>
    </row>
    <row r="5874" spans="1:9" ht="13.5">
      <c r="A5874" s="128">
        <v>2008</v>
      </c>
      <c r="B5874" s="128" t="s">
        <v>137</v>
      </c>
      <c r="C5874" s="128" t="s">
        <v>21</v>
      </c>
      <c r="D5874" s="128" t="s">
        <v>77</v>
      </c>
      <c r="E5874" s="128" t="s">
        <v>132</v>
      </c>
      <c r="F5874" s="128">
        <v>1731458</v>
      </c>
      <c r="G5874" s="128">
        <v>1141972.06</v>
      </c>
      <c r="H5874" s="128">
        <v>493769.5</v>
      </c>
      <c r="I5874" s="128">
        <v>10958</v>
      </c>
    </row>
    <row r="5875" spans="1:9" ht="13.5">
      <c r="A5875" s="128">
        <v>2008</v>
      </c>
      <c r="B5875" s="128" t="s">
        <v>137</v>
      </c>
      <c r="C5875" s="128" t="s">
        <v>21</v>
      </c>
      <c r="D5875" s="128" t="s">
        <v>77</v>
      </c>
      <c r="E5875" s="128" t="s">
        <v>133</v>
      </c>
      <c r="F5875" s="128">
        <v>3585537.57</v>
      </c>
      <c r="G5875" s="128">
        <v>1952589.32</v>
      </c>
      <c r="H5875" s="128">
        <v>1298825.6299999999</v>
      </c>
      <c r="I5875" s="128">
        <v>14815</v>
      </c>
    </row>
    <row r="5876" spans="1:9" ht="13.5">
      <c r="A5876" s="128">
        <v>2008</v>
      </c>
      <c r="B5876" s="128" t="s">
        <v>137</v>
      </c>
      <c r="C5876" s="128" t="s">
        <v>21</v>
      </c>
      <c r="D5876" s="128" t="s">
        <v>77</v>
      </c>
      <c r="E5876" s="128" t="s">
        <v>134</v>
      </c>
      <c r="F5876" s="128">
        <v>7323496.0599999996</v>
      </c>
      <c r="G5876" s="128">
        <v>3123856.07</v>
      </c>
      <c r="H5876" s="128">
        <v>2714390.77</v>
      </c>
      <c r="I5876" s="128">
        <v>26070</v>
      </c>
    </row>
    <row r="5877" spans="1:9" ht="13.5">
      <c r="A5877" s="128">
        <v>2008</v>
      </c>
      <c r="B5877" s="128" t="s">
        <v>137</v>
      </c>
      <c r="C5877" s="128" t="s">
        <v>21</v>
      </c>
      <c r="D5877" s="128" t="s">
        <v>77</v>
      </c>
      <c r="E5877" s="128" t="s">
        <v>135</v>
      </c>
      <c r="F5877" s="128">
        <v>10195253.699999999</v>
      </c>
      <c r="G5877" s="128">
        <v>2683532.5499999998</v>
      </c>
      <c r="H5877" s="128">
        <v>2693964.3</v>
      </c>
      <c r="I5877" s="128">
        <v>26204</v>
      </c>
    </row>
    <row r="5878" spans="1:9" ht="13.5">
      <c r="A5878" s="128">
        <v>2008</v>
      </c>
      <c r="B5878" s="128" t="s">
        <v>137</v>
      </c>
      <c r="C5878" s="128" t="s">
        <v>21</v>
      </c>
      <c r="D5878" s="128" t="s">
        <v>76</v>
      </c>
      <c r="E5878" s="128" t="s">
        <v>136</v>
      </c>
      <c r="F5878" s="128">
        <v>7926950.1399999997</v>
      </c>
      <c r="G5878" s="128">
        <v>5980732.8799999999</v>
      </c>
      <c r="H5878" s="128">
        <v>1946554.74</v>
      </c>
      <c r="I5878" s="128">
        <v>170084</v>
      </c>
    </row>
    <row r="5879" spans="1:9" ht="13.5">
      <c r="A5879" s="128">
        <v>2008</v>
      </c>
      <c r="B5879" s="128" t="s">
        <v>137</v>
      </c>
      <c r="C5879" s="128" t="s">
        <v>21</v>
      </c>
      <c r="D5879" s="128" t="s">
        <v>76</v>
      </c>
      <c r="E5879" s="128" t="s">
        <v>132</v>
      </c>
      <c r="F5879" s="128">
        <v>31725917.399999999</v>
      </c>
      <c r="G5879" s="128">
        <v>20499608.149999999</v>
      </c>
      <c r="H5879" s="128">
        <v>11226225.73</v>
      </c>
      <c r="I5879" s="128">
        <v>393530</v>
      </c>
    </row>
    <row r="5880" spans="1:9" ht="13.5">
      <c r="A5880" s="128">
        <v>2008</v>
      </c>
      <c r="B5880" s="128" t="s">
        <v>137</v>
      </c>
      <c r="C5880" s="128" t="s">
        <v>21</v>
      </c>
      <c r="D5880" s="128" t="s">
        <v>76</v>
      </c>
      <c r="E5880" s="128" t="s">
        <v>133</v>
      </c>
      <c r="F5880" s="128">
        <v>69286770.200000003</v>
      </c>
      <c r="G5880" s="128">
        <v>38029397.450000003</v>
      </c>
      <c r="H5880" s="128">
        <v>31257296.84</v>
      </c>
      <c r="I5880" s="128">
        <v>396300</v>
      </c>
    </row>
    <row r="5881" spans="1:9" ht="13.5">
      <c r="A5881" s="128">
        <v>2008</v>
      </c>
      <c r="B5881" s="128" t="s">
        <v>137</v>
      </c>
      <c r="C5881" s="128" t="s">
        <v>21</v>
      </c>
      <c r="D5881" s="128" t="s">
        <v>76</v>
      </c>
      <c r="E5881" s="128" t="s">
        <v>134</v>
      </c>
      <c r="F5881" s="128">
        <v>51552020.030000001</v>
      </c>
      <c r="G5881" s="128">
        <v>23488276.050000001</v>
      </c>
      <c r="H5881" s="128">
        <v>28063689.809999999</v>
      </c>
      <c r="I5881" s="128">
        <v>321690</v>
      </c>
    </row>
    <row r="5882" spans="1:9" ht="13.5">
      <c r="A5882" s="128">
        <v>2008</v>
      </c>
      <c r="B5882" s="128" t="s">
        <v>137</v>
      </c>
      <c r="C5882" s="128" t="s">
        <v>21</v>
      </c>
      <c r="D5882" s="128" t="s">
        <v>76</v>
      </c>
      <c r="E5882" s="128" t="s">
        <v>135</v>
      </c>
      <c r="F5882" s="128">
        <v>2724826.99</v>
      </c>
      <c r="G5882" s="128">
        <v>758476.6</v>
      </c>
      <c r="H5882" s="128">
        <v>1966350.72</v>
      </c>
      <c r="I5882" s="128">
        <v>2560</v>
      </c>
    </row>
    <row r="5883" spans="1:9" ht="13.5">
      <c r="A5883" s="128">
        <v>2008</v>
      </c>
      <c r="B5883" s="128" t="s">
        <v>137</v>
      </c>
      <c r="C5883" s="128" t="s">
        <v>22</v>
      </c>
      <c r="D5883" s="128" t="s">
        <v>79</v>
      </c>
      <c r="E5883" s="128" t="s">
        <v>136</v>
      </c>
      <c r="F5883" s="128">
        <v>7244958.4299999997</v>
      </c>
      <c r="G5883" s="128">
        <v>5511778.2800000003</v>
      </c>
      <c r="H5883" s="128">
        <v>1729722.2</v>
      </c>
      <c r="I5883" s="128">
        <v>81398</v>
      </c>
    </row>
    <row r="5884" spans="1:9" ht="13.5">
      <c r="A5884" s="128">
        <v>2008</v>
      </c>
      <c r="B5884" s="128" t="s">
        <v>137</v>
      </c>
      <c r="C5884" s="128" t="s">
        <v>22</v>
      </c>
      <c r="D5884" s="128" t="s">
        <v>79</v>
      </c>
      <c r="E5884" s="128" t="s">
        <v>132</v>
      </c>
      <c r="F5884" s="128">
        <v>2091330.52</v>
      </c>
      <c r="G5884" s="128">
        <v>1396578.95</v>
      </c>
      <c r="H5884" s="128">
        <v>465552.75</v>
      </c>
      <c r="I5884" s="128">
        <v>12581</v>
      </c>
    </row>
    <row r="5885" spans="1:9" ht="13.5">
      <c r="A5885" s="128">
        <v>2008</v>
      </c>
      <c r="B5885" s="128" t="s">
        <v>137</v>
      </c>
      <c r="C5885" s="128" t="s">
        <v>22</v>
      </c>
      <c r="D5885" s="128" t="s">
        <v>79</v>
      </c>
      <c r="E5885" s="128" t="s">
        <v>133</v>
      </c>
      <c r="F5885" s="128">
        <v>3926796.63</v>
      </c>
      <c r="G5885" s="128">
        <v>2118301.3199999998</v>
      </c>
      <c r="H5885" s="128">
        <v>755218.09</v>
      </c>
      <c r="I5885" s="128">
        <v>22338</v>
      </c>
    </row>
    <row r="5886" spans="1:9" ht="13.5">
      <c r="A5886" s="128">
        <v>2008</v>
      </c>
      <c r="B5886" s="128" t="s">
        <v>137</v>
      </c>
      <c r="C5886" s="128" t="s">
        <v>22</v>
      </c>
      <c r="D5886" s="128" t="s">
        <v>79</v>
      </c>
      <c r="E5886" s="128" t="s">
        <v>134</v>
      </c>
      <c r="F5886" s="128">
        <v>11126821.529999999</v>
      </c>
      <c r="G5886" s="128">
        <v>4678713.93</v>
      </c>
      <c r="H5886" s="128">
        <v>1736268.58</v>
      </c>
      <c r="I5886" s="128">
        <v>49334</v>
      </c>
    </row>
    <row r="5887" spans="1:9" ht="13.5">
      <c r="A5887" s="128">
        <v>2008</v>
      </c>
      <c r="B5887" s="128" t="s">
        <v>137</v>
      </c>
      <c r="C5887" s="128" t="s">
        <v>22</v>
      </c>
      <c r="D5887" s="128" t="s">
        <v>79</v>
      </c>
      <c r="E5887" s="128" t="s">
        <v>135</v>
      </c>
      <c r="F5887" s="128">
        <v>30824270.489999998</v>
      </c>
      <c r="G5887" s="128">
        <v>8454774.5299999993</v>
      </c>
      <c r="H5887" s="128">
        <v>2858294.89</v>
      </c>
      <c r="I5887" s="128">
        <v>75207</v>
      </c>
    </row>
    <row r="5888" spans="1:9" ht="13.5">
      <c r="A5888" s="128">
        <v>2008</v>
      </c>
      <c r="B5888" s="128" t="s">
        <v>137</v>
      </c>
      <c r="C5888" s="128" t="s">
        <v>22</v>
      </c>
      <c r="D5888" s="128" t="s">
        <v>77</v>
      </c>
      <c r="E5888" s="128" t="s">
        <v>132</v>
      </c>
      <c r="F5888" s="128">
        <v>469576.5</v>
      </c>
      <c r="G5888" s="128">
        <v>301122.15999999997</v>
      </c>
      <c r="H5888" s="128">
        <v>129675.34</v>
      </c>
      <c r="I5888" s="128">
        <v>2728</v>
      </c>
    </row>
    <row r="5889" spans="1:9" ht="13.5">
      <c r="A5889" s="128">
        <v>2008</v>
      </c>
      <c r="B5889" s="128" t="s">
        <v>137</v>
      </c>
      <c r="C5889" s="128" t="s">
        <v>22</v>
      </c>
      <c r="D5889" s="128" t="s">
        <v>77</v>
      </c>
      <c r="E5889" s="128" t="s">
        <v>133</v>
      </c>
      <c r="F5889" s="128">
        <v>1233539.98</v>
      </c>
      <c r="G5889" s="128">
        <v>673100.31</v>
      </c>
      <c r="H5889" s="128">
        <v>483307.65</v>
      </c>
      <c r="I5889" s="128">
        <v>3554</v>
      </c>
    </row>
    <row r="5890" spans="1:9" ht="13.5">
      <c r="A5890" s="128">
        <v>2008</v>
      </c>
      <c r="B5890" s="128" t="s">
        <v>137</v>
      </c>
      <c r="C5890" s="128" t="s">
        <v>22</v>
      </c>
      <c r="D5890" s="128" t="s">
        <v>77</v>
      </c>
      <c r="E5890" s="128" t="s">
        <v>134</v>
      </c>
      <c r="F5890" s="128">
        <v>4253377.72</v>
      </c>
      <c r="G5890" s="128">
        <v>1776717.76</v>
      </c>
      <c r="H5890" s="128">
        <v>1665315.95</v>
      </c>
      <c r="I5890" s="128">
        <v>10434</v>
      </c>
    </row>
    <row r="5891" spans="1:9" ht="13.5">
      <c r="A5891" s="128">
        <v>2008</v>
      </c>
      <c r="B5891" s="128" t="s">
        <v>137</v>
      </c>
      <c r="C5891" s="128" t="s">
        <v>22</v>
      </c>
      <c r="D5891" s="128" t="s">
        <v>77</v>
      </c>
      <c r="E5891" s="128" t="s">
        <v>135</v>
      </c>
      <c r="F5891" s="128">
        <v>9237505.9700000007</v>
      </c>
      <c r="G5891" s="128">
        <v>2441285</v>
      </c>
      <c r="H5891" s="128">
        <v>2710479.12</v>
      </c>
      <c r="I5891" s="128">
        <v>26205</v>
      </c>
    </row>
    <row r="5892" spans="1:9" ht="13.5">
      <c r="A5892" s="128">
        <v>2008</v>
      </c>
      <c r="B5892" s="128" t="s">
        <v>137</v>
      </c>
      <c r="C5892" s="128" t="s">
        <v>22</v>
      </c>
      <c r="D5892" s="128" t="s">
        <v>76</v>
      </c>
      <c r="E5892" s="128" t="s">
        <v>136</v>
      </c>
      <c r="F5892" s="128">
        <v>2229137.9700000002</v>
      </c>
      <c r="G5892" s="128">
        <v>1698471.9</v>
      </c>
      <c r="H5892" s="128">
        <v>530711.67000000004</v>
      </c>
      <c r="I5892" s="128">
        <v>48821</v>
      </c>
    </row>
    <row r="5893" spans="1:9" ht="13.5">
      <c r="A5893" s="128">
        <v>2008</v>
      </c>
      <c r="B5893" s="128" t="s">
        <v>137</v>
      </c>
      <c r="C5893" s="128" t="s">
        <v>22</v>
      </c>
      <c r="D5893" s="128" t="s">
        <v>76</v>
      </c>
      <c r="E5893" s="128" t="s">
        <v>132</v>
      </c>
      <c r="F5893" s="128">
        <v>31186239.359999999</v>
      </c>
      <c r="G5893" s="128">
        <v>20012520.23</v>
      </c>
      <c r="H5893" s="128">
        <v>11173648.140000001</v>
      </c>
      <c r="I5893" s="128">
        <v>488093</v>
      </c>
    </row>
    <row r="5894" spans="1:9" ht="13.5">
      <c r="A5894" s="128">
        <v>2008</v>
      </c>
      <c r="B5894" s="128" t="s">
        <v>137</v>
      </c>
      <c r="C5894" s="128" t="s">
        <v>22</v>
      </c>
      <c r="D5894" s="128" t="s">
        <v>76</v>
      </c>
      <c r="E5894" s="128" t="s">
        <v>133</v>
      </c>
      <c r="F5894" s="128">
        <v>46440981.299999997</v>
      </c>
      <c r="G5894" s="128">
        <v>25639707.010000002</v>
      </c>
      <c r="H5894" s="128">
        <v>20801202.52</v>
      </c>
      <c r="I5894" s="128">
        <v>228527</v>
      </c>
    </row>
    <row r="5895" spans="1:9" ht="13.5">
      <c r="A5895" s="128">
        <v>2008</v>
      </c>
      <c r="B5895" s="128" t="s">
        <v>137</v>
      </c>
      <c r="C5895" s="128" t="s">
        <v>22</v>
      </c>
      <c r="D5895" s="128" t="s">
        <v>76</v>
      </c>
      <c r="E5895" s="128" t="s">
        <v>134</v>
      </c>
      <c r="F5895" s="128">
        <v>33127581.140000001</v>
      </c>
      <c r="G5895" s="128">
        <v>15435676.529999999</v>
      </c>
      <c r="H5895" s="128">
        <v>17691849.050000001</v>
      </c>
      <c r="I5895" s="128">
        <v>233425</v>
      </c>
    </row>
    <row r="5896" spans="1:9" ht="13.5">
      <c r="A5896" s="128">
        <v>2008</v>
      </c>
      <c r="B5896" s="128" t="s">
        <v>137</v>
      </c>
      <c r="C5896" s="128" t="s">
        <v>22</v>
      </c>
      <c r="D5896" s="128" t="s">
        <v>76</v>
      </c>
      <c r="E5896" s="128" t="s">
        <v>135</v>
      </c>
      <c r="F5896" s="128">
        <v>4295122.3499999996</v>
      </c>
      <c r="G5896" s="128">
        <v>1173670.31</v>
      </c>
      <c r="H5896" s="128">
        <v>3121451.8</v>
      </c>
      <c r="I5896" s="128">
        <v>4319</v>
      </c>
    </row>
    <row r="5897" spans="1:9" ht="13.5">
      <c r="A5897" s="128">
        <v>2008</v>
      </c>
      <c r="B5897" s="128" t="s">
        <v>137</v>
      </c>
      <c r="C5897" s="128" t="s">
        <v>23</v>
      </c>
      <c r="D5897" s="128" t="s">
        <v>79</v>
      </c>
      <c r="E5897" s="128" t="s">
        <v>136</v>
      </c>
      <c r="F5897" s="128">
        <v>13339707.4</v>
      </c>
      <c r="G5897" s="128">
        <v>10011432.16</v>
      </c>
      <c r="H5897" s="128">
        <v>3327076.76</v>
      </c>
      <c r="I5897" s="128">
        <v>90733</v>
      </c>
    </row>
    <row r="5898" spans="1:9" ht="13.5">
      <c r="A5898" s="128">
        <v>2008</v>
      </c>
      <c r="B5898" s="128" t="s">
        <v>137</v>
      </c>
      <c r="C5898" s="128" t="s">
        <v>23</v>
      </c>
      <c r="D5898" s="128" t="s">
        <v>79</v>
      </c>
      <c r="E5898" s="128" t="s">
        <v>132</v>
      </c>
      <c r="F5898" s="128">
        <v>445444.91</v>
      </c>
      <c r="G5898" s="128">
        <v>294357.44</v>
      </c>
      <c r="H5898" s="128">
        <v>111318.34</v>
      </c>
      <c r="I5898" s="128">
        <v>3433</v>
      </c>
    </row>
    <row r="5899" spans="1:9" ht="13.5">
      <c r="A5899" s="128">
        <v>2008</v>
      </c>
      <c r="B5899" s="128" t="s">
        <v>137</v>
      </c>
      <c r="C5899" s="128" t="s">
        <v>23</v>
      </c>
      <c r="D5899" s="128" t="s">
        <v>79</v>
      </c>
      <c r="E5899" s="128" t="s">
        <v>133</v>
      </c>
      <c r="F5899" s="128">
        <v>588672.5</v>
      </c>
      <c r="G5899" s="128">
        <v>317869.2</v>
      </c>
      <c r="H5899" s="128">
        <v>129717.87</v>
      </c>
      <c r="I5899" s="128">
        <v>3863</v>
      </c>
    </row>
    <row r="5900" spans="1:9" ht="13.5">
      <c r="A5900" s="128">
        <v>2008</v>
      </c>
      <c r="B5900" s="128" t="s">
        <v>137</v>
      </c>
      <c r="C5900" s="128" t="s">
        <v>23</v>
      </c>
      <c r="D5900" s="128" t="s">
        <v>79</v>
      </c>
      <c r="E5900" s="128" t="s">
        <v>134</v>
      </c>
      <c r="F5900" s="128">
        <v>843265.76</v>
      </c>
      <c r="G5900" s="128">
        <v>368712.32</v>
      </c>
      <c r="H5900" s="128">
        <v>244048.03</v>
      </c>
      <c r="I5900" s="128">
        <v>5786</v>
      </c>
    </row>
    <row r="5901" spans="1:9" ht="13.5">
      <c r="A5901" s="128">
        <v>2008</v>
      </c>
      <c r="B5901" s="128" t="s">
        <v>137</v>
      </c>
      <c r="C5901" s="128" t="s">
        <v>23</v>
      </c>
      <c r="D5901" s="128" t="s">
        <v>79</v>
      </c>
      <c r="E5901" s="128" t="s">
        <v>135</v>
      </c>
      <c r="F5901" s="128">
        <v>1439491.44</v>
      </c>
      <c r="G5901" s="128">
        <v>391324.73</v>
      </c>
      <c r="H5901" s="128">
        <v>139791.25</v>
      </c>
      <c r="I5901" s="128">
        <v>3930</v>
      </c>
    </row>
    <row r="5902" spans="1:9" ht="13.5">
      <c r="A5902" s="128">
        <v>2008</v>
      </c>
      <c r="B5902" s="128" t="s">
        <v>137</v>
      </c>
      <c r="C5902" s="128" t="s">
        <v>23</v>
      </c>
      <c r="D5902" s="128" t="s">
        <v>77</v>
      </c>
      <c r="E5902" s="128" t="s">
        <v>132</v>
      </c>
      <c r="F5902" s="128">
        <v>1683038.8</v>
      </c>
      <c r="G5902" s="128">
        <v>1112169.3799999999</v>
      </c>
      <c r="H5902" s="128">
        <v>546135.34</v>
      </c>
      <c r="I5902" s="128">
        <v>13377</v>
      </c>
    </row>
    <row r="5903" spans="1:9" ht="13.5">
      <c r="A5903" s="128">
        <v>2008</v>
      </c>
      <c r="B5903" s="128" t="s">
        <v>137</v>
      </c>
      <c r="C5903" s="128" t="s">
        <v>23</v>
      </c>
      <c r="D5903" s="128" t="s">
        <v>77</v>
      </c>
      <c r="E5903" s="128" t="s">
        <v>133</v>
      </c>
      <c r="F5903" s="128">
        <v>2843582.45</v>
      </c>
      <c r="G5903" s="128">
        <v>1554881.01</v>
      </c>
      <c r="H5903" s="128">
        <v>1174857.1499999999</v>
      </c>
      <c r="I5903" s="128">
        <v>9050</v>
      </c>
    </row>
    <row r="5904" spans="1:9" ht="13.5">
      <c r="A5904" s="128">
        <v>2008</v>
      </c>
      <c r="B5904" s="128" t="s">
        <v>137</v>
      </c>
      <c r="C5904" s="128" t="s">
        <v>23</v>
      </c>
      <c r="D5904" s="128" t="s">
        <v>77</v>
      </c>
      <c r="E5904" s="128" t="s">
        <v>134</v>
      </c>
      <c r="F5904" s="128">
        <v>3427121.23</v>
      </c>
      <c r="G5904" s="128">
        <v>1561701.41</v>
      </c>
      <c r="H5904" s="128">
        <v>1661575.84</v>
      </c>
      <c r="I5904" s="128">
        <v>15846</v>
      </c>
    </row>
    <row r="5905" spans="1:9" ht="13.5">
      <c r="A5905" s="128">
        <v>2008</v>
      </c>
      <c r="B5905" s="128" t="s">
        <v>137</v>
      </c>
      <c r="C5905" s="128" t="s">
        <v>23</v>
      </c>
      <c r="D5905" s="128" t="s">
        <v>77</v>
      </c>
      <c r="E5905" s="128" t="s">
        <v>135</v>
      </c>
      <c r="F5905" s="128">
        <v>1520532.46</v>
      </c>
      <c r="G5905" s="128">
        <v>400060.92</v>
      </c>
      <c r="H5905" s="128">
        <v>474869.03</v>
      </c>
      <c r="I5905" s="128">
        <v>3269</v>
      </c>
    </row>
    <row r="5906" spans="1:9" ht="13.5">
      <c r="A5906" s="128">
        <v>2008</v>
      </c>
      <c r="B5906" s="128" t="s">
        <v>137</v>
      </c>
      <c r="C5906" s="128" t="s">
        <v>23</v>
      </c>
      <c r="D5906" s="128" t="s">
        <v>76</v>
      </c>
      <c r="E5906" s="128" t="s">
        <v>136</v>
      </c>
      <c r="F5906" s="128">
        <v>2277018.84</v>
      </c>
      <c r="G5906" s="128">
        <v>1713330.45</v>
      </c>
      <c r="H5906" s="128">
        <v>563719.05000000005</v>
      </c>
      <c r="I5906" s="128">
        <v>23025</v>
      </c>
    </row>
    <row r="5907" spans="1:9" ht="13.5">
      <c r="A5907" s="128">
        <v>2008</v>
      </c>
      <c r="B5907" s="128" t="s">
        <v>137</v>
      </c>
      <c r="C5907" s="128" t="s">
        <v>23</v>
      </c>
      <c r="D5907" s="128" t="s">
        <v>76</v>
      </c>
      <c r="E5907" s="128" t="s">
        <v>132</v>
      </c>
      <c r="F5907" s="128">
        <v>8749008.8300000001</v>
      </c>
      <c r="G5907" s="128">
        <v>5816318.7300000004</v>
      </c>
      <c r="H5907" s="128">
        <v>2932665.03</v>
      </c>
      <c r="I5907" s="128">
        <v>152456</v>
      </c>
    </row>
    <row r="5908" spans="1:9" ht="13.5">
      <c r="A5908" s="128">
        <v>2008</v>
      </c>
      <c r="B5908" s="128" t="s">
        <v>137</v>
      </c>
      <c r="C5908" s="128" t="s">
        <v>23</v>
      </c>
      <c r="D5908" s="128" t="s">
        <v>76</v>
      </c>
      <c r="E5908" s="128" t="s">
        <v>133</v>
      </c>
      <c r="F5908" s="128">
        <v>21046724.34</v>
      </c>
      <c r="G5908" s="128">
        <v>11345743.460000001</v>
      </c>
      <c r="H5908" s="128">
        <v>9700966.0199999996</v>
      </c>
      <c r="I5908" s="128">
        <v>94801</v>
      </c>
    </row>
    <row r="5909" spans="1:9" ht="13.5">
      <c r="A5909" s="128">
        <v>2008</v>
      </c>
      <c r="B5909" s="128" t="s">
        <v>137</v>
      </c>
      <c r="C5909" s="128" t="s">
        <v>23</v>
      </c>
      <c r="D5909" s="128" t="s">
        <v>76</v>
      </c>
      <c r="E5909" s="128" t="s">
        <v>134</v>
      </c>
      <c r="F5909" s="128">
        <v>18445343.280000001</v>
      </c>
      <c r="G5909" s="128">
        <v>8358061.7199999997</v>
      </c>
      <c r="H5909" s="128">
        <v>10087275.810000001</v>
      </c>
      <c r="I5909" s="128">
        <v>89888</v>
      </c>
    </row>
    <row r="5910" spans="1:9" ht="13.5">
      <c r="A5910" s="128">
        <v>2008</v>
      </c>
      <c r="B5910" s="128" t="s">
        <v>137</v>
      </c>
      <c r="C5910" s="128" t="s">
        <v>23</v>
      </c>
      <c r="D5910" s="128" t="s">
        <v>76</v>
      </c>
      <c r="E5910" s="128" t="s">
        <v>135</v>
      </c>
      <c r="F5910" s="128">
        <v>1136396.17</v>
      </c>
      <c r="G5910" s="128">
        <v>291074.02</v>
      </c>
      <c r="H5910" s="128">
        <v>845320.15</v>
      </c>
      <c r="I5910" s="128">
        <v>870</v>
      </c>
    </row>
    <row r="5911" spans="1:9" ht="13.5">
      <c r="A5911" s="128">
        <v>2008</v>
      </c>
      <c r="B5911" s="128" t="s">
        <v>137</v>
      </c>
      <c r="C5911" s="128" t="s">
        <v>24</v>
      </c>
      <c r="D5911" s="128" t="s">
        <v>79</v>
      </c>
      <c r="E5911" s="128" t="s">
        <v>136</v>
      </c>
      <c r="F5911" s="128">
        <v>1541171.05</v>
      </c>
      <c r="G5911" s="128">
        <v>1163701.4099999999</v>
      </c>
      <c r="H5911" s="128">
        <v>377469.94</v>
      </c>
      <c r="I5911" s="128">
        <v>35996</v>
      </c>
    </row>
    <row r="5912" spans="1:9" ht="13.5">
      <c r="A5912" s="128">
        <v>2008</v>
      </c>
      <c r="B5912" s="128" t="s">
        <v>137</v>
      </c>
      <c r="C5912" s="128" t="s">
        <v>24</v>
      </c>
      <c r="D5912" s="128" t="s">
        <v>79</v>
      </c>
      <c r="E5912" s="128" t="s">
        <v>132</v>
      </c>
      <c r="F5912" s="128">
        <v>424572.19</v>
      </c>
      <c r="G5912" s="128">
        <v>280681.95</v>
      </c>
      <c r="H5912" s="128">
        <v>93076.65</v>
      </c>
      <c r="I5912" s="128">
        <v>3942</v>
      </c>
    </row>
    <row r="5913" spans="1:9" ht="13.5">
      <c r="A5913" s="128">
        <v>2008</v>
      </c>
      <c r="B5913" s="128" t="s">
        <v>137</v>
      </c>
      <c r="C5913" s="128" t="s">
        <v>24</v>
      </c>
      <c r="D5913" s="128" t="s">
        <v>79</v>
      </c>
      <c r="E5913" s="128" t="s">
        <v>133</v>
      </c>
      <c r="F5913" s="128">
        <v>1560265.92</v>
      </c>
      <c r="G5913" s="128">
        <v>852364.4</v>
      </c>
      <c r="H5913" s="128">
        <v>287316.73</v>
      </c>
      <c r="I5913" s="128">
        <v>12072</v>
      </c>
    </row>
    <row r="5914" spans="1:9" ht="13.5">
      <c r="A5914" s="128">
        <v>2008</v>
      </c>
      <c r="B5914" s="128" t="s">
        <v>137</v>
      </c>
      <c r="C5914" s="128" t="s">
        <v>24</v>
      </c>
      <c r="D5914" s="128" t="s">
        <v>79</v>
      </c>
      <c r="E5914" s="128" t="s">
        <v>134</v>
      </c>
      <c r="F5914" s="128">
        <v>2762376.18</v>
      </c>
      <c r="G5914" s="128">
        <v>1189002.25</v>
      </c>
      <c r="H5914" s="128">
        <v>398928.13</v>
      </c>
      <c r="I5914" s="128">
        <v>20695</v>
      </c>
    </row>
    <row r="5915" spans="1:9" ht="13.5">
      <c r="A5915" s="128">
        <v>2008</v>
      </c>
      <c r="B5915" s="128" t="s">
        <v>137</v>
      </c>
      <c r="C5915" s="128" t="s">
        <v>24</v>
      </c>
      <c r="D5915" s="128" t="s">
        <v>79</v>
      </c>
      <c r="E5915" s="128" t="s">
        <v>135</v>
      </c>
      <c r="F5915" s="128">
        <v>4408783.62</v>
      </c>
      <c r="G5915" s="128">
        <v>1045396.18</v>
      </c>
      <c r="H5915" s="128">
        <v>354646.4</v>
      </c>
      <c r="I5915" s="128">
        <v>8048</v>
      </c>
    </row>
    <row r="5916" spans="1:9" ht="13.5">
      <c r="A5916" s="128">
        <v>2008</v>
      </c>
      <c r="B5916" s="128" t="s">
        <v>137</v>
      </c>
      <c r="C5916" s="128" t="s">
        <v>24</v>
      </c>
      <c r="D5916" s="128" t="s">
        <v>77</v>
      </c>
      <c r="E5916" s="128" t="s">
        <v>132</v>
      </c>
      <c r="F5916" s="128">
        <v>1579382.37</v>
      </c>
      <c r="G5916" s="128">
        <v>1088166.51</v>
      </c>
      <c r="H5916" s="128">
        <v>468415.68</v>
      </c>
      <c r="I5916" s="128">
        <v>9939</v>
      </c>
    </row>
    <row r="5917" spans="1:9" ht="13.5">
      <c r="A5917" s="128">
        <v>2008</v>
      </c>
      <c r="B5917" s="128" t="s">
        <v>137</v>
      </c>
      <c r="C5917" s="128" t="s">
        <v>24</v>
      </c>
      <c r="D5917" s="128" t="s">
        <v>77</v>
      </c>
      <c r="E5917" s="128" t="s">
        <v>133</v>
      </c>
      <c r="F5917" s="128">
        <v>3661211.35</v>
      </c>
      <c r="G5917" s="128">
        <v>1958144.38</v>
      </c>
      <c r="H5917" s="128">
        <v>1354744.63</v>
      </c>
      <c r="I5917" s="128">
        <v>12998</v>
      </c>
    </row>
    <row r="5918" spans="1:9" ht="13.5">
      <c r="A5918" s="128">
        <v>2008</v>
      </c>
      <c r="B5918" s="128" t="s">
        <v>137</v>
      </c>
      <c r="C5918" s="128" t="s">
        <v>24</v>
      </c>
      <c r="D5918" s="128" t="s">
        <v>77</v>
      </c>
      <c r="E5918" s="128" t="s">
        <v>134</v>
      </c>
      <c r="F5918" s="128">
        <v>5726910.1200000001</v>
      </c>
      <c r="G5918" s="128">
        <v>2508634.38</v>
      </c>
      <c r="H5918" s="128">
        <v>1872082.4</v>
      </c>
      <c r="I5918" s="128">
        <v>22417</v>
      </c>
    </row>
    <row r="5919" spans="1:9" ht="13.5">
      <c r="A5919" s="128">
        <v>2008</v>
      </c>
      <c r="B5919" s="128" t="s">
        <v>137</v>
      </c>
      <c r="C5919" s="128" t="s">
        <v>24</v>
      </c>
      <c r="D5919" s="128" t="s">
        <v>77</v>
      </c>
      <c r="E5919" s="128" t="s">
        <v>135</v>
      </c>
      <c r="F5919" s="128">
        <v>10300341.02</v>
      </c>
      <c r="G5919" s="128">
        <v>2400889.54</v>
      </c>
      <c r="H5919" s="128">
        <v>1729658.9</v>
      </c>
      <c r="I5919" s="128">
        <v>19722</v>
      </c>
    </row>
    <row r="5920" spans="1:9" ht="13.5">
      <c r="A5920" s="128">
        <v>2008</v>
      </c>
      <c r="B5920" s="128" t="s">
        <v>137</v>
      </c>
      <c r="C5920" s="128" t="s">
        <v>24</v>
      </c>
      <c r="D5920" s="128" t="s">
        <v>76</v>
      </c>
      <c r="E5920" s="128" t="s">
        <v>136</v>
      </c>
      <c r="F5920" s="128">
        <v>833613.96</v>
      </c>
      <c r="G5920" s="128">
        <v>632143.06999999995</v>
      </c>
      <c r="H5920" s="128">
        <v>201470.89</v>
      </c>
      <c r="I5920" s="128">
        <v>10666</v>
      </c>
    </row>
    <row r="5921" spans="1:9" ht="13.5">
      <c r="A5921" s="128">
        <v>2008</v>
      </c>
      <c r="B5921" s="128" t="s">
        <v>137</v>
      </c>
      <c r="C5921" s="128" t="s">
        <v>24</v>
      </c>
      <c r="D5921" s="128" t="s">
        <v>76</v>
      </c>
      <c r="E5921" s="128" t="s">
        <v>132</v>
      </c>
      <c r="F5921" s="128">
        <v>8271112.5800000001</v>
      </c>
      <c r="G5921" s="128">
        <v>5231315.34</v>
      </c>
      <c r="H5921" s="128">
        <v>3039792.09</v>
      </c>
      <c r="I5921" s="128">
        <v>94972</v>
      </c>
    </row>
    <row r="5922" spans="1:9" ht="13.5">
      <c r="A5922" s="128">
        <v>2008</v>
      </c>
      <c r="B5922" s="128" t="s">
        <v>137</v>
      </c>
      <c r="C5922" s="128" t="s">
        <v>24</v>
      </c>
      <c r="D5922" s="128" t="s">
        <v>76</v>
      </c>
      <c r="E5922" s="128" t="s">
        <v>133</v>
      </c>
      <c r="F5922" s="128">
        <v>24140009.760000002</v>
      </c>
      <c r="G5922" s="128">
        <v>13279256.6</v>
      </c>
      <c r="H5922" s="128">
        <v>10860749.02</v>
      </c>
      <c r="I5922" s="128">
        <v>144440</v>
      </c>
    </row>
    <row r="5923" spans="1:9" ht="13.5">
      <c r="A5923" s="128">
        <v>2008</v>
      </c>
      <c r="B5923" s="128" t="s">
        <v>137</v>
      </c>
      <c r="C5923" s="128" t="s">
        <v>24</v>
      </c>
      <c r="D5923" s="128" t="s">
        <v>76</v>
      </c>
      <c r="E5923" s="128" t="s">
        <v>134</v>
      </c>
      <c r="F5923" s="128">
        <v>21572180.890000001</v>
      </c>
      <c r="G5923" s="128">
        <v>9473225.5899999999</v>
      </c>
      <c r="H5923" s="128">
        <v>12098953.1</v>
      </c>
      <c r="I5923" s="128">
        <v>127579</v>
      </c>
    </row>
    <row r="5924" spans="1:9" ht="13.5">
      <c r="A5924" s="128">
        <v>2008</v>
      </c>
      <c r="B5924" s="128" t="s">
        <v>137</v>
      </c>
      <c r="C5924" s="128" t="s">
        <v>24</v>
      </c>
      <c r="D5924" s="128" t="s">
        <v>76</v>
      </c>
      <c r="E5924" s="128" t="s">
        <v>135</v>
      </c>
      <c r="F5924" s="128">
        <v>2735453.25</v>
      </c>
      <c r="G5924" s="128">
        <v>640149.05000000005</v>
      </c>
      <c r="H5924" s="128">
        <v>2095304.18</v>
      </c>
      <c r="I5924" s="128">
        <v>1935</v>
      </c>
    </row>
    <row r="5925" spans="1:9" ht="13.5">
      <c r="A5925" s="128">
        <v>2008</v>
      </c>
      <c r="B5925" s="128" t="s">
        <v>137</v>
      </c>
      <c r="C5925" s="128" t="s">
        <v>25</v>
      </c>
      <c r="D5925" s="128" t="s">
        <v>79</v>
      </c>
      <c r="E5925" s="128" t="s">
        <v>136</v>
      </c>
      <c r="F5925" s="128">
        <v>1270963.3</v>
      </c>
      <c r="G5925" s="128">
        <v>956273.05</v>
      </c>
      <c r="H5925" s="128">
        <v>314690.25</v>
      </c>
      <c r="I5925" s="128">
        <v>17024</v>
      </c>
    </row>
    <row r="5926" spans="1:9" ht="13.5">
      <c r="A5926" s="128">
        <v>2008</v>
      </c>
      <c r="B5926" s="128" t="s">
        <v>137</v>
      </c>
      <c r="C5926" s="128" t="s">
        <v>25</v>
      </c>
      <c r="D5926" s="128" t="s">
        <v>79</v>
      </c>
      <c r="E5926" s="128" t="s">
        <v>132</v>
      </c>
      <c r="F5926" s="128">
        <v>209187.1</v>
      </c>
      <c r="G5926" s="128">
        <v>140747.53</v>
      </c>
      <c r="H5926" s="128">
        <v>46887.79</v>
      </c>
      <c r="I5926" s="128">
        <v>1576</v>
      </c>
    </row>
    <row r="5927" spans="1:9" ht="13.5">
      <c r="A5927" s="128">
        <v>2008</v>
      </c>
      <c r="B5927" s="128" t="s">
        <v>137</v>
      </c>
      <c r="C5927" s="128" t="s">
        <v>25</v>
      </c>
      <c r="D5927" s="128" t="s">
        <v>79</v>
      </c>
      <c r="E5927" s="128" t="s">
        <v>133</v>
      </c>
      <c r="F5927" s="128">
        <v>416157.98</v>
      </c>
      <c r="G5927" s="128">
        <v>223953.95</v>
      </c>
      <c r="H5927" s="128">
        <v>82835.06</v>
      </c>
      <c r="I5927" s="128">
        <v>1277</v>
      </c>
    </row>
    <row r="5928" spans="1:9" ht="13.5">
      <c r="A5928" s="128">
        <v>2008</v>
      </c>
      <c r="B5928" s="128" t="s">
        <v>137</v>
      </c>
      <c r="C5928" s="128" t="s">
        <v>25</v>
      </c>
      <c r="D5928" s="128" t="s">
        <v>79</v>
      </c>
      <c r="E5928" s="128" t="s">
        <v>134</v>
      </c>
      <c r="F5928" s="128">
        <v>609480.38</v>
      </c>
      <c r="G5928" s="128">
        <v>256441.74</v>
      </c>
      <c r="H5928" s="128">
        <v>87934.7</v>
      </c>
      <c r="I5928" s="128">
        <v>2928</v>
      </c>
    </row>
    <row r="5929" spans="1:9" ht="13.5">
      <c r="A5929" s="128">
        <v>2008</v>
      </c>
      <c r="B5929" s="128" t="s">
        <v>137</v>
      </c>
      <c r="C5929" s="128" t="s">
        <v>25</v>
      </c>
      <c r="D5929" s="128" t="s">
        <v>79</v>
      </c>
      <c r="E5929" s="128" t="s">
        <v>135</v>
      </c>
      <c r="F5929" s="128">
        <v>2156208.25</v>
      </c>
      <c r="G5929" s="128">
        <v>513074.01</v>
      </c>
      <c r="H5929" s="128">
        <v>176845.39</v>
      </c>
      <c r="I5929" s="128">
        <v>3789</v>
      </c>
    </row>
    <row r="5930" spans="1:9" ht="13.5">
      <c r="A5930" s="128">
        <v>2008</v>
      </c>
      <c r="B5930" s="128" t="s">
        <v>137</v>
      </c>
      <c r="C5930" s="128" t="s">
        <v>25</v>
      </c>
      <c r="D5930" s="128" t="s">
        <v>77</v>
      </c>
      <c r="E5930" s="128" t="s">
        <v>132</v>
      </c>
      <c r="F5930" s="128">
        <v>52953.85</v>
      </c>
      <c r="G5930" s="128">
        <v>36008.5</v>
      </c>
      <c r="H5930" s="128">
        <v>12927.17</v>
      </c>
      <c r="I5930" s="128">
        <v>263</v>
      </c>
    </row>
    <row r="5931" spans="1:9" ht="13.5">
      <c r="A5931" s="128">
        <v>2008</v>
      </c>
      <c r="B5931" s="128" t="s">
        <v>137</v>
      </c>
      <c r="C5931" s="128" t="s">
        <v>25</v>
      </c>
      <c r="D5931" s="128" t="s">
        <v>77</v>
      </c>
      <c r="E5931" s="128" t="s">
        <v>133</v>
      </c>
      <c r="F5931" s="128">
        <v>92190.54</v>
      </c>
      <c r="G5931" s="128">
        <v>50377.08</v>
      </c>
      <c r="H5931" s="128">
        <v>36476.639999999999</v>
      </c>
      <c r="I5931" s="128">
        <v>332</v>
      </c>
    </row>
    <row r="5932" spans="1:9" ht="13.5">
      <c r="A5932" s="128">
        <v>2008</v>
      </c>
      <c r="B5932" s="128" t="s">
        <v>137</v>
      </c>
      <c r="C5932" s="128" t="s">
        <v>25</v>
      </c>
      <c r="D5932" s="128" t="s">
        <v>77</v>
      </c>
      <c r="E5932" s="128" t="s">
        <v>134</v>
      </c>
      <c r="F5932" s="128">
        <v>530625.04</v>
      </c>
      <c r="G5932" s="128">
        <v>228947.65</v>
      </c>
      <c r="H5932" s="128">
        <v>223944.18</v>
      </c>
      <c r="I5932" s="128">
        <v>1436</v>
      </c>
    </row>
    <row r="5933" spans="1:9" ht="13.5">
      <c r="A5933" s="128">
        <v>2008</v>
      </c>
      <c r="B5933" s="128" t="s">
        <v>137</v>
      </c>
      <c r="C5933" s="128" t="s">
        <v>25</v>
      </c>
      <c r="D5933" s="128" t="s">
        <v>77</v>
      </c>
      <c r="E5933" s="128" t="s">
        <v>135</v>
      </c>
      <c r="F5933" s="128">
        <v>1047956.53</v>
      </c>
      <c r="G5933" s="128">
        <v>294411.8</v>
      </c>
      <c r="H5933" s="128">
        <v>330815.56</v>
      </c>
      <c r="I5933" s="128">
        <v>3378</v>
      </c>
    </row>
    <row r="5934" spans="1:9" ht="13.5">
      <c r="A5934" s="128">
        <v>2008</v>
      </c>
      <c r="B5934" s="128" t="s">
        <v>137</v>
      </c>
      <c r="C5934" s="128" t="s">
        <v>25</v>
      </c>
      <c r="D5934" s="128" t="s">
        <v>76</v>
      </c>
      <c r="E5934" s="128" t="s">
        <v>136</v>
      </c>
      <c r="F5934" s="128">
        <v>287036.58</v>
      </c>
      <c r="G5934" s="128">
        <v>218480.23</v>
      </c>
      <c r="H5934" s="128">
        <v>68556.350000000006</v>
      </c>
      <c r="I5934" s="128">
        <v>4845</v>
      </c>
    </row>
    <row r="5935" spans="1:9" ht="13.5">
      <c r="A5935" s="128">
        <v>2008</v>
      </c>
      <c r="B5935" s="128" t="s">
        <v>137</v>
      </c>
      <c r="C5935" s="128" t="s">
        <v>25</v>
      </c>
      <c r="D5935" s="128" t="s">
        <v>76</v>
      </c>
      <c r="E5935" s="128" t="s">
        <v>132</v>
      </c>
      <c r="F5935" s="128">
        <v>2915331.59</v>
      </c>
      <c r="G5935" s="128">
        <v>1873698.35</v>
      </c>
      <c r="H5935" s="128">
        <v>1041633.17</v>
      </c>
      <c r="I5935" s="128">
        <v>37789</v>
      </c>
    </row>
    <row r="5936" spans="1:9" ht="13.5">
      <c r="A5936" s="128">
        <v>2008</v>
      </c>
      <c r="B5936" s="128" t="s">
        <v>137</v>
      </c>
      <c r="C5936" s="128" t="s">
        <v>25</v>
      </c>
      <c r="D5936" s="128" t="s">
        <v>76</v>
      </c>
      <c r="E5936" s="128" t="s">
        <v>133</v>
      </c>
      <c r="F5936" s="128">
        <v>5999107.1799999997</v>
      </c>
      <c r="G5936" s="128">
        <v>3263690.66</v>
      </c>
      <c r="H5936" s="128">
        <v>2735415.71</v>
      </c>
      <c r="I5936" s="128">
        <v>19654</v>
      </c>
    </row>
    <row r="5937" spans="1:9" ht="13.5">
      <c r="A5937" s="128">
        <v>2008</v>
      </c>
      <c r="B5937" s="128" t="s">
        <v>137</v>
      </c>
      <c r="C5937" s="128" t="s">
        <v>25</v>
      </c>
      <c r="D5937" s="128" t="s">
        <v>76</v>
      </c>
      <c r="E5937" s="128" t="s">
        <v>134</v>
      </c>
      <c r="F5937" s="128">
        <v>4943235.57</v>
      </c>
      <c r="G5937" s="128">
        <v>2270262.52</v>
      </c>
      <c r="H5937" s="128">
        <v>2672972.65</v>
      </c>
      <c r="I5937" s="128">
        <v>32827</v>
      </c>
    </row>
    <row r="5938" spans="1:9" ht="13.5">
      <c r="A5938" s="128">
        <v>2008</v>
      </c>
      <c r="B5938" s="128" t="s">
        <v>137</v>
      </c>
      <c r="C5938" s="128" t="s">
        <v>25</v>
      </c>
      <c r="D5938" s="128" t="s">
        <v>76</v>
      </c>
      <c r="E5938" s="128" t="s">
        <v>135</v>
      </c>
      <c r="F5938" s="128">
        <v>386405.78</v>
      </c>
      <c r="G5938" s="128">
        <v>107996.95</v>
      </c>
      <c r="H5938" s="128">
        <v>278408.83</v>
      </c>
      <c r="I5938" s="128">
        <v>323</v>
      </c>
    </row>
    <row r="5939" spans="1:9" ht="13.5">
      <c r="A5939" s="128">
        <v>2008</v>
      </c>
      <c r="B5939" s="128" t="s">
        <v>137</v>
      </c>
      <c r="C5939" s="128" t="s">
        <v>27</v>
      </c>
      <c r="D5939" s="128" t="s">
        <v>79</v>
      </c>
      <c r="E5939" s="128" t="s">
        <v>136</v>
      </c>
      <c r="F5939" s="128">
        <v>250721.76</v>
      </c>
      <c r="G5939" s="128">
        <v>188285.1</v>
      </c>
      <c r="H5939" s="128">
        <v>62436.66</v>
      </c>
      <c r="I5939" s="128">
        <v>2429</v>
      </c>
    </row>
    <row r="5940" spans="1:9" ht="13.5">
      <c r="A5940" s="128">
        <v>2008</v>
      </c>
      <c r="B5940" s="128" t="s">
        <v>137</v>
      </c>
      <c r="C5940" s="128" t="s">
        <v>27</v>
      </c>
      <c r="D5940" s="128" t="s">
        <v>79</v>
      </c>
      <c r="E5940" s="128" t="s">
        <v>132</v>
      </c>
      <c r="F5940" s="128">
        <v>50820.85</v>
      </c>
      <c r="G5940" s="128">
        <v>33169.24</v>
      </c>
      <c r="H5940" s="128">
        <v>11081.58</v>
      </c>
      <c r="I5940" s="128">
        <v>228</v>
      </c>
    </row>
    <row r="5941" spans="1:9" ht="13.5">
      <c r="A5941" s="128">
        <v>2008</v>
      </c>
      <c r="B5941" s="128" t="s">
        <v>137</v>
      </c>
      <c r="C5941" s="128" t="s">
        <v>27</v>
      </c>
      <c r="D5941" s="128" t="s">
        <v>79</v>
      </c>
      <c r="E5941" s="128" t="s">
        <v>133</v>
      </c>
      <c r="F5941" s="128">
        <v>39499.08</v>
      </c>
      <c r="G5941" s="128">
        <v>21332.68</v>
      </c>
      <c r="H5941" s="128">
        <v>7052.5</v>
      </c>
      <c r="I5941" s="128">
        <v>225</v>
      </c>
    </row>
    <row r="5942" spans="1:9" ht="13.5">
      <c r="A5942" s="128">
        <v>2008</v>
      </c>
      <c r="B5942" s="128" t="s">
        <v>137</v>
      </c>
      <c r="C5942" s="128" t="s">
        <v>27</v>
      </c>
      <c r="D5942" s="128" t="s">
        <v>79</v>
      </c>
      <c r="E5942" s="128" t="s">
        <v>134</v>
      </c>
      <c r="F5942" s="128">
        <v>160820.45000000001</v>
      </c>
      <c r="G5942" s="128">
        <v>67272.75</v>
      </c>
      <c r="H5942" s="128">
        <v>23189.37</v>
      </c>
      <c r="I5942" s="128">
        <v>1152</v>
      </c>
    </row>
    <row r="5943" spans="1:9" ht="13.5">
      <c r="A5943" s="128">
        <v>2008</v>
      </c>
      <c r="B5943" s="128" t="s">
        <v>137</v>
      </c>
      <c r="C5943" s="128" t="s">
        <v>27</v>
      </c>
      <c r="D5943" s="128" t="s">
        <v>79</v>
      </c>
      <c r="E5943" s="128" t="s">
        <v>135</v>
      </c>
      <c r="F5943" s="128">
        <v>760434.45</v>
      </c>
      <c r="G5943" s="128">
        <v>206169.47</v>
      </c>
      <c r="H5943" s="128">
        <v>70023.94</v>
      </c>
      <c r="I5943" s="128">
        <v>1640</v>
      </c>
    </row>
    <row r="5944" spans="1:9" ht="13.5">
      <c r="A5944" s="128">
        <v>2008</v>
      </c>
      <c r="B5944" s="128" t="s">
        <v>137</v>
      </c>
      <c r="C5944" s="128" t="s">
        <v>27</v>
      </c>
      <c r="D5944" s="128" t="s">
        <v>77</v>
      </c>
      <c r="E5944" s="128" t="s">
        <v>132</v>
      </c>
      <c r="F5944" s="128">
        <v>10372.56</v>
      </c>
      <c r="G5944" s="128">
        <v>6955.75</v>
      </c>
      <c r="H5944" s="128">
        <v>2992.39</v>
      </c>
      <c r="I5944" s="128">
        <v>60</v>
      </c>
    </row>
    <row r="5945" spans="1:9" ht="13.5">
      <c r="A5945" s="128">
        <v>2008</v>
      </c>
      <c r="B5945" s="128" t="s">
        <v>137</v>
      </c>
      <c r="C5945" s="128" t="s">
        <v>27</v>
      </c>
      <c r="D5945" s="128" t="s">
        <v>77</v>
      </c>
      <c r="E5945" s="128" t="s">
        <v>133</v>
      </c>
      <c r="F5945" s="128">
        <v>37584.78</v>
      </c>
      <c r="G5945" s="128">
        <v>20386.099999999999</v>
      </c>
      <c r="H5945" s="128">
        <v>13126.28</v>
      </c>
      <c r="I5945" s="128">
        <v>149</v>
      </c>
    </row>
    <row r="5946" spans="1:9" ht="13.5">
      <c r="A5946" s="128">
        <v>2008</v>
      </c>
      <c r="B5946" s="128" t="s">
        <v>137</v>
      </c>
      <c r="C5946" s="128" t="s">
        <v>27</v>
      </c>
      <c r="D5946" s="128" t="s">
        <v>77</v>
      </c>
      <c r="E5946" s="128" t="s">
        <v>134</v>
      </c>
      <c r="F5946" s="128">
        <v>81401.56</v>
      </c>
      <c r="G5946" s="128">
        <v>34760.85</v>
      </c>
      <c r="H5946" s="128">
        <v>31602.34</v>
      </c>
      <c r="I5946" s="128">
        <v>170</v>
      </c>
    </row>
    <row r="5947" spans="1:9" ht="13.5">
      <c r="A5947" s="128">
        <v>2008</v>
      </c>
      <c r="B5947" s="128" t="s">
        <v>137</v>
      </c>
      <c r="C5947" s="128" t="s">
        <v>27</v>
      </c>
      <c r="D5947" s="128" t="s">
        <v>77</v>
      </c>
      <c r="E5947" s="128" t="s">
        <v>135</v>
      </c>
      <c r="F5947" s="128">
        <v>191880.78</v>
      </c>
      <c r="G5947" s="128">
        <v>48254</v>
      </c>
      <c r="H5947" s="128">
        <v>51625.599999999999</v>
      </c>
      <c r="I5947" s="128">
        <v>495</v>
      </c>
    </row>
    <row r="5948" spans="1:9" ht="13.5">
      <c r="A5948" s="128">
        <v>2008</v>
      </c>
      <c r="B5948" s="128" t="s">
        <v>137</v>
      </c>
      <c r="C5948" s="128" t="s">
        <v>27</v>
      </c>
      <c r="D5948" s="128" t="s">
        <v>76</v>
      </c>
      <c r="E5948" s="128" t="s">
        <v>136</v>
      </c>
      <c r="F5948" s="128">
        <v>60753.47</v>
      </c>
      <c r="G5948" s="128">
        <v>46206.44</v>
      </c>
      <c r="H5948" s="128">
        <v>14557.04</v>
      </c>
      <c r="I5948" s="128">
        <v>856</v>
      </c>
    </row>
    <row r="5949" spans="1:9" ht="13.5">
      <c r="A5949" s="128">
        <v>2008</v>
      </c>
      <c r="B5949" s="128" t="s">
        <v>137</v>
      </c>
      <c r="C5949" s="128" t="s">
        <v>27</v>
      </c>
      <c r="D5949" s="128" t="s">
        <v>76</v>
      </c>
      <c r="E5949" s="128" t="s">
        <v>132</v>
      </c>
      <c r="F5949" s="128">
        <v>326841.78000000003</v>
      </c>
      <c r="G5949" s="128">
        <v>209625.3</v>
      </c>
      <c r="H5949" s="128">
        <v>117216.64</v>
      </c>
      <c r="I5949" s="128">
        <v>4047</v>
      </c>
    </row>
    <row r="5950" spans="1:9" ht="13.5">
      <c r="A5950" s="128">
        <v>2008</v>
      </c>
      <c r="B5950" s="128" t="s">
        <v>137</v>
      </c>
      <c r="C5950" s="128" t="s">
        <v>27</v>
      </c>
      <c r="D5950" s="128" t="s">
        <v>76</v>
      </c>
      <c r="E5950" s="128" t="s">
        <v>133</v>
      </c>
      <c r="F5950" s="128">
        <v>888705.59</v>
      </c>
      <c r="G5950" s="128">
        <v>480024</v>
      </c>
      <c r="H5950" s="128">
        <v>408675.92</v>
      </c>
      <c r="I5950" s="128">
        <v>2801</v>
      </c>
    </row>
    <row r="5951" spans="1:9" ht="13.5">
      <c r="A5951" s="128">
        <v>2008</v>
      </c>
      <c r="B5951" s="128" t="s">
        <v>137</v>
      </c>
      <c r="C5951" s="128" t="s">
        <v>27</v>
      </c>
      <c r="D5951" s="128" t="s">
        <v>76</v>
      </c>
      <c r="E5951" s="128" t="s">
        <v>134</v>
      </c>
      <c r="F5951" s="128">
        <v>800813.71</v>
      </c>
      <c r="G5951" s="128">
        <v>363740.07</v>
      </c>
      <c r="H5951" s="128">
        <v>437071.5</v>
      </c>
      <c r="I5951" s="128">
        <v>4749</v>
      </c>
    </row>
    <row r="5952" spans="1:9" ht="13.5">
      <c r="A5952" s="128">
        <v>2008</v>
      </c>
      <c r="B5952" s="128" t="s">
        <v>137</v>
      </c>
      <c r="C5952" s="128" t="s">
        <v>27</v>
      </c>
      <c r="D5952" s="128" t="s">
        <v>76</v>
      </c>
      <c r="E5952" s="128" t="s">
        <v>135</v>
      </c>
      <c r="F5952" s="128">
        <v>65085.440000000002</v>
      </c>
      <c r="G5952" s="128">
        <v>18767.939999999999</v>
      </c>
      <c r="H5952" s="128">
        <v>46317.5</v>
      </c>
      <c r="I5952" s="128">
        <v>55</v>
      </c>
    </row>
    <row r="5953" spans="1:9" ht="13.5">
      <c r="A5953" s="128">
        <v>2009</v>
      </c>
      <c r="B5953" s="128" t="s">
        <v>131</v>
      </c>
      <c r="C5953" s="128" t="s">
        <v>20</v>
      </c>
      <c r="D5953" s="128" t="s">
        <v>79</v>
      </c>
      <c r="E5953" s="128" t="s">
        <v>136</v>
      </c>
      <c r="F5953" s="128">
        <v>27687711.870000001</v>
      </c>
      <c r="G5953" s="128">
        <v>20820626.100000001</v>
      </c>
      <c r="H5953" s="128">
        <v>6864681.6699999999</v>
      </c>
      <c r="I5953" s="128">
        <v>457877</v>
      </c>
    </row>
    <row r="5954" spans="1:9" ht="13.5">
      <c r="A5954" s="128">
        <v>2009</v>
      </c>
      <c r="B5954" s="128" t="s">
        <v>131</v>
      </c>
      <c r="C5954" s="128" t="s">
        <v>20</v>
      </c>
      <c r="D5954" s="128" t="s">
        <v>79</v>
      </c>
      <c r="E5954" s="128" t="s">
        <v>132</v>
      </c>
      <c r="F5954" s="128">
        <v>3072076.21</v>
      </c>
      <c r="G5954" s="128">
        <v>2059224.42</v>
      </c>
      <c r="H5954" s="128">
        <v>705539.48</v>
      </c>
      <c r="I5954" s="128">
        <v>18027</v>
      </c>
    </row>
    <row r="5955" spans="1:9" ht="13.5">
      <c r="A5955" s="128">
        <v>2009</v>
      </c>
      <c r="B5955" s="128" t="s">
        <v>131</v>
      </c>
      <c r="C5955" s="128" t="s">
        <v>20</v>
      </c>
      <c r="D5955" s="128" t="s">
        <v>79</v>
      </c>
      <c r="E5955" s="128" t="s">
        <v>133</v>
      </c>
      <c r="F5955" s="128">
        <v>4124039.34</v>
      </c>
      <c r="G5955" s="128">
        <v>2222404.38</v>
      </c>
      <c r="H5955" s="128">
        <v>803214.69</v>
      </c>
      <c r="I5955" s="128">
        <v>33924</v>
      </c>
    </row>
    <row r="5956" spans="1:9" ht="13.5">
      <c r="A5956" s="128">
        <v>2009</v>
      </c>
      <c r="B5956" s="128" t="s">
        <v>131</v>
      </c>
      <c r="C5956" s="128" t="s">
        <v>20</v>
      </c>
      <c r="D5956" s="128" t="s">
        <v>79</v>
      </c>
      <c r="E5956" s="128" t="s">
        <v>134</v>
      </c>
      <c r="F5956" s="128">
        <v>13774950.17</v>
      </c>
      <c r="G5956" s="128">
        <v>5844931.79</v>
      </c>
      <c r="H5956" s="128">
        <v>2345283.9500000002</v>
      </c>
      <c r="I5956" s="128">
        <v>54263</v>
      </c>
    </row>
    <row r="5957" spans="1:9" ht="13.5">
      <c r="A5957" s="128">
        <v>2009</v>
      </c>
      <c r="B5957" s="128" t="s">
        <v>131</v>
      </c>
      <c r="C5957" s="128" t="s">
        <v>20</v>
      </c>
      <c r="D5957" s="128" t="s">
        <v>79</v>
      </c>
      <c r="E5957" s="128" t="s">
        <v>135</v>
      </c>
      <c r="F5957" s="128">
        <v>84543504.299999997</v>
      </c>
      <c r="G5957" s="128">
        <v>21640365.100000001</v>
      </c>
      <c r="H5957" s="128">
        <v>7279067.5599999996</v>
      </c>
      <c r="I5957" s="128">
        <v>163537</v>
      </c>
    </row>
    <row r="5958" spans="1:9" ht="13.5">
      <c r="A5958" s="128">
        <v>2009</v>
      </c>
      <c r="B5958" s="128" t="s">
        <v>131</v>
      </c>
      <c r="C5958" s="128" t="s">
        <v>20</v>
      </c>
      <c r="D5958" s="128" t="s">
        <v>77</v>
      </c>
      <c r="E5958" s="128" t="s">
        <v>132</v>
      </c>
      <c r="F5958" s="128">
        <v>1129168.55</v>
      </c>
      <c r="G5958" s="128">
        <v>752267.58</v>
      </c>
      <c r="H5958" s="128">
        <v>339908.63</v>
      </c>
      <c r="I5958" s="128">
        <v>7243</v>
      </c>
    </row>
    <row r="5959" spans="1:9" ht="13.5">
      <c r="A5959" s="128">
        <v>2009</v>
      </c>
      <c r="B5959" s="128" t="s">
        <v>131</v>
      </c>
      <c r="C5959" s="128" t="s">
        <v>20</v>
      </c>
      <c r="D5959" s="128" t="s">
        <v>77</v>
      </c>
      <c r="E5959" s="128" t="s">
        <v>133</v>
      </c>
      <c r="F5959" s="128">
        <v>2038900.05</v>
      </c>
      <c r="G5959" s="128">
        <v>1103503.6200000001</v>
      </c>
      <c r="H5959" s="128">
        <v>821798.25</v>
      </c>
      <c r="I5959" s="128">
        <v>6495</v>
      </c>
    </row>
    <row r="5960" spans="1:9" ht="13.5">
      <c r="A5960" s="128">
        <v>2009</v>
      </c>
      <c r="B5960" s="128" t="s">
        <v>131</v>
      </c>
      <c r="C5960" s="128" t="s">
        <v>20</v>
      </c>
      <c r="D5960" s="128" t="s">
        <v>77</v>
      </c>
      <c r="E5960" s="128" t="s">
        <v>134</v>
      </c>
      <c r="F5960" s="128">
        <v>4534669.68</v>
      </c>
      <c r="G5960" s="128">
        <v>2007835.17</v>
      </c>
      <c r="H5960" s="128">
        <v>2004941.03</v>
      </c>
      <c r="I5960" s="128">
        <v>18677</v>
      </c>
    </row>
    <row r="5961" spans="1:9" ht="13.5">
      <c r="A5961" s="128">
        <v>2009</v>
      </c>
      <c r="B5961" s="128" t="s">
        <v>131</v>
      </c>
      <c r="C5961" s="128" t="s">
        <v>20</v>
      </c>
      <c r="D5961" s="128" t="s">
        <v>77</v>
      </c>
      <c r="E5961" s="128" t="s">
        <v>135</v>
      </c>
      <c r="F5961" s="128">
        <v>7021998.0700000003</v>
      </c>
      <c r="G5961" s="128">
        <v>1849110.87</v>
      </c>
      <c r="H5961" s="128">
        <v>1912810.49</v>
      </c>
      <c r="I5961" s="128">
        <v>19931</v>
      </c>
    </row>
    <row r="5962" spans="1:9" ht="13.5">
      <c r="A5962" s="128">
        <v>2009</v>
      </c>
      <c r="B5962" s="128" t="s">
        <v>131</v>
      </c>
      <c r="C5962" s="128" t="s">
        <v>20</v>
      </c>
      <c r="D5962" s="128" t="s">
        <v>76</v>
      </c>
      <c r="E5962" s="128" t="s">
        <v>136</v>
      </c>
      <c r="F5962" s="128">
        <v>8840094.5700000003</v>
      </c>
      <c r="G5962" s="128">
        <v>6692228.0999999996</v>
      </c>
      <c r="H5962" s="128">
        <v>2148139.96</v>
      </c>
      <c r="I5962" s="128">
        <v>251920</v>
      </c>
    </row>
    <row r="5963" spans="1:9" ht="13.5">
      <c r="A5963" s="128">
        <v>2009</v>
      </c>
      <c r="B5963" s="128" t="s">
        <v>131</v>
      </c>
      <c r="C5963" s="128" t="s">
        <v>20</v>
      </c>
      <c r="D5963" s="128" t="s">
        <v>76</v>
      </c>
      <c r="E5963" s="128" t="s">
        <v>132</v>
      </c>
      <c r="F5963" s="128">
        <v>31614240.82</v>
      </c>
      <c r="G5963" s="128">
        <v>20310847.68</v>
      </c>
      <c r="H5963" s="128">
        <v>11303089.73</v>
      </c>
      <c r="I5963" s="128">
        <v>367801</v>
      </c>
    </row>
    <row r="5964" spans="1:9" ht="13.5">
      <c r="A5964" s="128">
        <v>2009</v>
      </c>
      <c r="B5964" s="128" t="s">
        <v>131</v>
      </c>
      <c r="C5964" s="128" t="s">
        <v>20</v>
      </c>
      <c r="D5964" s="128" t="s">
        <v>76</v>
      </c>
      <c r="E5964" s="128" t="s">
        <v>133</v>
      </c>
      <c r="F5964" s="128">
        <v>60199025.399999999</v>
      </c>
      <c r="G5964" s="128">
        <v>33009135.539999999</v>
      </c>
      <c r="H5964" s="128">
        <v>27189617.170000002</v>
      </c>
      <c r="I5964" s="128">
        <v>245562</v>
      </c>
    </row>
    <row r="5965" spans="1:9" ht="13.5">
      <c r="A5965" s="128">
        <v>2009</v>
      </c>
      <c r="B5965" s="128" t="s">
        <v>131</v>
      </c>
      <c r="C5965" s="128" t="s">
        <v>20</v>
      </c>
      <c r="D5965" s="128" t="s">
        <v>76</v>
      </c>
      <c r="E5965" s="128" t="s">
        <v>134</v>
      </c>
      <c r="F5965" s="128">
        <v>57746853.979999997</v>
      </c>
      <c r="G5965" s="128">
        <v>26707530.23</v>
      </c>
      <c r="H5965" s="128">
        <v>31039062.420000002</v>
      </c>
      <c r="I5965" s="128">
        <v>355289</v>
      </c>
    </row>
    <row r="5966" spans="1:9" ht="13.5">
      <c r="A5966" s="128">
        <v>2009</v>
      </c>
      <c r="B5966" s="128" t="s">
        <v>131</v>
      </c>
      <c r="C5966" s="128" t="s">
        <v>20</v>
      </c>
      <c r="D5966" s="128" t="s">
        <v>76</v>
      </c>
      <c r="E5966" s="128" t="s">
        <v>135</v>
      </c>
      <c r="F5966" s="128">
        <v>6708254.9000000004</v>
      </c>
      <c r="G5966" s="128">
        <v>1966401.55</v>
      </c>
      <c r="H5966" s="128">
        <v>4741853.2</v>
      </c>
      <c r="I5966" s="128">
        <v>13939</v>
      </c>
    </row>
    <row r="5967" spans="1:9" ht="13.5">
      <c r="A5967" s="128">
        <v>2009</v>
      </c>
      <c r="B5967" s="128" t="s">
        <v>131</v>
      </c>
      <c r="C5967" s="128" t="s">
        <v>21</v>
      </c>
      <c r="D5967" s="128" t="s">
        <v>79</v>
      </c>
      <c r="E5967" s="128" t="s">
        <v>136</v>
      </c>
      <c r="F5967" s="128">
        <v>12242844.880000001</v>
      </c>
      <c r="G5967" s="128">
        <v>9195963.8300000001</v>
      </c>
      <c r="H5967" s="128">
        <v>3046597.49</v>
      </c>
      <c r="I5967" s="128">
        <v>163499</v>
      </c>
    </row>
    <row r="5968" spans="1:9" ht="13.5">
      <c r="A5968" s="128">
        <v>2009</v>
      </c>
      <c r="B5968" s="128" t="s">
        <v>131</v>
      </c>
      <c r="C5968" s="128" t="s">
        <v>21</v>
      </c>
      <c r="D5968" s="128" t="s">
        <v>79</v>
      </c>
      <c r="E5968" s="128" t="s">
        <v>132</v>
      </c>
      <c r="F5968" s="128">
        <v>2458636.7999999998</v>
      </c>
      <c r="G5968" s="128">
        <v>1636324.12</v>
      </c>
      <c r="H5968" s="128">
        <v>564093.47</v>
      </c>
      <c r="I5968" s="128">
        <v>18236</v>
      </c>
    </row>
    <row r="5969" spans="1:9" ht="13.5">
      <c r="A5969" s="128">
        <v>2009</v>
      </c>
      <c r="B5969" s="128" t="s">
        <v>131</v>
      </c>
      <c r="C5969" s="128" t="s">
        <v>21</v>
      </c>
      <c r="D5969" s="128" t="s">
        <v>79</v>
      </c>
      <c r="E5969" s="128" t="s">
        <v>133</v>
      </c>
      <c r="F5969" s="128">
        <v>4016832.72</v>
      </c>
      <c r="G5969" s="128">
        <v>2191351.6</v>
      </c>
      <c r="H5969" s="128">
        <v>1145386.69</v>
      </c>
      <c r="I5969" s="128">
        <v>23331</v>
      </c>
    </row>
    <row r="5970" spans="1:9" ht="13.5">
      <c r="A5970" s="128">
        <v>2009</v>
      </c>
      <c r="B5970" s="128" t="s">
        <v>131</v>
      </c>
      <c r="C5970" s="128" t="s">
        <v>21</v>
      </c>
      <c r="D5970" s="128" t="s">
        <v>79</v>
      </c>
      <c r="E5970" s="128" t="s">
        <v>134</v>
      </c>
      <c r="F5970" s="128">
        <v>10334788.27</v>
      </c>
      <c r="G5970" s="128">
        <v>4464178.4400000004</v>
      </c>
      <c r="H5970" s="128">
        <v>3343929.18</v>
      </c>
      <c r="I5970" s="128">
        <v>65805</v>
      </c>
    </row>
    <row r="5971" spans="1:9" ht="13.5">
      <c r="A5971" s="128">
        <v>2009</v>
      </c>
      <c r="B5971" s="128" t="s">
        <v>131</v>
      </c>
      <c r="C5971" s="128" t="s">
        <v>21</v>
      </c>
      <c r="D5971" s="128" t="s">
        <v>79</v>
      </c>
      <c r="E5971" s="128" t="s">
        <v>135</v>
      </c>
      <c r="F5971" s="128">
        <v>19963650.800000001</v>
      </c>
      <c r="G5971" s="128">
        <v>5216361.84</v>
      </c>
      <c r="H5971" s="128">
        <v>1776238.8</v>
      </c>
      <c r="I5971" s="128">
        <v>53239</v>
      </c>
    </row>
    <row r="5972" spans="1:9" ht="13.5">
      <c r="A5972" s="128">
        <v>2009</v>
      </c>
      <c r="B5972" s="128" t="s">
        <v>131</v>
      </c>
      <c r="C5972" s="128" t="s">
        <v>21</v>
      </c>
      <c r="D5972" s="128" t="s">
        <v>77</v>
      </c>
      <c r="E5972" s="128" t="s">
        <v>132</v>
      </c>
      <c r="F5972" s="128">
        <v>2286168.25</v>
      </c>
      <c r="G5972" s="128">
        <v>1523110.2</v>
      </c>
      <c r="H5972" s="128">
        <v>668550.07999999996</v>
      </c>
      <c r="I5972" s="128">
        <v>14441</v>
      </c>
    </row>
    <row r="5973" spans="1:9" ht="13.5">
      <c r="A5973" s="128">
        <v>2009</v>
      </c>
      <c r="B5973" s="128" t="s">
        <v>131</v>
      </c>
      <c r="C5973" s="128" t="s">
        <v>21</v>
      </c>
      <c r="D5973" s="128" t="s">
        <v>77</v>
      </c>
      <c r="E5973" s="128" t="s">
        <v>133</v>
      </c>
      <c r="F5973" s="128">
        <v>4896784.07</v>
      </c>
      <c r="G5973" s="128">
        <v>2666925.44</v>
      </c>
      <c r="H5973" s="128">
        <v>1877881.69</v>
      </c>
      <c r="I5973" s="128">
        <v>16268</v>
      </c>
    </row>
    <row r="5974" spans="1:9" ht="13.5">
      <c r="A5974" s="128">
        <v>2009</v>
      </c>
      <c r="B5974" s="128" t="s">
        <v>131</v>
      </c>
      <c r="C5974" s="128" t="s">
        <v>21</v>
      </c>
      <c r="D5974" s="128" t="s">
        <v>77</v>
      </c>
      <c r="E5974" s="128" t="s">
        <v>134</v>
      </c>
      <c r="F5974" s="128">
        <v>8985553.3900000006</v>
      </c>
      <c r="G5974" s="128">
        <v>3928088.25</v>
      </c>
      <c r="H5974" s="128">
        <v>3710509.4</v>
      </c>
      <c r="I5974" s="128">
        <v>39572</v>
      </c>
    </row>
    <row r="5975" spans="1:9" ht="13.5">
      <c r="A5975" s="128">
        <v>2009</v>
      </c>
      <c r="B5975" s="128" t="s">
        <v>131</v>
      </c>
      <c r="C5975" s="128" t="s">
        <v>21</v>
      </c>
      <c r="D5975" s="128" t="s">
        <v>77</v>
      </c>
      <c r="E5975" s="128" t="s">
        <v>135</v>
      </c>
      <c r="F5975" s="128">
        <v>11363720.869999999</v>
      </c>
      <c r="G5975" s="128">
        <v>3125667.13</v>
      </c>
      <c r="H5975" s="128">
        <v>3157412.14</v>
      </c>
      <c r="I5975" s="128">
        <v>37773</v>
      </c>
    </row>
    <row r="5976" spans="1:9" ht="13.5">
      <c r="A5976" s="128">
        <v>2009</v>
      </c>
      <c r="B5976" s="128" t="s">
        <v>131</v>
      </c>
      <c r="C5976" s="128" t="s">
        <v>21</v>
      </c>
      <c r="D5976" s="128" t="s">
        <v>76</v>
      </c>
      <c r="E5976" s="128" t="s">
        <v>136</v>
      </c>
      <c r="F5976" s="128">
        <v>8776944.6600000001</v>
      </c>
      <c r="G5976" s="128">
        <v>6627452.4299999997</v>
      </c>
      <c r="H5976" s="128">
        <v>2149406.98</v>
      </c>
      <c r="I5976" s="128">
        <v>182358</v>
      </c>
    </row>
    <row r="5977" spans="1:9" ht="13.5">
      <c r="A5977" s="128">
        <v>2009</v>
      </c>
      <c r="B5977" s="128" t="s">
        <v>131</v>
      </c>
      <c r="C5977" s="128" t="s">
        <v>21</v>
      </c>
      <c r="D5977" s="128" t="s">
        <v>76</v>
      </c>
      <c r="E5977" s="128" t="s">
        <v>132</v>
      </c>
      <c r="F5977" s="128">
        <v>33884294.469999999</v>
      </c>
      <c r="G5977" s="128">
        <v>21818272.649999999</v>
      </c>
      <c r="H5977" s="128">
        <v>12065789.65</v>
      </c>
      <c r="I5977" s="128">
        <v>372830</v>
      </c>
    </row>
    <row r="5978" spans="1:9" ht="13.5">
      <c r="A5978" s="128">
        <v>2009</v>
      </c>
      <c r="B5978" s="128" t="s">
        <v>131</v>
      </c>
      <c r="C5978" s="128" t="s">
        <v>21</v>
      </c>
      <c r="D5978" s="128" t="s">
        <v>76</v>
      </c>
      <c r="E5978" s="128" t="s">
        <v>133</v>
      </c>
      <c r="F5978" s="128">
        <v>67263245.920000002</v>
      </c>
      <c r="G5978" s="128">
        <v>37035529.350000001</v>
      </c>
      <c r="H5978" s="128">
        <v>30227592.600000001</v>
      </c>
      <c r="I5978" s="128">
        <v>400947</v>
      </c>
    </row>
    <row r="5979" spans="1:9" ht="13.5">
      <c r="A5979" s="128">
        <v>2009</v>
      </c>
      <c r="B5979" s="128" t="s">
        <v>131</v>
      </c>
      <c r="C5979" s="128" t="s">
        <v>21</v>
      </c>
      <c r="D5979" s="128" t="s">
        <v>76</v>
      </c>
      <c r="E5979" s="128" t="s">
        <v>134</v>
      </c>
      <c r="F5979" s="128">
        <v>60133788.710000001</v>
      </c>
      <c r="G5979" s="128">
        <v>27552390.969999999</v>
      </c>
      <c r="H5979" s="128">
        <v>32581126.559999999</v>
      </c>
      <c r="I5979" s="128">
        <v>323699</v>
      </c>
    </row>
    <row r="5980" spans="1:9" ht="13.5">
      <c r="A5980" s="128">
        <v>2009</v>
      </c>
      <c r="B5980" s="128" t="s">
        <v>131</v>
      </c>
      <c r="C5980" s="128" t="s">
        <v>21</v>
      </c>
      <c r="D5980" s="128" t="s">
        <v>76</v>
      </c>
      <c r="E5980" s="128" t="s">
        <v>135</v>
      </c>
      <c r="F5980" s="128">
        <v>3686491.08</v>
      </c>
      <c r="G5980" s="128">
        <v>1036379.02</v>
      </c>
      <c r="H5980" s="128">
        <v>2650112.06</v>
      </c>
      <c r="I5980" s="128">
        <v>5213</v>
      </c>
    </row>
    <row r="5981" spans="1:9" ht="13.5">
      <c r="A5981" s="128">
        <v>2009</v>
      </c>
      <c r="B5981" s="128" t="s">
        <v>131</v>
      </c>
      <c r="C5981" s="128" t="s">
        <v>22</v>
      </c>
      <c r="D5981" s="128" t="s">
        <v>79</v>
      </c>
      <c r="E5981" s="128" t="s">
        <v>136</v>
      </c>
      <c r="F5981" s="128">
        <v>7640993.4000000004</v>
      </c>
      <c r="G5981" s="128">
        <v>5751177.5199999996</v>
      </c>
      <c r="H5981" s="128">
        <v>1887320.65</v>
      </c>
      <c r="I5981" s="128">
        <v>96961</v>
      </c>
    </row>
    <row r="5982" spans="1:9" ht="13.5">
      <c r="A5982" s="128">
        <v>2009</v>
      </c>
      <c r="B5982" s="128" t="s">
        <v>131</v>
      </c>
      <c r="C5982" s="128" t="s">
        <v>22</v>
      </c>
      <c r="D5982" s="128" t="s">
        <v>79</v>
      </c>
      <c r="E5982" s="128" t="s">
        <v>132</v>
      </c>
      <c r="F5982" s="128">
        <v>2291608.79</v>
      </c>
      <c r="G5982" s="128">
        <v>1522522.32</v>
      </c>
      <c r="H5982" s="128">
        <v>512594.52</v>
      </c>
      <c r="I5982" s="128">
        <v>14303</v>
      </c>
    </row>
    <row r="5983" spans="1:9" ht="13.5">
      <c r="A5983" s="128">
        <v>2009</v>
      </c>
      <c r="B5983" s="128" t="s">
        <v>131</v>
      </c>
      <c r="C5983" s="128" t="s">
        <v>22</v>
      </c>
      <c r="D5983" s="128" t="s">
        <v>79</v>
      </c>
      <c r="E5983" s="128" t="s">
        <v>133</v>
      </c>
      <c r="F5983" s="128">
        <v>3589626.07</v>
      </c>
      <c r="G5983" s="128">
        <v>1943644.75</v>
      </c>
      <c r="H5983" s="128">
        <v>674465.21</v>
      </c>
      <c r="I5983" s="128">
        <v>19108</v>
      </c>
    </row>
    <row r="5984" spans="1:9" ht="13.5">
      <c r="A5984" s="128">
        <v>2009</v>
      </c>
      <c r="B5984" s="128" t="s">
        <v>131</v>
      </c>
      <c r="C5984" s="128" t="s">
        <v>22</v>
      </c>
      <c r="D5984" s="128" t="s">
        <v>79</v>
      </c>
      <c r="E5984" s="128" t="s">
        <v>134</v>
      </c>
      <c r="F5984" s="128">
        <v>9271992</v>
      </c>
      <c r="G5984" s="128">
        <v>3948665.28</v>
      </c>
      <c r="H5984" s="128">
        <v>1522587.11</v>
      </c>
      <c r="I5984" s="128">
        <v>42613</v>
      </c>
    </row>
    <row r="5985" spans="1:9" ht="13.5">
      <c r="A5985" s="128">
        <v>2009</v>
      </c>
      <c r="B5985" s="128" t="s">
        <v>131</v>
      </c>
      <c r="C5985" s="128" t="s">
        <v>22</v>
      </c>
      <c r="D5985" s="128" t="s">
        <v>79</v>
      </c>
      <c r="E5985" s="128" t="s">
        <v>135</v>
      </c>
      <c r="F5985" s="128">
        <v>38731854.939999998</v>
      </c>
      <c r="G5985" s="128">
        <v>10443547.109999999</v>
      </c>
      <c r="H5985" s="128">
        <v>3491812.44</v>
      </c>
      <c r="I5985" s="128">
        <v>115515</v>
      </c>
    </row>
    <row r="5986" spans="1:9" ht="13.5">
      <c r="A5986" s="128">
        <v>2009</v>
      </c>
      <c r="B5986" s="128" t="s">
        <v>131</v>
      </c>
      <c r="C5986" s="128" t="s">
        <v>22</v>
      </c>
      <c r="D5986" s="128" t="s">
        <v>77</v>
      </c>
      <c r="E5986" s="128" t="s">
        <v>132</v>
      </c>
      <c r="F5986" s="128">
        <v>681643.77</v>
      </c>
      <c r="G5986" s="128">
        <v>442078.04</v>
      </c>
      <c r="H5986" s="128">
        <v>190805.33</v>
      </c>
      <c r="I5986" s="128">
        <v>3763</v>
      </c>
    </row>
    <row r="5987" spans="1:9" ht="13.5">
      <c r="A5987" s="128">
        <v>2009</v>
      </c>
      <c r="B5987" s="128" t="s">
        <v>131</v>
      </c>
      <c r="C5987" s="128" t="s">
        <v>22</v>
      </c>
      <c r="D5987" s="128" t="s">
        <v>77</v>
      </c>
      <c r="E5987" s="128" t="s">
        <v>133</v>
      </c>
      <c r="F5987" s="128">
        <v>1694306.67</v>
      </c>
      <c r="G5987" s="128">
        <v>920260.7</v>
      </c>
      <c r="H5987" s="128">
        <v>658324.57999999996</v>
      </c>
      <c r="I5987" s="128">
        <v>8721</v>
      </c>
    </row>
    <row r="5988" spans="1:9" ht="13.5">
      <c r="A5988" s="128">
        <v>2009</v>
      </c>
      <c r="B5988" s="128" t="s">
        <v>131</v>
      </c>
      <c r="C5988" s="128" t="s">
        <v>22</v>
      </c>
      <c r="D5988" s="128" t="s">
        <v>77</v>
      </c>
      <c r="E5988" s="128" t="s">
        <v>134</v>
      </c>
      <c r="F5988" s="128">
        <v>4165293.68</v>
      </c>
      <c r="G5988" s="128">
        <v>1778685.91</v>
      </c>
      <c r="H5988" s="128">
        <v>1691356.95</v>
      </c>
      <c r="I5988" s="128">
        <v>10981</v>
      </c>
    </row>
    <row r="5989" spans="1:9" ht="13.5">
      <c r="A5989" s="128">
        <v>2009</v>
      </c>
      <c r="B5989" s="128" t="s">
        <v>131</v>
      </c>
      <c r="C5989" s="128" t="s">
        <v>22</v>
      </c>
      <c r="D5989" s="128" t="s">
        <v>77</v>
      </c>
      <c r="E5989" s="128" t="s">
        <v>135</v>
      </c>
      <c r="F5989" s="128">
        <v>9029679.7799999993</v>
      </c>
      <c r="G5989" s="128">
        <v>2442782.38</v>
      </c>
      <c r="H5989" s="128">
        <v>2590028.14</v>
      </c>
      <c r="I5989" s="128">
        <v>26924</v>
      </c>
    </row>
    <row r="5990" spans="1:9" ht="13.5">
      <c r="A5990" s="128">
        <v>2009</v>
      </c>
      <c r="B5990" s="128" t="s">
        <v>131</v>
      </c>
      <c r="C5990" s="128" t="s">
        <v>22</v>
      </c>
      <c r="D5990" s="128" t="s">
        <v>76</v>
      </c>
      <c r="E5990" s="128" t="s">
        <v>136</v>
      </c>
      <c r="F5990" s="128">
        <v>3101328</v>
      </c>
      <c r="G5990" s="128">
        <v>2352701.5</v>
      </c>
      <c r="H5990" s="128">
        <v>748653.75</v>
      </c>
      <c r="I5990" s="128">
        <v>58700</v>
      </c>
    </row>
    <row r="5991" spans="1:9" ht="13.5">
      <c r="A5991" s="128">
        <v>2009</v>
      </c>
      <c r="B5991" s="128" t="s">
        <v>131</v>
      </c>
      <c r="C5991" s="128" t="s">
        <v>22</v>
      </c>
      <c r="D5991" s="128" t="s">
        <v>76</v>
      </c>
      <c r="E5991" s="128" t="s">
        <v>132</v>
      </c>
      <c r="F5991" s="128">
        <v>30529169.120000001</v>
      </c>
      <c r="G5991" s="128">
        <v>19599722.859999999</v>
      </c>
      <c r="H5991" s="128">
        <v>10929129.220000001</v>
      </c>
      <c r="I5991" s="128">
        <v>410281</v>
      </c>
    </row>
    <row r="5992" spans="1:9" ht="13.5">
      <c r="A5992" s="128">
        <v>2009</v>
      </c>
      <c r="B5992" s="128" t="s">
        <v>131</v>
      </c>
      <c r="C5992" s="128" t="s">
        <v>22</v>
      </c>
      <c r="D5992" s="128" t="s">
        <v>76</v>
      </c>
      <c r="E5992" s="128" t="s">
        <v>133</v>
      </c>
      <c r="F5992" s="128">
        <v>49256368.329999998</v>
      </c>
      <c r="G5992" s="128">
        <v>27224340.170000002</v>
      </c>
      <c r="H5992" s="128">
        <v>22031525.859999999</v>
      </c>
      <c r="I5992" s="128">
        <v>246531</v>
      </c>
    </row>
    <row r="5993" spans="1:9" ht="13.5">
      <c r="A5993" s="128">
        <v>2009</v>
      </c>
      <c r="B5993" s="128" t="s">
        <v>131</v>
      </c>
      <c r="C5993" s="128" t="s">
        <v>22</v>
      </c>
      <c r="D5993" s="128" t="s">
        <v>76</v>
      </c>
      <c r="E5993" s="128" t="s">
        <v>134</v>
      </c>
      <c r="F5993" s="128">
        <v>41836417.990000002</v>
      </c>
      <c r="G5993" s="128">
        <v>19523670.530000001</v>
      </c>
      <c r="H5993" s="128">
        <v>22312629.539999999</v>
      </c>
      <c r="I5993" s="128">
        <v>261569</v>
      </c>
    </row>
    <row r="5994" spans="1:9" ht="13.5">
      <c r="A5994" s="128">
        <v>2009</v>
      </c>
      <c r="B5994" s="128" t="s">
        <v>131</v>
      </c>
      <c r="C5994" s="128" t="s">
        <v>22</v>
      </c>
      <c r="D5994" s="128" t="s">
        <v>76</v>
      </c>
      <c r="E5994" s="128" t="s">
        <v>135</v>
      </c>
      <c r="F5994" s="128">
        <v>4783801.8099999996</v>
      </c>
      <c r="G5994" s="128">
        <v>1328845.8999999999</v>
      </c>
      <c r="H5994" s="128">
        <v>3454956.11</v>
      </c>
      <c r="I5994" s="128">
        <v>5664</v>
      </c>
    </row>
    <row r="5995" spans="1:9" ht="13.5">
      <c r="A5995" s="128">
        <v>2009</v>
      </c>
      <c r="B5995" s="128" t="s">
        <v>131</v>
      </c>
      <c r="C5995" s="128" t="s">
        <v>23</v>
      </c>
      <c r="D5995" s="128" t="s">
        <v>79</v>
      </c>
      <c r="E5995" s="128" t="s">
        <v>136</v>
      </c>
      <c r="F5995" s="128">
        <v>2647776.69</v>
      </c>
      <c r="G5995" s="128">
        <v>1989062.81</v>
      </c>
      <c r="H5995" s="128">
        <v>658688.63</v>
      </c>
      <c r="I5995" s="128">
        <v>55739</v>
      </c>
    </row>
    <row r="5996" spans="1:9" ht="13.5">
      <c r="A5996" s="128">
        <v>2009</v>
      </c>
      <c r="B5996" s="128" t="s">
        <v>131</v>
      </c>
      <c r="C5996" s="128" t="s">
        <v>23</v>
      </c>
      <c r="D5996" s="128" t="s">
        <v>79</v>
      </c>
      <c r="E5996" s="128" t="s">
        <v>132</v>
      </c>
      <c r="F5996" s="128">
        <v>586795.72</v>
      </c>
      <c r="G5996" s="128">
        <v>397900.54</v>
      </c>
      <c r="H5996" s="128">
        <v>153890.91</v>
      </c>
      <c r="I5996" s="128">
        <v>4454</v>
      </c>
    </row>
    <row r="5997" spans="1:9" ht="13.5">
      <c r="A5997" s="128">
        <v>2009</v>
      </c>
      <c r="B5997" s="128" t="s">
        <v>131</v>
      </c>
      <c r="C5997" s="128" t="s">
        <v>23</v>
      </c>
      <c r="D5997" s="128" t="s">
        <v>79</v>
      </c>
      <c r="E5997" s="128" t="s">
        <v>133</v>
      </c>
      <c r="F5997" s="128">
        <v>1566990.17</v>
      </c>
      <c r="G5997" s="128">
        <v>848407.73</v>
      </c>
      <c r="H5997" s="128">
        <v>542685.38</v>
      </c>
      <c r="I5997" s="128">
        <v>9014</v>
      </c>
    </row>
    <row r="5998" spans="1:9" ht="13.5">
      <c r="A5998" s="128">
        <v>2009</v>
      </c>
      <c r="B5998" s="128" t="s">
        <v>131</v>
      </c>
      <c r="C5998" s="128" t="s">
        <v>23</v>
      </c>
      <c r="D5998" s="128" t="s">
        <v>79</v>
      </c>
      <c r="E5998" s="128" t="s">
        <v>134</v>
      </c>
      <c r="F5998" s="128">
        <v>5272082.37</v>
      </c>
      <c r="G5998" s="128">
        <v>2281862.2599999998</v>
      </c>
      <c r="H5998" s="128">
        <v>2772090.36</v>
      </c>
      <c r="I5998" s="128">
        <v>43305</v>
      </c>
    </row>
    <row r="5999" spans="1:9" ht="13.5">
      <c r="A5999" s="128">
        <v>2009</v>
      </c>
      <c r="B5999" s="128" t="s">
        <v>131</v>
      </c>
      <c r="C5999" s="128" t="s">
        <v>23</v>
      </c>
      <c r="D5999" s="128" t="s">
        <v>79</v>
      </c>
      <c r="E5999" s="128" t="s">
        <v>135</v>
      </c>
      <c r="F5999" s="128">
        <v>1784304.17</v>
      </c>
      <c r="G5999" s="128">
        <v>481583.73</v>
      </c>
      <c r="H5999" s="128">
        <v>233244.71</v>
      </c>
      <c r="I5999" s="128">
        <v>7096</v>
      </c>
    </row>
    <row r="6000" spans="1:9" ht="13.5">
      <c r="A6000" s="128">
        <v>2009</v>
      </c>
      <c r="B6000" s="128" t="s">
        <v>131</v>
      </c>
      <c r="C6000" s="128" t="s">
        <v>23</v>
      </c>
      <c r="D6000" s="128" t="s">
        <v>77</v>
      </c>
      <c r="E6000" s="128" t="s">
        <v>132</v>
      </c>
      <c r="F6000" s="128">
        <v>1787928.53</v>
      </c>
      <c r="G6000" s="128">
        <v>1175624.95</v>
      </c>
      <c r="H6000" s="128">
        <v>568975.81000000006</v>
      </c>
      <c r="I6000" s="128">
        <v>15123</v>
      </c>
    </row>
    <row r="6001" spans="1:9" ht="13.5">
      <c r="A6001" s="128">
        <v>2009</v>
      </c>
      <c r="B6001" s="128" t="s">
        <v>131</v>
      </c>
      <c r="C6001" s="128" t="s">
        <v>23</v>
      </c>
      <c r="D6001" s="128" t="s">
        <v>77</v>
      </c>
      <c r="E6001" s="128" t="s">
        <v>133</v>
      </c>
      <c r="F6001" s="128">
        <v>2827496.09</v>
      </c>
      <c r="G6001" s="128">
        <v>1540879.7</v>
      </c>
      <c r="H6001" s="128">
        <v>1180106.73</v>
      </c>
      <c r="I6001" s="128">
        <v>11323</v>
      </c>
    </row>
    <row r="6002" spans="1:9" ht="13.5">
      <c r="A6002" s="128">
        <v>2009</v>
      </c>
      <c r="B6002" s="128" t="s">
        <v>131</v>
      </c>
      <c r="C6002" s="128" t="s">
        <v>23</v>
      </c>
      <c r="D6002" s="128" t="s">
        <v>77</v>
      </c>
      <c r="E6002" s="128" t="s">
        <v>134</v>
      </c>
      <c r="F6002" s="128">
        <v>3049790.07</v>
      </c>
      <c r="G6002" s="128">
        <v>1392667.35</v>
      </c>
      <c r="H6002" s="128">
        <v>1461309.93</v>
      </c>
      <c r="I6002" s="128">
        <v>13299</v>
      </c>
    </row>
    <row r="6003" spans="1:9" ht="13.5">
      <c r="A6003" s="128">
        <v>2009</v>
      </c>
      <c r="B6003" s="128" t="s">
        <v>131</v>
      </c>
      <c r="C6003" s="128" t="s">
        <v>23</v>
      </c>
      <c r="D6003" s="128" t="s">
        <v>77</v>
      </c>
      <c r="E6003" s="128" t="s">
        <v>135</v>
      </c>
      <c r="F6003" s="128">
        <v>1810712.79</v>
      </c>
      <c r="G6003" s="128">
        <v>505712.24</v>
      </c>
      <c r="H6003" s="128">
        <v>569619.53</v>
      </c>
      <c r="I6003" s="128">
        <v>4205</v>
      </c>
    </row>
    <row r="6004" spans="1:9" ht="13.5">
      <c r="A6004" s="128">
        <v>2009</v>
      </c>
      <c r="B6004" s="128" t="s">
        <v>131</v>
      </c>
      <c r="C6004" s="128" t="s">
        <v>23</v>
      </c>
      <c r="D6004" s="128" t="s">
        <v>76</v>
      </c>
      <c r="E6004" s="128" t="s">
        <v>136</v>
      </c>
      <c r="F6004" s="128">
        <v>2435503.77</v>
      </c>
      <c r="G6004" s="128">
        <v>1830769.82</v>
      </c>
      <c r="H6004" s="128">
        <v>604770.65</v>
      </c>
      <c r="I6004" s="128">
        <v>21116</v>
      </c>
    </row>
    <row r="6005" spans="1:9" ht="13.5">
      <c r="A6005" s="128">
        <v>2009</v>
      </c>
      <c r="B6005" s="128" t="s">
        <v>131</v>
      </c>
      <c r="C6005" s="128" t="s">
        <v>23</v>
      </c>
      <c r="D6005" s="128" t="s">
        <v>76</v>
      </c>
      <c r="E6005" s="128" t="s">
        <v>132</v>
      </c>
      <c r="F6005" s="128">
        <v>8991117.7400000002</v>
      </c>
      <c r="G6005" s="128">
        <v>5939984.5499999998</v>
      </c>
      <c r="H6005" s="128">
        <v>3051025.24</v>
      </c>
      <c r="I6005" s="128">
        <v>133053</v>
      </c>
    </row>
    <row r="6006" spans="1:9" ht="13.5">
      <c r="A6006" s="128">
        <v>2009</v>
      </c>
      <c r="B6006" s="128" t="s">
        <v>131</v>
      </c>
      <c r="C6006" s="128" t="s">
        <v>23</v>
      </c>
      <c r="D6006" s="128" t="s">
        <v>76</v>
      </c>
      <c r="E6006" s="128" t="s">
        <v>133</v>
      </c>
      <c r="F6006" s="128">
        <v>17478910.859999999</v>
      </c>
      <c r="G6006" s="128">
        <v>9507972.7699999996</v>
      </c>
      <c r="H6006" s="128">
        <v>7970844.46</v>
      </c>
      <c r="I6006" s="128">
        <v>88213</v>
      </c>
    </row>
    <row r="6007" spans="1:9" ht="13.5">
      <c r="A6007" s="128">
        <v>2009</v>
      </c>
      <c r="B6007" s="128" t="s">
        <v>131</v>
      </c>
      <c r="C6007" s="128" t="s">
        <v>23</v>
      </c>
      <c r="D6007" s="128" t="s">
        <v>76</v>
      </c>
      <c r="E6007" s="128" t="s">
        <v>134</v>
      </c>
      <c r="F6007" s="128">
        <v>22190606.43</v>
      </c>
      <c r="G6007" s="128">
        <v>10200134.02</v>
      </c>
      <c r="H6007" s="128">
        <v>11990433.369999999</v>
      </c>
      <c r="I6007" s="128">
        <v>88932</v>
      </c>
    </row>
    <row r="6008" spans="1:9" ht="13.5">
      <c r="A6008" s="128">
        <v>2009</v>
      </c>
      <c r="B6008" s="128" t="s">
        <v>131</v>
      </c>
      <c r="C6008" s="128" t="s">
        <v>23</v>
      </c>
      <c r="D6008" s="128" t="s">
        <v>76</v>
      </c>
      <c r="E6008" s="128" t="s">
        <v>135</v>
      </c>
      <c r="F6008" s="128">
        <v>1356050.12</v>
      </c>
      <c r="G6008" s="128">
        <v>363439.84</v>
      </c>
      <c r="H6008" s="128">
        <v>992610.28</v>
      </c>
      <c r="I6008" s="128">
        <v>1567</v>
      </c>
    </row>
    <row r="6009" spans="1:9" ht="13.5">
      <c r="A6009" s="128">
        <v>2009</v>
      </c>
      <c r="B6009" s="128" t="s">
        <v>131</v>
      </c>
      <c r="C6009" s="128" t="s">
        <v>24</v>
      </c>
      <c r="D6009" s="128" t="s">
        <v>79</v>
      </c>
      <c r="E6009" s="128" t="s">
        <v>136</v>
      </c>
      <c r="F6009" s="128">
        <v>1598703.61</v>
      </c>
      <c r="G6009" s="128">
        <v>1203459.02</v>
      </c>
      <c r="H6009" s="128">
        <v>395244.79</v>
      </c>
      <c r="I6009" s="128">
        <v>36568</v>
      </c>
    </row>
    <row r="6010" spans="1:9" ht="13.5">
      <c r="A6010" s="128">
        <v>2009</v>
      </c>
      <c r="B6010" s="128" t="s">
        <v>131</v>
      </c>
      <c r="C6010" s="128" t="s">
        <v>24</v>
      </c>
      <c r="D6010" s="128" t="s">
        <v>79</v>
      </c>
      <c r="E6010" s="128" t="s">
        <v>132</v>
      </c>
      <c r="F6010" s="128">
        <v>472098.61</v>
      </c>
      <c r="G6010" s="128">
        <v>306940.77</v>
      </c>
      <c r="H6010" s="128">
        <v>106115.8</v>
      </c>
      <c r="I6010" s="128">
        <v>3499</v>
      </c>
    </row>
    <row r="6011" spans="1:9" ht="13.5">
      <c r="A6011" s="128">
        <v>2009</v>
      </c>
      <c r="B6011" s="128" t="s">
        <v>131</v>
      </c>
      <c r="C6011" s="128" t="s">
        <v>24</v>
      </c>
      <c r="D6011" s="128" t="s">
        <v>79</v>
      </c>
      <c r="E6011" s="128" t="s">
        <v>133</v>
      </c>
      <c r="F6011" s="128">
        <v>1361264.6399999999</v>
      </c>
      <c r="G6011" s="128">
        <v>738767.52</v>
      </c>
      <c r="H6011" s="128">
        <v>250115.4</v>
      </c>
      <c r="I6011" s="128">
        <v>9129</v>
      </c>
    </row>
    <row r="6012" spans="1:9" ht="13.5">
      <c r="A6012" s="128">
        <v>2009</v>
      </c>
      <c r="B6012" s="128" t="s">
        <v>131</v>
      </c>
      <c r="C6012" s="128" t="s">
        <v>24</v>
      </c>
      <c r="D6012" s="128" t="s">
        <v>79</v>
      </c>
      <c r="E6012" s="128" t="s">
        <v>134</v>
      </c>
      <c r="F6012" s="128">
        <v>2903085.5</v>
      </c>
      <c r="G6012" s="128">
        <v>1235655.95</v>
      </c>
      <c r="H6012" s="128">
        <v>420719.31</v>
      </c>
      <c r="I6012" s="128">
        <v>16571</v>
      </c>
    </row>
    <row r="6013" spans="1:9" ht="13.5">
      <c r="A6013" s="128">
        <v>2009</v>
      </c>
      <c r="B6013" s="128" t="s">
        <v>131</v>
      </c>
      <c r="C6013" s="128" t="s">
        <v>24</v>
      </c>
      <c r="D6013" s="128" t="s">
        <v>79</v>
      </c>
      <c r="E6013" s="128" t="s">
        <v>135</v>
      </c>
      <c r="F6013" s="128">
        <v>5946244.8200000003</v>
      </c>
      <c r="G6013" s="128">
        <v>1486385.17</v>
      </c>
      <c r="H6013" s="128">
        <v>498008.74</v>
      </c>
      <c r="I6013" s="128">
        <v>15914</v>
      </c>
    </row>
    <row r="6014" spans="1:9" ht="13.5">
      <c r="A6014" s="128">
        <v>2009</v>
      </c>
      <c r="B6014" s="128" t="s">
        <v>131</v>
      </c>
      <c r="C6014" s="128" t="s">
        <v>24</v>
      </c>
      <c r="D6014" s="128" t="s">
        <v>77</v>
      </c>
      <c r="E6014" s="128" t="s">
        <v>132</v>
      </c>
      <c r="F6014" s="128">
        <v>1758168.77</v>
      </c>
      <c r="G6014" s="128">
        <v>1185815.71</v>
      </c>
      <c r="H6014" s="128">
        <v>545132.27</v>
      </c>
      <c r="I6014" s="128">
        <v>10483</v>
      </c>
    </row>
    <row r="6015" spans="1:9" ht="13.5">
      <c r="A6015" s="128">
        <v>2009</v>
      </c>
      <c r="B6015" s="128" t="s">
        <v>131</v>
      </c>
      <c r="C6015" s="128" t="s">
        <v>24</v>
      </c>
      <c r="D6015" s="128" t="s">
        <v>77</v>
      </c>
      <c r="E6015" s="128" t="s">
        <v>133</v>
      </c>
      <c r="F6015" s="128">
        <v>3887954.76</v>
      </c>
      <c r="G6015" s="128">
        <v>2082897.65</v>
      </c>
      <c r="H6015" s="128">
        <v>1517906.22</v>
      </c>
      <c r="I6015" s="128">
        <v>18601</v>
      </c>
    </row>
    <row r="6016" spans="1:9" ht="13.5">
      <c r="A6016" s="128">
        <v>2009</v>
      </c>
      <c r="B6016" s="128" t="s">
        <v>131</v>
      </c>
      <c r="C6016" s="128" t="s">
        <v>24</v>
      </c>
      <c r="D6016" s="128" t="s">
        <v>77</v>
      </c>
      <c r="E6016" s="128" t="s">
        <v>134</v>
      </c>
      <c r="F6016" s="128">
        <v>6467369.9800000004</v>
      </c>
      <c r="G6016" s="128">
        <v>2804075.54</v>
      </c>
      <c r="H6016" s="128">
        <v>2181283.62</v>
      </c>
      <c r="I6016" s="128">
        <v>23486</v>
      </c>
    </row>
    <row r="6017" spans="1:9" ht="13.5">
      <c r="A6017" s="128">
        <v>2009</v>
      </c>
      <c r="B6017" s="128" t="s">
        <v>131</v>
      </c>
      <c r="C6017" s="128" t="s">
        <v>24</v>
      </c>
      <c r="D6017" s="128" t="s">
        <v>77</v>
      </c>
      <c r="E6017" s="128" t="s">
        <v>135</v>
      </c>
      <c r="F6017" s="128">
        <v>10521106.48</v>
      </c>
      <c r="G6017" s="128">
        <v>2790076.95</v>
      </c>
      <c r="H6017" s="128">
        <v>2026078.2</v>
      </c>
      <c r="I6017" s="128">
        <v>20432</v>
      </c>
    </row>
    <row r="6018" spans="1:9" ht="13.5">
      <c r="A6018" s="128">
        <v>2009</v>
      </c>
      <c r="B6018" s="128" t="s">
        <v>131</v>
      </c>
      <c r="C6018" s="128" t="s">
        <v>24</v>
      </c>
      <c r="D6018" s="128" t="s">
        <v>76</v>
      </c>
      <c r="E6018" s="128" t="s">
        <v>136</v>
      </c>
      <c r="F6018" s="128">
        <v>811436.87</v>
      </c>
      <c r="G6018" s="128">
        <v>619617.47</v>
      </c>
      <c r="H6018" s="128">
        <v>191819.4</v>
      </c>
      <c r="I6018" s="128">
        <v>8990</v>
      </c>
    </row>
    <row r="6019" spans="1:9" ht="13.5">
      <c r="A6019" s="128">
        <v>2009</v>
      </c>
      <c r="B6019" s="128" t="s">
        <v>131</v>
      </c>
      <c r="C6019" s="128" t="s">
        <v>24</v>
      </c>
      <c r="D6019" s="128" t="s">
        <v>76</v>
      </c>
      <c r="E6019" s="128" t="s">
        <v>132</v>
      </c>
      <c r="F6019" s="128">
        <v>8327285.4500000002</v>
      </c>
      <c r="G6019" s="128">
        <v>5256682.55</v>
      </c>
      <c r="H6019" s="128">
        <v>3070583.64</v>
      </c>
      <c r="I6019" s="128">
        <v>85708</v>
      </c>
    </row>
    <row r="6020" spans="1:9" ht="13.5">
      <c r="A6020" s="128">
        <v>2009</v>
      </c>
      <c r="B6020" s="128" t="s">
        <v>131</v>
      </c>
      <c r="C6020" s="128" t="s">
        <v>24</v>
      </c>
      <c r="D6020" s="128" t="s">
        <v>76</v>
      </c>
      <c r="E6020" s="128" t="s">
        <v>133</v>
      </c>
      <c r="F6020" s="128">
        <v>23862192.579999998</v>
      </c>
      <c r="G6020" s="128">
        <v>13099859.98</v>
      </c>
      <c r="H6020" s="128">
        <v>10762317.449999999</v>
      </c>
      <c r="I6020" s="128">
        <v>145783</v>
      </c>
    </row>
    <row r="6021" spans="1:9" ht="13.5">
      <c r="A6021" s="128">
        <v>2009</v>
      </c>
      <c r="B6021" s="128" t="s">
        <v>131</v>
      </c>
      <c r="C6021" s="128" t="s">
        <v>24</v>
      </c>
      <c r="D6021" s="128" t="s">
        <v>76</v>
      </c>
      <c r="E6021" s="128" t="s">
        <v>134</v>
      </c>
      <c r="F6021" s="128">
        <v>24505595.140000001</v>
      </c>
      <c r="G6021" s="128">
        <v>10778175.73</v>
      </c>
      <c r="H6021" s="128">
        <v>13727410.029999999</v>
      </c>
      <c r="I6021" s="128">
        <v>133906</v>
      </c>
    </row>
    <row r="6022" spans="1:9" ht="13.5">
      <c r="A6022" s="128">
        <v>2009</v>
      </c>
      <c r="B6022" s="128" t="s">
        <v>131</v>
      </c>
      <c r="C6022" s="128" t="s">
        <v>24</v>
      </c>
      <c r="D6022" s="128" t="s">
        <v>76</v>
      </c>
      <c r="E6022" s="128" t="s">
        <v>135</v>
      </c>
      <c r="F6022" s="128">
        <v>2666579.2000000002</v>
      </c>
      <c r="G6022" s="128">
        <v>613083</v>
      </c>
      <c r="H6022" s="128">
        <v>2053496.2</v>
      </c>
      <c r="I6022" s="128">
        <v>1847</v>
      </c>
    </row>
    <row r="6023" spans="1:9" ht="13.5">
      <c r="A6023" s="128">
        <v>2009</v>
      </c>
      <c r="B6023" s="128" t="s">
        <v>131</v>
      </c>
      <c r="C6023" s="128" t="s">
        <v>25</v>
      </c>
      <c r="D6023" s="128" t="s">
        <v>79</v>
      </c>
      <c r="E6023" s="128" t="s">
        <v>136</v>
      </c>
      <c r="F6023" s="128">
        <v>1073835.17</v>
      </c>
      <c r="G6023" s="128">
        <v>807621.06</v>
      </c>
      <c r="H6023" s="128">
        <v>265941.15999999997</v>
      </c>
      <c r="I6023" s="128">
        <v>15850</v>
      </c>
    </row>
    <row r="6024" spans="1:9" ht="13.5">
      <c r="A6024" s="128">
        <v>2009</v>
      </c>
      <c r="B6024" s="128" t="s">
        <v>131</v>
      </c>
      <c r="C6024" s="128" t="s">
        <v>25</v>
      </c>
      <c r="D6024" s="128" t="s">
        <v>79</v>
      </c>
      <c r="E6024" s="128" t="s">
        <v>132</v>
      </c>
      <c r="F6024" s="128">
        <v>243429.26</v>
      </c>
      <c r="G6024" s="128">
        <v>165136.37</v>
      </c>
      <c r="H6024" s="128">
        <v>55303.87</v>
      </c>
      <c r="I6024" s="128">
        <v>1765</v>
      </c>
    </row>
    <row r="6025" spans="1:9" ht="13.5">
      <c r="A6025" s="128">
        <v>2009</v>
      </c>
      <c r="B6025" s="128" t="s">
        <v>131</v>
      </c>
      <c r="C6025" s="128" t="s">
        <v>25</v>
      </c>
      <c r="D6025" s="128" t="s">
        <v>79</v>
      </c>
      <c r="E6025" s="128" t="s">
        <v>133</v>
      </c>
      <c r="F6025" s="128">
        <v>256785.42</v>
      </c>
      <c r="G6025" s="128">
        <v>139365.22</v>
      </c>
      <c r="H6025" s="128">
        <v>51691.11</v>
      </c>
      <c r="I6025" s="128">
        <v>902</v>
      </c>
    </row>
    <row r="6026" spans="1:9" ht="13.5">
      <c r="A6026" s="128">
        <v>2009</v>
      </c>
      <c r="B6026" s="128" t="s">
        <v>131</v>
      </c>
      <c r="C6026" s="128" t="s">
        <v>25</v>
      </c>
      <c r="D6026" s="128" t="s">
        <v>79</v>
      </c>
      <c r="E6026" s="128" t="s">
        <v>134</v>
      </c>
      <c r="F6026" s="128">
        <v>637182.05000000005</v>
      </c>
      <c r="G6026" s="128">
        <v>271686.01</v>
      </c>
      <c r="H6026" s="128">
        <v>115084.5</v>
      </c>
      <c r="I6026" s="128">
        <v>2928</v>
      </c>
    </row>
    <row r="6027" spans="1:9" ht="13.5">
      <c r="A6027" s="128">
        <v>2009</v>
      </c>
      <c r="B6027" s="128" t="s">
        <v>131</v>
      </c>
      <c r="C6027" s="128" t="s">
        <v>25</v>
      </c>
      <c r="D6027" s="128" t="s">
        <v>79</v>
      </c>
      <c r="E6027" s="128" t="s">
        <v>135</v>
      </c>
      <c r="F6027" s="128">
        <v>2617327.81</v>
      </c>
      <c r="G6027" s="128">
        <v>654483.69999999995</v>
      </c>
      <c r="H6027" s="128">
        <v>227573.79</v>
      </c>
      <c r="I6027" s="128">
        <v>5535</v>
      </c>
    </row>
    <row r="6028" spans="1:9" ht="13.5">
      <c r="A6028" s="128">
        <v>2009</v>
      </c>
      <c r="B6028" s="128" t="s">
        <v>131</v>
      </c>
      <c r="C6028" s="128" t="s">
        <v>25</v>
      </c>
      <c r="D6028" s="128" t="s">
        <v>77</v>
      </c>
      <c r="E6028" s="128" t="s">
        <v>132</v>
      </c>
      <c r="F6028" s="128">
        <v>72485.179999999993</v>
      </c>
      <c r="G6028" s="128">
        <v>49107.3</v>
      </c>
      <c r="H6028" s="128">
        <v>19578.759999999998</v>
      </c>
      <c r="I6028" s="128">
        <v>452</v>
      </c>
    </row>
    <row r="6029" spans="1:9" ht="13.5">
      <c r="A6029" s="128">
        <v>2009</v>
      </c>
      <c r="B6029" s="128" t="s">
        <v>131</v>
      </c>
      <c r="C6029" s="128" t="s">
        <v>25</v>
      </c>
      <c r="D6029" s="128" t="s">
        <v>77</v>
      </c>
      <c r="E6029" s="128" t="s">
        <v>133</v>
      </c>
      <c r="F6029" s="128">
        <v>184497.05</v>
      </c>
      <c r="G6029" s="128">
        <v>99435.75</v>
      </c>
      <c r="H6029" s="128">
        <v>76295.77</v>
      </c>
      <c r="I6029" s="128">
        <v>582</v>
      </c>
    </row>
    <row r="6030" spans="1:9" ht="13.5">
      <c r="A6030" s="128">
        <v>2009</v>
      </c>
      <c r="B6030" s="128" t="s">
        <v>131</v>
      </c>
      <c r="C6030" s="128" t="s">
        <v>25</v>
      </c>
      <c r="D6030" s="128" t="s">
        <v>77</v>
      </c>
      <c r="E6030" s="128" t="s">
        <v>134</v>
      </c>
      <c r="F6030" s="128">
        <v>613170.18999999994</v>
      </c>
      <c r="G6030" s="128">
        <v>264198.90000000002</v>
      </c>
      <c r="H6030" s="128">
        <v>267711.45</v>
      </c>
      <c r="I6030" s="128">
        <v>1627</v>
      </c>
    </row>
    <row r="6031" spans="1:9" ht="13.5">
      <c r="A6031" s="128">
        <v>2009</v>
      </c>
      <c r="B6031" s="128" t="s">
        <v>131</v>
      </c>
      <c r="C6031" s="128" t="s">
        <v>25</v>
      </c>
      <c r="D6031" s="128" t="s">
        <v>77</v>
      </c>
      <c r="E6031" s="128" t="s">
        <v>135</v>
      </c>
      <c r="F6031" s="128">
        <v>1121725.27</v>
      </c>
      <c r="G6031" s="128">
        <v>332356.15000000002</v>
      </c>
      <c r="H6031" s="128">
        <v>378408.88</v>
      </c>
      <c r="I6031" s="128">
        <v>3928</v>
      </c>
    </row>
    <row r="6032" spans="1:9" ht="13.5">
      <c r="A6032" s="128">
        <v>2009</v>
      </c>
      <c r="B6032" s="128" t="s">
        <v>131</v>
      </c>
      <c r="C6032" s="128" t="s">
        <v>25</v>
      </c>
      <c r="D6032" s="128" t="s">
        <v>76</v>
      </c>
      <c r="E6032" s="128" t="s">
        <v>136</v>
      </c>
      <c r="F6032" s="128">
        <v>515442.02</v>
      </c>
      <c r="G6032" s="128">
        <v>391277.8</v>
      </c>
      <c r="H6032" s="128">
        <v>124202.22</v>
      </c>
      <c r="I6032" s="128">
        <v>8403</v>
      </c>
    </row>
    <row r="6033" spans="1:9" ht="13.5">
      <c r="A6033" s="128">
        <v>2009</v>
      </c>
      <c r="B6033" s="128" t="s">
        <v>131</v>
      </c>
      <c r="C6033" s="128" t="s">
        <v>25</v>
      </c>
      <c r="D6033" s="128" t="s">
        <v>76</v>
      </c>
      <c r="E6033" s="128" t="s">
        <v>132</v>
      </c>
      <c r="F6033" s="128">
        <v>3157515.05</v>
      </c>
      <c r="G6033" s="128">
        <v>2036428.57</v>
      </c>
      <c r="H6033" s="128">
        <v>1121083.76</v>
      </c>
      <c r="I6033" s="128">
        <v>36068</v>
      </c>
    </row>
    <row r="6034" spans="1:9" ht="13.5">
      <c r="A6034" s="128">
        <v>2009</v>
      </c>
      <c r="B6034" s="128" t="s">
        <v>131</v>
      </c>
      <c r="C6034" s="128" t="s">
        <v>25</v>
      </c>
      <c r="D6034" s="128" t="s">
        <v>76</v>
      </c>
      <c r="E6034" s="128" t="s">
        <v>133</v>
      </c>
      <c r="F6034" s="128">
        <v>5116504.45</v>
      </c>
      <c r="G6034" s="128">
        <v>2799170.48</v>
      </c>
      <c r="H6034" s="128">
        <v>2317332.56</v>
      </c>
      <c r="I6034" s="128">
        <v>17264</v>
      </c>
    </row>
    <row r="6035" spans="1:9" ht="13.5">
      <c r="A6035" s="128">
        <v>2009</v>
      </c>
      <c r="B6035" s="128" t="s">
        <v>131</v>
      </c>
      <c r="C6035" s="128" t="s">
        <v>25</v>
      </c>
      <c r="D6035" s="128" t="s">
        <v>76</v>
      </c>
      <c r="E6035" s="128" t="s">
        <v>134</v>
      </c>
      <c r="F6035" s="128">
        <v>5296198.0599999996</v>
      </c>
      <c r="G6035" s="128">
        <v>2448875.63</v>
      </c>
      <c r="H6035" s="128">
        <v>2847318.26</v>
      </c>
      <c r="I6035" s="128">
        <v>31449</v>
      </c>
    </row>
    <row r="6036" spans="1:9" ht="13.5">
      <c r="A6036" s="128">
        <v>2009</v>
      </c>
      <c r="B6036" s="128" t="s">
        <v>131</v>
      </c>
      <c r="C6036" s="128" t="s">
        <v>25</v>
      </c>
      <c r="D6036" s="128" t="s">
        <v>76</v>
      </c>
      <c r="E6036" s="128" t="s">
        <v>135</v>
      </c>
      <c r="F6036" s="128">
        <v>450780.04</v>
      </c>
      <c r="G6036" s="128">
        <v>126078.97</v>
      </c>
      <c r="H6036" s="128">
        <v>324701.07</v>
      </c>
      <c r="I6036" s="128">
        <v>390</v>
      </c>
    </row>
    <row r="6037" spans="1:9" ht="13.5">
      <c r="A6037" s="128">
        <v>2009</v>
      </c>
      <c r="B6037" s="128" t="s">
        <v>131</v>
      </c>
      <c r="C6037" s="128" t="s">
        <v>26</v>
      </c>
      <c r="D6037" s="128" t="s">
        <v>79</v>
      </c>
      <c r="E6037" s="128" t="s">
        <v>136</v>
      </c>
      <c r="F6037" s="128">
        <v>668482.59</v>
      </c>
      <c r="G6037" s="128">
        <v>503199.64</v>
      </c>
      <c r="H6037" s="128">
        <v>165140.35</v>
      </c>
      <c r="I6037" s="128">
        <v>7437</v>
      </c>
    </row>
    <row r="6038" spans="1:9" ht="13.5">
      <c r="A6038" s="128">
        <v>2009</v>
      </c>
      <c r="B6038" s="128" t="s">
        <v>131</v>
      </c>
      <c r="C6038" s="128" t="s">
        <v>26</v>
      </c>
      <c r="D6038" s="128" t="s">
        <v>79</v>
      </c>
      <c r="E6038" s="128" t="s">
        <v>132</v>
      </c>
      <c r="F6038" s="128">
        <v>168791.93</v>
      </c>
      <c r="G6038" s="128">
        <v>111061.55</v>
      </c>
      <c r="H6038" s="128">
        <v>37000.57</v>
      </c>
      <c r="I6038" s="128">
        <v>1009</v>
      </c>
    </row>
    <row r="6039" spans="1:9" ht="13.5">
      <c r="A6039" s="128">
        <v>2009</v>
      </c>
      <c r="B6039" s="128" t="s">
        <v>131</v>
      </c>
      <c r="C6039" s="128" t="s">
        <v>26</v>
      </c>
      <c r="D6039" s="128" t="s">
        <v>79</v>
      </c>
      <c r="E6039" s="128" t="s">
        <v>133</v>
      </c>
      <c r="F6039" s="128">
        <v>189270.81</v>
      </c>
      <c r="G6039" s="128">
        <v>102490.97</v>
      </c>
      <c r="H6039" s="128">
        <v>34301.85</v>
      </c>
      <c r="I6039" s="128">
        <v>573</v>
      </c>
    </row>
    <row r="6040" spans="1:9" ht="13.5">
      <c r="A6040" s="128">
        <v>2009</v>
      </c>
      <c r="B6040" s="128" t="s">
        <v>131</v>
      </c>
      <c r="C6040" s="128" t="s">
        <v>26</v>
      </c>
      <c r="D6040" s="128" t="s">
        <v>79</v>
      </c>
      <c r="E6040" s="128" t="s">
        <v>134</v>
      </c>
      <c r="F6040" s="128">
        <v>720682.18</v>
      </c>
      <c r="G6040" s="128">
        <v>301048.46000000002</v>
      </c>
      <c r="H6040" s="128">
        <v>102200.93</v>
      </c>
      <c r="I6040" s="128">
        <v>2370</v>
      </c>
    </row>
    <row r="6041" spans="1:9" ht="13.5">
      <c r="A6041" s="128">
        <v>2009</v>
      </c>
      <c r="B6041" s="128" t="s">
        <v>131</v>
      </c>
      <c r="C6041" s="128" t="s">
        <v>26</v>
      </c>
      <c r="D6041" s="128" t="s">
        <v>79</v>
      </c>
      <c r="E6041" s="128" t="s">
        <v>135</v>
      </c>
      <c r="F6041" s="128">
        <v>5820881.1500000004</v>
      </c>
      <c r="G6041" s="128">
        <v>1489644.3</v>
      </c>
      <c r="H6041" s="128">
        <v>498382.79</v>
      </c>
      <c r="I6041" s="128">
        <v>10555</v>
      </c>
    </row>
    <row r="6042" spans="1:9" ht="13.5">
      <c r="A6042" s="128">
        <v>2009</v>
      </c>
      <c r="B6042" s="128" t="s">
        <v>131</v>
      </c>
      <c r="C6042" s="128" t="s">
        <v>26</v>
      </c>
      <c r="D6042" s="128" t="s">
        <v>77</v>
      </c>
      <c r="E6042" s="128" t="s">
        <v>132</v>
      </c>
      <c r="F6042" s="128">
        <v>24945.84</v>
      </c>
      <c r="G6042" s="128">
        <v>16518.650000000001</v>
      </c>
      <c r="H6042" s="128">
        <v>7127.78</v>
      </c>
      <c r="I6042" s="128">
        <v>163</v>
      </c>
    </row>
    <row r="6043" spans="1:9" ht="13.5">
      <c r="A6043" s="128">
        <v>2009</v>
      </c>
      <c r="B6043" s="128" t="s">
        <v>131</v>
      </c>
      <c r="C6043" s="128" t="s">
        <v>26</v>
      </c>
      <c r="D6043" s="128" t="s">
        <v>77</v>
      </c>
      <c r="E6043" s="128" t="s">
        <v>133</v>
      </c>
      <c r="F6043" s="128">
        <v>90812.5</v>
      </c>
      <c r="G6043" s="128">
        <v>48147.4</v>
      </c>
      <c r="H6043" s="128">
        <v>36439.4</v>
      </c>
      <c r="I6043" s="128">
        <v>206</v>
      </c>
    </row>
    <row r="6044" spans="1:9" ht="13.5">
      <c r="A6044" s="128">
        <v>2009</v>
      </c>
      <c r="B6044" s="128" t="s">
        <v>131</v>
      </c>
      <c r="C6044" s="128" t="s">
        <v>26</v>
      </c>
      <c r="D6044" s="128" t="s">
        <v>77</v>
      </c>
      <c r="E6044" s="128" t="s">
        <v>134</v>
      </c>
      <c r="F6044" s="128">
        <v>371739.84</v>
      </c>
      <c r="G6044" s="128">
        <v>155310.65</v>
      </c>
      <c r="H6044" s="128">
        <v>135528.28</v>
      </c>
      <c r="I6044" s="128">
        <v>825</v>
      </c>
    </row>
    <row r="6045" spans="1:9" ht="13.5">
      <c r="A6045" s="128">
        <v>2009</v>
      </c>
      <c r="B6045" s="128" t="s">
        <v>131</v>
      </c>
      <c r="C6045" s="128" t="s">
        <v>26</v>
      </c>
      <c r="D6045" s="128" t="s">
        <v>77</v>
      </c>
      <c r="E6045" s="128" t="s">
        <v>135</v>
      </c>
      <c r="F6045" s="128">
        <v>600825.23</v>
      </c>
      <c r="G6045" s="128">
        <v>159070.04999999999</v>
      </c>
      <c r="H6045" s="128">
        <v>159365.29999999999</v>
      </c>
      <c r="I6045" s="128">
        <v>1573</v>
      </c>
    </row>
    <row r="6046" spans="1:9" ht="13.5">
      <c r="A6046" s="128">
        <v>2009</v>
      </c>
      <c r="B6046" s="128" t="s">
        <v>131</v>
      </c>
      <c r="C6046" s="128" t="s">
        <v>26</v>
      </c>
      <c r="D6046" s="128" t="s">
        <v>76</v>
      </c>
      <c r="E6046" s="128" t="s">
        <v>136</v>
      </c>
      <c r="F6046" s="128">
        <v>191623.37</v>
      </c>
      <c r="G6046" s="128">
        <v>145527.22</v>
      </c>
      <c r="H6046" s="128">
        <v>46108.15</v>
      </c>
      <c r="I6046" s="128">
        <v>6842</v>
      </c>
    </row>
    <row r="6047" spans="1:9" ht="13.5">
      <c r="A6047" s="128">
        <v>2009</v>
      </c>
      <c r="B6047" s="128" t="s">
        <v>131</v>
      </c>
      <c r="C6047" s="128" t="s">
        <v>26</v>
      </c>
      <c r="D6047" s="128" t="s">
        <v>76</v>
      </c>
      <c r="E6047" s="128" t="s">
        <v>132</v>
      </c>
      <c r="F6047" s="128">
        <v>1015176.59</v>
      </c>
      <c r="G6047" s="128">
        <v>659238.31999999995</v>
      </c>
      <c r="H6047" s="128">
        <v>355924.25</v>
      </c>
      <c r="I6047" s="128">
        <v>15338</v>
      </c>
    </row>
    <row r="6048" spans="1:9" ht="13.5">
      <c r="A6048" s="128">
        <v>2009</v>
      </c>
      <c r="B6048" s="128" t="s">
        <v>131</v>
      </c>
      <c r="C6048" s="128" t="s">
        <v>26</v>
      </c>
      <c r="D6048" s="128" t="s">
        <v>76</v>
      </c>
      <c r="E6048" s="128" t="s">
        <v>133</v>
      </c>
      <c r="F6048" s="128">
        <v>1768074.7</v>
      </c>
      <c r="G6048" s="128">
        <v>963805.82</v>
      </c>
      <c r="H6048" s="128">
        <v>804243.73</v>
      </c>
      <c r="I6048" s="128">
        <v>6659</v>
      </c>
    </row>
    <row r="6049" spans="1:9" ht="13.5">
      <c r="A6049" s="128">
        <v>2009</v>
      </c>
      <c r="B6049" s="128" t="s">
        <v>131</v>
      </c>
      <c r="C6049" s="128" t="s">
        <v>26</v>
      </c>
      <c r="D6049" s="128" t="s">
        <v>76</v>
      </c>
      <c r="E6049" s="128" t="s">
        <v>134</v>
      </c>
      <c r="F6049" s="128">
        <v>1692946.63</v>
      </c>
      <c r="G6049" s="128">
        <v>783398.33</v>
      </c>
      <c r="H6049" s="128">
        <v>909543.92</v>
      </c>
      <c r="I6049" s="128">
        <v>11906</v>
      </c>
    </row>
    <row r="6050" spans="1:9" ht="13.5">
      <c r="A6050" s="128">
        <v>2009</v>
      </c>
      <c r="B6050" s="128" t="s">
        <v>131</v>
      </c>
      <c r="C6050" s="128" t="s">
        <v>26</v>
      </c>
      <c r="D6050" s="128" t="s">
        <v>76</v>
      </c>
      <c r="E6050" s="128" t="s">
        <v>135</v>
      </c>
      <c r="F6050" s="128">
        <v>357907.94</v>
      </c>
      <c r="G6050" s="128">
        <v>104414.04</v>
      </c>
      <c r="H6050" s="128">
        <v>253493.9</v>
      </c>
      <c r="I6050" s="128">
        <v>498</v>
      </c>
    </row>
    <row r="6051" spans="1:9" ht="13.5">
      <c r="A6051" s="128">
        <v>2009</v>
      </c>
      <c r="B6051" s="128" t="s">
        <v>131</v>
      </c>
      <c r="C6051" s="128" t="s">
        <v>27</v>
      </c>
      <c r="D6051" s="128" t="s">
        <v>79</v>
      </c>
      <c r="E6051" s="128" t="s">
        <v>136</v>
      </c>
      <c r="F6051" s="128">
        <v>241543.81</v>
      </c>
      <c r="G6051" s="128">
        <v>181380.29</v>
      </c>
      <c r="H6051" s="128">
        <v>60163.519999999997</v>
      </c>
      <c r="I6051" s="128">
        <v>2025</v>
      </c>
    </row>
    <row r="6052" spans="1:9" ht="13.5">
      <c r="A6052" s="128">
        <v>2009</v>
      </c>
      <c r="B6052" s="128" t="s">
        <v>131</v>
      </c>
      <c r="C6052" s="128" t="s">
        <v>27</v>
      </c>
      <c r="D6052" s="128" t="s">
        <v>79</v>
      </c>
      <c r="E6052" s="128" t="s">
        <v>132</v>
      </c>
      <c r="F6052" s="128">
        <v>49607.48</v>
      </c>
      <c r="G6052" s="128">
        <v>31931.78</v>
      </c>
      <c r="H6052" s="128">
        <v>11210.95</v>
      </c>
      <c r="I6052" s="128">
        <v>148</v>
      </c>
    </row>
    <row r="6053" spans="1:9" ht="13.5">
      <c r="A6053" s="128">
        <v>2009</v>
      </c>
      <c r="B6053" s="128" t="s">
        <v>131</v>
      </c>
      <c r="C6053" s="128" t="s">
        <v>27</v>
      </c>
      <c r="D6053" s="128" t="s">
        <v>79</v>
      </c>
      <c r="E6053" s="128" t="s">
        <v>133</v>
      </c>
      <c r="F6053" s="128">
        <v>45741.88</v>
      </c>
      <c r="G6053" s="128">
        <v>24440.799999999999</v>
      </c>
      <c r="H6053" s="128">
        <v>8202.85</v>
      </c>
      <c r="I6053" s="128">
        <v>233</v>
      </c>
    </row>
    <row r="6054" spans="1:9" ht="13.5">
      <c r="A6054" s="128">
        <v>2009</v>
      </c>
      <c r="B6054" s="128" t="s">
        <v>131</v>
      </c>
      <c r="C6054" s="128" t="s">
        <v>27</v>
      </c>
      <c r="D6054" s="128" t="s">
        <v>79</v>
      </c>
      <c r="E6054" s="128" t="s">
        <v>134</v>
      </c>
      <c r="F6054" s="128">
        <v>162225.37</v>
      </c>
      <c r="G6054" s="128">
        <v>68753.36</v>
      </c>
      <c r="H6054" s="128">
        <v>29551.53</v>
      </c>
      <c r="I6054" s="128">
        <v>757</v>
      </c>
    </row>
    <row r="6055" spans="1:9" ht="13.5">
      <c r="A6055" s="128">
        <v>2009</v>
      </c>
      <c r="B6055" s="128" t="s">
        <v>131</v>
      </c>
      <c r="C6055" s="128" t="s">
        <v>27</v>
      </c>
      <c r="D6055" s="128" t="s">
        <v>79</v>
      </c>
      <c r="E6055" s="128" t="s">
        <v>135</v>
      </c>
      <c r="F6055" s="128">
        <v>874246.31</v>
      </c>
      <c r="G6055" s="128">
        <v>233240.59</v>
      </c>
      <c r="H6055" s="128">
        <v>77757.38</v>
      </c>
      <c r="I6055" s="128">
        <v>1938</v>
      </c>
    </row>
    <row r="6056" spans="1:9" ht="13.5">
      <c r="A6056" s="128">
        <v>2009</v>
      </c>
      <c r="B6056" s="128" t="s">
        <v>131</v>
      </c>
      <c r="C6056" s="128" t="s">
        <v>27</v>
      </c>
      <c r="D6056" s="128" t="s">
        <v>77</v>
      </c>
      <c r="E6056" s="128" t="s">
        <v>132</v>
      </c>
      <c r="F6056" s="128">
        <v>12731.47</v>
      </c>
      <c r="G6056" s="128">
        <v>8473.25</v>
      </c>
      <c r="H6056" s="128">
        <v>3548.36</v>
      </c>
      <c r="I6056" s="128">
        <v>98</v>
      </c>
    </row>
    <row r="6057" spans="1:9" ht="13.5">
      <c r="A6057" s="128">
        <v>2009</v>
      </c>
      <c r="B6057" s="128" t="s">
        <v>131</v>
      </c>
      <c r="C6057" s="128" t="s">
        <v>27</v>
      </c>
      <c r="D6057" s="128" t="s">
        <v>77</v>
      </c>
      <c r="E6057" s="128" t="s">
        <v>133</v>
      </c>
      <c r="F6057" s="128">
        <v>32555.68</v>
      </c>
      <c r="G6057" s="128">
        <v>17327.2</v>
      </c>
      <c r="H6057" s="128">
        <v>13044.54</v>
      </c>
      <c r="I6057" s="128">
        <v>134</v>
      </c>
    </row>
    <row r="6058" spans="1:9" ht="13.5">
      <c r="A6058" s="128">
        <v>2009</v>
      </c>
      <c r="B6058" s="128" t="s">
        <v>131</v>
      </c>
      <c r="C6058" s="128" t="s">
        <v>27</v>
      </c>
      <c r="D6058" s="128" t="s">
        <v>77</v>
      </c>
      <c r="E6058" s="128" t="s">
        <v>134</v>
      </c>
      <c r="F6058" s="128">
        <v>53144.28</v>
      </c>
      <c r="G6058" s="128">
        <v>22807.94</v>
      </c>
      <c r="H6058" s="128">
        <v>21250.22</v>
      </c>
      <c r="I6058" s="128">
        <v>157</v>
      </c>
    </row>
    <row r="6059" spans="1:9" ht="13.5">
      <c r="A6059" s="128">
        <v>2009</v>
      </c>
      <c r="B6059" s="128" t="s">
        <v>131</v>
      </c>
      <c r="C6059" s="128" t="s">
        <v>27</v>
      </c>
      <c r="D6059" s="128" t="s">
        <v>77</v>
      </c>
      <c r="E6059" s="128" t="s">
        <v>135</v>
      </c>
      <c r="F6059" s="128">
        <v>247998.53</v>
      </c>
      <c r="G6059" s="128">
        <v>60728.18</v>
      </c>
      <c r="H6059" s="128">
        <v>65174.55</v>
      </c>
      <c r="I6059" s="128">
        <v>673</v>
      </c>
    </row>
    <row r="6060" spans="1:9" ht="13.5">
      <c r="A6060" s="128">
        <v>2009</v>
      </c>
      <c r="B6060" s="128" t="s">
        <v>131</v>
      </c>
      <c r="C6060" s="128" t="s">
        <v>27</v>
      </c>
      <c r="D6060" s="128" t="s">
        <v>76</v>
      </c>
      <c r="E6060" s="128" t="s">
        <v>136</v>
      </c>
      <c r="F6060" s="128">
        <v>87267.79</v>
      </c>
      <c r="G6060" s="128">
        <v>66470.05</v>
      </c>
      <c r="H6060" s="128">
        <v>20797.740000000002</v>
      </c>
      <c r="I6060" s="128">
        <v>667</v>
      </c>
    </row>
    <row r="6061" spans="1:9" ht="13.5">
      <c r="A6061" s="128">
        <v>2009</v>
      </c>
      <c r="B6061" s="128" t="s">
        <v>131</v>
      </c>
      <c r="C6061" s="128" t="s">
        <v>27</v>
      </c>
      <c r="D6061" s="128" t="s">
        <v>76</v>
      </c>
      <c r="E6061" s="128" t="s">
        <v>132</v>
      </c>
      <c r="F6061" s="128">
        <v>283433.75</v>
      </c>
      <c r="G6061" s="128">
        <v>183424.5</v>
      </c>
      <c r="H6061" s="128">
        <v>100008.51</v>
      </c>
      <c r="I6061" s="128">
        <v>3658</v>
      </c>
    </row>
    <row r="6062" spans="1:9" ht="13.5">
      <c r="A6062" s="128">
        <v>2009</v>
      </c>
      <c r="B6062" s="128" t="s">
        <v>131</v>
      </c>
      <c r="C6062" s="128" t="s">
        <v>27</v>
      </c>
      <c r="D6062" s="128" t="s">
        <v>76</v>
      </c>
      <c r="E6062" s="128" t="s">
        <v>133</v>
      </c>
      <c r="F6062" s="128">
        <v>835179.67</v>
      </c>
      <c r="G6062" s="128">
        <v>451194</v>
      </c>
      <c r="H6062" s="128">
        <v>383972.41</v>
      </c>
      <c r="I6062" s="128">
        <v>2688</v>
      </c>
    </row>
    <row r="6063" spans="1:9" ht="13.5">
      <c r="A6063" s="128">
        <v>2009</v>
      </c>
      <c r="B6063" s="128" t="s">
        <v>131</v>
      </c>
      <c r="C6063" s="128" t="s">
        <v>27</v>
      </c>
      <c r="D6063" s="128" t="s">
        <v>76</v>
      </c>
      <c r="E6063" s="128" t="s">
        <v>134</v>
      </c>
      <c r="F6063" s="128">
        <v>945580.77</v>
      </c>
      <c r="G6063" s="128">
        <v>434137.85</v>
      </c>
      <c r="H6063" s="128">
        <v>511438.54</v>
      </c>
      <c r="I6063" s="128">
        <v>5066</v>
      </c>
    </row>
    <row r="6064" spans="1:9" ht="13.5">
      <c r="A6064" s="128">
        <v>2009</v>
      </c>
      <c r="B6064" s="128" t="s">
        <v>131</v>
      </c>
      <c r="C6064" s="128" t="s">
        <v>27</v>
      </c>
      <c r="D6064" s="128" t="s">
        <v>76</v>
      </c>
      <c r="E6064" s="128" t="s">
        <v>135</v>
      </c>
      <c r="F6064" s="128">
        <v>59932.7</v>
      </c>
      <c r="G6064" s="128">
        <v>17843.95</v>
      </c>
      <c r="H6064" s="128">
        <v>42088.75</v>
      </c>
      <c r="I6064" s="128">
        <v>97</v>
      </c>
    </row>
    <row r="6065" spans="1:9" ht="13.5">
      <c r="A6065" s="128">
        <v>2009</v>
      </c>
      <c r="B6065" s="128" t="s">
        <v>138</v>
      </c>
      <c r="C6065" s="128" t="s">
        <v>20</v>
      </c>
      <c r="D6065" s="128" t="s">
        <v>79</v>
      </c>
      <c r="E6065" s="128" t="s">
        <v>136</v>
      </c>
      <c r="F6065" s="128">
        <v>29911398.109999999</v>
      </c>
      <c r="G6065" s="128">
        <v>22531183.800000001</v>
      </c>
      <c r="H6065" s="128">
        <v>7374078.9100000001</v>
      </c>
      <c r="I6065" s="128">
        <v>534345</v>
      </c>
    </row>
    <row r="6066" spans="1:9" ht="13.5">
      <c r="A6066" s="128">
        <v>2009</v>
      </c>
      <c r="B6066" s="128" t="s">
        <v>138</v>
      </c>
      <c r="C6066" s="128" t="s">
        <v>20</v>
      </c>
      <c r="D6066" s="128" t="s">
        <v>79</v>
      </c>
      <c r="E6066" s="128" t="s">
        <v>132</v>
      </c>
      <c r="F6066" s="128">
        <v>3747813.03</v>
      </c>
      <c r="G6066" s="128">
        <v>2491739.5299999998</v>
      </c>
      <c r="H6066" s="128">
        <v>916329.39</v>
      </c>
      <c r="I6066" s="128">
        <v>21294</v>
      </c>
    </row>
    <row r="6067" spans="1:9" ht="13.5">
      <c r="A6067" s="128">
        <v>2009</v>
      </c>
      <c r="B6067" s="128" t="s">
        <v>138</v>
      </c>
      <c r="C6067" s="128" t="s">
        <v>20</v>
      </c>
      <c r="D6067" s="128" t="s">
        <v>79</v>
      </c>
      <c r="E6067" s="128" t="s">
        <v>133</v>
      </c>
      <c r="F6067" s="128">
        <v>5325417</v>
      </c>
      <c r="G6067" s="128">
        <v>2869864.13</v>
      </c>
      <c r="H6067" s="128">
        <v>1203818.56</v>
      </c>
      <c r="I6067" s="128">
        <v>41771</v>
      </c>
    </row>
    <row r="6068" spans="1:9" ht="13.5">
      <c r="A6068" s="128">
        <v>2009</v>
      </c>
      <c r="B6068" s="128" t="s">
        <v>138</v>
      </c>
      <c r="C6068" s="128" t="s">
        <v>20</v>
      </c>
      <c r="D6068" s="128" t="s">
        <v>79</v>
      </c>
      <c r="E6068" s="128" t="s">
        <v>134</v>
      </c>
      <c r="F6068" s="128">
        <v>16745976.939999999</v>
      </c>
      <c r="G6068" s="128">
        <v>7150905.1900000004</v>
      </c>
      <c r="H6068" s="128">
        <v>3191577.85</v>
      </c>
      <c r="I6068" s="128">
        <v>69669</v>
      </c>
    </row>
    <row r="6069" spans="1:9" ht="13.5">
      <c r="A6069" s="128">
        <v>2009</v>
      </c>
      <c r="B6069" s="128" t="s">
        <v>138</v>
      </c>
      <c r="C6069" s="128" t="s">
        <v>20</v>
      </c>
      <c r="D6069" s="128" t="s">
        <v>79</v>
      </c>
      <c r="E6069" s="128" t="s">
        <v>135</v>
      </c>
      <c r="F6069" s="128">
        <v>85736021.629999995</v>
      </c>
      <c r="G6069" s="128">
        <v>22135916.620000001</v>
      </c>
      <c r="H6069" s="128">
        <v>7476975.2999999998</v>
      </c>
      <c r="I6069" s="128">
        <v>162762</v>
      </c>
    </row>
    <row r="6070" spans="1:9" ht="13.5">
      <c r="A6070" s="128">
        <v>2009</v>
      </c>
      <c r="B6070" s="128" t="s">
        <v>138</v>
      </c>
      <c r="C6070" s="128" t="s">
        <v>20</v>
      </c>
      <c r="D6070" s="128" t="s">
        <v>77</v>
      </c>
      <c r="E6070" s="128" t="s">
        <v>132</v>
      </c>
      <c r="F6070" s="128">
        <v>977981.37</v>
      </c>
      <c r="G6070" s="128">
        <v>650879.25</v>
      </c>
      <c r="H6070" s="128">
        <v>289564.88</v>
      </c>
      <c r="I6070" s="128">
        <v>6894</v>
      </c>
    </row>
    <row r="6071" spans="1:9" ht="13.5">
      <c r="A6071" s="128">
        <v>2009</v>
      </c>
      <c r="B6071" s="128" t="s">
        <v>138</v>
      </c>
      <c r="C6071" s="128" t="s">
        <v>20</v>
      </c>
      <c r="D6071" s="128" t="s">
        <v>77</v>
      </c>
      <c r="E6071" s="128" t="s">
        <v>133</v>
      </c>
      <c r="F6071" s="128">
        <v>2072236.58</v>
      </c>
      <c r="G6071" s="128">
        <v>1122138.83</v>
      </c>
      <c r="H6071" s="128">
        <v>826945.15</v>
      </c>
      <c r="I6071" s="128">
        <v>6331</v>
      </c>
    </row>
    <row r="6072" spans="1:9" ht="13.5">
      <c r="A6072" s="128">
        <v>2009</v>
      </c>
      <c r="B6072" s="128" t="s">
        <v>138</v>
      </c>
      <c r="C6072" s="128" t="s">
        <v>20</v>
      </c>
      <c r="D6072" s="128" t="s">
        <v>77</v>
      </c>
      <c r="E6072" s="128" t="s">
        <v>134</v>
      </c>
      <c r="F6072" s="128">
        <v>4492672.01</v>
      </c>
      <c r="G6072" s="128">
        <v>1973772.72</v>
      </c>
      <c r="H6072" s="128">
        <v>1931520.25</v>
      </c>
      <c r="I6072" s="128">
        <v>17252</v>
      </c>
    </row>
    <row r="6073" spans="1:9" ht="13.5">
      <c r="A6073" s="128">
        <v>2009</v>
      </c>
      <c r="B6073" s="128" t="s">
        <v>138</v>
      </c>
      <c r="C6073" s="128" t="s">
        <v>20</v>
      </c>
      <c r="D6073" s="128" t="s">
        <v>77</v>
      </c>
      <c r="E6073" s="128" t="s">
        <v>135</v>
      </c>
      <c r="F6073" s="128">
        <v>7279338.6399999997</v>
      </c>
      <c r="G6073" s="128">
        <v>1880295.64</v>
      </c>
      <c r="H6073" s="128">
        <v>1984434.46</v>
      </c>
      <c r="I6073" s="128">
        <v>18478</v>
      </c>
    </row>
    <row r="6074" spans="1:9" ht="13.5">
      <c r="A6074" s="128">
        <v>2009</v>
      </c>
      <c r="B6074" s="128" t="s">
        <v>138</v>
      </c>
      <c r="C6074" s="128" t="s">
        <v>20</v>
      </c>
      <c r="D6074" s="128" t="s">
        <v>76</v>
      </c>
      <c r="E6074" s="128" t="s">
        <v>136</v>
      </c>
      <c r="F6074" s="128">
        <v>7378723.29</v>
      </c>
      <c r="G6074" s="128">
        <v>5578380.6699999999</v>
      </c>
      <c r="H6074" s="128">
        <v>1801747.81</v>
      </c>
      <c r="I6074" s="128">
        <v>221521</v>
      </c>
    </row>
    <row r="6075" spans="1:9" ht="13.5">
      <c r="A6075" s="128">
        <v>2009</v>
      </c>
      <c r="B6075" s="128" t="s">
        <v>138</v>
      </c>
      <c r="C6075" s="128" t="s">
        <v>20</v>
      </c>
      <c r="D6075" s="128" t="s">
        <v>76</v>
      </c>
      <c r="E6075" s="128" t="s">
        <v>132</v>
      </c>
      <c r="F6075" s="128">
        <v>33860299.039999999</v>
      </c>
      <c r="G6075" s="128">
        <v>21682661.68</v>
      </c>
      <c r="H6075" s="128">
        <v>12177463.939999999</v>
      </c>
      <c r="I6075" s="128">
        <v>418400</v>
      </c>
    </row>
    <row r="6076" spans="1:9" ht="13.5">
      <c r="A6076" s="128">
        <v>2009</v>
      </c>
      <c r="B6076" s="128" t="s">
        <v>138</v>
      </c>
      <c r="C6076" s="128" t="s">
        <v>20</v>
      </c>
      <c r="D6076" s="128" t="s">
        <v>76</v>
      </c>
      <c r="E6076" s="128" t="s">
        <v>133</v>
      </c>
      <c r="F6076" s="128">
        <v>59669454.859999999</v>
      </c>
      <c r="G6076" s="128">
        <v>32647340.739999998</v>
      </c>
      <c r="H6076" s="128">
        <v>27021910.84</v>
      </c>
      <c r="I6076" s="128">
        <v>239097</v>
      </c>
    </row>
    <row r="6077" spans="1:9" ht="13.5">
      <c r="A6077" s="128">
        <v>2009</v>
      </c>
      <c r="B6077" s="128" t="s">
        <v>138</v>
      </c>
      <c r="C6077" s="128" t="s">
        <v>20</v>
      </c>
      <c r="D6077" s="128" t="s">
        <v>76</v>
      </c>
      <c r="E6077" s="128" t="s">
        <v>134</v>
      </c>
      <c r="F6077" s="128">
        <v>53600219.850000001</v>
      </c>
      <c r="G6077" s="128">
        <v>24767166.969999999</v>
      </c>
      <c r="H6077" s="128">
        <v>28832883.289999999</v>
      </c>
      <c r="I6077" s="128">
        <v>321891</v>
      </c>
    </row>
    <row r="6078" spans="1:9" ht="13.5">
      <c r="A6078" s="128">
        <v>2009</v>
      </c>
      <c r="B6078" s="128" t="s">
        <v>138</v>
      </c>
      <c r="C6078" s="128" t="s">
        <v>20</v>
      </c>
      <c r="D6078" s="128" t="s">
        <v>76</v>
      </c>
      <c r="E6078" s="128" t="s">
        <v>135</v>
      </c>
      <c r="F6078" s="128">
        <v>5420755.4900000002</v>
      </c>
      <c r="G6078" s="128">
        <v>1568534.59</v>
      </c>
      <c r="H6078" s="128">
        <v>3852220.64</v>
      </c>
      <c r="I6078" s="128">
        <v>5435</v>
      </c>
    </row>
    <row r="6079" spans="1:9" ht="13.5">
      <c r="A6079" s="128">
        <v>2009</v>
      </c>
      <c r="B6079" s="128" t="s">
        <v>138</v>
      </c>
      <c r="C6079" s="128" t="s">
        <v>21</v>
      </c>
      <c r="D6079" s="128" t="s">
        <v>79</v>
      </c>
      <c r="E6079" s="128" t="s">
        <v>136</v>
      </c>
      <c r="F6079" s="128">
        <v>21217650.75</v>
      </c>
      <c r="G6079" s="128">
        <v>15941466.43</v>
      </c>
      <c r="H6079" s="128">
        <v>5275359.4000000004</v>
      </c>
      <c r="I6079" s="128">
        <v>184365</v>
      </c>
    </row>
    <row r="6080" spans="1:9" ht="13.5">
      <c r="A6080" s="128">
        <v>2009</v>
      </c>
      <c r="B6080" s="128" t="s">
        <v>138</v>
      </c>
      <c r="C6080" s="128" t="s">
        <v>21</v>
      </c>
      <c r="D6080" s="128" t="s">
        <v>79</v>
      </c>
      <c r="E6080" s="128" t="s">
        <v>132</v>
      </c>
      <c r="F6080" s="128">
        <v>2819609.8</v>
      </c>
      <c r="G6080" s="128">
        <v>1870242.44</v>
      </c>
      <c r="H6080" s="128">
        <v>708037.42</v>
      </c>
      <c r="I6080" s="128">
        <v>21051</v>
      </c>
    </row>
    <row r="6081" spans="1:9" ht="13.5">
      <c r="A6081" s="128">
        <v>2009</v>
      </c>
      <c r="B6081" s="128" t="s">
        <v>138</v>
      </c>
      <c r="C6081" s="128" t="s">
        <v>21</v>
      </c>
      <c r="D6081" s="128" t="s">
        <v>79</v>
      </c>
      <c r="E6081" s="128" t="s">
        <v>133</v>
      </c>
      <c r="F6081" s="128">
        <v>3342943.11</v>
      </c>
      <c r="G6081" s="128">
        <v>1826857.11</v>
      </c>
      <c r="H6081" s="128">
        <v>901531.33</v>
      </c>
      <c r="I6081" s="128">
        <v>21337</v>
      </c>
    </row>
    <row r="6082" spans="1:9" ht="13.5">
      <c r="A6082" s="128">
        <v>2009</v>
      </c>
      <c r="B6082" s="128" t="s">
        <v>138</v>
      </c>
      <c r="C6082" s="128" t="s">
        <v>21</v>
      </c>
      <c r="D6082" s="128" t="s">
        <v>79</v>
      </c>
      <c r="E6082" s="128" t="s">
        <v>134</v>
      </c>
      <c r="F6082" s="128">
        <v>7200384.6900000004</v>
      </c>
      <c r="G6082" s="128">
        <v>3101679.77</v>
      </c>
      <c r="H6082" s="128">
        <v>1675939.29</v>
      </c>
      <c r="I6082" s="128">
        <v>50014</v>
      </c>
    </row>
    <row r="6083" spans="1:9" ht="13.5">
      <c r="A6083" s="128">
        <v>2009</v>
      </c>
      <c r="B6083" s="128" t="s">
        <v>138</v>
      </c>
      <c r="C6083" s="128" t="s">
        <v>21</v>
      </c>
      <c r="D6083" s="128" t="s">
        <v>79</v>
      </c>
      <c r="E6083" s="128" t="s">
        <v>135</v>
      </c>
      <c r="F6083" s="128">
        <v>17039299.25</v>
      </c>
      <c r="G6083" s="128">
        <v>4506259.53</v>
      </c>
      <c r="H6083" s="128">
        <v>1508242.74</v>
      </c>
      <c r="I6083" s="128">
        <v>42401</v>
      </c>
    </row>
    <row r="6084" spans="1:9" ht="13.5">
      <c r="A6084" s="128">
        <v>2009</v>
      </c>
      <c r="B6084" s="128" t="s">
        <v>138</v>
      </c>
      <c r="C6084" s="128" t="s">
        <v>21</v>
      </c>
      <c r="D6084" s="128" t="s">
        <v>77</v>
      </c>
      <c r="E6084" s="128" t="s">
        <v>132</v>
      </c>
      <c r="F6084" s="128">
        <v>1545999.05</v>
      </c>
      <c r="G6084" s="128">
        <v>1034525.97</v>
      </c>
      <c r="H6084" s="128">
        <v>424830.26</v>
      </c>
      <c r="I6084" s="128">
        <v>8413</v>
      </c>
    </row>
    <row r="6085" spans="1:9" ht="13.5">
      <c r="A6085" s="128">
        <v>2009</v>
      </c>
      <c r="B6085" s="128" t="s">
        <v>138</v>
      </c>
      <c r="C6085" s="128" t="s">
        <v>21</v>
      </c>
      <c r="D6085" s="128" t="s">
        <v>77</v>
      </c>
      <c r="E6085" s="128" t="s">
        <v>133</v>
      </c>
      <c r="F6085" s="128">
        <v>3688330.52</v>
      </c>
      <c r="G6085" s="128">
        <v>2005999.69</v>
      </c>
      <c r="H6085" s="128">
        <v>1365168.39</v>
      </c>
      <c r="I6085" s="128">
        <v>12684</v>
      </c>
    </row>
    <row r="6086" spans="1:9" ht="13.5">
      <c r="A6086" s="128">
        <v>2009</v>
      </c>
      <c r="B6086" s="128" t="s">
        <v>138</v>
      </c>
      <c r="C6086" s="128" t="s">
        <v>21</v>
      </c>
      <c r="D6086" s="128" t="s">
        <v>77</v>
      </c>
      <c r="E6086" s="128" t="s">
        <v>134</v>
      </c>
      <c r="F6086" s="128">
        <v>6854718.7999999998</v>
      </c>
      <c r="G6086" s="128">
        <v>2972673.21</v>
      </c>
      <c r="H6086" s="128">
        <v>2623072.6800000002</v>
      </c>
      <c r="I6086" s="128">
        <v>24198</v>
      </c>
    </row>
    <row r="6087" spans="1:9" ht="13.5">
      <c r="A6087" s="128">
        <v>2009</v>
      </c>
      <c r="B6087" s="128" t="s">
        <v>138</v>
      </c>
      <c r="C6087" s="128" t="s">
        <v>21</v>
      </c>
      <c r="D6087" s="128" t="s">
        <v>77</v>
      </c>
      <c r="E6087" s="128" t="s">
        <v>135</v>
      </c>
      <c r="F6087" s="128">
        <v>9381596.4299999997</v>
      </c>
      <c r="G6087" s="128">
        <v>2634883.2999999998</v>
      </c>
      <c r="H6087" s="128">
        <v>2632858.19</v>
      </c>
      <c r="I6087" s="128">
        <v>27750</v>
      </c>
    </row>
    <row r="6088" spans="1:9" ht="13.5">
      <c r="A6088" s="128">
        <v>2009</v>
      </c>
      <c r="B6088" s="128" t="s">
        <v>138</v>
      </c>
      <c r="C6088" s="128" t="s">
        <v>21</v>
      </c>
      <c r="D6088" s="128" t="s">
        <v>76</v>
      </c>
      <c r="E6088" s="128" t="s">
        <v>136</v>
      </c>
      <c r="F6088" s="128">
        <v>8242734.4000000004</v>
      </c>
      <c r="G6088" s="128">
        <v>6210662</v>
      </c>
      <c r="H6088" s="128">
        <v>2032068.9</v>
      </c>
      <c r="I6088" s="128">
        <v>173790</v>
      </c>
    </row>
    <row r="6089" spans="1:9" ht="13.5">
      <c r="A6089" s="128">
        <v>2009</v>
      </c>
      <c r="B6089" s="128" t="s">
        <v>138</v>
      </c>
      <c r="C6089" s="128" t="s">
        <v>21</v>
      </c>
      <c r="D6089" s="128" t="s">
        <v>76</v>
      </c>
      <c r="E6089" s="128" t="s">
        <v>132</v>
      </c>
      <c r="F6089" s="128">
        <v>33576888.200000003</v>
      </c>
      <c r="G6089" s="128">
        <v>21610828.850000001</v>
      </c>
      <c r="H6089" s="128">
        <v>11965995.619999999</v>
      </c>
      <c r="I6089" s="128">
        <v>384979</v>
      </c>
    </row>
    <row r="6090" spans="1:9" ht="13.5">
      <c r="A6090" s="128">
        <v>2009</v>
      </c>
      <c r="B6090" s="128" t="s">
        <v>138</v>
      </c>
      <c r="C6090" s="128" t="s">
        <v>21</v>
      </c>
      <c r="D6090" s="128" t="s">
        <v>76</v>
      </c>
      <c r="E6090" s="128" t="s">
        <v>133</v>
      </c>
      <c r="F6090" s="128">
        <v>59677619.060000002</v>
      </c>
      <c r="G6090" s="128">
        <v>32888915.420000002</v>
      </c>
      <c r="H6090" s="128">
        <v>26788660.789999999</v>
      </c>
      <c r="I6090" s="128">
        <v>356513</v>
      </c>
    </row>
    <row r="6091" spans="1:9" ht="13.5">
      <c r="A6091" s="128">
        <v>2009</v>
      </c>
      <c r="B6091" s="128" t="s">
        <v>138</v>
      </c>
      <c r="C6091" s="128" t="s">
        <v>21</v>
      </c>
      <c r="D6091" s="128" t="s">
        <v>76</v>
      </c>
      <c r="E6091" s="128" t="s">
        <v>134</v>
      </c>
      <c r="F6091" s="128">
        <v>54863206.399999999</v>
      </c>
      <c r="G6091" s="128">
        <v>25132778.190000001</v>
      </c>
      <c r="H6091" s="128">
        <v>29730371.370000001</v>
      </c>
      <c r="I6091" s="128">
        <v>290567</v>
      </c>
    </row>
    <row r="6092" spans="1:9" ht="13.5">
      <c r="A6092" s="128">
        <v>2009</v>
      </c>
      <c r="B6092" s="128" t="s">
        <v>138</v>
      </c>
      <c r="C6092" s="128" t="s">
        <v>21</v>
      </c>
      <c r="D6092" s="128" t="s">
        <v>76</v>
      </c>
      <c r="E6092" s="128" t="s">
        <v>135</v>
      </c>
      <c r="F6092" s="128">
        <v>2808080.16</v>
      </c>
      <c r="G6092" s="128">
        <v>783799.85</v>
      </c>
      <c r="H6092" s="128">
        <v>2024280.31</v>
      </c>
      <c r="I6092" s="128">
        <v>2515</v>
      </c>
    </row>
    <row r="6093" spans="1:9" ht="13.5">
      <c r="A6093" s="128">
        <v>2009</v>
      </c>
      <c r="B6093" s="128" t="s">
        <v>138</v>
      </c>
      <c r="C6093" s="128" t="s">
        <v>22</v>
      </c>
      <c r="D6093" s="128" t="s">
        <v>79</v>
      </c>
      <c r="E6093" s="128" t="s">
        <v>136</v>
      </c>
      <c r="F6093" s="128">
        <v>6870484.5300000003</v>
      </c>
      <c r="G6093" s="128">
        <v>5168079.8099999996</v>
      </c>
      <c r="H6093" s="128">
        <v>1692452.62</v>
      </c>
      <c r="I6093" s="128">
        <v>74170</v>
      </c>
    </row>
    <row r="6094" spans="1:9" ht="13.5">
      <c r="A6094" s="128">
        <v>2009</v>
      </c>
      <c r="B6094" s="128" t="s">
        <v>138</v>
      </c>
      <c r="C6094" s="128" t="s">
        <v>22</v>
      </c>
      <c r="D6094" s="128" t="s">
        <v>79</v>
      </c>
      <c r="E6094" s="128" t="s">
        <v>132</v>
      </c>
      <c r="F6094" s="128">
        <v>2010849.74</v>
      </c>
      <c r="G6094" s="128">
        <v>1336930.18</v>
      </c>
      <c r="H6094" s="128">
        <v>451120.54</v>
      </c>
      <c r="I6094" s="128">
        <v>11363</v>
      </c>
    </row>
    <row r="6095" spans="1:9" ht="13.5">
      <c r="A6095" s="128">
        <v>2009</v>
      </c>
      <c r="B6095" s="128" t="s">
        <v>138</v>
      </c>
      <c r="C6095" s="128" t="s">
        <v>22</v>
      </c>
      <c r="D6095" s="128" t="s">
        <v>79</v>
      </c>
      <c r="E6095" s="128" t="s">
        <v>133</v>
      </c>
      <c r="F6095" s="128">
        <v>3516735.91</v>
      </c>
      <c r="G6095" s="128">
        <v>1899279.12</v>
      </c>
      <c r="H6095" s="128">
        <v>682568.71</v>
      </c>
      <c r="I6095" s="128">
        <v>16727</v>
      </c>
    </row>
    <row r="6096" spans="1:9" ht="13.5">
      <c r="A6096" s="128">
        <v>2009</v>
      </c>
      <c r="B6096" s="128" t="s">
        <v>138</v>
      </c>
      <c r="C6096" s="128" t="s">
        <v>22</v>
      </c>
      <c r="D6096" s="128" t="s">
        <v>79</v>
      </c>
      <c r="E6096" s="128" t="s">
        <v>134</v>
      </c>
      <c r="F6096" s="128">
        <v>9010824.1999999993</v>
      </c>
      <c r="G6096" s="128">
        <v>3845955.2</v>
      </c>
      <c r="H6096" s="128">
        <v>1465499.54</v>
      </c>
      <c r="I6096" s="128">
        <v>36837</v>
      </c>
    </row>
    <row r="6097" spans="1:9" ht="13.5">
      <c r="A6097" s="128">
        <v>2009</v>
      </c>
      <c r="B6097" s="128" t="s">
        <v>138</v>
      </c>
      <c r="C6097" s="128" t="s">
        <v>22</v>
      </c>
      <c r="D6097" s="128" t="s">
        <v>79</v>
      </c>
      <c r="E6097" s="128" t="s">
        <v>135</v>
      </c>
      <c r="F6097" s="128">
        <v>34277960.490000002</v>
      </c>
      <c r="G6097" s="128">
        <v>9395373.8499999996</v>
      </c>
      <c r="H6097" s="128">
        <v>3154809.77</v>
      </c>
      <c r="I6097" s="128">
        <v>97140</v>
      </c>
    </row>
    <row r="6098" spans="1:9" ht="13.5">
      <c r="A6098" s="128">
        <v>2009</v>
      </c>
      <c r="B6098" s="128" t="s">
        <v>138</v>
      </c>
      <c r="C6098" s="128" t="s">
        <v>22</v>
      </c>
      <c r="D6098" s="128" t="s">
        <v>77</v>
      </c>
      <c r="E6098" s="128" t="s">
        <v>132</v>
      </c>
      <c r="F6098" s="128">
        <v>546748.23</v>
      </c>
      <c r="G6098" s="128">
        <v>343537.61</v>
      </c>
      <c r="H6098" s="128">
        <v>141869.73000000001</v>
      </c>
      <c r="I6098" s="128">
        <v>3306</v>
      </c>
    </row>
    <row r="6099" spans="1:9" ht="13.5">
      <c r="A6099" s="128">
        <v>2009</v>
      </c>
      <c r="B6099" s="128" t="s">
        <v>138</v>
      </c>
      <c r="C6099" s="128" t="s">
        <v>22</v>
      </c>
      <c r="D6099" s="128" t="s">
        <v>77</v>
      </c>
      <c r="E6099" s="128" t="s">
        <v>133</v>
      </c>
      <c r="F6099" s="128">
        <v>1147189.95</v>
      </c>
      <c r="G6099" s="128">
        <v>624370.21</v>
      </c>
      <c r="H6099" s="128">
        <v>435774.63</v>
      </c>
      <c r="I6099" s="128">
        <v>3793</v>
      </c>
    </row>
    <row r="6100" spans="1:9" ht="13.5">
      <c r="A6100" s="128">
        <v>2009</v>
      </c>
      <c r="B6100" s="128" t="s">
        <v>138</v>
      </c>
      <c r="C6100" s="128" t="s">
        <v>22</v>
      </c>
      <c r="D6100" s="128" t="s">
        <v>77</v>
      </c>
      <c r="E6100" s="128" t="s">
        <v>134</v>
      </c>
      <c r="F6100" s="128">
        <v>3588351.38</v>
      </c>
      <c r="G6100" s="128">
        <v>1513008.88</v>
      </c>
      <c r="H6100" s="128">
        <v>1412372.27</v>
      </c>
      <c r="I6100" s="128">
        <v>9286</v>
      </c>
    </row>
    <row r="6101" spans="1:9" ht="13.5">
      <c r="A6101" s="128">
        <v>2009</v>
      </c>
      <c r="B6101" s="128" t="s">
        <v>138</v>
      </c>
      <c r="C6101" s="128" t="s">
        <v>22</v>
      </c>
      <c r="D6101" s="128" t="s">
        <v>77</v>
      </c>
      <c r="E6101" s="128" t="s">
        <v>135</v>
      </c>
      <c r="F6101" s="128">
        <v>8750892.3900000006</v>
      </c>
      <c r="G6101" s="128">
        <v>2361048.2799999998</v>
      </c>
      <c r="H6101" s="128">
        <v>2577976.5299999998</v>
      </c>
      <c r="I6101" s="128">
        <v>23483</v>
      </c>
    </row>
    <row r="6102" spans="1:9" ht="13.5">
      <c r="A6102" s="128">
        <v>2009</v>
      </c>
      <c r="B6102" s="128" t="s">
        <v>138</v>
      </c>
      <c r="C6102" s="128" t="s">
        <v>22</v>
      </c>
      <c r="D6102" s="128" t="s">
        <v>76</v>
      </c>
      <c r="E6102" s="128" t="s">
        <v>136</v>
      </c>
      <c r="F6102" s="128">
        <v>2940311.39</v>
      </c>
      <c r="G6102" s="128">
        <v>2308596.09</v>
      </c>
      <c r="H6102" s="128">
        <v>632591.94999999995</v>
      </c>
      <c r="I6102" s="128">
        <v>64264</v>
      </c>
    </row>
    <row r="6103" spans="1:9" ht="13.5">
      <c r="A6103" s="128">
        <v>2009</v>
      </c>
      <c r="B6103" s="128" t="s">
        <v>138</v>
      </c>
      <c r="C6103" s="128" t="s">
        <v>22</v>
      </c>
      <c r="D6103" s="128" t="s">
        <v>76</v>
      </c>
      <c r="E6103" s="128" t="s">
        <v>132</v>
      </c>
      <c r="F6103" s="128">
        <v>32786611.969999999</v>
      </c>
      <c r="G6103" s="128">
        <v>21034898.370000001</v>
      </c>
      <c r="H6103" s="128">
        <v>11751650.23</v>
      </c>
      <c r="I6103" s="128">
        <v>494559</v>
      </c>
    </row>
    <row r="6104" spans="1:9" ht="13.5">
      <c r="A6104" s="128">
        <v>2009</v>
      </c>
      <c r="B6104" s="128" t="s">
        <v>138</v>
      </c>
      <c r="C6104" s="128" t="s">
        <v>22</v>
      </c>
      <c r="D6104" s="128" t="s">
        <v>76</v>
      </c>
      <c r="E6104" s="128" t="s">
        <v>133</v>
      </c>
      <c r="F6104" s="128">
        <v>45011148.030000001</v>
      </c>
      <c r="G6104" s="128">
        <v>24866275.710000001</v>
      </c>
      <c r="H6104" s="128">
        <v>20144767.48</v>
      </c>
      <c r="I6104" s="128">
        <v>226014</v>
      </c>
    </row>
    <row r="6105" spans="1:9" ht="13.5">
      <c r="A6105" s="128">
        <v>2009</v>
      </c>
      <c r="B6105" s="128" t="s">
        <v>138</v>
      </c>
      <c r="C6105" s="128" t="s">
        <v>22</v>
      </c>
      <c r="D6105" s="128" t="s">
        <v>76</v>
      </c>
      <c r="E6105" s="128" t="s">
        <v>134</v>
      </c>
      <c r="F6105" s="128">
        <v>38939943.07</v>
      </c>
      <c r="G6105" s="128">
        <v>18157390.16</v>
      </c>
      <c r="H6105" s="128">
        <v>20782466.850000001</v>
      </c>
      <c r="I6105" s="128">
        <v>243010</v>
      </c>
    </row>
    <row r="6106" spans="1:9" ht="13.5">
      <c r="A6106" s="128">
        <v>2009</v>
      </c>
      <c r="B6106" s="128" t="s">
        <v>138</v>
      </c>
      <c r="C6106" s="128" t="s">
        <v>22</v>
      </c>
      <c r="D6106" s="128" t="s">
        <v>76</v>
      </c>
      <c r="E6106" s="128" t="s">
        <v>135</v>
      </c>
      <c r="F6106" s="128">
        <v>4633465.43</v>
      </c>
      <c r="G6106" s="128">
        <v>1278408.55</v>
      </c>
      <c r="H6106" s="128">
        <v>3355053.69</v>
      </c>
      <c r="I6106" s="128">
        <v>4429</v>
      </c>
    </row>
    <row r="6107" spans="1:9" ht="13.5">
      <c r="A6107" s="128">
        <v>2009</v>
      </c>
      <c r="B6107" s="128" t="s">
        <v>138</v>
      </c>
      <c r="C6107" s="128" t="s">
        <v>23</v>
      </c>
      <c r="D6107" s="128" t="s">
        <v>79</v>
      </c>
      <c r="E6107" s="128" t="s">
        <v>136</v>
      </c>
      <c r="F6107" s="128">
        <v>15663547.52</v>
      </c>
      <c r="G6107" s="128">
        <v>11750962.67</v>
      </c>
      <c r="H6107" s="128">
        <v>3912509.3</v>
      </c>
      <c r="I6107" s="128">
        <v>102012</v>
      </c>
    </row>
    <row r="6108" spans="1:9" ht="13.5">
      <c r="A6108" s="128">
        <v>2009</v>
      </c>
      <c r="B6108" s="128" t="s">
        <v>138</v>
      </c>
      <c r="C6108" s="128" t="s">
        <v>23</v>
      </c>
      <c r="D6108" s="128" t="s">
        <v>79</v>
      </c>
      <c r="E6108" s="128" t="s">
        <v>132</v>
      </c>
      <c r="F6108" s="128">
        <v>330993.64</v>
      </c>
      <c r="G6108" s="128">
        <v>219967.88</v>
      </c>
      <c r="H6108" s="128">
        <v>79660.73</v>
      </c>
      <c r="I6108" s="128">
        <v>2604</v>
      </c>
    </row>
    <row r="6109" spans="1:9" ht="13.5">
      <c r="A6109" s="128">
        <v>2009</v>
      </c>
      <c r="B6109" s="128" t="s">
        <v>138</v>
      </c>
      <c r="C6109" s="128" t="s">
        <v>23</v>
      </c>
      <c r="D6109" s="128" t="s">
        <v>79</v>
      </c>
      <c r="E6109" s="128" t="s">
        <v>133</v>
      </c>
      <c r="F6109" s="128">
        <v>681594.03</v>
      </c>
      <c r="G6109" s="128">
        <v>367662.86</v>
      </c>
      <c r="H6109" s="128">
        <v>146745.76999999999</v>
      </c>
      <c r="I6109" s="128">
        <v>3935</v>
      </c>
    </row>
    <row r="6110" spans="1:9" ht="13.5">
      <c r="A6110" s="128">
        <v>2009</v>
      </c>
      <c r="B6110" s="128" t="s">
        <v>138</v>
      </c>
      <c r="C6110" s="128" t="s">
        <v>23</v>
      </c>
      <c r="D6110" s="128" t="s">
        <v>79</v>
      </c>
      <c r="E6110" s="128" t="s">
        <v>134</v>
      </c>
      <c r="F6110" s="128">
        <v>867948.57</v>
      </c>
      <c r="G6110" s="128">
        <v>382417.82</v>
      </c>
      <c r="H6110" s="128">
        <v>290269.96000000002</v>
      </c>
      <c r="I6110" s="128">
        <v>7172</v>
      </c>
    </row>
    <row r="6111" spans="1:9" ht="13.5">
      <c r="A6111" s="128">
        <v>2009</v>
      </c>
      <c r="B6111" s="128" t="s">
        <v>138</v>
      </c>
      <c r="C6111" s="128" t="s">
        <v>23</v>
      </c>
      <c r="D6111" s="128" t="s">
        <v>79</v>
      </c>
      <c r="E6111" s="128" t="s">
        <v>135</v>
      </c>
      <c r="F6111" s="128">
        <v>1381023.98</v>
      </c>
      <c r="G6111" s="128">
        <v>368728.68</v>
      </c>
      <c r="H6111" s="128">
        <v>130491.93</v>
      </c>
      <c r="I6111" s="128">
        <v>3797</v>
      </c>
    </row>
    <row r="6112" spans="1:9" ht="13.5">
      <c r="A6112" s="128">
        <v>2009</v>
      </c>
      <c r="B6112" s="128" t="s">
        <v>138</v>
      </c>
      <c r="C6112" s="128" t="s">
        <v>23</v>
      </c>
      <c r="D6112" s="128" t="s">
        <v>77</v>
      </c>
      <c r="E6112" s="128" t="s">
        <v>132</v>
      </c>
      <c r="F6112" s="128">
        <v>1819671.44</v>
      </c>
      <c r="G6112" s="128">
        <v>1207274.53</v>
      </c>
      <c r="H6112" s="128">
        <v>577254.44999999995</v>
      </c>
      <c r="I6112" s="128">
        <v>13916</v>
      </c>
    </row>
    <row r="6113" spans="1:9" ht="13.5">
      <c r="A6113" s="128">
        <v>2009</v>
      </c>
      <c r="B6113" s="128" t="s">
        <v>138</v>
      </c>
      <c r="C6113" s="128" t="s">
        <v>23</v>
      </c>
      <c r="D6113" s="128" t="s">
        <v>77</v>
      </c>
      <c r="E6113" s="128" t="s">
        <v>133</v>
      </c>
      <c r="F6113" s="128">
        <v>3110104.52</v>
      </c>
      <c r="G6113" s="128">
        <v>1690184.05</v>
      </c>
      <c r="H6113" s="128">
        <v>1330943.6000000001</v>
      </c>
      <c r="I6113" s="128">
        <v>12172</v>
      </c>
    </row>
    <row r="6114" spans="1:9" ht="13.5">
      <c r="A6114" s="128">
        <v>2009</v>
      </c>
      <c r="B6114" s="128" t="s">
        <v>138</v>
      </c>
      <c r="C6114" s="128" t="s">
        <v>23</v>
      </c>
      <c r="D6114" s="128" t="s">
        <v>77</v>
      </c>
      <c r="E6114" s="128" t="s">
        <v>134</v>
      </c>
      <c r="F6114" s="128">
        <v>3186823.26</v>
      </c>
      <c r="G6114" s="128">
        <v>1457920.75</v>
      </c>
      <c r="H6114" s="128">
        <v>1529890.05</v>
      </c>
      <c r="I6114" s="128">
        <v>13168</v>
      </c>
    </row>
    <row r="6115" spans="1:9" ht="13.5">
      <c r="A6115" s="128">
        <v>2009</v>
      </c>
      <c r="B6115" s="128" t="s">
        <v>138</v>
      </c>
      <c r="C6115" s="128" t="s">
        <v>23</v>
      </c>
      <c r="D6115" s="128" t="s">
        <v>77</v>
      </c>
      <c r="E6115" s="128" t="s">
        <v>135</v>
      </c>
      <c r="F6115" s="128">
        <v>1403206.95</v>
      </c>
      <c r="G6115" s="128">
        <v>374792.3</v>
      </c>
      <c r="H6115" s="128">
        <v>425533.33</v>
      </c>
      <c r="I6115" s="128">
        <v>2865</v>
      </c>
    </row>
    <row r="6116" spans="1:9" ht="13.5">
      <c r="A6116" s="128">
        <v>2009</v>
      </c>
      <c r="B6116" s="128" t="s">
        <v>138</v>
      </c>
      <c r="C6116" s="128" t="s">
        <v>23</v>
      </c>
      <c r="D6116" s="128" t="s">
        <v>76</v>
      </c>
      <c r="E6116" s="128" t="s">
        <v>136</v>
      </c>
      <c r="F6116" s="128">
        <v>2294920.0699999998</v>
      </c>
      <c r="G6116" s="128">
        <v>1726487.3</v>
      </c>
      <c r="H6116" s="128">
        <v>568432.77</v>
      </c>
      <c r="I6116" s="128">
        <v>21659</v>
      </c>
    </row>
    <row r="6117" spans="1:9" ht="13.5">
      <c r="A6117" s="128">
        <v>2009</v>
      </c>
      <c r="B6117" s="128" t="s">
        <v>138</v>
      </c>
      <c r="C6117" s="128" t="s">
        <v>23</v>
      </c>
      <c r="D6117" s="128" t="s">
        <v>76</v>
      </c>
      <c r="E6117" s="128" t="s">
        <v>132</v>
      </c>
      <c r="F6117" s="128">
        <v>8606618.0800000001</v>
      </c>
      <c r="G6117" s="128">
        <v>5693303.79</v>
      </c>
      <c r="H6117" s="128">
        <v>2913292.7</v>
      </c>
      <c r="I6117" s="128">
        <v>139480</v>
      </c>
    </row>
    <row r="6118" spans="1:9" ht="13.5">
      <c r="A6118" s="128">
        <v>2009</v>
      </c>
      <c r="B6118" s="128" t="s">
        <v>138</v>
      </c>
      <c r="C6118" s="128" t="s">
        <v>23</v>
      </c>
      <c r="D6118" s="128" t="s">
        <v>76</v>
      </c>
      <c r="E6118" s="128" t="s">
        <v>133</v>
      </c>
      <c r="F6118" s="128">
        <v>16319842.859999999</v>
      </c>
      <c r="G6118" s="128">
        <v>8910549.6799999997</v>
      </c>
      <c r="H6118" s="128">
        <v>7409263.8300000001</v>
      </c>
      <c r="I6118" s="128">
        <v>80314</v>
      </c>
    </row>
    <row r="6119" spans="1:9" ht="13.5">
      <c r="A6119" s="128">
        <v>2009</v>
      </c>
      <c r="B6119" s="128" t="s">
        <v>138</v>
      </c>
      <c r="C6119" s="128" t="s">
        <v>23</v>
      </c>
      <c r="D6119" s="128" t="s">
        <v>76</v>
      </c>
      <c r="E6119" s="128" t="s">
        <v>134</v>
      </c>
      <c r="F6119" s="128">
        <v>19640022.140000001</v>
      </c>
      <c r="G6119" s="128">
        <v>9052671.8499999996</v>
      </c>
      <c r="H6119" s="128">
        <v>10587338.550000001</v>
      </c>
      <c r="I6119" s="128">
        <v>77034</v>
      </c>
    </row>
    <row r="6120" spans="1:9" ht="13.5">
      <c r="A6120" s="128">
        <v>2009</v>
      </c>
      <c r="B6120" s="128" t="s">
        <v>138</v>
      </c>
      <c r="C6120" s="128" t="s">
        <v>23</v>
      </c>
      <c r="D6120" s="128" t="s">
        <v>76</v>
      </c>
      <c r="E6120" s="128" t="s">
        <v>135</v>
      </c>
      <c r="F6120" s="128">
        <v>1154907.21</v>
      </c>
      <c r="G6120" s="128">
        <v>299842.28000000003</v>
      </c>
      <c r="H6120" s="128">
        <v>855064.93</v>
      </c>
      <c r="I6120" s="128">
        <v>875</v>
      </c>
    </row>
    <row r="6121" spans="1:9" ht="13.5">
      <c r="A6121" s="128">
        <v>2009</v>
      </c>
      <c r="B6121" s="128" t="s">
        <v>138</v>
      </c>
      <c r="C6121" s="128" t="s">
        <v>24</v>
      </c>
      <c r="D6121" s="128" t="s">
        <v>79</v>
      </c>
      <c r="E6121" s="128" t="s">
        <v>136</v>
      </c>
      <c r="F6121" s="128">
        <v>1464864.01</v>
      </c>
      <c r="G6121" s="128">
        <v>1102011.02</v>
      </c>
      <c r="H6121" s="128">
        <v>362852.94</v>
      </c>
      <c r="I6121" s="128">
        <v>33014</v>
      </c>
    </row>
    <row r="6122" spans="1:9" ht="13.5">
      <c r="A6122" s="128">
        <v>2009</v>
      </c>
      <c r="B6122" s="128" t="s">
        <v>138</v>
      </c>
      <c r="C6122" s="128" t="s">
        <v>24</v>
      </c>
      <c r="D6122" s="128" t="s">
        <v>79</v>
      </c>
      <c r="E6122" s="128" t="s">
        <v>132</v>
      </c>
      <c r="F6122" s="128">
        <v>410002.11</v>
      </c>
      <c r="G6122" s="128">
        <v>266702.11</v>
      </c>
      <c r="H6122" s="128">
        <v>89648.99</v>
      </c>
      <c r="I6122" s="128">
        <v>2998</v>
      </c>
    </row>
    <row r="6123" spans="1:9" ht="13.5">
      <c r="A6123" s="128">
        <v>2009</v>
      </c>
      <c r="B6123" s="128" t="s">
        <v>138</v>
      </c>
      <c r="C6123" s="128" t="s">
        <v>24</v>
      </c>
      <c r="D6123" s="128" t="s">
        <v>79</v>
      </c>
      <c r="E6123" s="128" t="s">
        <v>133</v>
      </c>
      <c r="F6123" s="128">
        <v>1356980.31</v>
      </c>
      <c r="G6123" s="128">
        <v>740930.61</v>
      </c>
      <c r="H6123" s="128">
        <v>252236.7</v>
      </c>
      <c r="I6123" s="128">
        <v>10083</v>
      </c>
    </row>
    <row r="6124" spans="1:9" ht="13.5">
      <c r="A6124" s="128">
        <v>2009</v>
      </c>
      <c r="B6124" s="128" t="s">
        <v>138</v>
      </c>
      <c r="C6124" s="128" t="s">
        <v>24</v>
      </c>
      <c r="D6124" s="128" t="s">
        <v>79</v>
      </c>
      <c r="E6124" s="128" t="s">
        <v>134</v>
      </c>
      <c r="F6124" s="128">
        <v>2559922.64</v>
      </c>
      <c r="G6124" s="128">
        <v>1110074.77</v>
      </c>
      <c r="H6124" s="128">
        <v>372517.97</v>
      </c>
      <c r="I6124" s="128">
        <v>17106</v>
      </c>
    </row>
    <row r="6125" spans="1:9" ht="13.5">
      <c r="A6125" s="128">
        <v>2009</v>
      </c>
      <c r="B6125" s="128" t="s">
        <v>138</v>
      </c>
      <c r="C6125" s="128" t="s">
        <v>24</v>
      </c>
      <c r="D6125" s="128" t="s">
        <v>79</v>
      </c>
      <c r="E6125" s="128" t="s">
        <v>135</v>
      </c>
      <c r="F6125" s="128">
        <v>4844727.4800000004</v>
      </c>
      <c r="G6125" s="128">
        <v>1195998.1000000001</v>
      </c>
      <c r="H6125" s="128">
        <v>402771.68</v>
      </c>
      <c r="I6125" s="128">
        <v>10224</v>
      </c>
    </row>
    <row r="6126" spans="1:9" ht="13.5">
      <c r="A6126" s="128">
        <v>2009</v>
      </c>
      <c r="B6126" s="128" t="s">
        <v>138</v>
      </c>
      <c r="C6126" s="128" t="s">
        <v>24</v>
      </c>
      <c r="D6126" s="128" t="s">
        <v>77</v>
      </c>
      <c r="E6126" s="128" t="s">
        <v>132</v>
      </c>
      <c r="F6126" s="128">
        <v>1721584.9</v>
      </c>
      <c r="G6126" s="128">
        <v>1171587.07</v>
      </c>
      <c r="H6126" s="128">
        <v>514112.2</v>
      </c>
      <c r="I6126" s="128">
        <v>9422</v>
      </c>
    </row>
    <row r="6127" spans="1:9" ht="13.5">
      <c r="A6127" s="128">
        <v>2009</v>
      </c>
      <c r="B6127" s="128" t="s">
        <v>138</v>
      </c>
      <c r="C6127" s="128" t="s">
        <v>24</v>
      </c>
      <c r="D6127" s="128" t="s">
        <v>77</v>
      </c>
      <c r="E6127" s="128" t="s">
        <v>133</v>
      </c>
      <c r="F6127" s="128">
        <v>3687701.85</v>
      </c>
      <c r="G6127" s="128">
        <v>1975936.25</v>
      </c>
      <c r="H6127" s="128">
        <v>1418556.7</v>
      </c>
      <c r="I6127" s="128">
        <v>12664</v>
      </c>
    </row>
    <row r="6128" spans="1:9" ht="13.5">
      <c r="A6128" s="128">
        <v>2009</v>
      </c>
      <c r="B6128" s="128" t="s">
        <v>138</v>
      </c>
      <c r="C6128" s="128" t="s">
        <v>24</v>
      </c>
      <c r="D6128" s="128" t="s">
        <v>77</v>
      </c>
      <c r="E6128" s="128" t="s">
        <v>134</v>
      </c>
      <c r="F6128" s="128">
        <v>5980055.4199999999</v>
      </c>
      <c r="G6128" s="128">
        <v>2616132.9300000002</v>
      </c>
      <c r="H6128" s="128">
        <v>1969070.56</v>
      </c>
      <c r="I6128" s="128">
        <v>22823</v>
      </c>
    </row>
    <row r="6129" spans="1:9" ht="13.5">
      <c r="A6129" s="128">
        <v>2009</v>
      </c>
      <c r="B6129" s="128" t="s">
        <v>138</v>
      </c>
      <c r="C6129" s="128" t="s">
        <v>24</v>
      </c>
      <c r="D6129" s="128" t="s">
        <v>77</v>
      </c>
      <c r="E6129" s="128" t="s">
        <v>135</v>
      </c>
      <c r="F6129" s="128">
        <v>9428124.8000000007</v>
      </c>
      <c r="G6129" s="128">
        <v>2483442.75</v>
      </c>
      <c r="H6129" s="128">
        <v>1756814.39</v>
      </c>
      <c r="I6129" s="128">
        <v>19175</v>
      </c>
    </row>
    <row r="6130" spans="1:9" ht="13.5">
      <c r="A6130" s="128">
        <v>2009</v>
      </c>
      <c r="B6130" s="128" t="s">
        <v>138</v>
      </c>
      <c r="C6130" s="128" t="s">
        <v>24</v>
      </c>
      <c r="D6130" s="128" t="s">
        <v>76</v>
      </c>
      <c r="E6130" s="128" t="s">
        <v>136</v>
      </c>
      <c r="F6130" s="128">
        <v>720445.5</v>
      </c>
      <c r="G6130" s="128">
        <v>546890.42000000004</v>
      </c>
      <c r="H6130" s="128">
        <v>173554.83</v>
      </c>
      <c r="I6130" s="128">
        <v>7963</v>
      </c>
    </row>
    <row r="6131" spans="1:9" ht="13.5">
      <c r="A6131" s="128">
        <v>2009</v>
      </c>
      <c r="B6131" s="128" t="s">
        <v>138</v>
      </c>
      <c r="C6131" s="128" t="s">
        <v>24</v>
      </c>
      <c r="D6131" s="128" t="s">
        <v>76</v>
      </c>
      <c r="E6131" s="128" t="s">
        <v>132</v>
      </c>
      <c r="F6131" s="128">
        <v>8815092.0500000007</v>
      </c>
      <c r="G6131" s="128">
        <v>5536810.2999999998</v>
      </c>
      <c r="H6131" s="128">
        <v>3278262.51</v>
      </c>
      <c r="I6131" s="128">
        <v>102354</v>
      </c>
    </row>
    <row r="6132" spans="1:9" ht="13.5">
      <c r="A6132" s="128">
        <v>2009</v>
      </c>
      <c r="B6132" s="128" t="s">
        <v>138</v>
      </c>
      <c r="C6132" s="128" t="s">
        <v>24</v>
      </c>
      <c r="D6132" s="128" t="s">
        <v>76</v>
      </c>
      <c r="E6132" s="128" t="s">
        <v>133</v>
      </c>
      <c r="F6132" s="128">
        <v>23710900.25</v>
      </c>
      <c r="G6132" s="128">
        <v>13052698.609999999</v>
      </c>
      <c r="H6132" s="128">
        <v>10658198.529999999</v>
      </c>
      <c r="I6132" s="128">
        <v>151721</v>
      </c>
    </row>
    <row r="6133" spans="1:9" ht="13.5">
      <c r="A6133" s="128">
        <v>2009</v>
      </c>
      <c r="B6133" s="128" t="s">
        <v>138</v>
      </c>
      <c r="C6133" s="128" t="s">
        <v>24</v>
      </c>
      <c r="D6133" s="128" t="s">
        <v>76</v>
      </c>
      <c r="E6133" s="128" t="s">
        <v>134</v>
      </c>
      <c r="F6133" s="128">
        <v>23650569.420000002</v>
      </c>
      <c r="G6133" s="128">
        <v>10383431.859999999</v>
      </c>
      <c r="H6133" s="128">
        <v>13267133.859999999</v>
      </c>
      <c r="I6133" s="128">
        <v>129028</v>
      </c>
    </row>
    <row r="6134" spans="1:9" ht="13.5">
      <c r="A6134" s="128">
        <v>2009</v>
      </c>
      <c r="B6134" s="128" t="s">
        <v>138</v>
      </c>
      <c r="C6134" s="128" t="s">
        <v>24</v>
      </c>
      <c r="D6134" s="128" t="s">
        <v>76</v>
      </c>
      <c r="E6134" s="128" t="s">
        <v>135</v>
      </c>
      <c r="F6134" s="128">
        <v>2808055.3</v>
      </c>
      <c r="G6134" s="128">
        <v>644877.85</v>
      </c>
      <c r="H6134" s="128">
        <v>2163177.4500000002</v>
      </c>
      <c r="I6134" s="128">
        <v>1882</v>
      </c>
    </row>
    <row r="6135" spans="1:9" ht="13.5">
      <c r="A6135" s="128">
        <v>2009</v>
      </c>
      <c r="B6135" s="128" t="s">
        <v>138</v>
      </c>
      <c r="C6135" s="128" t="s">
        <v>25</v>
      </c>
      <c r="D6135" s="128" t="s">
        <v>79</v>
      </c>
      <c r="E6135" s="128" t="s">
        <v>136</v>
      </c>
      <c r="F6135" s="128">
        <v>1052364.23</v>
      </c>
      <c r="G6135" s="128">
        <v>791570.09</v>
      </c>
      <c r="H6135" s="128">
        <v>260794.14</v>
      </c>
      <c r="I6135" s="128">
        <v>13953</v>
      </c>
    </row>
    <row r="6136" spans="1:9" ht="13.5">
      <c r="A6136" s="128">
        <v>2009</v>
      </c>
      <c r="B6136" s="128" t="s">
        <v>138</v>
      </c>
      <c r="C6136" s="128" t="s">
        <v>25</v>
      </c>
      <c r="D6136" s="128" t="s">
        <v>79</v>
      </c>
      <c r="E6136" s="128" t="s">
        <v>132</v>
      </c>
      <c r="F6136" s="128">
        <v>223212.79999999999</v>
      </c>
      <c r="G6136" s="128">
        <v>149565.45000000001</v>
      </c>
      <c r="H6136" s="128">
        <v>50247.14</v>
      </c>
      <c r="I6136" s="128">
        <v>1583</v>
      </c>
    </row>
    <row r="6137" spans="1:9" ht="13.5">
      <c r="A6137" s="128">
        <v>2009</v>
      </c>
      <c r="B6137" s="128" t="s">
        <v>138</v>
      </c>
      <c r="C6137" s="128" t="s">
        <v>25</v>
      </c>
      <c r="D6137" s="128" t="s">
        <v>79</v>
      </c>
      <c r="E6137" s="128" t="s">
        <v>133</v>
      </c>
      <c r="F6137" s="128">
        <v>356101.52</v>
      </c>
      <c r="G6137" s="128">
        <v>192915.71</v>
      </c>
      <c r="H6137" s="128">
        <v>70968.09</v>
      </c>
      <c r="I6137" s="128">
        <v>1159</v>
      </c>
    </row>
    <row r="6138" spans="1:9" ht="13.5">
      <c r="A6138" s="128">
        <v>2009</v>
      </c>
      <c r="B6138" s="128" t="s">
        <v>138</v>
      </c>
      <c r="C6138" s="128" t="s">
        <v>25</v>
      </c>
      <c r="D6138" s="128" t="s">
        <v>79</v>
      </c>
      <c r="E6138" s="128" t="s">
        <v>134</v>
      </c>
      <c r="F6138" s="128">
        <v>659246.38</v>
      </c>
      <c r="G6138" s="128">
        <v>282357.26</v>
      </c>
      <c r="H6138" s="128">
        <v>114226.19</v>
      </c>
      <c r="I6138" s="128">
        <v>2830</v>
      </c>
    </row>
    <row r="6139" spans="1:9" ht="13.5">
      <c r="A6139" s="128">
        <v>2009</v>
      </c>
      <c r="B6139" s="128" t="s">
        <v>138</v>
      </c>
      <c r="C6139" s="128" t="s">
        <v>25</v>
      </c>
      <c r="D6139" s="128" t="s">
        <v>79</v>
      </c>
      <c r="E6139" s="128" t="s">
        <v>135</v>
      </c>
      <c r="F6139" s="128">
        <v>2095583.99</v>
      </c>
      <c r="G6139" s="128">
        <v>533676.75</v>
      </c>
      <c r="H6139" s="128">
        <v>181783.15</v>
      </c>
      <c r="I6139" s="128">
        <v>4102</v>
      </c>
    </row>
    <row r="6140" spans="1:9" ht="13.5">
      <c r="A6140" s="128">
        <v>2009</v>
      </c>
      <c r="B6140" s="128" t="s">
        <v>138</v>
      </c>
      <c r="C6140" s="128" t="s">
        <v>25</v>
      </c>
      <c r="D6140" s="128" t="s">
        <v>77</v>
      </c>
      <c r="E6140" s="128" t="s">
        <v>132</v>
      </c>
      <c r="F6140" s="128">
        <v>54414.51</v>
      </c>
      <c r="G6140" s="128">
        <v>36846.85</v>
      </c>
      <c r="H6140" s="128">
        <v>13123.62</v>
      </c>
      <c r="I6140" s="128">
        <v>331</v>
      </c>
    </row>
    <row r="6141" spans="1:9" ht="13.5">
      <c r="A6141" s="128">
        <v>2009</v>
      </c>
      <c r="B6141" s="128" t="s">
        <v>138</v>
      </c>
      <c r="C6141" s="128" t="s">
        <v>25</v>
      </c>
      <c r="D6141" s="128" t="s">
        <v>77</v>
      </c>
      <c r="E6141" s="128" t="s">
        <v>133</v>
      </c>
      <c r="F6141" s="128">
        <v>133122.95000000001</v>
      </c>
      <c r="G6141" s="128">
        <v>71211.05</v>
      </c>
      <c r="H6141" s="128">
        <v>51365.29</v>
      </c>
      <c r="I6141" s="128">
        <v>395</v>
      </c>
    </row>
    <row r="6142" spans="1:9" ht="13.5">
      <c r="A6142" s="128">
        <v>2009</v>
      </c>
      <c r="B6142" s="128" t="s">
        <v>138</v>
      </c>
      <c r="C6142" s="128" t="s">
        <v>25</v>
      </c>
      <c r="D6142" s="128" t="s">
        <v>77</v>
      </c>
      <c r="E6142" s="128" t="s">
        <v>134</v>
      </c>
      <c r="F6142" s="128">
        <v>531838.06000000006</v>
      </c>
      <c r="G6142" s="128">
        <v>226573.11</v>
      </c>
      <c r="H6142" s="128">
        <v>231507.36</v>
      </c>
      <c r="I6142" s="128">
        <v>1244</v>
      </c>
    </row>
    <row r="6143" spans="1:9" ht="13.5">
      <c r="A6143" s="128">
        <v>2009</v>
      </c>
      <c r="B6143" s="128" t="s">
        <v>138</v>
      </c>
      <c r="C6143" s="128" t="s">
        <v>25</v>
      </c>
      <c r="D6143" s="128" t="s">
        <v>77</v>
      </c>
      <c r="E6143" s="128" t="s">
        <v>135</v>
      </c>
      <c r="F6143" s="128">
        <v>1023303.76</v>
      </c>
      <c r="G6143" s="128">
        <v>311747.90000000002</v>
      </c>
      <c r="H6143" s="128">
        <v>360165.18</v>
      </c>
      <c r="I6143" s="128">
        <v>3582</v>
      </c>
    </row>
    <row r="6144" spans="1:9" ht="13.5">
      <c r="A6144" s="128">
        <v>2009</v>
      </c>
      <c r="B6144" s="128" t="s">
        <v>138</v>
      </c>
      <c r="C6144" s="128" t="s">
        <v>25</v>
      </c>
      <c r="D6144" s="128" t="s">
        <v>76</v>
      </c>
      <c r="E6144" s="128" t="s">
        <v>136</v>
      </c>
      <c r="F6144" s="128">
        <v>427549.43</v>
      </c>
      <c r="G6144" s="128">
        <v>323847.64</v>
      </c>
      <c r="H6144" s="128">
        <v>103233.49</v>
      </c>
      <c r="I6144" s="128">
        <v>6909</v>
      </c>
    </row>
    <row r="6145" spans="1:9" ht="13.5">
      <c r="A6145" s="128">
        <v>2009</v>
      </c>
      <c r="B6145" s="128" t="s">
        <v>138</v>
      </c>
      <c r="C6145" s="128" t="s">
        <v>25</v>
      </c>
      <c r="D6145" s="128" t="s">
        <v>76</v>
      </c>
      <c r="E6145" s="128" t="s">
        <v>132</v>
      </c>
      <c r="F6145" s="128">
        <v>3437042.51</v>
      </c>
      <c r="G6145" s="128">
        <v>2214825.5499999998</v>
      </c>
      <c r="H6145" s="128">
        <v>1222213.57</v>
      </c>
      <c r="I6145" s="128">
        <v>43534</v>
      </c>
    </row>
    <row r="6146" spans="1:9" ht="13.5">
      <c r="A6146" s="128">
        <v>2009</v>
      </c>
      <c r="B6146" s="128" t="s">
        <v>138</v>
      </c>
      <c r="C6146" s="128" t="s">
        <v>25</v>
      </c>
      <c r="D6146" s="128" t="s">
        <v>76</v>
      </c>
      <c r="E6146" s="128" t="s">
        <v>133</v>
      </c>
      <c r="F6146" s="128">
        <v>5242258.59</v>
      </c>
      <c r="G6146" s="128">
        <v>2854765.95</v>
      </c>
      <c r="H6146" s="128">
        <v>2387491.65</v>
      </c>
      <c r="I6146" s="128">
        <v>16383</v>
      </c>
    </row>
    <row r="6147" spans="1:9" ht="13.5">
      <c r="A6147" s="128">
        <v>2009</v>
      </c>
      <c r="B6147" s="128" t="s">
        <v>138</v>
      </c>
      <c r="C6147" s="128" t="s">
        <v>25</v>
      </c>
      <c r="D6147" s="128" t="s">
        <v>76</v>
      </c>
      <c r="E6147" s="128" t="s">
        <v>134</v>
      </c>
      <c r="F6147" s="128">
        <v>5151776.71</v>
      </c>
      <c r="G6147" s="128">
        <v>2371231.67</v>
      </c>
      <c r="H6147" s="128">
        <v>2780537.83</v>
      </c>
      <c r="I6147" s="128">
        <v>31353</v>
      </c>
    </row>
    <row r="6148" spans="1:9" ht="13.5">
      <c r="A6148" s="128">
        <v>2009</v>
      </c>
      <c r="B6148" s="128" t="s">
        <v>138</v>
      </c>
      <c r="C6148" s="128" t="s">
        <v>25</v>
      </c>
      <c r="D6148" s="128" t="s">
        <v>76</v>
      </c>
      <c r="E6148" s="128" t="s">
        <v>135</v>
      </c>
      <c r="F6148" s="128">
        <v>407816.95</v>
      </c>
      <c r="G6148" s="128">
        <v>113543.7</v>
      </c>
      <c r="H6148" s="128">
        <v>294273.25</v>
      </c>
      <c r="I6148" s="128">
        <v>332</v>
      </c>
    </row>
    <row r="6149" spans="1:9" ht="13.5">
      <c r="A6149" s="128">
        <v>2009</v>
      </c>
      <c r="B6149" s="128" t="s">
        <v>138</v>
      </c>
      <c r="C6149" s="128" t="s">
        <v>27</v>
      </c>
      <c r="D6149" s="128" t="s">
        <v>79</v>
      </c>
      <c r="E6149" s="128" t="s">
        <v>136</v>
      </c>
      <c r="F6149" s="128">
        <v>258345.39</v>
      </c>
      <c r="G6149" s="128">
        <v>194171.05</v>
      </c>
      <c r="H6149" s="128">
        <v>64174.34</v>
      </c>
      <c r="I6149" s="128">
        <v>2437</v>
      </c>
    </row>
    <row r="6150" spans="1:9" ht="13.5">
      <c r="A6150" s="128">
        <v>2009</v>
      </c>
      <c r="B6150" s="128" t="s">
        <v>138</v>
      </c>
      <c r="C6150" s="128" t="s">
        <v>27</v>
      </c>
      <c r="D6150" s="128" t="s">
        <v>79</v>
      </c>
      <c r="E6150" s="128" t="s">
        <v>132</v>
      </c>
      <c r="F6150" s="128">
        <v>56129.87</v>
      </c>
      <c r="G6150" s="128">
        <v>36673.39</v>
      </c>
      <c r="H6150" s="128">
        <v>12358.09</v>
      </c>
      <c r="I6150" s="128">
        <v>202</v>
      </c>
    </row>
    <row r="6151" spans="1:9" ht="13.5">
      <c r="A6151" s="128">
        <v>2009</v>
      </c>
      <c r="B6151" s="128" t="s">
        <v>138</v>
      </c>
      <c r="C6151" s="128" t="s">
        <v>27</v>
      </c>
      <c r="D6151" s="128" t="s">
        <v>79</v>
      </c>
      <c r="E6151" s="128" t="s">
        <v>133</v>
      </c>
      <c r="F6151" s="128">
        <v>44182.22</v>
      </c>
      <c r="G6151" s="128">
        <v>23774.17</v>
      </c>
      <c r="H6151" s="128">
        <v>8123.2</v>
      </c>
      <c r="I6151" s="128">
        <v>204</v>
      </c>
    </row>
    <row r="6152" spans="1:9" ht="13.5">
      <c r="A6152" s="128">
        <v>2009</v>
      </c>
      <c r="B6152" s="128" t="s">
        <v>138</v>
      </c>
      <c r="C6152" s="128" t="s">
        <v>27</v>
      </c>
      <c r="D6152" s="128" t="s">
        <v>79</v>
      </c>
      <c r="E6152" s="128" t="s">
        <v>134</v>
      </c>
      <c r="F6152" s="128">
        <v>137943.95000000001</v>
      </c>
      <c r="G6152" s="128">
        <v>58504.29</v>
      </c>
      <c r="H6152" s="128">
        <v>19842.21</v>
      </c>
      <c r="I6152" s="128">
        <v>701</v>
      </c>
    </row>
    <row r="6153" spans="1:9" ht="13.5">
      <c r="A6153" s="128">
        <v>2009</v>
      </c>
      <c r="B6153" s="128" t="s">
        <v>138</v>
      </c>
      <c r="C6153" s="128" t="s">
        <v>27</v>
      </c>
      <c r="D6153" s="128" t="s">
        <v>79</v>
      </c>
      <c r="E6153" s="128" t="s">
        <v>135</v>
      </c>
      <c r="F6153" s="128">
        <v>805905.29</v>
      </c>
      <c r="G6153" s="128">
        <v>205249.97</v>
      </c>
      <c r="H6153" s="128">
        <v>68491.759999999995</v>
      </c>
      <c r="I6153" s="128">
        <v>1834</v>
      </c>
    </row>
    <row r="6154" spans="1:9" ht="13.5">
      <c r="A6154" s="128">
        <v>2009</v>
      </c>
      <c r="B6154" s="128" t="s">
        <v>138</v>
      </c>
      <c r="C6154" s="128" t="s">
        <v>27</v>
      </c>
      <c r="D6154" s="128" t="s">
        <v>77</v>
      </c>
      <c r="E6154" s="128" t="s">
        <v>132</v>
      </c>
      <c r="F6154" s="128">
        <v>15269.88</v>
      </c>
      <c r="G6154" s="128">
        <v>10459.15</v>
      </c>
      <c r="H6154" s="128">
        <v>4181.29</v>
      </c>
      <c r="I6154" s="128">
        <v>76</v>
      </c>
    </row>
    <row r="6155" spans="1:9" ht="13.5">
      <c r="A6155" s="128">
        <v>2009</v>
      </c>
      <c r="B6155" s="128" t="s">
        <v>138</v>
      </c>
      <c r="C6155" s="128" t="s">
        <v>27</v>
      </c>
      <c r="D6155" s="128" t="s">
        <v>77</v>
      </c>
      <c r="E6155" s="128" t="s">
        <v>133</v>
      </c>
      <c r="F6155" s="128">
        <v>31051.63</v>
      </c>
      <c r="G6155" s="128">
        <v>16791.599999999999</v>
      </c>
      <c r="H6155" s="128">
        <v>11595.23</v>
      </c>
      <c r="I6155" s="128">
        <v>119</v>
      </c>
    </row>
    <row r="6156" spans="1:9" ht="13.5">
      <c r="A6156" s="128">
        <v>2009</v>
      </c>
      <c r="B6156" s="128" t="s">
        <v>138</v>
      </c>
      <c r="C6156" s="128" t="s">
        <v>27</v>
      </c>
      <c r="D6156" s="128" t="s">
        <v>77</v>
      </c>
      <c r="E6156" s="128" t="s">
        <v>134</v>
      </c>
      <c r="F6156" s="128">
        <v>71624.210000000006</v>
      </c>
      <c r="G6156" s="128">
        <v>31373.1</v>
      </c>
      <c r="H6156" s="128">
        <v>30377.279999999999</v>
      </c>
      <c r="I6156" s="128">
        <v>150</v>
      </c>
    </row>
    <row r="6157" spans="1:9" ht="13.5">
      <c r="A6157" s="128">
        <v>2009</v>
      </c>
      <c r="B6157" s="128" t="s">
        <v>138</v>
      </c>
      <c r="C6157" s="128" t="s">
        <v>27</v>
      </c>
      <c r="D6157" s="128" t="s">
        <v>77</v>
      </c>
      <c r="E6157" s="128" t="s">
        <v>135</v>
      </c>
      <c r="F6157" s="128">
        <v>231009.8</v>
      </c>
      <c r="G6157" s="128">
        <v>58645.9</v>
      </c>
      <c r="H6157" s="128">
        <v>64886.82</v>
      </c>
      <c r="I6157" s="128">
        <v>628</v>
      </c>
    </row>
    <row r="6158" spans="1:9" ht="13.5">
      <c r="A6158" s="128">
        <v>2009</v>
      </c>
      <c r="B6158" s="128" t="s">
        <v>138</v>
      </c>
      <c r="C6158" s="128" t="s">
        <v>27</v>
      </c>
      <c r="D6158" s="128" t="s">
        <v>76</v>
      </c>
      <c r="E6158" s="128" t="s">
        <v>136</v>
      </c>
      <c r="F6158" s="128">
        <v>78369.13</v>
      </c>
      <c r="G6158" s="128">
        <v>59172.4</v>
      </c>
      <c r="H6158" s="128">
        <v>19196.73</v>
      </c>
      <c r="I6158" s="128">
        <v>1195</v>
      </c>
    </row>
    <row r="6159" spans="1:9" ht="13.5">
      <c r="A6159" s="128">
        <v>2009</v>
      </c>
      <c r="B6159" s="128" t="s">
        <v>138</v>
      </c>
      <c r="C6159" s="128" t="s">
        <v>27</v>
      </c>
      <c r="D6159" s="128" t="s">
        <v>76</v>
      </c>
      <c r="E6159" s="128" t="s">
        <v>132</v>
      </c>
      <c r="F6159" s="128">
        <v>287254.26</v>
      </c>
      <c r="G6159" s="128">
        <v>184114.9</v>
      </c>
      <c r="H6159" s="128">
        <v>103137.96</v>
      </c>
      <c r="I6159" s="128">
        <v>3044</v>
      </c>
    </row>
    <row r="6160" spans="1:9" ht="13.5">
      <c r="A6160" s="128">
        <v>2009</v>
      </c>
      <c r="B6160" s="128" t="s">
        <v>138</v>
      </c>
      <c r="C6160" s="128" t="s">
        <v>27</v>
      </c>
      <c r="D6160" s="128" t="s">
        <v>76</v>
      </c>
      <c r="E6160" s="128" t="s">
        <v>133</v>
      </c>
      <c r="F6160" s="128">
        <v>923023.64</v>
      </c>
      <c r="G6160" s="128">
        <v>500362.35</v>
      </c>
      <c r="H6160" s="128">
        <v>422656.82</v>
      </c>
      <c r="I6160" s="128">
        <v>2887</v>
      </c>
    </row>
    <row r="6161" spans="1:9" ht="13.5">
      <c r="A6161" s="128">
        <v>2009</v>
      </c>
      <c r="B6161" s="128" t="s">
        <v>138</v>
      </c>
      <c r="C6161" s="128" t="s">
        <v>27</v>
      </c>
      <c r="D6161" s="128" t="s">
        <v>76</v>
      </c>
      <c r="E6161" s="128" t="s">
        <v>134</v>
      </c>
      <c r="F6161" s="128">
        <v>884204.29</v>
      </c>
      <c r="G6161" s="128">
        <v>406985.34</v>
      </c>
      <c r="H6161" s="128">
        <v>477216.33</v>
      </c>
      <c r="I6161" s="128">
        <v>4897</v>
      </c>
    </row>
    <row r="6162" spans="1:9" ht="13.5">
      <c r="A6162" s="128">
        <v>2009</v>
      </c>
      <c r="B6162" s="128" t="s">
        <v>138</v>
      </c>
      <c r="C6162" s="128" t="s">
        <v>27</v>
      </c>
      <c r="D6162" s="128" t="s">
        <v>76</v>
      </c>
      <c r="E6162" s="128" t="s">
        <v>135</v>
      </c>
      <c r="F6162" s="128">
        <v>90096.38</v>
      </c>
      <c r="G6162" s="128">
        <v>25899.439999999999</v>
      </c>
      <c r="H6162" s="128">
        <v>64196.04</v>
      </c>
      <c r="I6162" s="128">
        <v>102</v>
      </c>
    </row>
    <row r="6163" spans="1:9" ht="13.5">
      <c r="A6163" s="128">
        <v>2009</v>
      </c>
      <c r="B6163" s="128" t="s">
        <v>139</v>
      </c>
      <c r="C6163" s="128" t="s">
        <v>20</v>
      </c>
      <c r="D6163" s="128" t="s">
        <v>79</v>
      </c>
      <c r="E6163" s="128" t="s">
        <v>136</v>
      </c>
      <c r="F6163" s="128">
        <v>27119772.68</v>
      </c>
      <c r="G6163" s="128">
        <v>20442761.690000001</v>
      </c>
      <c r="H6163" s="128">
        <v>6674997.5800000001</v>
      </c>
      <c r="I6163" s="128">
        <v>479992</v>
      </c>
    </row>
    <row r="6164" spans="1:9" ht="13.5">
      <c r="A6164" s="128">
        <v>2009</v>
      </c>
      <c r="B6164" s="128" t="s">
        <v>139</v>
      </c>
      <c r="C6164" s="128" t="s">
        <v>20</v>
      </c>
      <c r="D6164" s="128" t="s">
        <v>79</v>
      </c>
      <c r="E6164" s="128" t="s">
        <v>132</v>
      </c>
      <c r="F6164" s="128">
        <v>3525461.34</v>
      </c>
      <c r="G6164" s="128">
        <v>2354414.7999999998</v>
      </c>
      <c r="H6164" s="128">
        <v>855125.88</v>
      </c>
      <c r="I6164" s="128">
        <v>19550</v>
      </c>
    </row>
    <row r="6165" spans="1:9" ht="13.5">
      <c r="A6165" s="128">
        <v>2009</v>
      </c>
      <c r="B6165" s="128" t="s">
        <v>139</v>
      </c>
      <c r="C6165" s="128" t="s">
        <v>20</v>
      </c>
      <c r="D6165" s="128" t="s">
        <v>79</v>
      </c>
      <c r="E6165" s="128" t="s">
        <v>133</v>
      </c>
      <c r="F6165" s="128">
        <v>5074356.0999999996</v>
      </c>
      <c r="G6165" s="128">
        <v>2740882.43</v>
      </c>
      <c r="H6165" s="128">
        <v>1138719.03</v>
      </c>
      <c r="I6165" s="128">
        <v>44502</v>
      </c>
    </row>
    <row r="6166" spans="1:9" ht="13.5">
      <c r="A6166" s="128">
        <v>2009</v>
      </c>
      <c r="B6166" s="128" t="s">
        <v>139</v>
      </c>
      <c r="C6166" s="128" t="s">
        <v>20</v>
      </c>
      <c r="D6166" s="128" t="s">
        <v>79</v>
      </c>
      <c r="E6166" s="128" t="s">
        <v>134</v>
      </c>
      <c r="F6166" s="128">
        <v>15400611.76</v>
      </c>
      <c r="G6166" s="128">
        <v>6542643.0700000003</v>
      </c>
      <c r="H6166" s="128">
        <v>2794895.03</v>
      </c>
      <c r="I6166" s="128">
        <v>65086</v>
      </c>
    </row>
    <row r="6167" spans="1:9" ht="13.5">
      <c r="A6167" s="128">
        <v>2009</v>
      </c>
      <c r="B6167" s="128" t="s">
        <v>139</v>
      </c>
      <c r="C6167" s="128" t="s">
        <v>20</v>
      </c>
      <c r="D6167" s="128" t="s">
        <v>79</v>
      </c>
      <c r="E6167" s="128" t="s">
        <v>135</v>
      </c>
      <c r="F6167" s="128">
        <v>75516175.200000003</v>
      </c>
      <c r="G6167" s="128">
        <v>19442830.420000002</v>
      </c>
      <c r="H6167" s="128">
        <v>6553978.0800000001</v>
      </c>
      <c r="I6167" s="128">
        <v>142098</v>
      </c>
    </row>
    <row r="6168" spans="1:9" ht="13.5">
      <c r="A6168" s="128">
        <v>2009</v>
      </c>
      <c r="B6168" s="128" t="s">
        <v>139</v>
      </c>
      <c r="C6168" s="128" t="s">
        <v>20</v>
      </c>
      <c r="D6168" s="128" t="s">
        <v>77</v>
      </c>
      <c r="E6168" s="128" t="s">
        <v>132</v>
      </c>
      <c r="F6168" s="128">
        <v>952189.86</v>
      </c>
      <c r="G6168" s="128">
        <v>629921.35</v>
      </c>
      <c r="H6168" s="128">
        <v>283504.8</v>
      </c>
      <c r="I6168" s="128">
        <v>6712</v>
      </c>
    </row>
    <row r="6169" spans="1:9" ht="13.5">
      <c r="A6169" s="128">
        <v>2009</v>
      </c>
      <c r="B6169" s="128" t="s">
        <v>139</v>
      </c>
      <c r="C6169" s="128" t="s">
        <v>20</v>
      </c>
      <c r="D6169" s="128" t="s">
        <v>77</v>
      </c>
      <c r="E6169" s="128" t="s">
        <v>133</v>
      </c>
      <c r="F6169" s="128">
        <v>1879711.59</v>
      </c>
      <c r="G6169" s="128">
        <v>1015016.65</v>
      </c>
      <c r="H6169" s="128">
        <v>747049.73</v>
      </c>
      <c r="I6169" s="128">
        <v>5835</v>
      </c>
    </row>
    <row r="6170" spans="1:9" ht="13.5">
      <c r="A6170" s="128">
        <v>2009</v>
      </c>
      <c r="B6170" s="128" t="s">
        <v>139</v>
      </c>
      <c r="C6170" s="128" t="s">
        <v>20</v>
      </c>
      <c r="D6170" s="128" t="s">
        <v>77</v>
      </c>
      <c r="E6170" s="128" t="s">
        <v>134</v>
      </c>
      <c r="F6170" s="128">
        <v>4301985.9000000004</v>
      </c>
      <c r="G6170" s="128">
        <v>1880583.11</v>
      </c>
      <c r="H6170" s="128">
        <v>1859231.3</v>
      </c>
      <c r="I6170" s="128">
        <v>16846</v>
      </c>
    </row>
    <row r="6171" spans="1:9" ht="13.5">
      <c r="A6171" s="128">
        <v>2009</v>
      </c>
      <c r="B6171" s="128" t="s">
        <v>139</v>
      </c>
      <c r="C6171" s="128" t="s">
        <v>20</v>
      </c>
      <c r="D6171" s="128" t="s">
        <v>77</v>
      </c>
      <c r="E6171" s="128" t="s">
        <v>135</v>
      </c>
      <c r="F6171" s="128">
        <v>7338765.2999999998</v>
      </c>
      <c r="G6171" s="128">
        <v>1830588.91</v>
      </c>
      <c r="H6171" s="128">
        <v>2027322.59</v>
      </c>
      <c r="I6171" s="128">
        <v>18511</v>
      </c>
    </row>
    <row r="6172" spans="1:9" ht="13.5">
      <c r="A6172" s="128">
        <v>2009</v>
      </c>
      <c r="B6172" s="128" t="s">
        <v>139</v>
      </c>
      <c r="C6172" s="128" t="s">
        <v>20</v>
      </c>
      <c r="D6172" s="128" t="s">
        <v>76</v>
      </c>
      <c r="E6172" s="128" t="s">
        <v>136</v>
      </c>
      <c r="F6172" s="128">
        <v>7447097.8600000003</v>
      </c>
      <c r="G6172" s="128">
        <v>5639667.4199999999</v>
      </c>
      <c r="H6172" s="128">
        <v>1808395.66</v>
      </c>
      <c r="I6172" s="128">
        <v>225617</v>
      </c>
    </row>
    <row r="6173" spans="1:9" ht="13.5">
      <c r="A6173" s="128">
        <v>2009</v>
      </c>
      <c r="B6173" s="128" t="s">
        <v>139</v>
      </c>
      <c r="C6173" s="128" t="s">
        <v>20</v>
      </c>
      <c r="D6173" s="128" t="s">
        <v>76</v>
      </c>
      <c r="E6173" s="128" t="s">
        <v>132</v>
      </c>
      <c r="F6173" s="128">
        <v>31684853.899999999</v>
      </c>
      <c r="G6173" s="128">
        <v>20311051.350000001</v>
      </c>
      <c r="H6173" s="128">
        <v>11373554.82</v>
      </c>
      <c r="I6173" s="128">
        <v>399576</v>
      </c>
    </row>
    <row r="6174" spans="1:9" ht="13.5">
      <c r="A6174" s="128">
        <v>2009</v>
      </c>
      <c r="B6174" s="128" t="s">
        <v>139</v>
      </c>
      <c r="C6174" s="128" t="s">
        <v>20</v>
      </c>
      <c r="D6174" s="128" t="s">
        <v>76</v>
      </c>
      <c r="E6174" s="128" t="s">
        <v>133</v>
      </c>
      <c r="F6174" s="128">
        <v>54067626.780000001</v>
      </c>
      <c r="G6174" s="128">
        <v>29646325.379999999</v>
      </c>
      <c r="H6174" s="128">
        <v>24421067.149999999</v>
      </c>
      <c r="I6174" s="128">
        <v>220606</v>
      </c>
    </row>
    <row r="6175" spans="1:9" ht="13.5">
      <c r="A6175" s="128">
        <v>2009</v>
      </c>
      <c r="B6175" s="128" t="s">
        <v>139</v>
      </c>
      <c r="C6175" s="128" t="s">
        <v>20</v>
      </c>
      <c r="D6175" s="128" t="s">
        <v>76</v>
      </c>
      <c r="E6175" s="128" t="s">
        <v>134</v>
      </c>
      <c r="F6175" s="128">
        <v>49905749.049999997</v>
      </c>
      <c r="G6175" s="128">
        <v>23125474.52</v>
      </c>
      <c r="H6175" s="128">
        <v>26779998.289999999</v>
      </c>
      <c r="I6175" s="128">
        <v>306922</v>
      </c>
    </row>
    <row r="6176" spans="1:9" ht="13.5">
      <c r="A6176" s="128">
        <v>2009</v>
      </c>
      <c r="B6176" s="128" t="s">
        <v>139</v>
      </c>
      <c r="C6176" s="128" t="s">
        <v>20</v>
      </c>
      <c r="D6176" s="128" t="s">
        <v>76</v>
      </c>
      <c r="E6176" s="128" t="s">
        <v>135</v>
      </c>
      <c r="F6176" s="128">
        <v>5292935.25</v>
      </c>
      <c r="G6176" s="128">
        <v>1525427.2</v>
      </c>
      <c r="H6176" s="128">
        <v>3767501.9</v>
      </c>
      <c r="I6176" s="128">
        <v>5220</v>
      </c>
    </row>
    <row r="6177" spans="1:9" ht="13.5">
      <c r="A6177" s="128">
        <v>2009</v>
      </c>
      <c r="B6177" s="128" t="s">
        <v>139</v>
      </c>
      <c r="C6177" s="128" t="s">
        <v>21</v>
      </c>
      <c r="D6177" s="128" t="s">
        <v>79</v>
      </c>
      <c r="E6177" s="128" t="s">
        <v>136</v>
      </c>
      <c r="F6177" s="128">
        <v>19672717.02</v>
      </c>
      <c r="G6177" s="128">
        <v>14786141.810000001</v>
      </c>
      <c r="H6177" s="128">
        <v>4886573.51</v>
      </c>
      <c r="I6177" s="128">
        <v>175418</v>
      </c>
    </row>
    <row r="6178" spans="1:9" ht="13.5">
      <c r="A6178" s="128">
        <v>2009</v>
      </c>
      <c r="B6178" s="128" t="s">
        <v>139</v>
      </c>
      <c r="C6178" s="128" t="s">
        <v>21</v>
      </c>
      <c r="D6178" s="128" t="s">
        <v>79</v>
      </c>
      <c r="E6178" s="128" t="s">
        <v>132</v>
      </c>
      <c r="F6178" s="128">
        <v>2967706.67</v>
      </c>
      <c r="G6178" s="128">
        <v>1981497.71</v>
      </c>
      <c r="H6178" s="128">
        <v>742804.6</v>
      </c>
      <c r="I6178" s="128">
        <v>22295</v>
      </c>
    </row>
    <row r="6179" spans="1:9" ht="13.5">
      <c r="A6179" s="128">
        <v>2009</v>
      </c>
      <c r="B6179" s="128" t="s">
        <v>139</v>
      </c>
      <c r="C6179" s="128" t="s">
        <v>21</v>
      </c>
      <c r="D6179" s="128" t="s">
        <v>79</v>
      </c>
      <c r="E6179" s="128" t="s">
        <v>133</v>
      </c>
      <c r="F6179" s="128">
        <v>3204144.24</v>
      </c>
      <c r="G6179" s="128">
        <v>1749025.57</v>
      </c>
      <c r="H6179" s="128">
        <v>860483.2</v>
      </c>
      <c r="I6179" s="128">
        <v>21859</v>
      </c>
    </row>
    <row r="6180" spans="1:9" ht="13.5">
      <c r="A6180" s="128">
        <v>2009</v>
      </c>
      <c r="B6180" s="128" t="s">
        <v>139</v>
      </c>
      <c r="C6180" s="128" t="s">
        <v>21</v>
      </c>
      <c r="D6180" s="128" t="s">
        <v>79</v>
      </c>
      <c r="E6180" s="128" t="s">
        <v>134</v>
      </c>
      <c r="F6180" s="128">
        <v>7349665.5300000003</v>
      </c>
      <c r="G6180" s="128">
        <v>3149483.06</v>
      </c>
      <c r="H6180" s="128">
        <v>1716365.56</v>
      </c>
      <c r="I6180" s="128">
        <v>52193</v>
      </c>
    </row>
    <row r="6181" spans="1:9" ht="13.5">
      <c r="A6181" s="128">
        <v>2009</v>
      </c>
      <c r="B6181" s="128" t="s">
        <v>139</v>
      </c>
      <c r="C6181" s="128" t="s">
        <v>21</v>
      </c>
      <c r="D6181" s="128" t="s">
        <v>79</v>
      </c>
      <c r="E6181" s="128" t="s">
        <v>135</v>
      </c>
      <c r="F6181" s="128">
        <v>15466683.029999999</v>
      </c>
      <c r="G6181" s="128">
        <v>4085867.88</v>
      </c>
      <c r="H6181" s="128">
        <v>1366310.69</v>
      </c>
      <c r="I6181" s="128">
        <v>36565</v>
      </c>
    </row>
    <row r="6182" spans="1:9" ht="13.5">
      <c r="A6182" s="128">
        <v>2009</v>
      </c>
      <c r="B6182" s="128" t="s">
        <v>139</v>
      </c>
      <c r="C6182" s="128" t="s">
        <v>21</v>
      </c>
      <c r="D6182" s="128" t="s">
        <v>77</v>
      </c>
      <c r="E6182" s="128" t="s">
        <v>132</v>
      </c>
      <c r="F6182" s="128">
        <v>1699681.38</v>
      </c>
      <c r="G6182" s="128">
        <v>1136407.1299999999</v>
      </c>
      <c r="H6182" s="128">
        <v>464939.24</v>
      </c>
      <c r="I6182" s="128">
        <v>9707</v>
      </c>
    </row>
    <row r="6183" spans="1:9" ht="13.5">
      <c r="A6183" s="128">
        <v>2009</v>
      </c>
      <c r="B6183" s="128" t="s">
        <v>139</v>
      </c>
      <c r="C6183" s="128" t="s">
        <v>21</v>
      </c>
      <c r="D6183" s="128" t="s">
        <v>77</v>
      </c>
      <c r="E6183" s="128" t="s">
        <v>133</v>
      </c>
      <c r="F6183" s="128">
        <v>3894022.82</v>
      </c>
      <c r="G6183" s="128">
        <v>2115115.19</v>
      </c>
      <c r="H6183" s="128">
        <v>1447564.67</v>
      </c>
      <c r="I6183" s="128">
        <v>13196</v>
      </c>
    </row>
    <row r="6184" spans="1:9" ht="13.5">
      <c r="A6184" s="128">
        <v>2009</v>
      </c>
      <c r="B6184" s="128" t="s">
        <v>139</v>
      </c>
      <c r="C6184" s="128" t="s">
        <v>21</v>
      </c>
      <c r="D6184" s="128" t="s">
        <v>77</v>
      </c>
      <c r="E6184" s="128" t="s">
        <v>134</v>
      </c>
      <c r="F6184" s="128">
        <v>6844538.8799999999</v>
      </c>
      <c r="G6184" s="128">
        <v>2972042.67</v>
      </c>
      <c r="H6184" s="128">
        <v>2607988.46</v>
      </c>
      <c r="I6184" s="128">
        <v>23777</v>
      </c>
    </row>
    <row r="6185" spans="1:9" ht="13.5">
      <c r="A6185" s="128">
        <v>2009</v>
      </c>
      <c r="B6185" s="128" t="s">
        <v>139</v>
      </c>
      <c r="C6185" s="128" t="s">
        <v>21</v>
      </c>
      <c r="D6185" s="128" t="s">
        <v>77</v>
      </c>
      <c r="E6185" s="128" t="s">
        <v>135</v>
      </c>
      <c r="F6185" s="128">
        <v>10491642.93</v>
      </c>
      <c r="G6185" s="128">
        <v>2799600.35</v>
      </c>
      <c r="H6185" s="128">
        <v>2821903.46</v>
      </c>
      <c r="I6185" s="128">
        <v>28341</v>
      </c>
    </row>
    <row r="6186" spans="1:9" ht="13.5">
      <c r="A6186" s="128">
        <v>2009</v>
      </c>
      <c r="B6186" s="128" t="s">
        <v>139</v>
      </c>
      <c r="C6186" s="128" t="s">
        <v>21</v>
      </c>
      <c r="D6186" s="128" t="s">
        <v>76</v>
      </c>
      <c r="E6186" s="128" t="s">
        <v>136</v>
      </c>
      <c r="F6186" s="128">
        <v>7767511.2199999997</v>
      </c>
      <c r="G6186" s="128">
        <v>5851270.6900000004</v>
      </c>
      <c r="H6186" s="128">
        <v>1916240.94</v>
      </c>
      <c r="I6186" s="128">
        <v>166805</v>
      </c>
    </row>
    <row r="6187" spans="1:9" ht="13.5">
      <c r="A6187" s="128">
        <v>2009</v>
      </c>
      <c r="B6187" s="128" t="s">
        <v>139</v>
      </c>
      <c r="C6187" s="128" t="s">
        <v>21</v>
      </c>
      <c r="D6187" s="128" t="s">
        <v>76</v>
      </c>
      <c r="E6187" s="128" t="s">
        <v>132</v>
      </c>
      <c r="F6187" s="128">
        <v>31710762.219999999</v>
      </c>
      <c r="G6187" s="128">
        <v>20470257.719999999</v>
      </c>
      <c r="H6187" s="128">
        <v>11240393.73</v>
      </c>
      <c r="I6187" s="128">
        <v>377195</v>
      </c>
    </row>
    <row r="6188" spans="1:9" ht="13.5">
      <c r="A6188" s="128">
        <v>2009</v>
      </c>
      <c r="B6188" s="128" t="s">
        <v>139</v>
      </c>
      <c r="C6188" s="128" t="s">
        <v>21</v>
      </c>
      <c r="D6188" s="128" t="s">
        <v>76</v>
      </c>
      <c r="E6188" s="128" t="s">
        <v>133</v>
      </c>
      <c r="F6188" s="128">
        <v>63716045.950000003</v>
      </c>
      <c r="G6188" s="128">
        <v>35131292.520000003</v>
      </c>
      <c r="H6188" s="128">
        <v>28584688.210000001</v>
      </c>
      <c r="I6188" s="128">
        <v>374918</v>
      </c>
    </row>
    <row r="6189" spans="1:9" ht="13.5">
      <c r="A6189" s="128">
        <v>2009</v>
      </c>
      <c r="B6189" s="128" t="s">
        <v>139</v>
      </c>
      <c r="C6189" s="128" t="s">
        <v>21</v>
      </c>
      <c r="D6189" s="128" t="s">
        <v>76</v>
      </c>
      <c r="E6189" s="128" t="s">
        <v>134</v>
      </c>
      <c r="F6189" s="128">
        <v>51272549.270000003</v>
      </c>
      <c r="G6189" s="128">
        <v>23688532.27</v>
      </c>
      <c r="H6189" s="128">
        <v>27583937.510000002</v>
      </c>
      <c r="I6189" s="128">
        <v>291190</v>
      </c>
    </row>
    <row r="6190" spans="1:9" ht="13.5">
      <c r="A6190" s="128">
        <v>2009</v>
      </c>
      <c r="B6190" s="128" t="s">
        <v>139</v>
      </c>
      <c r="C6190" s="128" t="s">
        <v>21</v>
      </c>
      <c r="D6190" s="128" t="s">
        <v>76</v>
      </c>
      <c r="E6190" s="128" t="s">
        <v>135</v>
      </c>
      <c r="F6190" s="128">
        <v>2950707.49</v>
      </c>
      <c r="G6190" s="128">
        <v>833545.64</v>
      </c>
      <c r="H6190" s="128">
        <v>2117161.58</v>
      </c>
      <c r="I6190" s="128">
        <v>2658</v>
      </c>
    </row>
    <row r="6191" spans="1:9" ht="13.5">
      <c r="A6191" s="128">
        <v>2009</v>
      </c>
      <c r="B6191" s="128" t="s">
        <v>139</v>
      </c>
      <c r="C6191" s="128" t="s">
        <v>22</v>
      </c>
      <c r="D6191" s="128" t="s">
        <v>79</v>
      </c>
      <c r="E6191" s="128" t="s">
        <v>136</v>
      </c>
      <c r="F6191" s="128">
        <v>6467769.3099999996</v>
      </c>
      <c r="G6191" s="128">
        <v>4878846.42</v>
      </c>
      <c r="H6191" s="128">
        <v>1582779.17</v>
      </c>
      <c r="I6191" s="128">
        <v>68634</v>
      </c>
    </row>
    <row r="6192" spans="1:9" ht="13.5">
      <c r="A6192" s="128">
        <v>2009</v>
      </c>
      <c r="B6192" s="128" t="s">
        <v>139</v>
      </c>
      <c r="C6192" s="128" t="s">
        <v>22</v>
      </c>
      <c r="D6192" s="128" t="s">
        <v>79</v>
      </c>
      <c r="E6192" s="128" t="s">
        <v>132</v>
      </c>
      <c r="F6192" s="128">
        <v>1966560.01</v>
      </c>
      <c r="G6192" s="128">
        <v>1316577.8999999999</v>
      </c>
      <c r="H6192" s="128">
        <v>442939.48</v>
      </c>
      <c r="I6192" s="128">
        <v>11023</v>
      </c>
    </row>
    <row r="6193" spans="1:9" ht="13.5">
      <c r="A6193" s="128">
        <v>2009</v>
      </c>
      <c r="B6193" s="128" t="s">
        <v>139</v>
      </c>
      <c r="C6193" s="128" t="s">
        <v>22</v>
      </c>
      <c r="D6193" s="128" t="s">
        <v>79</v>
      </c>
      <c r="E6193" s="128" t="s">
        <v>133</v>
      </c>
      <c r="F6193" s="128">
        <v>3486561.51</v>
      </c>
      <c r="G6193" s="128">
        <v>1882180.88</v>
      </c>
      <c r="H6193" s="128">
        <v>675601.35</v>
      </c>
      <c r="I6193" s="128">
        <v>17545</v>
      </c>
    </row>
    <row r="6194" spans="1:9" ht="13.5">
      <c r="A6194" s="128">
        <v>2009</v>
      </c>
      <c r="B6194" s="128" t="s">
        <v>139</v>
      </c>
      <c r="C6194" s="128" t="s">
        <v>22</v>
      </c>
      <c r="D6194" s="128" t="s">
        <v>79</v>
      </c>
      <c r="E6194" s="128" t="s">
        <v>134</v>
      </c>
      <c r="F6194" s="128">
        <v>9041495.4299999997</v>
      </c>
      <c r="G6194" s="128">
        <v>3857715.34</v>
      </c>
      <c r="H6194" s="128">
        <v>1460743.7</v>
      </c>
      <c r="I6194" s="128">
        <v>38215</v>
      </c>
    </row>
    <row r="6195" spans="1:9" ht="13.5">
      <c r="A6195" s="128">
        <v>2009</v>
      </c>
      <c r="B6195" s="128" t="s">
        <v>139</v>
      </c>
      <c r="C6195" s="128" t="s">
        <v>22</v>
      </c>
      <c r="D6195" s="128" t="s">
        <v>79</v>
      </c>
      <c r="E6195" s="128" t="s">
        <v>135</v>
      </c>
      <c r="F6195" s="128">
        <v>31882226.079999998</v>
      </c>
      <c r="G6195" s="128">
        <v>8681542.9399999995</v>
      </c>
      <c r="H6195" s="128">
        <v>2907486.59</v>
      </c>
      <c r="I6195" s="128">
        <v>86193</v>
      </c>
    </row>
    <row r="6196" spans="1:9" ht="13.5">
      <c r="A6196" s="128">
        <v>2009</v>
      </c>
      <c r="B6196" s="128" t="s">
        <v>139</v>
      </c>
      <c r="C6196" s="128" t="s">
        <v>22</v>
      </c>
      <c r="D6196" s="128" t="s">
        <v>77</v>
      </c>
      <c r="E6196" s="128" t="s">
        <v>132</v>
      </c>
      <c r="F6196" s="128">
        <v>505872.14</v>
      </c>
      <c r="G6196" s="128">
        <v>320819.98</v>
      </c>
      <c r="H6196" s="128">
        <v>137246.73000000001</v>
      </c>
      <c r="I6196" s="128">
        <v>2928</v>
      </c>
    </row>
    <row r="6197" spans="1:9" ht="13.5">
      <c r="A6197" s="128">
        <v>2009</v>
      </c>
      <c r="B6197" s="128" t="s">
        <v>139</v>
      </c>
      <c r="C6197" s="128" t="s">
        <v>22</v>
      </c>
      <c r="D6197" s="128" t="s">
        <v>77</v>
      </c>
      <c r="E6197" s="128" t="s">
        <v>133</v>
      </c>
      <c r="F6197" s="128">
        <v>1307504.1399999999</v>
      </c>
      <c r="G6197" s="128">
        <v>712028.65</v>
      </c>
      <c r="H6197" s="128">
        <v>510740.44</v>
      </c>
      <c r="I6197" s="128">
        <v>4491</v>
      </c>
    </row>
    <row r="6198" spans="1:9" ht="13.5">
      <c r="A6198" s="128">
        <v>2009</v>
      </c>
      <c r="B6198" s="128" t="s">
        <v>139</v>
      </c>
      <c r="C6198" s="128" t="s">
        <v>22</v>
      </c>
      <c r="D6198" s="128" t="s">
        <v>77</v>
      </c>
      <c r="E6198" s="128" t="s">
        <v>134</v>
      </c>
      <c r="F6198" s="128">
        <v>4076886.71</v>
      </c>
      <c r="G6198" s="128">
        <v>1718374.62</v>
      </c>
      <c r="H6198" s="128">
        <v>1604364.91</v>
      </c>
      <c r="I6198" s="128">
        <v>10416</v>
      </c>
    </row>
    <row r="6199" spans="1:9" ht="13.5">
      <c r="A6199" s="128">
        <v>2009</v>
      </c>
      <c r="B6199" s="128" t="s">
        <v>139</v>
      </c>
      <c r="C6199" s="128" t="s">
        <v>22</v>
      </c>
      <c r="D6199" s="128" t="s">
        <v>77</v>
      </c>
      <c r="E6199" s="128" t="s">
        <v>135</v>
      </c>
      <c r="F6199" s="128">
        <v>10005418.84</v>
      </c>
      <c r="G6199" s="128">
        <v>2601451.9900000002</v>
      </c>
      <c r="H6199" s="128">
        <v>2863316.96</v>
      </c>
      <c r="I6199" s="128">
        <v>26057</v>
      </c>
    </row>
    <row r="6200" spans="1:9" ht="13.5">
      <c r="A6200" s="128">
        <v>2009</v>
      </c>
      <c r="B6200" s="128" t="s">
        <v>139</v>
      </c>
      <c r="C6200" s="128" t="s">
        <v>22</v>
      </c>
      <c r="D6200" s="128" t="s">
        <v>76</v>
      </c>
      <c r="E6200" s="128" t="s">
        <v>136</v>
      </c>
      <c r="F6200" s="128">
        <v>2836021.2</v>
      </c>
      <c r="G6200" s="128">
        <v>2158850.52</v>
      </c>
      <c r="H6200" s="128">
        <v>678210.43</v>
      </c>
      <c r="I6200" s="128">
        <v>64084</v>
      </c>
    </row>
    <row r="6201" spans="1:9" ht="13.5">
      <c r="A6201" s="128">
        <v>2009</v>
      </c>
      <c r="B6201" s="128" t="s">
        <v>139</v>
      </c>
      <c r="C6201" s="128" t="s">
        <v>22</v>
      </c>
      <c r="D6201" s="128" t="s">
        <v>76</v>
      </c>
      <c r="E6201" s="128" t="s">
        <v>132</v>
      </c>
      <c r="F6201" s="128">
        <v>31093432.41</v>
      </c>
      <c r="G6201" s="128">
        <v>20006172.27</v>
      </c>
      <c r="H6201" s="128">
        <v>11087191.640000001</v>
      </c>
      <c r="I6201" s="128">
        <v>472736</v>
      </c>
    </row>
    <row r="6202" spans="1:9" ht="13.5">
      <c r="A6202" s="128">
        <v>2009</v>
      </c>
      <c r="B6202" s="128" t="s">
        <v>139</v>
      </c>
      <c r="C6202" s="128" t="s">
        <v>22</v>
      </c>
      <c r="D6202" s="128" t="s">
        <v>76</v>
      </c>
      <c r="E6202" s="128" t="s">
        <v>133</v>
      </c>
      <c r="F6202" s="128">
        <v>45565013.990000002</v>
      </c>
      <c r="G6202" s="128">
        <v>25167557.120000001</v>
      </c>
      <c r="H6202" s="128">
        <v>20397322.420000002</v>
      </c>
      <c r="I6202" s="128">
        <v>223770</v>
      </c>
    </row>
    <row r="6203" spans="1:9" ht="13.5">
      <c r="A6203" s="128">
        <v>2009</v>
      </c>
      <c r="B6203" s="128" t="s">
        <v>139</v>
      </c>
      <c r="C6203" s="128" t="s">
        <v>22</v>
      </c>
      <c r="D6203" s="128" t="s">
        <v>76</v>
      </c>
      <c r="E6203" s="128" t="s">
        <v>134</v>
      </c>
      <c r="F6203" s="128">
        <v>34566958.869999997</v>
      </c>
      <c r="G6203" s="128">
        <v>16130578.720000001</v>
      </c>
      <c r="H6203" s="128">
        <v>18436321.809999999</v>
      </c>
      <c r="I6203" s="128">
        <v>233406</v>
      </c>
    </row>
    <row r="6204" spans="1:9" ht="13.5">
      <c r="A6204" s="128">
        <v>2009</v>
      </c>
      <c r="B6204" s="128" t="s">
        <v>139</v>
      </c>
      <c r="C6204" s="128" t="s">
        <v>22</v>
      </c>
      <c r="D6204" s="128" t="s">
        <v>76</v>
      </c>
      <c r="E6204" s="128" t="s">
        <v>135</v>
      </c>
      <c r="F6204" s="128">
        <v>4470903.71</v>
      </c>
      <c r="G6204" s="128">
        <v>1233515.26</v>
      </c>
      <c r="H6204" s="128">
        <v>3237387.88</v>
      </c>
      <c r="I6204" s="128">
        <v>3974</v>
      </c>
    </row>
    <row r="6205" spans="1:9" ht="13.5">
      <c r="A6205" s="128">
        <v>2009</v>
      </c>
      <c r="B6205" s="128" t="s">
        <v>139</v>
      </c>
      <c r="C6205" s="128" t="s">
        <v>23</v>
      </c>
      <c r="D6205" s="128" t="s">
        <v>79</v>
      </c>
      <c r="E6205" s="128" t="s">
        <v>136</v>
      </c>
      <c r="F6205" s="128">
        <v>14997692.67</v>
      </c>
      <c r="G6205" s="128">
        <v>11250857.109999999</v>
      </c>
      <c r="H6205" s="128">
        <v>3746542.15</v>
      </c>
      <c r="I6205" s="128">
        <v>113127</v>
      </c>
    </row>
    <row r="6206" spans="1:9" ht="13.5">
      <c r="A6206" s="128">
        <v>2009</v>
      </c>
      <c r="B6206" s="128" t="s">
        <v>139</v>
      </c>
      <c r="C6206" s="128" t="s">
        <v>23</v>
      </c>
      <c r="D6206" s="128" t="s">
        <v>79</v>
      </c>
      <c r="E6206" s="128" t="s">
        <v>132</v>
      </c>
      <c r="F6206" s="128">
        <v>442878.26</v>
      </c>
      <c r="G6206" s="128">
        <v>294308.45</v>
      </c>
      <c r="H6206" s="128">
        <v>111970.61</v>
      </c>
      <c r="I6206" s="128">
        <v>4126</v>
      </c>
    </row>
    <row r="6207" spans="1:9" ht="13.5">
      <c r="A6207" s="128">
        <v>2009</v>
      </c>
      <c r="B6207" s="128" t="s">
        <v>139</v>
      </c>
      <c r="C6207" s="128" t="s">
        <v>23</v>
      </c>
      <c r="D6207" s="128" t="s">
        <v>79</v>
      </c>
      <c r="E6207" s="128" t="s">
        <v>133</v>
      </c>
      <c r="F6207" s="128">
        <v>560062.37</v>
      </c>
      <c r="G6207" s="128">
        <v>302508.28000000003</v>
      </c>
      <c r="H6207" s="128">
        <v>122071.35</v>
      </c>
      <c r="I6207" s="128">
        <v>3343</v>
      </c>
    </row>
    <row r="6208" spans="1:9" ht="13.5">
      <c r="A6208" s="128">
        <v>2009</v>
      </c>
      <c r="B6208" s="128" t="s">
        <v>139</v>
      </c>
      <c r="C6208" s="128" t="s">
        <v>23</v>
      </c>
      <c r="D6208" s="128" t="s">
        <v>79</v>
      </c>
      <c r="E6208" s="128" t="s">
        <v>134</v>
      </c>
      <c r="F6208" s="128">
        <v>867658.14</v>
      </c>
      <c r="G6208" s="128">
        <v>379341.01</v>
      </c>
      <c r="H6208" s="128">
        <v>270346.64</v>
      </c>
      <c r="I6208" s="128">
        <v>6566</v>
      </c>
    </row>
    <row r="6209" spans="1:9" ht="13.5">
      <c r="A6209" s="128">
        <v>2009</v>
      </c>
      <c r="B6209" s="128" t="s">
        <v>139</v>
      </c>
      <c r="C6209" s="128" t="s">
        <v>23</v>
      </c>
      <c r="D6209" s="128" t="s">
        <v>79</v>
      </c>
      <c r="E6209" s="128" t="s">
        <v>135</v>
      </c>
      <c r="F6209" s="128">
        <v>1366585.14</v>
      </c>
      <c r="G6209" s="128">
        <v>365152.08</v>
      </c>
      <c r="H6209" s="128">
        <v>128124.38</v>
      </c>
      <c r="I6209" s="128">
        <v>3531</v>
      </c>
    </row>
    <row r="6210" spans="1:9" ht="13.5">
      <c r="A6210" s="128">
        <v>2009</v>
      </c>
      <c r="B6210" s="128" t="s">
        <v>139</v>
      </c>
      <c r="C6210" s="128" t="s">
        <v>23</v>
      </c>
      <c r="D6210" s="128" t="s">
        <v>77</v>
      </c>
      <c r="E6210" s="128" t="s">
        <v>132</v>
      </c>
      <c r="F6210" s="128">
        <v>1481721.22</v>
      </c>
      <c r="G6210" s="128">
        <v>983179.42</v>
      </c>
      <c r="H6210" s="128">
        <v>469519.35</v>
      </c>
      <c r="I6210" s="128">
        <v>11681</v>
      </c>
    </row>
    <row r="6211" spans="1:9" ht="13.5">
      <c r="A6211" s="128">
        <v>2009</v>
      </c>
      <c r="B6211" s="128" t="s">
        <v>139</v>
      </c>
      <c r="C6211" s="128" t="s">
        <v>23</v>
      </c>
      <c r="D6211" s="128" t="s">
        <v>77</v>
      </c>
      <c r="E6211" s="128" t="s">
        <v>133</v>
      </c>
      <c r="F6211" s="128">
        <v>2450107.66</v>
      </c>
      <c r="G6211" s="128">
        <v>1329698.27</v>
      </c>
      <c r="H6211" s="128">
        <v>1036594.66</v>
      </c>
      <c r="I6211" s="128">
        <v>9242</v>
      </c>
    </row>
    <row r="6212" spans="1:9" ht="13.5">
      <c r="A6212" s="128">
        <v>2009</v>
      </c>
      <c r="B6212" s="128" t="s">
        <v>139</v>
      </c>
      <c r="C6212" s="128" t="s">
        <v>23</v>
      </c>
      <c r="D6212" s="128" t="s">
        <v>77</v>
      </c>
      <c r="E6212" s="128" t="s">
        <v>134</v>
      </c>
      <c r="F6212" s="128">
        <v>2570270.12</v>
      </c>
      <c r="G6212" s="128">
        <v>1175869.6000000001</v>
      </c>
      <c r="H6212" s="128">
        <v>1233552.2</v>
      </c>
      <c r="I6212" s="128">
        <v>10842</v>
      </c>
    </row>
    <row r="6213" spans="1:9" ht="13.5">
      <c r="A6213" s="128">
        <v>2009</v>
      </c>
      <c r="B6213" s="128" t="s">
        <v>139</v>
      </c>
      <c r="C6213" s="128" t="s">
        <v>23</v>
      </c>
      <c r="D6213" s="128" t="s">
        <v>77</v>
      </c>
      <c r="E6213" s="128" t="s">
        <v>135</v>
      </c>
      <c r="F6213" s="128">
        <v>1348167.78</v>
      </c>
      <c r="G6213" s="128">
        <v>340272.31</v>
      </c>
      <c r="H6213" s="128">
        <v>410101.12</v>
      </c>
      <c r="I6213" s="128">
        <v>2890</v>
      </c>
    </row>
    <row r="6214" spans="1:9" ht="13.5">
      <c r="A6214" s="128">
        <v>2009</v>
      </c>
      <c r="B6214" s="128" t="s">
        <v>139</v>
      </c>
      <c r="C6214" s="128" t="s">
        <v>23</v>
      </c>
      <c r="D6214" s="128" t="s">
        <v>76</v>
      </c>
      <c r="E6214" s="128" t="s">
        <v>136</v>
      </c>
      <c r="F6214" s="128">
        <v>2137466.59</v>
      </c>
      <c r="G6214" s="128">
        <v>1608758.16</v>
      </c>
      <c r="H6214" s="128">
        <v>528724.47999999998</v>
      </c>
      <c r="I6214" s="128">
        <v>20697</v>
      </c>
    </row>
    <row r="6215" spans="1:9" ht="13.5">
      <c r="A6215" s="128">
        <v>2009</v>
      </c>
      <c r="B6215" s="128" t="s">
        <v>139</v>
      </c>
      <c r="C6215" s="128" t="s">
        <v>23</v>
      </c>
      <c r="D6215" s="128" t="s">
        <v>76</v>
      </c>
      <c r="E6215" s="128" t="s">
        <v>132</v>
      </c>
      <c r="F6215" s="128">
        <v>8055481.9199999999</v>
      </c>
      <c r="G6215" s="128">
        <v>5337676.3899999997</v>
      </c>
      <c r="H6215" s="128">
        <v>2717725.89</v>
      </c>
      <c r="I6215" s="128">
        <v>134991</v>
      </c>
    </row>
    <row r="6216" spans="1:9" ht="13.5">
      <c r="A6216" s="128">
        <v>2009</v>
      </c>
      <c r="B6216" s="128" t="s">
        <v>139</v>
      </c>
      <c r="C6216" s="128" t="s">
        <v>23</v>
      </c>
      <c r="D6216" s="128" t="s">
        <v>76</v>
      </c>
      <c r="E6216" s="128" t="s">
        <v>133</v>
      </c>
      <c r="F6216" s="128">
        <v>17945903.66</v>
      </c>
      <c r="G6216" s="128">
        <v>9782097.5399999991</v>
      </c>
      <c r="H6216" s="128">
        <v>8163780.0599999996</v>
      </c>
      <c r="I6216" s="128">
        <v>83148</v>
      </c>
    </row>
    <row r="6217" spans="1:9" ht="13.5">
      <c r="A6217" s="128">
        <v>2009</v>
      </c>
      <c r="B6217" s="128" t="s">
        <v>139</v>
      </c>
      <c r="C6217" s="128" t="s">
        <v>23</v>
      </c>
      <c r="D6217" s="128" t="s">
        <v>76</v>
      </c>
      <c r="E6217" s="128" t="s">
        <v>134</v>
      </c>
      <c r="F6217" s="128">
        <v>15651575.619999999</v>
      </c>
      <c r="G6217" s="128">
        <v>7237944.6399999997</v>
      </c>
      <c r="H6217" s="128">
        <v>8413614.9399999995</v>
      </c>
      <c r="I6217" s="128">
        <v>67822</v>
      </c>
    </row>
    <row r="6218" spans="1:9" ht="13.5">
      <c r="A6218" s="128">
        <v>2009</v>
      </c>
      <c r="B6218" s="128" t="s">
        <v>139</v>
      </c>
      <c r="C6218" s="128" t="s">
        <v>23</v>
      </c>
      <c r="D6218" s="128" t="s">
        <v>76</v>
      </c>
      <c r="E6218" s="128" t="s">
        <v>135</v>
      </c>
      <c r="F6218" s="128">
        <v>1236087.22</v>
      </c>
      <c r="G6218" s="128">
        <v>320874.73</v>
      </c>
      <c r="H6218" s="128">
        <v>915212.49</v>
      </c>
      <c r="I6218" s="128">
        <v>989</v>
      </c>
    </row>
    <row r="6219" spans="1:9" ht="13.5">
      <c r="A6219" s="128">
        <v>2009</v>
      </c>
      <c r="B6219" s="128" t="s">
        <v>139</v>
      </c>
      <c r="C6219" s="128" t="s">
        <v>24</v>
      </c>
      <c r="D6219" s="128" t="s">
        <v>79</v>
      </c>
      <c r="E6219" s="128" t="s">
        <v>136</v>
      </c>
      <c r="F6219" s="128">
        <v>1465558.07</v>
      </c>
      <c r="G6219" s="128">
        <v>1107555.75</v>
      </c>
      <c r="H6219" s="128">
        <v>357932.65</v>
      </c>
      <c r="I6219" s="128">
        <v>34001</v>
      </c>
    </row>
    <row r="6220" spans="1:9" ht="13.5">
      <c r="A6220" s="128">
        <v>2009</v>
      </c>
      <c r="B6220" s="128" t="s">
        <v>139</v>
      </c>
      <c r="C6220" s="128" t="s">
        <v>24</v>
      </c>
      <c r="D6220" s="128" t="s">
        <v>79</v>
      </c>
      <c r="E6220" s="128" t="s">
        <v>132</v>
      </c>
      <c r="F6220" s="128">
        <v>379963.16</v>
      </c>
      <c r="G6220" s="128">
        <v>249786.04</v>
      </c>
      <c r="H6220" s="128">
        <v>83365.11</v>
      </c>
      <c r="I6220" s="128">
        <v>3023</v>
      </c>
    </row>
    <row r="6221" spans="1:9" ht="13.5">
      <c r="A6221" s="128">
        <v>2009</v>
      </c>
      <c r="B6221" s="128" t="s">
        <v>139</v>
      </c>
      <c r="C6221" s="128" t="s">
        <v>24</v>
      </c>
      <c r="D6221" s="128" t="s">
        <v>79</v>
      </c>
      <c r="E6221" s="128" t="s">
        <v>133</v>
      </c>
      <c r="F6221" s="128">
        <v>1304127.51</v>
      </c>
      <c r="G6221" s="128">
        <v>711170.4</v>
      </c>
      <c r="H6221" s="128">
        <v>241107.27</v>
      </c>
      <c r="I6221" s="128">
        <v>8833</v>
      </c>
    </row>
    <row r="6222" spans="1:9" ht="13.5">
      <c r="A6222" s="128">
        <v>2009</v>
      </c>
      <c r="B6222" s="128" t="s">
        <v>139</v>
      </c>
      <c r="C6222" s="128" t="s">
        <v>24</v>
      </c>
      <c r="D6222" s="128" t="s">
        <v>79</v>
      </c>
      <c r="E6222" s="128" t="s">
        <v>134</v>
      </c>
      <c r="F6222" s="128">
        <v>2404984.4300000002</v>
      </c>
      <c r="G6222" s="128">
        <v>1041320.61</v>
      </c>
      <c r="H6222" s="128">
        <v>347978.07</v>
      </c>
      <c r="I6222" s="128">
        <v>16606</v>
      </c>
    </row>
    <row r="6223" spans="1:9" ht="13.5">
      <c r="A6223" s="128">
        <v>2009</v>
      </c>
      <c r="B6223" s="128" t="s">
        <v>139</v>
      </c>
      <c r="C6223" s="128" t="s">
        <v>24</v>
      </c>
      <c r="D6223" s="128" t="s">
        <v>79</v>
      </c>
      <c r="E6223" s="128" t="s">
        <v>135</v>
      </c>
      <c r="F6223" s="128">
        <v>4367107.71</v>
      </c>
      <c r="G6223" s="128">
        <v>1066202.71</v>
      </c>
      <c r="H6223" s="128">
        <v>357043.84</v>
      </c>
      <c r="I6223" s="128">
        <v>9051</v>
      </c>
    </row>
    <row r="6224" spans="1:9" ht="13.5">
      <c r="A6224" s="128">
        <v>2009</v>
      </c>
      <c r="B6224" s="128" t="s">
        <v>139</v>
      </c>
      <c r="C6224" s="128" t="s">
        <v>24</v>
      </c>
      <c r="D6224" s="128" t="s">
        <v>77</v>
      </c>
      <c r="E6224" s="128" t="s">
        <v>132</v>
      </c>
      <c r="F6224" s="128">
        <v>1611393.94</v>
      </c>
      <c r="G6224" s="128">
        <v>1091515.2</v>
      </c>
      <c r="H6224" s="128">
        <v>480869.96</v>
      </c>
      <c r="I6224" s="128">
        <v>10083</v>
      </c>
    </row>
    <row r="6225" spans="1:9" ht="13.5">
      <c r="A6225" s="128">
        <v>2009</v>
      </c>
      <c r="B6225" s="128" t="s">
        <v>139</v>
      </c>
      <c r="C6225" s="128" t="s">
        <v>24</v>
      </c>
      <c r="D6225" s="128" t="s">
        <v>77</v>
      </c>
      <c r="E6225" s="128" t="s">
        <v>133</v>
      </c>
      <c r="F6225" s="128">
        <v>3176571.64</v>
      </c>
      <c r="G6225" s="128">
        <v>1700099.57</v>
      </c>
      <c r="H6225" s="128">
        <v>1204333.8</v>
      </c>
      <c r="I6225" s="128">
        <v>10823</v>
      </c>
    </row>
    <row r="6226" spans="1:9" ht="13.5">
      <c r="A6226" s="128">
        <v>2009</v>
      </c>
      <c r="B6226" s="128" t="s">
        <v>139</v>
      </c>
      <c r="C6226" s="128" t="s">
        <v>24</v>
      </c>
      <c r="D6226" s="128" t="s">
        <v>77</v>
      </c>
      <c r="E6226" s="128" t="s">
        <v>134</v>
      </c>
      <c r="F6226" s="128">
        <v>5686495.5800000001</v>
      </c>
      <c r="G6226" s="128">
        <v>2487285.81</v>
      </c>
      <c r="H6226" s="128">
        <v>1855950.81</v>
      </c>
      <c r="I6226" s="128">
        <v>21052</v>
      </c>
    </row>
    <row r="6227" spans="1:9" ht="13.5">
      <c r="A6227" s="128">
        <v>2009</v>
      </c>
      <c r="B6227" s="128" t="s">
        <v>139</v>
      </c>
      <c r="C6227" s="128" t="s">
        <v>24</v>
      </c>
      <c r="D6227" s="128" t="s">
        <v>77</v>
      </c>
      <c r="E6227" s="128" t="s">
        <v>135</v>
      </c>
      <c r="F6227" s="128">
        <v>9386302.8300000001</v>
      </c>
      <c r="G6227" s="128">
        <v>2386626.4900000002</v>
      </c>
      <c r="H6227" s="128">
        <v>1769671.34</v>
      </c>
      <c r="I6227" s="128">
        <v>19039</v>
      </c>
    </row>
    <row r="6228" spans="1:9" ht="13.5">
      <c r="A6228" s="128">
        <v>2009</v>
      </c>
      <c r="B6228" s="128" t="s">
        <v>139</v>
      </c>
      <c r="C6228" s="128" t="s">
        <v>24</v>
      </c>
      <c r="D6228" s="128" t="s">
        <v>76</v>
      </c>
      <c r="E6228" s="128" t="s">
        <v>136</v>
      </c>
      <c r="F6228" s="128">
        <v>781933.03</v>
      </c>
      <c r="G6228" s="128">
        <v>595707.68000000005</v>
      </c>
      <c r="H6228" s="128">
        <v>186223.49</v>
      </c>
      <c r="I6228" s="128">
        <v>8849</v>
      </c>
    </row>
    <row r="6229" spans="1:9" ht="13.5">
      <c r="A6229" s="128">
        <v>2009</v>
      </c>
      <c r="B6229" s="128" t="s">
        <v>139</v>
      </c>
      <c r="C6229" s="128" t="s">
        <v>24</v>
      </c>
      <c r="D6229" s="128" t="s">
        <v>76</v>
      </c>
      <c r="E6229" s="128" t="s">
        <v>132</v>
      </c>
      <c r="F6229" s="128">
        <v>8479249.25</v>
      </c>
      <c r="G6229" s="128">
        <v>5329721.3600000003</v>
      </c>
      <c r="H6229" s="128">
        <v>3149523.62</v>
      </c>
      <c r="I6229" s="128">
        <v>102560</v>
      </c>
    </row>
    <row r="6230" spans="1:9" ht="13.5">
      <c r="A6230" s="128">
        <v>2009</v>
      </c>
      <c r="B6230" s="128" t="s">
        <v>139</v>
      </c>
      <c r="C6230" s="128" t="s">
        <v>24</v>
      </c>
      <c r="D6230" s="128" t="s">
        <v>76</v>
      </c>
      <c r="E6230" s="128" t="s">
        <v>133</v>
      </c>
      <c r="F6230" s="128">
        <v>22080927.469999999</v>
      </c>
      <c r="G6230" s="128">
        <v>12126479.73</v>
      </c>
      <c r="H6230" s="128">
        <v>9954439.5399999991</v>
      </c>
      <c r="I6230" s="128">
        <v>143614</v>
      </c>
    </row>
    <row r="6231" spans="1:9" ht="13.5">
      <c r="A6231" s="128">
        <v>2009</v>
      </c>
      <c r="B6231" s="128" t="s">
        <v>139</v>
      </c>
      <c r="C6231" s="128" t="s">
        <v>24</v>
      </c>
      <c r="D6231" s="128" t="s">
        <v>76</v>
      </c>
      <c r="E6231" s="128" t="s">
        <v>134</v>
      </c>
      <c r="F6231" s="128">
        <v>21287563.449999999</v>
      </c>
      <c r="G6231" s="128">
        <v>9384571.6300000008</v>
      </c>
      <c r="H6231" s="128">
        <v>11902987.460000001</v>
      </c>
      <c r="I6231" s="128">
        <v>116071</v>
      </c>
    </row>
    <row r="6232" spans="1:9" ht="13.5">
      <c r="A6232" s="128">
        <v>2009</v>
      </c>
      <c r="B6232" s="128" t="s">
        <v>139</v>
      </c>
      <c r="C6232" s="128" t="s">
        <v>24</v>
      </c>
      <c r="D6232" s="128" t="s">
        <v>76</v>
      </c>
      <c r="E6232" s="128" t="s">
        <v>135</v>
      </c>
      <c r="F6232" s="128">
        <v>2557368.9900000002</v>
      </c>
      <c r="G6232" s="128">
        <v>601695</v>
      </c>
      <c r="H6232" s="128">
        <v>1955674.26</v>
      </c>
      <c r="I6232" s="128">
        <v>1668</v>
      </c>
    </row>
    <row r="6233" spans="1:9" ht="13.5">
      <c r="A6233" s="128">
        <v>2009</v>
      </c>
      <c r="B6233" s="128" t="s">
        <v>139</v>
      </c>
      <c r="C6233" s="128" t="s">
        <v>25</v>
      </c>
      <c r="D6233" s="128" t="s">
        <v>79</v>
      </c>
      <c r="E6233" s="128" t="s">
        <v>136</v>
      </c>
      <c r="F6233" s="128">
        <v>1062241.92</v>
      </c>
      <c r="G6233" s="128">
        <v>798555.53</v>
      </c>
      <c r="H6233" s="128">
        <v>263686.28999999998</v>
      </c>
      <c r="I6233" s="128">
        <v>14369</v>
      </c>
    </row>
    <row r="6234" spans="1:9" ht="13.5">
      <c r="A6234" s="128">
        <v>2009</v>
      </c>
      <c r="B6234" s="128" t="s">
        <v>139</v>
      </c>
      <c r="C6234" s="128" t="s">
        <v>25</v>
      </c>
      <c r="D6234" s="128" t="s">
        <v>79</v>
      </c>
      <c r="E6234" s="128" t="s">
        <v>132</v>
      </c>
      <c r="F6234" s="128">
        <v>222822.02</v>
      </c>
      <c r="G6234" s="128">
        <v>150338.14000000001</v>
      </c>
      <c r="H6234" s="128">
        <v>50051.34</v>
      </c>
      <c r="I6234" s="128">
        <v>1843</v>
      </c>
    </row>
    <row r="6235" spans="1:9" ht="13.5">
      <c r="A6235" s="128">
        <v>2009</v>
      </c>
      <c r="B6235" s="128" t="s">
        <v>139</v>
      </c>
      <c r="C6235" s="128" t="s">
        <v>25</v>
      </c>
      <c r="D6235" s="128" t="s">
        <v>79</v>
      </c>
      <c r="E6235" s="128" t="s">
        <v>133</v>
      </c>
      <c r="F6235" s="128">
        <v>335029.71000000002</v>
      </c>
      <c r="G6235" s="128">
        <v>183647.28</v>
      </c>
      <c r="H6235" s="128">
        <v>67629.58</v>
      </c>
      <c r="I6235" s="128">
        <v>1299</v>
      </c>
    </row>
    <row r="6236" spans="1:9" ht="13.5">
      <c r="A6236" s="128">
        <v>2009</v>
      </c>
      <c r="B6236" s="128" t="s">
        <v>139</v>
      </c>
      <c r="C6236" s="128" t="s">
        <v>25</v>
      </c>
      <c r="D6236" s="128" t="s">
        <v>79</v>
      </c>
      <c r="E6236" s="128" t="s">
        <v>134</v>
      </c>
      <c r="F6236" s="128">
        <v>539081.9</v>
      </c>
      <c r="G6236" s="128">
        <v>228595.8</v>
      </c>
      <c r="H6236" s="128">
        <v>78968.72</v>
      </c>
      <c r="I6236" s="128">
        <v>2430</v>
      </c>
    </row>
    <row r="6237" spans="1:9" ht="13.5">
      <c r="A6237" s="128">
        <v>2009</v>
      </c>
      <c r="B6237" s="128" t="s">
        <v>139</v>
      </c>
      <c r="C6237" s="128" t="s">
        <v>25</v>
      </c>
      <c r="D6237" s="128" t="s">
        <v>79</v>
      </c>
      <c r="E6237" s="128" t="s">
        <v>135</v>
      </c>
      <c r="F6237" s="128">
        <v>1827714.48</v>
      </c>
      <c r="G6237" s="128">
        <v>473063.34</v>
      </c>
      <c r="H6237" s="128">
        <v>158390.59</v>
      </c>
      <c r="I6237" s="128">
        <v>3386</v>
      </c>
    </row>
    <row r="6238" spans="1:9" ht="13.5">
      <c r="A6238" s="128">
        <v>2009</v>
      </c>
      <c r="B6238" s="128" t="s">
        <v>139</v>
      </c>
      <c r="C6238" s="128" t="s">
        <v>25</v>
      </c>
      <c r="D6238" s="128" t="s">
        <v>77</v>
      </c>
      <c r="E6238" s="128" t="s">
        <v>132</v>
      </c>
      <c r="F6238" s="128">
        <v>58715.519999999997</v>
      </c>
      <c r="G6238" s="128">
        <v>38894.400000000001</v>
      </c>
      <c r="H6238" s="128">
        <v>15698.53</v>
      </c>
      <c r="I6238" s="128">
        <v>335</v>
      </c>
    </row>
    <row r="6239" spans="1:9" ht="13.5">
      <c r="A6239" s="128">
        <v>2009</v>
      </c>
      <c r="B6239" s="128" t="s">
        <v>139</v>
      </c>
      <c r="C6239" s="128" t="s">
        <v>25</v>
      </c>
      <c r="D6239" s="128" t="s">
        <v>77</v>
      </c>
      <c r="E6239" s="128" t="s">
        <v>133</v>
      </c>
      <c r="F6239" s="128">
        <v>159943.79</v>
      </c>
      <c r="G6239" s="128">
        <v>86334.55</v>
      </c>
      <c r="H6239" s="128">
        <v>64050.33</v>
      </c>
      <c r="I6239" s="128">
        <v>561</v>
      </c>
    </row>
    <row r="6240" spans="1:9" ht="13.5">
      <c r="A6240" s="128">
        <v>2009</v>
      </c>
      <c r="B6240" s="128" t="s">
        <v>139</v>
      </c>
      <c r="C6240" s="128" t="s">
        <v>25</v>
      </c>
      <c r="D6240" s="128" t="s">
        <v>77</v>
      </c>
      <c r="E6240" s="128" t="s">
        <v>134</v>
      </c>
      <c r="F6240" s="128">
        <v>506784.64</v>
      </c>
      <c r="G6240" s="128">
        <v>217532.79999999999</v>
      </c>
      <c r="H6240" s="128">
        <v>218391.65</v>
      </c>
      <c r="I6240" s="128">
        <v>1369</v>
      </c>
    </row>
    <row r="6241" spans="1:9" ht="13.5">
      <c r="A6241" s="128">
        <v>2009</v>
      </c>
      <c r="B6241" s="128" t="s">
        <v>139</v>
      </c>
      <c r="C6241" s="128" t="s">
        <v>25</v>
      </c>
      <c r="D6241" s="128" t="s">
        <v>77</v>
      </c>
      <c r="E6241" s="128" t="s">
        <v>135</v>
      </c>
      <c r="F6241" s="128">
        <v>872128.34</v>
      </c>
      <c r="G6241" s="128">
        <v>249809.15</v>
      </c>
      <c r="H6241" s="128">
        <v>278562.8</v>
      </c>
      <c r="I6241" s="128">
        <v>2941</v>
      </c>
    </row>
    <row r="6242" spans="1:9" ht="13.5">
      <c r="A6242" s="128">
        <v>2009</v>
      </c>
      <c r="B6242" s="128" t="s">
        <v>139</v>
      </c>
      <c r="C6242" s="128" t="s">
        <v>25</v>
      </c>
      <c r="D6242" s="128" t="s">
        <v>76</v>
      </c>
      <c r="E6242" s="128" t="s">
        <v>136</v>
      </c>
      <c r="F6242" s="128">
        <v>289948.38</v>
      </c>
      <c r="G6242" s="128">
        <v>220318.06</v>
      </c>
      <c r="H6242" s="128">
        <v>70098.820000000007</v>
      </c>
      <c r="I6242" s="128">
        <v>5133</v>
      </c>
    </row>
    <row r="6243" spans="1:9" ht="13.5">
      <c r="A6243" s="128">
        <v>2009</v>
      </c>
      <c r="B6243" s="128" t="s">
        <v>139</v>
      </c>
      <c r="C6243" s="128" t="s">
        <v>25</v>
      </c>
      <c r="D6243" s="128" t="s">
        <v>76</v>
      </c>
      <c r="E6243" s="128" t="s">
        <v>132</v>
      </c>
      <c r="F6243" s="128">
        <v>2812350.51</v>
      </c>
      <c r="G6243" s="128">
        <v>1808804.24</v>
      </c>
      <c r="H6243" s="128">
        <v>1003530.96</v>
      </c>
      <c r="I6243" s="128">
        <v>35443</v>
      </c>
    </row>
    <row r="6244" spans="1:9" ht="13.5">
      <c r="A6244" s="128">
        <v>2009</v>
      </c>
      <c r="B6244" s="128" t="s">
        <v>139</v>
      </c>
      <c r="C6244" s="128" t="s">
        <v>25</v>
      </c>
      <c r="D6244" s="128" t="s">
        <v>76</v>
      </c>
      <c r="E6244" s="128" t="s">
        <v>133</v>
      </c>
      <c r="F6244" s="128">
        <v>4751565.3899999997</v>
      </c>
      <c r="G6244" s="128">
        <v>2593184.7400000002</v>
      </c>
      <c r="H6244" s="128">
        <v>2158380.54</v>
      </c>
      <c r="I6244" s="128">
        <v>14203</v>
      </c>
    </row>
    <row r="6245" spans="1:9" ht="13.5">
      <c r="A6245" s="128">
        <v>2009</v>
      </c>
      <c r="B6245" s="128" t="s">
        <v>139</v>
      </c>
      <c r="C6245" s="128" t="s">
        <v>25</v>
      </c>
      <c r="D6245" s="128" t="s">
        <v>76</v>
      </c>
      <c r="E6245" s="128" t="s">
        <v>134</v>
      </c>
      <c r="F6245" s="128">
        <v>4602284.3099999996</v>
      </c>
      <c r="G6245" s="128">
        <v>2132435.98</v>
      </c>
      <c r="H6245" s="128">
        <v>2469846.96</v>
      </c>
      <c r="I6245" s="128">
        <v>28175</v>
      </c>
    </row>
    <row r="6246" spans="1:9" ht="13.5">
      <c r="A6246" s="128">
        <v>2009</v>
      </c>
      <c r="B6246" s="128" t="s">
        <v>139</v>
      </c>
      <c r="C6246" s="128" t="s">
        <v>25</v>
      </c>
      <c r="D6246" s="128" t="s">
        <v>76</v>
      </c>
      <c r="E6246" s="128" t="s">
        <v>135</v>
      </c>
      <c r="F6246" s="128">
        <v>376294.65</v>
      </c>
      <c r="G6246" s="128">
        <v>105448.8</v>
      </c>
      <c r="H6246" s="128">
        <v>270845.77</v>
      </c>
      <c r="I6246" s="128">
        <v>305</v>
      </c>
    </row>
    <row r="6247" spans="1:9" ht="13.5">
      <c r="A6247" s="128">
        <v>2009</v>
      </c>
      <c r="B6247" s="128" t="s">
        <v>139</v>
      </c>
      <c r="C6247" s="128" t="s">
        <v>27</v>
      </c>
      <c r="D6247" s="128" t="s">
        <v>79</v>
      </c>
      <c r="E6247" s="128" t="s">
        <v>136</v>
      </c>
      <c r="F6247" s="128">
        <v>285218.76</v>
      </c>
      <c r="G6247" s="128">
        <v>213863.16</v>
      </c>
      <c r="H6247" s="128">
        <v>71130.600000000006</v>
      </c>
      <c r="I6247" s="128">
        <v>2561</v>
      </c>
    </row>
    <row r="6248" spans="1:9" ht="13.5">
      <c r="A6248" s="128">
        <v>2009</v>
      </c>
      <c r="B6248" s="128" t="s">
        <v>139</v>
      </c>
      <c r="C6248" s="128" t="s">
        <v>27</v>
      </c>
      <c r="D6248" s="128" t="s">
        <v>79</v>
      </c>
      <c r="E6248" s="128" t="s">
        <v>132</v>
      </c>
      <c r="F6248" s="128">
        <v>61278.43</v>
      </c>
      <c r="G6248" s="128">
        <v>39415.24</v>
      </c>
      <c r="H6248" s="128">
        <v>13359.73</v>
      </c>
      <c r="I6248" s="128">
        <v>180</v>
      </c>
    </row>
    <row r="6249" spans="1:9" ht="13.5">
      <c r="A6249" s="128">
        <v>2009</v>
      </c>
      <c r="B6249" s="128" t="s">
        <v>139</v>
      </c>
      <c r="C6249" s="128" t="s">
        <v>27</v>
      </c>
      <c r="D6249" s="128" t="s">
        <v>79</v>
      </c>
      <c r="E6249" s="128" t="s">
        <v>133</v>
      </c>
      <c r="F6249" s="128">
        <v>39892.120000000003</v>
      </c>
      <c r="G6249" s="128">
        <v>21605.200000000001</v>
      </c>
      <c r="H6249" s="128">
        <v>7502.1</v>
      </c>
      <c r="I6249" s="128">
        <v>213</v>
      </c>
    </row>
    <row r="6250" spans="1:9" ht="13.5">
      <c r="A6250" s="128">
        <v>2009</v>
      </c>
      <c r="B6250" s="128" t="s">
        <v>139</v>
      </c>
      <c r="C6250" s="128" t="s">
        <v>27</v>
      </c>
      <c r="D6250" s="128" t="s">
        <v>79</v>
      </c>
      <c r="E6250" s="128" t="s">
        <v>134</v>
      </c>
      <c r="F6250" s="128">
        <v>150996.54999999999</v>
      </c>
      <c r="G6250" s="128">
        <v>63197.279999999999</v>
      </c>
      <c r="H6250" s="128">
        <v>21521.599999999999</v>
      </c>
      <c r="I6250" s="128">
        <v>749</v>
      </c>
    </row>
    <row r="6251" spans="1:9" ht="13.5">
      <c r="A6251" s="128">
        <v>2009</v>
      </c>
      <c r="B6251" s="128" t="s">
        <v>139</v>
      </c>
      <c r="C6251" s="128" t="s">
        <v>27</v>
      </c>
      <c r="D6251" s="128" t="s">
        <v>79</v>
      </c>
      <c r="E6251" s="128" t="s">
        <v>135</v>
      </c>
      <c r="F6251" s="128">
        <v>647986.93000000005</v>
      </c>
      <c r="G6251" s="128">
        <v>182887.14</v>
      </c>
      <c r="H6251" s="128">
        <v>61398.53</v>
      </c>
      <c r="I6251" s="128">
        <v>1649</v>
      </c>
    </row>
    <row r="6252" spans="1:9" ht="13.5">
      <c r="A6252" s="128">
        <v>2009</v>
      </c>
      <c r="B6252" s="128" t="s">
        <v>139</v>
      </c>
      <c r="C6252" s="128" t="s">
        <v>27</v>
      </c>
      <c r="D6252" s="128" t="s">
        <v>77</v>
      </c>
      <c r="E6252" s="128" t="s">
        <v>132</v>
      </c>
      <c r="F6252" s="128">
        <v>6745.43</v>
      </c>
      <c r="G6252" s="128">
        <v>4507.6499999999996</v>
      </c>
      <c r="H6252" s="128">
        <v>1950.8</v>
      </c>
      <c r="I6252" s="128">
        <v>43</v>
      </c>
    </row>
    <row r="6253" spans="1:9" ht="13.5">
      <c r="A6253" s="128">
        <v>2009</v>
      </c>
      <c r="B6253" s="128" t="s">
        <v>139</v>
      </c>
      <c r="C6253" s="128" t="s">
        <v>27</v>
      </c>
      <c r="D6253" s="128" t="s">
        <v>77</v>
      </c>
      <c r="E6253" s="128" t="s">
        <v>133</v>
      </c>
      <c r="F6253" s="128">
        <v>28333.58</v>
      </c>
      <c r="G6253" s="128">
        <v>15268.63</v>
      </c>
      <c r="H6253" s="128">
        <v>9999.7000000000007</v>
      </c>
      <c r="I6253" s="128">
        <v>126</v>
      </c>
    </row>
    <row r="6254" spans="1:9" ht="13.5">
      <c r="A6254" s="128">
        <v>2009</v>
      </c>
      <c r="B6254" s="128" t="s">
        <v>139</v>
      </c>
      <c r="C6254" s="128" t="s">
        <v>27</v>
      </c>
      <c r="D6254" s="128" t="s">
        <v>77</v>
      </c>
      <c r="E6254" s="128" t="s">
        <v>134</v>
      </c>
      <c r="F6254" s="128">
        <v>66236.66</v>
      </c>
      <c r="G6254" s="128">
        <v>29611.95</v>
      </c>
      <c r="H6254" s="128">
        <v>27092.98</v>
      </c>
      <c r="I6254" s="128">
        <v>181</v>
      </c>
    </row>
    <row r="6255" spans="1:9" ht="13.5">
      <c r="A6255" s="128">
        <v>2009</v>
      </c>
      <c r="B6255" s="128" t="s">
        <v>139</v>
      </c>
      <c r="C6255" s="128" t="s">
        <v>27</v>
      </c>
      <c r="D6255" s="128" t="s">
        <v>77</v>
      </c>
      <c r="E6255" s="128" t="s">
        <v>135</v>
      </c>
      <c r="F6255" s="128">
        <v>208395.05</v>
      </c>
      <c r="G6255" s="128">
        <v>52914.55</v>
      </c>
      <c r="H6255" s="128">
        <v>57338.05</v>
      </c>
      <c r="I6255" s="128">
        <v>572</v>
      </c>
    </row>
    <row r="6256" spans="1:9" ht="13.5">
      <c r="A6256" s="128">
        <v>2009</v>
      </c>
      <c r="B6256" s="128" t="s">
        <v>139</v>
      </c>
      <c r="C6256" s="128" t="s">
        <v>27</v>
      </c>
      <c r="D6256" s="128" t="s">
        <v>76</v>
      </c>
      <c r="E6256" s="128" t="s">
        <v>136</v>
      </c>
      <c r="F6256" s="128">
        <v>72732.97</v>
      </c>
      <c r="G6256" s="128">
        <v>55299.1</v>
      </c>
      <c r="H6256" s="128">
        <v>17433.87</v>
      </c>
      <c r="I6256" s="128">
        <v>645</v>
      </c>
    </row>
    <row r="6257" spans="1:9" ht="13.5">
      <c r="A6257" s="128">
        <v>2009</v>
      </c>
      <c r="B6257" s="128" t="s">
        <v>139</v>
      </c>
      <c r="C6257" s="128" t="s">
        <v>27</v>
      </c>
      <c r="D6257" s="128" t="s">
        <v>76</v>
      </c>
      <c r="E6257" s="128" t="s">
        <v>132</v>
      </c>
      <c r="F6257" s="128">
        <v>314509.48</v>
      </c>
      <c r="G6257" s="128">
        <v>200864.22</v>
      </c>
      <c r="H6257" s="128">
        <v>113645.26</v>
      </c>
      <c r="I6257" s="128">
        <v>3987</v>
      </c>
    </row>
    <row r="6258" spans="1:9" ht="13.5">
      <c r="A6258" s="128">
        <v>2009</v>
      </c>
      <c r="B6258" s="128" t="s">
        <v>139</v>
      </c>
      <c r="C6258" s="128" t="s">
        <v>27</v>
      </c>
      <c r="D6258" s="128" t="s">
        <v>76</v>
      </c>
      <c r="E6258" s="128" t="s">
        <v>133</v>
      </c>
      <c r="F6258" s="128">
        <v>911330.62</v>
      </c>
      <c r="G6258" s="128">
        <v>492851.65</v>
      </c>
      <c r="H6258" s="128">
        <v>418477.19</v>
      </c>
      <c r="I6258" s="128">
        <v>2594</v>
      </c>
    </row>
    <row r="6259" spans="1:9" ht="13.5">
      <c r="A6259" s="128">
        <v>2009</v>
      </c>
      <c r="B6259" s="128" t="s">
        <v>139</v>
      </c>
      <c r="C6259" s="128" t="s">
        <v>27</v>
      </c>
      <c r="D6259" s="128" t="s">
        <v>76</v>
      </c>
      <c r="E6259" s="128" t="s">
        <v>134</v>
      </c>
      <c r="F6259" s="128">
        <v>866502.69</v>
      </c>
      <c r="G6259" s="128">
        <v>399741.84</v>
      </c>
      <c r="H6259" s="128">
        <v>466758.35</v>
      </c>
      <c r="I6259" s="128">
        <v>4937</v>
      </c>
    </row>
    <row r="6260" spans="1:9" ht="13.5">
      <c r="A6260" s="128">
        <v>2009</v>
      </c>
      <c r="B6260" s="128" t="s">
        <v>139</v>
      </c>
      <c r="C6260" s="128" t="s">
        <v>27</v>
      </c>
      <c r="D6260" s="128" t="s">
        <v>76</v>
      </c>
      <c r="E6260" s="128" t="s">
        <v>135</v>
      </c>
      <c r="F6260" s="128">
        <v>86860.5</v>
      </c>
      <c r="G6260" s="128">
        <v>25036.85</v>
      </c>
      <c r="H6260" s="128">
        <v>61823.65</v>
      </c>
      <c r="I6260" s="128">
        <v>77</v>
      </c>
    </row>
    <row r="6261" spans="1:9" ht="13.5">
      <c r="A6261" s="128">
        <v>2009</v>
      </c>
      <c r="B6261" s="128" t="s">
        <v>137</v>
      </c>
      <c r="C6261" s="128" t="s">
        <v>20</v>
      </c>
      <c r="D6261" s="128" t="s">
        <v>79</v>
      </c>
      <c r="E6261" s="128" t="s">
        <v>136</v>
      </c>
      <c r="F6261" s="128">
        <v>31457470.5</v>
      </c>
      <c r="G6261" s="128">
        <v>23704353.18</v>
      </c>
      <c r="H6261" s="128">
        <v>7752149.0999999996</v>
      </c>
      <c r="I6261" s="128">
        <v>553999</v>
      </c>
    </row>
    <row r="6262" spans="1:9" ht="13.5">
      <c r="A6262" s="128">
        <v>2009</v>
      </c>
      <c r="B6262" s="128" t="s">
        <v>137</v>
      </c>
      <c r="C6262" s="128" t="s">
        <v>20</v>
      </c>
      <c r="D6262" s="128" t="s">
        <v>79</v>
      </c>
      <c r="E6262" s="128" t="s">
        <v>132</v>
      </c>
      <c r="F6262" s="128">
        <v>3969053.39</v>
      </c>
      <c r="G6262" s="128">
        <v>2648090.56</v>
      </c>
      <c r="H6262" s="128">
        <v>989262.37</v>
      </c>
      <c r="I6262" s="128">
        <v>26256</v>
      </c>
    </row>
    <row r="6263" spans="1:9" ht="13.5">
      <c r="A6263" s="128">
        <v>2009</v>
      </c>
      <c r="B6263" s="128" t="s">
        <v>137</v>
      </c>
      <c r="C6263" s="128" t="s">
        <v>20</v>
      </c>
      <c r="D6263" s="128" t="s">
        <v>79</v>
      </c>
      <c r="E6263" s="128" t="s">
        <v>133</v>
      </c>
      <c r="F6263" s="128">
        <v>5453520.21</v>
      </c>
      <c r="G6263" s="128">
        <v>2939536.94</v>
      </c>
      <c r="H6263" s="128">
        <v>1277315.46</v>
      </c>
      <c r="I6263" s="128">
        <v>49574</v>
      </c>
    </row>
    <row r="6264" spans="1:9" ht="13.5">
      <c r="A6264" s="128">
        <v>2009</v>
      </c>
      <c r="B6264" s="128" t="s">
        <v>137</v>
      </c>
      <c r="C6264" s="128" t="s">
        <v>20</v>
      </c>
      <c r="D6264" s="128" t="s">
        <v>79</v>
      </c>
      <c r="E6264" s="128" t="s">
        <v>134</v>
      </c>
      <c r="F6264" s="128">
        <v>17103754.329999998</v>
      </c>
      <c r="G6264" s="128">
        <v>7326212.8300000001</v>
      </c>
      <c r="H6264" s="128">
        <v>3469606</v>
      </c>
      <c r="I6264" s="128">
        <v>72891</v>
      </c>
    </row>
    <row r="6265" spans="1:9" ht="13.5">
      <c r="A6265" s="128">
        <v>2009</v>
      </c>
      <c r="B6265" s="128" t="s">
        <v>137</v>
      </c>
      <c r="C6265" s="128" t="s">
        <v>20</v>
      </c>
      <c r="D6265" s="128" t="s">
        <v>79</v>
      </c>
      <c r="E6265" s="128" t="s">
        <v>135</v>
      </c>
      <c r="F6265" s="128">
        <v>87673043.849999994</v>
      </c>
      <c r="G6265" s="128">
        <v>22802464.629999999</v>
      </c>
      <c r="H6265" s="128">
        <v>7725525.0099999998</v>
      </c>
      <c r="I6265" s="128">
        <v>174571</v>
      </c>
    </row>
    <row r="6266" spans="1:9" ht="13.5">
      <c r="A6266" s="128">
        <v>2009</v>
      </c>
      <c r="B6266" s="128" t="s">
        <v>137</v>
      </c>
      <c r="C6266" s="128" t="s">
        <v>20</v>
      </c>
      <c r="D6266" s="128" t="s">
        <v>77</v>
      </c>
      <c r="E6266" s="128" t="s">
        <v>132</v>
      </c>
      <c r="F6266" s="128">
        <v>1071038.6499999999</v>
      </c>
      <c r="G6266" s="128">
        <v>708352.94</v>
      </c>
      <c r="H6266" s="128">
        <v>311454.15999999997</v>
      </c>
      <c r="I6266" s="128">
        <v>7469</v>
      </c>
    </row>
    <row r="6267" spans="1:9" ht="13.5">
      <c r="A6267" s="128">
        <v>2009</v>
      </c>
      <c r="B6267" s="128" t="s">
        <v>137</v>
      </c>
      <c r="C6267" s="128" t="s">
        <v>20</v>
      </c>
      <c r="D6267" s="128" t="s">
        <v>77</v>
      </c>
      <c r="E6267" s="128" t="s">
        <v>133</v>
      </c>
      <c r="F6267" s="128">
        <v>1990816.84</v>
      </c>
      <c r="G6267" s="128">
        <v>1076599.81</v>
      </c>
      <c r="H6267" s="128">
        <v>791526.33</v>
      </c>
      <c r="I6267" s="128">
        <v>6256</v>
      </c>
    </row>
    <row r="6268" spans="1:9" ht="13.5">
      <c r="A6268" s="128">
        <v>2009</v>
      </c>
      <c r="B6268" s="128" t="s">
        <v>137</v>
      </c>
      <c r="C6268" s="128" t="s">
        <v>20</v>
      </c>
      <c r="D6268" s="128" t="s">
        <v>77</v>
      </c>
      <c r="E6268" s="128" t="s">
        <v>134</v>
      </c>
      <c r="F6268" s="128">
        <v>4671020.59</v>
      </c>
      <c r="G6268" s="128">
        <v>2043043.53</v>
      </c>
      <c r="H6268" s="128">
        <v>1989204.75</v>
      </c>
      <c r="I6268" s="128">
        <v>17766</v>
      </c>
    </row>
    <row r="6269" spans="1:9" ht="13.5">
      <c r="A6269" s="128">
        <v>2009</v>
      </c>
      <c r="B6269" s="128" t="s">
        <v>137</v>
      </c>
      <c r="C6269" s="128" t="s">
        <v>20</v>
      </c>
      <c r="D6269" s="128" t="s">
        <v>77</v>
      </c>
      <c r="E6269" s="128" t="s">
        <v>135</v>
      </c>
      <c r="F6269" s="128">
        <v>7417921.6500000004</v>
      </c>
      <c r="G6269" s="128">
        <v>1932122.04</v>
      </c>
      <c r="H6269" s="128">
        <v>2007187.64</v>
      </c>
      <c r="I6269" s="128">
        <v>18529</v>
      </c>
    </row>
    <row r="6270" spans="1:9" ht="13.5">
      <c r="A6270" s="128">
        <v>2009</v>
      </c>
      <c r="B6270" s="128" t="s">
        <v>137</v>
      </c>
      <c r="C6270" s="128" t="s">
        <v>20</v>
      </c>
      <c r="D6270" s="128" t="s">
        <v>76</v>
      </c>
      <c r="E6270" s="128" t="s">
        <v>136</v>
      </c>
      <c r="F6270" s="128">
        <v>8608419.0600000005</v>
      </c>
      <c r="G6270" s="128">
        <v>6523883.75</v>
      </c>
      <c r="H6270" s="128">
        <v>2084563.8</v>
      </c>
      <c r="I6270" s="128">
        <v>256882</v>
      </c>
    </row>
    <row r="6271" spans="1:9" ht="13.5">
      <c r="A6271" s="128">
        <v>2009</v>
      </c>
      <c r="B6271" s="128" t="s">
        <v>137</v>
      </c>
      <c r="C6271" s="128" t="s">
        <v>20</v>
      </c>
      <c r="D6271" s="128" t="s">
        <v>76</v>
      </c>
      <c r="E6271" s="128" t="s">
        <v>132</v>
      </c>
      <c r="F6271" s="128">
        <v>36600936.130000003</v>
      </c>
      <c r="G6271" s="128">
        <v>23446750.579999998</v>
      </c>
      <c r="H6271" s="128">
        <v>13153936.92</v>
      </c>
      <c r="I6271" s="128">
        <v>450856</v>
      </c>
    </row>
    <row r="6272" spans="1:9" ht="13.5">
      <c r="A6272" s="128">
        <v>2009</v>
      </c>
      <c r="B6272" s="128" t="s">
        <v>137</v>
      </c>
      <c r="C6272" s="128" t="s">
        <v>20</v>
      </c>
      <c r="D6272" s="128" t="s">
        <v>76</v>
      </c>
      <c r="E6272" s="128" t="s">
        <v>133</v>
      </c>
      <c r="F6272" s="128">
        <v>64494092.560000002</v>
      </c>
      <c r="G6272" s="128">
        <v>35279533.049999997</v>
      </c>
      <c r="H6272" s="128">
        <v>29214300.75</v>
      </c>
      <c r="I6272" s="128">
        <v>258118</v>
      </c>
    </row>
    <row r="6273" spans="1:9" ht="13.5">
      <c r="A6273" s="128">
        <v>2009</v>
      </c>
      <c r="B6273" s="128" t="s">
        <v>137</v>
      </c>
      <c r="C6273" s="128" t="s">
        <v>20</v>
      </c>
      <c r="D6273" s="128" t="s">
        <v>76</v>
      </c>
      <c r="E6273" s="128" t="s">
        <v>134</v>
      </c>
      <c r="F6273" s="128">
        <v>58552252.299999997</v>
      </c>
      <c r="G6273" s="128">
        <v>27025716.440000001</v>
      </c>
      <c r="H6273" s="128">
        <v>31526366.210000001</v>
      </c>
      <c r="I6273" s="128">
        <v>353925</v>
      </c>
    </row>
    <row r="6274" spans="1:9" ht="13.5">
      <c r="A6274" s="128">
        <v>2009</v>
      </c>
      <c r="B6274" s="128" t="s">
        <v>137</v>
      </c>
      <c r="C6274" s="128" t="s">
        <v>20</v>
      </c>
      <c r="D6274" s="128" t="s">
        <v>76</v>
      </c>
      <c r="E6274" s="128" t="s">
        <v>135</v>
      </c>
      <c r="F6274" s="128">
        <v>5775348.3300000001</v>
      </c>
      <c r="G6274" s="128">
        <v>1672011.11</v>
      </c>
      <c r="H6274" s="128">
        <v>4103337.3</v>
      </c>
      <c r="I6274" s="128">
        <v>5684</v>
      </c>
    </row>
    <row r="6275" spans="1:9" ht="13.5">
      <c r="A6275" s="128">
        <v>2009</v>
      </c>
      <c r="B6275" s="128" t="s">
        <v>137</v>
      </c>
      <c r="C6275" s="128" t="s">
        <v>21</v>
      </c>
      <c r="D6275" s="128" t="s">
        <v>79</v>
      </c>
      <c r="E6275" s="128" t="s">
        <v>136</v>
      </c>
      <c r="F6275" s="128">
        <v>11445414.869999999</v>
      </c>
      <c r="G6275" s="128">
        <v>8616479.4399999995</v>
      </c>
      <c r="H6275" s="128">
        <v>2828223.87</v>
      </c>
      <c r="I6275" s="128">
        <v>162774</v>
      </c>
    </row>
    <row r="6276" spans="1:9" ht="13.5">
      <c r="A6276" s="128">
        <v>2009</v>
      </c>
      <c r="B6276" s="128" t="s">
        <v>137</v>
      </c>
      <c r="C6276" s="128" t="s">
        <v>21</v>
      </c>
      <c r="D6276" s="128" t="s">
        <v>79</v>
      </c>
      <c r="E6276" s="128" t="s">
        <v>132</v>
      </c>
      <c r="F6276" s="128">
        <v>3008593.7</v>
      </c>
      <c r="G6276" s="128">
        <v>1999378.52</v>
      </c>
      <c r="H6276" s="128">
        <v>774814.51</v>
      </c>
      <c r="I6276" s="128">
        <v>23336</v>
      </c>
    </row>
    <row r="6277" spans="1:9" ht="13.5">
      <c r="A6277" s="128">
        <v>2009</v>
      </c>
      <c r="B6277" s="128" t="s">
        <v>137</v>
      </c>
      <c r="C6277" s="128" t="s">
        <v>21</v>
      </c>
      <c r="D6277" s="128" t="s">
        <v>79</v>
      </c>
      <c r="E6277" s="128" t="s">
        <v>133</v>
      </c>
      <c r="F6277" s="128">
        <v>4918495.1900000004</v>
      </c>
      <c r="G6277" s="128">
        <v>2686491.02</v>
      </c>
      <c r="H6277" s="128">
        <v>1587615.55</v>
      </c>
      <c r="I6277" s="128">
        <v>32891</v>
      </c>
    </row>
    <row r="6278" spans="1:9" ht="13.5">
      <c r="A6278" s="128">
        <v>2009</v>
      </c>
      <c r="B6278" s="128" t="s">
        <v>137</v>
      </c>
      <c r="C6278" s="128" t="s">
        <v>21</v>
      </c>
      <c r="D6278" s="128" t="s">
        <v>79</v>
      </c>
      <c r="E6278" s="128" t="s">
        <v>134</v>
      </c>
      <c r="F6278" s="128">
        <v>11616784.51</v>
      </c>
      <c r="G6278" s="128">
        <v>5050970.99</v>
      </c>
      <c r="H6278" s="128">
        <v>4026516.96</v>
      </c>
      <c r="I6278" s="128">
        <v>75205</v>
      </c>
    </row>
    <row r="6279" spans="1:9" ht="13.5">
      <c r="A6279" s="128">
        <v>2009</v>
      </c>
      <c r="B6279" s="128" t="s">
        <v>137</v>
      </c>
      <c r="C6279" s="128" t="s">
        <v>21</v>
      </c>
      <c r="D6279" s="128" t="s">
        <v>79</v>
      </c>
      <c r="E6279" s="128" t="s">
        <v>135</v>
      </c>
      <c r="F6279" s="128">
        <v>17971640.079999998</v>
      </c>
      <c r="G6279" s="128">
        <v>4799426.72</v>
      </c>
      <c r="H6279" s="128">
        <v>1654015.92</v>
      </c>
      <c r="I6279" s="128">
        <v>49547</v>
      </c>
    </row>
    <row r="6280" spans="1:9" ht="13.5">
      <c r="A6280" s="128">
        <v>2009</v>
      </c>
      <c r="B6280" s="128" t="s">
        <v>137</v>
      </c>
      <c r="C6280" s="128" t="s">
        <v>21</v>
      </c>
      <c r="D6280" s="128" t="s">
        <v>77</v>
      </c>
      <c r="E6280" s="128" t="s">
        <v>132</v>
      </c>
      <c r="F6280" s="128">
        <v>1961434.28</v>
      </c>
      <c r="G6280" s="128">
        <v>1298468.1100000001</v>
      </c>
      <c r="H6280" s="128">
        <v>509556.65</v>
      </c>
      <c r="I6280" s="128">
        <v>10963</v>
      </c>
    </row>
    <row r="6281" spans="1:9" ht="13.5">
      <c r="A6281" s="128">
        <v>2009</v>
      </c>
      <c r="B6281" s="128" t="s">
        <v>137</v>
      </c>
      <c r="C6281" s="128" t="s">
        <v>21</v>
      </c>
      <c r="D6281" s="128" t="s">
        <v>77</v>
      </c>
      <c r="E6281" s="128" t="s">
        <v>133</v>
      </c>
      <c r="F6281" s="128">
        <v>3877856.88</v>
      </c>
      <c r="G6281" s="128">
        <v>2105644.71</v>
      </c>
      <c r="H6281" s="128">
        <v>1450954.23</v>
      </c>
      <c r="I6281" s="128">
        <v>12644</v>
      </c>
    </row>
    <row r="6282" spans="1:9" ht="13.5">
      <c r="A6282" s="128">
        <v>2009</v>
      </c>
      <c r="B6282" s="128" t="s">
        <v>137</v>
      </c>
      <c r="C6282" s="128" t="s">
        <v>21</v>
      </c>
      <c r="D6282" s="128" t="s">
        <v>77</v>
      </c>
      <c r="E6282" s="128" t="s">
        <v>134</v>
      </c>
      <c r="F6282" s="128">
        <v>7153497.7400000002</v>
      </c>
      <c r="G6282" s="128">
        <v>3094571.52</v>
      </c>
      <c r="H6282" s="128">
        <v>2700204.85</v>
      </c>
      <c r="I6282" s="128">
        <v>24325</v>
      </c>
    </row>
    <row r="6283" spans="1:9" ht="13.5">
      <c r="A6283" s="128">
        <v>2009</v>
      </c>
      <c r="B6283" s="128" t="s">
        <v>137</v>
      </c>
      <c r="C6283" s="128" t="s">
        <v>21</v>
      </c>
      <c r="D6283" s="128" t="s">
        <v>77</v>
      </c>
      <c r="E6283" s="128" t="s">
        <v>135</v>
      </c>
      <c r="F6283" s="128">
        <v>10490925.34</v>
      </c>
      <c r="G6283" s="128">
        <v>2903960.12</v>
      </c>
      <c r="H6283" s="128">
        <v>2951375.01</v>
      </c>
      <c r="I6283" s="128">
        <v>29880</v>
      </c>
    </row>
    <row r="6284" spans="1:9" ht="13.5">
      <c r="A6284" s="128">
        <v>2009</v>
      </c>
      <c r="B6284" s="128" t="s">
        <v>137</v>
      </c>
      <c r="C6284" s="128" t="s">
        <v>21</v>
      </c>
      <c r="D6284" s="128" t="s">
        <v>76</v>
      </c>
      <c r="E6284" s="128" t="s">
        <v>136</v>
      </c>
      <c r="F6284" s="128">
        <v>9012514.1600000001</v>
      </c>
      <c r="G6284" s="128">
        <v>6795534.8300000001</v>
      </c>
      <c r="H6284" s="128">
        <v>2217118.7799999998</v>
      </c>
      <c r="I6284" s="128">
        <v>192416</v>
      </c>
    </row>
    <row r="6285" spans="1:9" ht="13.5">
      <c r="A6285" s="128">
        <v>2009</v>
      </c>
      <c r="B6285" s="128" t="s">
        <v>137</v>
      </c>
      <c r="C6285" s="128" t="s">
        <v>21</v>
      </c>
      <c r="D6285" s="128" t="s">
        <v>76</v>
      </c>
      <c r="E6285" s="128" t="s">
        <v>132</v>
      </c>
      <c r="F6285" s="128">
        <v>34882239.07</v>
      </c>
      <c r="G6285" s="128">
        <v>22453539.969999999</v>
      </c>
      <c r="H6285" s="128">
        <v>12428620.279999999</v>
      </c>
      <c r="I6285" s="128">
        <v>406260</v>
      </c>
    </row>
    <row r="6286" spans="1:9" ht="13.5">
      <c r="A6286" s="128">
        <v>2009</v>
      </c>
      <c r="B6286" s="128" t="s">
        <v>137</v>
      </c>
      <c r="C6286" s="128" t="s">
        <v>21</v>
      </c>
      <c r="D6286" s="128" t="s">
        <v>76</v>
      </c>
      <c r="E6286" s="128" t="s">
        <v>133</v>
      </c>
      <c r="F6286" s="128">
        <v>66357522.380000003</v>
      </c>
      <c r="G6286" s="128">
        <v>36542765.759999998</v>
      </c>
      <c r="H6286" s="128">
        <v>29814673.68</v>
      </c>
      <c r="I6286" s="128">
        <v>396745</v>
      </c>
    </row>
    <row r="6287" spans="1:9" ht="13.5">
      <c r="A6287" s="128">
        <v>2009</v>
      </c>
      <c r="B6287" s="128" t="s">
        <v>137</v>
      </c>
      <c r="C6287" s="128" t="s">
        <v>21</v>
      </c>
      <c r="D6287" s="128" t="s">
        <v>76</v>
      </c>
      <c r="E6287" s="128" t="s">
        <v>134</v>
      </c>
      <c r="F6287" s="128">
        <v>63998025.649999999</v>
      </c>
      <c r="G6287" s="128">
        <v>29238944.149999999</v>
      </c>
      <c r="H6287" s="128">
        <v>34759045.700000003</v>
      </c>
      <c r="I6287" s="128">
        <v>336060</v>
      </c>
    </row>
    <row r="6288" spans="1:9" ht="13.5">
      <c r="A6288" s="128">
        <v>2009</v>
      </c>
      <c r="B6288" s="128" t="s">
        <v>137</v>
      </c>
      <c r="C6288" s="128" t="s">
        <v>21</v>
      </c>
      <c r="D6288" s="128" t="s">
        <v>76</v>
      </c>
      <c r="E6288" s="128" t="s">
        <v>135</v>
      </c>
      <c r="F6288" s="128">
        <v>3004796.99</v>
      </c>
      <c r="G6288" s="128">
        <v>834990.32</v>
      </c>
      <c r="H6288" s="128">
        <v>2169806.84</v>
      </c>
      <c r="I6288" s="128">
        <v>2675</v>
      </c>
    </row>
    <row r="6289" spans="1:9" ht="13.5">
      <c r="A6289" s="128">
        <v>2009</v>
      </c>
      <c r="B6289" s="128" t="s">
        <v>137</v>
      </c>
      <c r="C6289" s="128" t="s">
        <v>22</v>
      </c>
      <c r="D6289" s="128" t="s">
        <v>79</v>
      </c>
      <c r="E6289" s="128" t="s">
        <v>136</v>
      </c>
      <c r="F6289" s="128">
        <v>6856401.2599999998</v>
      </c>
      <c r="G6289" s="128">
        <v>5165155.03</v>
      </c>
      <c r="H6289" s="128">
        <v>1686745.54</v>
      </c>
      <c r="I6289" s="128">
        <v>76358</v>
      </c>
    </row>
    <row r="6290" spans="1:9" ht="13.5">
      <c r="A6290" s="128">
        <v>2009</v>
      </c>
      <c r="B6290" s="128" t="s">
        <v>137</v>
      </c>
      <c r="C6290" s="128" t="s">
        <v>22</v>
      </c>
      <c r="D6290" s="128" t="s">
        <v>79</v>
      </c>
      <c r="E6290" s="128" t="s">
        <v>132</v>
      </c>
      <c r="F6290" s="128">
        <v>2072554.71</v>
      </c>
      <c r="G6290" s="128">
        <v>1373463.91</v>
      </c>
      <c r="H6290" s="128">
        <v>468961.28000000003</v>
      </c>
      <c r="I6290" s="128">
        <v>11885</v>
      </c>
    </row>
    <row r="6291" spans="1:9" ht="13.5">
      <c r="A6291" s="128">
        <v>2009</v>
      </c>
      <c r="B6291" s="128" t="s">
        <v>137</v>
      </c>
      <c r="C6291" s="128" t="s">
        <v>22</v>
      </c>
      <c r="D6291" s="128" t="s">
        <v>79</v>
      </c>
      <c r="E6291" s="128" t="s">
        <v>133</v>
      </c>
      <c r="F6291" s="128">
        <v>3302700.13</v>
      </c>
      <c r="G6291" s="128">
        <v>1783174.28</v>
      </c>
      <c r="H6291" s="128">
        <v>647733</v>
      </c>
      <c r="I6291" s="128">
        <v>16617</v>
      </c>
    </row>
    <row r="6292" spans="1:9" ht="13.5">
      <c r="A6292" s="128">
        <v>2009</v>
      </c>
      <c r="B6292" s="128" t="s">
        <v>137</v>
      </c>
      <c r="C6292" s="128" t="s">
        <v>22</v>
      </c>
      <c r="D6292" s="128" t="s">
        <v>79</v>
      </c>
      <c r="E6292" s="128" t="s">
        <v>134</v>
      </c>
      <c r="F6292" s="128">
        <v>9359673.8300000001</v>
      </c>
      <c r="G6292" s="128">
        <v>4002890.19</v>
      </c>
      <c r="H6292" s="128">
        <v>1671500.73</v>
      </c>
      <c r="I6292" s="128">
        <v>40483</v>
      </c>
    </row>
    <row r="6293" spans="1:9" ht="13.5">
      <c r="A6293" s="128">
        <v>2009</v>
      </c>
      <c r="B6293" s="128" t="s">
        <v>137</v>
      </c>
      <c r="C6293" s="128" t="s">
        <v>22</v>
      </c>
      <c r="D6293" s="128" t="s">
        <v>79</v>
      </c>
      <c r="E6293" s="128" t="s">
        <v>135</v>
      </c>
      <c r="F6293" s="128">
        <v>36858024.340000004</v>
      </c>
      <c r="G6293" s="128">
        <v>10180655.91</v>
      </c>
      <c r="H6293" s="128">
        <v>3422735.21</v>
      </c>
      <c r="I6293" s="128">
        <v>119897</v>
      </c>
    </row>
    <row r="6294" spans="1:9" ht="13.5">
      <c r="A6294" s="128">
        <v>2009</v>
      </c>
      <c r="B6294" s="128" t="s">
        <v>137</v>
      </c>
      <c r="C6294" s="128" t="s">
        <v>22</v>
      </c>
      <c r="D6294" s="128" t="s">
        <v>77</v>
      </c>
      <c r="E6294" s="128" t="s">
        <v>132</v>
      </c>
      <c r="F6294" s="128">
        <v>593738.05000000005</v>
      </c>
      <c r="G6294" s="128">
        <v>378587.64</v>
      </c>
      <c r="H6294" s="128">
        <v>155068.21</v>
      </c>
      <c r="I6294" s="128">
        <v>3344</v>
      </c>
    </row>
    <row r="6295" spans="1:9" ht="13.5">
      <c r="A6295" s="128">
        <v>2009</v>
      </c>
      <c r="B6295" s="128" t="s">
        <v>137</v>
      </c>
      <c r="C6295" s="128" t="s">
        <v>22</v>
      </c>
      <c r="D6295" s="128" t="s">
        <v>77</v>
      </c>
      <c r="E6295" s="128" t="s">
        <v>133</v>
      </c>
      <c r="F6295" s="128">
        <v>1195347.73</v>
      </c>
      <c r="G6295" s="128">
        <v>651930.28</v>
      </c>
      <c r="H6295" s="128">
        <v>457884.37</v>
      </c>
      <c r="I6295" s="128">
        <v>3876</v>
      </c>
    </row>
    <row r="6296" spans="1:9" ht="13.5">
      <c r="A6296" s="128">
        <v>2009</v>
      </c>
      <c r="B6296" s="128" t="s">
        <v>137</v>
      </c>
      <c r="C6296" s="128" t="s">
        <v>22</v>
      </c>
      <c r="D6296" s="128" t="s">
        <v>77</v>
      </c>
      <c r="E6296" s="128" t="s">
        <v>134</v>
      </c>
      <c r="F6296" s="128">
        <v>3602209.65</v>
      </c>
      <c r="G6296" s="128">
        <v>1520255.41</v>
      </c>
      <c r="H6296" s="128">
        <v>1417248.23</v>
      </c>
      <c r="I6296" s="128">
        <v>9095</v>
      </c>
    </row>
    <row r="6297" spans="1:9" ht="13.5">
      <c r="A6297" s="128">
        <v>2009</v>
      </c>
      <c r="B6297" s="128" t="s">
        <v>137</v>
      </c>
      <c r="C6297" s="128" t="s">
        <v>22</v>
      </c>
      <c r="D6297" s="128" t="s">
        <v>77</v>
      </c>
      <c r="E6297" s="128" t="s">
        <v>135</v>
      </c>
      <c r="F6297" s="128">
        <v>8867137.3599999994</v>
      </c>
      <c r="G6297" s="128">
        <v>2406408.6800000002</v>
      </c>
      <c r="H6297" s="128">
        <v>2598447.0099999998</v>
      </c>
      <c r="I6297" s="128">
        <v>22982</v>
      </c>
    </row>
    <row r="6298" spans="1:9" ht="13.5">
      <c r="A6298" s="128">
        <v>2009</v>
      </c>
      <c r="B6298" s="128" t="s">
        <v>137</v>
      </c>
      <c r="C6298" s="128" t="s">
        <v>22</v>
      </c>
      <c r="D6298" s="128" t="s">
        <v>76</v>
      </c>
      <c r="E6298" s="128" t="s">
        <v>136</v>
      </c>
      <c r="F6298" s="128">
        <v>2955795.63</v>
      </c>
      <c r="G6298" s="128">
        <v>2244395.9500000002</v>
      </c>
      <c r="H6298" s="128">
        <v>711154.98</v>
      </c>
      <c r="I6298" s="128">
        <v>60719</v>
      </c>
    </row>
    <row r="6299" spans="1:9" ht="13.5">
      <c r="A6299" s="128">
        <v>2009</v>
      </c>
      <c r="B6299" s="128" t="s">
        <v>137</v>
      </c>
      <c r="C6299" s="128" t="s">
        <v>22</v>
      </c>
      <c r="D6299" s="128" t="s">
        <v>76</v>
      </c>
      <c r="E6299" s="128" t="s">
        <v>132</v>
      </c>
      <c r="F6299" s="128">
        <v>34571203.810000002</v>
      </c>
      <c r="G6299" s="128">
        <v>22219507.920000002</v>
      </c>
      <c r="H6299" s="128">
        <v>12351527.33</v>
      </c>
      <c r="I6299" s="128">
        <v>512862</v>
      </c>
    </row>
    <row r="6300" spans="1:9" ht="13.5">
      <c r="A6300" s="128">
        <v>2009</v>
      </c>
      <c r="B6300" s="128" t="s">
        <v>137</v>
      </c>
      <c r="C6300" s="128" t="s">
        <v>22</v>
      </c>
      <c r="D6300" s="128" t="s">
        <v>76</v>
      </c>
      <c r="E6300" s="128" t="s">
        <v>133</v>
      </c>
      <c r="F6300" s="128">
        <v>47667500.859999999</v>
      </c>
      <c r="G6300" s="128">
        <v>26358807.620000001</v>
      </c>
      <c r="H6300" s="128">
        <v>21308584.129999999</v>
      </c>
      <c r="I6300" s="128">
        <v>248776</v>
      </c>
    </row>
    <row r="6301" spans="1:9" ht="13.5">
      <c r="A6301" s="128">
        <v>2009</v>
      </c>
      <c r="B6301" s="128" t="s">
        <v>137</v>
      </c>
      <c r="C6301" s="128" t="s">
        <v>22</v>
      </c>
      <c r="D6301" s="128" t="s">
        <v>76</v>
      </c>
      <c r="E6301" s="128" t="s">
        <v>134</v>
      </c>
      <c r="F6301" s="128">
        <v>41163709.210000001</v>
      </c>
      <c r="G6301" s="128">
        <v>19202873.010000002</v>
      </c>
      <c r="H6301" s="128">
        <v>21960606.059999999</v>
      </c>
      <c r="I6301" s="128">
        <v>254394</v>
      </c>
    </row>
    <row r="6302" spans="1:9" ht="13.5">
      <c r="A6302" s="128">
        <v>2009</v>
      </c>
      <c r="B6302" s="128" t="s">
        <v>137</v>
      </c>
      <c r="C6302" s="128" t="s">
        <v>22</v>
      </c>
      <c r="D6302" s="128" t="s">
        <v>76</v>
      </c>
      <c r="E6302" s="128" t="s">
        <v>135</v>
      </c>
      <c r="F6302" s="128">
        <v>4703373.54</v>
      </c>
      <c r="G6302" s="128">
        <v>1294978.05</v>
      </c>
      <c r="H6302" s="128">
        <v>3408393.43</v>
      </c>
      <c r="I6302" s="128">
        <v>4450</v>
      </c>
    </row>
    <row r="6303" spans="1:9" ht="13.5">
      <c r="A6303" s="128">
        <v>2009</v>
      </c>
      <c r="B6303" s="128" t="s">
        <v>137</v>
      </c>
      <c r="C6303" s="128" t="s">
        <v>23</v>
      </c>
      <c r="D6303" s="128" t="s">
        <v>79</v>
      </c>
      <c r="E6303" s="128" t="s">
        <v>136</v>
      </c>
      <c r="F6303" s="128">
        <v>2510686.1800000002</v>
      </c>
      <c r="G6303" s="128">
        <v>1883346.32</v>
      </c>
      <c r="H6303" s="128">
        <v>626174.78</v>
      </c>
      <c r="I6303" s="128">
        <v>59677</v>
      </c>
    </row>
    <row r="6304" spans="1:9" ht="13.5">
      <c r="A6304" s="128">
        <v>2009</v>
      </c>
      <c r="B6304" s="128" t="s">
        <v>137</v>
      </c>
      <c r="C6304" s="128" t="s">
        <v>23</v>
      </c>
      <c r="D6304" s="128" t="s">
        <v>79</v>
      </c>
      <c r="E6304" s="128" t="s">
        <v>132</v>
      </c>
      <c r="F6304" s="128">
        <v>651794.69999999995</v>
      </c>
      <c r="G6304" s="128">
        <v>434790.2</v>
      </c>
      <c r="H6304" s="128">
        <v>179020.27</v>
      </c>
      <c r="I6304" s="128">
        <v>5020</v>
      </c>
    </row>
    <row r="6305" spans="1:9" ht="13.5">
      <c r="A6305" s="128">
        <v>2009</v>
      </c>
      <c r="B6305" s="128" t="s">
        <v>137</v>
      </c>
      <c r="C6305" s="128" t="s">
        <v>23</v>
      </c>
      <c r="D6305" s="128" t="s">
        <v>79</v>
      </c>
      <c r="E6305" s="128" t="s">
        <v>133</v>
      </c>
      <c r="F6305" s="128">
        <v>1404857.79</v>
      </c>
      <c r="G6305" s="128">
        <v>764797.92</v>
      </c>
      <c r="H6305" s="128">
        <v>458701.64</v>
      </c>
      <c r="I6305" s="128">
        <v>8358</v>
      </c>
    </row>
    <row r="6306" spans="1:9" ht="13.5">
      <c r="A6306" s="128">
        <v>2009</v>
      </c>
      <c r="B6306" s="128" t="s">
        <v>137</v>
      </c>
      <c r="C6306" s="128" t="s">
        <v>23</v>
      </c>
      <c r="D6306" s="128" t="s">
        <v>79</v>
      </c>
      <c r="E6306" s="128" t="s">
        <v>134</v>
      </c>
      <c r="F6306" s="128">
        <v>6161099.8899999997</v>
      </c>
      <c r="G6306" s="128">
        <v>2666622.9900000002</v>
      </c>
      <c r="H6306" s="128">
        <v>3261670.87</v>
      </c>
      <c r="I6306" s="128">
        <v>48747</v>
      </c>
    </row>
    <row r="6307" spans="1:9" ht="13.5">
      <c r="A6307" s="128">
        <v>2009</v>
      </c>
      <c r="B6307" s="128" t="s">
        <v>137</v>
      </c>
      <c r="C6307" s="128" t="s">
        <v>23</v>
      </c>
      <c r="D6307" s="128" t="s">
        <v>79</v>
      </c>
      <c r="E6307" s="128" t="s">
        <v>135</v>
      </c>
      <c r="F6307" s="128">
        <v>1477816.86</v>
      </c>
      <c r="G6307" s="128">
        <v>400812.56</v>
      </c>
      <c r="H6307" s="128">
        <v>179144.74</v>
      </c>
      <c r="I6307" s="128">
        <v>4040</v>
      </c>
    </row>
    <row r="6308" spans="1:9" ht="13.5">
      <c r="A6308" s="128">
        <v>2009</v>
      </c>
      <c r="B6308" s="128" t="s">
        <v>137</v>
      </c>
      <c r="C6308" s="128" t="s">
        <v>23</v>
      </c>
      <c r="D6308" s="128" t="s">
        <v>77</v>
      </c>
      <c r="E6308" s="128" t="s">
        <v>132</v>
      </c>
      <c r="F6308" s="128">
        <v>1784834.14</v>
      </c>
      <c r="G6308" s="128">
        <v>1182487</v>
      </c>
      <c r="H6308" s="128">
        <v>566533.68999999994</v>
      </c>
      <c r="I6308" s="128">
        <v>13720</v>
      </c>
    </row>
    <row r="6309" spans="1:9" ht="13.5">
      <c r="A6309" s="128">
        <v>2009</v>
      </c>
      <c r="B6309" s="128" t="s">
        <v>137</v>
      </c>
      <c r="C6309" s="128" t="s">
        <v>23</v>
      </c>
      <c r="D6309" s="128" t="s">
        <v>77</v>
      </c>
      <c r="E6309" s="128" t="s">
        <v>133</v>
      </c>
      <c r="F6309" s="128">
        <v>2970536.53</v>
      </c>
      <c r="G6309" s="128">
        <v>1619060.56</v>
      </c>
      <c r="H6309" s="128">
        <v>1250437.02</v>
      </c>
      <c r="I6309" s="128">
        <v>11287</v>
      </c>
    </row>
    <row r="6310" spans="1:9" ht="13.5">
      <c r="A6310" s="128">
        <v>2009</v>
      </c>
      <c r="B6310" s="128" t="s">
        <v>137</v>
      </c>
      <c r="C6310" s="128" t="s">
        <v>23</v>
      </c>
      <c r="D6310" s="128" t="s">
        <v>77</v>
      </c>
      <c r="E6310" s="128" t="s">
        <v>134</v>
      </c>
      <c r="F6310" s="128">
        <v>2869597.99</v>
      </c>
      <c r="G6310" s="128">
        <v>1313203.2</v>
      </c>
      <c r="H6310" s="128">
        <v>1350603</v>
      </c>
      <c r="I6310" s="128">
        <v>11516</v>
      </c>
    </row>
    <row r="6311" spans="1:9" ht="13.5">
      <c r="A6311" s="128">
        <v>2009</v>
      </c>
      <c r="B6311" s="128" t="s">
        <v>137</v>
      </c>
      <c r="C6311" s="128" t="s">
        <v>23</v>
      </c>
      <c r="D6311" s="128" t="s">
        <v>77</v>
      </c>
      <c r="E6311" s="128" t="s">
        <v>135</v>
      </c>
      <c r="F6311" s="128">
        <v>1549211.68</v>
      </c>
      <c r="G6311" s="128">
        <v>378206.83</v>
      </c>
      <c r="H6311" s="128">
        <v>457914.83</v>
      </c>
      <c r="I6311" s="128">
        <v>3206</v>
      </c>
    </row>
    <row r="6312" spans="1:9" ht="13.5">
      <c r="A6312" s="128">
        <v>2009</v>
      </c>
      <c r="B6312" s="128" t="s">
        <v>137</v>
      </c>
      <c r="C6312" s="128" t="s">
        <v>23</v>
      </c>
      <c r="D6312" s="128" t="s">
        <v>76</v>
      </c>
      <c r="E6312" s="128" t="s">
        <v>136</v>
      </c>
      <c r="F6312" s="128">
        <v>2901564.69</v>
      </c>
      <c r="G6312" s="128">
        <v>2181108.96</v>
      </c>
      <c r="H6312" s="128">
        <v>720492.67</v>
      </c>
      <c r="I6312" s="128">
        <v>26518</v>
      </c>
    </row>
    <row r="6313" spans="1:9" ht="13.5">
      <c r="A6313" s="128">
        <v>2009</v>
      </c>
      <c r="B6313" s="128" t="s">
        <v>137</v>
      </c>
      <c r="C6313" s="128" t="s">
        <v>23</v>
      </c>
      <c r="D6313" s="128" t="s">
        <v>76</v>
      </c>
      <c r="E6313" s="128" t="s">
        <v>132</v>
      </c>
      <c r="F6313" s="128">
        <v>9614513.8599999994</v>
      </c>
      <c r="G6313" s="128">
        <v>6372971.46</v>
      </c>
      <c r="H6313" s="128">
        <v>3241525.84</v>
      </c>
      <c r="I6313" s="128">
        <v>160764</v>
      </c>
    </row>
    <row r="6314" spans="1:9" ht="13.5">
      <c r="A6314" s="128">
        <v>2009</v>
      </c>
      <c r="B6314" s="128" t="s">
        <v>137</v>
      </c>
      <c r="C6314" s="128" t="s">
        <v>23</v>
      </c>
      <c r="D6314" s="128" t="s">
        <v>76</v>
      </c>
      <c r="E6314" s="128" t="s">
        <v>133</v>
      </c>
      <c r="F6314" s="128">
        <v>16810978.579999998</v>
      </c>
      <c r="G6314" s="128">
        <v>9179142.1600000001</v>
      </c>
      <c r="H6314" s="128">
        <v>7631805.6399999997</v>
      </c>
      <c r="I6314" s="128">
        <v>89874</v>
      </c>
    </row>
    <row r="6315" spans="1:9" ht="13.5">
      <c r="A6315" s="128">
        <v>2009</v>
      </c>
      <c r="B6315" s="128" t="s">
        <v>137</v>
      </c>
      <c r="C6315" s="128" t="s">
        <v>23</v>
      </c>
      <c r="D6315" s="128" t="s">
        <v>76</v>
      </c>
      <c r="E6315" s="128" t="s">
        <v>134</v>
      </c>
      <c r="F6315" s="128">
        <v>23012779.690000001</v>
      </c>
      <c r="G6315" s="128">
        <v>10599118.119999999</v>
      </c>
      <c r="H6315" s="128">
        <v>12413655.52</v>
      </c>
      <c r="I6315" s="128">
        <v>86188</v>
      </c>
    </row>
    <row r="6316" spans="1:9" ht="13.5">
      <c r="A6316" s="128">
        <v>2009</v>
      </c>
      <c r="B6316" s="128" t="s">
        <v>137</v>
      </c>
      <c r="C6316" s="128" t="s">
        <v>23</v>
      </c>
      <c r="D6316" s="128" t="s">
        <v>76</v>
      </c>
      <c r="E6316" s="128" t="s">
        <v>135</v>
      </c>
      <c r="F6316" s="128">
        <v>1307563.81</v>
      </c>
      <c r="G6316" s="128">
        <v>335172.90999999997</v>
      </c>
      <c r="H6316" s="128">
        <v>972391.15</v>
      </c>
      <c r="I6316" s="128">
        <v>1023</v>
      </c>
    </row>
    <row r="6317" spans="1:9" ht="13.5">
      <c r="A6317" s="128">
        <v>2009</v>
      </c>
      <c r="B6317" s="128" t="s">
        <v>137</v>
      </c>
      <c r="C6317" s="128" t="s">
        <v>24</v>
      </c>
      <c r="D6317" s="128" t="s">
        <v>79</v>
      </c>
      <c r="E6317" s="128" t="s">
        <v>136</v>
      </c>
      <c r="F6317" s="128">
        <v>1624689.16</v>
      </c>
      <c r="G6317" s="128">
        <v>1223213.8799999999</v>
      </c>
      <c r="H6317" s="128">
        <v>401461.28</v>
      </c>
      <c r="I6317" s="128">
        <v>36789</v>
      </c>
    </row>
    <row r="6318" spans="1:9" ht="13.5">
      <c r="A6318" s="128">
        <v>2009</v>
      </c>
      <c r="B6318" s="128" t="s">
        <v>137</v>
      </c>
      <c r="C6318" s="128" t="s">
        <v>24</v>
      </c>
      <c r="D6318" s="128" t="s">
        <v>79</v>
      </c>
      <c r="E6318" s="128" t="s">
        <v>132</v>
      </c>
      <c r="F6318" s="128">
        <v>479333.56</v>
      </c>
      <c r="G6318" s="128">
        <v>313560.15999999997</v>
      </c>
      <c r="H6318" s="128">
        <v>108180.36</v>
      </c>
      <c r="I6318" s="128">
        <v>3532</v>
      </c>
    </row>
    <row r="6319" spans="1:9" ht="13.5">
      <c r="A6319" s="128">
        <v>2009</v>
      </c>
      <c r="B6319" s="128" t="s">
        <v>137</v>
      </c>
      <c r="C6319" s="128" t="s">
        <v>24</v>
      </c>
      <c r="D6319" s="128" t="s">
        <v>79</v>
      </c>
      <c r="E6319" s="128" t="s">
        <v>133</v>
      </c>
      <c r="F6319" s="128">
        <v>1427310.75</v>
      </c>
      <c r="G6319" s="128">
        <v>777325.73</v>
      </c>
      <c r="H6319" s="128">
        <v>262020.31</v>
      </c>
      <c r="I6319" s="128">
        <v>9304</v>
      </c>
    </row>
    <row r="6320" spans="1:9" ht="13.5">
      <c r="A6320" s="128">
        <v>2009</v>
      </c>
      <c r="B6320" s="128" t="s">
        <v>137</v>
      </c>
      <c r="C6320" s="128" t="s">
        <v>24</v>
      </c>
      <c r="D6320" s="128" t="s">
        <v>79</v>
      </c>
      <c r="E6320" s="128" t="s">
        <v>134</v>
      </c>
      <c r="F6320" s="128">
        <v>2852757.18</v>
      </c>
      <c r="G6320" s="128">
        <v>1228594.45</v>
      </c>
      <c r="H6320" s="128">
        <v>422032.83</v>
      </c>
      <c r="I6320" s="128">
        <v>18447</v>
      </c>
    </row>
    <row r="6321" spans="1:9" ht="13.5">
      <c r="A6321" s="128">
        <v>2009</v>
      </c>
      <c r="B6321" s="128" t="s">
        <v>137</v>
      </c>
      <c r="C6321" s="128" t="s">
        <v>24</v>
      </c>
      <c r="D6321" s="128" t="s">
        <v>79</v>
      </c>
      <c r="E6321" s="128" t="s">
        <v>135</v>
      </c>
      <c r="F6321" s="128">
        <v>5620263.4000000004</v>
      </c>
      <c r="G6321" s="128">
        <v>1343409.25</v>
      </c>
      <c r="H6321" s="128">
        <v>447881.56</v>
      </c>
      <c r="I6321" s="128">
        <v>12931</v>
      </c>
    </row>
    <row r="6322" spans="1:9" ht="13.5">
      <c r="A6322" s="128">
        <v>2009</v>
      </c>
      <c r="B6322" s="128" t="s">
        <v>137</v>
      </c>
      <c r="C6322" s="128" t="s">
        <v>24</v>
      </c>
      <c r="D6322" s="128" t="s">
        <v>77</v>
      </c>
      <c r="E6322" s="128" t="s">
        <v>132</v>
      </c>
      <c r="F6322" s="128">
        <v>1744423.85</v>
      </c>
      <c r="G6322" s="128">
        <v>1190937.07</v>
      </c>
      <c r="H6322" s="128">
        <v>523205.2</v>
      </c>
      <c r="I6322" s="128">
        <v>11025</v>
      </c>
    </row>
    <row r="6323" spans="1:9" ht="13.5">
      <c r="A6323" s="128">
        <v>2009</v>
      </c>
      <c r="B6323" s="128" t="s">
        <v>137</v>
      </c>
      <c r="C6323" s="128" t="s">
        <v>24</v>
      </c>
      <c r="D6323" s="128" t="s">
        <v>77</v>
      </c>
      <c r="E6323" s="128" t="s">
        <v>133</v>
      </c>
      <c r="F6323" s="128">
        <v>3940284.03</v>
      </c>
      <c r="G6323" s="128">
        <v>2108392.98</v>
      </c>
      <c r="H6323" s="128">
        <v>1514876.9</v>
      </c>
      <c r="I6323" s="128">
        <v>14251</v>
      </c>
    </row>
    <row r="6324" spans="1:9" ht="13.5">
      <c r="A6324" s="128">
        <v>2009</v>
      </c>
      <c r="B6324" s="128" t="s">
        <v>137</v>
      </c>
      <c r="C6324" s="128" t="s">
        <v>24</v>
      </c>
      <c r="D6324" s="128" t="s">
        <v>77</v>
      </c>
      <c r="E6324" s="128" t="s">
        <v>134</v>
      </c>
      <c r="F6324" s="128">
        <v>6408231.6500000004</v>
      </c>
      <c r="G6324" s="128">
        <v>2797024.27</v>
      </c>
      <c r="H6324" s="128">
        <v>2095986.14</v>
      </c>
      <c r="I6324" s="128">
        <v>23598</v>
      </c>
    </row>
    <row r="6325" spans="1:9" ht="13.5">
      <c r="A6325" s="128">
        <v>2009</v>
      </c>
      <c r="B6325" s="128" t="s">
        <v>137</v>
      </c>
      <c r="C6325" s="128" t="s">
        <v>24</v>
      </c>
      <c r="D6325" s="128" t="s">
        <v>77</v>
      </c>
      <c r="E6325" s="128" t="s">
        <v>135</v>
      </c>
      <c r="F6325" s="128">
        <v>11044186.27</v>
      </c>
      <c r="G6325" s="128">
        <v>2691190.55</v>
      </c>
      <c r="H6325" s="128">
        <v>1870697.4</v>
      </c>
      <c r="I6325" s="128">
        <v>20125</v>
      </c>
    </row>
    <row r="6326" spans="1:9" ht="13.5">
      <c r="A6326" s="128">
        <v>2009</v>
      </c>
      <c r="B6326" s="128" t="s">
        <v>137</v>
      </c>
      <c r="C6326" s="128" t="s">
        <v>24</v>
      </c>
      <c r="D6326" s="128" t="s">
        <v>76</v>
      </c>
      <c r="E6326" s="128" t="s">
        <v>136</v>
      </c>
      <c r="F6326" s="128">
        <v>910140.92</v>
      </c>
      <c r="G6326" s="128">
        <v>692039.76</v>
      </c>
      <c r="H6326" s="128">
        <v>218100.81</v>
      </c>
      <c r="I6326" s="128">
        <v>10091</v>
      </c>
    </row>
    <row r="6327" spans="1:9" ht="13.5">
      <c r="A6327" s="128">
        <v>2009</v>
      </c>
      <c r="B6327" s="128" t="s">
        <v>137</v>
      </c>
      <c r="C6327" s="128" t="s">
        <v>24</v>
      </c>
      <c r="D6327" s="128" t="s">
        <v>76</v>
      </c>
      <c r="E6327" s="128" t="s">
        <v>132</v>
      </c>
      <c r="F6327" s="128">
        <v>9349512.3499999996</v>
      </c>
      <c r="G6327" s="128">
        <v>5882019.75</v>
      </c>
      <c r="H6327" s="128">
        <v>3467479.63</v>
      </c>
      <c r="I6327" s="128">
        <v>99771</v>
      </c>
    </row>
    <row r="6328" spans="1:9" ht="13.5">
      <c r="A6328" s="128">
        <v>2009</v>
      </c>
      <c r="B6328" s="128" t="s">
        <v>137</v>
      </c>
      <c r="C6328" s="128" t="s">
        <v>24</v>
      </c>
      <c r="D6328" s="128" t="s">
        <v>76</v>
      </c>
      <c r="E6328" s="128" t="s">
        <v>133</v>
      </c>
      <c r="F6328" s="128">
        <v>26166806.690000001</v>
      </c>
      <c r="G6328" s="128">
        <v>14363474.689999999</v>
      </c>
      <c r="H6328" s="128">
        <v>11803327.6</v>
      </c>
      <c r="I6328" s="128">
        <v>166088</v>
      </c>
    </row>
    <row r="6329" spans="1:9" ht="13.5">
      <c r="A6329" s="128">
        <v>2009</v>
      </c>
      <c r="B6329" s="128" t="s">
        <v>137</v>
      </c>
      <c r="C6329" s="128" t="s">
        <v>24</v>
      </c>
      <c r="D6329" s="128" t="s">
        <v>76</v>
      </c>
      <c r="E6329" s="128" t="s">
        <v>134</v>
      </c>
      <c r="F6329" s="128">
        <v>24773582.530000001</v>
      </c>
      <c r="G6329" s="128">
        <v>10888505.83</v>
      </c>
      <c r="H6329" s="128">
        <v>13885072.109999999</v>
      </c>
      <c r="I6329" s="128">
        <v>136288</v>
      </c>
    </row>
    <row r="6330" spans="1:9" ht="13.5">
      <c r="A6330" s="128">
        <v>2009</v>
      </c>
      <c r="B6330" s="128" t="s">
        <v>137</v>
      </c>
      <c r="C6330" s="128" t="s">
        <v>24</v>
      </c>
      <c r="D6330" s="128" t="s">
        <v>76</v>
      </c>
      <c r="E6330" s="128" t="s">
        <v>135</v>
      </c>
      <c r="F6330" s="128">
        <v>2688844.85</v>
      </c>
      <c r="G6330" s="128">
        <v>609446.96</v>
      </c>
      <c r="H6330" s="128">
        <v>2079397.8</v>
      </c>
      <c r="I6330" s="128">
        <v>1797</v>
      </c>
    </row>
    <row r="6331" spans="1:9" ht="13.5">
      <c r="A6331" s="128">
        <v>2009</v>
      </c>
      <c r="B6331" s="128" t="s">
        <v>137</v>
      </c>
      <c r="C6331" s="128" t="s">
        <v>25</v>
      </c>
      <c r="D6331" s="128" t="s">
        <v>79</v>
      </c>
      <c r="E6331" s="128" t="s">
        <v>136</v>
      </c>
      <c r="F6331" s="128">
        <v>1029766.64</v>
      </c>
      <c r="G6331" s="128">
        <v>774047.76</v>
      </c>
      <c r="H6331" s="128">
        <v>255565.28</v>
      </c>
      <c r="I6331" s="128">
        <v>13938</v>
      </c>
    </row>
    <row r="6332" spans="1:9" ht="13.5">
      <c r="A6332" s="128">
        <v>2009</v>
      </c>
      <c r="B6332" s="128" t="s">
        <v>137</v>
      </c>
      <c r="C6332" s="128" t="s">
        <v>25</v>
      </c>
      <c r="D6332" s="128" t="s">
        <v>79</v>
      </c>
      <c r="E6332" s="128" t="s">
        <v>132</v>
      </c>
      <c r="F6332" s="128">
        <v>336439.28</v>
      </c>
      <c r="G6332" s="128">
        <v>227075.36</v>
      </c>
      <c r="H6332" s="128">
        <v>75253.87</v>
      </c>
      <c r="I6332" s="128">
        <v>2263</v>
      </c>
    </row>
    <row r="6333" spans="1:9" ht="13.5">
      <c r="A6333" s="128">
        <v>2009</v>
      </c>
      <c r="B6333" s="128" t="s">
        <v>137</v>
      </c>
      <c r="C6333" s="128" t="s">
        <v>25</v>
      </c>
      <c r="D6333" s="128" t="s">
        <v>79</v>
      </c>
      <c r="E6333" s="128" t="s">
        <v>133</v>
      </c>
      <c r="F6333" s="128">
        <v>322950.37</v>
      </c>
      <c r="G6333" s="128">
        <v>175671.33</v>
      </c>
      <c r="H6333" s="128">
        <v>70973.990000000005</v>
      </c>
      <c r="I6333" s="128">
        <v>956</v>
      </c>
    </row>
    <row r="6334" spans="1:9" ht="13.5">
      <c r="A6334" s="128">
        <v>2009</v>
      </c>
      <c r="B6334" s="128" t="s">
        <v>137</v>
      </c>
      <c r="C6334" s="128" t="s">
        <v>25</v>
      </c>
      <c r="D6334" s="128" t="s">
        <v>79</v>
      </c>
      <c r="E6334" s="128" t="s">
        <v>134</v>
      </c>
      <c r="F6334" s="128">
        <v>706207.95</v>
      </c>
      <c r="G6334" s="128">
        <v>304608.34999999998</v>
      </c>
      <c r="H6334" s="128">
        <v>146820.59</v>
      </c>
      <c r="I6334" s="128">
        <v>3761</v>
      </c>
    </row>
    <row r="6335" spans="1:9" ht="13.5">
      <c r="A6335" s="128">
        <v>2009</v>
      </c>
      <c r="B6335" s="128" t="s">
        <v>137</v>
      </c>
      <c r="C6335" s="128" t="s">
        <v>25</v>
      </c>
      <c r="D6335" s="128" t="s">
        <v>79</v>
      </c>
      <c r="E6335" s="128" t="s">
        <v>135</v>
      </c>
      <c r="F6335" s="128">
        <v>2354771.71</v>
      </c>
      <c r="G6335" s="128">
        <v>593064.84</v>
      </c>
      <c r="H6335" s="128">
        <v>208308.75</v>
      </c>
      <c r="I6335" s="128">
        <v>4787</v>
      </c>
    </row>
    <row r="6336" spans="1:9" ht="13.5">
      <c r="A6336" s="128">
        <v>2009</v>
      </c>
      <c r="B6336" s="128" t="s">
        <v>137</v>
      </c>
      <c r="C6336" s="128" t="s">
        <v>25</v>
      </c>
      <c r="D6336" s="128" t="s">
        <v>77</v>
      </c>
      <c r="E6336" s="128" t="s">
        <v>132</v>
      </c>
      <c r="F6336" s="128">
        <v>64882.63</v>
      </c>
      <c r="G6336" s="128">
        <v>44516.800000000003</v>
      </c>
      <c r="H6336" s="128">
        <v>16129.67</v>
      </c>
      <c r="I6336" s="128">
        <v>420</v>
      </c>
    </row>
    <row r="6337" spans="1:9" ht="13.5">
      <c r="A6337" s="128">
        <v>2009</v>
      </c>
      <c r="B6337" s="128" t="s">
        <v>137</v>
      </c>
      <c r="C6337" s="128" t="s">
        <v>25</v>
      </c>
      <c r="D6337" s="128" t="s">
        <v>77</v>
      </c>
      <c r="E6337" s="128" t="s">
        <v>133</v>
      </c>
      <c r="F6337" s="128">
        <v>119628.59</v>
      </c>
      <c r="G6337" s="128">
        <v>64015.1</v>
      </c>
      <c r="H6337" s="128">
        <v>48985.3</v>
      </c>
      <c r="I6337" s="128">
        <v>414</v>
      </c>
    </row>
    <row r="6338" spans="1:9" ht="13.5">
      <c r="A6338" s="128">
        <v>2009</v>
      </c>
      <c r="B6338" s="128" t="s">
        <v>137</v>
      </c>
      <c r="C6338" s="128" t="s">
        <v>25</v>
      </c>
      <c r="D6338" s="128" t="s">
        <v>77</v>
      </c>
      <c r="E6338" s="128" t="s">
        <v>134</v>
      </c>
      <c r="F6338" s="128">
        <v>595259.76</v>
      </c>
      <c r="G6338" s="128">
        <v>256648.91</v>
      </c>
      <c r="H6338" s="128">
        <v>257868.47</v>
      </c>
      <c r="I6338" s="128">
        <v>1380</v>
      </c>
    </row>
    <row r="6339" spans="1:9" ht="13.5">
      <c r="A6339" s="128">
        <v>2009</v>
      </c>
      <c r="B6339" s="128" t="s">
        <v>137</v>
      </c>
      <c r="C6339" s="128" t="s">
        <v>25</v>
      </c>
      <c r="D6339" s="128" t="s">
        <v>77</v>
      </c>
      <c r="E6339" s="128" t="s">
        <v>135</v>
      </c>
      <c r="F6339" s="128">
        <v>1088336.92</v>
      </c>
      <c r="G6339" s="128">
        <v>327584.65999999997</v>
      </c>
      <c r="H6339" s="128">
        <v>382674.75</v>
      </c>
      <c r="I6339" s="128">
        <v>3818</v>
      </c>
    </row>
    <row r="6340" spans="1:9" ht="13.5">
      <c r="A6340" s="128">
        <v>2009</v>
      </c>
      <c r="B6340" s="128" t="s">
        <v>137</v>
      </c>
      <c r="C6340" s="128" t="s">
        <v>25</v>
      </c>
      <c r="D6340" s="128" t="s">
        <v>76</v>
      </c>
      <c r="E6340" s="128" t="s">
        <v>136</v>
      </c>
      <c r="F6340" s="128">
        <v>454352.86</v>
      </c>
      <c r="G6340" s="128">
        <v>345058.86</v>
      </c>
      <c r="H6340" s="128">
        <v>109368.75</v>
      </c>
      <c r="I6340" s="128">
        <v>9446</v>
      </c>
    </row>
    <row r="6341" spans="1:9" ht="13.5">
      <c r="A6341" s="128">
        <v>2009</v>
      </c>
      <c r="B6341" s="128" t="s">
        <v>137</v>
      </c>
      <c r="C6341" s="128" t="s">
        <v>25</v>
      </c>
      <c r="D6341" s="128" t="s">
        <v>76</v>
      </c>
      <c r="E6341" s="128" t="s">
        <v>132</v>
      </c>
      <c r="F6341" s="128">
        <v>3386378.81</v>
      </c>
      <c r="G6341" s="128">
        <v>2177348.19</v>
      </c>
      <c r="H6341" s="128">
        <v>1209025.3799999999</v>
      </c>
      <c r="I6341" s="128">
        <v>42750</v>
      </c>
    </row>
    <row r="6342" spans="1:9" ht="13.5">
      <c r="A6342" s="128">
        <v>2009</v>
      </c>
      <c r="B6342" s="128" t="s">
        <v>137</v>
      </c>
      <c r="C6342" s="128" t="s">
        <v>25</v>
      </c>
      <c r="D6342" s="128" t="s">
        <v>76</v>
      </c>
      <c r="E6342" s="128" t="s">
        <v>133</v>
      </c>
      <c r="F6342" s="128">
        <v>5602450.5199999996</v>
      </c>
      <c r="G6342" s="128">
        <v>3051158.79</v>
      </c>
      <c r="H6342" s="128">
        <v>2551288.85</v>
      </c>
      <c r="I6342" s="128">
        <v>17847</v>
      </c>
    </row>
    <row r="6343" spans="1:9" ht="13.5">
      <c r="A6343" s="128">
        <v>2009</v>
      </c>
      <c r="B6343" s="128" t="s">
        <v>137</v>
      </c>
      <c r="C6343" s="128" t="s">
        <v>25</v>
      </c>
      <c r="D6343" s="128" t="s">
        <v>76</v>
      </c>
      <c r="E6343" s="128" t="s">
        <v>134</v>
      </c>
      <c r="F6343" s="128">
        <v>5406669.3700000001</v>
      </c>
      <c r="G6343" s="128">
        <v>2491587.52</v>
      </c>
      <c r="H6343" s="128">
        <v>2915079.93</v>
      </c>
      <c r="I6343" s="128">
        <v>33905</v>
      </c>
    </row>
    <row r="6344" spans="1:9" ht="13.5">
      <c r="A6344" s="128">
        <v>2009</v>
      </c>
      <c r="B6344" s="128" t="s">
        <v>137</v>
      </c>
      <c r="C6344" s="128" t="s">
        <v>25</v>
      </c>
      <c r="D6344" s="128" t="s">
        <v>76</v>
      </c>
      <c r="E6344" s="128" t="s">
        <v>135</v>
      </c>
      <c r="F6344" s="128">
        <v>481110.93</v>
      </c>
      <c r="G6344" s="128">
        <v>134309.20000000001</v>
      </c>
      <c r="H6344" s="128">
        <v>346801.73</v>
      </c>
      <c r="I6344" s="128">
        <v>379</v>
      </c>
    </row>
    <row r="6345" spans="1:9" ht="13.5">
      <c r="A6345" s="128">
        <v>2009</v>
      </c>
      <c r="B6345" s="128" t="s">
        <v>137</v>
      </c>
      <c r="C6345" s="128" t="s">
        <v>27</v>
      </c>
      <c r="D6345" s="128" t="s">
        <v>79</v>
      </c>
      <c r="E6345" s="128" t="s">
        <v>136</v>
      </c>
      <c r="F6345" s="128">
        <v>261324.79999999999</v>
      </c>
      <c r="G6345" s="128">
        <v>195456.94</v>
      </c>
      <c r="H6345" s="128">
        <v>65867.41</v>
      </c>
      <c r="I6345" s="128">
        <v>3106</v>
      </c>
    </row>
    <row r="6346" spans="1:9" ht="13.5">
      <c r="A6346" s="128">
        <v>2009</v>
      </c>
      <c r="B6346" s="128" t="s">
        <v>137</v>
      </c>
      <c r="C6346" s="128" t="s">
        <v>27</v>
      </c>
      <c r="D6346" s="128" t="s">
        <v>79</v>
      </c>
      <c r="E6346" s="128" t="s">
        <v>132</v>
      </c>
      <c r="F6346" s="128">
        <v>37564.42</v>
      </c>
      <c r="G6346" s="128">
        <v>24201.45</v>
      </c>
      <c r="H6346" s="128">
        <v>8504.83</v>
      </c>
      <c r="I6346" s="128">
        <v>143</v>
      </c>
    </row>
    <row r="6347" spans="1:9" ht="13.5">
      <c r="A6347" s="128">
        <v>2009</v>
      </c>
      <c r="B6347" s="128" t="s">
        <v>137</v>
      </c>
      <c r="C6347" s="128" t="s">
        <v>27</v>
      </c>
      <c r="D6347" s="128" t="s">
        <v>79</v>
      </c>
      <c r="E6347" s="128" t="s">
        <v>133</v>
      </c>
      <c r="F6347" s="128">
        <v>62673.55</v>
      </c>
      <c r="G6347" s="128">
        <v>33979.019999999997</v>
      </c>
      <c r="H6347" s="128">
        <v>11547.3</v>
      </c>
      <c r="I6347" s="128">
        <v>248</v>
      </c>
    </row>
    <row r="6348" spans="1:9" ht="13.5">
      <c r="A6348" s="128">
        <v>2009</v>
      </c>
      <c r="B6348" s="128" t="s">
        <v>137</v>
      </c>
      <c r="C6348" s="128" t="s">
        <v>27</v>
      </c>
      <c r="D6348" s="128" t="s">
        <v>79</v>
      </c>
      <c r="E6348" s="128" t="s">
        <v>134</v>
      </c>
      <c r="F6348" s="128">
        <v>164469.25</v>
      </c>
      <c r="G6348" s="128">
        <v>70128.39</v>
      </c>
      <c r="H6348" s="128">
        <v>33235.08</v>
      </c>
      <c r="I6348" s="128">
        <v>859</v>
      </c>
    </row>
    <row r="6349" spans="1:9" ht="13.5">
      <c r="A6349" s="128">
        <v>2009</v>
      </c>
      <c r="B6349" s="128" t="s">
        <v>137</v>
      </c>
      <c r="C6349" s="128" t="s">
        <v>27</v>
      </c>
      <c r="D6349" s="128" t="s">
        <v>79</v>
      </c>
      <c r="E6349" s="128" t="s">
        <v>135</v>
      </c>
      <c r="F6349" s="128">
        <v>787637.05</v>
      </c>
      <c r="G6349" s="128">
        <v>217010.88</v>
      </c>
      <c r="H6349" s="128">
        <v>71664</v>
      </c>
      <c r="I6349" s="128">
        <v>1940</v>
      </c>
    </row>
    <row r="6350" spans="1:9" ht="13.5">
      <c r="A6350" s="128">
        <v>2009</v>
      </c>
      <c r="B6350" s="128" t="s">
        <v>137</v>
      </c>
      <c r="C6350" s="128" t="s">
        <v>27</v>
      </c>
      <c r="D6350" s="128" t="s">
        <v>77</v>
      </c>
      <c r="E6350" s="128" t="s">
        <v>132</v>
      </c>
      <c r="F6350" s="128">
        <v>13745.42</v>
      </c>
      <c r="G6350" s="128">
        <v>9521.65</v>
      </c>
      <c r="H6350" s="128">
        <v>3459.03</v>
      </c>
      <c r="I6350" s="128">
        <v>62</v>
      </c>
    </row>
    <row r="6351" spans="1:9" ht="13.5">
      <c r="A6351" s="128">
        <v>2009</v>
      </c>
      <c r="B6351" s="128" t="s">
        <v>137</v>
      </c>
      <c r="C6351" s="128" t="s">
        <v>27</v>
      </c>
      <c r="D6351" s="128" t="s">
        <v>77</v>
      </c>
      <c r="E6351" s="128" t="s">
        <v>133</v>
      </c>
      <c r="F6351" s="128">
        <v>21622.7</v>
      </c>
      <c r="G6351" s="128">
        <v>11790.25</v>
      </c>
      <c r="H6351" s="128">
        <v>8056.32</v>
      </c>
      <c r="I6351" s="128">
        <v>96</v>
      </c>
    </row>
    <row r="6352" spans="1:9" ht="13.5">
      <c r="A6352" s="128">
        <v>2009</v>
      </c>
      <c r="B6352" s="128" t="s">
        <v>137</v>
      </c>
      <c r="C6352" s="128" t="s">
        <v>27</v>
      </c>
      <c r="D6352" s="128" t="s">
        <v>77</v>
      </c>
      <c r="E6352" s="128" t="s">
        <v>134</v>
      </c>
      <c r="F6352" s="128">
        <v>50526.71</v>
      </c>
      <c r="G6352" s="128">
        <v>21811.4</v>
      </c>
      <c r="H6352" s="128">
        <v>20281.79</v>
      </c>
      <c r="I6352" s="128">
        <v>118</v>
      </c>
    </row>
    <row r="6353" spans="1:9" ht="13.5">
      <c r="A6353" s="128">
        <v>2009</v>
      </c>
      <c r="B6353" s="128" t="s">
        <v>137</v>
      </c>
      <c r="C6353" s="128" t="s">
        <v>27</v>
      </c>
      <c r="D6353" s="128" t="s">
        <v>77</v>
      </c>
      <c r="E6353" s="128" t="s">
        <v>135</v>
      </c>
      <c r="F6353" s="128">
        <v>207571.96</v>
      </c>
      <c r="G6353" s="128">
        <v>52737.35</v>
      </c>
      <c r="H6353" s="128">
        <v>56037.75</v>
      </c>
      <c r="I6353" s="128">
        <v>555</v>
      </c>
    </row>
    <row r="6354" spans="1:9" ht="13.5">
      <c r="A6354" s="128">
        <v>2009</v>
      </c>
      <c r="B6354" s="128" t="s">
        <v>137</v>
      </c>
      <c r="C6354" s="128" t="s">
        <v>27</v>
      </c>
      <c r="D6354" s="128" t="s">
        <v>76</v>
      </c>
      <c r="E6354" s="128" t="s">
        <v>136</v>
      </c>
      <c r="F6354" s="128">
        <v>85805.04</v>
      </c>
      <c r="G6354" s="128">
        <v>64610.41</v>
      </c>
      <c r="H6354" s="128">
        <v>21192.23</v>
      </c>
      <c r="I6354" s="128">
        <v>812</v>
      </c>
    </row>
    <row r="6355" spans="1:9" ht="13.5">
      <c r="A6355" s="128">
        <v>2009</v>
      </c>
      <c r="B6355" s="128" t="s">
        <v>137</v>
      </c>
      <c r="C6355" s="128" t="s">
        <v>27</v>
      </c>
      <c r="D6355" s="128" t="s">
        <v>76</v>
      </c>
      <c r="E6355" s="128" t="s">
        <v>132</v>
      </c>
      <c r="F6355" s="128">
        <v>271635.71999999997</v>
      </c>
      <c r="G6355" s="128">
        <v>175143.65</v>
      </c>
      <c r="H6355" s="128">
        <v>96492.07</v>
      </c>
      <c r="I6355" s="128">
        <v>3078</v>
      </c>
    </row>
    <row r="6356" spans="1:9" ht="13.5">
      <c r="A6356" s="128">
        <v>2009</v>
      </c>
      <c r="B6356" s="128" t="s">
        <v>137</v>
      </c>
      <c r="C6356" s="128" t="s">
        <v>27</v>
      </c>
      <c r="D6356" s="128" t="s">
        <v>76</v>
      </c>
      <c r="E6356" s="128" t="s">
        <v>133</v>
      </c>
      <c r="F6356" s="128">
        <v>821526.22</v>
      </c>
      <c r="G6356" s="128">
        <v>444045.75</v>
      </c>
      <c r="H6356" s="128">
        <v>377473.98</v>
      </c>
      <c r="I6356" s="128">
        <v>2702</v>
      </c>
    </row>
    <row r="6357" spans="1:9" ht="13.5">
      <c r="A6357" s="128">
        <v>2009</v>
      </c>
      <c r="B6357" s="128" t="s">
        <v>137</v>
      </c>
      <c r="C6357" s="128" t="s">
        <v>27</v>
      </c>
      <c r="D6357" s="128" t="s">
        <v>76</v>
      </c>
      <c r="E6357" s="128" t="s">
        <v>134</v>
      </c>
      <c r="F6357" s="128">
        <v>904029.79</v>
      </c>
      <c r="G6357" s="128">
        <v>414047.65</v>
      </c>
      <c r="H6357" s="128">
        <v>489978.27</v>
      </c>
      <c r="I6357" s="128">
        <v>4980</v>
      </c>
    </row>
    <row r="6358" spans="1:9" ht="13.5">
      <c r="A6358" s="128">
        <v>2009</v>
      </c>
      <c r="B6358" s="128" t="s">
        <v>137</v>
      </c>
      <c r="C6358" s="128" t="s">
        <v>27</v>
      </c>
      <c r="D6358" s="128" t="s">
        <v>76</v>
      </c>
      <c r="E6358" s="128" t="s">
        <v>135</v>
      </c>
      <c r="F6358" s="128">
        <v>101502.55</v>
      </c>
      <c r="G6358" s="128">
        <v>28869.75</v>
      </c>
      <c r="H6358" s="128">
        <v>72632.95</v>
      </c>
      <c r="I6358" s="128">
        <v>137</v>
      </c>
    </row>
    <row r="6359" spans="1:9" ht="13.5">
      <c r="A6359" s="128">
        <v>2010</v>
      </c>
      <c r="B6359" s="128" t="s">
        <v>131</v>
      </c>
      <c r="C6359" s="128" t="s">
        <v>20</v>
      </c>
      <c r="D6359" s="128" t="s">
        <v>79</v>
      </c>
      <c r="E6359" s="128" t="s">
        <v>136</v>
      </c>
      <c r="F6359" s="128">
        <v>33048853.550000001</v>
      </c>
      <c r="G6359" s="128">
        <v>24847603.609999999</v>
      </c>
      <c r="H6359" s="128">
        <v>8200921.5700000003</v>
      </c>
      <c r="I6359" s="128">
        <v>525978</v>
      </c>
    </row>
    <row r="6360" spans="1:9" ht="13.5">
      <c r="A6360" s="128">
        <v>2010</v>
      </c>
      <c r="B6360" s="128" t="s">
        <v>131</v>
      </c>
      <c r="C6360" s="128" t="s">
        <v>20</v>
      </c>
      <c r="D6360" s="128" t="s">
        <v>79</v>
      </c>
      <c r="E6360" s="128" t="s">
        <v>132</v>
      </c>
      <c r="F6360" s="128">
        <v>2669074.56</v>
      </c>
      <c r="G6360" s="128">
        <v>1785700.31</v>
      </c>
      <c r="H6360" s="128">
        <v>594616.57999999996</v>
      </c>
      <c r="I6360" s="128">
        <v>15134</v>
      </c>
    </row>
    <row r="6361" spans="1:9" ht="13.5">
      <c r="A6361" s="128">
        <v>2010</v>
      </c>
      <c r="B6361" s="128" t="s">
        <v>131</v>
      </c>
      <c r="C6361" s="128" t="s">
        <v>20</v>
      </c>
      <c r="D6361" s="128" t="s">
        <v>79</v>
      </c>
      <c r="E6361" s="128" t="s">
        <v>133</v>
      </c>
      <c r="F6361" s="128">
        <v>3141858.6</v>
      </c>
      <c r="G6361" s="128">
        <v>1693811.11</v>
      </c>
      <c r="H6361" s="128">
        <v>573043.59</v>
      </c>
      <c r="I6361" s="128">
        <v>13495</v>
      </c>
    </row>
    <row r="6362" spans="1:9" ht="13.5">
      <c r="A6362" s="128">
        <v>2010</v>
      </c>
      <c r="B6362" s="128" t="s">
        <v>131</v>
      </c>
      <c r="C6362" s="128" t="s">
        <v>20</v>
      </c>
      <c r="D6362" s="128" t="s">
        <v>79</v>
      </c>
      <c r="E6362" s="128" t="s">
        <v>134</v>
      </c>
      <c r="F6362" s="128">
        <v>14638970.51</v>
      </c>
      <c r="G6362" s="128">
        <v>6196669.6100000003</v>
      </c>
      <c r="H6362" s="128">
        <v>2082983.44</v>
      </c>
      <c r="I6362" s="128">
        <v>73404</v>
      </c>
    </row>
    <row r="6363" spans="1:9" ht="13.5">
      <c r="A6363" s="128">
        <v>2010</v>
      </c>
      <c r="B6363" s="128" t="s">
        <v>131</v>
      </c>
      <c r="C6363" s="128" t="s">
        <v>20</v>
      </c>
      <c r="D6363" s="128" t="s">
        <v>79</v>
      </c>
      <c r="E6363" s="128" t="s">
        <v>135</v>
      </c>
      <c r="F6363" s="128">
        <v>92009506.730000004</v>
      </c>
      <c r="G6363" s="128">
        <v>22468550.539999999</v>
      </c>
      <c r="H6363" s="128">
        <v>7514483.7400000002</v>
      </c>
      <c r="I6363" s="128">
        <v>152398</v>
      </c>
    </row>
    <row r="6364" spans="1:9" ht="13.5">
      <c r="A6364" s="128">
        <v>2010</v>
      </c>
      <c r="B6364" s="128" t="s">
        <v>131</v>
      </c>
      <c r="C6364" s="128" t="s">
        <v>20</v>
      </c>
      <c r="D6364" s="128" t="s">
        <v>77</v>
      </c>
      <c r="E6364" s="128" t="s">
        <v>132</v>
      </c>
      <c r="F6364" s="128">
        <v>1845463.73</v>
      </c>
      <c r="G6364" s="128">
        <v>1195567.74</v>
      </c>
      <c r="H6364" s="128">
        <v>509084.36</v>
      </c>
      <c r="I6364" s="128">
        <v>12361</v>
      </c>
    </row>
    <row r="6365" spans="1:9" ht="13.5">
      <c r="A6365" s="128">
        <v>2010</v>
      </c>
      <c r="B6365" s="128" t="s">
        <v>131</v>
      </c>
      <c r="C6365" s="128" t="s">
        <v>20</v>
      </c>
      <c r="D6365" s="128" t="s">
        <v>77</v>
      </c>
      <c r="E6365" s="128" t="s">
        <v>133</v>
      </c>
      <c r="F6365" s="128">
        <v>3609072.72</v>
      </c>
      <c r="G6365" s="128">
        <v>1947016.02</v>
      </c>
      <c r="H6365" s="128">
        <v>1237835.6299999999</v>
      </c>
      <c r="I6365" s="128">
        <v>12637</v>
      </c>
    </row>
    <row r="6366" spans="1:9" ht="13.5">
      <c r="A6366" s="128">
        <v>2010</v>
      </c>
      <c r="B6366" s="128" t="s">
        <v>131</v>
      </c>
      <c r="C6366" s="128" t="s">
        <v>20</v>
      </c>
      <c r="D6366" s="128" t="s">
        <v>77</v>
      </c>
      <c r="E6366" s="128" t="s">
        <v>134</v>
      </c>
      <c r="F6366" s="128">
        <v>5607429.8099999996</v>
      </c>
      <c r="G6366" s="128">
        <v>2462554.17</v>
      </c>
      <c r="H6366" s="128">
        <v>2268978.73</v>
      </c>
      <c r="I6366" s="128">
        <v>17691</v>
      </c>
    </row>
    <row r="6367" spans="1:9" ht="13.5">
      <c r="A6367" s="128">
        <v>2010</v>
      </c>
      <c r="B6367" s="128" t="s">
        <v>131</v>
      </c>
      <c r="C6367" s="128" t="s">
        <v>20</v>
      </c>
      <c r="D6367" s="128" t="s">
        <v>77</v>
      </c>
      <c r="E6367" s="128" t="s">
        <v>135</v>
      </c>
      <c r="F6367" s="128">
        <v>6876952.0199999996</v>
      </c>
      <c r="G6367" s="128">
        <v>1811592.68</v>
      </c>
      <c r="H6367" s="128">
        <v>1805316.3</v>
      </c>
      <c r="I6367" s="128">
        <v>17382</v>
      </c>
    </row>
    <row r="6368" spans="1:9" ht="13.5">
      <c r="A6368" s="128">
        <v>2010</v>
      </c>
      <c r="B6368" s="128" t="s">
        <v>131</v>
      </c>
      <c r="C6368" s="128" t="s">
        <v>20</v>
      </c>
      <c r="D6368" s="128" t="s">
        <v>76</v>
      </c>
      <c r="E6368" s="128" t="s">
        <v>136</v>
      </c>
      <c r="F6368" s="128">
        <v>9746474.6899999995</v>
      </c>
      <c r="G6368" s="128">
        <v>7330252.5800000001</v>
      </c>
      <c r="H6368" s="128">
        <v>2416703.19</v>
      </c>
      <c r="I6368" s="128">
        <v>284531</v>
      </c>
    </row>
    <row r="6369" spans="1:9" ht="13.5">
      <c r="A6369" s="128">
        <v>2010</v>
      </c>
      <c r="B6369" s="128" t="s">
        <v>131</v>
      </c>
      <c r="C6369" s="128" t="s">
        <v>20</v>
      </c>
      <c r="D6369" s="128" t="s">
        <v>76</v>
      </c>
      <c r="E6369" s="128" t="s">
        <v>132</v>
      </c>
      <c r="F6369" s="128">
        <v>34589005.700000003</v>
      </c>
      <c r="G6369" s="128">
        <v>22239247.870000001</v>
      </c>
      <c r="H6369" s="128">
        <v>12349335.199999999</v>
      </c>
      <c r="I6369" s="128">
        <v>355616</v>
      </c>
    </row>
    <row r="6370" spans="1:9" ht="13.5">
      <c r="A6370" s="128">
        <v>2010</v>
      </c>
      <c r="B6370" s="128" t="s">
        <v>131</v>
      </c>
      <c r="C6370" s="128" t="s">
        <v>20</v>
      </c>
      <c r="D6370" s="128" t="s">
        <v>76</v>
      </c>
      <c r="E6370" s="128" t="s">
        <v>133</v>
      </c>
      <c r="F6370" s="128">
        <v>75988837.609999999</v>
      </c>
      <c r="G6370" s="128">
        <v>41921552.759999998</v>
      </c>
      <c r="H6370" s="128">
        <v>34067009.409999996</v>
      </c>
      <c r="I6370" s="128">
        <v>422083</v>
      </c>
    </row>
    <row r="6371" spans="1:9" ht="13.5">
      <c r="A6371" s="128">
        <v>2010</v>
      </c>
      <c r="B6371" s="128" t="s">
        <v>131</v>
      </c>
      <c r="C6371" s="128" t="s">
        <v>20</v>
      </c>
      <c r="D6371" s="128" t="s">
        <v>76</v>
      </c>
      <c r="E6371" s="128" t="s">
        <v>134</v>
      </c>
      <c r="F6371" s="128">
        <v>67003074.340000004</v>
      </c>
      <c r="G6371" s="128">
        <v>30696730.289999999</v>
      </c>
      <c r="H6371" s="128">
        <v>36305992.869999997</v>
      </c>
      <c r="I6371" s="128">
        <v>414729</v>
      </c>
    </row>
    <row r="6372" spans="1:9" ht="13.5">
      <c r="A6372" s="128">
        <v>2010</v>
      </c>
      <c r="B6372" s="128" t="s">
        <v>131</v>
      </c>
      <c r="C6372" s="128" t="s">
        <v>20</v>
      </c>
      <c r="D6372" s="128" t="s">
        <v>76</v>
      </c>
      <c r="E6372" s="128" t="s">
        <v>135</v>
      </c>
      <c r="F6372" s="128">
        <v>9652545.9000000004</v>
      </c>
      <c r="G6372" s="128">
        <v>2996186.95</v>
      </c>
      <c r="H6372" s="128">
        <v>6656356.7400000002</v>
      </c>
      <c r="I6372" s="128">
        <v>37381</v>
      </c>
    </row>
    <row r="6373" spans="1:9" ht="13.5">
      <c r="A6373" s="128">
        <v>2010</v>
      </c>
      <c r="B6373" s="128" t="s">
        <v>131</v>
      </c>
      <c r="C6373" s="128" t="s">
        <v>21</v>
      </c>
      <c r="D6373" s="128" t="s">
        <v>79</v>
      </c>
      <c r="E6373" s="128" t="s">
        <v>136</v>
      </c>
      <c r="F6373" s="128">
        <v>11496618.49</v>
      </c>
      <c r="G6373" s="128">
        <v>8642462.9700000007</v>
      </c>
      <c r="H6373" s="128">
        <v>2853821.39</v>
      </c>
      <c r="I6373" s="128">
        <v>98599</v>
      </c>
    </row>
    <row r="6374" spans="1:9" ht="13.5">
      <c r="A6374" s="128">
        <v>2010</v>
      </c>
      <c r="B6374" s="128" t="s">
        <v>131</v>
      </c>
      <c r="C6374" s="128" t="s">
        <v>21</v>
      </c>
      <c r="D6374" s="128" t="s">
        <v>79</v>
      </c>
      <c r="E6374" s="128" t="s">
        <v>132</v>
      </c>
      <c r="F6374" s="128">
        <v>1437636.32</v>
      </c>
      <c r="G6374" s="128">
        <v>957441.98</v>
      </c>
      <c r="H6374" s="128">
        <v>319902.03999999998</v>
      </c>
      <c r="I6374" s="128">
        <v>8771</v>
      </c>
    </row>
    <row r="6375" spans="1:9" ht="13.5">
      <c r="A6375" s="128">
        <v>2010</v>
      </c>
      <c r="B6375" s="128" t="s">
        <v>131</v>
      </c>
      <c r="C6375" s="128" t="s">
        <v>21</v>
      </c>
      <c r="D6375" s="128" t="s">
        <v>79</v>
      </c>
      <c r="E6375" s="128" t="s">
        <v>133</v>
      </c>
      <c r="F6375" s="128">
        <v>1941183.89</v>
      </c>
      <c r="G6375" s="128">
        <v>1056585.5900000001</v>
      </c>
      <c r="H6375" s="128">
        <v>354156.12</v>
      </c>
      <c r="I6375" s="128">
        <v>15102</v>
      </c>
    </row>
    <row r="6376" spans="1:9" ht="13.5">
      <c r="A6376" s="128">
        <v>2010</v>
      </c>
      <c r="B6376" s="128" t="s">
        <v>131</v>
      </c>
      <c r="C6376" s="128" t="s">
        <v>21</v>
      </c>
      <c r="D6376" s="128" t="s">
        <v>79</v>
      </c>
      <c r="E6376" s="128" t="s">
        <v>134</v>
      </c>
      <c r="F6376" s="128">
        <v>4875196.8</v>
      </c>
      <c r="G6376" s="128">
        <v>2087115.05</v>
      </c>
      <c r="H6376" s="128">
        <v>701912.73</v>
      </c>
      <c r="I6376" s="128">
        <v>22323</v>
      </c>
    </row>
    <row r="6377" spans="1:9" ht="13.5">
      <c r="A6377" s="128">
        <v>2010</v>
      </c>
      <c r="B6377" s="128" t="s">
        <v>131</v>
      </c>
      <c r="C6377" s="128" t="s">
        <v>21</v>
      </c>
      <c r="D6377" s="128" t="s">
        <v>79</v>
      </c>
      <c r="E6377" s="128" t="s">
        <v>135</v>
      </c>
      <c r="F6377" s="128">
        <v>21900490.559999999</v>
      </c>
      <c r="G6377" s="128">
        <v>5597832.5599999996</v>
      </c>
      <c r="H6377" s="128">
        <v>1873003.54</v>
      </c>
      <c r="I6377" s="128">
        <v>47796</v>
      </c>
    </row>
    <row r="6378" spans="1:9" ht="13.5">
      <c r="A6378" s="128">
        <v>2010</v>
      </c>
      <c r="B6378" s="128" t="s">
        <v>131</v>
      </c>
      <c r="C6378" s="128" t="s">
        <v>21</v>
      </c>
      <c r="D6378" s="128" t="s">
        <v>77</v>
      </c>
      <c r="E6378" s="128" t="s">
        <v>132</v>
      </c>
      <c r="F6378" s="128">
        <v>2014632.95</v>
      </c>
      <c r="G6378" s="128">
        <v>1326474.33</v>
      </c>
      <c r="H6378" s="128">
        <v>563830.84</v>
      </c>
      <c r="I6378" s="128">
        <v>10646</v>
      </c>
    </row>
    <row r="6379" spans="1:9" ht="13.5">
      <c r="A6379" s="128">
        <v>2010</v>
      </c>
      <c r="B6379" s="128" t="s">
        <v>131</v>
      </c>
      <c r="C6379" s="128" t="s">
        <v>21</v>
      </c>
      <c r="D6379" s="128" t="s">
        <v>77</v>
      </c>
      <c r="E6379" s="128" t="s">
        <v>133</v>
      </c>
      <c r="F6379" s="128">
        <v>4927931.97</v>
      </c>
      <c r="G6379" s="128">
        <v>2701103.83</v>
      </c>
      <c r="H6379" s="128">
        <v>1775102.76</v>
      </c>
      <c r="I6379" s="128">
        <v>19204</v>
      </c>
    </row>
    <row r="6380" spans="1:9" ht="13.5">
      <c r="A6380" s="128">
        <v>2010</v>
      </c>
      <c r="B6380" s="128" t="s">
        <v>131</v>
      </c>
      <c r="C6380" s="128" t="s">
        <v>21</v>
      </c>
      <c r="D6380" s="128" t="s">
        <v>77</v>
      </c>
      <c r="E6380" s="128" t="s">
        <v>134</v>
      </c>
      <c r="F6380" s="128">
        <v>7263684.4299999997</v>
      </c>
      <c r="G6380" s="128">
        <v>3178000.2</v>
      </c>
      <c r="H6380" s="128">
        <v>2820166.83</v>
      </c>
      <c r="I6380" s="128">
        <v>19730</v>
      </c>
    </row>
    <row r="6381" spans="1:9" ht="13.5">
      <c r="A6381" s="128">
        <v>2010</v>
      </c>
      <c r="B6381" s="128" t="s">
        <v>131</v>
      </c>
      <c r="C6381" s="128" t="s">
        <v>21</v>
      </c>
      <c r="D6381" s="128" t="s">
        <v>77</v>
      </c>
      <c r="E6381" s="128" t="s">
        <v>135</v>
      </c>
      <c r="F6381" s="128">
        <v>10639099.029999999</v>
      </c>
      <c r="G6381" s="128">
        <v>2875796.74</v>
      </c>
      <c r="H6381" s="128">
        <v>2949379.71</v>
      </c>
      <c r="I6381" s="128">
        <v>26657</v>
      </c>
    </row>
    <row r="6382" spans="1:9" ht="13.5">
      <c r="A6382" s="128">
        <v>2010</v>
      </c>
      <c r="B6382" s="128" t="s">
        <v>131</v>
      </c>
      <c r="C6382" s="128" t="s">
        <v>21</v>
      </c>
      <c r="D6382" s="128" t="s">
        <v>76</v>
      </c>
      <c r="E6382" s="128" t="s">
        <v>136</v>
      </c>
      <c r="F6382" s="128">
        <v>10408449.99</v>
      </c>
      <c r="G6382" s="128">
        <v>7833752.8899999997</v>
      </c>
      <c r="H6382" s="128">
        <v>2574744.77</v>
      </c>
      <c r="I6382" s="128">
        <v>210250</v>
      </c>
    </row>
    <row r="6383" spans="1:9" ht="13.5">
      <c r="A6383" s="128">
        <v>2010</v>
      </c>
      <c r="B6383" s="128" t="s">
        <v>131</v>
      </c>
      <c r="C6383" s="128" t="s">
        <v>21</v>
      </c>
      <c r="D6383" s="128" t="s">
        <v>76</v>
      </c>
      <c r="E6383" s="128" t="s">
        <v>132</v>
      </c>
      <c r="F6383" s="128">
        <v>33727480.82</v>
      </c>
      <c r="G6383" s="128">
        <v>21614732.23</v>
      </c>
      <c r="H6383" s="128">
        <v>12112544.970000001</v>
      </c>
      <c r="I6383" s="128">
        <v>323834</v>
      </c>
    </row>
    <row r="6384" spans="1:9" ht="13.5">
      <c r="A6384" s="128">
        <v>2010</v>
      </c>
      <c r="B6384" s="128" t="s">
        <v>131</v>
      </c>
      <c r="C6384" s="128" t="s">
        <v>21</v>
      </c>
      <c r="D6384" s="128" t="s">
        <v>76</v>
      </c>
      <c r="E6384" s="128" t="s">
        <v>133</v>
      </c>
      <c r="F6384" s="128">
        <v>74835396.609999999</v>
      </c>
      <c r="G6384" s="128">
        <v>41507061.009999998</v>
      </c>
      <c r="H6384" s="128">
        <v>33328206.140000001</v>
      </c>
      <c r="I6384" s="128">
        <v>567363</v>
      </c>
    </row>
    <row r="6385" spans="1:9" ht="13.5">
      <c r="A6385" s="128">
        <v>2010</v>
      </c>
      <c r="B6385" s="128" t="s">
        <v>131</v>
      </c>
      <c r="C6385" s="128" t="s">
        <v>21</v>
      </c>
      <c r="D6385" s="128" t="s">
        <v>76</v>
      </c>
      <c r="E6385" s="128" t="s">
        <v>134</v>
      </c>
      <c r="F6385" s="128">
        <v>73521293.390000001</v>
      </c>
      <c r="G6385" s="128">
        <v>33394681.989999998</v>
      </c>
      <c r="H6385" s="128">
        <v>40126533.530000001</v>
      </c>
      <c r="I6385" s="128">
        <v>395597</v>
      </c>
    </row>
    <row r="6386" spans="1:9" ht="13.5">
      <c r="A6386" s="128">
        <v>2010</v>
      </c>
      <c r="B6386" s="128" t="s">
        <v>131</v>
      </c>
      <c r="C6386" s="128" t="s">
        <v>21</v>
      </c>
      <c r="D6386" s="128" t="s">
        <v>76</v>
      </c>
      <c r="E6386" s="128" t="s">
        <v>135</v>
      </c>
      <c r="F6386" s="128">
        <v>4524731.7300000004</v>
      </c>
      <c r="G6386" s="128">
        <v>1280764.08</v>
      </c>
      <c r="H6386" s="128">
        <v>3243967.55</v>
      </c>
      <c r="I6386" s="128">
        <v>9490</v>
      </c>
    </row>
    <row r="6387" spans="1:9" ht="13.5">
      <c r="A6387" s="128">
        <v>2010</v>
      </c>
      <c r="B6387" s="128" t="s">
        <v>131</v>
      </c>
      <c r="C6387" s="128" t="s">
        <v>22</v>
      </c>
      <c r="D6387" s="128" t="s">
        <v>79</v>
      </c>
      <c r="E6387" s="128" t="s">
        <v>136</v>
      </c>
      <c r="F6387" s="128">
        <v>10149970.57</v>
      </c>
      <c r="G6387" s="128">
        <v>7624023.7300000004</v>
      </c>
      <c r="H6387" s="128">
        <v>2523183.5</v>
      </c>
      <c r="I6387" s="128">
        <v>97038</v>
      </c>
    </row>
    <row r="6388" spans="1:9" ht="13.5">
      <c r="A6388" s="128">
        <v>2010</v>
      </c>
      <c r="B6388" s="128" t="s">
        <v>131</v>
      </c>
      <c r="C6388" s="128" t="s">
        <v>22</v>
      </c>
      <c r="D6388" s="128" t="s">
        <v>79</v>
      </c>
      <c r="E6388" s="128" t="s">
        <v>132</v>
      </c>
      <c r="F6388" s="128">
        <v>1768966.78</v>
      </c>
      <c r="G6388" s="128">
        <v>1174365.1200000001</v>
      </c>
      <c r="H6388" s="128">
        <v>390808.35</v>
      </c>
      <c r="I6388" s="128">
        <v>11378</v>
      </c>
    </row>
    <row r="6389" spans="1:9" ht="13.5">
      <c r="A6389" s="128">
        <v>2010</v>
      </c>
      <c r="B6389" s="128" t="s">
        <v>131</v>
      </c>
      <c r="C6389" s="128" t="s">
        <v>22</v>
      </c>
      <c r="D6389" s="128" t="s">
        <v>79</v>
      </c>
      <c r="E6389" s="128" t="s">
        <v>133</v>
      </c>
      <c r="F6389" s="128">
        <v>3242114.53</v>
      </c>
      <c r="G6389" s="128">
        <v>1760343.38</v>
      </c>
      <c r="H6389" s="128">
        <v>603936.98</v>
      </c>
      <c r="I6389" s="128">
        <v>15125</v>
      </c>
    </row>
    <row r="6390" spans="1:9" ht="13.5">
      <c r="A6390" s="128">
        <v>2010</v>
      </c>
      <c r="B6390" s="128" t="s">
        <v>131</v>
      </c>
      <c r="C6390" s="128" t="s">
        <v>22</v>
      </c>
      <c r="D6390" s="128" t="s">
        <v>79</v>
      </c>
      <c r="E6390" s="128" t="s">
        <v>134</v>
      </c>
      <c r="F6390" s="128">
        <v>9592665.0099999998</v>
      </c>
      <c r="G6390" s="128">
        <v>4056099.51</v>
      </c>
      <c r="H6390" s="128">
        <v>1353405.13</v>
      </c>
      <c r="I6390" s="128">
        <v>29736</v>
      </c>
    </row>
    <row r="6391" spans="1:9" ht="13.5">
      <c r="A6391" s="128">
        <v>2010</v>
      </c>
      <c r="B6391" s="128" t="s">
        <v>131</v>
      </c>
      <c r="C6391" s="128" t="s">
        <v>22</v>
      </c>
      <c r="D6391" s="128" t="s">
        <v>79</v>
      </c>
      <c r="E6391" s="128" t="s">
        <v>135</v>
      </c>
      <c r="F6391" s="128">
        <v>42847781.18</v>
      </c>
      <c r="G6391" s="128">
        <v>11491660.98</v>
      </c>
      <c r="H6391" s="128">
        <v>3830583.81</v>
      </c>
      <c r="I6391" s="128">
        <v>81606</v>
      </c>
    </row>
    <row r="6392" spans="1:9" ht="13.5">
      <c r="A6392" s="128">
        <v>2010</v>
      </c>
      <c r="B6392" s="128" t="s">
        <v>131</v>
      </c>
      <c r="C6392" s="128" t="s">
        <v>22</v>
      </c>
      <c r="D6392" s="128" t="s">
        <v>77</v>
      </c>
      <c r="E6392" s="128" t="s">
        <v>132</v>
      </c>
      <c r="F6392" s="128">
        <v>1444251.15</v>
      </c>
      <c r="G6392" s="128">
        <v>915593.42</v>
      </c>
      <c r="H6392" s="128">
        <v>389865.32</v>
      </c>
      <c r="I6392" s="128">
        <v>10037</v>
      </c>
    </row>
    <row r="6393" spans="1:9" ht="13.5">
      <c r="A6393" s="128">
        <v>2010</v>
      </c>
      <c r="B6393" s="128" t="s">
        <v>131</v>
      </c>
      <c r="C6393" s="128" t="s">
        <v>22</v>
      </c>
      <c r="D6393" s="128" t="s">
        <v>77</v>
      </c>
      <c r="E6393" s="128" t="s">
        <v>133</v>
      </c>
      <c r="F6393" s="128">
        <v>4271031.42</v>
      </c>
      <c r="G6393" s="128">
        <v>2319927.35</v>
      </c>
      <c r="H6393" s="128">
        <v>1479987.84</v>
      </c>
      <c r="I6393" s="128">
        <v>21607</v>
      </c>
    </row>
    <row r="6394" spans="1:9" ht="13.5">
      <c r="A6394" s="128">
        <v>2010</v>
      </c>
      <c r="B6394" s="128" t="s">
        <v>131</v>
      </c>
      <c r="C6394" s="128" t="s">
        <v>22</v>
      </c>
      <c r="D6394" s="128" t="s">
        <v>77</v>
      </c>
      <c r="E6394" s="128" t="s">
        <v>134</v>
      </c>
      <c r="F6394" s="128">
        <v>5138107.7</v>
      </c>
      <c r="G6394" s="128">
        <v>2233436.4700000002</v>
      </c>
      <c r="H6394" s="128">
        <v>2031573.32</v>
      </c>
      <c r="I6394" s="128">
        <v>12646</v>
      </c>
    </row>
    <row r="6395" spans="1:9" ht="13.5">
      <c r="A6395" s="128">
        <v>2010</v>
      </c>
      <c r="B6395" s="128" t="s">
        <v>131</v>
      </c>
      <c r="C6395" s="128" t="s">
        <v>22</v>
      </c>
      <c r="D6395" s="128" t="s">
        <v>77</v>
      </c>
      <c r="E6395" s="128" t="s">
        <v>135</v>
      </c>
      <c r="F6395" s="128">
        <v>8742193.3300000001</v>
      </c>
      <c r="G6395" s="128">
        <v>2374846.29</v>
      </c>
      <c r="H6395" s="128">
        <v>2500509.39</v>
      </c>
      <c r="I6395" s="128">
        <v>21334</v>
      </c>
    </row>
    <row r="6396" spans="1:9" ht="13.5">
      <c r="A6396" s="128">
        <v>2010</v>
      </c>
      <c r="B6396" s="128" t="s">
        <v>131</v>
      </c>
      <c r="C6396" s="128" t="s">
        <v>22</v>
      </c>
      <c r="D6396" s="128" t="s">
        <v>76</v>
      </c>
      <c r="E6396" s="128" t="s">
        <v>136</v>
      </c>
      <c r="F6396" s="128">
        <v>4014540.22</v>
      </c>
      <c r="G6396" s="128">
        <v>3026417.2</v>
      </c>
      <c r="H6396" s="128">
        <v>988170.6</v>
      </c>
      <c r="I6396" s="128">
        <v>68402</v>
      </c>
    </row>
    <row r="6397" spans="1:9" ht="13.5">
      <c r="A6397" s="128">
        <v>2010</v>
      </c>
      <c r="B6397" s="128" t="s">
        <v>131</v>
      </c>
      <c r="C6397" s="128" t="s">
        <v>22</v>
      </c>
      <c r="D6397" s="128" t="s">
        <v>76</v>
      </c>
      <c r="E6397" s="128" t="s">
        <v>132</v>
      </c>
      <c r="F6397" s="128">
        <v>31421826.190000001</v>
      </c>
      <c r="G6397" s="128">
        <v>20146703.609999999</v>
      </c>
      <c r="H6397" s="128">
        <v>11274830.59</v>
      </c>
      <c r="I6397" s="128">
        <v>331141</v>
      </c>
    </row>
    <row r="6398" spans="1:9" ht="13.5">
      <c r="A6398" s="128">
        <v>2010</v>
      </c>
      <c r="B6398" s="128" t="s">
        <v>131</v>
      </c>
      <c r="C6398" s="128" t="s">
        <v>22</v>
      </c>
      <c r="D6398" s="128" t="s">
        <v>76</v>
      </c>
      <c r="E6398" s="128" t="s">
        <v>133</v>
      </c>
      <c r="F6398" s="128">
        <v>65110945.649999999</v>
      </c>
      <c r="G6398" s="128">
        <v>36263662.859999999</v>
      </c>
      <c r="H6398" s="128">
        <v>28847106.309999999</v>
      </c>
      <c r="I6398" s="128">
        <v>583032</v>
      </c>
    </row>
    <row r="6399" spans="1:9" ht="13.5">
      <c r="A6399" s="128">
        <v>2010</v>
      </c>
      <c r="B6399" s="128" t="s">
        <v>131</v>
      </c>
      <c r="C6399" s="128" t="s">
        <v>22</v>
      </c>
      <c r="D6399" s="128" t="s">
        <v>76</v>
      </c>
      <c r="E6399" s="128" t="s">
        <v>134</v>
      </c>
      <c r="F6399" s="128">
        <v>44088034.450000003</v>
      </c>
      <c r="G6399" s="128">
        <v>20416350.82</v>
      </c>
      <c r="H6399" s="128">
        <v>23671743.489999998</v>
      </c>
      <c r="I6399" s="128">
        <v>282996</v>
      </c>
    </row>
    <row r="6400" spans="1:9" ht="13.5">
      <c r="A6400" s="128">
        <v>2010</v>
      </c>
      <c r="B6400" s="128" t="s">
        <v>131</v>
      </c>
      <c r="C6400" s="128" t="s">
        <v>22</v>
      </c>
      <c r="D6400" s="128" t="s">
        <v>76</v>
      </c>
      <c r="E6400" s="128" t="s">
        <v>135</v>
      </c>
      <c r="F6400" s="128">
        <v>6284481.8799999999</v>
      </c>
      <c r="G6400" s="128">
        <v>1829805.38</v>
      </c>
      <c r="H6400" s="128">
        <v>4454675.79</v>
      </c>
      <c r="I6400" s="128">
        <v>10282</v>
      </c>
    </row>
    <row r="6401" spans="1:9" ht="13.5">
      <c r="A6401" s="128">
        <v>2010</v>
      </c>
      <c r="B6401" s="128" t="s">
        <v>131</v>
      </c>
      <c r="C6401" s="128" t="s">
        <v>23</v>
      </c>
      <c r="D6401" s="128" t="s">
        <v>79</v>
      </c>
      <c r="E6401" s="128" t="s">
        <v>136</v>
      </c>
      <c r="F6401" s="128">
        <v>3447225.43</v>
      </c>
      <c r="G6401" s="128">
        <v>2587785.33</v>
      </c>
      <c r="H6401" s="128">
        <v>859285.84</v>
      </c>
      <c r="I6401" s="128">
        <v>49839</v>
      </c>
    </row>
    <row r="6402" spans="1:9" ht="13.5">
      <c r="A6402" s="128">
        <v>2010</v>
      </c>
      <c r="B6402" s="128" t="s">
        <v>131</v>
      </c>
      <c r="C6402" s="128" t="s">
        <v>23</v>
      </c>
      <c r="D6402" s="128" t="s">
        <v>79</v>
      </c>
      <c r="E6402" s="128" t="s">
        <v>132</v>
      </c>
      <c r="F6402" s="128">
        <v>304779.59999999998</v>
      </c>
      <c r="G6402" s="128">
        <v>202105.2</v>
      </c>
      <c r="H6402" s="128">
        <v>69608.61</v>
      </c>
      <c r="I6402" s="128">
        <v>2761</v>
      </c>
    </row>
    <row r="6403" spans="1:9" ht="13.5">
      <c r="A6403" s="128">
        <v>2010</v>
      </c>
      <c r="B6403" s="128" t="s">
        <v>131</v>
      </c>
      <c r="C6403" s="128" t="s">
        <v>23</v>
      </c>
      <c r="D6403" s="128" t="s">
        <v>79</v>
      </c>
      <c r="E6403" s="128" t="s">
        <v>133</v>
      </c>
      <c r="F6403" s="128">
        <v>690793.75</v>
      </c>
      <c r="G6403" s="128">
        <v>368854.65</v>
      </c>
      <c r="H6403" s="128">
        <v>131263.31</v>
      </c>
      <c r="I6403" s="128">
        <v>3430</v>
      </c>
    </row>
    <row r="6404" spans="1:9" ht="13.5">
      <c r="A6404" s="128">
        <v>2010</v>
      </c>
      <c r="B6404" s="128" t="s">
        <v>131</v>
      </c>
      <c r="C6404" s="128" t="s">
        <v>23</v>
      </c>
      <c r="D6404" s="128" t="s">
        <v>79</v>
      </c>
      <c r="E6404" s="128" t="s">
        <v>134</v>
      </c>
      <c r="F6404" s="128">
        <v>698651.48</v>
      </c>
      <c r="G6404" s="128">
        <v>302796.15999999997</v>
      </c>
      <c r="H6404" s="128">
        <v>109454.89</v>
      </c>
      <c r="I6404" s="128">
        <v>2768</v>
      </c>
    </row>
    <row r="6405" spans="1:9" ht="13.5">
      <c r="A6405" s="128">
        <v>2010</v>
      </c>
      <c r="B6405" s="128" t="s">
        <v>131</v>
      </c>
      <c r="C6405" s="128" t="s">
        <v>23</v>
      </c>
      <c r="D6405" s="128" t="s">
        <v>79</v>
      </c>
      <c r="E6405" s="128" t="s">
        <v>135</v>
      </c>
      <c r="F6405" s="128">
        <v>2296955.35</v>
      </c>
      <c r="G6405" s="128">
        <v>580334.98</v>
      </c>
      <c r="H6405" s="128">
        <v>192269.15</v>
      </c>
      <c r="I6405" s="128">
        <v>6716</v>
      </c>
    </row>
    <row r="6406" spans="1:9" ht="13.5">
      <c r="A6406" s="128">
        <v>2010</v>
      </c>
      <c r="B6406" s="128" t="s">
        <v>131</v>
      </c>
      <c r="C6406" s="128" t="s">
        <v>23</v>
      </c>
      <c r="D6406" s="128" t="s">
        <v>77</v>
      </c>
      <c r="E6406" s="128" t="s">
        <v>132</v>
      </c>
      <c r="F6406" s="128">
        <v>871614.15</v>
      </c>
      <c r="G6406" s="128">
        <v>572165.42000000004</v>
      </c>
      <c r="H6406" s="128">
        <v>223627.5</v>
      </c>
      <c r="I6406" s="128">
        <v>4109</v>
      </c>
    </row>
    <row r="6407" spans="1:9" ht="13.5">
      <c r="A6407" s="128">
        <v>2010</v>
      </c>
      <c r="B6407" s="128" t="s">
        <v>131</v>
      </c>
      <c r="C6407" s="128" t="s">
        <v>23</v>
      </c>
      <c r="D6407" s="128" t="s">
        <v>77</v>
      </c>
      <c r="E6407" s="128" t="s">
        <v>133</v>
      </c>
      <c r="F6407" s="128">
        <v>1031797.22</v>
      </c>
      <c r="G6407" s="128">
        <v>556126.32999999996</v>
      </c>
      <c r="H6407" s="128">
        <v>341304.47</v>
      </c>
      <c r="I6407" s="128">
        <v>4143</v>
      </c>
    </row>
    <row r="6408" spans="1:9" ht="13.5">
      <c r="A6408" s="128">
        <v>2010</v>
      </c>
      <c r="B6408" s="128" t="s">
        <v>131</v>
      </c>
      <c r="C6408" s="128" t="s">
        <v>23</v>
      </c>
      <c r="D6408" s="128" t="s">
        <v>77</v>
      </c>
      <c r="E6408" s="128" t="s">
        <v>134</v>
      </c>
      <c r="F6408" s="128">
        <v>2750172.68</v>
      </c>
      <c r="G6408" s="128">
        <v>1190360.82</v>
      </c>
      <c r="H6408" s="128">
        <v>1130708.93</v>
      </c>
      <c r="I6408" s="128">
        <v>4829</v>
      </c>
    </row>
    <row r="6409" spans="1:9" ht="13.5">
      <c r="A6409" s="128">
        <v>2010</v>
      </c>
      <c r="B6409" s="128" t="s">
        <v>131</v>
      </c>
      <c r="C6409" s="128" t="s">
        <v>23</v>
      </c>
      <c r="D6409" s="128" t="s">
        <v>77</v>
      </c>
      <c r="E6409" s="128" t="s">
        <v>135</v>
      </c>
      <c r="F6409" s="128">
        <v>1528363.58</v>
      </c>
      <c r="G6409" s="128">
        <v>420139.51</v>
      </c>
      <c r="H6409" s="128">
        <v>453598.2</v>
      </c>
      <c r="I6409" s="128">
        <v>3653</v>
      </c>
    </row>
    <row r="6410" spans="1:9" ht="13.5">
      <c r="A6410" s="128">
        <v>2010</v>
      </c>
      <c r="B6410" s="128" t="s">
        <v>131</v>
      </c>
      <c r="C6410" s="128" t="s">
        <v>23</v>
      </c>
      <c r="D6410" s="128" t="s">
        <v>76</v>
      </c>
      <c r="E6410" s="128" t="s">
        <v>136</v>
      </c>
      <c r="F6410" s="128">
        <v>2892943.26</v>
      </c>
      <c r="G6410" s="128">
        <v>2174643.25</v>
      </c>
      <c r="H6410" s="128">
        <v>718356.41</v>
      </c>
      <c r="I6410" s="128">
        <v>23389</v>
      </c>
    </row>
    <row r="6411" spans="1:9" ht="13.5">
      <c r="A6411" s="128">
        <v>2010</v>
      </c>
      <c r="B6411" s="128" t="s">
        <v>131</v>
      </c>
      <c r="C6411" s="128" t="s">
        <v>23</v>
      </c>
      <c r="D6411" s="128" t="s">
        <v>76</v>
      </c>
      <c r="E6411" s="128" t="s">
        <v>132</v>
      </c>
      <c r="F6411" s="128">
        <v>10069759.84</v>
      </c>
      <c r="G6411" s="128">
        <v>6490526.9100000001</v>
      </c>
      <c r="H6411" s="128">
        <v>3579149.73</v>
      </c>
      <c r="I6411" s="128">
        <v>124640</v>
      </c>
    </row>
    <row r="6412" spans="1:9" ht="13.5">
      <c r="A6412" s="128">
        <v>2010</v>
      </c>
      <c r="B6412" s="128" t="s">
        <v>131</v>
      </c>
      <c r="C6412" s="128" t="s">
        <v>23</v>
      </c>
      <c r="D6412" s="128" t="s">
        <v>76</v>
      </c>
      <c r="E6412" s="128" t="s">
        <v>133</v>
      </c>
      <c r="F6412" s="128">
        <v>19918358.399999999</v>
      </c>
      <c r="G6412" s="128">
        <v>10929635.83</v>
      </c>
      <c r="H6412" s="128">
        <v>8988684.0199999996</v>
      </c>
      <c r="I6412" s="128">
        <v>163419</v>
      </c>
    </row>
    <row r="6413" spans="1:9" ht="13.5">
      <c r="A6413" s="128">
        <v>2010</v>
      </c>
      <c r="B6413" s="128" t="s">
        <v>131</v>
      </c>
      <c r="C6413" s="128" t="s">
        <v>23</v>
      </c>
      <c r="D6413" s="128" t="s">
        <v>76</v>
      </c>
      <c r="E6413" s="128" t="s">
        <v>134</v>
      </c>
      <c r="F6413" s="128">
        <v>37551800.420000002</v>
      </c>
      <c r="G6413" s="128">
        <v>16945938.239999998</v>
      </c>
      <c r="H6413" s="128">
        <v>20605827.940000001</v>
      </c>
      <c r="I6413" s="128">
        <v>162172</v>
      </c>
    </row>
    <row r="6414" spans="1:9" ht="13.5">
      <c r="A6414" s="128">
        <v>2010</v>
      </c>
      <c r="B6414" s="128" t="s">
        <v>131</v>
      </c>
      <c r="C6414" s="128" t="s">
        <v>23</v>
      </c>
      <c r="D6414" s="128" t="s">
        <v>76</v>
      </c>
      <c r="E6414" s="128" t="s">
        <v>135</v>
      </c>
      <c r="F6414" s="128">
        <v>2244760.39</v>
      </c>
      <c r="G6414" s="128">
        <v>623136.41</v>
      </c>
      <c r="H6414" s="128">
        <v>1621622.28</v>
      </c>
      <c r="I6414" s="128">
        <v>2925</v>
      </c>
    </row>
    <row r="6415" spans="1:9" ht="13.5">
      <c r="A6415" s="128">
        <v>2010</v>
      </c>
      <c r="B6415" s="128" t="s">
        <v>131</v>
      </c>
      <c r="C6415" s="128" t="s">
        <v>24</v>
      </c>
      <c r="D6415" s="128" t="s">
        <v>79</v>
      </c>
      <c r="E6415" s="128" t="s">
        <v>136</v>
      </c>
      <c r="F6415" s="128">
        <v>1951382.91</v>
      </c>
      <c r="G6415" s="128">
        <v>1466839.6</v>
      </c>
      <c r="H6415" s="128">
        <v>484507.56</v>
      </c>
      <c r="I6415" s="128">
        <v>33962</v>
      </c>
    </row>
    <row r="6416" spans="1:9" ht="13.5">
      <c r="A6416" s="128">
        <v>2010</v>
      </c>
      <c r="B6416" s="128" t="s">
        <v>131</v>
      </c>
      <c r="C6416" s="128" t="s">
        <v>24</v>
      </c>
      <c r="D6416" s="128" t="s">
        <v>79</v>
      </c>
      <c r="E6416" s="128" t="s">
        <v>132</v>
      </c>
      <c r="F6416" s="128">
        <v>432243.16</v>
      </c>
      <c r="G6416" s="128">
        <v>280468.05</v>
      </c>
      <c r="H6416" s="128">
        <v>93517.71</v>
      </c>
      <c r="I6416" s="128">
        <v>3122</v>
      </c>
    </row>
    <row r="6417" spans="1:9" ht="13.5">
      <c r="A6417" s="128">
        <v>2010</v>
      </c>
      <c r="B6417" s="128" t="s">
        <v>131</v>
      </c>
      <c r="C6417" s="128" t="s">
        <v>24</v>
      </c>
      <c r="D6417" s="128" t="s">
        <v>79</v>
      </c>
      <c r="E6417" s="128" t="s">
        <v>133</v>
      </c>
      <c r="F6417" s="128">
        <v>1375358.53</v>
      </c>
      <c r="G6417" s="128">
        <v>743108.98</v>
      </c>
      <c r="H6417" s="128">
        <v>249574.66</v>
      </c>
      <c r="I6417" s="128">
        <v>9813</v>
      </c>
    </row>
    <row r="6418" spans="1:9" ht="13.5">
      <c r="A6418" s="128">
        <v>2010</v>
      </c>
      <c r="B6418" s="128" t="s">
        <v>131</v>
      </c>
      <c r="C6418" s="128" t="s">
        <v>24</v>
      </c>
      <c r="D6418" s="128" t="s">
        <v>79</v>
      </c>
      <c r="E6418" s="128" t="s">
        <v>134</v>
      </c>
      <c r="F6418" s="128">
        <v>3042387.39</v>
      </c>
      <c r="G6418" s="128">
        <v>1284340.31</v>
      </c>
      <c r="H6418" s="128">
        <v>427104.68</v>
      </c>
      <c r="I6418" s="128">
        <v>14118</v>
      </c>
    </row>
    <row r="6419" spans="1:9" ht="13.5">
      <c r="A6419" s="128">
        <v>2010</v>
      </c>
      <c r="B6419" s="128" t="s">
        <v>131</v>
      </c>
      <c r="C6419" s="128" t="s">
        <v>24</v>
      </c>
      <c r="D6419" s="128" t="s">
        <v>79</v>
      </c>
      <c r="E6419" s="128" t="s">
        <v>135</v>
      </c>
      <c r="F6419" s="128">
        <v>6685777.4100000001</v>
      </c>
      <c r="G6419" s="128">
        <v>1662143.49</v>
      </c>
      <c r="H6419" s="128">
        <v>558456.37</v>
      </c>
      <c r="I6419" s="128">
        <v>16097</v>
      </c>
    </row>
    <row r="6420" spans="1:9" ht="13.5">
      <c r="A6420" s="128">
        <v>2010</v>
      </c>
      <c r="B6420" s="128" t="s">
        <v>131</v>
      </c>
      <c r="C6420" s="128" t="s">
        <v>24</v>
      </c>
      <c r="D6420" s="128" t="s">
        <v>77</v>
      </c>
      <c r="E6420" s="128" t="s">
        <v>132</v>
      </c>
      <c r="F6420" s="128">
        <v>1743908.75</v>
      </c>
      <c r="G6420" s="128">
        <v>1190889.05</v>
      </c>
      <c r="H6420" s="128">
        <v>518581.47</v>
      </c>
      <c r="I6420" s="128">
        <v>11063</v>
      </c>
    </row>
    <row r="6421" spans="1:9" ht="13.5">
      <c r="A6421" s="128">
        <v>2010</v>
      </c>
      <c r="B6421" s="128" t="s">
        <v>131</v>
      </c>
      <c r="C6421" s="128" t="s">
        <v>24</v>
      </c>
      <c r="D6421" s="128" t="s">
        <v>77</v>
      </c>
      <c r="E6421" s="128" t="s">
        <v>133</v>
      </c>
      <c r="F6421" s="128">
        <v>3641109.97</v>
      </c>
      <c r="G6421" s="128">
        <v>1955421.5</v>
      </c>
      <c r="H6421" s="128">
        <v>1379240.86</v>
      </c>
      <c r="I6421" s="128">
        <v>28139</v>
      </c>
    </row>
    <row r="6422" spans="1:9" ht="13.5">
      <c r="A6422" s="128">
        <v>2010</v>
      </c>
      <c r="B6422" s="128" t="s">
        <v>131</v>
      </c>
      <c r="C6422" s="128" t="s">
        <v>24</v>
      </c>
      <c r="D6422" s="128" t="s">
        <v>77</v>
      </c>
      <c r="E6422" s="128" t="s">
        <v>134</v>
      </c>
      <c r="F6422" s="128">
        <v>6769504.54</v>
      </c>
      <c r="G6422" s="128">
        <v>2949137.4</v>
      </c>
      <c r="H6422" s="128">
        <v>2207985.2200000002</v>
      </c>
      <c r="I6422" s="128">
        <v>19378</v>
      </c>
    </row>
    <row r="6423" spans="1:9" ht="13.5">
      <c r="A6423" s="128">
        <v>2010</v>
      </c>
      <c r="B6423" s="128" t="s">
        <v>131</v>
      </c>
      <c r="C6423" s="128" t="s">
        <v>24</v>
      </c>
      <c r="D6423" s="128" t="s">
        <v>77</v>
      </c>
      <c r="E6423" s="128" t="s">
        <v>135</v>
      </c>
      <c r="F6423" s="128">
        <v>9967231.4900000002</v>
      </c>
      <c r="G6423" s="128">
        <v>2715013.45</v>
      </c>
      <c r="H6423" s="128">
        <v>1860011.83</v>
      </c>
      <c r="I6423" s="128">
        <v>19411</v>
      </c>
    </row>
    <row r="6424" spans="1:9" ht="13.5">
      <c r="A6424" s="128">
        <v>2010</v>
      </c>
      <c r="B6424" s="128" t="s">
        <v>131</v>
      </c>
      <c r="C6424" s="128" t="s">
        <v>24</v>
      </c>
      <c r="D6424" s="128" t="s">
        <v>76</v>
      </c>
      <c r="E6424" s="128" t="s">
        <v>136</v>
      </c>
      <c r="F6424" s="128">
        <v>954874.07</v>
      </c>
      <c r="G6424" s="128">
        <v>722943.43</v>
      </c>
      <c r="H6424" s="128">
        <v>231930.64</v>
      </c>
      <c r="I6424" s="128">
        <v>10817</v>
      </c>
    </row>
    <row r="6425" spans="1:9" ht="13.5">
      <c r="A6425" s="128">
        <v>2010</v>
      </c>
      <c r="B6425" s="128" t="s">
        <v>131</v>
      </c>
      <c r="C6425" s="128" t="s">
        <v>24</v>
      </c>
      <c r="D6425" s="128" t="s">
        <v>76</v>
      </c>
      <c r="E6425" s="128" t="s">
        <v>132</v>
      </c>
      <c r="F6425" s="128">
        <v>8208103.2599999998</v>
      </c>
      <c r="G6425" s="128">
        <v>5190205.9400000004</v>
      </c>
      <c r="H6425" s="128">
        <v>3017884.25</v>
      </c>
      <c r="I6425" s="128">
        <v>73932</v>
      </c>
    </row>
    <row r="6426" spans="1:9" ht="13.5">
      <c r="A6426" s="128">
        <v>2010</v>
      </c>
      <c r="B6426" s="128" t="s">
        <v>131</v>
      </c>
      <c r="C6426" s="128" t="s">
        <v>24</v>
      </c>
      <c r="D6426" s="128" t="s">
        <v>76</v>
      </c>
      <c r="E6426" s="128" t="s">
        <v>133</v>
      </c>
      <c r="F6426" s="128">
        <v>25256290.190000001</v>
      </c>
      <c r="G6426" s="128">
        <v>13988790.74</v>
      </c>
      <c r="H6426" s="128">
        <v>11267496.23</v>
      </c>
      <c r="I6426" s="128">
        <v>182855</v>
      </c>
    </row>
    <row r="6427" spans="1:9" ht="13.5">
      <c r="A6427" s="128">
        <v>2010</v>
      </c>
      <c r="B6427" s="128" t="s">
        <v>131</v>
      </c>
      <c r="C6427" s="128" t="s">
        <v>24</v>
      </c>
      <c r="D6427" s="128" t="s">
        <v>76</v>
      </c>
      <c r="E6427" s="128" t="s">
        <v>134</v>
      </c>
      <c r="F6427" s="128">
        <v>30156707.73</v>
      </c>
      <c r="G6427" s="128">
        <v>13312858</v>
      </c>
      <c r="H6427" s="128">
        <v>16843847.489999998</v>
      </c>
      <c r="I6427" s="128">
        <v>148442</v>
      </c>
    </row>
    <row r="6428" spans="1:9" ht="13.5">
      <c r="A6428" s="128">
        <v>2010</v>
      </c>
      <c r="B6428" s="128" t="s">
        <v>131</v>
      </c>
      <c r="C6428" s="128" t="s">
        <v>24</v>
      </c>
      <c r="D6428" s="128" t="s">
        <v>76</v>
      </c>
      <c r="E6428" s="128" t="s">
        <v>135</v>
      </c>
      <c r="F6428" s="128">
        <v>3064842.58</v>
      </c>
      <c r="G6428" s="128">
        <v>814092.48</v>
      </c>
      <c r="H6428" s="128">
        <v>2250750.1</v>
      </c>
      <c r="I6428" s="128">
        <v>2228</v>
      </c>
    </row>
    <row r="6429" spans="1:9" ht="13.5">
      <c r="A6429" s="128">
        <v>2010</v>
      </c>
      <c r="B6429" s="128" t="s">
        <v>131</v>
      </c>
      <c r="C6429" s="128" t="s">
        <v>25</v>
      </c>
      <c r="D6429" s="128" t="s">
        <v>79</v>
      </c>
      <c r="E6429" s="128" t="s">
        <v>136</v>
      </c>
      <c r="F6429" s="128">
        <v>1064057.9099999999</v>
      </c>
      <c r="G6429" s="128">
        <v>799450.45</v>
      </c>
      <c r="H6429" s="128">
        <v>264815.31</v>
      </c>
      <c r="I6429" s="128">
        <v>15326</v>
      </c>
    </row>
    <row r="6430" spans="1:9" ht="13.5">
      <c r="A6430" s="128">
        <v>2010</v>
      </c>
      <c r="B6430" s="128" t="s">
        <v>131</v>
      </c>
      <c r="C6430" s="128" t="s">
        <v>25</v>
      </c>
      <c r="D6430" s="128" t="s">
        <v>79</v>
      </c>
      <c r="E6430" s="128" t="s">
        <v>132</v>
      </c>
      <c r="F6430" s="128">
        <v>129749.46</v>
      </c>
      <c r="G6430" s="128">
        <v>87013.86</v>
      </c>
      <c r="H6430" s="128">
        <v>28839.439999999999</v>
      </c>
      <c r="I6430" s="128">
        <v>830</v>
      </c>
    </row>
    <row r="6431" spans="1:9" ht="13.5">
      <c r="A6431" s="128">
        <v>2010</v>
      </c>
      <c r="B6431" s="128" t="s">
        <v>131</v>
      </c>
      <c r="C6431" s="128" t="s">
        <v>25</v>
      </c>
      <c r="D6431" s="128" t="s">
        <v>79</v>
      </c>
      <c r="E6431" s="128" t="s">
        <v>133</v>
      </c>
      <c r="F6431" s="128">
        <v>178126.78</v>
      </c>
      <c r="G6431" s="128">
        <v>96335.15</v>
      </c>
      <c r="H6431" s="128">
        <v>32281.86</v>
      </c>
      <c r="I6431" s="128">
        <v>449</v>
      </c>
    </row>
    <row r="6432" spans="1:9" ht="13.5">
      <c r="A6432" s="128">
        <v>2010</v>
      </c>
      <c r="B6432" s="128" t="s">
        <v>131</v>
      </c>
      <c r="C6432" s="128" t="s">
        <v>25</v>
      </c>
      <c r="D6432" s="128" t="s">
        <v>79</v>
      </c>
      <c r="E6432" s="128" t="s">
        <v>134</v>
      </c>
      <c r="F6432" s="128">
        <v>622332.47</v>
      </c>
      <c r="G6432" s="128">
        <v>266709.63</v>
      </c>
      <c r="H6432" s="128">
        <v>88842.57</v>
      </c>
      <c r="I6432" s="128">
        <v>1797</v>
      </c>
    </row>
    <row r="6433" spans="1:9" ht="13.5">
      <c r="A6433" s="128">
        <v>2010</v>
      </c>
      <c r="B6433" s="128" t="s">
        <v>131</v>
      </c>
      <c r="C6433" s="128" t="s">
        <v>25</v>
      </c>
      <c r="D6433" s="128" t="s">
        <v>79</v>
      </c>
      <c r="E6433" s="128" t="s">
        <v>135</v>
      </c>
      <c r="F6433" s="128">
        <v>2218154.89</v>
      </c>
      <c r="G6433" s="128">
        <v>526949.25</v>
      </c>
      <c r="H6433" s="128">
        <v>177208.73</v>
      </c>
      <c r="I6433" s="128">
        <v>3897</v>
      </c>
    </row>
    <row r="6434" spans="1:9" ht="13.5">
      <c r="A6434" s="128">
        <v>2010</v>
      </c>
      <c r="B6434" s="128" t="s">
        <v>131</v>
      </c>
      <c r="C6434" s="128" t="s">
        <v>25</v>
      </c>
      <c r="D6434" s="128" t="s">
        <v>77</v>
      </c>
      <c r="E6434" s="128" t="s">
        <v>132</v>
      </c>
      <c r="F6434" s="128">
        <v>214617.63</v>
      </c>
      <c r="G6434" s="128">
        <v>137798.25</v>
      </c>
      <c r="H6434" s="128">
        <v>59896.18</v>
      </c>
      <c r="I6434" s="128">
        <v>1035</v>
      </c>
    </row>
    <row r="6435" spans="1:9" ht="13.5">
      <c r="A6435" s="128">
        <v>2010</v>
      </c>
      <c r="B6435" s="128" t="s">
        <v>131</v>
      </c>
      <c r="C6435" s="128" t="s">
        <v>25</v>
      </c>
      <c r="D6435" s="128" t="s">
        <v>77</v>
      </c>
      <c r="E6435" s="128" t="s">
        <v>133</v>
      </c>
      <c r="F6435" s="128">
        <v>350018.13</v>
      </c>
      <c r="G6435" s="128">
        <v>192725.75</v>
      </c>
      <c r="H6435" s="128">
        <v>126562.03</v>
      </c>
      <c r="I6435" s="128">
        <v>1555</v>
      </c>
    </row>
    <row r="6436" spans="1:9" ht="13.5">
      <c r="A6436" s="128">
        <v>2010</v>
      </c>
      <c r="B6436" s="128" t="s">
        <v>131</v>
      </c>
      <c r="C6436" s="128" t="s">
        <v>25</v>
      </c>
      <c r="D6436" s="128" t="s">
        <v>77</v>
      </c>
      <c r="E6436" s="128" t="s">
        <v>134</v>
      </c>
      <c r="F6436" s="128">
        <v>790934.06</v>
      </c>
      <c r="G6436" s="128">
        <v>342414.7</v>
      </c>
      <c r="H6436" s="128">
        <v>326442.96000000002</v>
      </c>
      <c r="I6436" s="128">
        <v>2048</v>
      </c>
    </row>
    <row r="6437" spans="1:9" ht="13.5">
      <c r="A6437" s="128">
        <v>2010</v>
      </c>
      <c r="B6437" s="128" t="s">
        <v>131</v>
      </c>
      <c r="C6437" s="128" t="s">
        <v>25</v>
      </c>
      <c r="D6437" s="128" t="s">
        <v>77</v>
      </c>
      <c r="E6437" s="128" t="s">
        <v>135</v>
      </c>
      <c r="F6437" s="128">
        <v>1044976.85</v>
      </c>
      <c r="G6437" s="128">
        <v>305142.15000000002</v>
      </c>
      <c r="H6437" s="128">
        <v>343357.57</v>
      </c>
      <c r="I6437" s="128">
        <v>3541</v>
      </c>
    </row>
    <row r="6438" spans="1:9" ht="13.5">
      <c r="A6438" s="128">
        <v>2010</v>
      </c>
      <c r="B6438" s="128" t="s">
        <v>131</v>
      </c>
      <c r="C6438" s="128" t="s">
        <v>25</v>
      </c>
      <c r="D6438" s="128" t="s">
        <v>76</v>
      </c>
      <c r="E6438" s="128" t="s">
        <v>136</v>
      </c>
      <c r="F6438" s="128">
        <v>770223.32</v>
      </c>
      <c r="G6438" s="128">
        <v>578248.38</v>
      </c>
      <c r="H6438" s="128">
        <v>191974.79</v>
      </c>
      <c r="I6438" s="128">
        <v>10275</v>
      </c>
    </row>
    <row r="6439" spans="1:9" ht="13.5">
      <c r="A6439" s="128">
        <v>2010</v>
      </c>
      <c r="B6439" s="128" t="s">
        <v>131</v>
      </c>
      <c r="C6439" s="128" t="s">
        <v>25</v>
      </c>
      <c r="D6439" s="128" t="s">
        <v>76</v>
      </c>
      <c r="E6439" s="128" t="s">
        <v>132</v>
      </c>
      <c r="F6439" s="128">
        <v>3192694.2</v>
      </c>
      <c r="G6439" s="128">
        <v>2034465.33</v>
      </c>
      <c r="H6439" s="128">
        <v>1158219.1100000001</v>
      </c>
      <c r="I6439" s="128">
        <v>26625</v>
      </c>
    </row>
    <row r="6440" spans="1:9" ht="13.5">
      <c r="A6440" s="128">
        <v>2010</v>
      </c>
      <c r="B6440" s="128" t="s">
        <v>131</v>
      </c>
      <c r="C6440" s="128" t="s">
        <v>25</v>
      </c>
      <c r="D6440" s="128" t="s">
        <v>76</v>
      </c>
      <c r="E6440" s="128" t="s">
        <v>133</v>
      </c>
      <c r="F6440" s="128">
        <v>6345211.2800000003</v>
      </c>
      <c r="G6440" s="128">
        <v>3494730.4</v>
      </c>
      <c r="H6440" s="128">
        <v>2850448.78</v>
      </c>
      <c r="I6440" s="128">
        <v>38540</v>
      </c>
    </row>
    <row r="6441" spans="1:9" ht="13.5">
      <c r="A6441" s="128">
        <v>2010</v>
      </c>
      <c r="B6441" s="128" t="s">
        <v>131</v>
      </c>
      <c r="C6441" s="128" t="s">
        <v>25</v>
      </c>
      <c r="D6441" s="128" t="s">
        <v>76</v>
      </c>
      <c r="E6441" s="128" t="s">
        <v>134</v>
      </c>
      <c r="F6441" s="128">
        <v>5928075.5</v>
      </c>
      <c r="G6441" s="128">
        <v>2714819.6</v>
      </c>
      <c r="H6441" s="128">
        <v>3213251.16</v>
      </c>
      <c r="I6441" s="128">
        <v>34266</v>
      </c>
    </row>
    <row r="6442" spans="1:9" ht="13.5">
      <c r="A6442" s="128">
        <v>2010</v>
      </c>
      <c r="B6442" s="128" t="s">
        <v>131</v>
      </c>
      <c r="C6442" s="128" t="s">
        <v>25</v>
      </c>
      <c r="D6442" s="128" t="s">
        <v>76</v>
      </c>
      <c r="E6442" s="128" t="s">
        <v>135</v>
      </c>
      <c r="F6442" s="128">
        <v>577787.9</v>
      </c>
      <c r="G6442" s="128">
        <v>163857.95000000001</v>
      </c>
      <c r="H6442" s="128">
        <v>413929.95</v>
      </c>
      <c r="I6442" s="128">
        <v>465</v>
      </c>
    </row>
    <row r="6443" spans="1:9" ht="13.5">
      <c r="A6443" s="128">
        <v>2010</v>
      </c>
      <c r="B6443" s="128" t="s">
        <v>131</v>
      </c>
      <c r="C6443" s="128" t="s">
        <v>26</v>
      </c>
      <c r="D6443" s="128" t="s">
        <v>79</v>
      </c>
      <c r="E6443" s="128" t="s">
        <v>136</v>
      </c>
      <c r="F6443" s="128">
        <v>881643.05</v>
      </c>
      <c r="G6443" s="128">
        <v>662392.15</v>
      </c>
      <c r="H6443" s="128">
        <v>219184.35</v>
      </c>
      <c r="I6443" s="128">
        <v>8731</v>
      </c>
    </row>
    <row r="6444" spans="1:9" ht="13.5">
      <c r="A6444" s="128">
        <v>2010</v>
      </c>
      <c r="B6444" s="128" t="s">
        <v>131</v>
      </c>
      <c r="C6444" s="128" t="s">
        <v>26</v>
      </c>
      <c r="D6444" s="128" t="s">
        <v>79</v>
      </c>
      <c r="E6444" s="128" t="s">
        <v>132</v>
      </c>
      <c r="F6444" s="128">
        <v>225356.22</v>
      </c>
      <c r="G6444" s="128">
        <v>146793.85999999999</v>
      </c>
      <c r="H6444" s="128">
        <v>48363.72</v>
      </c>
      <c r="I6444" s="128">
        <v>959</v>
      </c>
    </row>
    <row r="6445" spans="1:9" ht="13.5">
      <c r="A6445" s="128">
        <v>2010</v>
      </c>
      <c r="B6445" s="128" t="s">
        <v>131</v>
      </c>
      <c r="C6445" s="128" t="s">
        <v>26</v>
      </c>
      <c r="D6445" s="128" t="s">
        <v>79</v>
      </c>
      <c r="E6445" s="128" t="s">
        <v>133</v>
      </c>
      <c r="F6445" s="128">
        <v>160126.51</v>
      </c>
      <c r="G6445" s="128">
        <v>86536.66</v>
      </c>
      <c r="H6445" s="128">
        <v>28949.5</v>
      </c>
      <c r="I6445" s="128">
        <v>500</v>
      </c>
    </row>
    <row r="6446" spans="1:9" ht="13.5">
      <c r="A6446" s="128">
        <v>2010</v>
      </c>
      <c r="B6446" s="128" t="s">
        <v>131</v>
      </c>
      <c r="C6446" s="128" t="s">
        <v>26</v>
      </c>
      <c r="D6446" s="128" t="s">
        <v>79</v>
      </c>
      <c r="E6446" s="128" t="s">
        <v>134</v>
      </c>
      <c r="F6446" s="128">
        <v>930477.96</v>
      </c>
      <c r="G6446" s="128">
        <v>390616.43</v>
      </c>
      <c r="H6446" s="128">
        <v>129808.52</v>
      </c>
      <c r="I6446" s="128">
        <v>2893</v>
      </c>
    </row>
    <row r="6447" spans="1:9" ht="13.5">
      <c r="A6447" s="128">
        <v>2010</v>
      </c>
      <c r="B6447" s="128" t="s">
        <v>131</v>
      </c>
      <c r="C6447" s="128" t="s">
        <v>26</v>
      </c>
      <c r="D6447" s="128" t="s">
        <v>79</v>
      </c>
      <c r="E6447" s="128" t="s">
        <v>135</v>
      </c>
      <c r="F6447" s="128">
        <v>6876304.54</v>
      </c>
      <c r="G6447" s="128">
        <v>1709913.5</v>
      </c>
      <c r="H6447" s="128">
        <v>570530.16</v>
      </c>
      <c r="I6447" s="128">
        <v>11348</v>
      </c>
    </row>
    <row r="6448" spans="1:9" ht="13.5">
      <c r="A6448" s="128">
        <v>2010</v>
      </c>
      <c r="B6448" s="128" t="s">
        <v>131</v>
      </c>
      <c r="C6448" s="128" t="s">
        <v>26</v>
      </c>
      <c r="D6448" s="128" t="s">
        <v>77</v>
      </c>
      <c r="E6448" s="128" t="s">
        <v>132</v>
      </c>
      <c r="F6448" s="128">
        <v>89715.15</v>
      </c>
      <c r="G6448" s="128">
        <v>57549.04</v>
      </c>
      <c r="H6448" s="128">
        <v>28706.91</v>
      </c>
      <c r="I6448" s="128">
        <v>518</v>
      </c>
    </row>
    <row r="6449" spans="1:9" ht="13.5">
      <c r="A6449" s="128">
        <v>2010</v>
      </c>
      <c r="B6449" s="128" t="s">
        <v>131</v>
      </c>
      <c r="C6449" s="128" t="s">
        <v>26</v>
      </c>
      <c r="D6449" s="128" t="s">
        <v>77</v>
      </c>
      <c r="E6449" s="128" t="s">
        <v>133</v>
      </c>
      <c r="F6449" s="128">
        <v>106425.46</v>
      </c>
      <c r="G6449" s="128">
        <v>57383.5</v>
      </c>
      <c r="H6449" s="128">
        <v>39910.5</v>
      </c>
      <c r="I6449" s="128">
        <v>352</v>
      </c>
    </row>
    <row r="6450" spans="1:9" ht="13.5">
      <c r="A6450" s="128">
        <v>2010</v>
      </c>
      <c r="B6450" s="128" t="s">
        <v>131</v>
      </c>
      <c r="C6450" s="128" t="s">
        <v>26</v>
      </c>
      <c r="D6450" s="128" t="s">
        <v>77</v>
      </c>
      <c r="E6450" s="128" t="s">
        <v>134</v>
      </c>
      <c r="F6450" s="128">
        <v>207558.93</v>
      </c>
      <c r="G6450" s="128">
        <v>89238.2</v>
      </c>
      <c r="H6450" s="128">
        <v>84460.13</v>
      </c>
      <c r="I6450" s="128">
        <v>524</v>
      </c>
    </row>
    <row r="6451" spans="1:9" ht="13.5">
      <c r="A6451" s="128">
        <v>2010</v>
      </c>
      <c r="B6451" s="128" t="s">
        <v>131</v>
      </c>
      <c r="C6451" s="128" t="s">
        <v>26</v>
      </c>
      <c r="D6451" s="128" t="s">
        <v>77</v>
      </c>
      <c r="E6451" s="128" t="s">
        <v>135</v>
      </c>
      <c r="F6451" s="128">
        <v>384811.88</v>
      </c>
      <c r="G6451" s="128">
        <v>91870.23</v>
      </c>
      <c r="H6451" s="128">
        <v>98823.19</v>
      </c>
      <c r="I6451" s="128">
        <v>1072</v>
      </c>
    </row>
    <row r="6452" spans="1:9" ht="13.5">
      <c r="A6452" s="128">
        <v>2010</v>
      </c>
      <c r="B6452" s="128" t="s">
        <v>131</v>
      </c>
      <c r="C6452" s="128" t="s">
        <v>26</v>
      </c>
      <c r="D6452" s="128" t="s">
        <v>76</v>
      </c>
      <c r="E6452" s="128" t="s">
        <v>136</v>
      </c>
      <c r="F6452" s="128">
        <v>201644.23</v>
      </c>
      <c r="G6452" s="128">
        <v>151688.10999999999</v>
      </c>
      <c r="H6452" s="128">
        <v>50035.05</v>
      </c>
      <c r="I6452" s="128">
        <v>7077</v>
      </c>
    </row>
    <row r="6453" spans="1:9" ht="13.5">
      <c r="A6453" s="128">
        <v>2010</v>
      </c>
      <c r="B6453" s="128" t="s">
        <v>131</v>
      </c>
      <c r="C6453" s="128" t="s">
        <v>26</v>
      </c>
      <c r="D6453" s="128" t="s">
        <v>76</v>
      </c>
      <c r="E6453" s="128" t="s">
        <v>132</v>
      </c>
      <c r="F6453" s="128">
        <v>906386.9</v>
      </c>
      <c r="G6453" s="128">
        <v>588488.53</v>
      </c>
      <c r="H6453" s="128">
        <v>317840.46999999997</v>
      </c>
      <c r="I6453" s="128">
        <v>11843</v>
      </c>
    </row>
    <row r="6454" spans="1:9" ht="13.5">
      <c r="A6454" s="128">
        <v>2010</v>
      </c>
      <c r="B6454" s="128" t="s">
        <v>131</v>
      </c>
      <c r="C6454" s="128" t="s">
        <v>26</v>
      </c>
      <c r="D6454" s="128" t="s">
        <v>76</v>
      </c>
      <c r="E6454" s="128" t="s">
        <v>133</v>
      </c>
      <c r="F6454" s="128">
        <v>2280983.77</v>
      </c>
      <c r="G6454" s="128">
        <v>1258821.28</v>
      </c>
      <c r="H6454" s="128">
        <v>1022159.6</v>
      </c>
      <c r="I6454" s="128">
        <v>14364</v>
      </c>
    </row>
    <row r="6455" spans="1:9" ht="13.5">
      <c r="A6455" s="128">
        <v>2010</v>
      </c>
      <c r="B6455" s="128" t="s">
        <v>131</v>
      </c>
      <c r="C6455" s="128" t="s">
        <v>26</v>
      </c>
      <c r="D6455" s="128" t="s">
        <v>76</v>
      </c>
      <c r="E6455" s="128" t="s">
        <v>134</v>
      </c>
      <c r="F6455" s="128">
        <v>1843282.27</v>
      </c>
      <c r="G6455" s="128">
        <v>844802.04</v>
      </c>
      <c r="H6455" s="128">
        <v>998475.8</v>
      </c>
      <c r="I6455" s="128">
        <v>12535</v>
      </c>
    </row>
    <row r="6456" spans="1:9" ht="13.5">
      <c r="A6456" s="128">
        <v>2010</v>
      </c>
      <c r="B6456" s="128" t="s">
        <v>131</v>
      </c>
      <c r="C6456" s="128" t="s">
        <v>26</v>
      </c>
      <c r="D6456" s="128" t="s">
        <v>76</v>
      </c>
      <c r="E6456" s="128" t="s">
        <v>135</v>
      </c>
      <c r="F6456" s="128">
        <v>377581.28</v>
      </c>
      <c r="G6456" s="128">
        <v>120575.53</v>
      </c>
      <c r="H6456" s="128">
        <v>257005.25</v>
      </c>
      <c r="I6456" s="128">
        <v>942</v>
      </c>
    </row>
    <row r="6457" spans="1:9" ht="13.5">
      <c r="A6457" s="128">
        <v>2010</v>
      </c>
      <c r="B6457" s="128" t="s">
        <v>131</v>
      </c>
      <c r="C6457" s="128" t="s">
        <v>27</v>
      </c>
      <c r="D6457" s="128" t="s">
        <v>79</v>
      </c>
      <c r="E6457" s="128" t="s">
        <v>136</v>
      </c>
      <c r="F6457" s="128">
        <v>306620.18</v>
      </c>
      <c r="G6457" s="128">
        <v>229925.98</v>
      </c>
      <c r="H6457" s="128">
        <v>76294.2</v>
      </c>
      <c r="I6457" s="128">
        <v>1893</v>
      </c>
    </row>
    <row r="6458" spans="1:9" ht="13.5">
      <c r="A6458" s="128">
        <v>2010</v>
      </c>
      <c r="B6458" s="128" t="s">
        <v>131</v>
      </c>
      <c r="C6458" s="128" t="s">
        <v>27</v>
      </c>
      <c r="D6458" s="128" t="s">
        <v>79</v>
      </c>
      <c r="E6458" s="128" t="s">
        <v>132</v>
      </c>
      <c r="F6458" s="128">
        <v>46043.7</v>
      </c>
      <c r="G6458" s="128">
        <v>30387.200000000001</v>
      </c>
      <c r="H6458" s="128">
        <v>10126.5</v>
      </c>
      <c r="I6458" s="128">
        <v>198</v>
      </c>
    </row>
    <row r="6459" spans="1:9" ht="13.5">
      <c r="A6459" s="128">
        <v>2010</v>
      </c>
      <c r="B6459" s="128" t="s">
        <v>131</v>
      </c>
      <c r="C6459" s="128" t="s">
        <v>27</v>
      </c>
      <c r="D6459" s="128" t="s">
        <v>79</v>
      </c>
      <c r="E6459" s="128" t="s">
        <v>133</v>
      </c>
      <c r="F6459" s="128">
        <v>95864.55</v>
      </c>
      <c r="G6459" s="128">
        <v>51405.919999999998</v>
      </c>
      <c r="H6459" s="128">
        <v>17496.150000000001</v>
      </c>
      <c r="I6459" s="128">
        <v>229</v>
      </c>
    </row>
    <row r="6460" spans="1:9" ht="13.5">
      <c r="A6460" s="128">
        <v>2010</v>
      </c>
      <c r="B6460" s="128" t="s">
        <v>131</v>
      </c>
      <c r="C6460" s="128" t="s">
        <v>27</v>
      </c>
      <c r="D6460" s="128" t="s">
        <v>79</v>
      </c>
      <c r="E6460" s="128" t="s">
        <v>134</v>
      </c>
      <c r="F6460" s="128">
        <v>172151.57</v>
      </c>
      <c r="G6460" s="128">
        <v>72410.03</v>
      </c>
      <c r="H6460" s="128">
        <v>23820.42</v>
      </c>
      <c r="I6460" s="128">
        <v>741</v>
      </c>
    </row>
    <row r="6461" spans="1:9" ht="13.5">
      <c r="A6461" s="128">
        <v>2010</v>
      </c>
      <c r="B6461" s="128" t="s">
        <v>131</v>
      </c>
      <c r="C6461" s="128" t="s">
        <v>27</v>
      </c>
      <c r="D6461" s="128" t="s">
        <v>79</v>
      </c>
      <c r="E6461" s="128" t="s">
        <v>135</v>
      </c>
      <c r="F6461" s="128">
        <v>1148939.6399999999</v>
      </c>
      <c r="G6461" s="128">
        <v>307124.52</v>
      </c>
      <c r="H6461" s="128">
        <v>102403.1</v>
      </c>
      <c r="I6461" s="128">
        <v>2038</v>
      </c>
    </row>
    <row r="6462" spans="1:9" ht="13.5">
      <c r="A6462" s="128">
        <v>2010</v>
      </c>
      <c r="B6462" s="128" t="s">
        <v>131</v>
      </c>
      <c r="C6462" s="128" t="s">
        <v>27</v>
      </c>
      <c r="D6462" s="128" t="s">
        <v>77</v>
      </c>
      <c r="E6462" s="128" t="s">
        <v>132</v>
      </c>
      <c r="F6462" s="128">
        <v>20815.099999999999</v>
      </c>
      <c r="G6462" s="128">
        <v>13470.2</v>
      </c>
      <c r="H6462" s="128">
        <v>5261.5</v>
      </c>
      <c r="I6462" s="128">
        <v>166</v>
      </c>
    </row>
    <row r="6463" spans="1:9" ht="13.5">
      <c r="A6463" s="128">
        <v>2010</v>
      </c>
      <c r="B6463" s="128" t="s">
        <v>131</v>
      </c>
      <c r="C6463" s="128" t="s">
        <v>27</v>
      </c>
      <c r="D6463" s="128" t="s">
        <v>77</v>
      </c>
      <c r="E6463" s="128" t="s">
        <v>133</v>
      </c>
      <c r="F6463" s="128">
        <v>48139.69</v>
      </c>
      <c r="G6463" s="128">
        <v>25691.05</v>
      </c>
      <c r="H6463" s="128">
        <v>16885.07</v>
      </c>
      <c r="I6463" s="128">
        <v>198</v>
      </c>
    </row>
    <row r="6464" spans="1:9" ht="13.5">
      <c r="A6464" s="128">
        <v>2010</v>
      </c>
      <c r="B6464" s="128" t="s">
        <v>131</v>
      </c>
      <c r="C6464" s="128" t="s">
        <v>27</v>
      </c>
      <c r="D6464" s="128" t="s">
        <v>77</v>
      </c>
      <c r="E6464" s="128" t="s">
        <v>134</v>
      </c>
      <c r="F6464" s="128">
        <v>135854.03</v>
      </c>
      <c r="G6464" s="128">
        <v>59103.9</v>
      </c>
      <c r="H6464" s="128">
        <v>51093.68</v>
      </c>
      <c r="I6464" s="128">
        <v>335</v>
      </c>
    </row>
    <row r="6465" spans="1:9" ht="13.5">
      <c r="A6465" s="128">
        <v>2010</v>
      </c>
      <c r="B6465" s="128" t="s">
        <v>131</v>
      </c>
      <c r="C6465" s="128" t="s">
        <v>27</v>
      </c>
      <c r="D6465" s="128" t="s">
        <v>77</v>
      </c>
      <c r="E6465" s="128" t="s">
        <v>135</v>
      </c>
      <c r="F6465" s="128">
        <v>207861.33</v>
      </c>
      <c r="G6465" s="128">
        <v>50584.15</v>
      </c>
      <c r="H6465" s="128">
        <v>55001.55</v>
      </c>
      <c r="I6465" s="128">
        <v>572</v>
      </c>
    </row>
    <row r="6466" spans="1:9" ht="13.5">
      <c r="A6466" s="128">
        <v>2010</v>
      </c>
      <c r="B6466" s="128" t="s">
        <v>131</v>
      </c>
      <c r="C6466" s="128" t="s">
        <v>27</v>
      </c>
      <c r="D6466" s="128" t="s">
        <v>76</v>
      </c>
      <c r="E6466" s="128" t="s">
        <v>136</v>
      </c>
      <c r="F6466" s="128">
        <v>71777.42</v>
      </c>
      <c r="G6466" s="128">
        <v>53904.15</v>
      </c>
      <c r="H6466" s="128">
        <v>17873.27</v>
      </c>
      <c r="I6466" s="128">
        <v>656</v>
      </c>
    </row>
    <row r="6467" spans="1:9" ht="13.5">
      <c r="A6467" s="128">
        <v>2010</v>
      </c>
      <c r="B6467" s="128" t="s">
        <v>131</v>
      </c>
      <c r="C6467" s="128" t="s">
        <v>27</v>
      </c>
      <c r="D6467" s="128" t="s">
        <v>76</v>
      </c>
      <c r="E6467" s="128" t="s">
        <v>132</v>
      </c>
      <c r="F6467" s="128">
        <v>351965.34</v>
      </c>
      <c r="G6467" s="128">
        <v>223467.65</v>
      </c>
      <c r="H6467" s="128">
        <v>128482.68</v>
      </c>
      <c r="I6467" s="128">
        <v>4503</v>
      </c>
    </row>
    <row r="6468" spans="1:9" ht="13.5">
      <c r="A6468" s="128">
        <v>2010</v>
      </c>
      <c r="B6468" s="128" t="s">
        <v>131</v>
      </c>
      <c r="C6468" s="128" t="s">
        <v>27</v>
      </c>
      <c r="D6468" s="128" t="s">
        <v>76</v>
      </c>
      <c r="E6468" s="128" t="s">
        <v>133</v>
      </c>
      <c r="F6468" s="128">
        <v>956811.03</v>
      </c>
      <c r="G6468" s="128">
        <v>523093.7</v>
      </c>
      <c r="H6468" s="128">
        <v>433708.16</v>
      </c>
      <c r="I6468" s="128">
        <v>5175</v>
      </c>
    </row>
    <row r="6469" spans="1:9" ht="13.5">
      <c r="A6469" s="128">
        <v>2010</v>
      </c>
      <c r="B6469" s="128" t="s">
        <v>131</v>
      </c>
      <c r="C6469" s="128" t="s">
        <v>27</v>
      </c>
      <c r="D6469" s="128" t="s">
        <v>76</v>
      </c>
      <c r="E6469" s="128" t="s">
        <v>134</v>
      </c>
      <c r="F6469" s="128">
        <v>1032299.19</v>
      </c>
      <c r="G6469" s="128">
        <v>472324.1</v>
      </c>
      <c r="H6469" s="128">
        <v>559968.14</v>
      </c>
      <c r="I6469" s="128">
        <v>5334</v>
      </c>
    </row>
    <row r="6470" spans="1:9" ht="13.5">
      <c r="A6470" s="128">
        <v>2010</v>
      </c>
      <c r="B6470" s="128" t="s">
        <v>131</v>
      </c>
      <c r="C6470" s="128" t="s">
        <v>27</v>
      </c>
      <c r="D6470" s="128" t="s">
        <v>76</v>
      </c>
      <c r="E6470" s="128" t="s">
        <v>135</v>
      </c>
      <c r="F6470" s="128">
        <v>60139.05</v>
      </c>
      <c r="G6470" s="128">
        <v>18571.45</v>
      </c>
      <c r="H6470" s="128">
        <v>41566.6</v>
      </c>
      <c r="I6470" s="128">
        <v>88</v>
      </c>
    </row>
    <row r="6471" spans="1:9" ht="13.5">
      <c r="A6471" s="128">
        <v>2010</v>
      </c>
      <c r="B6471" s="128" t="s">
        <v>138</v>
      </c>
      <c r="C6471" s="128" t="s">
        <v>20</v>
      </c>
      <c r="D6471" s="128" t="s">
        <v>79</v>
      </c>
      <c r="E6471" s="128" t="s">
        <v>136</v>
      </c>
      <c r="F6471" s="128">
        <v>30028564.859999999</v>
      </c>
      <c r="G6471" s="128">
        <v>22606041.48</v>
      </c>
      <c r="H6471" s="128">
        <v>7421966.8300000001</v>
      </c>
      <c r="I6471" s="128">
        <v>518980</v>
      </c>
    </row>
    <row r="6472" spans="1:9" ht="13.5">
      <c r="A6472" s="128">
        <v>2010</v>
      </c>
      <c r="B6472" s="128" t="s">
        <v>138</v>
      </c>
      <c r="C6472" s="128" t="s">
        <v>20</v>
      </c>
      <c r="D6472" s="128" t="s">
        <v>79</v>
      </c>
      <c r="E6472" s="128" t="s">
        <v>132</v>
      </c>
      <c r="F6472" s="128">
        <v>2884342.81</v>
      </c>
      <c r="G6472" s="128">
        <v>1926044.25</v>
      </c>
      <c r="H6472" s="128">
        <v>649862.5</v>
      </c>
      <c r="I6472" s="128">
        <v>14964</v>
      </c>
    </row>
    <row r="6473" spans="1:9" ht="13.5">
      <c r="A6473" s="128">
        <v>2010</v>
      </c>
      <c r="B6473" s="128" t="s">
        <v>138</v>
      </c>
      <c r="C6473" s="128" t="s">
        <v>20</v>
      </c>
      <c r="D6473" s="128" t="s">
        <v>79</v>
      </c>
      <c r="E6473" s="128" t="s">
        <v>133</v>
      </c>
      <c r="F6473" s="128">
        <v>3190020.66</v>
      </c>
      <c r="G6473" s="128">
        <v>1711170.71</v>
      </c>
      <c r="H6473" s="128">
        <v>619700.35</v>
      </c>
      <c r="I6473" s="128">
        <v>16116</v>
      </c>
    </row>
    <row r="6474" spans="1:9" ht="13.5">
      <c r="A6474" s="128">
        <v>2010</v>
      </c>
      <c r="B6474" s="128" t="s">
        <v>138</v>
      </c>
      <c r="C6474" s="128" t="s">
        <v>20</v>
      </c>
      <c r="D6474" s="128" t="s">
        <v>79</v>
      </c>
      <c r="E6474" s="128" t="s">
        <v>134</v>
      </c>
      <c r="F6474" s="128">
        <v>13960137.41</v>
      </c>
      <c r="G6474" s="128">
        <v>5922403.2800000003</v>
      </c>
      <c r="H6474" s="128">
        <v>2102228.2599999998</v>
      </c>
      <c r="I6474" s="128">
        <v>67816</v>
      </c>
    </row>
    <row r="6475" spans="1:9" ht="13.5">
      <c r="A6475" s="128">
        <v>2010</v>
      </c>
      <c r="B6475" s="128" t="s">
        <v>138</v>
      </c>
      <c r="C6475" s="128" t="s">
        <v>20</v>
      </c>
      <c r="D6475" s="128" t="s">
        <v>79</v>
      </c>
      <c r="E6475" s="128" t="s">
        <v>135</v>
      </c>
      <c r="F6475" s="128">
        <v>85776111.840000004</v>
      </c>
      <c r="G6475" s="128">
        <v>22057680.600000001</v>
      </c>
      <c r="H6475" s="128">
        <v>7464745.6399999997</v>
      </c>
      <c r="I6475" s="128">
        <v>168023</v>
      </c>
    </row>
    <row r="6476" spans="1:9" ht="13.5">
      <c r="A6476" s="128">
        <v>2010</v>
      </c>
      <c r="B6476" s="128" t="s">
        <v>138</v>
      </c>
      <c r="C6476" s="128" t="s">
        <v>20</v>
      </c>
      <c r="D6476" s="128" t="s">
        <v>77</v>
      </c>
      <c r="E6476" s="128" t="s">
        <v>132</v>
      </c>
      <c r="F6476" s="128">
        <v>1240243.4099999999</v>
      </c>
      <c r="G6476" s="128">
        <v>825329.8</v>
      </c>
      <c r="H6476" s="128">
        <v>369233.26</v>
      </c>
      <c r="I6476" s="128">
        <v>7996</v>
      </c>
    </row>
    <row r="6477" spans="1:9" ht="13.5">
      <c r="A6477" s="128">
        <v>2010</v>
      </c>
      <c r="B6477" s="128" t="s">
        <v>138</v>
      </c>
      <c r="C6477" s="128" t="s">
        <v>20</v>
      </c>
      <c r="D6477" s="128" t="s">
        <v>77</v>
      </c>
      <c r="E6477" s="128" t="s">
        <v>133</v>
      </c>
      <c r="F6477" s="128">
        <v>1904469.25</v>
      </c>
      <c r="G6477" s="128">
        <v>1033959.45</v>
      </c>
      <c r="H6477" s="128">
        <v>742202.86</v>
      </c>
      <c r="I6477" s="128">
        <v>5836</v>
      </c>
    </row>
    <row r="6478" spans="1:9" ht="13.5">
      <c r="A6478" s="128">
        <v>2010</v>
      </c>
      <c r="B6478" s="128" t="s">
        <v>138</v>
      </c>
      <c r="C6478" s="128" t="s">
        <v>20</v>
      </c>
      <c r="D6478" s="128" t="s">
        <v>77</v>
      </c>
      <c r="E6478" s="128" t="s">
        <v>134</v>
      </c>
      <c r="F6478" s="128">
        <v>4656180.2300000004</v>
      </c>
      <c r="G6478" s="128">
        <v>2045352.05</v>
      </c>
      <c r="H6478" s="128">
        <v>1984587.61</v>
      </c>
      <c r="I6478" s="128">
        <v>16512</v>
      </c>
    </row>
    <row r="6479" spans="1:9" ht="13.5">
      <c r="A6479" s="128">
        <v>2010</v>
      </c>
      <c r="B6479" s="128" t="s">
        <v>138</v>
      </c>
      <c r="C6479" s="128" t="s">
        <v>20</v>
      </c>
      <c r="D6479" s="128" t="s">
        <v>77</v>
      </c>
      <c r="E6479" s="128" t="s">
        <v>135</v>
      </c>
      <c r="F6479" s="128">
        <v>7084430.0700000003</v>
      </c>
      <c r="G6479" s="128">
        <v>1845854.68</v>
      </c>
      <c r="H6479" s="128">
        <v>1896584.39</v>
      </c>
      <c r="I6479" s="128">
        <v>17179</v>
      </c>
    </row>
    <row r="6480" spans="1:9" ht="13.5">
      <c r="A6480" s="128">
        <v>2010</v>
      </c>
      <c r="B6480" s="128" t="s">
        <v>138</v>
      </c>
      <c r="C6480" s="128" t="s">
        <v>20</v>
      </c>
      <c r="D6480" s="128" t="s">
        <v>76</v>
      </c>
      <c r="E6480" s="128" t="s">
        <v>136</v>
      </c>
      <c r="F6480" s="128">
        <v>9744471.3900000006</v>
      </c>
      <c r="G6480" s="128">
        <v>7349160.8200000003</v>
      </c>
      <c r="H6480" s="128">
        <v>2395552.69</v>
      </c>
      <c r="I6480" s="128">
        <v>275800</v>
      </c>
    </row>
    <row r="6481" spans="1:9" ht="13.5">
      <c r="A6481" s="128">
        <v>2010</v>
      </c>
      <c r="B6481" s="128" t="s">
        <v>138</v>
      </c>
      <c r="C6481" s="128" t="s">
        <v>20</v>
      </c>
      <c r="D6481" s="128" t="s">
        <v>76</v>
      </c>
      <c r="E6481" s="128" t="s">
        <v>132</v>
      </c>
      <c r="F6481" s="128">
        <v>31390900.050000001</v>
      </c>
      <c r="G6481" s="128">
        <v>20252455.710000001</v>
      </c>
      <c r="H6481" s="128">
        <v>11137271.83</v>
      </c>
      <c r="I6481" s="128">
        <v>319369</v>
      </c>
    </row>
    <row r="6482" spans="1:9" ht="13.5">
      <c r="A6482" s="128">
        <v>2010</v>
      </c>
      <c r="B6482" s="128" t="s">
        <v>138</v>
      </c>
      <c r="C6482" s="128" t="s">
        <v>20</v>
      </c>
      <c r="D6482" s="128" t="s">
        <v>76</v>
      </c>
      <c r="E6482" s="128" t="s">
        <v>133</v>
      </c>
      <c r="F6482" s="128">
        <v>64119445.780000001</v>
      </c>
      <c r="G6482" s="128">
        <v>35356241.829999998</v>
      </c>
      <c r="H6482" s="128">
        <v>28762988.739999998</v>
      </c>
      <c r="I6482" s="128">
        <v>324942</v>
      </c>
    </row>
    <row r="6483" spans="1:9" ht="13.5">
      <c r="A6483" s="128">
        <v>2010</v>
      </c>
      <c r="B6483" s="128" t="s">
        <v>138</v>
      </c>
      <c r="C6483" s="128" t="s">
        <v>20</v>
      </c>
      <c r="D6483" s="128" t="s">
        <v>76</v>
      </c>
      <c r="E6483" s="128" t="s">
        <v>134</v>
      </c>
      <c r="F6483" s="128">
        <v>62860283.939999998</v>
      </c>
      <c r="G6483" s="128">
        <v>28910421.579999998</v>
      </c>
      <c r="H6483" s="128">
        <v>33949603.469999999</v>
      </c>
      <c r="I6483" s="128">
        <v>392383</v>
      </c>
    </row>
    <row r="6484" spans="1:9" ht="13.5">
      <c r="A6484" s="128">
        <v>2010</v>
      </c>
      <c r="B6484" s="128" t="s">
        <v>138</v>
      </c>
      <c r="C6484" s="128" t="s">
        <v>20</v>
      </c>
      <c r="D6484" s="128" t="s">
        <v>76</v>
      </c>
      <c r="E6484" s="128" t="s">
        <v>135</v>
      </c>
      <c r="F6484" s="128">
        <v>8196264.7300000004</v>
      </c>
      <c r="G6484" s="128">
        <v>2602762.27</v>
      </c>
      <c r="H6484" s="128">
        <v>5593500.9900000002</v>
      </c>
      <c r="I6484" s="128">
        <v>34676</v>
      </c>
    </row>
    <row r="6485" spans="1:9" ht="13.5">
      <c r="A6485" s="128">
        <v>2010</v>
      </c>
      <c r="B6485" s="128" t="s">
        <v>138</v>
      </c>
      <c r="C6485" s="128" t="s">
        <v>21</v>
      </c>
      <c r="D6485" s="128" t="s">
        <v>79</v>
      </c>
      <c r="E6485" s="128" t="s">
        <v>136</v>
      </c>
      <c r="F6485" s="128">
        <v>11924026.869999999</v>
      </c>
      <c r="G6485" s="128">
        <v>8965052.9900000002</v>
      </c>
      <c r="H6485" s="128">
        <v>2958145.35</v>
      </c>
      <c r="I6485" s="128">
        <v>178056</v>
      </c>
    </row>
    <row r="6486" spans="1:9" ht="13.5">
      <c r="A6486" s="128">
        <v>2010</v>
      </c>
      <c r="B6486" s="128" t="s">
        <v>138</v>
      </c>
      <c r="C6486" s="128" t="s">
        <v>21</v>
      </c>
      <c r="D6486" s="128" t="s">
        <v>79</v>
      </c>
      <c r="E6486" s="128" t="s">
        <v>132</v>
      </c>
      <c r="F6486" s="128">
        <v>1985750.93</v>
      </c>
      <c r="G6486" s="128">
        <v>1323065.3999999999</v>
      </c>
      <c r="H6486" s="128">
        <v>462630.39</v>
      </c>
      <c r="I6486" s="128">
        <v>14862</v>
      </c>
    </row>
    <row r="6487" spans="1:9" ht="13.5">
      <c r="A6487" s="128">
        <v>2010</v>
      </c>
      <c r="B6487" s="128" t="s">
        <v>138</v>
      </c>
      <c r="C6487" s="128" t="s">
        <v>21</v>
      </c>
      <c r="D6487" s="128" t="s">
        <v>79</v>
      </c>
      <c r="E6487" s="128" t="s">
        <v>133</v>
      </c>
      <c r="F6487" s="128">
        <v>4699860.13</v>
      </c>
      <c r="G6487" s="128">
        <v>2583838.25</v>
      </c>
      <c r="H6487" s="128">
        <v>1481157.18</v>
      </c>
      <c r="I6487" s="128">
        <v>48614</v>
      </c>
    </row>
    <row r="6488" spans="1:9" ht="13.5">
      <c r="A6488" s="128">
        <v>2010</v>
      </c>
      <c r="B6488" s="128" t="s">
        <v>138</v>
      </c>
      <c r="C6488" s="128" t="s">
        <v>21</v>
      </c>
      <c r="D6488" s="128" t="s">
        <v>79</v>
      </c>
      <c r="E6488" s="128" t="s">
        <v>134</v>
      </c>
      <c r="F6488" s="128">
        <v>10477087.5</v>
      </c>
      <c r="G6488" s="128">
        <v>4537202.38</v>
      </c>
      <c r="H6488" s="128">
        <v>3556250.55</v>
      </c>
      <c r="I6488" s="128">
        <v>64612</v>
      </c>
    </row>
    <row r="6489" spans="1:9" ht="13.5">
      <c r="A6489" s="128">
        <v>2010</v>
      </c>
      <c r="B6489" s="128" t="s">
        <v>138</v>
      </c>
      <c r="C6489" s="128" t="s">
        <v>21</v>
      </c>
      <c r="D6489" s="128" t="s">
        <v>79</v>
      </c>
      <c r="E6489" s="128" t="s">
        <v>135</v>
      </c>
      <c r="F6489" s="128">
        <v>19748570.690000001</v>
      </c>
      <c r="G6489" s="128">
        <v>5247664.2699999996</v>
      </c>
      <c r="H6489" s="128">
        <v>1814754.69</v>
      </c>
      <c r="I6489" s="128">
        <v>58703</v>
      </c>
    </row>
    <row r="6490" spans="1:9" ht="13.5">
      <c r="A6490" s="128">
        <v>2010</v>
      </c>
      <c r="B6490" s="128" t="s">
        <v>138</v>
      </c>
      <c r="C6490" s="128" t="s">
        <v>21</v>
      </c>
      <c r="D6490" s="128" t="s">
        <v>77</v>
      </c>
      <c r="E6490" s="128" t="s">
        <v>132</v>
      </c>
      <c r="F6490" s="128">
        <v>1615098.56</v>
      </c>
      <c r="G6490" s="128">
        <v>1084114.2</v>
      </c>
      <c r="H6490" s="128">
        <v>440170.37</v>
      </c>
      <c r="I6490" s="128">
        <v>8578</v>
      </c>
    </row>
    <row r="6491" spans="1:9" ht="13.5">
      <c r="A6491" s="128">
        <v>2010</v>
      </c>
      <c r="B6491" s="128" t="s">
        <v>138</v>
      </c>
      <c r="C6491" s="128" t="s">
        <v>21</v>
      </c>
      <c r="D6491" s="128" t="s">
        <v>77</v>
      </c>
      <c r="E6491" s="128" t="s">
        <v>133</v>
      </c>
      <c r="F6491" s="128">
        <v>4042723.1</v>
      </c>
      <c r="G6491" s="128">
        <v>2197988.0099999998</v>
      </c>
      <c r="H6491" s="128">
        <v>1500564.57</v>
      </c>
      <c r="I6491" s="128">
        <v>13707</v>
      </c>
    </row>
    <row r="6492" spans="1:9" ht="13.5">
      <c r="A6492" s="128">
        <v>2010</v>
      </c>
      <c r="B6492" s="128" t="s">
        <v>138</v>
      </c>
      <c r="C6492" s="128" t="s">
        <v>21</v>
      </c>
      <c r="D6492" s="128" t="s">
        <v>77</v>
      </c>
      <c r="E6492" s="128" t="s">
        <v>134</v>
      </c>
      <c r="F6492" s="128">
        <v>7340152.1200000001</v>
      </c>
      <c r="G6492" s="128">
        <v>3183891.88</v>
      </c>
      <c r="H6492" s="128">
        <v>2759541.27</v>
      </c>
      <c r="I6492" s="128">
        <v>24633</v>
      </c>
    </row>
    <row r="6493" spans="1:9" ht="13.5">
      <c r="A6493" s="128">
        <v>2010</v>
      </c>
      <c r="B6493" s="128" t="s">
        <v>138</v>
      </c>
      <c r="C6493" s="128" t="s">
        <v>21</v>
      </c>
      <c r="D6493" s="128" t="s">
        <v>77</v>
      </c>
      <c r="E6493" s="128" t="s">
        <v>135</v>
      </c>
      <c r="F6493" s="128">
        <v>11042456.84</v>
      </c>
      <c r="G6493" s="128">
        <v>3101498.63</v>
      </c>
      <c r="H6493" s="128">
        <v>3129101.42</v>
      </c>
      <c r="I6493" s="128">
        <v>29913</v>
      </c>
    </row>
    <row r="6494" spans="1:9" ht="13.5">
      <c r="A6494" s="128">
        <v>2010</v>
      </c>
      <c r="B6494" s="128" t="s">
        <v>138</v>
      </c>
      <c r="C6494" s="128" t="s">
        <v>21</v>
      </c>
      <c r="D6494" s="128" t="s">
        <v>76</v>
      </c>
      <c r="E6494" s="128" t="s">
        <v>136</v>
      </c>
      <c r="F6494" s="128">
        <v>10804863.82</v>
      </c>
      <c r="G6494" s="128">
        <v>8139186.5199999996</v>
      </c>
      <c r="H6494" s="128">
        <v>2665804.65</v>
      </c>
      <c r="I6494" s="128">
        <v>226330</v>
      </c>
    </row>
    <row r="6495" spans="1:9" ht="13.5">
      <c r="A6495" s="128">
        <v>2010</v>
      </c>
      <c r="B6495" s="128" t="s">
        <v>138</v>
      </c>
      <c r="C6495" s="128" t="s">
        <v>21</v>
      </c>
      <c r="D6495" s="128" t="s">
        <v>76</v>
      </c>
      <c r="E6495" s="128" t="s">
        <v>132</v>
      </c>
      <c r="F6495" s="128">
        <v>33310691.079999998</v>
      </c>
      <c r="G6495" s="128">
        <v>21474068.850000001</v>
      </c>
      <c r="H6495" s="128">
        <v>11836510.640000001</v>
      </c>
      <c r="I6495" s="128">
        <v>356439</v>
      </c>
    </row>
    <row r="6496" spans="1:9" ht="13.5">
      <c r="A6496" s="128">
        <v>2010</v>
      </c>
      <c r="B6496" s="128" t="s">
        <v>138</v>
      </c>
      <c r="C6496" s="128" t="s">
        <v>21</v>
      </c>
      <c r="D6496" s="128" t="s">
        <v>76</v>
      </c>
      <c r="E6496" s="128" t="s">
        <v>133</v>
      </c>
      <c r="F6496" s="128">
        <v>67459304.159999996</v>
      </c>
      <c r="G6496" s="128">
        <v>37246854.170000002</v>
      </c>
      <c r="H6496" s="128">
        <v>30212379.850000001</v>
      </c>
      <c r="I6496" s="128">
        <v>394710</v>
      </c>
    </row>
    <row r="6497" spans="1:9" ht="13.5">
      <c r="A6497" s="128">
        <v>2010</v>
      </c>
      <c r="B6497" s="128" t="s">
        <v>138</v>
      </c>
      <c r="C6497" s="128" t="s">
        <v>21</v>
      </c>
      <c r="D6497" s="128" t="s">
        <v>76</v>
      </c>
      <c r="E6497" s="128" t="s">
        <v>134</v>
      </c>
      <c r="F6497" s="128">
        <v>59185800.460000001</v>
      </c>
      <c r="G6497" s="128">
        <v>27161660.73</v>
      </c>
      <c r="H6497" s="128">
        <v>32024073.370000001</v>
      </c>
      <c r="I6497" s="128">
        <v>334177</v>
      </c>
    </row>
    <row r="6498" spans="1:9" ht="13.5">
      <c r="A6498" s="128">
        <v>2010</v>
      </c>
      <c r="B6498" s="128" t="s">
        <v>138</v>
      </c>
      <c r="C6498" s="128" t="s">
        <v>21</v>
      </c>
      <c r="D6498" s="128" t="s">
        <v>76</v>
      </c>
      <c r="E6498" s="128" t="s">
        <v>135</v>
      </c>
      <c r="F6498" s="128">
        <v>3804467.88</v>
      </c>
      <c r="G6498" s="128">
        <v>1106322.18</v>
      </c>
      <c r="H6498" s="128">
        <v>2698145.7</v>
      </c>
      <c r="I6498" s="128">
        <v>8773</v>
      </c>
    </row>
    <row r="6499" spans="1:9" ht="13.5">
      <c r="A6499" s="128">
        <v>2010</v>
      </c>
      <c r="B6499" s="128" t="s">
        <v>138</v>
      </c>
      <c r="C6499" s="128" t="s">
        <v>22</v>
      </c>
      <c r="D6499" s="128" t="s">
        <v>79</v>
      </c>
      <c r="E6499" s="128" t="s">
        <v>136</v>
      </c>
      <c r="F6499" s="128">
        <v>7293572.5199999996</v>
      </c>
      <c r="G6499" s="128">
        <v>5486943.9299999997</v>
      </c>
      <c r="H6499" s="128">
        <v>1804453.36</v>
      </c>
      <c r="I6499" s="128">
        <v>89458</v>
      </c>
    </row>
    <row r="6500" spans="1:9" ht="13.5">
      <c r="A6500" s="128">
        <v>2010</v>
      </c>
      <c r="B6500" s="128" t="s">
        <v>138</v>
      </c>
      <c r="C6500" s="128" t="s">
        <v>22</v>
      </c>
      <c r="D6500" s="128" t="s">
        <v>79</v>
      </c>
      <c r="E6500" s="128" t="s">
        <v>132</v>
      </c>
      <c r="F6500" s="128">
        <v>1819362.33</v>
      </c>
      <c r="G6500" s="128">
        <v>1217286.94</v>
      </c>
      <c r="H6500" s="128">
        <v>411500.74</v>
      </c>
      <c r="I6500" s="128">
        <v>11284</v>
      </c>
    </row>
    <row r="6501" spans="1:9" ht="13.5">
      <c r="A6501" s="128">
        <v>2010</v>
      </c>
      <c r="B6501" s="128" t="s">
        <v>138</v>
      </c>
      <c r="C6501" s="128" t="s">
        <v>22</v>
      </c>
      <c r="D6501" s="128" t="s">
        <v>79</v>
      </c>
      <c r="E6501" s="128" t="s">
        <v>133</v>
      </c>
      <c r="F6501" s="128">
        <v>3124718.21</v>
      </c>
      <c r="G6501" s="128">
        <v>1700554.06</v>
      </c>
      <c r="H6501" s="128">
        <v>629036.31000000006</v>
      </c>
      <c r="I6501" s="128">
        <v>16856</v>
      </c>
    </row>
    <row r="6502" spans="1:9" ht="13.5">
      <c r="A6502" s="128">
        <v>2010</v>
      </c>
      <c r="B6502" s="128" t="s">
        <v>138</v>
      </c>
      <c r="C6502" s="128" t="s">
        <v>22</v>
      </c>
      <c r="D6502" s="128" t="s">
        <v>79</v>
      </c>
      <c r="E6502" s="128" t="s">
        <v>134</v>
      </c>
      <c r="F6502" s="128">
        <v>8143943.1900000004</v>
      </c>
      <c r="G6502" s="128">
        <v>3456893.56</v>
      </c>
      <c r="H6502" s="128">
        <v>1259127.6100000001</v>
      </c>
      <c r="I6502" s="128">
        <v>29754</v>
      </c>
    </row>
    <row r="6503" spans="1:9" ht="13.5">
      <c r="A6503" s="128">
        <v>2010</v>
      </c>
      <c r="B6503" s="128" t="s">
        <v>138</v>
      </c>
      <c r="C6503" s="128" t="s">
        <v>22</v>
      </c>
      <c r="D6503" s="128" t="s">
        <v>79</v>
      </c>
      <c r="E6503" s="128" t="s">
        <v>135</v>
      </c>
      <c r="F6503" s="128">
        <v>38915193.649999999</v>
      </c>
      <c r="G6503" s="128">
        <v>10425364.76</v>
      </c>
      <c r="H6503" s="128">
        <v>3543287.82</v>
      </c>
      <c r="I6503" s="128">
        <v>85547</v>
      </c>
    </row>
    <row r="6504" spans="1:9" ht="13.5">
      <c r="A6504" s="128">
        <v>2010</v>
      </c>
      <c r="B6504" s="128" t="s">
        <v>138</v>
      </c>
      <c r="C6504" s="128" t="s">
        <v>22</v>
      </c>
      <c r="D6504" s="128" t="s">
        <v>77</v>
      </c>
      <c r="E6504" s="128" t="s">
        <v>132</v>
      </c>
      <c r="F6504" s="128">
        <v>594521.13</v>
      </c>
      <c r="G6504" s="128">
        <v>390472.57</v>
      </c>
      <c r="H6504" s="128">
        <v>165024.67000000001</v>
      </c>
      <c r="I6504" s="128">
        <v>3695</v>
      </c>
    </row>
    <row r="6505" spans="1:9" ht="13.5">
      <c r="A6505" s="128">
        <v>2010</v>
      </c>
      <c r="B6505" s="128" t="s">
        <v>138</v>
      </c>
      <c r="C6505" s="128" t="s">
        <v>22</v>
      </c>
      <c r="D6505" s="128" t="s">
        <v>77</v>
      </c>
      <c r="E6505" s="128" t="s">
        <v>133</v>
      </c>
      <c r="F6505" s="128">
        <v>1330545.42</v>
      </c>
      <c r="G6505" s="128">
        <v>725351.4</v>
      </c>
      <c r="H6505" s="128">
        <v>509360.25</v>
      </c>
      <c r="I6505" s="128">
        <v>4259</v>
      </c>
    </row>
    <row r="6506" spans="1:9" ht="13.5">
      <c r="A6506" s="128">
        <v>2010</v>
      </c>
      <c r="B6506" s="128" t="s">
        <v>138</v>
      </c>
      <c r="C6506" s="128" t="s">
        <v>22</v>
      </c>
      <c r="D6506" s="128" t="s">
        <v>77</v>
      </c>
      <c r="E6506" s="128" t="s">
        <v>134</v>
      </c>
      <c r="F6506" s="128">
        <v>3940955.99</v>
      </c>
      <c r="G6506" s="128">
        <v>1682887.43</v>
      </c>
      <c r="H6506" s="128">
        <v>1549556.93</v>
      </c>
      <c r="I6506" s="128">
        <v>9141</v>
      </c>
    </row>
    <row r="6507" spans="1:9" ht="13.5">
      <c r="A6507" s="128">
        <v>2010</v>
      </c>
      <c r="B6507" s="128" t="s">
        <v>138</v>
      </c>
      <c r="C6507" s="128" t="s">
        <v>22</v>
      </c>
      <c r="D6507" s="128" t="s">
        <v>77</v>
      </c>
      <c r="E6507" s="128" t="s">
        <v>135</v>
      </c>
      <c r="F6507" s="128">
        <v>9410635.6600000001</v>
      </c>
      <c r="G6507" s="128">
        <v>2569971.0499999998</v>
      </c>
      <c r="H6507" s="128">
        <v>2705531.41</v>
      </c>
      <c r="I6507" s="128">
        <v>21530</v>
      </c>
    </row>
    <row r="6508" spans="1:9" ht="13.5">
      <c r="A6508" s="128">
        <v>2010</v>
      </c>
      <c r="B6508" s="128" t="s">
        <v>138</v>
      </c>
      <c r="C6508" s="128" t="s">
        <v>22</v>
      </c>
      <c r="D6508" s="128" t="s">
        <v>76</v>
      </c>
      <c r="E6508" s="128" t="s">
        <v>136</v>
      </c>
      <c r="F6508" s="128">
        <v>3764650.09</v>
      </c>
      <c r="G6508" s="128">
        <v>2854023.9</v>
      </c>
      <c r="H6508" s="128">
        <v>910407.49</v>
      </c>
      <c r="I6508" s="128">
        <v>68820</v>
      </c>
    </row>
    <row r="6509" spans="1:9" ht="13.5">
      <c r="A6509" s="128">
        <v>2010</v>
      </c>
      <c r="B6509" s="128" t="s">
        <v>138</v>
      </c>
      <c r="C6509" s="128" t="s">
        <v>22</v>
      </c>
      <c r="D6509" s="128" t="s">
        <v>76</v>
      </c>
      <c r="E6509" s="128" t="s">
        <v>132</v>
      </c>
      <c r="F6509" s="128">
        <v>26517620.260000002</v>
      </c>
      <c r="G6509" s="128">
        <v>17099516.940000001</v>
      </c>
      <c r="H6509" s="128">
        <v>9418009.25</v>
      </c>
      <c r="I6509" s="128">
        <v>286543</v>
      </c>
    </row>
    <row r="6510" spans="1:9" ht="13.5">
      <c r="A6510" s="128">
        <v>2010</v>
      </c>
      <c r="B6510" s="128" t="s">
        <v>138</v>
      </c>
      <c r="C6510" s="128" t="s">
        <v>22</v>
      </c>
      <c r="D6510" s="128" t="s">
        <v>76</v>
      </c>
      <c r="E6510" s="128" t="s">
        <v>133</v>
      </c>
      <c r="F6510" s="128">
        <v>52327168.740000002</v>
      </c>
      <c r="G6510" s="128">
        <v>29063998.91</v>
      </c>
      <c r="H6510" s="128">
        <v>23262996.489999998</v>
      </c>
      <c r="I6510" s="128">
        <v>389912</v>
      </c>
    </row>
    <row r="6511" spans="1:9" ht="13.5">
      <c r="A6511" s="128">
        <v>2010</v>
      </c>
      <c r="B6511" s="128" t="s">
        <v>138</v>
      </c>
      <c r="C6511" s="128" t="s">
        <v>22</v>
      </c>
      <c r="D6511" s="128" t="s">
        <v>76</v>
      </c>
      <c r="E6511" s="128" t="s">
        <v>134</v>
      </c>
      <c r="F6511" s="128">
        <v>41138873.590000004</v>
      </c>
      <c r="G6511" s="128">
        <v>19112488.350000001</v>
      </c>
      <c r="H6511" s="128">
        <v>22026341.260000002</v>
      </c>
      <c r="I6511" s="128">
        <v>254882</v>
      </c>
    </row>
    <row r="6512" spans="1:9" ht="13.5">
      <c r="A6512" s="128">
        <v>2010</v>
      </c>
      <c r="B6512" s="128" t="s">
        <v>138</v>
      </c>
      <c r="C6512" s="128" t="s">
        <v>22</v>
      </c>
      <c r="D6512" s="128" t="s">
        <v>76</v>
      </c>
      <c r="E6512" s="128" t="s">
        <v>135</v>
      </c>
      <c r="F6512" s="128">
        <v>6043596.1299999999</v>
      </c>
      <c r="G6512" s="128">
        <v>1795500.85</v>
      </c>
      <c r="H6512" s="128">
        <v>4248088.46</v>
      </c>
      <c r="I6512" s="128">
        <v>9906</v>
      </c>
    </row>
    <row r="6513" spans="1:9" ht="13.5">
      <c r="A6513" s="128">
        <v>2010</v>
      </c>
      <c r="B6513" s="128" t="s">
        <v>138</v>
      </c>
      <c r="C6513" s="128" t="s">
        <v>23</v>
      </c>
      <c r="D6513" s="128" t="s">
        <v>79</v>
      </c>
      <c r="E6513" s="128" t="s">
        <v>136</v>
      </c>
      <c r="F6513" s="128">
        <v>2457600.7799999998</v>
      </c>
      <c r="G6513" s="128">
        <v>1844300.78</v>
      </c>
      <c r="H6513" s="128">
        <v>612938.05000000005</v>
      </c>
      <c r="I6513" s="128">
        <v>56533</v>
      </c>
    </row>
    <row r="6514" spans="1:9" ht="13.5">
      <c r="A6514" s="128">
        <v>2010</v>
      </c>
      <c r="B6514" s="128" t="s">
        <v>138</v>
      </c>
      <c r="C6514" s="128" t="s">
        <v>23</v>
      </c>
      <c r="D6514" s="128" t="s">
        <v>79</v>
      </c>
      <c r="E6514" s="128" t="s">
        <v>132</v>
      </c>
      <c r="F6514" s="128">
        <v>628844.44999999995</v>
      </c>
      <c r="G6514" s="128">
        <v>428327.18</v>
      </c>
      <c r="H6514" s="128">
        <v>162725.14000000001</v>
      </c>
      <c r="I6514" s="128">
        <v>5083</v>
      </c>
    </row>
    <row r="6515" spans="1:9" ht="13.5">
      <c r="A6515" s="128">
        <v>2010</v>
      </c>
      <c r="B6515" s="128" t="s">
        <v>138</v>
      </c>
      <c r="C6515" s="128" t="s">
        <v>23</v>
      </c>
      <c r="D6515" s="128" t="s">
        <v>79</v>
      </c>
      <c r="E6515" s="128" t="s">
        <v>133</v>
      </c>
      <c r="F6515" s="128">
        <v>1551189.4</v>
      </c>
      <c r="G6515" s="128">
        <v>841516.09</v>
      </c>
      <c r="H6515" s="128">
        <v>552009.04</v>
      </c>
      <c r="I6515" s="128">
        <v>9795</v>
      </c>
    </row>
    <row r="6516" spans="1:9" ht="13.5">
      <c r="A6516" s="128">
        <v>2010</v>
      </c>
      <c r="B6516" s="128" t="s">
        <v>138</v>
      </c>
      <c r="C6516" s="128" t="s">
        <v>23</v>
      </c>
      <c r="D6516" s="128" t="s">
        <v>79</v>
      </c>
      <c r="E6516" s="128" t="s">
        <v>134</v>
      </c>
      <c r="F6516" s="128">
        <v>6057707.4000000004</v>
      </c>
      <c r="G6516" s="128">
        <v>2592474.37</v>
      </c>
      <c r="H6516" s="128">
        <v>3229920.13</v>
      </c>
      <c r="I6516" s="128">
        <v>48358</v>
      </c>
    </row>
    <row r="6517" spans="1:9" ht="13.5">
      <c r="A6517" s="128">
        <v>2010</v>
      </c>
      <c r="B6517" s="128" t="s">
        <v>138</v>
      </c>
      <c r="C6517" s="128" t="s">
        <v>23</v>
      </c>
      <c r="D6517" s="128" t="s">
        <v>79</v>
      </c>
      <c r="E6517" s="128" t="s">
        <v>135</v>
      </c>
      <c r="F6517" s="128">
        <v>2032183.54</v>
      </c>
      <c r="G6517" s="128">
        <v>552619.32999999996</v>
      </c>
      <c r="H6517" s="128">
        <v>225900.79999999999</v>
      </c>
      <c r="I6517" s="128">
        <v>8725</v>
      </c>
    </row>
    <row r="6518" spans="1:9" ht="13.5">
      <c r="A6518" s="128">
        <v>2010</v>
      </c>
      <c r="B6518" s="128" t="s">
        <v>138</v>
      </c>
      <c r="C6518" s="128" t="s">
        <v>23</v>
      </c>
      <c r="D6518" s="128" t="s">
        <v>77</v>
      </c>
      <c r="E6518" s="128" t="s">
        <v>132</v>
      </c>
      <c r="F6518" s="128">
        <v>1590574.78</v>
      </c>
      <c r="G6518" s="128">
        <v>1054986.8500000001</v>
      </c>
      <c r="H6518" s="128">
        <v>506371.08</v>
      </c>
      <c r="I6518" s="128">
        <v>11888</v>
      </c>
    </row>
    <row r="6519" spans="1:9" ht="13.5">
      <c r="A6519" s="128">
        <v>2010</v>
      </c>
      <c r="B6519" s="128" t="s">
        <v>138</v>
      </c>
      <c r="C6519" s="128" t="s">
        <v>23</v>
      </c>
      <c r="D6519" s="128" t="s">
        <v>77</v>
      </c>
      <c r="E6519" s="128" t="s">
        <v>133</v>
      </c>
      <c r="F6519" s="128">
        <v>2391672.19</v>
      </c>
      <c r="G6519" s="128">
        <v>1299573.1299999999</v>
      </c>
      <c r="H6519" s="128">
        <v>987080.79</v>
      </c>
      <c r="I6519" s="128">
        <v>10139</v>
      </c>
    </row>
    <row r="6520" spans="1:9" ht="13.5">
      <c r="A6520" s="128">
        <v>2010</v>
      </c>
      <c r="B6520" s="128" t="s">
        <v>138</v>
      </c>
      <c r="C6520" s="128" t="s">
        <v>23</v>
      </c>
      <c r="D6520" s="128" t="s">
        <v>77</v>
      </c>
      <c r="E6520" s="128" t="s">
        <v>134</v>
      </c>
      <c r="F6520" s="128">
        <v>4067773.55</v>
      </c>
      <c r="G6520" s="128">
        <v>1824363.26</v>
      </c>
      <c r="H6520" s="128">
        <v>1861428.76</v>
      </c>
      <c r="I6520" s="128">
        <v>12132</v>
      </c>
    </row>
    <row r="6521" spans="1:9" ht="13.5">
      <c r="A6521" s="128">
        <v>2010</v>
      </c>
      <c r="B6521" s="128" t="s">
        <v>138</v>
      </c>
      <c r="C6521" s="128" t="s">
        <v>23</v>
      </c>
      <c r="D6521" s="128" t="s">
        <v>77</v>
      </c>
      <c r="E6521" s="128" t="s">
        <v>135</v>
      </c>
      <c r="F6521" s="128">
        <v>1416992.64</v>
      </c>
      <c r="G6521" s="128">
        <v>385254.85</v>
      </c>
      <c r="H6521" s="128">
        <v>439032.7</v>
      </c>
      <c r="I6521" s="128">
        <v>3284</v>
      </c>
    </row>
    <row r="6522" spans="1:9" ht="13.5">
      <c r="A6522" s="128">
        <v>2010</v>
      </c>
      <c r="B6522" s="128" t="s">
        <v>138</v>
      </c>
      <c r="C6522" s="128" t="s">
        <v>23</v>
      </c>
      <c r="D6522" s="128" t="s">
        <v>76</v>
      </c>
      <c r="E6522" s="128" t="s">
        <v>136</v>
      </c>
      <c r="F6522" s="128">
        <v>2255583.52</v>
      </c>
      <c r="G6522" s="128">
        <v>1697896.52</v>
      </c>
      <c r="H6522" s="128">
        <v>557771.25</v>
      </c>
      <c r="I6522" s="128">
        <v>19267</v>
      </c>
    </row>
    <row r="6523" spans="1:9" ht="13.5">
      <c r="A6523" s="128">
        <v>2010</v>
      </c>
      <c r="B6523" s="128" t="s">
        <v>138</v>
      </c>
      <c r="C6523" s="128" t="s">
        <v>23</v>
      </c>
      <c r="D6523" s="128" t="s">
        <v>76</v>
      </c>
      <c r="E6523" s="128" t="s">
        <v>132</v>
      </c>
      <c r="F6523" s="128">
        <v>8461637.5500000007</v>
      </c>
      <c r="G6523" s="128">
        <v>5512377.7999999998</v>
      </c>
      <c r="H6523" s="128">
        <v>2949225.27</v>
      </c>
      <c r="I6523" s="128">
        <v>110012</v>
      </c>
    </row>
    <row r="6524" spans="1:9" ht="13.5">
      <c r="A6524" s="128">
        <v>2010</v>
      </c>
      <c r="B6524" s="128" t="s">
        <v>138</v>
      </c>
      <c r="C6524" s="128" t="s">
        <v>23</v>
      </c>
      <c r="D6524" s="128" t="s">
        <v>76</v>
      </c>
      <c r="E6524" s="128" t="s">
        <v>133</v>
      </c>
      <c r="F6524" s="128">
        <v>16785169.309999999</v>
      </c>
      <c r="G6524" s="128">
        <v>9189566.3499999996</v>
      </c>
      <c r="H6524" s="128">
        <v>7595653.0300000003</v>
      </c>
      <c r="I6524" s="128">
        <v>116805</v>
      </c>
    </row>
    <row r="6525" spans="1:9" ht="13.5">
      <c r="A6525" s="128">
        <v>2010</v>
      </c>
      <c r="B6525" s="128" t="s">
        <v>138</v>
      </c>
      <c r="C6525" s="128" t="s">
        <v>23</v>
      </c>
      <c r="D6525" s="128" t="s">
        <v>76</v>
      </c>
      <c r="E6525" s="128" t="s">
        <v>134</v>
      </c>
      <c r="F6525" s="128">
        <v>21069974.550000001</v>
      </c>
      <c r="G6525" s="128">
        <v>9703540.4299999997</v>
      </c>
      <c r="H6525" s="128">
        <v>11366420.970000001</v>
      </c>
      <c r="I6525" s="128">
        <v>81298</v>
      </c>
    </row>
    <row r="6526" spans="1:9" ht="13.5">
      <c r="A6526" s="128">
        <v>2010</v>
      </c>
      <c r="B6526" s="128" t="s">
        <v>138</v>
      </c>
      <c r="C6526" s="128" t="s">
        <v>23</v>
      </c>
      <c r="D6526" s="128" t="s">
        <v>76</v>
      </c>
      <c r="E6526" s="128" t="s">
        <v>135</v>
      </c>
      <c r="F6526" s="128">
        <v>1857149.3</v>
      </c>
      <c r="G6526" s="128">
        <v>537067.1</v>
      </c>
      <c r="H6526" s="128">
        <v>1320082.2</v>
      </c>
      <c r="I6526" s="128">
        <v>2803</v>
      </c>
    </row>
    <row r="6527" spans="1:9" ht="13.5">
      <c r="A6527" s="128">
        <v>2010</v>
      </c>
      <c r="B6527" s="128" t="s">
        <v>138</v>
      </c>
      <c r="C6527" s="128" t="s">
        <v>24</v>
      </c>
      <c r="D6527" s="128" t="s">
        <v>79</v>
      </c>
      <c r="E6527" s="128" t="s">
        <v>136</v>
      </c>
      <c r="F6527" s="128">
        <v>1665268.15</v>
      </c>
      <c r="G6527" s="128">
        <v>1252460.26</v>
      </c>
      <c r="H6527" s="128">
        <v>412807.28</v>
      </c>
      <c r="I6527" s="128">
        <v>35065</v>
      </c>
    </row>
    <row r="6528" spans="1:9" ht="13.5">
      <c r="A6528" s="128">
        <v>2010</v>
      </c>
      <c r="B6528" s="128" t="s">
        <v>138</v>
      </c>
      <c r="C6528" s="128" t="s">
        <v>24</v>
      </c>
      <c r="D6528" s="128" t="s">
        <v>79</v>
      </c>
      <c r="E6528" s="128" t="s">
        <v>132</v>
      </c>
      <c r="F6528" s="128">
        <v>481591.42</v>
      </c>
      <c r="G6528" s="128">
        <v>315448.26</v>
      </c>
      <c r="H6528" s="128">
        <v>106567.64</v>
      </c>
      <c r="I6528" s="128">
        <v>3424</v>
      </c>
    </row>
    <row r="6529" spans="1:9" ht="13.5">
      <c r="A6529" s="128">
        <v>2010</v>
      </c>
      <c r="B6529" s="128" t="s">
        <v>138</v>
      </c>
      <c r="C6529" s="128" t="s">
        <v>24</v>
      </c>
      <c r="D6529" s="128" t="s">
        <v>79</v>
      </c>
      <c r="E6529" s="128" t="s">
        <v>133</v>
      </c>
      <c r="F6529" s="128">
        <v>1397953.99</v>
      </c>
      <c r="G6529" s="128">
        <v>760679.52</v>
      </c>
      <c r="H6529" s="128">
        <v>256041.85</v>
      </c>
      <c r="I6529" s="128">
        <v>9721</v>
      </c>
    </row>
    <row r="6530" spans="1:9" ht="13.5">
      <c r="A6530" s="128">
        <v>2010</v>
      </c>
      <c r="B6530" s="128" t="s">
        <v>138</v>
      </c>
      <c r="C6530" s="128" t="s">
        <v>24</v>
      </c>
      <c r="D6530" s="128" t="s">
        <v>79</v>
      </c>
      <c r="E6530" s="128" t="s">
        <v>134</v>
      </c>
      <c r="F6530" s="128">
        <v>3023585.24</v>
      </c>
      <c r="G6530" s="128">
        <v>1280441.29</v>
      </c>
      <c r="H6530" s="128">
        <v>440406.53</v>
      </c>
      <c r="I6530" s="128">
        <v>14779</v>
      </c>
    </row>
    <row r="6531" spans="1:9" ht="13.5">
      <c r="A6531" s="128">
        <v>2010</v>
      </c>
      <c r="B6531" s="128" t="s">
        <v>138</v>
      </c>
      <c r="C6531" s="128" t="s">
        <v>24</v>
      </c>
      <c r="D6531" s="128" t="s">
        <v>79</v>
      </c>
      <c r="E6531" s="128" t="s">
        <v>135</v>
      </c>
      <c r="F6531" s="128">
        <v>6222749.0999999996</v>
      </c>
      <c r="G6531" s="128">
        <v>1540415.9</v>
      </c>
      <c r="H6531" s="128">
        <v>517288</v>
      </c>
      <c r="I6531" s="128">
        <v>16109</v>
      </c>
    </row>
    <row r="6532" spans="1:9" ht="13.5">
      <c r="A6532" s="128">
        <v>2010</v>
      </c>
      <c r="B6532" s="128" t="s">
        <v>138</v>
      </c>
      <c r="C6532" s="128" t="s">
        <v>24</v>
      </c>
      <c r="D6532" s="128" t="s">
        <v>77</v>
      </c>
      <c r="E6532" s="128" t="s">
        <v>132</v>
      </c>
      <c r="F6532" s="128">
        <v>2044207.92</v>
      </c>
      <c r="G6532" s="128">
        <v>1399422.45</v>
      </c>
      <c r="H6532" s="128">
        <v>622956.59</v>
      </c>
      <c r="I6532" s="128">
        <v>12572</v>
      </c>
    </row>
    <row r="6533" spans="1:9" ht="13.5">
      <c r="A6533" s="128">
        <v>2010</v>
      </c>
      <c r="B6533" s="128" t="s">
        <v>138</v>
      </c>
      <c r="C6533" s="128" t="s">
        <v>24</v>
      </c>
      <c r="D6533" s="128" t="s">
        <v>77</v>
      </c>
      <c r="E6533" s="128" t="s">
        <v>133</v>
      </c>
      <c r="F6533" s="128">
        <v>3698560.43</v>
      </c>
      <c r="G6533" s="128">
        <v>2000803.05</v>
      </c>
      <c r="H6533" s="128">
        <v>1444862.68</v>
      </c>
      <c r="I6533" s="128">
        <v>34123</v>
      </c>
    </row>
    <row r="6534" spans="1:9" ht="13.5">
      <c r="A6534" s="128">
        <v>2010</v>
      </c>
      <c r="B6534" s="128" t="s">
        <v>138</v>
      </c>
      <c r="C6534" s="128" t="s">
        <v>24</v>
      </c>
      <c r="D6534" s="128" t="s">
        <v>77</v>
      </c>
      <c r="E6534" s="128" t="s">
        <v>134</v>
      </c>
      <c r="F6534" s="128">
        <v>7134199.1299999999</v>
      </c>
      <c r="G6534" s="128">
        <v>3112800.6</v>
      </c>
      <c r="H6534" s="128">
        <v>2336515.6800000002</v>
      </c>
      <c r="I6534" s="128">
        <v>22349</v>
      </c>
    </row>
    <row r="6535" spans="1:9" ht="13.5">
      <c r="A6535" s="128">
        <v>2010</v>
      </c>
      <c r="B6535" s="128" t="s">
        <v>138</v>
      </c>
      <c r="C6535" s="128" t="s">
        <v>24</v>
      </c>
      <c r="D6535" s="128" t="s">
        <v>77</v>
      </c>
      <c r="E6535" s="128" t="s">
        <v>135</v>
      </c>
      <c r="F6535" s="128">
        <v>10078992.83</v>
      </c>
      <c r="G6535" s="128">
        <v>2790491.75</v>
      </c>
      <c r="H6535" s="128">
        <v>1897836.01</v>
      </c>
      <c r="I6535" s="128">
        <v>19910</v>
      </c>
    </row>
    <row r="6536" spans="1:9" ht="13.5">
      <c r="A6536" s="128">
        <v>2010</v>
      </c>
      <c r="B6536" s="128" t="s">
        <v>138</v>
      </c>
      <c r="C6536" s="128" t="s">
        <v>24</v>
      </c>
      <c r="D6536" s="128" t="s">
        <v>76</v>
      </c>
      <c r="E6536" s="128" t="s">
        <v>136</v>
      </c>
      <c r="F6536" s="128">
        <v>994619.32</v>
      </c>
      <c r="G6536" s="128">
        <v>752532.73</v>
      </c>
      <c r="H6536" s="128">
        <v>242086.59</v>
      </c>
      <c r="I6536" s="128">
        <v>10696</v>
      </c>
    </row>
    <row r="6537" spans="1:9" ht="13.5">
      <c r="A6537" s="128">
        <v>2010</v>
      </c>
      <c r="B6537" s="128" t="s">
        <v>138</v>
      </c>
      <c r="C6537" s="128" t="s">
        <v>24</v>
      </c>
      <c r="D6537" s="128" t="s">
        <v>76</v>
      </c>
      <c r="E6537" s="128" t="s">
        <v>132</v>
      </c>
      <c r="F6537" s="128">
        <v>8044939.9199999999</v>
      </c>
      <c r="G6537" s="128">
        <v>5096716.6900000004</v>
      </c>
      <c r="H6537" s="128">
        <v>2948216.47</v>
      </c>
      <c r="I6537" s="128">
        <v>82147</v>
      </c>
    </row>
    <row r="6538" spans="1:9" ht="13.5">
      <c r="A6538" s="128">
        <v>2010</v>
      </c>
      <c r="B6538" s="128" t="s">
        <v>138</v>
      </c>
      <c r="C6538" s="128" t="s">
        <v>24</v>
      </c>
      <c r="D6538" s="128" t="s">
        <v>76</v>
      </c>
      <c r="E6538" s="128" t="s">
        <v>133</v>
      </c>
      <c r="F6538" s="128">
        <v>25135547.25</v>
      </c>
      <c r="G6538" s="128">
        <v>13969834.27</v>
      </c>
      <c r="H6538" s="128">
        <v>11165703.859999999</v>
      </c>
      <c r="I6538" s="128">
        <v>178952</v>
      </c>
    </row>
    <row r="6539" spans="1:9" ht="13.5">
      <c r="A6539" s="128">
        <v>2010</v>
      </c>
      <c r="B6539" s="128" t="s">
        <v>138</v>
      </c>
      <c r="C6539" s="128" t="s">
        <v>24</v>
      </c>
      <c r="D6539" s="128" t="s">
        <v>76</v>
      </c>
      <c r="E6539" s="128" t="s">
        <v>134</v>
      </c>
      <c r="F6539" s="128">
        <v>30026136.149999999</v>
      </c>
      <c r="G6539" s="128">
        <v>13272775.289999999</v>
      </c>
      <c r="H6539" s="128">
        <v>16753351.98</v>
      </c>
      <c r="I6539" s="128">
        <v>147536</v>
      </c>
    </row>
    <row r="6540" spans="1:9" ht="13.5">
      <c r="A6540" s="128">
        <v>2010</v>
      </c>
      <c r="B6540" s="128" t="s">
        <v>138</v>
      </c>
      <c r="C6540" s="128" t="s">
        <v>24</v>
      </c>
      <c r="D6540" s="128" t="s">
        <v>76</v>
      </c>
      <c r="E6540" s="128" t="s">
        <v>135</v>
      </c>
      <c r="F6540" s="128">
        <v>3288633.75</v>
      </c>
      <c r="G6540" s="128">
        <v>880334.6</v>
      </c>
      <c r="H6540" s="128">
        <v>2408299.15</v>
      </c>
      <c r="I6540" s="128">
        <v>2223</v>
      </c>
    </row>
    <row r="6541" spans="1:9" ht="13.5">
      <c r="A6541" s="128">
        <v>2010</v>
      </c>
      <c r="B6541" s="128" t="s">
        <v>138</v>
      </c>
      <c r="C6541" s="128" t="s">
        <v>25</v>
      </c>
      <c r="D6541" s="128" t="s">
        <v>79</v>
      </c>
      <c r="E6541" s="128" t="s">
        <v>136</v>
      </c>
      <c r="F6541" s="128">
        <v>1089669.3700000001</v>
      </c>
      <c r="G6541" s="128">
        <v>818797.73</v>
      </c>
      <c r="H6541" s="128">
        <v>270613.03999999998</v>
      </c>
      <c r="I6541" s="128">
        <v>17945</v>
      </c>
    </row>
    <row r="6542" spans="1:9" ht="13.5">
      <c r="A6542" s="128">
        <v>2010</v>
      </c>
      <c r="B6542" s="128" t="s">
        <v>138</v>
      </c>
      <c r="C6542" s="128" t="s">
        <v>25</v>
      </c>
      <c r="D6542" s="128" t="s">
        <v>79</v>
      </c>
      <c r="E6542" s="128" t="s">
        <v>132</v>
      </c>
      <c r="F6542" s="128">
        <v>160119.65</v>
      </c>
      <c r="G6542" s="128">
        <v>107994.4</v>
      </c>
      <c r="H6542" s="128">
        <v>36167.97</v>
      </c>
      <c r="I6542" s="128">
        <v>968</v>
      </c>
    </row>
    <row r="6543" spans="1:9" ht="13.5">
      <c r="A6543" s="128">
        <v>2010</v>
      </c>
      <c r="B6543" s="128" t="s">
        <v>138</v>
      </c>
      <c r="C6543" s="128" t="s">
        <v>25</v>
      </c>
      <c r="D6543" s="128" t="s">
        <v>79</v>
      </c>
      <c r="E6543" s="128" t="s">
        <v>133</v>
      </c>
      <c r="F6543" s="128">
        <v>207594.96</v>
      </c>
      <c r="G6543" s="128">
        <v>113465.59</v>
      </c>
      <c r="H6543" s="128">
        <v>40348.5</v>
      </c>
      <c r="I6543" s="128">
        <v>860</v>
      </c>
    </row>
    <row r="6544" spans="1:9" ht="13.5">
      <c r="A6544" s="128">
        <v>2010</v>
      </c>
      <c r="B6544" s="128" t="s">
        <v>138</v>
      </c>
      <c r="C6544" s="128" t="s">
        <v>25</v>
      </c>
      <c r="D6544" s="128" t="s">
        <v>79</v>
      </c>
      <c r="E6544" s="128" t="s">
        <v>134</v>
      </c>
      <c r="F6544" s="128">
        <v>655698.42000000004</v>
      </c>
      <c r="G6544" s="128">
        <v>281857.7</v>
      </c>
      <c r="H6544" s="128">
        <v>101327.37</v>
      </c>
      <c r="I6544" s="128">
        <v>2467</v>
      </c>
    </row>
    <row r="6545" spans="1:9" ht="13.5">
      <c r="A6545" s="128">
        <v>2010</v>
      </c>
      <c r="B6545" s="128" t="s">
        <v>138</v>
      </c>
      <c r="C6545" s="128" t="s">
        <v>25</v>
      </c>
      <c r="D6545" s="128" t="s">
        <v>79</v>
      </c>
      <c r="E6545" s="128" t="s">
        <v>135</v>
      </c>
      <c r="F6545" s="128">
        <v>2259964.9300000002</v>
      </c>
      <c r="G6545" s="128">
        <v>572574.12</v>
      </c>
      <c r="H6545" s="128">
        <v>196740.64</v>
      </c>
      <c r="I6545" s="128">
        <v>5941</v>
      </c>
    </row>
    <row r="6546" spans="1:9" ht="13.5">
      <c r="A6546" s="128">
        <v>2010</v>
      </c>
      <c r="B6546" s="128" t="s">
        <v>138</v>
      </c>
      <c r="C6546" s="128" t="s">
        <v>25</v>
      </c>
      <c r="D6546" s="128" t="s">
        <v>77</v>
      </c>
      <c r="E6546" s="128" t="s">
        <v>132</v>
      </c>
      <c r="F6546" s="128">
        <v>72016.639999999999</v>
      </c>
      <c r="G6546" s="128">
        <v>48884.75</v>
      </c>
      <c r="H6546" s="128">
        <v>19600.32</v>
      </c>
      <c r="I6546" s="128">
        <v>313</v>
      </c>
    </row>
    <row r="6547" spans="1:9" ht="13.5">
      <c r="A6547" s="128">
        <v>2010</v>
      </c>
      <c r="B6547" s="128" t="s">
        <v>138</v>
      </c>
      <c r="C6547" s="128" t="s">
        <v>25</v>
      </c>
      <c r="D6547" s="128" t="s">
        <v>77</v>
      </c>
      <c r="E6547" s="128" t="s">
        <v>133</v>
      </c>
      <c r="F6547" s="128">
        <v>168809.45</v>
      </c>
      <c r="G6547" s="128">
        <v>91314.5</v>
      </c>
      <c r="H6547" s="128">
        <v>67974.94</v>
      </c>
      <c r="I6547" s="128">
        <v>551</v>
      </c>
    </row>
    <row r="6548" spans="1:9" ht="13.5">
      <c r="A6548" s="128">
        <v>2010</v>
      </c>
      <c r="B6548" s="128" t="s">
        <v>138</v>
      </c>
      <c r="C6548" s="128" t="s">
        <v>25</v>
      </c>
      <c r="D6548" s="128" t="s">
        <v>77</v>
      </c>
      <c r="E6548" s="128" t="s">
        <v>134</v>
      </c>
      <c r="F6548" s="128">
        <v>757390.23</v>
      </c>
      <c r="G6548" s="128">
        <v>324948.5</v>
      </c>
      <c r="H6548" s="128">
        <v>323490.64</v>
      </c>
      <c r="I6548" s="128">
        <v>1816</v>
      </c>
    </row>
    <row r="6549" spans="1:9" ht="13.5">
      <c r="A6549" s="128">
        <v>2010</v>
      </c>
      <c r="B6549" s="128" t="s">
        <v>138</v>
      </c>
      <c r="C6549" s="128" t="s">
        <v>25</v>
      </c>
      <c r="D6549" s="128" t="s">
        <v>77</v>
      </c>
      <c r="E6549" s="128" t="s">
        <v>135</v>
      </c>
      <c r="F6549" s="128">
        <v>1104635.31</v>
      </c>
      <c r="G6549" s="128">
        <v>335682.2</v>
      </c>
      <c r="H6549" s="128">
        <v>378154.26</v>
      </c>
      <c r="I6549" s="128">
        <v>4154</v>
      </c>
    </row>
    <row r="6550" spans="1:9" ht="13.5">
      <c r="A6550" s="128">
        <v>2010</v>
      </c>
      <c r="B6550" s="128" t="s">
        <v>138</v>
      </c>
      <c r="C6550" s="128" t="s">
        <v>25</v>
      </c>
      <c r="D6550" s="128" t="s">
        <v>76</v>
      </c>
      <c r="E6550" s="128" t="s">
        <v>136</v>
      </c>
      <c r="F6550" s="128">
        <v>570234.43000000005</v>
      </c>
      <c r="G6550" s="128">
        <v>433201.71</v>
      </c>
      <c r="H6550" s="128">
        <v>137032.72</v>
      </c>
      <c r="I6550" s="128">
        <v>7959</v>
      </c>
    </row>
    <row r="6551" spans="1:9" ht="13.5">
      <c r="A6551" s="128">
        <v>2010</v>
      </c>
      <c r="B6551" s="128" t="s">
        <v>138</v>
      </c>
      <c r="C6551" s="128" t="s">
        <v>25</v>
      </c>
      <c r="D6551" s="128" t="s">
        <v>76</v>
      </c>
      <c r="E6551" s="128" t="s">
        <v>132</v>
      </c>
      <c r="F6551" s="128">
        <v>2530912.08</v>
      </c>
      <c r="G6551" s="128">
        <v>1627030.65</v>
      </c>
      <c r="H6551" s="128">
        <v>903879.63</v>
      </c>
      <c r="I6551" s="128">
        <v>22314</v>
      </c>
    </row>
    <row r="6552" spans="1:9" ht="13.5">
      <c r="A6552" s="128">
        <v>2010</v>
      </c>
      <c r="B6552" s="128" t="s">
        <v>138</v>
      </c>
      <c r="C6552" s="128" t="s">
        <v>25</v>
      </c>
      <c r="D6552" s="128" t="s">
        <v>76</v>
      </c>
      <c r="E6552" s="128" t="s">
        <v>133</v>
      </c>
      <c r="F6552" s="128">
        <v>5930914.9400000004</v>
      </c>
      <c r="G6552" s="128">
        <v>3261688.59</v>
      </c>
      <c r="H6552" s="128">
        <v>2669219.42</v>
      </c>
      <c r="I6552" s="128">
        <v>30954</v>
      </c>
    </row>
    <row r="6553" spans="1:9" ht="13.5">
      <c r="A6553" s="128">
        <v>2010</v>
      </c>
      <c r="B6553" s="128" t="s">
        <v>138</v>
      </c>
      <c r="C6553" s="128" t="s">
        <v>25</v>
      </c>
      <c r="D6553" s="128" t="s">
        <v>76</v>
      </c>
      <c r="E6553" s="128" t="s">
        <v>134</v>
      </c>
      <c r="F6553" s="128">
        <v>5505331.3899999997</v>
      </c>
      <c r="G6553" s="128">
        <v>2538312.9</v>
      </c>
      <c r="H6553" s="128">
        <v>2967014.94</v>
      </c>
      <c r="I6553" s="128">
        <v>32342</v>
      </c>
    </row>
    <row r="6554" spans="1:9" ht="13.5">
      <c r="A6554" s="128">
        <v>2010</v>
      </c>
      <c r="B6554" s="128" t="s">
        <v>138</v>
      </c>
      <c r="C6554" s="128" t="s">
        <v>25</v>
      </c>
      <c r="D6554" s="128" t="s">
        <v>76</v>
      </c>
      <c r="E6554" s="128" t="s">
        <v>135</v>
      </c>
      <c r="F6554" s="128">
        <v>540782.86</v>
      </c>
      <c r="G6554" s="128">
        <v>158148.65</v>
      </c>
      <c r="H6554" s="128">
        <v>382634.21</v>
      </c>
      <c r="I6554" s="128">
        <v>471</v>
      </c>
    </row>
    <row r="6555" spans="1:9" ht="13.5">
      <c r="A6555" s="128">
        <v>2010</v>
      </c>
      <c r="B6555" s="128" t="s">
        <v>138</v>
      </c>
      <c r="C6555" s="128" t="s">
        <v>26</v>
      </c>
      <c r="D6555" s="128" t="s">
        <v>79</v>
      </c>
      <c r="E6555" s="128" t="s">
        <v>136</v>
      </c>
      <c r="F6555" s="128">
        <v>894103.88</v>
      </c>
      <c r="G6555" s="128">
        <v>672826.14</v>
      </c>
      <c r="H6555" s="128">
        <v>221128.14</v>
      </c>
      <c r="I6555" s="128">
        <v>11793</v>
      </c>
    </row>
    <row r="6556" spans="1:9" ht="13.5">
      <c r="A6556" s="128">
        <v>2010</v>
      </c>
      <c r="B6556" s="128" t="s">
        <v>138</v>
      </c>
      <c r="C6556" s="128" t="s">
        <v>26</v>
      </c>
      <c r="D6556" s="128" t="s">
        <v>79</v>
      </c>
      <c r="E6556" s="128" t="s">
        <v>132</v>
      </c>
      <c r="F6556" s="128">
        <v>187368.01</v>
      </c>
      <c r="G6556" s="128">
        <v>121504.66</v>
      </c>
      <c r="H6556" s="128">
        <v>40617.56</v>
      </c>
      <c r="I6556" s="128">
        <v>944</v>
      </c>
    </row>
    <row r="6557" spans="1:9" ht="13.5">
      <c r="A6557" s="128">
        <v>2010</v>
      </c>
      <c r="B6557" s="128" t="s">
        <v>138</v>
      </c>
      <c r="C6557" s="128" t="s">
        <v>26</v>
      </c>
      <c r="D6557" s="128" t="s">
        <v>79</v>
      </c>
      <c r="E6557" s="128" t="s">
        <v>133</v>
      </c>
      <c r="F6557" s="128">
        <v>262317.89</v>
      </c>
      <c r="G6557" s="128">
        <v>141659.44</v>
      </c>
      <c r="H6557" s="128">
        <v>48004.61</v>
      </c>
      <c r="I6557" s="128">
        <v>1246</v>
      </c>
    </row>
    <row r="6558" spans="1:9" ht="13.5">
      <c r="A6558" s="128">
        <v>2010</v>
      </c>
      <c r="B6558" s="128" t="s">
        <v>138</v>
      </c>
      <c r="C6558" s="128" t="s">
        <v>26</v>
      </c>
      <c r="D6558" s="128" t="s">
        <v>79</v>
      </c>
      <c r="E6558" s="128" t="s">
        <v>134</v>
      </c>
      <c r="F6558" s="128">
        <v>1007646.02</v>
      </c>
      <c r="G6558" s="128">
        <v>430179.55</v>
      </c>
      <c r="H6558" s="128">
        <v>145045.17000000001</v>
      </c>
      <c r="I6558" s="128">
        <v>4670</v>
      </c>
    </row>
    <row r="6559" spans="1:9" ht="13.5">
      <c r="A6559" s="128">
        <v>2010</v>
      </c>
      <c r="B6559" s="128" t="s">
        <v>138</v>
      </c>
      <c r="C6559" s="128" t="s">
        <v>26</v>
      </c>
      <c r="D6559" s="128" t="s">
        <v>79</v>
      </c>
      <c r="E6559" s="128" t="s">
        <v>135</v>
      </c>
      <c r="F6559" s="128">
        <v>6183618.5300000003</v>
      </c>
      <c r="G6559" s="128">
        <v>1585460.82</v>
      </c>
      <c r="H6559" s="128">
        <v>534357.26</v>
      </c>
      <c r="I6559" s="128">
        <v>11359</v>
      </c>
    </row>
    <row r="6560" spans="1:9" ht="13.5">
      <c r="A6560" s="128">
        <v>2010</v>
      </c>
      <c r="B6560" s="128" t="s">
        <v>138</v>
      </c>
      <c r="C6560" s="128" t="s">
        <v>26</v>
      </c>
      <c r="D6560" s="128" t="s">
        <v>77</v>
      </c>
      <c r="E6560" s="128" t="s">
        <v>132</v>
      </c>
      <c r="F6560" s="128">
        <v>24268.36</v>
      </c>
      <c r="G6560" s="128">
        <v>16216.15</v>
      </c>
      <c r="H6560" s="128">
        <v>7009.7</v>
      </c>
      <c r="I6560" s="128">
        <v>117</v>
      </c>
    </row>
    <row r="6561" spans="1:9" ht="13.5">
      <c r="A6561" s="128">
        <v>2010</v>
      </c>
      <c r="B6561" s="128" t="s">
        <v>138</v>
      </c>
      <c r="C6561" s="128" t="s">
        <v>26</v>
      </c>
      <c r="D6561" s="128" t="s">
        <v>77</v>
      </c>
      <c r="E6561" s="128" t="s">
        <v>133</v>
      </c>
      <c r="F6561" s="128">
        <v>59522.36</v>
      </c>
      <c r="G6561" s="128">
        <v>32585.45</v>
      </c>
      <c r="H6561" s="128">
        <v>21444.639999999999</v>
      </c>
      <c r="I6561" s="128">
        <v>234</v>
      </c>
    </row>
    <row r="6562" spans="1:9" ht="13.5">
      <c r="A6562" s="128">
        <v>2010</v>
      </c>
      <c r="B6562" s="128" t="s">
        <v>138</v>
      </c>
      <c r="C6562" s="128" t="s">
        <v>26</v>
      </c>
      <c r="D6562" s="128" t="s">
        <v>77</v>
      </c>
      <c r="E6562" s="128" t="s">
        <v>134</v>
      </c>
      <c r="F6562" s="128">
        <v>155871.70000000001</v>
      </c>
      <c r="G6562" s="128">
        <v>65897.05</v>
      </c>
      <c r="H6562" s="128">
        <v>67256.08</v>
      </c>
      <c r="I6562" s="128">
        <v>560</v>
      </c>
    </row>
    <row r="6563" spans="1:9" ht="13.5">
      <c r="A6563" s="128">
        <v>2010</v>
      </c>
      <c r="B6563" s="128" t="s">
        <v>138</v>
      </c>
      <c r="C6563" s="128" t="s">
        <v>26</v>
      </c>
      <c r="D6563" s="128" t="s">
        <v>77</v>
      </c>
      <c r="E6563" s="128" t="s">
        <v>135</v>
      </c>
      <c r="F6563" s="128">
        <v>435513.42</v>
      </c>
      <c r="G6563" s="128">
        <v>103494.6</v>
      </c>
      <c r="H6563" s="128">
        <v>109320.66</v>
      </c>
      <c r="I6563" s="128">
        <v>1169</v>
      </c>
    </row>
    <row r="6564" spans="1:9" ht="13.5">
      <c r="A6564" s="128">
        <v>2010</v>
      </c>
      <c r="B6564" s="128" t="s">
        <v>138</v>
      </c>
      <c r="C6564" s="128" t="s">
        <v>26</v>
      </c>
      <c r="D6564" s="128" t="s">
        <v>76</v>
      </c>
      <c r="E6564" s="128" t="s">
        <v>136</v>
      </c>
      <c r="F6564" s="128">
        <v>198890.12</v>
      </c>
      <c r="G6564" s="128">
        <v>149994.23999999999</v>
      </c>
      <c r="H6564" s="128">
        <v>48895.88</v>
      </c>
      <c r="I6564" s="128">
        <v>8635</v>
      </c>
    </row>
    <row r="6565" spans="1:9" ht="13.5">
      <c r="A6565" s="128">
        <v>2010</v>
      </c>
      <c r="B6565" s="128" t="s">
        <v>138</v>
      </c>
      <c r="C6565" s="128" t="s">
        <v>26</v>
      </c>
      <c r="D6565" s="128" t="s">
        <v>76</v>
      </c>
      <c r="E6565" s="128" t="s">
        <v>132</v>
      </c>
      <c r="F6565" s="128">
        <v>985152.68</v>
      </c>
      <c r="G6565" s="128">
        <v>650310.27</v>
      </c>
      <c r="H6565" s="128">
        <v>334823.5</v>
      </c>
      <c r="I6565" s="128">
        <v>11939</v>
      </c>
    </row>
    <row r="6566" spans="1:9" ht="13.5">
      <c r="A6566" s="128">
        <v>2010</v>
      </c>
      <c r="B6566" s="128" t="s">
        <v>138</v>
      </c>
      <c r="C6566" s="128" t="s">
        <v>26</v>
      </c>
      <c r="D6566" s="128" t="s">
        <v>76</v>
      </c>
      <c r="E6566" s="128" t="s">
        <v>133</v>
      </c>
      <c r="F6566" s="128">
        <v>1993046.3</v>
      </c>
      <c r="G6566" s="128">
        <v>1096701.81</v>
      </c>
      <c r="H6566" s="128">
        <v>896341.48</v>
      </c>
      <c r="I6566" s="128">
        <v>10030</v>
      </c>
    </row>
    <row r="6567" spans="1:9" ht="13.5">
      <c r="A6567" s="128">
        <v>2010</v>
      </c>
      <c r="B6567" s="128" t="s">
        <v>138</v>
      </c>
      <c r="C6567" s="128" t="s">
        <v>26</v>
      </c>
      <c r="D6567" s="128" t="s">
        <v>76</v>
      </c>
      <c r="E6567" s="128" t="s">
        <v>134</v>
      </c>
      <c r="F6567" s="128">
        <v>1954831.89</v>
      </c>
      <c r="G6567" s="128">
        <v>900951.15</v>
      </c>
      <c r="H6567" s="128">
        <v>1053874.56</v>
      </c>
      <c r="I6567" s="128">
        <v>13121</v>
      </c>
    </row>
    <row r="6568" spans="1:9" ht="13.5">
      <c r="A6568" s="128">
        <v>2010</v>
      </c>
      <c r="B6568" s="128" t="s">
        <v>138</v>
      </c>
      <c r="C6568" s="128" t="s">
        <v>26</v>
      </c>
      <c r="D6568" s="128" t="s">
        <v>76</v>
      </c>
      <c r="E6568" s="128" t="s">
        <v>135</v>
      </c>
      <c r="F6568" s="128">
        <v>398690.85</v>
      </c>
      <c r="G6568" s="128">
        <v>128984.15</v>
      </c>
      <c r="H6568" s="128">
        <v>269706.7</v>
      </c>
      <c r="I6568" s="128">
        <v>896</v>
      </c>
    </row>
    <row r="6569" spans="1:9" ht="13.5">
      <c r="A6569" s="128">
        <v>2010</v>
      </c>
      <c r="B6569" s="128" t="s">
        <v>138</v>
      </c>
      <c r="C6569" s="128" t="s">
        <v>27</v>
      </c>
      <c r="D6569" s="128" t="s">
        <v>79</v>
      </c>
      <c r="E6569" s="128" t="s">
        <v>136</v>
      </c>
      <c r="F6569" s="128">
        <v>252280.08</v>
      </c>
      <c r="G6569" s="128">
        <v>189617.52</v>
      </c>
      <c r="H6569" s="128">
        <v>62662.559999999998</v>
      </c>
      <c r="I6569" s="128">
        <v>1771</v>
      </c>
    </row>
    <row r="6570" spans="1:9" ht="13.5">
      <c r="A6570" s="128">
        <v>2010</v>
      </c>
      <c r="B6570" s="128" t="s">
        <v>138</v>
      </c>
      <c r="C6570" s="128" t="s">
        <v>27</v>
      </c>
      <c r="D6570" s="128" t="s">
        <v>79</v>
      </c>
      <c r="E6570" s="128" t="s">
        <v>132</v>
      </c>
      <c r="F6570" s="128">
        <v>44635.9</v>
      </c>
      <c r="G6570" s="128">
        <v>29398.880000000001</v>
      </c>
      <c r="H6570" s="128">
        <v>9905.9</v>
      </c>
      <c r="I6570" s="128">
        <v>172</v>
      </c>
    </row>
    <row r="6571" spans="1:9" ht="13.5">
      <c r="A6571" s="128">
        <v>2010</v>
      </c>
      <c r="B6571" s="128" t="s">
        <v>138</v>
      </c>
      <c r="C6571" s="128" t="s">
        <v>27</v>
      </c>
      <c r="D6571" s="128" t="s">
        <v>79</v>
      </c>
      <c r="E6571" s="128" t="s">
        <v>133</v>
      </c>
      <c r="F6571" s="128">
        <v>83401</v>
      </c>
      <c r="G6571" s="128">
        <v>44927.1</v>
      </c>
      <c r="H6571" s="128">
        <v>18181.79</v>
      </c>
      <c r="I6571" s="128">
        <v>421</v>
      </c>
    </row>
    <row r="6572" spans="1:9" ht="13.5">
      <c r="A6572" s="128">
        <v>2010</v>
      </c>
      <c r="B6572" s="128" t="s">
        <v>138</v>
      </c>
      <c r="C6572" s="128" t="s">
        <v>27</v>
      </c>
      <c r="D6572" s="128" t="s">
        <v>79</v>
      </c>
      <c r="E6572" s="128" t="s">
        <v>134</v>
      </c>
      <c r="F6572" s="128">
        <v>163603.95000000001</v>
      </c>
      <c r="G6572" s="128">
        <v>68488.33</v>
      </c>
      <c r="H6572" s="128">
        <v>33355.75</v>
      </c>
      <c r="I6572" s="128">
        <v>844</v>
      </c>
    </row>
    <row r="6573" spans="1:9" ht="13.5">
      <c r="A6573" s="128">
        <v>2010</v>
      </c>
      <c r="B6573" s="128" t="s">
        <v>138</v>
      </c>
      <c r="C6573" s="128" t="s">
        <v>27</v>
      </c>
      <c r="D6573" s="128" t="s">
        <v>79</v>
      </c>
      <c r="E6573" s="128" t="s">
        <v>135</v>
      </c>
      <c r="F6573" s="128">
        <v>913734.77</v>
      </c>
      <c r="G6573" s="128">
        <v>245832.2</v>
      </c>
      <c r="H6573" s="128">
        <v>83139.61</v>
      </c>
      <c r="I6573" s="128">
        <v>1778</v>
      </c>
    </row>
    <row r="6574" spans="1:9" ht="13.5">
      <c r="A6574" s="128">
        <v>2010</v>
      </c>
      <c r="B6574" s="128" t="s">
        <v>138</v>
      </c>
      <c r="C6574" s="128" t="s">
        <v>27</v>
      </c>
      <c r="D6574" s="128" t="s">
        <v>77</v>
      </c>
      <c r="E6574" s="128" t="s">
        <v>132</v>
      </c>
      <c r="F6574" s="128">
        <v>13406.83</v>
      </c>
      <c r="G6574" s="128">
        <v>8739.2000000000007</v>
      </c>
      <c r="H6574" s="128">
        <v>3716.74</v>
      </c>
      <c r="I6574" s="128">
        <v>97</v>
      </c>
    </row>
    <row r="6575" spans="1:9" ht="13.5">
      <c r="A6575" s="128">
        <v>2010</v>
      </c>
      <c r="B6575" s="128" t="s">
        <v>138</v>
      </c>
      <c r="C6575" s="128" t="s">
        <v>27</v>
      </c>
      <c r="D6575" s="128" t="s">
        <v>77</v>
      </c>
      <c r="E6575" s="128" t="s">
        <v>133</v>
      </c>
      <c r="F6575" s="128">
        <v>31894.66</v>
      </c>
      <c r="G6575" s="128">
        <v>16981.849999999999</v>
      </c>
      <c r="H6575" s="128">
        <v>11819.83</v>
      </c>
      <c r="I6575" s="128">
        <v>132</v>
      </c>
    </row>
    <row r="6576" spans="1:9" ht="13.5">
      <c r="A6576" s="128">
        <v>2010</v>
      </c>
      <c r="B6576" s="128" t="s">
        <v>138</v>
      </c>
      <c r="C6576" s="128" t="s">
        <v>27</v>
      </c>
      <c r="D6576" s="128" t="s">
        <v>77</v>
      </c>
      <c r="E6576" s="128" t="s">
        <v>134</v>
      </c>
      <c r="F6576" s="128">
        <v>80605.61</v>
      </c>
      <c r="G6576" s="128">
        <v>35742.35</v>
      </c>
      <c r="H6576" s="128">
        <v>31910.19</v>
      </c>
      <c r="I6576" s="128">
        <v>175</v>
      </c>
    </row>
    <row r="6577" spans="1:9" ht="13.5">
      <c r="A6577" s="128">
        <v>2010</v>
      </c>
      <c r="B6577" s="128" t="s">
        <v>138</v>
      </c>
      <c r="C6577" s="128" t="s">
        <v>27</v>
      </c>
      <c r="D6577" s="128" t="s">
        <v>77</v>
      </c>
      <c r="E6577" s="128" t="s">
        <v>135</v>
      </c>
      <c r="F6577" s="128">
        <v>225361.91</v>
      </c>
      <c r="G6577" s="128">
        <v>54876.03</v>
      </c>
      <c r="H6577" s="128">
        <v>60601.75</v>
      </c>
      <c r="I6577" s="128">
        <v>654</v>
      </c>
    </row>
    <row r="6578" spans="1:9" ht="13.5">
      <c r="A6578" s="128">
        <v>2010</v>
      </c>
      <c r="B6578" s="128" t="s">
        <v>138</v>
      </c>
      <c r="C6578" s="128" t="s">
        <v>27</v>
      </c>
      <c r="D6578" s="128" t="s">
        <v>76</v>
      </c>
      <c r="E6578" s="128" t="s">
        <v>136</v>
      </c>
      <c r="F6578" s="128">
        <v>64003.18</v>
      </c>
      <c r="G6578" s="128">
        <v>48342.080000000002</v>
      </c>
      <c r="H6578" s="128">
        <v>15661.41</v>
      </c>
      <c r="I6578" s="128">
        <v>671</v>
      </c>
    </row>
    <row r="6579" spans="1:9" ht="13.5">
      <c r="A6579" s="128">
        <v>2010</v>
      </c>
      <c r="B6579" s="128" t="s">
        <v>138</v>
      </c>
      <c r="C6579" s="128" t="s">
        <v>27</v>
      </c>
      <c r="D6579" s="128" t="s">
        <v>76</v>
      </c>
      <c r="E6579" s="128" t="s">
        <v>132</v>
      </c>
      <c r="F6579" s="128">
        <v>307807.34999999998</v>
      </c>
      <c r="G6579" s="128">
        <v>198191.8</v>
      </c>
      <c r="H6579" s="128">
        <v>109608.35</v>
      </c>
      <c r="I6579" s="128">
        <v>3546</v>
      </c>
    </row>
    <row r="6580" spans="1:9" ht="13.5">
      <c r="A6580" s="128">
        <v>2010</v>
      </c>
      <c r="B6580" s="128" t="s">
        <v>138</v>
      </c>
      <c r="C6580" s="128" t="s">
        <v>27</v>
      </c>
      <c r="D6580" s="128" t="s">
        <v>76</v>
      </c>
      <c r="E6580" s="128" t="s">
        <v>133</v>
      </c>
      <c r="F6580" s="128">
        <v>866588.42</v>
      </c>
      <c r="G6580" s="128">
        <v>475319.1</v>
      </c>
      <c r="H6580" s="128">
        <v>391259.3</v>
      </c>
      <c r="I6580" s="128">
        <v>3874</v>
      </c>
    </row>
    <row r="6581" spans="1:9" ht="13.5">
      <c r="A6581" s="128">
        <v>2010</v>
      </c>
      <c r="B6581" s="128" t="s">
        <v>138</v>
      </c>
      <c r="C6581" s="128" t="s">
        <v>27</v>
      </c>
      <c r="D6581" s="128" t="s">
        <v>76</v>
      </c>
      <c r="E6581" s="128" t="s">
        <v>134</v>
      </c>
      <c r="F6581" s="128">
        <v>1052573.53</v>
      </c>
      <c r="G6581" s="128">
        <v>487800.85</v>
      </c>
      <c r="H6581" s="128">
        <v>564765.78</v>
      </c>
      <c r="I6581" s="128">
        <v>5288</v>
      </c>
    </row>
    <row r="6582" spans="1:9" ht="13.5">
      <c r="A6582" s="128">
        <v>2010</v>
      </c>
      <c r="B6582" s="128" t="s">
        <v>138</v>
      </c>
      <c r="C6582" s="128" t="s">
        <v>27</v>
      </c>
      <c r="D6582" s="128" t="s">
        <v>76</v>
      </c>
      <c r="E6582" s="128" t="s">
        <v>135</v>
      </c>
      <c r="F6582" s="128">
        <v>48354.9</v>
      </c>
      <c r="G6582" s="128">
        <v>15637.8</v>
      </c>
      <c r="H6582" s="128">
        <v>32716.3</v>
      </c>
      <c r="I6582" s="128">
        <v>106</v>
      </c>
    </row>
    <row r="6583" spans="1:9" ht="13.5">
      <c r="A6583" s="128">
        <v>2010</v>
      </c>
      <c r="B6583" s="128" t="s">
        <v>139</v>
      </c>
      <c r="C6583" s="128" t="s">
        <v>20</v>
      </c>
      <c r="D6583" s="128" t="s">
        <v>79</v>
      </c>
      <c r="E6583" s="128" t="s">
        <v>136</v>
      </c>
      <c r="F6583" s="128">
        <v>27806021.120000001</v>
      </c>
      <c r="G6583" s="128">
        <v>20921696.760000002</v>
      </c>
      <c r="H6583" s="128">
        <v>6883899.25</v>
      </c>
      <c r="I6583" s="128">
        <v>484567</v>
      </c>
    </row>
    <row r="6584" spans="1:9" ht="13.5">
      <c r="A6584" s="128">
        <v>2010</v>
      </c>
      <c r="B6584" s="128" t="s">
        <v>139</v>
      </c>
      <c r="C6584" s="128" t="s">
        <v>20</v>
      </c>
      <c r="D6584" s="128" t="s">
        <v>79</v>
      </c>
      <c r="E6584" s="128" t="s">
        <v>132</v>
      </c>
      <c r="F6584" s="128">
        <v>2877187.33</v>
      </c>
      <c r="G6584" s="128">
        <v>1935032.64</v>
      </c>
      <c r="H6584" s="128">
        <v>646550.28</v>
      </c>
      <c r="I6584" s="128">
        <v>15662</v>
      </c>
    </row>
    <row r="6585" spans="1:9" ht="13.5">
      <c r="A6585" s="128">
        <v>2010</v>
      </c>
      <c r="B6585" s="128" t="s">
        <v>139</v>
      </c>
      <c r="C6585" s="128" t="s">
        <v>20</v>
      </c>
      <c r="D6585" s="128" t="s">
        <v>79</v>
      </c>
      <c r="E6585" s="128" t="s">
        <v>133</v>
      </c>
      <c r="F6585" s="128">
        <v>3205789.93</v>
      </c>
      <c r="G6585" s="128">
        <v>1719011.51</v>
      </c>
      <c r="H6585" s="128">
        <v>601713.89</v>
      </c>
      <c r="I6585" s="128">
        <v>19279</v>
      </c>
    </row>
    <row r="6586" spans="1:9" ht="13.5">
      <c r="A6586" s="128">
        <v>2010</v>
      </c>
      <c r="B6586" s="128" t="s">
        <v>139</v>
      </c>
      <c r="C6586" s="128" t="s">
        <v>20</v>
      </c>
      <c r="D6586" s="128" t="s">
        <v>79</v>
      </c>
      <c r="E6586" s="128" t="s">
        <v>134</v>
      </c>
      <c r="F6586" s="128">
        <v>12798673.08</v>
      </c>
      <c r="G6586" s="128">
        <v>5419340.0599999996</v>
      </c>
      <c r="H6586" s="128">
        <v>1902646.95</v>
      </c>
      <c r="I6586" s="128">
        <v>61285</v>
      </c>
    </row>
    <row r="6587" spans="1:9" ht="13.5">
      <c r="A6587" s="128">
        <v>2010</v>
      </c>
      <c r="B6587" s="128" t="s">
        <v>139</v>
      </c>
      <c r="C6587" s="128" t="s">
        <v>20</v>
      </c>
      <c r="D6587" s="128" t="s">
        <v>79</v>
      </c>
      <c r="E6587" s="128" t="s">
        <v>135</v>
      </c>
      <c r="F6587" s="128">
        <v>78480588.129999995</v>
      </c>
      <c r="G6587" s="128">
        <v>20187002.68</v>
      </c>
      <c r="H6587" s="128">
        <v>6807474.2800000003</v>
      </c>
      <c r="I6587" s="128">
        <v>161793</v>
      </c>
    </row>
    <row r="6588" spans="1:9" ht="13.5">
      <c r="A6588" s="128">
        <v>2010</v>
      </c>
      <c r="B6588" s="128" t="s">
        <v>139</v>
      </c>
      <c r="C6588" s="128" t="s">
        <v>20</v>
      </c>
      <c r="D6588" s="128" t="s">
        <v>77</v>
      </c>
      <c r="E6588" s="128" t="s">
        <v>132</v>
      </c>
      <c r="F6588" s="128">
        <v>1139149.3600000001</v>
      </c>
      <c r="G6588" s="128">
        <v>760065.98</v>
      </c>
      <c r="H6588" s="128">
        <v>334220.83</v>
      </c>
      <c r="I6588" s="128">
        <v>7026</v>
      </c>
    </row>
    <row r="6589" spans="1:9" ht="13.5">
      <c r="A6589" s="128">
        <v>2010</v>
      </c>
      <c r="B6589" s="128" t="s">
        <v>139</v>
      </c>
      <c r="C6589" s="128" t="s">
        <v>20</v>
      </c>
      <c r="D6589" s="128" t="s">
        <v>77</v>
      </c>
      <c r="E6589" s="128" t="s">
        <v>133</v>
      </c>
      <c r="F6589" s="128">
        <v>1834485.92</v>
      </c>
      <c r="G6589" s="128">
        <v>995849.42</v>
      </c>
      <c r="H6589" s="128">
        <v>724883.4</v>
      </c>
      <c r="I6589" s="128">
        <v>5983</v>
      </c>
    </row>
    <row r="6590" spans="1:9" ht="13.5">
      <c r="A6590" s="128">
        <v>2010</v>
      </c>
      <c r="B6590" s="128" t="s">
        <v>139</v>
      </c>
      <c r="C6590" s="128" t="s">
        <v>20</v>
      </c>
      <c r="D6590" s="128" t="s">
        <v>77</v>
      </c>
      <c r="E6590" s="128" t="s">
        <v>134</v>
      </c>
      <c r="F6590" s="128">
        <v>3829626.01</v>
      </c>
      <c r="G6590" s="128">
        <v>1693720.95</v>
      </c>
      <c r="H6590" s="128">
        <v>1651520</v>
      </c>
      <c r="I6590" s="128">
        <v>15106</v>
      </c>
    </row>
    <row r="6591" spans="1:9" ht="13.5">
      <c r="A6591" s="128">
        <v>2010</v>
      </c>
      <c r="B6591" s="128" t="s">
        <v>139</v>
      </c>
      <c r="C6591" s="128" t="s">
        <v>20</v>
      </c>
      <c r="D6591" s="128" t="s">
        <v>77</v>
      </c>
      <c r="E6591" s="128" t="s">
        <v>135</v>
      </c>
      <c r="F6591" s="128">
        <v>6633774.4000000004</v>
      </c>
      <c r="G6591" s="128">
        <v>1693132.52</v>
      </c>
      <c r="H6591" s="128">
        <v>1736556.86</v>
      </c>
      <c r="I6591" s="128">
        <v>16442</v>
      </c>
    </row>
    <row r="6592" spans="1:9" ht="13.5">
      <c r="A6592" s="128">
        <v>2010</v>
      </c>
      <c r="B6592" s="128" t="s">
        <v>139</v>
      </c>
      <c r="C6592" s="128" t="s">
        <v>20</v>
      </c>
      <c r="D6592" s="128" t="s">
        <v>76</v>
      </c>
      <c r="E6592" s="128" t="s">
        <v>136</v>
      </c>
      <c r="F6592" s="128">
        <v>9198207.6099999994</v>
      </c>
      <c r="G6592" s="128">
        <v>6970434.9400000004</v>
      </c>
      <c r="H6592" s="128">
        <v>2228262.66</v>
      </c>
      <c r="I6592" s="128">
        <v>265285</v>
      </c>
    </row>
    <row r="6593" spans="1:9" ht="13.5">
      <c r="A6593" s="128">
        <v>2010</v>
      </c>
      <c r="B6593" s="128" t="s">
        <v>139</v>
      </c>
      <c r="C6593" s="128" t="s">
        <v>20</v>
      </c>
      <c r="D6593" s="128" t="s">
        <v>76</v>
      </c>
      <c r="E6593" s="128" t="s">
        <v>132</v>
      </c>
      <c r="F6593" s="128">
        <v>29505903.780000001</v>
      </c>
      <c r="G6593" s="128">
        <v>19020004.530000001</v>
      </c>
      <c r="H6593" s="128">
        <v>10485550.17</v>
      </c>
      <c r="I6593" s="128">
        <v>308669</v>
      </c>
    </row>
    <row r="6594" spans="1:9" ht="13.5">
      <c r="A6594" s="128">
        <v>2010</v>
      </c>
      <c r="B6594" s="128" t="s">
        <v>139</v>
      </c>
      <c r="C6594" s="128" t="s">
        <v>20</v>
      </c>
      <c r="D6594" s="128" t="s">
        <v>76</v>
      </c>
      <c r="E6594" s="128" t="s">
        <v>133</v>
      </c>
      <c r="F6594" s="128">
        <v>54275420.090000004</v>
      </c>
      <c r="G6594" s="128">
        <v>29965205.579999998</v>
      </c>
      <c r="H6594" s="128">
        <v>24310028.190000001</v>
      </c>
      <c r="I6594" s="128">
        <v>241088</v>
      </c>
    </row>
    <row r="6595" spans="1:9" ht="13.5">
      <c r="A6595" s="128">
        <v>2010</v>
      </c>
      <c r="B6595" s="128" t="s">
        <v>139</v>
      </c>
      <c r="C6595" s="128" t="s">
        <v>20</v>
      </c>
      <c r="D6595" s="128" t="s">
        <v>76</v>
      </c>
      <c r="E6595" s="128" t="s">
        <v>134</v>
      </c>
      <c r="F6595" s="128">
        <v>55026018.009999998</v>
      </c>
      <c r="G6595" s="128">
        <v>25348825.25</v>
      </c>
      <c r="H6595" s="128">
        <v>29676848.010000002</v>
      </c>
      <c r="I6595" s="128">
        <v>344288</v>
      </c>
    </row>
    <row r="6596" spans="1:9" ht="13.5">
      <c r="A6596" s="128">
        <v>2010</v>
      </c>
      <c r="B6596" s="128" t="s">
        <v>139</v>
      </c>
      <c r="C6596" s="128" t="s">
        <v>20</v>
      </c>
      <c r="D6596" s="128" t="s">
        <v>76</v>
      </c>
      <c r="E6596" s="128" t="s">
        <v>135</v>
      </c>
      <c r="F6596" s="128">
        <v>7994546.2800000003</v>
      </c>
      <c r="G6596" s="128">
        <v>2487430.3199999998</v>
      </c>
      <c r="H6596" s="128">
        <v>5507112.6100000003</v>
      </c>
      <c r="I6596" s="128">
        <v>30249</v>
      </c>
    </row>
    <row r="6597" spans="1:9" ht="13.5">
      <c r="A6597" s="128">
        <v>2010</v>
      </c>
      <c r="B6597" s="128" t="s">
        <v>139</v>
      </c>
      <c r="C6597" s="128" t="s">
        <v>21</v>
      </c>
      <c r="D6597" s="128" t="s">
        <v>79</v>
      </c>
      <c r="E6597" s="128" t="s">
        <v>136</v>
      </c>
      <c r="F6597" s="128">
        <v>12057645.890000001</v>
      </c>
      <c r="G6597" s="128">
        <v>9064065.9600000009</v>
      </c>
      <c r="H6597" s="128">
        <v>2992881.02</v>
      </c>
      <c r="I6597" s="128">
        <v>181473</v>
      </c>
    </row>
    <row r="6598" spans="1:9" ht="13.5">
      <c r="A6598" s="128">
        <v>2010</v>
      </c>
      <c r="B6598" s="128" t="s">
        <v>139</v>
      </c>
      <c r="C6598" s="128" t="s">
        <v>21</v>
      </c>
      <c r="D6598" s="128" t="s">
        <v>79</v>
      </c>
      <c r="E6598" s="128" t="s">
        <v>132</v>
      </c>
      <c r="F6598" s="128">
        <v>2210949.0499999998</v>
      </c>
      <c r="G6598" s="128">
        <v>1479916.25</v>
      </c>
      <c r="H6598" s="128">
        <v>508278.39</v>
      </c>
      <c r="I6598" s="128">
        <v>15403</v>
      </c>
    </row>
    <row r="6599" spans="1:9" ht="13.5">
      <c r="A6599" s="128">
        <v>2010</v>
      </c>
      <c r="B6599" s="128" t="s">
        <v>139</v>
      </c>
      <c r="C6599" s="128" t="s">
        <v>21</v>
      </c>
      <c r="D6599" s="128" t="s">
        <v>79</v>
      </c>
      <c r="E6599" s="128" t="s">
        <v>133</v>
      </c>
      <c r="F6599" s="128">
        <v>4036285.24</v>
      </c>
      <c r="G6599" s="128">
        <v>2192658.98</v>
      </c>
      <c r="H6599" s="128">
        <v>1190182.83</v>
      </c>
      <c r="I6599" s="128">
        <v>22944</v>
      </c>
    </row>
    <row r="6600" spans="1:9" ht="13.5">
      <c r="A6600" s="128">
        <v>2010</v>
      </c>
      <c r="B6600" s="128" t="s">
        <v>139</v>
      </c>
      <c r="C6600" s="128" t="s">
        <v>21</v>
      </c>
      <c r="D6600" s="128" t="s">
        <v>79</v>
      </c>
      <c r="E6600" s="128" t="s">
        <v>134</v>
      </c>
      <c r="F6600" s="128">
        <v>9923236.2300000004</v>
      </c>
      <c r="G6600" s="128">
        <v>4305204.6399999997</v>
      </c>
      <c r="H6600" s="128">
        <v>3189880.32</v>
      </c>
      <c r="I6600" s="128">
        <v>64941</v>
      </c>
    </row>
    <row r="6601" spans="1:9" ht="13.5">
      <c r="A6601" s="128">
        <v>2010</v>
      </c>
      <c r="B6601" s="128" t="s">
        <v>139</v>
      </c>
      <c r="C6601" s="128" t="s">
        <v>21</v>
      </c>
      <c r="D6601" s="128" t="s">
        <v>79</v>
      </c>
      <c r="E6601" s="128" t="s">
        <v>135</v>
      </c>
      <c r="F6601" s="128">
        <v>19507480.809999999</v>
      </c>
      <c r="G6601" s="128">
        <v>5253131.91</v>
      </c>
      <c r="H6601" s="128">
        <v>1788975.75</v>
      </c>
      <c r="I6601" s="128">
        <v>67355</v>
      </c>
    </row>
    <row r="6602" spans="1:9" ht="13.5">
      <c r="A6602" s="128">
        <v>2010</v>
      </c>
      <c r="B6602" s="128" t="s">
        <v>139</v>
      </c>
      <c r="C6602" s="128" t="s">
        <v>21</v>
      </c>
      <c r="D6602" s="128" t="s">
        <v>77</v>
      </c>
      <c r="E6602" s="128" t="s">
        <v>132</v>
      </c>
      <c r="F6602" s="128">
        <v>1750620.26</v>
      </c>
      <c r="G6602" s="128">
        <v>1171178.3999999999</v>
      </c>
      <c r="H6602" s="128">
        <v>479394.67</v>
      </c>
      <c r="I6602" s="128">
        <v>9008</v>
      </c>
    </row>
    <row r="6603" spans="1:9" ht="13.5">
      <c r="A6603" s="128">
        <v>2010</v>
      </c>
      <c r="B6603" s="128" t="s">
        <v>139</v>
      </c>
      <c r="C6603" s="128" t="s">
        <v>21</v>
      </c>
      <c r="D6603" s="128" t="s">
        <v>77</v>
      </c>
      <c r="E6603" s="128" t="s">
        <v>133</v>
      </c>
      <c r="F6603" s="128">
        <v>3700831.76</v>
      </c>
      <c r="G6603" s="128">
        <v>2009432.95</v>
      </c>
      <c r="H6603" s="128">
        <v>1374412.8</v>
      </c>
      <c r="I6603" s="128">
        <v>13223</v>
      </c>
    </row>
    <row r="6604" spans="1:9" ht="13.5">
      <c r="A6604" s="128">
        <v>2010</v>
      </c>
      <c r="B6604" s="128" t="s">
        <v>139</v>
      </c>
      <c r="C6604" s="128" t="s">
        <v>21</v>
      </c>
      <c r="D6604" s="128" t="s">
        <v>77</v>
      </c>
      <c r="E6604" s="128" t="s">
        <v>134</v>
      </c>
      <c r="F6604" s="128">
        <v>6725416.5999999996</v>
      </c>
      <c r="G6604" s="128">
        <v>2933916.73</v>
      </c>
      <c r="H6604" s="128">
        <v>2545657.96</v>
      </c>
      <c r="I6604" s="128">
        <v>24191</v>
      </c>
    </row>
    <row r="6605" spans="1:9" ht="13.5">
      <c r="A6605" s="128">
        <v>2010</v>
      </c>
      <c r="B6605" s="128" t="s">
        <v>139</v>
      </c>
      <c r="C6605" s="128" t="s">
        <v>21</v>
      </c>
      <c r="D6605" s="128" t="s">
        <v>77</v>
      </c>
      <c r="E6605" s="128" t="s">
        <v>135</v>
      </c>
      <c r="F6605" s="128">
        <v>10438769.689999999</v>
      </c>
      <c r="G6605" s="128">
        <v>2861238.71</v>
      </c>
      <c r="H6605" s="128">
        <v>2888120.62</v>
      </c>
      <c r="I6605" s="128">
        <v>29263</v>
      </c>
    </row>
    <row r="6606" spans="1:9" ht="13.5">
      <c r="A6606" s="128">
        <v>2010</v>
      </c>
      <c r="B6606" s="128" t="s">
        <v>139</v>
      </c>
      <c r="C6606" s="128" t="s">
        <v>21</v>
      </c>
      <c r="D6606" s="128" t="s">
        <v>76</v>
      </c>
      <c r="E6606" s="128" t="s">
        <v>136</v>
      </c>
      <c r="F6606" s="128">
        <v>9243552.7400000002</v>
      </c>
      <c r="G6606" s="128">
        <v>6975936.6500000004</v>
      </c>
      <c r="H6606" s="128">
        <v>2267791.79</v>
      </c>
      <c r="I6606" s="128">
        <v>202036</v>
      </c>
    </row>
    <row r="6607" spans="1:9" ht="13.5">
      <c r="A6607" s="128">
        <v>2010</v>
      </c>
      <c r="B6607" s="128" t="s">
        <v>139</v>
      </c>
      <c r="C6607" s="128" t="s">
        <v>21</v>
      </c>
      <c r="D6607" s="128" t="s">
        <v>76</v>
      </c>
      <c r="E6607" s="128" t="s">
        <v>132</v>
      </c>
      <c r="F6607" s="128">
        <v>31355255.620000001</v>
      </c>
      <c r="G6607" s="128">
        <v>20235092.02</v>
      </c>
      <c r="H6607" s="128">
        <v>11119980.859999999</v>
      </c>
      <c r="I6607" s="128">
        <v>331284</v>
      </c>
    </row>
    <row r="6608" spans="1:9" ht="13.5">
      <c r="A6608" s="128">
        <v>2010</v>
      </c>
      <c r="B6608" s="128" t="s">
        <v>139</v>
      </c>
      <c r="C6608" s="128" t="s">
        <v>21</v>
      </c>
      <c r="D6608" s="128" t="s">
        <v>76</v>
      </c>
      <c r="E6608" s="128" t="s">
        <v>133</v>
      </c>
      <c r="F6608" s="128">
        <v>58467099.390000001</v>
      </c>
      <c r="G6608" s="128">
        <v>32188658.879999999</v>
      </c>
      <c r="H6608" s="128">
        <v>26278372.23</v>
      </c>
      <c r="I6608" s="128">
        <v>309580</v>
      </c>
    </row>
    <row r="6609" spans="1:9" ht="13.5">
      <c r="A6609" s="128">
        <v>2010</v>
      </c>
      <c r="B6609" s="128" t="s">
        <v>139</v>
      </c>
      <c r="C6609" s="128" t="s">
        <v>21</v>
      </c>
      <c r="D6609" s="128" t="s">
        <v>76</v>
      </c>
      <c r="E6609" s="128" t="s">
        <v>134</v>
      </c>
      <c r="F6609" s="128">
        <v>53298339.100000001</v>
      </c>
      <c r="G6609" s="128">
        <v>24506503.620000001</v>
      </c>
      <c r="H6609" s="128">
        <v>28791859.649999999</v>
      </c>
      <c r="I6609" s="128">
        <v>314646</v>
      </c>
    </row>
    <row r="6610" spans="1:9" ht="13.5">
      <c r="A6610" s="128">
        <v>2010</v>
      </c>
      <c r="B6610" s="128" t="s">
        <v>139</v>
      </c>
      <c r="C6610" s="128" t="s">
        <v>21</v>
      </c>
      <c r="D6610" s="128" t="s">
        <v>76</v>
      </c>
      <c r="E6610" s="128" t="s">
        <v>135</v>
      </c>
      <c r="F6610" s="128">
        <v>3419044.28</v>
      </c>
      <c r="G6610" s="128">
        <v>1000129.48</v>
      </c>
      <c r="H6610" s="128">
        <v>2418914.7999999998</v>
      </c>
      <c r="I6610" s="128">
        <v>8044</v>
      </c>
    </row>
    <row r="6611" spans="1:9" ht="13.5">
      <c r="A6611" s="128">
        <v>2010</v>
      </c>
      <c r="B6611" s="128" t="s">
        <v>139</v>
      </c>
      <c r="C6611" s="128" t="s">
        <v>22</v>
      </c>
      <c r="D6611" s="128" t="s">
        <v>79</v>
      </c>
      <c r="E6611" s="128" t="s">
        <v>136</v>
      </c>
      <c r="F6611" s="128">
        <v>9491121.4499999993</v>
      </c>
      <c r="G6611" s="128">
        <v>7147474.5700000003</v>
      </c>
      <c r="H6611" s="128">
        <v>2338724.11</v>
      </c>
      <c r="I6611" s="128">
        <v>162225</v>
      </c>
    </row>
    <row r="6612" spans="1:9" ht="13.5">
      <c r="A6612" s="128">
        <v>2010</v>
      </c>
      <c r="B6612" s="128" t="s">
        <v>139</v>
      </c>
      <c r="C6612" s="128" t="s">
        <v>22</v>
      </c>
      <c r="D6612" s="128" t="s">
        <v>79</v>
      </c>
      <c r="E6612" s="128" t="s">
        <v>132</v>
      </c>
      <c r="F6612" s="128">
        <v>2261197.81</v>
      </c>
      <c r="G6612" s="128">
        <v>1498687.52</v>
      </c>
      <c r="H6612" s="128">
        <v>499121.5</v>
      </c>
      <c r="I6612" s="128">
        <v>16042</v>
      </c>
    </row>
    <row r="6613" spans="1:9" ht="13.5">
      <c r="A6613" s="128">
        <v>2010</v>
      </c>
      <c r="B6613" s="128" t="s">
        <v>139</v>
      </c>
      <c r="C6613" s="128" t="s">
        <v>22</v>
      </c>
      <c r="D6613" s="128" t="s">
        <v>79</v>
      </c>
      <c r="E6613" s="128" t="s">
        <v>133</v>
      </c>
      <c r="F6613" s="128">
        <v>3539583.99</v>
      </c>
      <c r="G6613" s="128">
        <v>1919506.91</v>
      </c>
      <c r="H6613" s="128">
        <v>668297.71</v>
      </c>
      <c r="I6613" s="128">
        <v>24591</v>
      </c>
    </row>
    <row r="6614" spans="1:9" ht="13.5">
      <c r="A6614" s="128">
        <v>2010</v>
      </c>
      <c r="B6614" s="128" t="s">
        <v>139</v>
      </c>
      <c r="C6614" s="128" t="s">
        <v>22</v>
      </c>
      <c r="D6614" s="128" t="s">
        <v>79</v>
      </c>
      <c r="E6614" s="128" t="s">
        <v>134</v>
      </c>
      <c r="F6614" s="128">
        <v>8455719.4900000002</v>
      </c>
      <c r="G6614" s="128">
        <v>3605902.62</v>
      </c>
      <c r="H6614" s="128">
        <v>1304694.83</v>
      </c>
      <c r="I6614" s="128">
        <v>42927</v>
      </c>
    </row>
    <row r="6615" spans="1:9" ht="13.5">
      <c r="A6615" s="128">
        <v>2010</v>
      </c>
      <c r="B6615" s="128" t="s">
        <v>139</v>
      </c>
      <c r="C6615" s="128" t="s">
        <v>22</v>
      </c>
      <c r="D6615" s="128" t="s">
        <v>79</v>
      </c>
      <c r="E6615" s="128" t="s">
        <v>135</v>
      </c>
      <c r="F6615" s="128">
        <v>38700658.189999998</v>
      </c>
      <c r="G6615" s="128">
        <v>10200789.09</v>
      </c>
      <c r="H6615" s="128">
        <v>3430685.01</v>
      </c>
      <c r="I6615" s="128">
        <v>116192</v>
      </c>
    </row>
    <row r="6616" spans="1:9" ht="13.5">
      <c r="A6616" s="128">
        <v>2010</v>
      </c>
      <c r="B6616" s="128" t="s">
        <v>139</v>
      </c>
      <c r="C6616" s="128" t="s">
        <v>22</v>
      </c>
      <c r="D6616" s="128" t="s">
        <v>77</v>
      </c>
      <c r="E6616" s="128" t="s">
        <v>132</v>
      </c>
      <c r="F6616" s="128">
        <v>602216.86</v>
      </c>
      <c r="G6616" s="128">
        <v>397557.59</v>
      </c>
      <c r="H6616" s="128">
        <v>163480.89000000001</v>
      </c>
      <c r="I6616" s="128">
        <v>3037</v>
      </c>
    </row>
    <row r="6617" spans="1:9" ht="13.5">
      <c r="A6617" s="128">
        <v>2010</v>
      </c>
      <c r="B6617" s="128" t="s">
        <v>139</v>
      </c>
      <c r="C6617" s="128" t="s">
        <v>22</v>
      </c>
      <c r="D6617" s="128" t="s">
        <v>77</v>
      </c>
      <c r="E6617" s="128" t="s">
        <v>133</v>
      </c>
      <c r="F6617" s="128">
        <v>1313186.3500000001</v>
      </c>
      <c r="G6617" s="128">
        <v>714072.2</v>
      </c>
      <c r="H6617" s="128">
        <v>510527.36</v>
      </c>
      <c r="I6617" s="128">
        <v>6994</v>
      </c>
    </row>
    <row r="6618" spans="1:9" ht="13.5">
      <c r="A6618" s="128">
        <v>2010</v>
      </c>
      <c r="B6618" s="128" t="s">
        <v>139</v>
      </c>
      <c r="C6618" s="128" t="s">
        <v>22</v>
      </c>
      <c r="D6618" s="128" t="s">
        <v>77</v>
      </c>
      <c r="E6618" s="128" t="s">
        <v>134</v>
      </c>
      <c r="F6618" s="128">
        <v>3239193.06</v>
      </c>
      <c r="G6618" s="128">
        <v>1385034.12</v>
      </c>
      <c r="H6618" s="128">
        <v>1282245.3600000001</v>
      </c>
      <c r="I6618" s="128">
        <v>8471</v>
      </c>
    </row>
    <row r="6619" spans="1:9" ht="13.5">
      <c r="A6619" s="128">
        <v>2010</v>
      </c>
      <c r="B6619" s="128" t="s">
        <v>139</v>
      </c>
      <c r="C6619" s="128" t="s">
        <v>22</v>
      </c>
      <c r="D6619" s="128" t="s">
        <v>77</v>
      </c>
      <c r="E6619" s="128" t="s">
        <v>135</v>
      </c>
      <c r="F6619" s="128">
        <v>8397175.1899999995</v>
      </c>
      <c r="G6619" s="128">
        <v>2281215.71</v>
      </c>
      <c r="H6619" s="128">
        <v>2396079.58</v>
      </c>
      <c r="I6619" s="128">
        <v>24467</v>
      </c>
    </row>
    <row r="6620" spans="1:9" ht="13.5">
      <c r="A6620" s="128">
        <v>2010</v>
      </c>
      <c r="B6620" s="128" t="s">
        <v>139</v>
      </c>
      <c r="C6620" s="128" t="s">
        <v>22</v>
      </c>
      <c r="D6620" s="128" t="s">
        <v>76</v>
      </c>
      <c r="E6620" s="128" t="s">
        <v>136</v>
      </c>
      <c r="F6620" s="128">
        <v>3049499.69</v>
      </c>
      <c r="G6620" s="128">
        <v>2311947.2599999998</v>
      </c>
      <c r="H6620" s="128">
        <v>737545.6</v>
      </c>
      <c r="I6620" s="128">
        <v>59526</v>
      </c>
    </row>
    <row r="6621" spans="1:9" ht="13.5">
      <c r="A6621" s="128">
        <v>2010</v>
      </c>
      <c r="B6621" s="128" t="s">
        <v>139</v>
      </c>
      <c r="C6621" s="128" t="s">
        <v>22</v>
      </c>
      <c r="D6621" s="128" t="s">
        <v>76</v>
      </c>
      <c r="E6621" s="128" t="s">
        <v>132</v>
      </c>
      <c r="F6621" s="128">
        <v>26644968.469999999</v>
      </c>
      <c r="G6621" s="128">
        <v>17301445.93</v>
      </c>
      <c r="H6621" s="128">
        <v>9343280.6300000008</v>
      </c>
      <c r="I6621" s="128">
        <v>293524</v>
      </c>
    </row>
    <row r="6622" spans="1:9" ht="13.5">
      <c r="A6622" s="128">
        <v>2010</v>
      </c>
      <c r="B6622" s="128" t="s">
        <v>139</v>
      </c>
      <c r="C6622" s="128" t="s">
        <v>22</v>
      </c>
      <c r="D6622" s="128" t="s">
        <v>76</v>
      </c>
      <c r="E6622" s="128" t="s">
        <v>133</v>
      </c>
      <c r="F6622" s="128">
        <v>45318254.759999998</v>
      </c>
      <c r="G6622" s="128">
        <v>25126730.300000001</v>
      </c>
      <c r="H6622" s="128">
        <v>20191393.52</v>
      </c>
      <c r="I6622" s="128">
        <v>248297</v>
      </c>
    </row>
    <row r="6623" spans="1:9" ht="13.5">
      <c r="A6623" s="128">
        <v>2010</v>
      </c>
      <c r="B6623" s="128" t="s">
        <v>139</v>
      </c>
      <c r="C6623" s="128" t="s">
        <v>22</v>
      </c>
      <c r="D6623" s="128" t="s">
        <v>76</v>
      </c>
      <c r="E6623" s="128" t="s">
        <v>134</v>
      </c>
      <c r="F6623" s="128">
        <v>37547896.899999999</v>
      </c>
      <c r="G6623" s="128">
        <v>17457586.859999999</v>
      </c>
      <c r="H6623" s="128">
        <v>20090332.399999999</v>
      </c>
      <c r="I6623" s="128">
        <v>246141</v>
      </c>
    </row>
    <row r="6624" spans="1:9" ht="13.5">
      <c r="A6624" s="128">
        <v>2010</v>
      </c>
      <c r="B6624" s="128" t="s">
        <v>139</v>
      </c>
      <c r="C6624" s="128" t="s">
        <v>22</v>
      </c>
      <c r="D6624" s="128" t="s">
        <v>76</v>
      </c>
      <c r="E6624" s="128" t="s">
        <v>135</v>
      </c>
      <c r="F6624" s="128">
        <v>5202522.12</v>
      </c>
      <c r="G6624" s="128">
        <v>1565197.62</v>
      </c>
      <c r="H6624" s="128">
        <v>3637523.81</v>
      </c>
      <c r="I6624" s="128">
        <v>8497</v>
      </c>
    </row>
    <row r="6625" spans="1:9" ht="13.5">
      <c r="A6625" s="128">
        <v>2010</v>
      </c>
      <c r="B6625" s="128" t="s">
        <v>139</v>
      </c>
      <c r="C6625" s="128" t="s">
        <v>23</v>
      </c>
      <c r="D6625" s="128" t="s">
        <v>79</v>
      </c>
      <c r="E6625" s="128" t="s">
        <v>136</v>
      </c>
      <c r="F6625" s="128">
        <v>2624334.66</v>
      </c>
      <c r="G6625" s="128">
        <v>1970190.28</v>
      </c>
      <c r="H6625" s="128">
        <v>654144.18000000005</v>
      </c>
      <c r="I6625" s="128">
        <v>58995</v>
      </c>
    </row>
    <row r="6626" spans="1:9" ht="13.5">
      <c r="A6626" s="128">
        <v>2010</v>
      </c>
      <c r="B6626" s="128" t="s">
        <v>139</v>
      </c>
      <c r="C6626" s="128" t="s">
        <v>23</v>
      </c>
      <c r="D6626" s="128" t="s">
        <v>79</v>
      </c>
      <c r="E6626" s="128" t="s">
        <v>132</v>
      </c>
      <c r="F6626" s="128">
        <v>712298.64</v>
      </c>
      <c r="G6626" s="128">
        <v>484614.8</v>
      </c>
      <c r="H6626" s="128">
        <v>186132.53</v>
      </c>
      <c r="I6626" s="128">
        <v>6391</v>
      </c>
    </row>
    <row r="6627" spans="1:9" ht="13.5">
      <c r="A6627" s="128">
        <v>2010</v>
      </c>
      <c r="B6627" s="128" t="s">
        <v>139</v>
      </c>
      <c r="C6627" s="128" t="s">
        <v>23</v>
      </c>
      <c r="D6627" s="128" t="s">
        <v>79</v>
      </c>
      <c r="E6627" s="128" t="s">
        <v>133</v>
      </c>
      <c r="F6627" s="128">
        <v>1723738.37</v>
      </c>
      <c r="G6627" s="128">
        <v>935290.13</v>
      </c>
      <c r="H6627" s="128">
        <v>594543.31000000006</v>
      </c>
      <c r="I6627" s="128">
        <v>10954</v>
      </c>
    </row>
    <row r="6628" spans="1:9" ht="13.5">
      <c r="A6628" s="128">
        <v>2010</v>
      </c>
      <c r="B6628" s="128" t="s">
        <v>139</v>
      </c>
      <c r="C6628" s="128" t="s">
        <v>23</v>
      </c>
      <c r="D6628" s="128" t="s">
        <v>79</v>
      </c>
      <c r="E6628" s="128" t="s">
        <v>134</v>
      </c>
      <c r="F6628" s="128">
        <v>5501178.0999999996</v>
      </c>
      <c r="G6628" s="128">
        <v>2386130.16</v>
      </c>
      <c r="H6628" s="128">
        <v>2865358.83</v>
      </c>
      <c r="I6628" s="128">
        <v>46754</v>
      </c>
    </row>
    <row r="6629" spans="1:9" ht="13.5">
      <c r="A6629" s="128">
        <v>2010</v>
      </c>
      <c r="B6629" s="128" t="s">
        <v>139</v>
      </c>
      <c r="C6629" s="128" t="s">
        <v>23</v>
      </c>
      <c r="D6629" s="128" t="s">
        <v>79</v>
      </c>
      <c r="E6629" s="128" t="s">
        <v>135</v>
      </c>
      <c r="F6629" s="128">
        <v>1984430.02</v>
      </c>
      <c r="G6629" s="128">
        <v>562834.29</v>
      </c>
      <c r="H6629" s="128">
        <v>229278.54</v>
      </c>
      <c r="I6629" s="128">
        <v>12870</v>
      </c>
    </row>
    <row r="6630" spans="1:9" ht="13.5">
      <c r="A6630" s="128">
        <v>2010</v>
      </c>
      <c r="B6630" s="128" t="s">
        <v>139</v>
      </c>
      <c r="C6630" s="128" t="s">
        <v>23</v>
      </c>
      <c r="D6630" s="128" t="s">
        <v>77</v>
      </c>
      <c r="E6630" s="128" t="s">
        <v>132</v>
      </c>
      <c r="F6630" s="128">
        <v>1894297.7</v>
      </c>
      <c r="G6630" s="128">
        <v>1247888.76</v>
      </c>
      <c r="H6630" s="128">
        <v>596285.53</v>
      </c>
      <c r="I6630" s="128">
        <v>17247</v>
      </c>
    </row>
    <row r="6631" spans="1:9" ht="13.5">
      <c r="A6631" s="128">
        <v>2010</v>
      </c>
      <c r="B6631" s="128" t="s">
        <v>139</v>
      </c>
      <c r="C6631" s="128" t="s">
        <v>23</v>
      </c>
      <c r="D6631" s="128" t="s">
        <v>77</v>
      </c>
      <c r="E6631" s="128" t="s">
        <v>133</v>
      </c>
      <c r="F6631" s="128">
        <v>2396159.38</v>
      </c>
      <c r="G6631" s="128">
        <v>1300959.82</v>
      </c>
      <c r="H6631" s="128">
        <v>990228.26</v>
      </c>
      <c r="I6631" s="128">
        <v>10229</v>
      </c>
    </row>
    <row r="6632" spans="1:9" ht="13.5">
      <c r="A6632" s="128">
        <v>2010</v>
      </c>
      <c r="B6632" s="128" t="s">
        <v>139</v>
      </c>
      <c r="C6632" s="128" t="s">
        <v>23</v>
      </c>
      <c r="D6632" s="128" t="s">
        <v>77</v>
      </c>
      <c r="E6632" s="128" t="s">
        <v>134</v>
      </c>
      <c r="F6632" s="128">
        <v>3163790.11</v>
      </c>
      <c r="G6632" s="128">
        <v>1435062.24</v>
      </c>
      <c r="H6632" s="128">
        <v>1469212.92</v>
      </c>
      <c r="I6632" s="128">
        <v>11166</v>
      </c>
    </row>
    <row r="6633" spans="1:9" ht="13.5">
      <c r="A6633" s="128">
        <v>2010</v>
      </c>
      <c r="B6633" s="128" t="s">
        <v>139</v>
      </c>
      <c r="C6633" s="128" t="s">
        <v>23</v>
      </c>
      <c r="D6633" s="128" t="s">
        <v>77</v>
      </c>
      <c r="E6633" s="128" t="s">
        <v>135</v>
      </c>
      <c r="F6633" s="128">
        <v>1794377.83</v>
      </c>
      <c r="G6633" s="128">
        <v>502245.96</v>
      </c>
      <c r="H6633" s="128">
        <v>535116.37</v>
      </c>
      <c r="I6633" s="128">
        <v>3477</v>
      </c>
    </row>
    <row r="6634" spans="1:9" ht="13.5">
      <c r="A6634" s="128">
        <v>2010</v>
      </c>
      <c r="B6634" s="128" t="s">
        <v>139</v>
      </c>
      <c r="C6634" s="128" t="s">
        <v>23</v>
      </c>
      <c r="D6634" s="128" t="s">
        <v>76</v>
      </c>
      <c r="E6634" s="128" t="s">
        <v>136</v>
      </c>
      <c r="F6634" s="128">
        <v>2260825.34</v>
      </c>
      <c r="G6634" s="128">
        <v>1704669.91</v>
      </c>
      <c r="H6634" s="128">
        <v>556291.03</v>
      </c>
      <c r="I6634" s="128">
        <v>19998</v>
      </c>
    </row>
    <row r="6635" spans="1:9" ht="13.5">
      <c r="A6635" s="128">
        <v>2010</v>
      </c>
      <c r="B6635" s="128" t="s">
        <v>139</v>
      </c>
      <c r="C6635" s="128" t="s">
        <v>23</v>
      </c>
      <c r="D6635" s="128" t="s">
        <v>76</v>
      </c>
      <c r="E6635" s="128" t="s">
        <v>132</v>
      </c>
      <c r="F6635" s="128">
        <v>8127609.8099999996</v>
      </c>
      <c r="G6635" s="128">
        <v>5329830.99</v>
      </c>
      <c r="H6635" s="128">
        <v>2797743.71</v>
      </c>
      <c r="I6635" s="128">
        <v>112843</v>
      </c>
    </row>
    <row r="6636" spans="1:9" ht="13.5">
      <c r="A6636" s="128">
        <v>2010</v>
      </c>
      <c r="B6636" s="128" t="s">
        <v>139</v>
      </c>
      <c r="C6636" s="128" t="s">
        <v>23</v>
      </c>
      <c r="D6636" s="128" t="s">
        <v>76</v>
      </c>
      <c r="E6636" s="128" t="s">
        <v>133</v>
      </c>
      <c r="F6636" s="128">
        <v>17338676.859999999</v>
      </c>
      <c r="G6636" s="128">
        <v>9435920.75</v>
      </c>
      <c r="H6636" s="128">
        <v>7902734.0300000003</v>
      </c>
      <c r="I6636" s="128">
        <v>89521</v>
      </c>
    </row>
    <row r="6637" spans="1:9" ht="13.5">
      <c r="A6637" s="128">
        <v>2010</v>
      </c>
      <c r="B6637" s="128" t="s">
        <v>139</v>
      </c>
      <c r="C6637" s="128" t="s">
        <v>23</v>
      </c>
      <c r="D6637" s="128" t="s">
        <v>76</v>
      </c>
      <c r="E6637" s="128" t="s">
        <v>134</v>
      </c>
      <c r="F6637" s="128">
        <v>17705330.789999999</v>
      </c>
      <c r="G6637" s="128">
        <v>8143574.29</v>
      </c>
      <c r="H6637" s="128">
        <v>9561748.2799999993</v>
      </c>
      <c r="I6637" s="128">
        <v>73454</v>
      </c>
    </row>
    <row r="6638" spans="1:9" ht="13.5">
      <c r="A6638" s="128">
        <v>2010</v>
      </c>
      <c r="B6638" s="128" t="s">
        <v>139</v>
      </c>
      <c r="C6638" s="128" t="s">
        <v>23</v>
      </c>
      <c r="D6638" s="128" t="s">
        <v>76</v>
      </c>
      <c r="E6638" s="128" t="s">
        <v>135</v>
      </c>
      <c r="F6638" s="128">
        <v>1651922.41</v>
      </c>
      <c r="G6638" s="128">
        <v>482785.83</v>
      </c>
      <c r="H6638" s="128">
        <v>1169136.58</v>
      </c>
      <c r="I6638" s="128">
        <v>2518</v>
      </c>
    </row>
    <row r="6639" spans="1:9" ht="13.5">
      <c r="A6639" s="128">
        <v>2010</v>
      </c>
      <c r="B6639" s="128" t="s">
        <v>139</v>
      </c>
      <c r="C6639" s="128" t="s">
        <v>24</v>
      </c>
      <c r="D6639" s="128" t="s">
        <v>79</v>
      </c>
      <c r="E6639" s="128" t="s">
        <v>136</v>
      </c>
      <c r="F6639" s="128">
        <v>1924326.75</v>
      </c>
      <c r="G6639" s="128">
        <v>1446868.02</v>
      </c>
      <c r="H6639" s="128">
        <v>477206.88</v>
      </c>
      <c r="I6639" s="128">
        <v>39521</v>
      </c>
    </row>
    <row r="6640" spans="1:9" ht="13.5">
      <c r="A6640" s="128">
        <v>2010</v>
      </c>
      <c r="B6640" s="128" t="s">
        <v>139</v>
      </c>
      <c r="C6640" s="128" t="s">
        <v>24</v>
      </c>
      <c r="D6640" s="128" t="s">
        <v>79</v>
      </c>
      <c r="E6640" s="128" t="s">
        <v>132</v>
      </c>
      <c r="F6640" s="128">
        <v>489986.56</v>
      </c>
      <c r="G6640" s="128">
        <v>322025.44</v>
      </c>
      <c r="H6640" s="128">
        <v>109678.74</v>
      </c>
      <c r="I6640" s="128">
        <v>3165</v>
      </c>
    </row>
    <row r="6641" spans="1:9" ht="13.5">
      <c r="A6641" s="128">
        <v>2010</v>
      </c>
      <c r="B6641" s="128" t="s">
        <v>139</v>
      </c>
      <c r="C6641" s="128" t="s">
        <v>24</v>
      </c>
      <c r="D6641" s="128" t="s">
        <v>79</v>
      </c>
      <c r="E6641" s="128" t="s">
        <v>133</v>
      </c>
      <c r="F6641" s="128">
        <v>1274347.3600000001</v>
      </c>
      <c r="G6641" s="128">
        <v>692793.48</v>
      </c>
      <c r="H6641" s="128">
        <v>235002.31</v>
      </c>
      <c r="I6641" s="128">
        <v>9296</v>
      </c>
    </row>
    <row r="6642" spans="1:9" ht="13.5">
      <c r="A6642" s="128">
        <v>2010</v>
      </c>
      <c r="B6642" s="128" t="s">
        <v>139</v>
      </c>
      <c r="C6642" s="128" t="s">
        <v>24</v>
      </c>
      <c r="D6642" s="128" t="s">
        <v>79</v>
      </c>
      <c r="E6642" s="128" t="s">
        <v>134</v>
      </c>
      <c r="F6642" s="128">
        <v>2767189.92</v>
      </c>
      <c r="G6642" s="128">
        <v>1173264.1399999999</v>
      </c>
      <c r="H6642" s="128">
        <v>400633.72</v>
      </c>
      <c r="I6642" s="128">
        <v>15115</v>
      </c>
    </row>
    <row r="6643" spans="1:9" ht="13.5">
      <c r="A6643" s="128">
        <v>2010</v>
      </c>
      <c r="B6643" s="128" t="s">
        <v>139</v>
      </c>
      <c r="C6643" s="128" t="s">
        <v>24</v>
      </c>
      <c r="D6643" s="128" t="s">
        <v>79</v>
      </c>
      <c r="E6643" s="128" t="s">
        <v>135</v>
      </c>
      <c r="F6643" s="128">
        <v>5764961.0999999996</v>
      </c>
      <c r="G6643" s="128">
        <v>1422149.18</v>
      </c>
      <c r="H6643" s="128">
        <v>478395.19</v>
      </c>
      <c r="I6643" s="128">
        <v>16827</v>
      </c>
    </row>
    <row r="6644" spans="1:9" ht="13.5">
      <c r="A6644" s="128">
        <v>2010</v>
      </c>
      <c r="B6644" s="128" t="s">
        <v>139</v>
      </c>
      <c r="C6644" s="128" t="s">
        <v>24</v>
      </c>
      <c r="D6644" s="128" t="s">
        <v>77</v>
      </c>
      <c r="E6644" s="128" t="s">
        <v>132</v>
      </c>
      <c r="F6644" s="128">
        <v>1866337.3</v>
      </c>
      <c r="G6644" s="128">
        <v>1269007.45</v>
      </c>
      <c r="H6644" s="128">
        <v>569942.89</v>
      </c>
      <c r="I6644" s="128">
        <v>12197</v>
      </c>
    </row>
    <row r="6645" spans="1:9" ht="13.5">
      <c r="A6645" s="128">
        <v>2010</v>
      </c>
      <c r="B6645" s="128" t="s">
        <v>139</v>
      </c>
      <c r="C6645" s="128" t="s">
        <v>24</v>
      </c>
      <c r="D6645" s="128" t="s">
        <v>77</v>
      </c>
      <c r="E6645" s="128" t="s">
        <v>133</v>
      </c>
      <c r="F6645" s="128">
        <v>3664468.7</v>
      </c>
      <c r="G6645" s="128">
        <v>1982753.84</v>
      </c>
      <c r="H6645" s="128">
        <v>1435854.98</v>
      </c>
      <c r="I6645" s="128">
        <v>31755</v>
      </c>
    </row>
    <row r="6646" spans="1:9" ht="13.5">
      <c r="A6646" s="128">
        <v>2010</v>
      </c>
      <c r="B6646" s="128" t="s">
        <v>139</v>
      </c>
      <c r="C6646" s="128" t="s">
        <v>24</v>
      </c>
      <c r="D6646" s="128" t="s">
        <v>77</v>
      </c>
      <c r="E6646" s="128" t="s">
        <v>134</v>
      </c>
      <c r="F6646" s="128">
        <v>6475325.2400000002</v>
      </c>
      <c r="G6646" s="128">
        <v>2824843.02</v>
      </c>
      <c r="H6646" s="128">
        <v>2151060.0499999998</v>
      </c>
      <c r="I6646" s="128">
        <v>21753</v>
      </c>
    </row>
    <row r="6647" spans="1:9" ht="13.5">
      <c r="A6647" s="128">
        <v>2010</v>
      </c>
      <c r="B6647" s="128" t="s">
        <v>139</v>
      </c>
      <c r="C6647" s="128" t="s">
        <v>24</v>
      </c>
      <c r="D6647" s="128" t="s">
        <v>77</v>
      </c>
      <c r="E6647" s="128" t="s">
        <v>135</v>
      </c>
      <c r="F6647" s="128">
        <v>11035024.24</v>
      </c>
      <c r="G6647" s="128">
        <v>2757771.41</v>
      </c>
      <c r="H6647" s="128">
        <v>1987482.56</v>
      </c>
      <c r="I6647" s="128">
        <v>19248</v>
      </c>
    </row>
    <row r="6648" spans="1:9" ht="13.5">
      <c r="A6648" s="128">
        <v>2010</v>
      </c>
      <c r="B6648" s="128" t="s">
        <v>139</v>
      </c>
      <c r="C6648" s="128" t="s">
        <v>24</v>
      </c>
      <c r="D6648" s="128" t="s">
        <v>76</v>
      </c>
      <c r="E6648" s="128" t="s">
        <v>136</v>
      </c>
      <c r="F6648" s="128">
        <v>886803.11</v>
      </c>
      <c r="G6648" s="128">
        <v>672113.22</v>
      </c>
      <c r="H6648" s="128">
        <v>214689.89</v>
      </c>
      <c r="I6648" s="128">
        <v>10415</v>
      </c>
    </row>
    <row r="6649" spans="1:9" ht="13.5">
      <c r="A6649" s="128">
        <v>2010</v>
      </c>
      <c r="B6649" s="128" t="s">
        <v>139</v>
      </c>
      <c r="C6649" s="128" t="s">
        <v>24</v>
      </c>
      <c r="D6649" s="128" t="s">
        <v>76</v>
      </c>
      <c r="E6649" s="128" t="s">
        <v>132</v>
      </c>
      <c r="F6649" s="128">
        <v>8339488.4000000004</v>
      </c>
      <c r="G6649" s="128">
        <v>5274147.1500000004</v>
      </c>
      <c r="H6649" s="128">
        <v>3065336.13</v>
      </c>
      <c r="I6649" s="128">
        <v>88938</v>
      </c>
    </row>
    <row r="6650" spans="1:9" ht="13.5">
      <c r="A6650" s="128">
        <v>2010</v>
      </c>
      <c r="B6650" s="128" t="s">
        <v>139</v>
      </c>
      <c r="C6650" s="128" t="s">
        <v>24</v>
      </c>
      <c r="D6650" s="128" t="s">
        <v>76</v>
      </c>
      <c r="E6650" s="128" t="s">
        <v>133</v>
      </c>
      <c r="F6650" s="128">
        <v>23443381.199999999</v>
      </c>
      <c r="G6650" s="128">
        <v>13009456.27</v>
      </c>
      <c r="H6650" s="128">
        <v>10433917.52</v>
      </c>
      <c r="I6650" s="128">
        <v>165952</v>
      </c>
    </row>
    <row r="6651" spans="1:9" ht="13.5">
      <c r="A6651" s="128">
        <v>2010</v>
      </c>
      <c r="B6651" s="128" t="s">
        <v>139</v>
      </c>
      <c r="C6651" s="128" t="s">
        <v>24</v>
      </c>
      <c r="D6651" s="128" t="s">
        <v>76</v>
      </c>
      <c r="E6651" s="128" t="s">
        <v>134</v>
      </c>
      <c r="F6651" s="128">
        <v>26671156.329999998</v>
      </c>
      <c r="G6651" s="128">
        <v>11694605.65</v>
      </c>
      <c r="H6651" s="128">
        <v>14976553.51</v>
      </c>
      <c r="I6651" s="128">
        <v>135172</v>
      </c>
    </row>
    <row r="6652" spans="1:9" ht="13.5">
      <c r="A6652" s="128">
        <v>2010</v>
      </c>
      <c r="B6652" s="128" t="s">
        <v>139</v>
      </c>
      <c r="C6652" s="128" t="s">
        <v>24</v>
      </c>
      <c r="D6652" s="128" t="s">
        <v>76</v>
      </c>
      <c r="E6652" s="128" t="s">
        <v>135</v>
      </c>
      <c r="F6652" s="128">
        <v>3206307.61</v>
      </c>
      <c r="G6652" s="128">
        <v>812816.16</v>
      </c>
      <c r="H6652" s="128">
        <v>2393489.65</v>
      </c>
      <c r="I6652" s="128">
        <v>2343</v>
      </c>
    </row>
    <row r="6653" spans="1:9" ht="13.5">
      <c r="A6653" s="128">
        <v>2010</v>
      </c>
      <c r="B6653" s="128" t="s">
        <v>139</v>
      </c>
      <c r="C6653" s="128" t="s">
        <v>25</v>
      </c>
      <c r="D6653" s="128" t="s">
        <v>79</v>
      </c>
      <c r="E6653" s="128" t="s">
        <v>136</v>
      </c>
      <c r="F6653" s="128">
        <v>1026827.92</v>
      </c>
      <c r="G6653" s="128">
        <v>772723.59</v>
      </c>
      <c r="H6653" s="128">
        <v>254104.33</v>
      </c>
      <c r="I6653" s="128">
        <v>16554</v>
      </c>
    </row>
    <row r="6654" spans="1:9" ht="13.5">
      <c r="A6654" s="128">
        <v>2010</v>
      </c>
      <c r="B6654" s="128" t="s">
        <v>139</v>
      </c>
      <c r="C6654" s="128" t="s">
        <v>25</v>
      </c>
      <c r="D6654" s="128" t="s">
        <v>79</v>
      </c>
      <c r="E6654" s="128" t="s">
        <v>132</v>
      </c>
      <c r="F6654" s="128">
        <v>243641.95</v>
      </c>
      <c r="G6654" s="128">
        <v>166243.1</v>
      </c>
      <c r="H6654" s="128">
        <v>55380.55</v>
      </c>
      <c r="I6654" s="128">
        <v>2250</v>
      </c>
    </row>
    <row r="6655" spans="1:9" ht="13.5">
      <c r="A6655" s="128">
        <v>2010</v>
      </c>
      <c r="B6655" s="128" t="s">
        <v>139</v>
      </c>
      <c r="C6655" s="128" t="s">
        <v>25</v>
      </c>
      <c r="D6655" s="128" t="s">
        <v>79</v>
      </c>
      <c r="E6655" s="128" t="s">
        <v>133</v>
      </c>
      <c r="F6655" s="128">
        <v>168109</v>
      </c>
      <c r="G6655" s="128">
        <v>91444.92</v>
      </c>
      <c r="H6655" s="128">
        <v>32479.72</v>
      </c>
      <c r="I6655" s="128">
        <v>676</v>
      </c>
    </row>
    <row r="6656" spans="1:9" ht="13.5">
      <c r="A6656" s="128">
        <v>2010</v>
      </c>
      <c r="B6656" s="128" t="s">
        <v>139</v>
      </c>
      <c r="C6656" s="128" t="s">
        <v>25</v>
      </c>
      <c r="D6656" s="128" t="s">
        <v>79</v>
      </c>
      <c r="E6656" s="128" t="s">
        <v>134</v>
      </c>
      <c r="F6656" s="128">
        <v>623843.93999999994</v>
      </c>
      <c r="G6656" s="128">
        <v>268314.11</v>
      </c>
      <c r="H6656" s="128">
        <v>98363.61</v>
      </c>
      <c r="I6656" s="128">
        <v>2681</v>
      </c>
    </row>
    <row r="6657" spans="1:9" ht="13.5">
      <c r="A6657" s="128">
        <v>2010</v>
      </c>
      <c r="B6657" s="128" t="s">
        <v>139</v>
      </c>
      <c r="C6657" s="128" t="s">
        <v>25</v>
      </c>
      <c r="D6657" s="128" t="s">
        <v>79</v>
      </c>
      <c r="E6657" s="128" t="s">
        <v>135</v>
      </c>
      <c r="F6657" s="128">
        <v>2625687.17</v>
      </c>
      <c r="G6657" s="128">
        <v>675963.78</v>
      </c>
      <c r="H6657" s="128">
        <v>227232</v>
      </c>
      <c r="I6657" s="128">
        <v>8169</v>
      </c>
    </row>
    <row r="6658" spans="1:9" ht="13.5">
      <c r="A6658" s="128">
        <v>2010</v>
      </c>
      <c r="B6658" s="128" t="s">
        <v>139</v>
      </c>
      <c r="C6658" s="128" t="s">
        <v>25</v>
      </c>
      <c r="D6658" s="128" t="s">
        <v>77</v>
      </c>
      <c r="E6658" s="128" t="s">
        <v>132</v>
      </c>
      <c r="F6658" s="128">
        <v>94356.61</v>
      </c>
      <c r="G6658" s="128">
        <v>65445.35</v>
      </c>
      <c r="H6658" s="128">
        <v>22188.23</v>
      </c>
      <c r="I6658" s="128">
        <v>967</v>
      </c>
    </row>
    <row r="6659" spans="1:9" ht="13.5">
      <c r="A6659" s="128">
        <v>2010</v>
      </c>
      <c r="B6659" s="128" t="s">
        <v>139</v>
      </c>
      <c r="C6659" s="128" t="s">
        <v>25</v>
      </c>
      <c r="D6659" s="128" t="s">
        <v>77</v>
      </c>
      <c r="E6659" s="128" t="s">
        <v>133</v>
      </c>
      <c r="F6659" s="128">
        <v>158932.06</v>
      </c>
      <c r="G6659" s="128">
        <v>86726.8</v>
      </c>
      <c r="H6659" s="128">
        <v>64053.06</v>
      </c>
      <c r="I6659" s="128">
        <v>495</v>
      </c>
    </row>
    <row r="6660" spans="1:9" ht="13.5">
      <c r="A6660" s="128">
        <v>2010</v>
      </c>
      <c r="B6660" s="128" t="s">
        <v>139</v>
      </c>
      <c r="C6660" s="128" t="s">
        <v>25</v>
      </c>
      <c r="D6660" s="128" t="s">
        <v>77</v>
      </c>
      <c r="E6660" s="128" t="s">
        <v>134</v>
      </c>
      <c r="F6660" s="128">
        <v>547776.24</v>
      </c>
      <c r="G6660" s="128">
        <v>234794.25</v>
      </c>
      <c r="H6660" s="128">
        <v>238781.33</v>
      </c>
      <c r="I6660" s="128">
        <v>1499</v>
      </c>
    </row>
    <row r="6661" spans="1:9" ht="13.5">
      <c r="A6661" s="128">
        <v>2010</v>
      </c>
      <c r="B6661" s="128" t="s">
        <v>139</v>
      </c>
      <c r="C6661" s="128" t="s">
        <v>25</v>
      </c>
      <c r="D6661" s="128" t="s">
        <v>77</v>
      </c>
      <c r="E6661" s="128" t="s">
        <v>135</v>
      </c>
      <c r="F6661" s="128">
        <v>1019693.84</v>
      </c>
      <c r="G6661" s="128">
        <v>298244.2</v>
      </c>
      <c r="H6661" s="128">
        <v>325934.44</v>
      </c>
      <c r="I6661" s="128">
        <v>3792</v>
      </c>
    </row>
    <row r="6662" spans="1:9" ht="13.5">
      <c r="A6662" s="128">
        <v>2010</v>
      </c>
      <c r="B6662" s="128" t="s">
        <v>139</v>
      </c>
      <c r="C6662" s="128" t="s">
        <v>25</v>
      </c>
      <c r="D6662" s="128" t="s">
        <v>76</v>
      </c>
      <c r="E6662" s="128" t="s">
        <v>136</v>
      </c>
      <c r="F6662" s="128">
        <v>573243.39</v>
      </c>
      <c r="G6662" s="128">
        <v>434261.89</v>
      </c>
      <c r="H6662" s="128">
        <v>139031.34</v>
      </c>
      <c r="I6662" s="128">
        <v>8666</v>
      </c>
    </row>
    <row r="6663" spans="1:9" ht="13.5">
      <c r="A6663" s="128">
        <v>2010</v>
      </c>
      <c r="B6663" s="128" t="s">
        <v>139</v>
      </c>
      <c r="C6663" s="128" t="s">
        <v>25</v>
      </c>
      <c r="D6663" s="128" t="s">
        <v>76</v>
      </c>
      <c r="E6663" s="128" t="s">
        <v>132</v>
      </c>
      <c r="F6663" s="128">
        <v>2521991.9</v>
      </c>
      <c r="G6663" s="128">
        <v>1634437</v>
      </c>
      <c r="H6663" s="128">
        <v>887548.89</v>
      </c>
      <c r="I6663" s="128">
        <v>24215</v>
      </c>
    </row>
    <row r="6664" spans="1:9" ht="13.5">
      <c r="A6664" s="128">
        <v>2010</v>
      </c>
      <c r="B6664" s="128" t="s">
        <v>139</v>
      </c>
      <c r="C6664" s="128" t="s">
        <v>25</v>
      </c>
      <c r="D6664" s="128" t="s">
        <v>76</v>
      </c>
      <c r="E6664" s="128" t="s">
        <v>133</v>
      </c>
      <c r="F6664" s="128">
        <v>4555442.75</v>
      </c>
      <c r="G6664" s="128">
        <v>2505936.15</v>
      </c>
      <c r="H6664" s="128">
        <v>2049501.49</v>
      </c>
      <c r="I6664" s="128">
        <v>18712</v>
      </c>
    </row>
    <row r="6665" spans="1:9" ht="13.5">
      <c r="A6665" s="128">
        <v>2010</v>
      </c>
      <c r="B6665" s="128" t="s">
        <v>139</v>
      </c>
      <c r="C6665" s="128" t="s">
        <v>25</v>
      </c>
      <c r="D6665" s="128" t="s">
        <v>76</v>
      </c>
      <c r="E6665" s="128" t="s">
        <v>134</v>
      </c>
      <c r="F6665" s="128">
        <v>4712425.13</v>
      </c>
      <c r="G6665" s="128">
        <v>2184220.2000000002</v>
      </c>
      <c r="H6665" s="128">
        <v>2528202.9900000002</v>
      </c>
      <c r="I6665" s="128">
        <v>28609</v>
      </c>
    </row>
    <row r="6666" spans="1:9" ht="13.5">
      <c r="A6666" s="128">
        <v>2010</v>
      </c>
      <c r="B6666" s="128" t="s">
        <v>139</v>
      </c>
      <c r="C6666" s="128" t="s">
        <v>25</v>
      </c>
      <c r="D6666" s="128" t="s">
        <v>76</v>
      </c>
      <c r="E6666" s="128" t="s">
        <v>135</v>
      </c>
      <c r="F6666" s="128">
        <v>456130.75</v>
      </c>
      <c r="G6666" s="128">
        <v>136545.54999999999</v>
      </c>
      <c r="H6666" s="128">
        <v>319585.2</v>
      </c>
      <c r="I6666" s="128">
        <v>413</v>
      </c>
    </row>
    <row r="6667" spans="1:9" ht="13.5">
      <c r="A6667" s="128">
        <v>2010</v>
      </c>
      <c r="B6667" s="128" t="s">
        <v>139</v>
      </c>
      <c r="C6667" s="128" t="s">
        <v>26</v>
      </c>
      <c r="D6667" s="128" t="s">
        <v>79</v>
      </c>
      <c r="E6667" s="128" t="s">
        <v>136</v>
      </c>
      <c r="F6667" s="128">
        <v>828006.91</v>
      </c>
      <c r="G6667" s="128">
        <v>622870.98</v>
      </c>
      <c r="H6667" s="128">
        <v>204910.98</v>
      </c>
      <c r="I6667" s="128">
        <v>9015</v>
      </c>
    </row>
    <row r="6668" spans="1:9" ht="13.5">
      <c r="A6668" s="128">
        <v>2010</v>
      </c>
      <c r="B6668" s="128" t="s">
        <v>139</v>
      </c>
      <c r="C6668" s="128" t="s">
        <v>26</v>
      </c>
      <c r="D6668" s="128" t="s">
        <v>79</v>
      </c>
      <c r="E6668" s="128" t="s">
        <v>132</v>
      </c>
      <c r="F6668" s="128">
        <v>190060.71</v>
      </c>
      <c r="G6668" s="128">
        <v>123787.98</v>
      </c>
      <c r="H6668" s="128">
        <v>41152.81</v>
      </c>
      <c r="I6668" s="128">
        <v>837</v>
      </c>
    </row>
    <row r="6669" spans="1:9" ht="13.5">
      <c r="A6669" s="128">
        <v>2010</v>
      </c>
      <c r="B6669" s="128" t="s">
        <v>139</v>
      </c>
      <c r="C6669" s="128" t="s">
        <v>26</v>
      </c>
      <c r="D6669" s="128" t="s">
        <v>79</v>
      </c>
      <c r="E6669" s="128" t="s">
        <v>133</v>
      </c>
      <c r="F6669" s="128">
        <v>202385.74</v>
      </c>
      <c r="G6669" s="128">
        <v>108907.32</v>
      </c>
      <c r="H6669" s="128">
        <v>36555.83</v>
      </c>
      <c r="I6669" s="128">
        <v>757</v>
      </c>
    </row>
    <row r="6670" spans="1:9" ht="13.5">
      <c r="A6670" s="128">
        <v>2010</v>
      </c>
      <c r="B6670" s="128" t="s">
        <v>139</v>
      </c>
      <c r="C6670" s="128" t="s">
        <v>26</v>
      </c>
      <c r="D6670" s="128" t="s">
        <v>79</v>
      </c>
      <c r="E6670" s="128" t="s">
        <v>134</v>
      </c>
      <c r="F6670" s="128">
        <v>774823.47</v>
      </c>
      <c r="G6670" s="128">
        <v>331875.67</v>
      </c>
      <c r="H6670" s="128">
        <v>113937.19</v>
      </c>
      <c r="I6670" s="128">
        <v>3926</v>
      </c>
    </row>
    <row r="6671" spans="1:9" ht="13.5">
      <c r="A6671" s="128">
        <v>2010</v>
      </c>
      <c r="B6671" s="128" t="s">
        <v>139</v>
      </c>
      <c r="C6671" s="128" t="s">
        <v>26</v>
      </c>
      <c r="D6671" s="128" t="s">
        <v>79</v>
      </c>
      <c r="E6671" s="128" t="s">
        <v>135</v>
      </c>
      <c r="F6671" s="128">
        <v>5389283.8600000003</v>
      </c>
      <c r="G6671" s="128">
        <v>1358387.2</v>
      </c>
      <c r="H6671" s="128">
        <v>456546.13</v>
      </c>
      <c r="I6671" s="128">
        <v>9852</v>
      </c>
    </row>
    <row r="6672" spans="1:9" ht="13.5">
      <c r="A6672" s="128">
        <v>2010</v>
      </c>
      <c r="B6672" s="128" t="s">
        <v>139</v>
      </c>
      <c r="C6672" s="128" t="s">
        <v>26</v>
      </c>
      <c r="D6672" s="128" t="s">
        <v>77</v>
      </c>
      <c r="E6672" s="128" t="s">
        <v>132</v>
      </c>
      <c r="F6672" s="128">
        <v>28647.27</v>
      </c>
      <c r="G6672" s="128">
        <v>19193.55</v>
      </c>
      <c r="H6672" s="128">
        <v>7465.12</v>
      </c>
      <c r="I6672" s="128">
        <v>183</v>
      </c>
    </row>
    <row r="6673" spans="1:9" ht="13.5">
      <c r="A6673" s="128">
        <v>2010</v>
      </c>
      <c r="B6673" s="128" t="s">
        <v>139</v>
      </c>
      <c r="C6673" s="128" t="s">
        <v>26</v>
      </c>
      <c r="D6673" s="128" t="s">
        <v>77</v>
      </c>
      <c r="E6673" s="128" t="s">
        <v>133</v>
      </c>
      <c r="F6673" s="128">
        <v>70280.83</v>
      </c>
      <c r="G6673" s="128">
        <v>37925.33</v>
      </c>
      <c r="H6673" s="128">
        <v>28201.85</v>
      </c>
      <c r="I6673" s="128">
        <v>215</v>
      </c>
    </row>
    <row r="6674" spans="1:9" ht="13.5">
      <c r="A6674" s="128">
        <v>2010</v>
      </c>
      <c r="B6674" s="128" t="s">
        <v>139</v>
      </c>
      <c r="C6674" s="128" t="s">
        <v>26</v>
      </c>
      <c r="D6674" s="128" t="s">
        <v>77</v>
      </c>
      <c r="E6674" s="128" t="s">
        <v>134</v>
      </c>
      <c r="F6674" s="128">
        <v>137554.35</v>
      </c>
      <c r="G6674" s="128">
        <v>61128.07</v>
      </c>
      <c r="H6674" s="128">
        <v>60986.559999999998</v>
      </c>
      <c r="I6674" s="128">
        <v>669</v>
      </c>
    </row>
    <row r="6675" spans="1:9" ht="13.5">
      <c r="A6675" s="128">
        <v>2010</v>
      </c>
      <c r="B6675" s="128" t="s">
        <v>139</v>
      </c>
      <c r="C6675" s="128" t="s">
        <v>26</v>
      </c>
      <c r="D6675" s="128" t="s">
        <v>77</v>
      </c>
      <c r="E6675" s="128" t="s">
        <v>135</v>
      </c>
      <c r="F6675" s="128">
        <v>380366.23</v>
      </c>
      <c r="G6675" s="128">
        <v>88604.77</v>
      </c>
      <c r="H6675" s="128">
        <v>89123.96</v>
      </c>
      <c r="I6675" s="128">
        <v>1076</v>
      </c>
    </row>
    <row r="6676" spans="1:9" ht="13.5">
      <c r="A6676" s="128">
        <v>2010</v>
      </c>
      <c r="B6676" s="128" t="s">
        <v>139</v>
      </c>
      <c r="C6676" s="128" t="s">
        <v>26</v>
      </c>
      <c r="D6676" s="128" t="s">
        <v>76</v>
      </c>
      <c r="E6676" s="128" t="s">
        <v>136</v>
      </c>
      <c r="F6676" s="128">
        <v>196683.7</v>
      </c>
      <c r="G6676" s="128">
        <v>149142.87</v>
      </c>
      <c r="H6676" s="128">
        <v>47540.63</v>
      </c>
      <c r="I6676" s="128">
        <v>6831</v>
      </c>
    </row>
    <row r="6677" spans="1:9" ht="13.5">
      <c r="A6677" s="128">
        <v>2010</v>
      </c>
      <c r="B6677" s="128" t="s">
        <v>139</v>
      </c>
      <c r="C6677" s="128" t="s">
        <v>26</v>
      </c>
      <c r="D6677" s="128" t="s">
        <v>76</v>
      </c>
      <c r="E6677" s="128" t="s">
        <v>132</v>
      </c>
      <c r="F6677" s="128">
        <v>970535.33</v>
      </c>
      <c r="G6677" s="128">
        <v>640421.82999999996</v>
      </c>
      <c r="H6677" s="128">
        <v>330111.19</v>
      </c>
      <c r="I6677" s="128">
        <v>13273</v>
      </c>
    </row>
    <row r="6678" spans="1:9" ht="13.5">
      <c r="A6678" s="128">
        <v>2010</v>
      </c>
      <c r="B6678" s="128" t="s">
        <v>139</v>
      </c>
      <c r="C6678" s="128" t="s">
        <v>26</v>
      </c>
      <c r="D6678" s="128" t="s">
        <v>76</v>
      </c>
      <c r="E6678" s="128" t="s">
        <v>133</v>
      </c>
      <c r="F6678" s="128">
        <v>1699435.56</v>
      </c>
      <c r="G6678" s="128">
        <v>930038.2</v>
      </c>
      <c r="H6678" s="128">
        <v>769391.93</v>
      </c>
      <c r="I6678" s="128">
        <v>7272</v>
      </c>
    </row>
    <row r="6679" spans="1:9" ht="13.5">
      <c r="A6679" s="128">
        <v>2010</v>
      </c>
      <c r="B6679" s="128" t="s">
        <v>139</v>
      </c>
      <c r="C6679" s="128" t="s">
        <v>26</v>
      </c>
      <c r="D6679" s="128" t="s">
        <v>76</v>
      </c>
      <c r="E6679" s="128" t="s">
        <v>134</v>
      </c>
      <c r="F6679" s="128">
        <v>1738111.79</v>
      </c>
      <c r="G6679" s="128">
        <v>801872.8</v>
      </c>
      <c r="H6679" s="128">
        <v>936230.55</v>
      </c>
      <c r="I6679" s="128">
        <v>11435</v>
      </c>
    </row>
    <row r="6680" spans="1:9" ht="13.5">
      <c r="A6680" s="128">
        <v>2010</v>
      </c>
      <c r="B6680" s="128" t="s">
        <v>139</v>
      </c>
      <c r="C6680" s="128" t="s">
        <v>26</v>
      </c>
      <c r="D6680" s="128" t="s">
        <v>76</v>
      </c>
      <c r="E6680" s="128" t="s">
        <v>135</v>
      </c>
      <c r="F6680" s="128">
        <v>364910.56</v>
      </c>
      <c r="G6680" s="128">
        <v>114498.5</v>
      </c>
      <c r="H6680" s="128">
        <v>250412.06</v>
      </c>
      <c r="I6680" s="128">
        <v>784</v>
      </c>
    </row>
    <row r="6681" spans="1:9" ht="13.5">
      <c r="A6681" s="128">
        <v>2010</v>
      </c>
      <c r="B6681" s="128" t="s">
        <v>139</v>
      </c>
      <c r="C6681" s="128" t="s">
        <v>27</v>
      </c>
      <c r="D6681" s="128" t="s">
        <v>79</v>
      </c>
      <c r="E6681" s="128" t="s">
        <v>136</v>
      </c>
      <c r="F6681" s="128">
        <v>253312.28</v>
      </c>
      <c r="G6681" s="128">
        <v>192507.58</v>
      </c>
      <c r="H6681" s="128">
        <v>60804.25</v>
      </c>
      <c r="I6681" s="128">
        <v>2252</v>
      </c>
    </row>
    <row r="6682" spans="1:9" ht="13.5">
      <c r="A6682" s="128">
        <v>2010</v>
      </c>
      <c r="B6682" s="128" t="s">
        <v>139</v>
      </c>
      <c r="C6682" s="128" t="s">
        <v>27</v>
      </c>
      <c r="D6682" s="128" t="s">
        <v>79</v>
      </c>
      <c r="E6682" s="128" t="s">
        <v>132</v>
      </c>
      <c r="F6682" s="128">
        <v>29214.99</v>
      </c>
      <c r="G6682" s="128">
        <v>19370.03</v>
      </c>
      <c r="H6682" s="128">
        <v>6604.17</v>
      </c>
      <c r="I6682" s="128">
        <v>138</v>
      </c>
    </row>
    <row r="6683" spans="1:9" ht="13.5">
      <c r="A6683" s="128">
        <v>2010</v>
      </c>
      <c r="B6683" s="128" t="s">
        <v>139</v>
      </c>
      <c r="C6683" s="128" t="s">
        <v>27</v>
      </c>
      <c r="D6683" s="128" t="s">
        <v>79</v>
      </c>
      <c r="E6683" s="128" t="s">
        <v>133</v>
      </c>
      <c r="F6683" s="128">
        <v>60968.06</v>
      </c>
      <c r="G6683" s="128">
        <v>32659.29</v>
      </c>
      <c r="H6683" s="128">
        <v>11200.7</v>
      </c>
      <c r="I6683" s="128">
        <v>236</v>
      </c>
    </row>
    <row r="6684" spans="1:9" ht="13.5">
      <c r="A6684" s="128">
        <v>2010</v>
      </c>
      <c r="B6684" s="128" t="s">
        <v>139</v>
      </c>
      <c r="C6684" s="128" t="s">
        <v>27</v>
      </c>
      <c r="D6684" s="128" t="s">
        <v>79</v>
      </c>
      <c r="E6684" s="128" t="s">
        <v>134</v>
      </c>
      <c r="F6684" s="128">
        <v>176839.55</v>
      </c>
      <c r="G6684" s="128">
        <v>74553.39</v>
      </c>
      <c r="H6684" s="128">
        <v>32643.33</v>
      </c>
      <c r="I6684" s="128">
        <v>872</v>
      </c>
    </row>
    <row r="6685" spans="1:9" ht="13.5">
      <c r="A6685" s="128">
        <v>2010</v>
      </c>
      <c r="B6685" s="128" t="s">
        <v>139</v>
      </c>
      <c r="C6685" s="128" t="s">
        <v>27</v>
      </c>
      <c r="D6685" s="128" t="s">
        <v>79</v>
      </c>
      <c r="E6685" s="128" t="s">
        <v>135</v>
      </c>
      <c r="F6685" s="128">
        <v>962673.38</v>
      </c>
      <c r="G6685" s="128">
        <v>249734.45</v>
      </c>
      <c r="H6685" s="128">
        <v>83634.240000000005</v>
      </c>
      <c r="I6685" s="128">
        <v>1895</v>
      </c>
    </row>
    <row r="6686" spans="1:9" ht="13.5">
      <c r="A6686" s="128">
        <v>2010</v>
      </c>
      <c r="B6686" s="128" t="s">
        <v>139</v>
      </c>
      <c r="C6686" s="128" t="s">
        <v>27</v>
      </c>
      <c r="D6686" s="128" t="s">
        <v>77</v>
      </c>
      <c r="E6686" s="128" t="s">
        <v>132</v>
      </c>
      <c r="F6686" s="128">
        <v>11313.22</v>
      </c>
      <c r="G6686" s="128">
        <v>7515.32</v>
      </c>
      <c r="H6686" s="128">
        <v>2863.81</v>
      </c>
      <c r="I6686" s="128">
        <v>130</v>
      </c>
    </row>
    <row r="6687" spans="1:9" ht="13.5">
      <c r="A6687" s="128">
        <v>2010</v>
      </c>
      <c r="B6687" s="128" t="s">
        <v>139</v>
      </c>
      <c r="C6687" s="128" t="s">
        <v>27</v>
      </c>
      <c r="D6687" s="128" t="s">
        <v>77</v>
      </c>
      <c r="E6687" s="128" t="s">
        <v>133</v>
      </c>
      <c r="F6687" s="128">
        <v>35071.89</v>
      </c>
      <c r="G6687" s="128">
        <v>18861.22</v>
      </c>
      <c r="H6687" s="128">
        <v>12071.28</v>
      </c>
      <c r="I6687" s="128">
        <v>158</v>
      </c>
    </row>
    <row r="6688" spans="1:9" ht="13.5">
      <c r="A6688" s="128">
        <v>2010</v>
      </c>
      <c r="B6688" s="128" t="s">
        <v>139</v>
      </c>
      <c r="C6688" s="128" t="s">
        <v>27</v>
      </c>
      <c r="D6688" s="128" t="s">
        <v>77</v>
      </c>
      <c r="E6688" s="128" t="s">
        <v>134</v>
      </c>
      <c r="F6688" s="128">
        <v>73582.81</v>
      </c>
      <c r="G6688" s="128">
        <v>32335.16</v>
      </c>
      <c r="H6688" s="128">
        <v>29693.3</v>
      </c>
      <c r="I6688" s="128">
        <v>165</v>
      </c>
    </row>
    <row r="6689" spans="1:9" ht="13.5">
      <c r="A6689" s="128">
        <v>2010</v>
      </c>
      <c r="B6689" s="128" t="s">
        <v>139</v>
      </c>
      <c r="C6689" s="128" t="s">
        <v>27</v>
      </c>
      <c r="D6689" s="128" t="s">
        <v>77</v>
      </c>
      <c r="E6689" s="128" t="s">
        <v>135</v>
      </c>
      <c r="F6689" s="128">
        <v>219988.92</v>
      </c>
      <c r="G6689" s="128">
        <v>56468.14</v>
      </c>
      <c r="H6689" s="128">
        <v>58475.45</v>
      </c>
      <c r="I6689" s="128">
        <v>572</v>
      </c>
    </row>
    <row r="6690" spans="1:9" ht="13.5">
      <c r="A6690" s="128">
        <v>2010</v>
      </c>
      <c r="B6690" s="128" t="s">
        <v>139</v>
      </c>
      <c r="C6690" s="128" t="s">
        <v>27</v>
      </c>
      <c r="D6690" s="128" t="s">
        <v>76</v>
      </c>
      <c r="E6690" s="128" t="s">
        <v>136</v>
      </c>
      <c r="F6690" s="128">
        <v>53221.33</v>
      </c>
      <c r="G6690" s="128">
        <v>39936.339999999997</v>
      </c>
      <c r="H6690" s="128">
        <v>13284.99</v>
      </c>
      <c r="I6690" s="128">
        <v>549</v>
      </c>
    </row>
    <row r="6691" spans="1:9" ht="13.5">
      <c r="A6691" s="128">
        <v>2010</v>
      </c>
      <c r="B6691" s="128" t="s">
        <v>139</v>
      </c>
      <c r="C6691" s="128" t="s">
        <v>27</v>
      </c>
      <c r="D6691" s="128" t="s">
        <v>76</v>
      </c>
      <c r="E6691" s="128" t="s">
        <v>132</v>
      </c>
      <c r="F6691" s="128">
        <v>209341.08</v>
      </c>
      <c r="G6691" s="128">
        <v>135221.31</v>
      </c>
      <c r="H6691" s="128">
        <v>74113.72</v>
      </c>
      <c r="I6691" s="128">
        <v>2648</v>
      </c>
    </row>
    <row r="6692" spans="1:9" ht="13.5">
      <c r="A6692" s="128">
        <v>2010</v>
      </c>
      <c r="B6692" s="128" t="s">
        <v>139</v>
      </c>
      <c r="C6692" s="128" t="s">
        <v>27</v>
      </c>
      <c r="D6692" s="128" t="s">
        <v>76</v>
      </c>
      <c r="E6692" s="128" t="s">
        <v>133</v>
      </c>
      <c r="F6692" s="128">
        <v>700693.49</v>
      </c>
      <c r="G6692" s="128">
        <v>382388.97</v>
      </c>
      <c r="H6692" s="128">
        <v>318301.65000000002</v>
      </c>
      <c r="I6692" s="128">
        <v>2636</v>
      </c>
    </row>
    <row r="6693" spans="1:9" ht="13.5">
      <c r="A6693" s="128">
        <v>2010</v>
      </c>
      <c r="B6693" s="128" t="s">
        <v>139</v>
      </c>
      <c r="C6693" s="128" t="s">
        <v>27</v>
      </c>
      <c r="D6693" s="128" t="s">
        <v>76</v>
      </c>
      <c r="E6693" s="128" t="s">
        <v>134</v>
      </c>
      <c r="F6693" s="128">
        <v>870049.5</v>
      </c>
      <c r="G6693" s="128">
        <v>402339.29</v>
      </c>
      <c r="H6693" s="128">
        <v>467703.13</v>
      </c>
      <c r="I6693" s="128">
        <v>4463</v>
      </c>
    </row>
    <row r="6694" spans="1:9" ht="13.5">
      <c r="A6694" s="128">
        <v>2010</v>
      </c>
      <c r="B6694" s="128" t="s">
        <v>139</v>
      </c>
      <c r="C6694" s="128" t="s">
        <v>27</v>
      </c>
      <c r="D6694" s="128" t="s">
        <v>76</v>
      </c>
      <c r="E6694" s="128" t="s">
        <v>135</v>
      </c>
      <c r="F6694" s="128">
        <v>24120.69</v>
      </c>
      <c r="G6694" s="128">
        <v>7669.74</v>
      </c>
      <c r="H6694" s="128">
        <v>16450.95</v>
      </c>
      <c r="I6694" s="128">
        <v>49</v>
      </c>
    </row>
    <row r="6695" spans="1:9" ht="13.5">
      <c r="A6695" s="128">
        <v>2010</v>
      </c>
      <c r="B6695" s="128" t="s">
        <v>137</v>
      </c>
      <c r="C6695" s="128" t="s">
        <v>20</v>
      </c>
      <c r="D6695" s="128" t="s">
        <v>79</v>
      </c>
      <c r="E6695" s="128" t="s">
        <v>136</v>
      </c>
      <c r="F6695" s="128">
        <v>33308108.43</v>
      </c>
      <c r="G6695" s="128">
        <v>25069175.579999998</v>
      </c>
      <c r="H6695" s="128">
        <v>8236333.4500000002</v>
      </c>
      <c r="I6695" s="128">
        <v>531052</v>
      </c>
    </row>
    <row r="6696" spans="1:9" ht="13.5">
      <c r="A6696" s="128">
        <v>2010</v>
      </c>
      <c r="B6696" s="128" t="s">
        <v>137</v>
      </c>
      <c r="C6696" s="128" t="s">
        <v>20</v>
      </c>
      <c r="D6696" s="128" t="s">
        <v>79</v>
      </c>
      <c r="E6696" s="128" t="s">
        <v>132</v>
      </c>
      <c r="F6696" s="128">
        <v>2679747.66</v>
      </c>
      <c r="G6696" s="128">
        <v>1789154.38</v>
      </c>
      <c r="H6696" s="128">
        <v>596539.54</v>
      </c>
      <c r="I6696" s="128">
        <v>14901</v>
      </c>
    </row>
    <row r="6697" spans="1:9" ht="13.5">
      <c r="A6697" s="128">
        <v>2010</v>
      </c>
      <c r="B6697" s="128" t="s">
        <v>137</v>
      </c>
      <c r="C6697" s="128" t="s">
        <v>20</v>
      </c>
      <c r="D6697" s="128" t="s">
        <v>79</v>
      </c>
      <c r="E6697" s="128" t="s">
        <v>133</v>
      </c>
      <c r="F6697" s="128">
        <v>3252339.26</v>
      </c>
      <c r="G6697" s="128">
        <v>1734662.16</v>
      </c>
      <c r="H6697" s="128">
        <v>599757.34</v>
      </c>
      <c r="I6697" s="128">
        <v>16431</v>
      </c>
    </row>
    <row r="6698" spans="1:9" ht="13.5">
      <c r="A6698" s="128">
        <v>2010</v>
      </c>
      <c r="B6698" s="128" t="s">
        <v>137</v>
      </c>
      <c r="C6698" s="128" t="s">
        <v>20</v>
      </c>
      <c r="D6698" s="128" t="s">
        <v>79</v>
      </c>
      <c r="E6698" s="128" t="s">
        <v>134</v>
      </c>
      <c r="F6698" s="128">
        <v>14576233.460000001</v>
      </c>
      <c r="G6698" s="128">
        <v>6162789.5999999996</v>
      </c>
      <c r="H6698" s="128">
        <v>2074701.62</v>
      </c>
      <c r="I6698" s="128">
        <v>70082</v>
      </c>
    </row>
    <row r="6699" spans="1:9" ht="13.5">
      <c r="A6699" s="128">
        <v>2010</v>
      </c>
      <c r="B6699" s="128" t="s">
        <v>137</v>
      </c>
      <c r="C6699" s="128" t="s">
        <v>20</v>
      </c>
      <c r="D6699" s="128" t="s">
        <v>79</v>
      </c>
      <c r="E6699" s="128" t="s">
        <v>135</v>
      </c>
      <c r="F6699" s="128">
        <v>87582959.870000005</v>
      </c>
      <c r="G6699" s="128">
        <v>22190158.010000002</v>
      </c>
      <c r="H6699" s="128">
        <v>7448165.9199999999</v>
      </c>
      <c r="I6699" s="128">
        <v>155603</v>
      </c>
    </row>
    <row r="6700" spans="1:9" ht="13.5">
      <c r="A6700" s="128">
        <v>2010</v>
      </c>
      <c r="B6700" s="128" t="s">
        <v>137</v>
      </c>
      <c r="C6700" s="128" t="s">
        <v>20</v>
      </c>
      <c r="D6700" s="128" t="s">
        <v>77</v>
      </c>
      <c r="E6700" s="128" t="s">
        <v>132</v>
      </c>
      <c r="F6700" s="128">
        <v>1249463.8600000001</v>
      </c>
      <c r="G6700" s="128">
        <v>821790.06</v>
      </c>
      <c r="H6700" s="128">
        <v>332404.63</v>
      </c>
      <c r="I6700" s="128">
        <v>8635</v>
      </c>
    </row>
    <row r="6701" spans="1:9" ht="13.5">
      <c r="A6701" s="128">
        <v>2010</v>
      </c>
      <c r="B6701" s="128" t="s">
        <v>137</v>
      </c>
      <c r="C6701" s="128" t="s">
        <v>20</v>
      </c>
      <c r="D6701" s="128" t="s">
        <v>77</v>
      </c>
      <c r="E6701" s="128" t="s">
        <v>133</v>
      </c>
      <c r="F6701" s="128">
        <v>2718366.22</v>
      </c>
      <c r="G6701" s="128">
        <v>1461732.45</v>
      </c>
      <c r="H6701" s="128">
        <v>935660.93</v>
      </c>
      <c r="I6701" s="128">
        <v>9251</v>
      </c>
    </row>
    <row r="6702" spans="1:9" ht="13.5">
      <c r="A6702" s="128">
        <v>2010</v>
      </c>
      <c r="B6702" s="128" t="s">
        <v>137</v>
      </c>
      <c r="C6702" s="128" t="s">
        <v>20</v>
      </c>
      <c r="D6702" s="128" t="s">
        <v>77</v>
      </c>
      <c r="E6702" s="128" t="s">
        <v>134</v>
      </c>
      <c r="F6702" s="128">
        <v>4867615.9400000004</v>
      </c>
      <c r="G6702" s="128">
        <v>2125250.77</v>
      </c>
      <c r="H6702" s="128">
        <v>1916305.12</v>
      </c>
      <c r="I6702" s="128">
        <v>14550</v>
      </c>
    </row>
    <row r="6703" spans="1:9" ht="13.5">
      <c r="A6703" s="128">
        <v>2010</v>
      </c>
      <c r="B6703" s="128" t="s">
        <v>137</v>
      </c>
      <c r="C6703" s="128" t="s">
        <v>20</v>
      </c>
      <c r="D6703" s="128" t="s">
        <v>77</v>
      </c>
      <c r="E6703" s="128" t="s">
        <v>135</v>
      </c>
      <c r="F6703" s="128">
        <v>7088336.9199999999</v>
      </c>
      <c r="G6703" s="128">
        <v>1845804.85</v>
      </c>
      <c r="H6703" s="128">
        <v>1802355.38</v>
      </c>
      <c r="I6703" s="128">
        <v>17684</v>
      </c>
    </row>
    <row r="6704" spans="1:9" ht="13.5">
      <c r="A6704" s="128">
        <v>2010</v>
      </c>
      <c r="B6704" s="128" t="s">
        <v>137</v>
      </c>
      <c r="C6704" s="128" t="s">
        <v>20</v>
      </c>
      <c r="D6704" s="128" t="s">
        <v>76</v>
      </c>
      <c r="E6704" s="128" t="s">
        <v>136</v>
      </c>
      <c r="F6704" s="128">
        <v>8476549.4000000004</v>
      </c>
      <c r="G6704" s="128">
        <v>6376484.04</v>
      </c>
      <c r="H6704" s="128">
        <v>2100321.56</v>
      </c>
      <c r="I6704" s="128">
        <v>235317</v>
      </c>
    </row>
    <row r="6705" spans="1:9" ht="13.5">
      <c r="A6705" s="128">
        <v>2010</v>
      </c>
      <c r="B6705" s="128" t="s">
        <v>137</v>
      </c>
      <c r="C6705" s="128" t="s">
        <v>20</v>
      </c>
      <c r="D6705" s="128" t="s">
        <v>76</v>
      </c>
      <c r="E6705" s="128" t="s">
        <v>132</v>
      </c>
      <c r="F6705" s="128">
        <v>29933159.890000001</v>
      </c>
      <c r="G6705" s="128">
        <v>19299249.18</v>
      </c>
      <c r="H6705" s="128">
        <v>10633580.74</v>
      </c>
      <c r="I6705" s="128">
        <v>307366</v>
      </c>
    </row>
    <row r="6706" spans="1:9" ht="13.5">
      <c r="A6706" s="128">
        <v>2010</v>
      </c>
      <c r="B6706" s="128" t="s">
        <v>137</v>
      </c>
      <c r="C6706" s="128" t="s">
        <v>20</v>
      </c>
      <c r="D6706" s="128" t="s">
        <v>76</v>
      </c>
      <c r="E6706" s="128" t="s">
        <v>133</v>
      </c>
      <c r="F6706" s="128">
        <v>67429323.090000004</v>
      </c>
      <c r="G6706" s="128">
        <v>37400570.140000001</v>
      </c>
      <c r="H6706" s="128">
        <v>30028508.370000001</v>
      </c>
      <c r="I6706" s="128">
        <v>426350</v>
      </c>
    </row>
    <row r="6707" spans="1:9" ht="13.5">
      <c r="A6707" s="128">
        <v>2010</v>
      </c>
      <c r="B6707" s="128" t="s">
        <v>137</v>
      </c>
      <c r="C6707" s="128" t="s">
        <v>20</v>
      </c>
      <c r="D6707" s="128" t="s">
        <v>76</v>
      </c>
      <c r="E6707" s="128" t="s">
        <v>134</v>
      </c>
      <c r="F6707" s="128">
        <v>62668803.140000001</v>
      </c>
      <c r="G6707" s="128">
        <v>28759281.09</v>
      </c>
      <c r="H6707" s="128">
        <v>33909382.880000003</v>
      </c>
      <c r="I6707" s="128">
        <v>387500</v>
      </c>
    </row>
    <row r="6708" spans="1:9" ht="13.5">
      <c r="A6708" s="128">
        <v>2010</v>
      </c>
      <c r="B6708" s="128" t="s">
        <v>137</v>
      </c>
      <c r="C6708" s="128" t="s">
        <v>20</v>
      </c>
      <c r="D6708" s="128" t="s">
        <v>76</v>
      </c>
      <c r="E6708" s="128" t="s">
        <v>135</v>
      </c>
      <c r="F6708" s="128">
        <v>8981399.3800000008</v>
      </c>
      <c r="G6708" s="128">
        <v>2830607.15</v>
      </c>
      <c r="H6708" s="128">
        <v>6150792.6500000004</v>
      </c>
      <c r="I6708" s="128">
        <v>37544</v>
      </c>
    </row>
    <row r="6709" spans="1:9" ht="13.5">
      <c r="A6709" s="128">
        <v>2010</v>
      </c>
      <c r="B6709" s="128" t="s">
        <v>137</v>
      </c>
      <c r="C6709" s="128" t="s">
        <v>21</v>
      </c>
      <c r="D6709" s="128" t="s">
        <v>79</v>
      </c>
      <c r="E6709" s="128" t="s">
        <v>136</v>
      </c>
      <c r="F6709" s="128">
        <v>10702550.960000001</v>
      </c>
      <c r="G6709" s="128">
        <v>8051706.9500000002</v>
      </c>
      <c r="H6709" s="128">
        <v>2650072.52</v>
      </c>
      <c r="I6709" s="128">
        <v>118230</v>
      </c>
    </row>
    <row r="6710" spans="1:9" ht="13.5">
      <c r="A6710" s="128">
        <v>2010</v>
      </c>
      <c r="B6710" s="128" t="s">
        <v>137</v>
      </c>
      <c r="C6710" s="128" t="s">
        <v>21</v>
      </c>
      <c r="D6710" s="128" t="s">
        <v>79</v>
      </c>
      <c r="E6710" s="128" t="s">
        <v>132</v>
      </c>
      <c r="F6710" s="128">
        <v>1509678.97</v>
      </c>
      <c r="G6710" s="128">
        <v>999027.86</v>
      </c>
      <c r="H6710" s="128">
        <v>333490.36</v>
      </c>
      <c r="I6710" s="128">
        <v>9818</v>
      </c>
    </row>
    <row r="6711" spans="1:9" ht="13.5">
      <c r="A6711" s="128">
        <v>2010</v>
      </c>
      <c r="B6711" s="128" t="s">
        <v>137</v>
      </c>
      <c r="C6711" s="128" t="s">
        <v>21</v>
      </c>
      <c r="D6711" s="128" t="s">
        <v>79</v>
      </c>
      <c r="E6711" s="128" t="s">
        <v>133</v>
      </c>
      <c r="F6711" s="128">
        <v>2079817.51</v>
      </c>
      <c r="G6711" s="128">
        <v>1136125.6499999999</v>
      </c>
      <c r="H6711" s="128">
        <v>383225.25</v>
      </c>
      <c r="I6711" s="128">
        <v>15564</v>
      </c>
    </row>
    <row r="6712" spans="1:9" ht="13.5">
      <c r="A6712" s="128">
        <v>2010</v>
      </c>
      <c r="B6712" s="128" t="s">
        <v>137</v>
      </c>
      <c r="C6712" s="128" t="s">
        <v>21</v>
      </c>
      <c r="D6712" s="128" t="s">
        <v>79</v>
      </c>
      <c r="E6712" s="128" t="s">
        <v>134</v>
      </c>
      <c r="F6712" s="128">
        <v>5166441.6500000004</v>
      </c>
      <c r="G6712" s="128">
        <v>2199764.56</v>
      </c>
      <c r="H6712" s="128">
        <v>739008.78</v>
      </c>
      <c r="I6712" s="128">
        <v>26542</v>
      </c>
    </row>
    <row r="6713" spans="1:9" ht="13.5">
      <c r="A6713" s="128">
        <v>2010</v>
      </c>
      <c r="B6713" s="128" t="s">
        <v>137</v>
      </c>
      <c r="C6713" s="128" t="s">
        <v>21</v>
      </c>
      <c r="D6713" s="128" t="s">
        <v>79</v>
      </c>
      <c r="E6713" s="128" t="s">
        <v>135</v>
      </c>
      <c r="F6713" s="128">
        <v>20720121.859999999</v>
      </c>
      <c r="G6713" s="128">
        <v>5426899.7699999996</v>
      </c>
      <c r="H6713" s="128">
        <v>1815250.96</v>
      </c>
      <c r="I6713" s="128">
        <v>49521</v>
      </c>
    </row>
    <row r="6714" spans="1:9" ht="13.5">
      <c r="A6714" s="128">
        <v>2010</v>
      </c>
      <c r="B6714" s="128" t="s">
        <v>137</v>
      </c>
      <c r="C6714" s="128" t="s">
        <v>21</v>
      </c>
      <c r="D6714" s="128" t="s">
        <v>77</v>
      </c>
      <c r="E6714" s="128" t="s">
        <v>132</v>
      </c>
      <c r="F6714" s="128">
        <v>1884655.67</v>
      </c>
      <c r="G6714" s="128">
        <v>1252955.3400000001</v>
      </c>
      <c r="H6714" s="128">
        <v>528136.64</v>
      </c>
      <c r="I6714" s="128">
        <v>9288</v>
      </c>
    </row>
    <row r="6715" spans="1:9" ht="13.5">
      <c r="A6715" s="128">
        <v>2010</v>
      </c>
      <c r="B6715" s="128" t="s">
        <v>137</v>
      </c>
      <c r="C6715" s="128" t="s">
        <v>21</v>
      </c>
      <c r="D6715" s="128" t="s">
        <v>77</v>
      </c>
      <c r="E6715" s="128" t="s">
        <v>133</v>
      </c>
      <c r="F6715" s="128">
        <v>4620390.99</v>
      </c>
      <c r="G6715" s="128">
        <v>2524771.71</v>
      </c>
      <c r="H6715" s="128">
        <v>1684859.67</v>
      </c>
      <c r="I6715" s="128">
        <v>16637</v>
      </c>
    </row>
    <row r="6716" spans="1:9" ht="13.5">
      <c r="A6716" s="128">
        <v>2010</v>
      </c>
      <c r="B6716" s="128" t="s">
        <v>137</v>
      </c>
      <c r="C6716" s="128" t="s">
        <v>21</v>
      </c>
      <c r="D6716" s="128" t="s">
        <v>77</v>
      </c>
      <c r="E6716" s="128" t="s">
        <v>134</v>
      </c>
      <c r="F6716" s="128">
        <v>7236337.0800000001</v>
      </c>
      <c r="G6716" s="128">
        <v>3141605.77</v>
      </c>
      <c r="H6716" s="128">
        <v>2693215.53</v>
      </c>
      <c r="I6716" s="128">
        <v>22934</v>
      </c>
    </row>
    <row r="6717" spans="1:9" ht="13.5">
      <c r="A6717" s="128">
        <v>2010</v>
      </c>
      <c r="B6717" s="128" t="s">
        <v>137</v>
      </c>
      <c r="C6717" s="128" t="s">
        <v>21</v>
      </c>
      <c r="D6717" s="128" t="s">
        <v>77</v>
      </c>
      <c r="E6717" s="128" t="s">
        <v>135</v>
      </c>
      <c r="F6717" s="128">
        <v>10944639.810000001</v>
      </c>
      <c r="G6717" s="128">
        <v>3034169.96</v>
      </c>
      <c r="H6717" s="128">
        <v>3021990.68</v>
      </c>
      <c r="I6717" s="128">
        <v>31263</v>
      </c>
    </row>
    <row r="6718" spans="1:9" ht="13.5">
      <c r="A6718" s="128">
        <v>2010</v>
      </c>
      <c r="B6718" s="128" t="s">
        <v>137</v>
      </c>
      <c r="C6718" s="128" t="s">
        <v>21</v>
      </c>
      <c r="D6718" s="128" t="s">
        <v>76</v>
      </c>
      <c r="E6718" s="128" t="s">
        <v>136</v>
      </c>
      <c r="F6718" s="128">
        <v>10522169.310000001</v>
      </c>
      <c r="G6718" s="128">
        <v>7921045.7999999998</v>
      </c>
      <c r="H6718" s="128">
        <v>2601130.38</v>
      </c>
      <c r="I6718" s="128">
        <v>209836</v>
      </c>
    </row>
    <row r="6719" spans="1:9" ht="13.5">
      <c r="A6719" s="128">
        <v>2010</v>
      </c>
      <c r="B6719" s="128" t="s">
        <v>137</v>
      </c>
      <c r="C6719" s="128" t="s">
        <v>21</v>
      </c>
      <c r="D6719" s="128" t="s">
        <v>76</v>
      </c>
      <c r="E6719" s="128" t="s">
        <v>132</v>
      </c>
      <c r="F6719" s="128">
        <v>33742807.109999999</v>
      </c>
      <c r="G6719" s="128">
        <v>21640339.460000001</v>
      </c>
      <c r="H6719" s="128">
        <v>12102398.310000001</v>
      </c>
      <c r="I6719" s="128">
        <v>325259</v>
      </c>
    </row>
    <row r="6720" spans="1:9" ht="13.5">
      <c r="A6720" s="128">
        <v>2010</v>
      </c>
      <c r="B6720" s="128" t="s">
        <v>137</v>
      </c>
      <c r="C6720" s="128" t="s">
        <v>21</v>
      </c>
      <c r="D6720" s="128" t="s">
        <v>76</v>
      </c>
      <c r="E6720" s="128" t="s">
        <v>133</v>
      </c>
      <c r="F6720" s="128">
        <v>80252841.549999997</v>
      </c>
      <c r="G6720" s="128">
        <v>44518067.82</v>
      </c>
      <c r="H6720" s="128">
        <v>35734714.140000001</v>
      </c>
      <c r="I6720" s="128">
        <v>594834</v>
      </c>
    </row>
    <row r="6721" spans="1:9" ht="13.5">
      <c r="A6721" s="128">
        <v>2010</v>
      </c>
      <c r="B6721" s="128" t="s">
        <v>137</v>
      </c>
      <c r="C6721" s="128" t="s">
        <v>21</v>
      </c>
      <c r="D6721" s="128" t="s">
        <v>76</v>
      </c>
      <c r="E6721" s="128" t="s">
        <v>134</v>
      </c>
      <c r="F6721" s="128">
        <v>73536835.489999995</v>
      </c>
      <c r="G6721" s="128">
        <v>33531447.609999999</v>
      </c>
      <c r="H6721" s="128">
        <v>40005346.920000002</v>
      </c>
      <c r="I6721" s="128">
        <v>415108</v>
      </c>
    </row>
    <row r="6722" spans="1:9" ht="13.5">
      <c r="A6722" s="128">
        <v>2010</v>
      </c>
      <c r="B6722" s="128" t="s">
        <v>137</v>
      </c>
      <c r="C6722" s="128" t="s">
        <v>21</v>
      </c>
      <c r="D6722" s="128" t="s">
        <v>76</v>
      </c>
      <c r="E6722" s="128" t="s">
        <v>135</v>
      </c>
      <c r="F6722" s="128">
        <v>4349234.37</v>
      </c>
      <c r="G6722" s="128">
        <v>1256425.1000000001</v>
      </c>
      <c r="H6722" s="128">
        <v>3092809.27</v>
      </c>
      <c r="I6722" s="128">
        <v>9629</v>
      </c>
    </row>
    <row r="6723" spans="1:9" ht="13.5">
      <c r="A6723" s="128">
        <v>2010</v>
      </c>
      <c r="B6723" s="128" t="s">
        <v>137</v>
      </c>
      <c r="C6723" s="128" t="s">
        <v>22</v>
      </c>
      <c r="D6723" s="128" t="s">
        <v>79</v>
      </c>
      <c r="E6723" s="128" t="s">
        <v>136</v>
      </c>
      <c r="F6723" s="128">
        <v>10737302.449999999</v>
      </c>
      <c r="G6723" s="128">
        <v>8070433.5099999998</v>
      </c>
      <c r="H6723" s="128">
        <v>2664236.33</v>
      </c>
      <c r="I6723" s="128">
        <v>163926</v>
      </c>
    </row>
    <row r="6724" spans="1:9" ht="13.5">
      <c r="A6724" s="128">
        <v>2010</v>
      </c>
      <c r="B6724" s="128" t="s">
        <v>137</v>
      </c>
      <c r="C6724" s="128" t="s">
        <v>22</v>
      </c>
      <c r="D6724" s="128" t="s">
        <v>79</v>
      </c>
      <c r="E6724" s="128" t="s">
        <v>132</v>
      </c>
      <c r="F6724" s="128">
        <v>1686253.43</v>
      </c>
      <c r="G6724" s="128">
        <v>1121158.8500000001</v>
      </c>
      <c r="H6724" s="128">
        <v>373679.58</v>
      </c>
      <c r="I6724" s="128">
        <v>10543</v>
      </c>
    </row>
    <row r="6725" spans="1:9" ht="13.5">
      <c r="A6725" s="128">
        <v>2010</v>
      </c>
      <c r="B6725" s="128" t="s">
        <v>137</v>
      </c>
      <c r="C6725" s="128" t="s">
        <v>22</v>
      </c>
      <c r="D6725" s="128" t="s">
        <v>79</v>
      </c>
      <c r="E6725" s="128" t="s">
        <v>133</v>
      </c>
      <c r="F6725" s="128">
        <v>3162207.68</v>
      </c>
      <c r="G6725" s="128">
        <v>1715601.58</v>
      </c>
      <c r="H6725" s="128">
        <v>589166.86</v>
      </c>
      <c r="I6725" s="128">
        <v>15037</v>
      </c>
    </row>
    <row r="6726" spans="1:9" ht="13.5">
      <c r="A6726" s="128">
        <v>2010</v>
      </c>
      <c r="B6726" s="128" t="s">
        <v>137</v>
      </c>
      <c r="C6726" s="128" t="s">
        <v>22</v>
      </c>
      <c r="D6726" s="128" t="s">
        <v>79</v>
      </c>
      <c r="E6726" s="128" t="s">
        <v>134</v>
      </c>
      <c r="F6726" s="128">
        <v>9167707.0099999998</v>
      </c>
      <c r="G6726" s="128">
        <v>3876475.42</v>
      </c>
      <c r="H6726" s="128">
        <v>1314423.5900000001</v>
      </c>
      <c r="I6726" s="128">
        <v>29598</v>
      </c>
    </row>
    <row r="6727" spans="1:9" ht="13.5">
      <c r="A6727" s="128">
        <v>2010</v>
      </c>
      <c r="B6727" s="128" t="s">
        <v>137</v>
      </c>
      <c r="C6727" s="128" t="s">
        <v>22</v>
      </c>
      <c r="D6727" s="128" t="s">
        <v>79</v>
      </c>
      <c r="E6727" s="128" t="s">
        <v>135</v>
      </c>
      <c r="F6727" s="128">
        <v>40992096.219999999</v>
      </c>
      <c r="G6727" s="128">
        <v>11098605.75</v>
      </c>
      <c r="H6727" s="128">
        <v>3706357.41</v>
      </c>
      <c r="I6727" s="128">
        <v>83138</v>
      </c>
    </row>
    <row r="6728" spans="1:9" ht="13.5">
      <c r="A6728" s="128">
        <v>2010</v>
      </c>
      <c r="B6728" s="128" t="s">
        <v>137</v>
      </c>
      <c r="C6728" s="128" t="s">
        <v>22</v>
      </c>
      <c r="D6728" s="128" t="s">
        <v>77</v>
      </c>
      <c r="E6728" s="128" t="s">
        <v>132</v>
      </c>
      <c r="F6728" s="128">
        <v>958557.75</v>
      </c>
      <c r="G6728" s="128">
        <v>613108.11</v>
      </c>
      <c r="H6728" s="128">
        <v>253783.42</v>
      </c>
      <c r="I6728" s="128">
        <v>6182</v>
      </c>
    </row>
    <row r="6729" spans="1:9" ht="13.5">
      <c r="A6729" s="128">
        <v>2010</v>
      </c>
      <c r="B6729" s="128" t="s">
        <v>137</v>
      </c>
      <c r="C6729" s="128" t="s">
        <v>22</v>
      </c>
      <c r="D6729" s="128" t="s">
        <v>77</v>
      </c>
      <c r="E6729" s="128" t="s">
        <v>133</v>
      </c>
      <c r="F6729" s="128">
        <v>2853809.18</v>
      </c>
      <c r="G6729" s="128">
        <v>1551930.87</v>
      </c>
      <c r="H6729" s="128">
        <v>995791.19</v>
      </c>
      <c r="I6729" s="128">
        <v>13318</v>
      </c>
    </row>
    <row r="6730" spans="1:9" ht="13.5">
      <c r="A6730" s="128">
        <v>2010</v>
      </c>
      <c r="B6730" s="128" t="s">
        <v>137</v>
      </c>
      <c r="C6730" s="128" t="s">
        <v>22</v>
      </c>
      <c r="D6730" s="128" t="s">
        <v>77</v>
      </c>
      <c r="E6730" s="128" t="s">
        <v>134</v>
      </c>
      <c r="F6730" s="128">
        <v>4744124.88</v>
      </c>
      <c r="G6730" s="128">
        <v>2049558.69</v>
      </c>
      <c r="H6730" s="128">
        <v>1821629.53</v>
      </c>
      <c r="I6730" s="128">
        <v>11866</v>
      </c>
    </row>
    <row r="6731" spans="1:9" ht="13.5">
      <c r="A6731" s="128">
        <v>2010</v>
      </c>
      <c r="B6731" s="128" t="s">
        <v>137</v>
      </c>
      <c r="C6731" s="128" t="s">
        <v>22</v>
      </c>
      <c r="D6731" s="128" t="s">
        <v>77</v>
      </c>
      <c r="E6731" s="128" t="s">
        <v>135</v>
      </c>
      <c r="F6731" s="128">
        <v>8778117.4700000007</v>
      </c>
      <c r="G6731" s="128">
        <v>2417530.2400000002</v>
      </c>
      <c r="H6731" s="128">
        <v>2489277.88</v>
      </c>
      <c r="I6731" s="128">
        <v>21250</v>
      </c>
    </row>
    <row r="6732" spans="1:9" ht="13.5">
      <c r="A6732" s="128">
        <v>2010</v>
      </c>
      <c r="B6732" s="128" t="s">
        <v>137</v>
      </c>
      <c r="C6732" s="128" t="s">
        <v>22</v>
      </c>
      <c r="D6732" s="128" t="s">
        <v>76</v>
      </c>
      <c r="E6732" s="128" t="s">
        <v>136</v>
      </c>
      <c r="F6732" s="128">
        <v>3000168.03</v>
      </c>
      <c r="G6732" s="128">
        <v>2261992.54</v>
      </c>
      <c r="H6732" s="128">
        <v>738177.23</v>
      </c>
      <c r="I6732" s="128">
        <v>57427</v>
      </c>
    </row>
    <row r="6733" spans="1:9" ht="13.5">
      <c r="A6733" s="128">
        <v>2010</v>
      </c>
      <c r="B6733" s="128" t="s">
        <v>137</v>
      </c>
      <c r="C6733" s="128" t="s">
        <v>22</v>
      </c>
      <c r="D6733" s="128" t="s">
        <v>76</v>
      </c>
      <c r="E6733" s="128" t="s">
        <v>132</v>
      </c>
      <c r="F6733" s="128">
        <v>23043258.079999998</v>
      </c>
      <c r="G6733" s="128">
        <v>14815383.369999999</v>
      </c>
      <c r="H6733" s="128">
        <v>8227825.25</v>
      </c>
      <c r="I6733" s="128">
        <v>230788</v>
      </c>
    </row>
    <row r="6734" spans="1:9" ht="13.5">
      <c r="A6734" s="128">
        <v>2010</v>
      </c>
      <c r="B6734" s="128" t="s">
        <v>137</v>
      </c>
      <c r="C6734" s="128" t="s">
        <v>22</v>
      </c>
      <c r="D6734" s="128" t="s">
        <v>76</v>
      </c>
      <c r="E6734" s="128" t="s">
        <v>133</v>
      </c>
      <c r="F6734" s="128">
        <v>58369913.219999999</v>
      </c>
      <c r="G6734" s="128">
        <v>32648951.710000001</v>
      </c>
      <c r="H6734" s="128">
        <v>25720825.52</v>
      </c>
      <c r="I6734" s="128">
        <v>592764</v>
      </c>
    </row>
    <row r="6735" spans="1:9" ht="13.5">
      <c r="A6735" s="128">
        <v>2010</v>
      </c>
      <c r="B6735" s="128" t="s">
        <v>137</v>
      </c>
      <c r="C6735" s="128" t="s">
        <v>22</v>
      </c>
      <c r="D6735" s="128" t="s">
        <v>76</v>
      </c>
      <c r="E6735" s="128" t="s">
        <v>134</v>
      </c>
      <c r="F6735" s="128">
        <v>39009373.530000001</v>
      </c>
      <c r="G6735" s="128">
        <v>18050627.489999998</v>
      </c>
      <c r="H6735" s="128">
        <v>20958706.239999998</v>
      </c>
      <c r="I6735" s="128">
        <v>257480</v>
      </c>
    </row>
    <row r="6736" spans="1:9" ht="13.5">
      <c r="A6736" s="128">
        <v>2010</v>
      </c>
      <c r="B6736" s="128" t="s">
        <v>137</v>
      </c>
      <c r="C6736" s="128" t="s">
        <v>22</v>
      </c>
      <c r="D6736" s="128" t="s">
        <v>76</v>
      </c>
      <c r="E6736" s="128" t="s">
        <v>135</v>
      </c>
      <c r="F6736" s="128">
        <v>5368161.1399999997</v>
      </c>
      <c r="G6736" s="128">
        <v>1587050.1</v>
      </c>
      <c r="H6736" s="128">
        <v>3781109.22</v>
      </c>
      <c r="I6736" s="128">
        <v>8691</v>
      </c>
    </row>
    <row r="6737" spans="1:9" ht="13.5">
      <c r="A6737" s="128">
        <v>2010</v>
      </c>
      <c r="B6737" s="128" t="s">
        <v>137</v>
      </c>
      <c r="C6737" s="128" t="s">
        <v>23</v>
      </c>
      <c r="D6737" s="128" t="s">
        <v>79</v>
      </c>
      <c r="E6737" s="128" t="s">
        <v>136</v>
      </c>
      <c r="F6737" s="128">
        <v>2813793.66</v>
      </c>
      <c r="G6737" s="128">
        <v>2113802.5299999998</v>
      </c>
      <c r="H6737" s="128">
        <v>699737.53</v>
      </c>
      <c r="I6737" s="128">
        <v>58033</v>
      </c>
    </row>
    <row r="6738" spans="1:9" ht="13.5">
      <c r="A6738" s="128">
        <v>2010</v>
      </c>
      <c r="B6738" s="128" t="s">
        <v>137</v>
      </c>
      <c r="C6738" s="128" t="s">
        <v>23</v>
      </c>
      <c r="D6738" s="128" t="s">
        <v>79</v>
      </c>
      <c r="E6738" s="128" t="s">
        <v>132</v>
      </c>
      <c r="F6738" s="128">
        <v>332865.02</v>
      </c>
      <c r="G6738" s="128">
        <v>219256.36</v>
      </c>
      <c r="H6738" s="128">
        <v>77611.98</v>
      </c>
      <c r="I6738" s="128">
        <v>2664</v>
      </c>
    </row>
    <row r="6739" spans="1:9" ht="13.5">
      <c r="A6739" s="128">
        <v>2010</v>
      </c>
      <c r="B6739" s="128" t="s">
        <v>137</v>
      </c>
      <c r="C6739" s="128" t="s">
        <v>23</v>
      </c>
      <c r="D6739" s="128" t="s">
        <v>79</v>
      </c>
      <c r="E6739" s="128" t="s">
        <v>133</v>
      </c>
      <c r="F6739" s="128">
        <v>668817.96</v>
      </c>
      <c r="G6739" s="128">
        <v>358314.96</v>
      </c>
      <c r="H6739" s="128">
        <v>129375.56</v>
      </c>
      <c r="I6739" s="128">
        <v>3526</v>
      </c>
    </row>
    <row r="6740" spans="1:9" ht="13.5">
      <c r="A6740" s="128">
        <v>2010</v>
      </c>
      <c r="B6740" s="128" t="s">
        <v>137</v>
      </c>
      <c r="C6740" s="128" t="s">
        <v>23</v>
      </c>
      <c r="D6740" s="128" t="s">
        <v>79</v>
      </c>
      <c r="E6740" s="128" t="s">
        <v>134</v>
      </c>
      <c r="F6740" s="128">
        <v>670272.41</v>
      </c>
      <c r="G6740" s="128">
        <v>290019.28999999998</v>
      </c>
      <c r="H6740" s="128">
        <v>113855.61</v>
      </c>
      <c r="I6740" s="128">
        <v>2860</v>
      </c>
    </row>
    <row r="6741" spans="1:9" ht="13.5">
      <c r="A6741" s="128">
        <v>2010</v>
      </c>
      <c r="B6741" s="128" t="s">
        <v>137</v>
      </c>
      <c r="C6741" s="128" t="s">
        <v>23</v>
      </c>
      <c r="D6741" s="128" t="s">
        <v>79</v>
      </c>
      <c r="E6741" s="128" t="s">
        <v>135</v>
      </c>
      <c r="F6741" s="128">
        <v>2053392.28</v>
      </c>
      <c r="G6741" s="128">
        <v>557673.91</v>
      </c>
      <c r="H6741" s="128">
        <v>187732.06</v>
      </c>
      <c r="I6741" s="128">
        <v>7195</v>
      </c>
    </row>
    <row r="6742" spans="1:9" ht="13.5">
      <c r="A6742" s="128">
        <v>2010</v>
      </c>
      <c r="B6742" s="128" t="s">
        <v>137</v>
      </c>
      <c r="C6742" s="128" t="s">
        <v>23</v>
      </c>
      <c r="D6742" s="128" t="s">
        <v>77</v>
      </c>
      <c r="E6742" s="128" t="s">
        <v>132</v>
      </c>
      <c r="F6742" s="128">
        <v>500938.5</v>
      </c>
      <c r="G6742" s="128">
        <v>332659.75</v>
      </c>
      <c r="H6742" s="128">
        <v>135120.72</v>
      </c>
      <c r="I6742" s="128">
        <v>2263</v>
      </c>
    </row>
    <row r="6743" spans="1:9" ht="13.5">
      <c r="A6743" s="128">
        <v>2010</v>
      </c>
      <c r="B6743" s="128" t="s">
        <v>137</v>
      </c>
      <c r="C6743" s="128" t="s">
        <v>23</v>
      </c>
      <c r="D6743" s="128" t="s">
        <v>77</v>
      </c>
      <c r="E6743" s="128" t="s">
        <v>133</v>
      </c>
      <c r="F6743" s="128">
        <v>932928.73</v>
      </c>
      <c r="G6743" s="128">
        <v>504089.53</v>
      </c>
      <c r="H6743" s="128">
        <v>308020.42</v>
      </c>
      <c r="I6743" s="128">
        <v>3654</v>
      </c>
    </row>
    <row r="6744" spans="1:9" ht="13.5">
      <c r="A6744" s="128">
        <v>2010</v>
      </c>
      <c r="B6744" s="128" t="s">
        <v>137</v>
      </c>
      <c r="C6744" s="128" t="s">
        <v>23</v>
      </c>
      <c r="D6744" s="128" t="s">
        <v>77</v>
      </c>
      <c r="E6744" s="128" t="s">
        <v>134</v>
      </c>
      <c r="F6744" s="128">
        <v>2417088.23</v>
      </c>
      <c r="G6744" s="128">
        <v>1049659.54</v>
      </c>
      <c r="H6744" s="128">
        <v>963005.43999999994</v>
      </c>
      <c r="I6744" s="128">
        <v>4019</v>
      </c>
    </row>
    <row r="6745" spans="1:9" ht="13.5">
      <c r="A6745" s="128">
        <v>2010</v>
      </c>
      <c r="B6745" s="128" t="s">
        <v>137</v>
      </c>
      <c r="C6745" s="128" t="s">
        <v>23</v>
      </c>
      <c r="D6745" s="128" t="s">
        <v>77</v>
      </c>
      <c r="E6745" s="128" t="s">
        <v>135</v>
      </c>
      <c r="F6745" s="128">
        <v>1350929.86</v>
      </c>
      <c r="G6745" s="128">
        <v>362187.26</v>
      </c>
      <c r="H6745" s="128">
        <v>387512.29</v>
      </c>
      <c r="I6745" s="128">
        <v>3198</v>
      </c>
    </row>
    <row r="6746" spans="1:9" ht="13.5">
      <c r="A6746" s="128">
        <v>2010</v>
      </c>
      <c r="B6746" s="128" t="s">
        <v>137</v>
      </c>
      <c r="C6746" s="128" t="s">
        <v>23</v>
      </c>
      <c r="D6746" s="128" t="s">
        <v>76</v>
      </c>
      <c r="E6746" s="128" t="s">
        <v>136</v>
      </c>
      <c r="F6746" s="128">
        <v>2226277.88</v>
      </c>
      <c r="G6746" s="128">
        <v>1674045.57</v>
      </c>
      <c r="H6746" s="128">
        <v>552213.91</v>
      </c>
      <c r="I6746" s="128">
        <v>18944</v>
      </c>
    </row>
    <row r="6747" spans="1:9" ht="13.5">
      <c r="A6747" s="128">
        <v>2010</v>
      </c>
      <c r="B6747" s="128" t="s">
        <v>137</v>
      </c>
      <c r="C6747" s="128" t="s">
        <v>23</v>
      </c>
      <c r="D6747" s="128" t="s">
        <v>76</v>
      </c>
      <c r="E6747" s="128" t="s">
        <v>132</v>
      </c>
      <c r="F6747" s="128">
        <v>9047946.25</v>
      </c>
      <c r="G6747" s="128">
        <v>5852625.8499999996</v>
      </c>
      <c r="H6747" s="128">
        <v>3195296.31</v>
      </c>
      <c r="I6747" s="128">
        <v>108146</v>
      </c>
    </row>
    <row r="6748" spans="1:9" ht="13.5">
      <c r="A6748" s="128">
        <v>2010</v>
      </c>
      <c r="B6748" s="128" t="s">
        <v>137</v>
      </c>
      <c r="C6748" s="128" t="s">
        <v>23</v>
      </c>
      <c r="D6748" s="128" t="s">
        <v>76</v>
      </c>
      <c r="E6748" s="128" t="s">
        <v>133</v>
      </c>
      <c r="F6748" s="128">
        <v>18807095.07</v>
      </c>
      <c r="G6748" s="128">
        <v>10324748.07</v>
      </c>
      <c r="H6748" s="128">
        <v>8482332.0199999996</v>
      </c>
      <c r="I6748" s="128">
        <v>141838</v>
      </c>
    </row>
    <row r="6749" spans="1:9" ht="13.5">
      <c r="A6749" s="128">
        <v>2010</v>
      </c>
      <c r="B6749" s="128" t="s">
        <v>137</v>
      </c>
      <c r="C6749" s="128" t="s">
        <v>23</v>
      </c>
      <c r="D6749" s="128" t="s">
        <v>76</v>
      </c>
      <c r="E6749" s="128" t="s">
        <v>134</v>
      </c>
      <c r="F6749" s="128">
        <v>30171222.780000001</v>
      </c>
      <c r="G6749" s="128">
        <v>13678512.48</v>
      </c>
      <c r="H6749" s="128">
        <v>16492703.880000001</v>
      </c>
      <c r="I6749" s="128">
        <v>132366</v>
      </c>
    </row>
    <row r="6750" spans="1:9" ht="13.5">
      <c r="A6750" s="128">
        <v>2010</v>
      </c>
      <c r="B6750" s="128" t="s">
        <v>137</v>
      </c>
      <c r="C6750" s="128" t="s">
        <v>23</v>
      </c>
      <c r="D6750" s="128" t="s">
        <v>76</v>
      </c>
      <c r="E6750" s="128" t="s">
        <v>135</v>
      </c>
      <c r="F6750" s="128">
        <v>2012545.64</v>
      </c>
      <c r="G6750" s="128">
        <v>576289.03</v>
      </c>
      <c r="H6750" s="128">
        <v>1436256.61</v>
      </c>
      <c r="I6750" s="128">
        <v>3085</v>
      </c>
    </row>
    <row r="6751" spans="1:9" ht="13.5">
      <c r="A6751" s="128">
        <v>2010</v>
      </c>
      <c r="B6751" s="128" t="s">
        <v>137</v>
      </c>
      <c r="C6751" s="128" t="s">
        <v>24</v>
      </c>
      <c r="D6751" s="128" t="s">
        <v>79</v>
      </c>
      <c r="E6751" s="128" t="s">
        <v>136</v>
      </c>
      <c r="F6751" s="128">
        <v>1870040.47</v>
      </c>
      <c r="G6751" s="128">
        <v>1405801.92</v>
      </c>
      <c r="H6751" s="128">
        <v>463972.9</v>
      </c>
      <c r="I6751" s="128">
        <v>38729</v>
      </c>
    </row>
    <row r="6752" spans="1:9" ht="13.5">
      <c r="A6752" s="128">
        <v>2010</v>
      </c>
      <c r="B6752" s="128" t="s">
        <v>137</v>
      </c>
      <c r="C6752" s="128" t="s">
        <v>24</v>
      </c>
      <c r="D6752" s="128" t="s">
        <v>79</v>
      </c>
      <c r="E6752" s="128" t="s">
        <v>132</v>
      </c>
      <c r="F6752" s="128">
        <v>556398.78</v>
      </c>
      <c r="G6752" s="128">
        <v>361956.38</v>
      </c>
      <c r="H6752" s="128">
        <v>120835.35</v>
      </c>
      <c r="I6752" s="128">
        <v>4326</v>
      </c>
    </row>
    <row r="6753" spans="1:9" ht="13.5">
      <c r="A6753" s="128">
        <v>2010</v>
      </c>
      <c r="B6753" s="128" t="s">
        <v>137</v>
      </c>
      <c r="C6753" s="128" t="s">
        <v>24</v>
      </c>
      <c r="D6753" s="128" t="s">
        <v>79</v>
      </c>
      <c r="E6753" s="128" t="s">
        <v>133</v>
      </c>
      <c r="F6753" s="128">
        <v>1350016.52</v>
      </c>
      <c r="G6753" s="128">
        <v>730164.07</v>
      </c>
      <c r="H6753" s="128">
        <v>244075.33</v>
      </c>
      <c r="I6753" s="128">
        <v>9051</v>
      </c>
    </row>
    <row r="6754" spans="1:9" ht="13.5">
      <c r="A6754" s="128">
        <v>2010</v>
      </c>
      <c r="B6754" s="128" t="s">
        <v>137</v>
      </c>
      <c r="C6754" s="128" t="s">
        <v>24</v>
      </c>
      <c r="D6754" s="128" t="s">
        <v>79</v>
      </c>
      <c r="E6754" s="128" t="s">
        <v>134</v>
      </c>
      <c r="F6754" s="128">
        <v>3041409.07</v>
      </c>
      <c r="G6754" s="128">
        <v>1286513.07</v>
      </c>
      <c r="H6754" s="128">
        <v>429107.53</v>
      </c>
      <c r="I6754" s="128">
        <v>14214</v>
      </c>
    </row>
    <row r="6755" spans="1:9" ht="13.5">
      <c r="A6755" s="128">
        <v>2010</v>
      </c>
      <c r="B6755" s="128" t="s">
        <v>137</v>
      </c>
      <c r="C6755" s="128" t="s">
        <v>24</v>
      </c>
      <c r="D6755" s="128" t="s">
        <v>79</v>
      </c>
      <c r="E6755" s="128" t="s">
        <v>135</v>
      </c>
      <c r="F6755" s="128">
        <v>6174546.9100000001</v>
      </c>
      <c r="G6755" s="128">
        <v>1540311.97</v>
      </c>
      <c r="H6755" s="128">
        <v>516093.03</v>
      </c>
      <c r="I6755" s="128">
        <v>14745</v>
      </c>
    </row>
    <row r="6756" spans="1:9" ht="13.5">
      <c r="A6756" s="128">
        <v>2010</v>
      </c>
      <c r="B6756" s="128" t="s">
        <v>137</v>
      </c>
      <c r="C6756" s="128" t="s">
        <v>24</v>
      </c>
      <c r="D6756" s="128" t="s">
        <v>77</v>
      </c>
      <c r="E6756" s="128" t="s">
        <v>132</v>
      </c>
      <c r="F6756" s="128">
        <v>1859977.41</v>
      </c>
      <c r="G6756" s="128">
        <v>1272874.05</v>
      </c>
      <c r="H6756" s="128">
        <v>550140.43999999994</v>
      </c>
      <c r="I6756" s="128">
        <v>11641</v>
      </c>
    </row>
    <row r="6757" spans="1:9" ht="13.5">
      <c r="A6757" s="128">
        <v>2010</v>
      </c>
      <c r="B6757" s="128" t="s">
        <v>137</v>
      </c>
      <c r="C6757" s="128" t="s">
        <v>24</v>
      </c>
      <c r="D6757" s="128" t="s">
        <v>77</v>
      </c>
      <c r="E6757" s="128" t="s">
        <v>133</v>
      </c>
      <c r="F6757" s="128">
        <v>3757095.06</v>
      </c>
      <c r="G6757" s="128">
        <v>2020242.8</v>
      </c>
      <c r="H6757" s="128">
        <v>1426458.03</v>
      </c>
      <c r="I6757" s="128">
        <v>29911</v>
      </c>
    </row>
    <row r="6758" spans="1:9" ht="13.5">
      <c r="A6758" s="128">
        <v>2010</v>
      </c>
      <c r="B6758" s="128" t="s">
        <v>137</v>
      </c>
      <c r="C6758" s="128" t="s">
        <v>24</v>
      </c>
      <c r="D6758" s="128" t="s">
        <v>77</v>
      </c>
      <c r="E6758" s="128" t="s">
        <v>134</v>
      </c>
      <c r="F6758" s="128">
        <v>7066581.3600000003</v>
      </c>
      <c r="G6758" s="128">
        <v>3075176.72</v>
      </c>
      <c r="H6758" s="128">
        <v>2296865.9900000002</v>
      </c>
      <c r="I6758" s="128">
        <v>20740</v>
      </c>
    </row>
    <row r="6759" spans="1:9" ht="13.5">
      <c r="A6759" s="128">
        <v>2010</v>
      </c>
      <c r="B6759" s="128" t="s">
        <v>137</v>
      </c>
      <c r="C6759" s="128" t="s">
        <v>24</v>
      </c>
      <c r="D6759" s="128" t="s">
        <v>77</v>
      </c>
      <c r="E6759" s="128" t="s">
        <v>135</v>
      </c>
      <c r="F6759" s="128">
        <v>9901984.8499999996</v>
      </c>
      <c r="G6759" s="128">
        <v>2759726.73</v>
      </c>
      <c r="H6759" s="128">
        <v>1849050.41</v>
      </c>
      <c r="I6759" s="128">
        <v>20193</v>
      </c>
    </row>
    <row r="6760" spans="1:9" ht="13.5">
      <c r="A6760" s="128">
        <v>2010</v>
      </c>
      <c r="B6760" s="128" t="s">
        <v>137</v>
      </c>
      <c r="C6760" s="128" t="s">
        <v>24</v>
      </c>
      <c r="D6760" s="128" t="s">
        <v>76</v>
      </c>
      <c r="E6760" s="128" t="s">
        <v>136</v>
      </c>
      <c r="F6760" s="128">
        <v>988365.32</v>
      </c>
      <c r="G6760" s="128">
        <v>748728.95</v>
      </c>
      <c r="H6760" s="128">
        <v>239640.57</v>
      </c>
      <c r="I6760" s="128">
        <v>11017</v>
      </c>
    </row>
    <row r="6761" spans="1:9" ht="13.5">
      <c r="A6761" s="128">
        <v>2010</v>
      </c>
      <c r="B6761" s="128" t="s">
        <v>137</v>
      </c>
      <c r="C6761" s="128" t="s">
        <v>24</v>
      </c>
      <c r="D6761" s="128" t="s">
        <v>76</v>
      </c>
      <c r="E6761" s="128" t="s">
        <v>132</v>
      </c>
      <c r="F6761" s="128">
        <v>8630676.4499999993</v>
      </c>
      <c r="G6761" s="128">
        <v>5475056.0700000003</v>
      </c>
      <c r="H6761" s="128">
        <v>3155616.53</v>
      </c>
      <c r="I6761" s="128">
        <v>85644</v>
      </c>
    </row>
    <row r="6762" spans="1:9" ht="13.5">
      <c r="A6762" s="128">
        <v>2010</v>
      </c>
      <c r="B6762" s="128" t="s">
        <v>137</v>
      </c>
      <c r="C6762" s="128" t="s">
        <v>24</v>
      </c>
      <c r="D6762" s="128" t="s">
        <v>76</v>
      </c>
      <c r="E6762" s="128" t="s">
        <v>133</v>
      </c>
      <c r="F6762" s="128">
        <v>26036086.030000001</v>
      </c>
      <c r="G6762" s="128">
        <v>14456372.02</v>
      </c>
      <c r="H6762" s="128">
        <v>11579713.449999999</v>
      </c>
      <c r="I6762" s="128">
        <v>193755</v>
      </c>
    </row>
    <row r="6763" spans="1:9" ht="13.5">
      <c r="A6763" s="128">
        <v>2010</v>
      </c>
      <c r="B6763" s="128" t="s">
        <v>137</v>
      </c>
      <c r="C6763" s="128" t="s">
        <v>24</v>
      </c>
      <c r="D6763" s="128" t="s">
        <v>76</v>
      </c>
      <c r="E6763" s="128" t="s">
        <v>134</v>
      </c>
      <c r="F6763" s="128">
        <v>31180092.649999999</v>
      </c>
      <c r="G6763" s="128">
        <v>13767414.15</v>
      </c>
      <c r="H6763" s="128">
        <v>17412678.460000001</v>
      </c>
      <c r="I6763" s="128">
        <v>155126</v>
      </c>
    </row>
    <row r="6764" spans="1:9" ht="13.5">
      <c r="A6764" s="128">
        <v>2010</v>
      </c>
      <c r="B6764" s="128" t="s">
        <v>137</v>
      </c>
      <c r="C6764" s="128" t="s">
        <v>24</v>
      </c>
      <c r="D6764" s="128" t="s">
        <v>76</v>
      </c>
      <c r="E6764" s="128" t="s">
        <v>135</v>
      </c>
      <c r="F6764" s="128">
        <v>3149320.6</v>
      </c>
      <c r="G6764" s="128">
        <v>836165.25</v>
      </c>
      <c r="H6764" s="128">
        <v>2313153.35</v>
      </c>
      <c r="I6764" s="128">
        <v>2205</v>
      </c>
    </row>
    <row r="6765" spans="1:9" ht="13.5">
      <c r="A6765" s="128">
        <v>2010</v>
      </c>
      <c r="B6765" s="128" t="s">
        <v>137</v>
      </c>
      <c r="C6765" s="128" t="s">
        <v>25</v>
      </c>
      <c r="D6765" s="128" t="s">
        <v>79</v>
      </c>
      <c r="E6765" s="128" t="s">
        <v>136</v>
      </c>
      <c r="F6765" s="128">
        <v>1066782.44</v>
      </c>
      <c r="G6765" s="128">
        <v>801501.48</v>
      </c>
      <c r="H6765" s="128">
        <v>265281.40999999997</v>
      </c>
      <c r="I6765" s="128">
        <v>15548</v>
      </c>
    </row>
    <row r="6766" spans="1:9" ht="13.5">
      <c r="A6766" s="128">
        <v>2010</v>
      </c>
      <c r="B6766" s="128" t="s">
        <v>137</v>
      </c>
      <c r="C6766" s="128" t="s">
        <v>25</v>
      </c>
      <c r="D6766" s="128" t="s">
        <v>79</v>
      </c>
      <c r="E6766" s="128" t="s">
        <v>132</v>
      </c>
      <c r="F6766" s="128">
        <v>146722.28</v>
      </c>
      <c r="G6766" s="128">
        <v>98604.22</v>
      </c>
      <c r="H6766" s="128">
        <v>32772.47</v>
      </c>
      <c r="I6766" s="128">
        <v>891</v>
      </c>
    </row>
    <row r="6767" spans="1:9" ht="13.5">
      <c r="A6767" s="128">
        <v>2010</v>
      </c>
      <c r="B6767" s="128" t="s">
        <v>137</v>
      </c>
      <c r="C6767" s="128" t="s">
        <v>25</v>
      </c>
      <c r="D6767" s="128" t="s">
        <v>79</v>
      </c>
      <c r="E6767" s="128" t="s">
        <v>133</v>
      </c>
      <c r="F6767" s="128">
        <v>198495.47</v>
      </c>
      <c r="G6767" s="128">
        <v>108181.24</v>
      </c>
      <c r="H6767" s="128">
        <v>37480.92</v>
      </c>
      <c r="I6767" s="128">
        <v>595</v>
      </c>
    </row>
    <row r="6768" spans="1:9" ht="13.5">
      <c r="A6768" s="128">
        <v>2010</v>
      </c>
      <c r="B6768" s="128" t="s">
        <v>137</v>
      </c>
      <c r="C6768" s="128" t="s">
        <v>25</v>
      </c>
      <c r="D6768" s="128" t="s">
        <v>79</v>
      </c>
      <c r="E6768" s="128" t="s">
        <v>134</v>
      </c>
      <c r="F6768" s="128">
        <v>658860.68999999994</v>
      </c>
      <c r="G6768" s="128">
        <v>284294.7</v>
      </c>
      <c r="H6768" s="128">
        <v>94412.5</v>
      </c>
      <c r="I6768" s="128">
        <v>1926</v>
      </c>
    </row>
    <row r="6769" spans="1:9" ht="13.5">
      <c r="A6769" s="128">
        <v>2010</v>
      </c>
      <c r="B6769" s="128" t="s">
        <v>137</v>
      </c>
      <c r="C6769" s="128" t="s">
        <v>25</v>
      </c>
      <c r="D6769" s="128" t="s">
        <v>79</v>
      </c>
      <c r="E6769" s="128" t="s">
        <v>135</v>
      </c>
      <c r="F6769" s="128">
        <v>2281088.23</v>
      </c>
      <c r="G6769" s="128">
        <v>556040.77</v>
      </c>
      <c r="H6769" s="128">
        <v>185363.31</v>
      </c>
      <c r="I6769" s="128">
        <v>4383</v>
      </c>
    </row>
    <row r="6770" spans="1:9" ht="13.5">
      <c r="A6770" s="128">
        <v>2010</v>
      </c>
      <c r="B6770" s="128" t="s">
        <v>137</v>
      </c>
      <c r="C6770" s="128" t="s">
        <v>25</v>
      </c>
      <c r="D6770" s="128" t="s">
        <v>77</v>
      </c>
      <c r="E6770" s="128" t="s">
        <v>132</v>
      </c>
      <c r="F6770" s="128">
        <v>146645.32</v>
      </c>
      <c r="G6770" s="128">
        <v>95407.6</v>
      </c>
      <c r="H6770" s="128">
        <v>40041.49</v>
      </c>
      <c r="I6770" s="128">
        <v>818</v>
      </c>
    </row>
    <row r="6771" spans="1:9" ht="13.5">
      <c r="A6771" s="128">
        <v>2010</v>
      </c>
      <c r="B6771" s="128" t="s">
        <v>137</v>
      </c>
      <c r="C6771" s="128" t="s">
        <v>25</v>
      </c>
      <c r="D6771" s="128" t="s">
        <v>77</v>
      </c>
      <c r="E6771" s="128" t="s">
        <v>133</v>
      </c>
      <c r="F6771" s="128">
        <v>330101.64</v>
      </c>
      <c r="G6771" s="128">
        <v>178958.87</v>
      </c>
      <c r="H6771" s="128">
        <v>119010.3</v>
      </c>
      <c r="I6771" s="128">
        <v>1010</v>
      </c>
    </row>
    <row r="6772" spans="1:9" ht="13.5">
      <c r="A6772" s="128">
        <v>2010</v>
      </c>
      <c r="B6772" s="128" t="s">
        <v>137</v>
      </c>
      <c r="C6772" s="128" t="s">
        <v>25</v>
      </c>
      <c r="D6772" s="128" t="s">
        <v>77</v>
      </c>
      <c r="E6772" s="128" t="s">
        <v>134</v>
      </c>
      <c r="F6772" s="128">
        <v>847138.15</v>
      </c>
      <c r="G6772" s="128">
        <v>366892.16</v>
      </c>
      <c r="H6772" s="128">
        <v>351365.96</v>
      </c>
      <c r="I6772" s="128">
        <v>2274</v>
      </c>
    </row>
    <row r="6773" spans="1:9" ht="13.5">
      <c r="A6773" s="128">
        <v>2010</v>
      </c>
      <c r="B6773" s="128" t="s">
        <v>137</v>
      </c>
      <c r="C6773" s="128" t="s">
        <v>25</v>
      </c>
      <c r="D6773" s="128" t="s">
        <v>77</v>
      </c>
      <c r="E6773" s="128" t="s">
        <v>135</v>
      </c>
      <c r="F6773" s="128">
        <v>1172625.0900000001</v>
      </c>
      <c r="G6773" s="128">
        <v>353710.6</v>
      </c>
      <c r="H6773" s="128">
        <v>403101.14</v>
      </c>
      <c r="I6773" s="128">
        <v>4145</v>
      </c>
    </row>
    <row r="6774" spans="1:9" ht="13.5">
      <c r="A6774" s="128">
        <v>2010</v>
      </c>
      <c r="B6774" s="128" t="s">
        <v>137</v>
      </c>
      <c r="C6774" s="128" t="s">
        <v>25</v>
      </c>
      <c r="D6774" s="128" t="s">
        <v>76</v>
      </c>
      <c r="E6774" s="128" t="s">
        <v>136</v>
      </c>
      <c r="F6774" s="128">
        <v>437779.71</v>
      </c>
      <c r="G6774" s="128">
        <v>329415.84999999998</v>
      </c>
      <c r="H6774" s="128">
        <v>108363.85</v>
      </c>
      <c r="I6774" s="128">
        <v>5964</v>
      </c>
    </row>
    <row r="6775" spans="1:9" ht="13.5">
      <c r="A6775" s="128">
        <v>2010</v>
      </c>
      <c r="B6775" s="128" t="s">
        <v>137</v>
      </c>
      <c r="C6775" s="128" t="s">
        <v>25</v>
      </c>
      <c r="D6775" s="128" t="s">
        <v>76</v>
      </c>
      <c r="E6775" s="128" t="s">
        <v>132</v>
      </c>
      <c r="F6775" s="128">
        <v>2399788.52</v>
      </c>
      <c r="G6775" s="128">
        <v>1537101.9</v>
      </c>
      <c r="H6775" s="128">
        <v>862685.44</v>
      </c>
      <c r="I6775" s="128">
        <v>20302</v>
      </c>
    </row>
    <row r="6776" spans="1:9" ht="13.5">
      <c r="A6776" s="128">
        <v>2010</v>
      </c>
      <c r="B6776" s="128" t="s">
        <v>137</v>
      </c>
      <c r="C6776" s="128" t="s">
        <v>25</v>
      </c>
      <c r="D6776" s="128" t="s">
        <v>76</v>
      </c>
      <c r="E6776" s="128" t="s">
        <v>133</v>
      </c>
      <c r="F6776" s="128">
        <v>6326820.7699999996</v>
      </c>
      <c r="G6776" s="128">
        <v>3485733.65</v>
      </c>
      <c r="H6776" s="128">
        <v>2841078.47</v>
      </c>
      <c r="I6776" s="128">
        <v>38915</v>
      </c>
    </row>
    <row r="6777" spans="1:9" ht="13.5">
      <c r="A6777" s="128">
        <v>2010</v>
      </c>
      <c r="B6777" s="128" t="s">
        <v>137</v>
      </c>
      <c r="C6777" s="128" t="s">
        <v>25</v>
      </c>
      <c r="D6777" s="128" t="s">
        <v>76</v>
      </c>
      <c r="E6777" s="128" t="s">
        <v>134</v>
      </c>
      <c r="F6777" s="128">
        <v>5471069.0300000003</v>
      </c>
      <c r="G6777" s="128">
        <v>2520185.15</v>
      </c>
      <c r="H6777" s="128">
        <v>2950880.15</v>
      </c>
      <c r="I6777" s="128">
        <v>34721</v>
      </c>
    </row>
    <row r="6778" spans="1:9" ht="13.5">
      <c r="A6778" s="128">
        <v>2010</v>
      </c>
      <c r="B6778" s="128" t="s">
        <v>137</v>
      </c>
      <c r="C6778" s="128" t="s">
        <v>25</v>
      </c>
      <c r="D6778" s="128" t="s">
        <v>76</v>
      </c>
      <c r="E6778" s="128" t="s">
        <v>135</v>
      </c>
      <c r="F6778" s="128">
        <v>497062.35</v>
      </c>
      <c r="G6778" s="128">
        <v>145162.70000000001</v>
      </c>
      <c r="H6778" s="128">
        <v>351899.63</v>
      </c>
      <c r="I6778" s="128">
        <v>437</v>
      </c>
    </row>
    <row r="6779" spans="1:9" ht="13.5">
      <c r="A6779" s="128">
        <v>2010</v>
      </c>
      <c r="B6779" s="128" t="s">
        <v>137</v>
      </c>
      <c r="C6779" s="128" t="s">
        <v>26</v>
      </c>
      <c r="D6779" s="128" t="s">
        <v>79</v>
      </c>
      <c r="E6779" s="128" t="s">
        <v>136</v>
      </c>
      <c r="F6779" s="128">
        <v>1061476.6599999999</v>
      </c>
      <c r="G6779" s="128">
        <v>797769.42</v>
      </c>
      <c r="H6779" s="128">
        <v>263706.78999999998</v>
      </c>
      <c r="I6779" s="128">
        <v>10798</v>
      </c>
    </row>
    <row r="6780" spans="1:9" ht="13.5">
      <c r="A6780" s="128">
        <v>2010</v>
      </c>
      <c r="B6780" s="128" t="s">
        <v>137</v>
      </c>
      <c r="C6780" s="128" t="s">
        <v>26</v>
      </c>
      <c r="D6780" s="128" t="s">
        <v>79</v>
      </c>
      <c r="E6780" s="128" t="s">
        <v>132</v>
      </c>
      <c r="F6780" s="128">
        <v>231649.23</v>
      </c>
      <c r="G6780" s="128">
        <v>151587.57</v>
      </c>
      <c r="H6780" s="128">
        <v>50655.91</v>
      </c>
      <c r="I6780" s="128">
        <v>1053</v>
      </c>
    </row>
    <row r="6781" spans="1:9" ht="13.5">
      <c r="A6781" s="128">
        <v>2010</v>
      </c>
      <c r="B6781" s="128" t="s">
        <v>137</v>
      </c>
      <c r="C6781" s="128" t="s">
        <v>26</v>
      </c>
      <c r="D6781" s="128" t="s">
        <v>79</v>
      </c>
      <c r="E6781" s="128" t="s">
        <v>133</v>
      </c>
      <c r="F6781" s="128">
        <v>223836.62</v>
      </c>
      <c r="G6781" s="128">
        <v>120084.94</v>
      </c>
      <c r="H6781" s="128">
        <v>40261.800000000003</v>
      </c>
      <c r="I6781" s="128">
        <v>693</v>
      </c>
    </row>
    <row r="6782" spans="1:9" ht="13.5">
      <c r="A6782" s="128">
        <v>2010</v>
      </c>
      <c r="B6782" s="128" t="s">
        <v>137</v>
      </c>
      <c r="C6782" s="128" t="s">
        <v>26</v>
      </c>
      <c r="D6782" s="128" t="s">
        <v>79</v>
      </c>
      <c r="E6782" s="128" t="s">
        <v>134</v>
      </c>
      <c r="F6782" s="128">
        <v>893772.12</v>
      </c>
      <c r="G6782" s="128">
        <v>377455.49</v>
      </c>
      <c r="H6782" s="128">
        <v>125807.55</v>
      </c>
      <c r="I6782" s="128">
        <v>2934</v>
      </c>
    </row>
    <row r="6783" spans="1:9" ht="13.5">
      <c r="A6783" s="128">
        <v>2010</v>
      </c>
      <c r="B6783" s="128" t="s">
        <v>137</v>
      </c>
      <c r="C6783" s="128" t="s">
        <v>26</v>
      </c>
      <c r="D6783" s="128" t="s">
        <v>79</v>
      </c>
      <c r="E6783" s="128" t="s">
        <v>135</v>
      </c>
      <c r="F6783" s="128">
        <v>6306167.79</v>
      </c>
      <c r="G6783" s="128">
        <v>1635879.72</v>
      </c>
      <c r="H6783" s="128">
        <v>545535.81999999995</v>
      </c>
      <c r="I6783" s="128">
        <v>11080</v>
      </c>
    </row>
    <row r="6784" spans="1:9" ht="13.5">
      <c r="A6784" s="128">
        <v>2010</v>
      </c>
      <c r="B6784" s="128" t="s">
        <v>137</v>
      </c>
      <c r="C6784" s="128" t="s">
        <v>26</v>
      </c>
      <c r="D6784" s="128" t="s">
        <v>77</v>
      </c>
      <c r="E6784" s="128" t="s">
        <v>132</v>
      </c>
      <c r="F6784" s="128">
        <v>46107.85</v>
      </c>
      <c r="G6784" s="128">
        <v>29076.3</v>
      </c>
      <c r="H6784" s="128">
        <v>13853.68</v>
      </c>
      <c r="I6784" s="128">
        <v>313</v>
      </c>
    </row>
    <row r="6785" spans="1:9" ht="13.5">
      <c r="A6785" s="128">
        <v>2010</v>
      </c>
      <c r="B6785" s="128" t="s">
        <v>137</v>
      </c>
      <c r="C6785" s="128" t="s">
        <v>26</v>
      </c>
      <c r="D6785" s="128" t="s">
        <v>77</v>
      </c>
      <c r="E6785" s="128" t="s">
        <v>133</v>
      </c>
      <c r="F6785" s="128">
        <v>62680.51</v>
      </c>
      <c r="G6785" s="128">
        <v>33971.949999999997</v>
      </c>
      <c r="H6785" s="128">
        <v>21124.33</v>
      </c>
      <c r="I6785" s="128">
        <v>298</v>
      </c>
    </row>
    <row r="6786" spans="1:9" ht="13.5">
      <c r="A6786" s="128">
        <v>2010</v>
      </c>
      <c r="B6786" s="128" t="s">
        <v>137</v>
      </c>
      <c r="C6786" s="128" t="s">
        <v>26</v>
      </c>
      <c r="D6786" s="128" t="s">
        <v>77</v>
      </c>
      <c r="E6786" s="128" t="s">
        <v>134</v>
      </c>
      <c r="F6786" s="128">
        <v>185704.5</v>
      </c>
      <c r="G6786" s="128">
        <v>80051.09</v>
      </c>
      <c r="H6786" s="128">
        <v>70960.350000000006</v>
      </c>
      <c r="I6786" s="128">
        <v>560</v>
      </c>
    </row>
    <row r="6787" spans="1:9" ht="13.5">
      <c r="A6787" s="128">
        <v>2010</v>
      </c>
      <c r="B6787" s="128" t="s">
        <v>137</v>
      </c>
      <c r="C6787" s="128" t="s">
        <v>26</v>
      </c>
      <c r="D6787" s="128" t="s">
        <v>77</v>
      </c>
      <c r="E6787" s="128" t="s">
        <v>135</v>
      </c>
      <c r="F6787" s="128">
        <v>451515.15</v>
      </c>
      <c r="G6787" s="128">
        <v>110504.7</v>
      </c>
      <c r="H6787" s="128">
        <v>119767.92</v>
      </c>
      <c r="I6787" s="128">
        <v>1492</v>
      </c>
    </row>
    <row r="6788" spans="1:9" ht="13.5">
      <c r="A6788" s="128">
        <v>2010</v>
      </c>
      <c r="B6788" s="128" t="s">
        <v>137</v>
      </c>
      <c r="C6788" s="128" t="s">
        <v>26</v>
      </c>
      <c r="D6788" s="128" t="s">
        <v>76</v>
      </c>
      <c r="E6788" s="128" t="s">
        <v>136</v>
      </c>
      <c r="F6788" s="128">
        <v>161782.07</v>
      </c>
      <c r="G6788" s="128">
        <v>121630.83</v>
      </c>
      <c r="H6788" s="128">
        <v>40145.25</v>
      </c>
      <c r="I6788" s="128">
        <v>5737</v>
      </c>
    </row>
    <row r="6789" spans="1:9" ht="13.5">
      <c r="A6789" s="128">
        <v>2010</v>
      </c>
      <c r="B6789" s="128" t="s">
        <v>137</v>
      </c>
      <c r="C6789" s="128" t="s">
        <v>26</v>
      </c>
      <c r="D6789" s="128" t="s">
        <v>76</v>
      </c>
      <c r="E6789" s="128" t="s">
        <v>132</v>
      </c>
      <c r="F6789" s="128">
        <v>954933.63</v>
      </c>
      <c r="G6789" s="128">
        <v>628725.11</v>
      </c>
      <c r="H6789" s="128">
        <v>326187.15000000002</v>
      </c>
      <c r="I6789" s="128">
        <v>11489</v>
      </c>
    </row>
    <row r="6790" spans="1:9" ht="13.5">
      <c r="A6790" s="128">
        <v>2010</v>
      </c>
      <c r="B6790" s="128" t="s">
        <v>137</v>
      </c>
      <c r="C6790" s="128" t="s">
        <v>26</v>
      </c>
      <c r="D6790" s="128" t="s">
        <v>76</v>
      </c>
      <c r="E6790" s="128" t="s">
        <v>133</v>
      </c>
      <c r="F6790" s="128">
        <v>2215159.41</v>
      </c>
      <c r="G6790" s="128">
        <v>1233624.54</v>
      </c>
      <c r="H6790" s="128">
        <v>981533.3</v>
      </c>
      <c r="I6790" s="128">
        <v>15916</v>
      </c>
    </row>
    <row r="6791" spans="1:9" ht="13.5">
      <c r="A6791" s="128">
        <v>2010</v>
      </c>
      <c r="B6791" s="128" t="s">
        <v>137</v>
      </c>
      <c r="C6791" s="128" t="s">
        <v>26</v>
      </c>
      <c r="D6791" s="128" t="s">
        <v>76</v>
      </c>
      <c r="E6791" s="128" t="s">
        <v>134</v>
      </c>
      <c r="F6791" s="128">
        <v>1811102.33</v>
      </c>
      <c r="G6791" s="128">
        <v>834866.37</v>
      </c>
      <c r="H6791" s="128">
        <v>976227.83</v>
      </c>
      <c r="I6791" s="128">
        <v>12416</v>
      </c>
    </row>
    <row r="6792" spans="1:9" ht="13.5">
      <c r="A6792" s="128">
        <v>2010</v>
      </c>
      <c r="B6792" s="128" t="s">
        <v>137</v>
      </c>
      <c r="C6792" s="128" t="s">
        <v>26</v>
      </c>
      <c r="D6792" s="128" t="s">
        <v>76</v>
      </c>
      <c r="E6792" s="128" t="s">
        <v>135</v>
      </c>
      <c r="F6792" s="128">
        <v>341245.3</v>
      </c>
      <c r="G6792" s="128">
        <v>112793.35</v>
      </c>
      <c r="H6792" s="128">
        <v>228451.95</v>
      </c>
      <c r="I6792" s="128">
        <v>890</v>
      </c>
    </row>
    <row r="6793" spans="1:9" ht="13.5">
      <c r="A6793" s="128">
        <v>2010</v>
      </c>
      <c r="B6793" s="128" t="s">
        <v>137</v>
      </c>
      <c r="C6793" s="128" t="s">
        <v>27</v>
      </c>
      <c r="D6793" s="128" t="s">
        <v>79</v>
      </c>
      <c r="E6793" s="128" t="s">
        <v>136</v>
      </c>
      <c r="F6793" s="128">
        <v>296640.52</v>
      </c>
      <c r="G6793" s="128">
        <v>222529.02</v>
      </c>
      <c r="H6793" s="128">
        <v>74111.5</v>
      </c>
      <c r="I6793" s="128">
        <v>1699</v>
      </c>
    </row>
    <row r="6794" spans="1:9" ht="13.5">
      <c r="A6794" s="128">
        <v>2010</v>
      </c>
      <c r="B6794" s="128" t="s">
        <v>137</v>
      </c>
      <c r="C6794" s="128" t="s">
        <v>27</v>
      </c>
      <c r="D6794" s="128" t="s">
        <v>79</v>
      </c>
      <c r="E6794" s="128" t="s">
        <v>132</v>
      </c>
      <c r="F6794" s="128">
        <v>38111.17</v>
      </c>
      <c r="G6794" s="128">
        <v>24792.03</v>
      </c>
      <c r="H6794" s="128">
        <v>8268.9</v>
      </c>
      <c r="I6794" s="128">
        <v>207</v>
      </c>
    </row>
    <row r="6795" spans="1:9" ht="13.5">
      <c r="A6795" s="128">
        <v>2010</v>
      </c>
      <c r="B6795" s="128" t="s">
        <v>137</v>
      </c>
      <c r="C6795" s="128" t="s">
        <v>27</v>
      </c>
      <c r="D6795" s="128" t="s">
        <v>79</v>
      </c>
      <c r="E6795" s="128" t="s">
        <v>133</v>
      </c>
      <c r="F6795" s="128">
        <v>89595.199999999997</v>
      </c>
      <c r="G6795" s="128">
        <v>48429.1</v>
      </c>
      <c r="H6795" s="128">
        <v>16419.150000000001</v>
      </c>
      <c r="I6795" s="128">
        <v>260</v>
      </c>
    </row>
    <row r="6796" spans="1:9" ht="13.5">
      <c r="A6796" s="128">
        <v>2010</v>
      </c>
      <c r="B6796" s="128" t="s">
        <v>137</v>
      </c>
      <c r="C6796" s="128" t="s">
        <v>27</v>
      </c>
      <c r="D6796" s="128" t="s">
        <v>79</v>
      </c>
      <c r="E6796" s="128" t="s">
        <v>134</v>
      </c>
      <c r="F6796" s="128">
        <v>154856.95999999999</v>
      </c>
      <c r="G6796" s="128">
        <v>65060.17</v>
      </c>
      <c r="H6796" s="128">
        <v>21681</v>
      </c>
      <c r="I6796" s="128">
        <v>596</v>
      </c>
    </row>
    <row r="6797" spans="1:9" ht="13.5">
      <c r="A6797" s="128">
        <v>2010</v>
      </c>
      <c r="B6797" s="128" t="s">
        <v>137</v>
      </c>
      <c r="C6797" s="128" t="s">
        <v>27</v>
      </c>
      <c r="D6797" s="128" t="s">
        <v>79</v>
      </c>
      <c r="E6797" s="128" t="s">
        <v>135</v>
      </c>
      <c r="F6797" s="128">
        <v>1090330.3500000001</v>
      </c>
      <c r="G6797" s="128">
        <v>272380.05</v>
      </c>
      <c r="H6797" s="128">
        <v>90758.85</v>
      </c>
      <c r="I6797" s="128">
        <v>1813</v>
      </c>
    </row>
    <row r="6798" spans="1:9" ht="13.5">
      <c r="A6798" s="128">
        <v>2010</v>
      </c>
      <c r="B6798" s="128" t="s">
        <v>137</v>
      </c>
      <c r="C6798" s="128" t="s">
        <v>27</v>
      </c>
      <c r="D6798" s="128" t="s">
        <v>77</v>
      </c>
      <c r="E6798" s="128" t="s">
        <v>132</v>
      </c>
      <c r="F6798" s="128">
        <v>30556.46</v>
      </c>
      <c r="G6798" s="128">
        <v>19743.09</v>
      </c>
      <c r="H6798" s="128">
        <v>9037.0499999999993</v>
      </c>
      <c r="I6798" s="128">
        <v>176</v>
      </c>
    </row>
    <row r="6799" spans="1:9" ht="13.5">
      <c r="A6799" s="128">
        <v>2010</v>
      </c>
      <c r="B6799" s="128" t="s">
        <v>137</v>
      </c>
      <c r="C6799" s="128" t="s">
        <v>27</v>
      </c>
      <c r="D6799" s="128" t="s">
        <v>77</v>
      </c>
      <c r="E6799" s="128" t="s">
        <v>133</v>
      </c>
      <c r="F6799" s="128">
        <v>36422.69</v>
      </c>
      <c r="G6799" s="128">
        <v>19460.400000000001</v>
      </c>
      <c r="H6799" s="128">
        <v>12441.53</v>
      </c>
      <c r="I6799" s="128">
        <v>125</v>
      </c>
    </row>
    <row r="6800" spans="1:9" ht="13.5">
      <c r="A6800" s="128">
        <v>2010</v>
      </c>
      <c r="B6800" s="128" t="s">
        <v>137</v>
      </c>
      <c r="C6800" s="128" t="s">
        <v>27</v>
      </c>
      <c r="D6800" s="128" t="s">
        <v>77</v>
      </c>
      <c r="E6800" s="128" t="s">
        <v>134</v>
      </c>
      <c r="F6800" s="128">
        <v>123575.55</v>
      </c>
      <c r="G6800" s="128">
        <v>53061.7</v>
      </c>
      <c r="H6800" s="128">
        <v>46441.1</v>
      </c>
      <c r="I6800" s="128">
        <v>292</v>
      </c>
    </row>
    <row r="6801" spans="1:9" ht="13.5">
      <c r="A6801" s="128">
        <v>2010</v>
      </c>
      <c r="B6801" s="128" t="s">
        <v>137</v>
      </c>
      <c r="C6801" s="128" t="s">
        <v>27</v>
      </c>
      <c r="D6801" s="128" t="s">
        <v>77</v>
      </c>
      <c r="E6801" s="128" t="s">
        <v>135</v>
      </c>
      <c r="F6801" s="128">
        <v>237933.37</v>
      </c>
      <c r="G6801" s="128">
        <v>57477.15</v>
      </c>
      <c r="H6801" s="128">
        <v>62192.800000000003</v>
      </c>
      <c r="I6801" s="128">
        <v>661</v>
      </c>
    </row>
    <row r="6802" spans="1:9" ht="13.5">
      <c r="A6802" s="128">
        <v>2010</v>
      </c>
      <c r="B6802" s="128" t="s">
        <v>137</v>
      </c>
      <c r="C6802" s="128" t="s">
        <v>27</v>
      </c>
      <c r="D6802" s="128" t="s">
        <v>76</v>
      </c>
      <c r="E6802" s="128" t="s">
        <v>136</v>
      </c>
      <c r="F6802" s="128">
        <v>69500.86</v>
      </c>
      <c r="G6802" s="128">
        <v>52364.800000000003</v>
      </c>
      <c r="H6802" s="128">
        <v>17136.060000000001</v>
      </c>
      <c r="I6802" s="128">
        <v>675</v>
      </c>
    </row>
    <row r="6803" spans="1:9" ht="13.5">
      <c r="A6803" s="128">
        <v>2010</v>
      </c>
      <c r="B6803" s="128" t="s">
        <v>137</v>
      </c>
      <c r="C6803" s="128" t="s">
        <v>27</v>
      </c>
      <c r="D6803" s="128" t="s">
        <v>76</v>
      </c>
      <c r="E6803" s="128" t="s">
        <v>132</v>
      </c>
      <c r="F6803" s="128">
        <v>254902.26</v>
      </c>
      <c r="G6803" s="128">
        <v>163075.21</v>
      </c>
      <c r="H6803" s="128">
        <v>91826.76</v>
      </c>
      <c r="I6803" s="128">
        <v>2897</v>
      </c>
    </row>
    <row r="6804" spans="1:9" ht="13.5">
      <c r="A6804" s="128">
        <v>2010</v>
      </c>
      <c r="B6804" s="128" t="s">
        <v>137</v>
      </c>
      <c r="C6804" s="128" t="s">
        <v>27</v>
      </c>
      <c r="D6804" s="128" t="s">
        <v>76</v>
      </c>
      <c r="E6804" s="128" t="s">
        <v>133</v>
      </c>
      <c r="F6804" s="128">
        <v>889091.73</v>
      </c>
      <c r="G6804" s="128">
        <v>485907.11</v>
      </c>
      <c r="H6804" s="128">
        <v>403182.32</v>
      </c>
      <c r="I6804" s="128">
        <v>4453</v>
      </c>
    </row>
    <row r="6805" spans="1:9" ht="13.5">
      <c r="A6805" s="128">
        <v>2010</v>
      </c>
      <c r="B6805" s="128" t="s">
        <v>137</v>
      </c>
      <c r="C6805" s="128" t="s">
        <v>27</v>
      </c>
      <c r="D6805" s="128" t="s">
        <v>76</v>
      </c>
      <c r="E6805" s="128" t="s">
        <v>134</v>
      </c>
      <c r="F6805" s="128">
        <v>975534.36</v>
      </c>
      <c r="G6805" s="128">
        <v>448875.01</v>
      </c>
      <c r="H6805" s="128">
        <v>526655.43000000005</v>
      </c>
      <c r="I6805" s="128">
        <v>5074</v>
      </c>
    </row>
    <row r="6806" spans="1:9" ht="13.5">
      <c r="A6806" s="128">
        <v>2010</v>
      </c>
      <c r="B6806" s="128" t="s">
        <v>137</v>
      </c>
      <c r="C6806" s="128" t="s">
        <v>27</v>
      </c>
      <c r="D6806" s="128" t="s">
        <v>76</v>
      </c>
      <c r="E6806" s="128" t="s">
        <v>135</v>
      </c>
      <c r="F6806" s="128">
        <v>54232.98</v>
      </c>
      <c r="G6806" s="128">
        <v>16724.71</v>
      </c>
      <c r="H6806" s="128">
        <v>37505.46</v>
      </c>
      <c r="I6806" s="128">
        <v>92</v>
      </c>
    </row>
    <row r="6807" spans="1:9" ht="13.5">
      <c r="A6807" s="128">
        <v>2011</v>
      </c>
      <c r="B6807" s="128" t="s">
        <v>131</v>
      </c>
      <c r="C6807" s="128" t="s">
        <v>20</v>
      </c>
      <c r="D6807" s="128" t="s">
        <v>79</v>
      </c>
      <c r="E6807" s="128" t="s">
        <v>136</v>
      </c>
      <c r="F6807" s="128">
        <v>31543145.23</v>
      </c>
      <c r="G6807" s="128">
        <v>23693196.640000001</v>
      </c>
      <c r="H6807" s="128">
        <v>7842713.6799999997</v>
      </c>
      <c r="I6807" s="128">
        <v>470799</v>
      </c>
    </row>
    <row r="6808" spans="1:9" ht="13.5">
      <c r="A6808" s="128">
        <v>2011</v>
      </c>
      <c r="B6808" s="128" t="s">
        <v>131</v>
      </c>
      <c r="C6808" s="128" t="s">
        <v>20</v>
      </c>
      <c r="D6808" s="128" t="s">
        <v>79</v>
      </c>
      <c r="E6808" s="128" t="s">
        <v>132</v>
      </c>
      <c r="F6808" s="128">
        <v>2248274.64</v>
      </c>
      <c r="G6808" s="128">
        <v>1507218.92</v>
      </c>
      <c r="H6808" s="128">
        <v>507182.4</v>
      </c>
      <c r="I6808" s="128">
        <v>11654</v>
      </c>
    </row>
    <row r="6809" spans="1:9" ht="13.5">
      <c r="A6809" s="128">
        <v>2011</v>
      </c>
      <c r="B6809" s="128" t="s">
        <v>131</v>
      </c>
      <c r="C6809" s="128" t="s">
        <v>20</v>
      </c>
      <c r="D6809" s="128" t="s">
        <v>79</v>
      </c>
      <c r="E6809" s="128" t="s">
        <v>133</v>
      </c>
      <c r="F6809" s="128">
        <v>3016031.56</v>
      </c>
      <c r="G6809" s="128">
        <v>1632419.11</v>
      </c>
      <c r="H6809" s="128">
        <v>572109.34</v>
      </c>
      <c r="I6809" s="128">
        <v>12527</v>
      </c>
    </row>
    <row r="6810" spans="1:9" ht="13.5">
      <c r="A6810" s="128">
        <v>2011</v>
      </c>
      <c r="B6810" s="128" t="s">
        <v>131</v>
      </c>
      <c r="C6810" s="128" t="s">
        <v>20</v>
      </c>
      <c r="D6810" s="128" t="s">
        <v>79</v>
      </c>
      <c r="E6810" s="128" t="s">
        <v>134</v>
      </c>
      <c r="F6810" s="128">
        <v>14215275.52</v>
      </c>
      <c r="G6810" s="128">
        <v>6029194.2999999998</v>
      </c>
      <c r="H6810" s="128">
        <v>2083954.35</v>
      </c>
      <c r="I6810" s="128">
        <v>72645</v>
      </c>
    </row>
    <row r="6811" spans="1:9" ht="13.5">
      <c r="A6811" s="128">
        <v>2011</v>
      </c>
      <c r="B6811" s="128" t="s">
        <v>131</v>
      </c>
      <c r="C6811" s="128" t="s">
        <v>20</v>
      </c>
      <c r="D6811" s="128" t="s">
        <v>79</v>
      </c>
      <c r="E6811" s="128" t="s">
        <v>135</v>
      </c>
      <c r="F6811" s="128">
        <v>89978124.760000005</v>
      </c>
      <c r="G6811" s="128">
        <v>23359085.440000001</v>
      </c>
      <c r="H6811" s="128">
        <v>7800353.8200000003</v>
      </c>
      <c r="I6811" s="128">
        <v>154922</v>
      </c>
    </row>
    <row r="6812" spans="1:9" ht="13.5">
      <c r="A6812" s="128">
        <v>2011</v>
      </c>
      <c r="B6812" s="128" t="s">
        <v>131</v>
      </c>
      <c r="C6812" s="128" t="s">
        <v>20</v>
      </c>
      <c r="D6812" s="128" t="s">
        <v>77</v>
      </c>
      <c r="E6812" s="128" t="s">
        <v>132</v>
      </c>
      <c r="F6812" s="128">
        <v>1562253.77</v>
      </c>
      <c r="G6812" s="128">
        <v>1038273.97</v>
      </c>
      <c r="H6812" s="128">
        <v>427979.25</v>
      </c>
      <c r="I6812" s="128">
        <v>8729</v>
      </c>
    </row>
    <row r="6813" spans="1:9" ht="13.5">
      <c r="A6813" s="128">
        <v>2011</v>
      </c>
      <c r="B6813" s="128" t="s">
        <v>131</v>
      </c>
      <c r="C6813" s="128" t="s">
        <v>20</v>
      </c>
      <c r="D6813" s="128" t="s">
        <v>77</v>
      </c>
      <c r="E6813" s="128" t="s">
        <v>133</v>
      </c>
      <c r="F6813" s="128">
        <v>3388306.46</v>
      </c>
      <c r="G6813" s="128">
        <v>1820667.31</v>
      </c>
      <c r="H6813" s="128">
        <v>1252128.8799999999</v>
      </c>
      <c r="I6813" s="128">
        <v>11358</v>
      </c>
    </row>
    <row r="6814" spans="1:9" ht="13.5">
      <c r="A6814" s="128">
        <v>2011</v>
      </c>
      <c r="B6814" s="128" t="s">
        <v>131</v>
      </c>
      <c r="C6814" s="128" t="s">
        <v>20</v>
      </c>
      <c r="D6814" s="128" t="s">
        <v>77</v>
      </c>
      <c r="E6814" s="128" t="s">
        <v>134</v>
      </c>
      <c r="F6814" s="128">
        <v>5701134.4299999997</v>
      </c>
      <c r="G6814" s="128">
        <v>2478630.41</v>
      </c>
      <c r="H6814" s="128">
        <v>2353078.4</v>
      </c>
      <c r="I6814" s="128">
        <v>17147</v>
      </c>
    </row>
    <row r="6815" spans="1:9" ht="13.5">
      <c r="A6815" s="128">
        <v>2011</v>
      </c>
      <c r="B6815" s="128" t="s">
        <v>131</v>
      </c>
      <c r="C6815" s="128" t="s">
        <v>20</v>
      </c>
      <c r="D6815" s="128" t="s">
        <v>77</v>
      </c>
      <c r="E6815" s="128" t="s">
        <v>135</v>
      </c>
      <c r="F6815" s="128">
        <v>6862208.21</v>
      </c>
      <c r="G6815" s="128">
        <v>1834126.22</v>
      </c>
      <c r="H6815" s="128">
        <v>1773576.04</v>
      </c>
      <c r="I6815" s="128">
        <v>16489</v>
      </c>
    </row>
    <row r="6816" spans="1:9" ht="13.5">
      <c r="A6816" s="128">
        <v>2011</v>
      </c>
      <c r="B6816" s="128" t="s">
        <v>131</v>
      </c>
      <c r="C6816" s="128" t="s">
        <v>20</v>
      </c>
      <c r="D6816" s="128" t="s">
        <v>76</v>
      </c>
      <c r="E6816" s="128" t="s">
        <v>136</v>
      </c>
      <c r="F6816" s="128">
        <v>11974202.640000001</v>
      </c>
      <c r="G6816" s="128">
        <v>8993950.5999999996</v>
      </c>
      <c r="H6816" s="128">
        <v>2980582.93</v>
      </c>
      <c r="I6816" s="128">
        <v>322237</v>
      </c>
    </row>
    <row r="6817" spans="1:9" ht="13.5">
      <c r="A6817" s="128">
        <v>2011</v>
      </c>
      <c r="B6817" s="128" t="s">
        <v>131</v>
      </c>
      <c r="C6817" s="128" t="s">
        <v>20</v>
      </c>
      <c r="D6817" s="128" t="s">
        <v>76</v>
      </c>
      <c r="E6817" s="128" t="s">
        <v>132</v>
      </c>
      <c r="F6817" s="128">
        <v>35255286.950000003</v>
      </c>
      <c r="G6817" s="128">
        <v>22625755.02</v>
      </c>
      <c r="H6817" s="128">
        <v>12629037.41</v>
      </c>
      <c r="I6817" s="128">
        <v>373146</v>
      </c>
    </row>
    <row r="6818" spans="1:9" ht="13.5">
      <c r="A6818" s="128">
        <v>2011</v>
      </c>
      <c r="B6818" s="128" t="s">
        <v>131</v>
      </c>
      <c r="C6818" s="128" t="s">
        <v>20</v>
      </c>
      <c r="D6818" s="128" t="s">
        <v>76</v>
      </c>
      <c r="E6818" s="128" t="s">
        <v>133</v>
      </c>
      <c r="F6818" s="128">
        <v>78617252.780000001</v>
      </c>
      <c r="G6818" s="128">
        <v>43216759.859999999</v>
      </c>
      <c r="H6818" s="128">
        <v>35400310.340000004</v>
      </c>
      <c r="I6818" s="128">
        <v>429708</v>
      </c>
    </row>
    <row r="6819" spans="1:9" ht="13.5">
      <c r="A6819" s="128">
        <v>2011</v>
      </c>
      <c r="B6819" s="128" t="s">
        <v>131</v>
      </c>
      <c r="C6819" s="128" t="s">
        <v>20</v>
      </c>
      <c r="D6819" s="128" t="s">
        <v>76</v>
      </c>
      <c r="E6819" s="128" t="s">
        <v>134</v>
      </c>
      <c r="F6819" s="128">
        <v>71401893.680000007</v>
      </c>
      <c r="G6819" s="128">
        <v>32630920.539999999</v>
      </c>
      <c r="H6819" s="128">
        <v>38770635.710000001</v>
      </c>
      <c r="I6819" s="128">
        <v>426264</v>
      </c>
    </row>
    <row r="6820" spans="1:9" ht="13.5">
      <c r="A6820" s="128">
        <v>2011</v>
      </c>
      <c r="B6820" s="128" t="s">
        <v>131</v>
      </c>
      <c r="C6820" s="128" t="s">
        <v>20</v>
      </c>
      <c r="D6820" s="128" t="s">
        <v>76</v>
      </c>
      <c r="E6820" s="128" t="s">
        <v>135</v>
      </c>
      <c r="F6820" s="128">
        <v>9973003.0099999998</v>
      </c>
      <c r="G6820" s="128">
        <v>3100115.11</v>
      </c>
      <c r="H6820" s="128">
        <v>6872887.5700000003</v>
      </c>
      <c r="I6820" s="128">
        <v>39044</v>
      </c>
    </row>
    <row r="6821" spans="1:9" ht="13.5">
      <c r="A6821" s="128">
        <v>2011</v>
      </c>
      <c r="B6821" s="128" t="s">
        <v>131</v>
      </c>
      <c r="C6821" s="128" t="s">
        <v>21</v>
      </c>
      <c r="D6821" s="128" t="s">
        <v>79</v>
      </c>
      <c r="E6821" s="128" t="s">
        <v>136</v>
      </c>
      <c r="F6821" s="128">
        <v>11229518.109999999</v>
      </c>
      <c r="G6821" s="128">
        <v>8437943.8699999992</v>
      </c>
      <c r="H6821" s="128">
        <v>2789936.62</v>
      </c>
      <c r="I6821" s="128">
        <v>103506</v>
      </c>
    </row>
    <row r="6822" spans="1:9" ht="13.5">
      <c r="A6822" s="128">
        <v>2011</v>
      </c>
      <c r="B6822" s="128" t="s">
        <v>131</v>
      </c>
      <c r="C6822" s="128" t="s">
        <v>21</v>
      </c>
      <c r="D6822" s="128" t="s">
        <v>79</v>
      </c>
      <c r="E6822" s="128" t="s">
        <v>132</v>
      </c>
      <c r="F6822" s="128">
        <v>1634478.78</v>
      </c>
      <c r="G6822" s="128">
        <v>1089697.1599999999</v>
      </c>
      <c r="H6822" s="128">
        <v>372169.91</v>
      </c>
      <c r="I6822" s="128">
        <v>9703</v>
      </c>
    </row>
    <row r="6823" spans="1:9" ht="13.5">
      <c r="A6823" s="128">
        <v>2011</v>
      </c>
      <c r="B6823" s="128" t="s">
        <v>131</v>
      </c>
      <c r="C6823" s="128" t="s">
        <v>21</v>
      </c>
      <c r="D6823" s="128" t="s">
        <v>79</v>
      </c>
      <c r="E6823" s="128" t="s">
        <v>133</v>
      </c>
      <c r="F6823" s="128">
        <v>1745192.19</v>
      </c>
      <c r="G6823" s="128">
        <v>955119.08</v>
      </c>
      <c r="H6823" s="128">
        <v>350291.66</v>
      </c>
      <c r="I6823" s="128">
        <v>15201</v>
      </c>
    </row>
    <row r="6824" spans="1:9" ht="13.5">
      <c r="A6824" s="128">
        <v>2011</v>
      </c>
      <c r="B6824" s="128" t="s">
        <v>131</v>
      </c>
      <c r="C6824" s="128" t="s">
        <v>21</v>
      </c>
      <c r="D6824" s="128" t="s">
        <v>79</v>
      </c>
      <c r="E6824" s="128" t="s">
        <v>134</v>
      </c>
      <c r="F6824" s="128">
        <v>4441231.07</v>
      </c>
      <c r="G6824" s="128">
        <v>1895161.13</v>
      </c>
      <c r="H6824" s="128">
        <v>739016.24</v>
      </c>
      <c r="I6824" s="128">
        <v>21119</v>
      </c>
    </row>
    <row r="6825" spans="1:9" ht="13.5">
      <c r="A6825" s="128">
        <v>2011</v>
      </c>
      <c r="B6825" s="128" t="s">
        <v>131</v>
      </c>
      <c r="C6825" s="128" t="s">
        <v>21</v>
      </c>
      <c r="D6825" s="128" t="s">
        <v>79</v>
      </c>
      <c r="E6825" s="128" t="s">
        <v>135</v>
      </c>
      <c r="F6825" s="128">
        <v>21866862.050000001</v>
      </c>
      <c r="G6825" s="128">
        <v>5687993.8799999999</v>
      </c>
      <c r="H6825" s="128">
        <v>1904237.77</v>
      </c>
      <c r="I6825" s="128">
        <v>45538</v>
      </c>
    </row>
    <row r="6826" spans="1:9" ht="13.5">
      <c r="A6826" s="128">
        <v>2011</v>
      </c>
      <c r="B6826" s="128" t="s">
        <v>131</v>
      </c>
      <c r="C6826" s="128" t="s">
        <v>21</v>
      </c>
      <c r="D6826" s="128" t="s">
        <v>77</v>
      </c>
      <c r="E6826" s="128" t="s">
        <v>132</v>
      </c>
      <c r="F6826" s="128">
        <v>2461285.98</v>
      </c>
      <c r="G6826" s="128">
        <v>1629921.48</v>
      </c>
      <c r="H6826" s="128">
        <v>690945.1</v>
      </c>
      <c r="I6826" s="128">
        <v>12683</v>
      </c>
    </row>
    <row r="6827" spans="1:9" ht="13.5">
      <c r="A6827" s="128">
        <v>2011</v>
      </c>
      <c r="B6827" s="128" t="s">
        <v>131</v>
      </c>
      <c r="C6827" s="128" t="s">
        <v>21</v>
      </c>
      <c r="D6827" s="128" t="s">
        <v>77</v>
      </c>
      <c r="E6827" s="128" t="s">
        <v>133</v>
      </c>
      <c r="F6827" s="128">
        <v>5581786.71</v>
      </c>
      <c r="G6827" s="128">
        <v>3042791.52</v>
      </c>
      <c r="H6827" s="128">
        <v>2096102.41</v>
      </c>
      <c r="I6827" s="128">
        <v>20515</v>
      </c>
    </row>
    <row r="6828" spans="1:9" ht="13.5">
      <c r="A6828" s="128">
        <v>2011</v>
      </c>
      <c r="B6828" s="128" t="s">
        <v>131</v>
      </c>
      <c r="C6828" s="128" t="s">
        <v>21</v>
      </c>
      <c r="D6828" s="128" t="s">
        <v>77</v>
      </c>
      <c r="E6828" s="128" t="s">
        <v>134</v>
      </c>
      <c r="F6828" s="128">
        <v>8351597.4500000002</v>
      </c>
      <c r="G6828" s="128">
        <v>3648834.88</v>
      </c>
      <c r="H6828" s="128">
        <v>3339361.78</v>
      </c>
      <c r="I6828" s="128">
        <v>23988</v>
      </c>
    </row>
    <row r="6829" spans="1:9" ht="13.5">
      <c r="A6829" s="128">
        <v>2011</v>
      </c>
      <c r="B6829" s="128" t="s">
        <v>131</v>
      </c>
      <c r="C6829" s="128" t="s">
        <v>21</v>
      </c>
      <c r="D6829" s="128" t="s">
        <v>77</v>
      </c>
      <c r="E6829" s="128" t="s">
        <v>135</v>
      </c>
      <c r="F6829" s="128">
        <v>9421589.1199999992</v>
      </c>
      <c r="G6829" s="128">
        <v>2624827.13</v>
      </c>
      <c r="H6829" s="128">
        <v>2608278.14</v>
      </c>
      <c r="I6829" s="128">
        <v>22651</v>
      </c>
    </row>
    <row r="6830" spans="1:9" ht="13.5">
      <c r="A6830" s="128">
        <v>2011</v>
      </c>
      <c r="B6830" s="128" t="s">
        <v>131</v>
      </c>
      <c r="C6830" s="128" t="s">
        <v>21</v>
      </c>
      <c r="D6830" s="128" t="s">
        <v>76</v>
      </c>
      <c r="E6830" s="128" t="s">
        <v>136</v>
      </c>
      <c r="F6830" s="128">
        <v>11813886.27</v>
      </c>
      <c r="G6830" s="128">
        <v>8889506.2300000004</v>
      </c>
      <c r="H6830" s="128">
        <v>2924429.16</v>
      </c>
      <c r="I6830" s="128">
        <v>243091</v>
      </c>
    </row>
    <row r="6831" spans="1:9" ht="13.5">
      <c r="A6831" s="128">
        <v>2011</v>
      </c>
      <c r="B6831" s="128" t="s">
        <v>131</v>
      </c>
      <c r="C6831" s="128" t="s">
        <v>21</v>
      </c>
      <c r="D6831" s="128" t="s">
        <v>76</v>
      </c>
      <c r="E6831" s="128" t="s">
        <v>132</v>
      </c>
      <c r="F6831" s="128">
        <v>37108968.82</v>
      </c>
      <c r="G6831" s="128">
        <v>23780135.210000001</v>
      </c>
      <c r="H6831" s="128">
        <v>13328656.029999999</v>
      </c>
      <c r="I6831" s="128">
        <v>360591</v>
      </c>
    </row>
    <row r="6832" spans="1:9" ht="13.5">
      <c r="A6832" s="128">
        <v>2011</v>
      </c>
      <c r="B6832" s="128" t="s">
        <v>131</v>
      </c>
      <c r="C6832" s="128" t="s">
        <v>21</v>
      </c>
      <c r="D6832" s="128" t="s">
        <v>76</v>
      </c>
      <c r="E6832" s="128" t="s">
        <v>133</v>
      </c>
      <c r="F6832" s="128">
        <v>84087216.510000005</v>
      </c>
      <c r="G6832" s="128">
        <v>46419342.859999999</v>
      </c>
      <c r="H6832" s="128">
        <v>37667783.25</v>
      </c>
      <c r="I6832" s="128">
        <v>614714</v>
      </c>
    </row>
    <row r="6833" spans="1:9" ht="13.5">
      <c r="A6833" s="128">
        <v>2011</v>
      </c>
      <c r="B6833" s="128" t="s">
        <v>131</v>
      </c>
      <c r="C6833" s="128" t="s">
        <v>21</v>
      </c>
      <c r="D6833" s="128" t="s">
        <v>76</v>
      </c>
      <c r="E6833" s="128" t="s">
        <v>134</v>
      </c>
      <c r="F6833" s="128">
        <v>79602975.560000002</v>
      </c>
      <c r="G6833" s="128">
        <v>36116649.210000001</v>
      </c>
      <c r="H6833" s="128">
        <v>43486138.450000003</v>
      </c>
      <c r="I6833" s="128">
        <v>423474</v>
      </c>
    </row>
    <row r="6834" spans="1:9" ht="13.5">
      <c r="A6834" s="128">
        <v>2011</v>
      </c>
      <c r="B6834" s="128" t="s">
        <v>131</v>
      </c>
      <c r="C6834" s="128" t="s">
        <v>21</v>
      </c>
      <c r="D6834" s="128" t="s">
        <v>76</v>
      </c>
      <c r="E6834" s="128" t="s">
        <v>135</v>
      </c>
      <c r="F6834" s="128">
        <v>4937391.95</v>
      </c>
      <c r="G6834" s="128">
        <v>1414112.38</v>
      </c>
      <c r="H6834" s="128">
        <v>3523279.57</v>
      </c>
      <c r="I6834" s="128">
        <v>10546</v>
      </c>
    </row>
    <row r="6835" spans="1:9" ht="13.5">
      <c r="A6835" s="128">
        <v>2011</v>
      </c>
      <c r="B6835" s="128" t="s">
        <v>131</v>
      </c>
      <c r="C6835" s="128" t="s">
        <v>22</v>
      </c>
      <c r="D6835" s="128" t="s">
        <v>79</v>
      </c>
      <c r="E6835" s="128" t="s">
        <v>136</v>
      </c>
      <c r="F6835" s="128">
        <v>10163401.42</v>
      </c>
      <c r="G6835" s="128">
        <v>7620131.8600000003</v>
      </c>
      <c r="H6835" s="128">
        <v>2520754.88</v>
      </c>
      <c r="I6835" s="128">
        <v>68882</v>
      </c>
    </row>
    <row r="6836" spans="1:9" ht="13.5">
      <c r="A6836" s="128">
        <v>2011</v>
      </c>
      <c r="B6836" s="128" t="s">
        <v>131</v>
      </c>
      <c r="C6836" s="128" t="s">
        <v>22</v>
      </c>
      <c r="D6836" s="128" t="s">
        <v>79</v>
      </c>
      <c r="E6836" s="128" t="s">
        <v>132</v>
      </c>
      <c r="F6836" s="128">
        <v>1622490.27</v>
      </c>
      <c r="G6836" s="128">
        <v>1085719.7</v>
      </c>
      <c r="H6836" s="128">
        <v>366759.1</v>
      </c>
      <c r="I6836" s="128">
        <v>9585</v>
      </c>
    </row>
    <row r="6837" spans="1:9" ht="13.5">
      <c r="A6837" s="128">
        <v>2011</v>
      </c>
      <c r="B6837" s="128" t="s">
        <v>131</v>
      </c>
      <c r="C6837" s="128" t="s">
        <v>22</v>
      </c>
      <c r="D6837" s="128" t="s">
        <v>79</v>
      </c>
      <c r="E6837" s="128" t="s">
        <v>133</v>
      </c>
      <c r="F6837" s="128">
        <v>2870786.03</v>
      </c>
      <c r="G6837" s="128">
        <v>1563506.25</v>
      </c>
      <c r="H6837" s="128">
        <v>566025.76</v>
      </c>
      <c r="I6837" s="128">
        <v>12373</v>
      </c>
    </row>
    <row r="6838" spans="1:9" ht="13.5">
      <c r="A6838" s="128">
        <v>2011</v>
      </c>
      <c r="B6838" s="128" t="s">
        <v>131</v>
      </c>
      <c r="C6838" s="128" t="s">
        <v>22</v>
      </c>
      <c r="D6838" s="128" t="s">
        <v>79</v>
      </c>
      <c r="E6838" s="128" t="s">
        <v>134</v>
      </c>
      <c r="F6838" s="128">
        <v>8980872.7400000002</v>
      </c>
      <c r="G6838" s="128">
        <v>3814679.82</v>
      </c>
      <c r="H6838" s="128">
        <v>1379726.88</v>
      </c>
      <c r="I6838" s="128">
        <v>28198</v>
      </c>
    </row>
    <row r="6839" spans="1:9" ht="13.5">
      <c r="A6839" s="128">
        <v>2011</v>
      </c>
      <c r="B6839" s="128" t="s">
        <v>131</v>
      </c>
      <c r="C6839" s="128" t="s">
        <v>22</v>
      </c>
      <c r="D6839" s="128" t="s">
        <v>79</v>
      </c>
      <c r="E6839" s="128" t="s">
        <v>135</v>
      </c>
      <c r="F6839" s="128">
        <v>44563423.829999998</v>
      </c>
      <c r="G6839" s="128">
        <v>12069990.789999999</v>
      </c>
      <c r="H6839" s="128">
        <v>4037739.88</v>
      </c>
      <c r="I6839" s="128">
        <v>85609</v>
      </c>
    </row>
    <row r="6840" spans="1:9" ht="13.5">
      <c r="A6840" s="128">
        <v>2011</v>
      </c>
      <c r="B6840" s="128" t="s">
        <v>131</v>
      </c>
      <c r="C6840" s="128" t="s">
        <v>22</v>
      </c>
      <c r="D6840" s="128" t="s">
        <v>77</v>
      </c>
      <c r="E6840" s="128" t="s">
        <v>132</v>
      </c>
      <c r="F6840" s="128">
        <v>1167270.03</v>
      </c>
      <c r="G6840" s="128">
        <v>765998.15</v>
      </c>
      <c r="H6840" s="128">
        <v>325229.39</v>
      </c>
      <c r="I6840" s="128">
        <v>5192</v>
      </c>
    </row>
    <row r="6841" spans="1:9" ht="13.5">
      <c r="A6841" s="128">
        <v>2011</v>
      </c>
      <c r="B6841" s="128" t="s">
        <v>131</v>
      </c>
      <c r="C6841" s="128" t="s">
        <v>22</v>
      </c>
      <c r="D6841" s="128" t="s">
        <v>77</v>
      </c>
      <c r="E6841" s="128" t="s">
        <v>133</v>
      </c>
      <c r="F6841" s="128">
        <v>3493356.5</v>
      </c>
      <c r="G6841" s="128">
        <v>1887864.49</v>
      </c>
      <c r="H6841" s="128">
        <v>1332715.17</v>
      </c>
      <c r="I6841" s="128">
        <v>11615</v>
      </c>
    </row>
    <row r="6842" spans="1:9" ht="13.5">
      <c r="A6842" s="128">
        <v>2011</v>
      </c>
      <c r="B6842" s="128" t="s">
        <v>131</v>
      </c>
      <c r="C6842" s="128" t="s">
        <v>22</v>
      </c>
      <c r="D6842" s="128" t="s">
        <v>77</v>
      </c>
      <c r="E6842" s="128" t="s">
        <v>134</v>
      </c>
      <c r="F6842" s="128">
        <v>5789275.9400000004</v>
      </c>
      <c r="G6842" s="128">
        <v>2493204.7200000002</v>
      </c>
      <c r="H6842" s="128">
        <v>2294172.7799999998</v>
      </c>
      <c r="I6842" s="128">
        <v>12117</v>
      </c>
    </row>
    <row r="6843" spans="1:9" ht="13.5">
      <c r="A6843" s="128">
        <v>2011</v>
      </c>
      <c r="B6843" s="128" t="s">
        <v>131</v>
      </c>
      <c r="C6843" s="128" t="s">
        <v>22</v>
      </c>
      <c r="D6843" s="128" t="s">
        <v>77</v>
      </c>
      <c r="E6843" s="128" t="s">
        <v>135</v>
      </c>
      <c r="F6843" s="128">
        <v>8972858.5600000005</v>
      </c>
      <c r="G6843" s="128">
        <v>2591072.39</v>
      </c>
      <c r="H6843" s="128">
        <v>2633952.84</v>
      </c>
      <c r="I6843" s="128">
        <v>21910</v>
      </c>
    </row>
    <row r="6844" spans="1:9" ht="13.5">
      <c r="A6844" s="128">
        <v>2011</v>
      </c>
      <c r="B6844" s="128" t="s">
        <v>131</v>
      </c>
      <c r="C6844" s="128" t="s">
        <v>22</v>
      </c>
      <c r="D6844" s="128" t="s">
        <v>76</v>
      </c>
      <c r="E6844" s="128" t="s">
        <v>136</v>
      </c>
      <c r="F6844" s="128">
        <v>6300206.9699999997</v>
      </c>
      <c r="G6844" s="128">
        <v>4737471.59</v>
      </c>
      <c r="H6844" s="128">
        <v>1562733.64</v>
      </c>
      <c r="I6844" s="128">
        <v>92505</v>
      </c>
    </row>
    <row r="6845" spans="1:9" ht="13.5">
      <c r="A6845" s="128">
        <v>2011</v>
      </c>
      <c r="B6845" s="128" t="s">
        <v>131</v>
      </c>
      <c r="C6845" s="128" t="s">
        <v>22</v>
      </c>
      <c r="D6845" s="128" t="s">
        <v>76</v>
      </c>
      <c r="E6845" s="128" t="s">
        <v>132</v>
      </c>
      <c r="F6845" s="128">
        <v>30308943.510000002</v>
      </c>
      <c r="G6845" s="128">
        <v>19462144.699999999</v>
      </c>
      <c r="H6845" s="128">
        <v>10846407.76</v>
      </c>
      <c r="I6845" s="128">
        <v>316642</v>
      </c>
    </row>
    <row r="6846" spans="1:9" ht="13.5">
      <c r="A6846" s="128">
        <v>2011</v>
      </c>
      <c r="B6846" s="128" t="s">
        <v>131</v>
      </c>
      <c r="C6846" s="128" t="s">
        <v>22</v>
      </c>
      <c r="D6846" s="128" t="s">
        <v>76</v>
      </c>
      <c r="E6846" s="128" t="s">
        <v>133</v>
      </c>
      <c r="F6846" s="128">
        <v>66616311.670000002</v>
      </c>
      <c r="G6846" s="128">
        <v>37011816.619999997</v>
      </c>
      <c r="H6846" s="128">
        <v>29604252.920000002</v>
      </c>
      <c r="I6846" s="128">
        <v>595153</v>
      </c>
    </row>
    <row r="6847" spans="1:9" ht="13.5">
      <c r="A6847" s="128">
        <v>2011</v>
      </c>
      <c r="B6847" s="128" t="s">
        <v>131</v>
      </c>
      <c r="C6847" s="128" t="s">
        <v>22</v>
      </c>
      <c r="D6847" s="128" t="s">
        <v>76</v>
      </c>
      <c r="E6847" s="128" t="s">
        <v>134</v>
      </c>
      <c r="F6847" s="128">
        <v>48403762.950000003</v>
      </c>
      <c r="G6847" s="128">
        <v>22383467.059999999</v>
      </c>
      <c r="H6847" s="128">
        <v>26020183.559999999</v>
      </c>
      <c r="I6847" s="128">
        <v>290741</v>
      </c>
    </row>
    <row r="6848" spans="1:9" ht="13.5">
      <c r="A6848" s="128">
        <v>2011</v>
      </c>
      <c r="B6848" s="128" t="s">
        <v>131</v>
      </c>
      <c r="C6848" s="128" t="s">
        <v>22</v>
      </c>
      <c r="D6848" s="128" t="s">
        <v>76</v>
      </c>
      <c r="E6848" s="128" t="s">
        <v>135</v>
      </c>
      <c r="F6848" s="128">
        <v>6053088.6500000004</v>
      </c>
      <c r="G6848" s="128">
        <v>1765367.6</v>
      </c>
      <c r="H6848" s="128">
        <v>4287721.01</v>
      </c>
      <c r="I6848" s="128">
        <v>11260</v>
      </c>
    </row>
    <row r="6849" spans="1:9" ht="13.5">
      <c r="A6849" s="128">
        <v>2011</v>
      </c>
      <c r="B6849" s="128" t="s">
        <v>131</v>
      </c>
      <c r="C6849" s="128" t="s">
        <v>23</v>
      </c>
      <c r="D6849" s="128" t="s">
        <v>79</v>
      </c>
      <c r="E6849" s="128" t="s">
        <v>136</v>
      </c>
      <c r="F6849" s="128">
        <v>3356648.69</v>
      </c>
      <c r="G6849" s="128">
        <v>2520160.02</v>
      </c>
      <c r="H6849" s="128">
        <v>836592.78</v>
      </c>
      <c r="I6849" s="128">
        <v>45661</v>
      </c>
    </row>
    <row r="6850" spans="1:9" ht="13.5">
      <c r="A6850" s="128">
        <v>2011</v>
      </c>
      <c r="B6850" s="128" t="s">
        <v>131</v>
      </c>
      <c r="C6850" s="128" t="s">
        <v>23</v>
      </c>
      <c r="D6850" s="128" t="s">
        <v>79</v>
      </c>
      <c r="E6850" s="128" t="s">
        <v>132</v>
      </c>
      <c r="F6850" s="128">
        <v>367744.23</v>
      </c>
      <c r="G6850" s="128">
        <v>240449.76</v>
      </c>
      <c r="H6850" s="128">
        <v>96915.35</v>
      </c>
      <c r="I6850" s="128">
        <v>2635</v>
      </c>
    </row>
    <row r="6851" spans="1:9" ht="13.5">
      <c r="A6851" s="128">
        <v>2011</v>
      </c>
      <c r="B6851" s="128" t="s">
        <v>131</v>
      </c>
      <c r="C6851" s="128" t="s">
        <v>23</v>
      </c>
      <c r="D6851" s="128" t="s">
        <v>79</v>
      </c>
      <c r="E6851" s="128" t="s">
        <v>133</v>
      </c>
      <c r="F6851" s="128">
        <v>698056.15</v>
      </c>
      <c r="G6851" s="128">
        <v>372239.2</v>
      </c>
      <c r="H6851" s="128">
        <v>155216.5</v>
      </c>
      <c r="I6851" s="128">
        <v>3891</v>
      </c>
    </row>
    <row r="6852" spans="1:9" ht="13.5">
      <c r="A6852" s="128">
        <v>2011</v>
      </c>
      <c r="B6852" s="128" t="s">
        <v>131</v>
      </c>
      <c r="C6852" s="128" t="s">
        <v>23</v>
      </c>
      <c r="D6852" s="128" t="s">
        <v>79</v>
      </c>
      <c r="E6852" s="128" t="s">
        <v>134</v>
      </c>
      <c r="F6852" s="128">
        <v>1069907.6299999999</v>
      </c>
      <c r="G6852" s="128">
        <v>465575.38</v>
      </c>
      <c r="H6852" s="128">
        <v>354769.63</v>
      </c>
      <c r="I6852" s="128">
        <v>4927</v>
      </c>
    </row>
    <row r="6853" spans="1:9" ht="13.5">
      <c r="A6853" s="128">
        <v>2011</v>
      </c>
      <c r="B6853" s="128" t="s">
        <v>131</v>
      </c>
      <c r="C6853" s="128" t="s">
        <v>23</v>
      </c>
      <c r="D6853" s="128" t="s">
        <v>79</v>
      </c>
      <c r="E6853" s="128" t="s">
        <v>135</v>
      </c>
      <c r="F6853" s="128">
        <v>2331730.5699999998</v>
      </c>
      <c r="G6853" s="128">
        <v>630545.82999999996</v>
      </c>
      <c r="H6853" s="128">
        <v>221002.77</v>
      </c>
      <c r="I6853" s="128">
        <v>7201</v>
      </c>
    </row>
    <row r="6854" spans="1:9" ht="13.5">
      <c r="A6854" s="128">
        <v>2011</v>
      </c>
      <c r="B6854" s="128" t="s">
        <v>131</v>
      </c>
      <c r="C6854" s="128" t="s">
        <v>23</v>
      </c>
      <c r="D6854" s="128" t="s">
        <v>77</v>
      </c>
      <c r="E6854" s="128" t="s">
        <v>132</v>
      </c>
      <c r="F6854" s="128">
        <v>589116.56000000006</v>
      </c>
      <c r="G6854" s="128">
        <v>394918.05</v>
      </c>
      <c r="H6854" s="128">
        <v>152530.78</v>
      </c>
      <c r="I6854" s="128">
        <v>2506</v>
      </c>
    </row>
    <row r="6855" spans="1:9" ht="13.5">
      <c r="A6855" s="128">
        <v>2011</v>
      </c>
      <c r="B6855" s="128" t="s">
        <v>131</v>
      </c>
      <c r="C6855" s="128" t="s">
        <v>23</v>
      </c>
      <c r="D6855" s="128" t="s">
        <v>77</v>
      </c>
      <c r="E6855" s="128" t="s">
        <v>133</v>
      </c>
      <c r="F6855" s="128">
        <v>1030232.26</v>
      </c>
      <c r="G6855" s="128">
        <v>558750.5</v>
      </c>
      <c r="H6855" s="128">
        <v>382667.61</v>
      </c>
      <c r="I6855" s="128">
        <v>3718</v>
      </c>
    </row>
    <row r="6856" spans="1:9" ht="13.5">
      <c r="A6856" s="128">
        <v>2011</v>
      </c>
      <c r="B6856" s="128" t="s">
        <v>131</v>
      </c>
      <c r="C6856" s="128" t="s">
        <v>23</v>
      </c>
      <c r="D6856" s="128" t="s">
        <v>77</v>
      </c>
      <c r="E6856" s="128" t="s">
        <v>134</v>
      </c>
      <c r="F6856" s="128">
        <v>2490376.31</v>
      </c>
      <c r="G6856" s="128">
        <v>1074762.55</v>
      </c>
      <c r="H6856" s="128">
        <v>1054448.43</v>
      </c>
      <c r="I6856" s="128">
        <v>4366</v>
      </c>
    </row>
    <row r="6857" spans="1:9" ht="13.5">
      <c r="A6857" s="128">
        <v>2011</v>
      </c>
      <c r="B6857" s="128" t="s">
        <v>131</v>
      </c>
      <c r="C6857" s="128" t="s">
        <v>23</v>
      </c>
      <c r="D6857" s="128" t="s">
        <v>77</v>
      </c>
      <c r="E6857" s="128" t="s">
        <v>135</v>
      </c>
      <c r="F6857" s="128">
        <v>1217403.8600000001</v>
      </c>
      <c r="G6857" s="128">
        <v>334324.3</v>
      </c>
      <c r="H6857" s="128">
        <v>348185.11</v>
      </c>
      <c r="I6857" s="128">
        <v>3077</v>
      </c>
    </row>
    <row r="6858" spans="1:9" ht="13.5">
      <c r="A6858" s="128">
        <v>2011</v>
      </c>
      <c r="B6858" s="128" t="s">
        <v>131</v>
      </c>
      <c r="C6858" s="128" t="s">
        <v>23</v>
      </c>
      <c r="D6858" s="128" t="s">
        <v>76</v>
      </c>
      <c r="E6858" s="128" t="s">
        <v>136</v>
      </c>
      <c r="F6858" s="128">
        <v>3278023.61</v>
      </c>
      <c r="G6858" s="128">
        <v>2461495.4700000002</v>
      </c>
      <c r="H6858" s="128">
        <v>816619.37</v>
      </c>
      <c r="I6858" s="128">
        <v>28169</v>
      </c>
    </row>
    <row r="6859" spans="1:9" ht="13.5">
      <c r="A6859" s="128">
        <v>2011</v>
      </c>
      <c r="B6859" s="128" t="s">
        <v>131</v>
      </c>
      <c r="C6859" s="128" t="s">
        <v>23</v>
      </c>
      <c r="D6859" s="128" t="s">
        <v>76</v>
      </c>
      <c r="E6859" s="128" t="s">
        <v>132</v>
      </c>
      <c r="F6859" s="128">
        <v>9839126.8699999992</v>
      </c>
      <c r="G6859" s="128">
        <v>6307114.71</v>
      </c>
      <c r="H6859" s="128">
        <v>3531923.95</v>
      </c>
      <c r="I6859" s="128">
        <v>117903</v>
      </c>
    </row>
    <row r="6860" spans="1:9" ht="13.5">
      <c r="A6860" s="128">
        <v>2011</v>
      </c>
      <c r="B6860" s="128" t="s">
        <v>131</v>
      </c>
      <c r="C6860" s="128" t="s">
        <v>23</v>
      </c>
      <c r="D6860" s="128" t="s">
        <v>76</v>
      </c>
      <c r="E6860" s="128" t="s">
        <v>133</v>
      </c>
      <c r="F6860" s="128">
        <v>20468775.16</v>
      </c>
      <c r="G6860" s="128">
        <v>11171023.51</v>
      </c>
      <c r="H6860" s="128">
        <v>9297713.5800000001</v>
      </c>
      <c r="I6860" s="128">
        <v>155189</v>
      </c>
    </row>
    <row r="6861" spans="1:9" ht="13.5">
      <c r="A6861" s="128">
        <v>2011</v>
      </c>
      <c r="B6861" s="128" t="s">
        <v>131</v>
      </c>
      <c r="C6861" s="128" t="s">
        <v>23</v>
      </c>
      <c r="D6861" s="128" t="s">
        <v>76</v>
      </c>
      <c r="E6861" s="128" t="s">
        <v>134</v>
      </c>
      <c r="F6861" s="128">
        <v>36554720.350000001</v>
      </c>
      <c r="G6861" s="128">
        <v>16500241.6</v>
      </c>
      <c r="H6861" s="128">
        <v>20054438.559999999</v>
      </c>
      <c r="I6861" s="128">
        <v>153970</v>
      </c>
    </row>
    <row r="6862" spans="1:9" ht="13.5">
      <c r="A6862" s="128">
        <v>2011</v>
      </c>
      <c r="B6862" s="128" t="s">
        <v>131</v>
      </c>
      <c r="C6862" s="128" t="s">
        <v>23</v>
      </c>
      <c r="D6862" s="128" t="s">
        <v>76</v>
      </c>
      <c r="E6862" s="128" t="s">
        <v>135</v>
      </c>
      <c r="F6862" s="128">
        <v>2153483.16</v>
      </c>
      <c r="G6862" s="128">
        <v>610089.25</v>
      </c>
      <c r="H6862" s="128">
        <v>1543391.91</v>
      </c>
      <c r="I6862" s="128">
        <v>3335</v>
      </c>
    </row>
    <row r="6863" spans="1:9" ht="13.5">
      <c r="A6863" s="128">
        <v>2011</v>
      </c>
      <c r="B6863" s="128" t="s">
        <v>131</v>
      </c>
      <c r="C6863" s="128" t="s">
        <v>24</v>
      </c>
      <c r="D6863" s="128" t="s">
        <v>79</v>
      </c>
      <c r="E6863" s="128" t="s">
        <v>136</v>
      </c>
      <c r="F6863" s="128">
        <v>2248036.2799999998</v>
      </c>
      <c r="G6863" s="128">
        <v>1690049.06</v>
      </c>
      <c r="H6863" s="128">
        <v>557321.29</v>
      </c>
      <c r="I6863" s="128">
        <v>36077</v>
      </c>
    </row>
    <row r="6864" spans="1:9" ht="13.5">
      <c r="A6864" s="128">
        <v>2011</v>
      </c>
      <c r="B6864" s="128" t="s">
        <v>131</v>
      </c>
      <c r="C6864" s="128" t="s">
        <v>24</v>
      </c>
      <c r="D6864" s="128" t="s">
        <v>79</v>
      </c>
      <c r="E6864" s="128" t="s">
        <v>132</v>
      </c>
      <c r="F6864" s="128">
        <v>360865.28000000003</v>
      </c>
      <c r="G6864" s="128">
        <v>238912.74</v>
      </c>
      <c r="H6864" s="128">
        <v>79920.02</v>
      </c>
      <c r="I6864" s="128">
        <v>2447</v>
      </c>
    </row>
    <row r="6865" spans="1:9" ht="13.5">
      <c r="A6865" s="128">
        <v>2011</v>
      </c>
      <c r="B6865" s="128" t="s">
        <v>131</v>
      </c>
      <c r="C6865" s="128" t="s">
        <v>24</v>
      </c>
      <c r="D6865" s="128" t="s">
        <v>79</v>
      </c>
      <c r="E6865" s="128" t="s">
        <v>133</v>
      </c>
      <c r="F6865" s="128">
        <v>1031143.27</v>
      </c>
      <c r="G6865" s="128">
        <v>563833.46</v>
      </c>
      <c r="H6865" s="128">
        <v>190650.21</v>
      </c>
      <c r="I6865" s="128">
        <v>6322</v>
      </c>
    </row>
    <row r="6866" spans="1:9" ht="13.5">
      <c r="A6866" s="128">
        <v>2011</v>
      </c>
      <c r="B6866" s="128" t="s">
        <v>131</v>
      </c>
      <c r="C6866" s="128" t="s">
        <v>24</v>
      </c>
      <c r="D6866" s="128" t="s">
        <v>79</v>
      </c>
      <c r="E6866" s="128" t="s">
        <v>134</v>
      </c>
      <c r="F6866" s="128">
        <v>2662233.33</v>
      </c>
      <c r="G6866" s="128">
        <v>1150049.6499999999</v>
      </c>
      <c r="H6866" s="128">
        <v>388413.63</v>
      </c>
      <c r="I6866" s="128">
        <v>8664</v>
      </c>
    </row>
    <row r="6867" spans="1:9" ht="13.5">
      <c r="A6867" s="128">
        <v>2011</v>
      </c>
      <c r="B6867" s="128" t="s">
        <v>131</v>
      </c>
      <c r="C6867" s="128" t="s">
        <v>24</v>
      </c>
      <c r="D6867" s="128" t="s">
        <v>79</v>
      </c>
      <c r="E6867" s="128" t="s">
        <v>135</v>
      </c>
      <c r="F6867" s="128">
        <v>7176737.4500000002</v>
      </c>
      <c r="G6867" s="128">
        <v>1917962.6</v>
      </c>
      <c r="H6867" s="128">
        <v>643805.54</v>
      </c>
      <c r="I6867" s="128">
        <v>20401</v>
      </c>
    </row>
    <row r="6868" spans="1:9" ht="13.5">
      <c r="A6868" s="128">
        <v>2011</v>
      </c>
      <c r="B6868" s="128" t="s">
        <v>131</v>
      </c>
      <c r="C6868" s="128" t="s">
        <v>24</v>
      </c>
      <c r="D6868" s="128" t="s">
        <v>77</v>
      </c>
      <c r="E6868" s="128" t="s">
        <v>132</v>
      </c>
      <c r="F6868" s="128">
        <v>2135755.37</v>
      </c>
      <c r="G6868" s="128">
        <v>1457944.9</v>
      </c>
      <c r="H6868" s="128">
        <v>642556.13</v>
      </c>
      <c r="I6868" s="128">
        <v>11951</v>
      </c>
    </row>
    <row r="6869" spans="1:9" ht="13.5">
      <c r="A6869" s="128">
        <v>2011</v>
      </c>
      <c r="B6869" s="128" t="s">
        <v>131</v>
      </c>
      <c r="C6869" s="128" t="s">
        <v>24</v>
      </c>
      <c r="D6869" s="128" t="s">
        <v>77</v>
      </c>
      <c r="E6869" s="128" t="s">
        <v>133</v>
      </c>
      <c r="F6869" s="128">
        <v>4421326.4400000004</v>
      </c>
      <c r="G6869" s="128">
        <v>2375331.52</v>
      </c>
      <c r="H6869" s="128">
        <v>1762920.62</v>
      </c>
      <c r="I6869" s="128">
        <v>37101</v>
      </c>
    </row>
    <row r="6870" spans="1:9" ht="13.5">
      <c r="A6870" s="128">
        <v>2011</v>
      </c>
      <c r="B6870" s="128" t="s">
        <v>131</v>
      </c>
      <c r="C6870" s="128" t="s">
        <v>24</v>
      </c>
      <c r="D6870" s="128" t="s">
        <v>77</v>
      </c>
      <c r="E6870" s="128" t="s">
        <v>134</v>
      </c>
      <c r="F6870" s="128">
        <v>7665060.79</v>
      </c>
      <c r="G6870" s="128">
        <v>3362653.03</v>
      </c>
      <c r="H6870" s="128">
        <v>2465169.1</v>
      </c>
      <c r="I6870" s="128">
        <v>20889</v>
      </c>
    </row>
    <row r="6871" spans="1:9" ht="13.5">
      <c r="A6871" s="128">
        <v>2011</v>
      </c>
      <c r="B6871" s="128" t="s">
        <v>131</v>
      </c>
      <c r="C6871" s="128" t="s">
        <v>24</v>
      </c>
      <c r="D6871" s="128" t="s">
        <v>77</v>
      </c>
      <c r="E6871" s="128" t="s">
        <v>135</v>
      </c>
      <c r="F6871" s="128">
        <v>10480922.449999999</v>
      </c>
      <c r="G6871" s="128">
        <v>2870313.31</v>
      </c>
      <c r="H6871" s="128">
        <v>1865456.22</v>
      </c>
      <c r="I6871" s="128">
        <v>20008</v>
      </c>
    </row>
    <row r="6872" spans="1:9" ht="13.5">
      <c r="A6872" s="128">
        <v>2011</v>
      </c>
      <c r="B6872" s="128" t="s">
        <v>131</v>
      </c>
      <c r="C6872" s="128" t="s">
        <v>24</v>
      </c>
      <c r="D6872" s="128" t="s">
        <v>76</v>
      </c>
      <c r="E6872" s="128" t="s">
        <v>136</v>
      </c>
      <c r="F6872" s="128">
        <v>1260945.58</v>
      </c>
      <c r="G6872" s="128">
        <v>954499.6</v>
      </c>
      <c r="H6872" s="128">
        <v>306476.59999999998</v>
      </c>
      <c r="I6872" s="128">
        <v>13265</v>
      </c>
    </row>
    <row r="6873" spans="1:9" ht="13.5">
      <c r="A6873" s="128">
        <v>2011</v>
      </c>
      <c r="B6873" s="128" t="s">
        <v>131</v>
      </c>
      <c r="C6873" s="128" t="s">
        <v>24</v>
      </c>
      <c r="D6873" s="128" t="s">
        <v>76</v>
      </c>
      <c r="E6873" s="128" t="s">
        <v>132</v>
      </c>
      <c r="F6873" s="128">
        <v>7986498.4900000002</v>
      </c>
      <c r="G6873" s="128">
        <v>5053470.05</v>
      </c>
      <c r="H6873" s="128">
        <v>2933004.92</v>
      </c>
      <c r="I6873" s="128">
        <v>67481</v>
      </c>
    </row>
    <row r="6874" spans="1:9" ht="13.5">
      <c r="A6874" s="128">
        <v>2011</v>
      </c>
      <c r="B6874" s="128" t="s">
        <v>131</v>
      </c>
      <c r="C6874" s="128" t="s">
        <v>24</v>
      </c>
      <c r="D6874" s="128" t="s">
        <v>76</v>
      </c>
      <c r="E6874" s="128" t="s">
        <v>133</v>
      </c>
      <c r="F6874" s="128">
        <v>27823740.34</v>
      </c>
      <c r="G6874" s="128">
        <v>15346444.619999999</v>
      </c>
      <c r="H6874" s="128">
        <v>12477292.960000001</v>
      </c>
      <c r="I6874" s="128">
        <v>186179</v>
      </c>
    </row>
    <row r="6875" spans="1:9" ht="13.5">
      <c r="A6875" s="128">
        <v>2011</v>
      </c>
      <c r="B6875" s="128" t="s">
        <v>131</v>
      </c>
      <c r="C6875" s="128" t="s">
        <v>24</v>
      </c>
      <c r="D6875" s="128" t="s">
        <v>76</v>
      </c>
      <c r="E6875" s="128" t="s">
        <v>134</v>
      </c>
      <c r="F6875" s="128">
        <v>34966290.07</v>
      </c>
      <c r="G6875" s="128">
        <v>15414944.119999999</v>
      </c>
      <c r="H6875" s="128">
        <v>19551340.989999998</v>
      </c>
      <c r="I6875" s="128">
        <v>167646</v>
      </c>
    </row>
    <row r="6876" spans="1:9" ht="13.5">
      <c r="A6876" s="128">
        <v>2011</v>
      </c>
      <c r="B6876" s="128" t="s">
        <v>131</v>
      </c>
      <c r="C6876" s="128" t="s">
        <v>24</v>
      </c>
      <c r="D6876" s="128" t="s">
        <v>76</v>
      </c>
      <c r="E6876" s="128" t="s">
        <v>135</v>
      </c>
      <c r="F6876" s="128">
        <v>3120485.38</v>
      </c>
      <c r="G6876" s="128">
        <v>818833.5</v>
      </c>
      <c r="H6876" s="128">
        <v>2301651.88</v>
      </c>
      <c r="I6876" s="128">
        <v>2416</v>
      </c>
    </row>
    <row r="6877" spans="1:9" ht="13.5">
      <c r="A6877" s="128">
        <v>2011</v>
      </c>
      <c r="B6877" s="128" t="s">
        <v>131</v>
      </c>
      <c r="C6877" s="128" t="s">
        <v>25</v>
      </c>
      <c r="D6877" s="128" t="s">
        <v>79</v>
      </c>
      <c r="E6877" s="128" t="s">
        <v>136</v>
      </c>
      <c r="F6877" s="128">
        <v>1226563.1399999999</v>
      </c>
      <c r="G6877" s="128">
        <v>921087.67</v>
      </c>
      <c r="H6877" s="128">
        <v>305475.38</v>
      </c>
      <c r="I6877" s="128">
        <v>17222</v>
      </c>
    </row>
    <row r="6878" spans="1:9" ht="13.5">
      <c r="A6878" s="128">
        <v>2011</v>
      </c>
      <c r="B6878" s="128" t="s">
        <v>131</v>
      </c>
      <c r="C6878" s="128" t="s">
        <v>25</v>
      </c>
      <c r="D6878" s="128" t="s">
        <v>79</v>
      </c>
      <c r="E6878" s="128" t="s">
        <v>132</v>
      </c>
      <c r="F6878" s="128">
        <v>122785.61</v>
      </c>
      <c r="G6878" s="128">
        <v>84146.99</v>
      </c>
      <c r="H6878" s="128">
        <v>28256.58</v>
      </c>
      <c r="I6878" s="128">
        <v>789</v>
      </c>
    </row>
    <row r="6879" spans="1:9" ht="13.5">
      <c r="A6879" s="128">
        <v>2011</v>
      </c>
      <c r="B6879" s="128" t="s">
        <v>131</v>
      </c>
      <c r="C6879" s="128" t="s">
        <v>25</v>
      </c>
      <c r="D6879" s="128" t="s">
        <v>79</v>
      </c>
      <c r="E6879" s="128" t="s">
        <v>133</v>
      </c>
      <c r="F6879" s="128">
        <v>149025.60000000001</v>
      </c>
      <c r="G6879" s="128">
        <v>79677.34</v>
      </c>
      <c r="H6879" s="128">
        <v>32584.400000000001</v>
      </c>
      <c r="I6879" s="128">
        <v>381</v>
      </c>
    </row>
    <row r="6880" spans="1:9" ht="13.5">
      <c r="A6880" s="128">
        <v>2011</v>
      </c>
      <c r="B6880" s="128" t="s">
        <v>131</v>
      </c>
      <c r="C6880" s="128" t="s">
        <v>25</v>
      </c>
      <c r="D6880" s="128" t="s">
        <v>79</v>
      </c>
      <c r="E6880" s="128" t="s">
        <v>134</v>
      </c>
      <c r="F6880" s="128">
        <v>582101.28</v>
      </c>
      <c r="G6880" s="128">
        <v>251505.88</v>
      </c>
      <c r="H6880" s="128">
        <v>89901.51</v>
      </c>
      <c r="I6880" s="128">
        <v>1584</v>
      </c>
    </row>
    <row r="6881" spans="1:9" ht="13.5">
      <c r="A6881" s="128">
        <v>2011</v>
      </c>
      <c r="B6881" s="128" t="s">
        <v>131</v>
      </c>
      <c r="C6881" s="128" t="s">
        <v>25</v>
      </c>
      <c r="D6881" s="128" t="s">
        <v>79</v>
      </c>
      <c r="E6881" s="128" t="s">
        <v>135</v>
      </c>
      <c r="F6881" s="128">
        <v>2280313.92</v>
      </c>
      <c r="G6881" s="128">
        <v>553918.54</v>
      </c>
      <c r="H6881" s="128">
        <v>187641.45</v>
      </c>
      <c r="I6881" s="128">
        <v>3883</v>
      </c>
    </row>
    <row r="6882" spans="1:9" ht="13.5">
      <c r="A6882" s="128">
        <v>2011</v>
      </c>
      <c r="B6882" s="128" t="s">
        <v>131</v>
      </c>
      <c r="C6882" s="128" t="s">
        <v>25</v>
      </c>
      <c r="D6882" s="128" t="s">
        <v>77</v>
      </c>
      <c r="E6882" s="128" t="s">
        <v>132</v>
      </c>
      <c r="F6882" s="128">
        <v>185632.26</v>
      </c>
      <c r="G6882" s="128">
        <v>118788.31</v>
      </c>
      <c r="H6882" s="128">
        <v>51250.21</v>
      </c>
      <c r="I6882" s="128">
        <v>802</v>
      </c>
    </row>
    <row r="6883" spans="1:9" ht="13.5">
      <c r="A6883" s="128">
        <v>2011</v>
      </c>
      <c r="B6883" s="128" t="s">
        <v>131</v>
      </c>
      <c r="C6883" s="128" t="s">
        <v>25</v>
      </c>
      <c r="D6883" s="128" t="s">
        <v>77</v>
      </c>
      <c r="E6883" s="128" t="s">
        <v>133</v>
      </c>
      <c r="F6883" s="128">
        <v>384900.48</v>
      </c>
      <c r="G6883" s="128">
        <v>209298.3</v>
      </c>
      <c r="H6883" s="128">
        <v>153843.29999999999</v>
      </c>
      <c r="I6883" s="128">
        <v>1420</v>
      </c>
    </row>
    <row r="6884" spans="1:9" ht="13.5">
      <c r="A6884" s="128">
        <v>2011</v>
      </c>
      <c r="B6884" s="128" t="s">
        <v>131</v>
      </c>
      <c r="C6884" s="128" t="s">
        <v>25</v>
      </c>
      <c r="D6884" s="128" t="s">
        <v>77</v>
      </c>
      <c r="E6884" s="128" t="s">
        <v>134</v>
      </c>
      <c r="F6884" s="128">
        <v>794474.13</v>
      </c>
      <c r="G6884" s="128">
        <v>341037</v>
      </c>
      <c r="H6884" s="128">
        <v>335985.83</v>
      </c>
      <c r="I6884" s="128">
        <v>1874</v>
      </c>
    </row>
    <row r="6885" spans="1:9" ht="13.5">
      <c r="A6885" s="128">
        <v>2011</v>
      </c>
      <c r="B6885" s="128" t="s">
        <v>131</v>
      </c>
      <c r="C6885" s="128" t="s">
        <v>25</v>
      </c>
      <c r="D6885" s="128" t="s">
        <v>77</v>
      </c>
      <c r="E6885" s="128" t="s">
        <v>135</v>
      </c>
      <c r="F6885" s="128">
        <v>1236818.01</v>
      </c>
      <c r="G6885" s="128">
        <v>376969.54</v>
      </c>
      <c r="H6885" s="128">
        <v>422190.3</v>
      </c>
      <c r="I6885" s="128">
        <v>4397</v>
      </c>
    </row>
    <row r="6886" spans="1:9" ht="13.5">
      <c r="A6886" s="128">
        <v>2011</v>
      </c>
      <c r="B6886" s="128" t="s">
        <v>131</v>
      </c>
      <c r="C6886" s="128" t="s">
        <v>25</v>
      </c>
      <c r="D6886" s="128" t="s">
        <v>76</v>
      </c>
      <c r="E6886" s="128" t="s">
        <v>136</v>
      </c>
      <c r="F6886" s="128">
        <v>1008747.57</v>
      </c>
      <c r="G6886" s="128">
        <v>757575.21</v>
      </c>
      <c r="H6886" s="128">
        <v>251172.68</v>
      </c>
      <c r="I6886" s="128">
        <v>11310</v>
      </c>
    </row>
    <row r="6887" spans="1:9" ht="13.5">
      <c r="A6887" s="128">
        <v>2011</v>
      </c>
      <c r="B6887" s="128" t="s">
        <v>131</v>
      </c>
      <c r="C6887" s="128" t="s">
        <v>25</v>
      </c>
      <c r="D6887" s="128" t="s">
        <v>76</v>
      </c>
      <c r="E6887" s="128" t="s">
        <v>132</v>
      </c>
      <c r="F6887" s="128">
        <v>2810132.35</v>
      </c>
      <c r="G6887" s="128">
        <v>1788178.7</v>
      </c>
      <c r="H6887" s="128">
        <v>1021924.96</v>
      </c>
      <c r="I6887" s="128">
        <v>21466</v>
      </c>
    </row>
    <row r="6888" spans="1:9" ht="13.5">
      <c r="A6888" s="128">
        <v>2011</v>
      </c>
      <c r="B6888" s="128" t="s">
        <v>131</v>
      </c>
      <c r="C6888" s="128" t="s">
        <v>25</v>
      </c>
      <c r="D6888" s="128" t="s">
        <v>76</v>
      </c>
      <c r="E6888" s="128" t="s">
        <v>133</v>
      </c>
      <c r="F6888" s="128">
        <v>6879834.9400000004</v>
      </c>
      <c r="G6888" s="128">
        <v>3765095.59</v>
      </c>
      <c r="H6888" s="128">
        <v>3114736.8</v>
      </c>
      <c r="I6888" s="128">
        <v>40062</v>
      </c>
    </row>
    <row r="6889" spans="1:9" ht="13.5">
      <c r="A6889" s="128">
        <v>2011</v>
      </c>
      <c r="B6889" s="128" t="s">
        <v>131</v>
      </c>
      <c r="C6889" s="128" t="s">
        <v>25</v>
      </c>
      <c r="D6889" s="128" t="s">
        <v>76</v>
      </c>
      <c r="E6889" s="128" t="s">
        <v>134</v>
      </c>
      <c r="F6889" s="128">
        <v>5941358.8899999997</v>
      </c>
      <c r="G6889" s="128">
        <v>2717756.74</v>
      </c>
      <c r="H6889" s="128">
        <v>3223590.08</v>
      </c>
      <c r="I6889" s="128">
        <v>33902</v>
      </c>
    </row>
    <row r="6890" spans="1:9" ht="13.5">
      <c r="A6890" s="128">
        <v>2011</v>
      </c>
      <c r="B6890" s="128" t="s">
        <v>131</v>
      </c>
      <c r="C6890" s="128" t="s">
        <v>25</v>
      </c>
      <c r="D6890" s="128" t="s">
        <v>76</v>
      </c>
      <c r="E6890" s="128" t="s">
        <v>135</v>
      </c>
      <c r="F6890" s="128">
        <v>507448.3</v>
      </c>
      <c r="G6890" s="128">
        <v>143818.79999999999</v>
      </c>
      <c r="H6890" s="128">
        <v>363629</v>
      </c>
      <c r="I6890" s="128">
        <v>470</v>
      </c>
    </row>
    <row r="6891" spans="1:9" ht="13.5">
      <c r="A6891" s="128">
        <v>2011</v>
      </c>
      <c r="B6891" s="128" t="s">
        <v>131</v>
      </c>
      <c r="C6891" s="128" t="s">
        <v>26</v>
      </c>
      <c r="D6891" s="128" t="s">
        <v>79</v>
      </c>
      <c r="E6891" s="128" t="s">
        <v>136</v>
      </c>
      <c r="F6891" s="128">
        <v>886476.13</v>
      </c>
      <c r="G6891" s="128">
        <v>667215.80000000005</v>
      </c>
      <c r="H6891" s="128">
        <v>217479.37</v>
      </c>
      <c r="I6891" s="128">
        <v>9842</v>
      </c>
    </row>
    <row r="6892" spans="1:9" ht="13.5">
      <c r="A6892" s="128">
        <v>2011</v>
      </c>
      <c r="B6892" s="128" t="s">
        <v>131</v>
      </c>
      <c r="C6892" s="128" t="s">
        <v>26</v>
      </c>
      <c r="D6892" s="128" t="s">
        <v>79</v>
      </c>
      <c r="E6892" s="128" t="s">
        <v>132</v>
      </c>
      <c r="F6892" s="128">
        <v>127761.51</v>
      </c>
      <c r="G6892" s="128">
        <v>83213.240000000005</v>
      </c>
      <c r="H6892" s="128">
        <v>27052.65</v>
      </c>
      <c r="I6892" s="128">
        <v>563</v>
      </c>
    </row>
    <row r="6893" spans="1:9" ht="13.5">
      <c r="A6893" s="128">
        <v>2011</v>
      </c>
      <c r="B6893" s="128" t="s">
        <v>131</v>
      </c>
      <c r="C6893" s="128" t="s">
        <v>26</v>
      </c>
      <c r="D6893" s="128" t="s">
        <v>79</v>
      </c>
      <c r="E6893" s="128" t="s">
        <v>133</v>
      </c>
      <c r="F6893" s="128">
        <v>128557.75</v>
      </c>
      <c r="G6893" s="128">
        <v>70046.66</v>
      </c>
      <c r="H6893" s="128">
        <v>23358.7</v>
      </c>
      <c r="I6893" s="128">
        <v>595</v>
      </c>
    </row>
    <row r="6894" spans="1:9" ht="13.5">
      <c r="A6894" s="128">
        <v>2011</v>
      </c>
      <c r="B6894" s="128" t="s">
        <v>131</v>
      </c>
      <c r="C6894" s="128" t="s">
        <v>26</v>
      </c>
      <c r="D6894" s="128" t="s">
        <v>79</v>
      </c>
      <c r="E6894" s="128" t="s">
        <v>134</v>
      </c>
      <c r="F6894" s="128">
        <v>892132.81</v>
      </c>
      <c r="G6894" s="128">
        <v>371426.31</v>
      </c>
      <c r="H6894" s="128">
        <v>124115.68</v>
      </c>
      <c r="I6894" s="128">
        <v>2678</v>
      </c>
    </row>
    <row r="6895" spans="1:9" ht="13.5">
      <c r="A6895" s="128">
        <v>2011</v>
      </c>
      <c r="B6895" s="128" t="s">
        <v>131</v>
      </c>
      <c r="C6895" s="128" t="s">
        <v>26</v>
      </c>
      <c r="D6895" s="128" t="s">
        <v>79</v>
      </c>
      <c r="E6895" s="128" t="s">
        <v>135</v>
      </c>
      <c r="F6895" s="128">
        <v>7645753.7400000002</v>
      </c>
      <c r="G6895" s="128">
        <v>1943342.45</v>
      </c>
      <c r="H6895" s="128">
        <v>647838.52</v>
      </c>
      <c r="I6895" s="128">
        <v>12176</v>
      </c>
    </row>
    <row r="6896" spans="1:9" ht="13.5">
      <c r="A6896" s="128">
        <v>2011</v>
      </c>
      <c r="B6896" s="128" t="s">
        <v>131</v>
      </c>
      <c r="C6896" s="128" t="s">
        <v>26</v>
      </c>
      <c r="D6896" s="128" t="s">
        <v>77</v>
      </c>
      <c r="E6896" s="128" t="s">
        <v>132</v>
      </c>
      <c r="F6896" s="128">
        <v>66585.100000000006</v>
      </c>
      <c r="G6896" s="128">
        <v>41166.9</v>
      </c>
      <c r="H6896" s="128">
        <v>22165.18</v>
      </c>
      <c r="I6896" s="128">
        <v>212</v>
      </c>
    </row>
    <row r="6897" spans="1:9" ht="13.5">
      <c r="A6897" s="128">
        <v>2011</v>
      </c>
      <c r="B6897" s="128" t="s">
        <v>131</v>
      </c>
      <c r="C6897" s="128" t="s">
        <v>26</v>
      </c>
      <c r="D6897" s="128" t="s">
        <v>77</v>
      </c>
      <c r="E6897" s="128" t="s">
        <v>133</v>
      </c>
      <c r="F6897" s="128">
        <v>138631.18</v>
      </c>
      <c r="G6897" s="128">
        <v>75071.899999999994</v>
      </c>
      <c r="H6897" s="128">
        <v>54470.21</v>
      </c>
      <c r="I6897" s="128">
        <v>395</v>
      </c>
    </row>
    <row r="6898" spans="1:9" ht="13.5">
      <c r="A6898" s="128">
        <v>2011</v>
      </c>
      <c r="B6898" s="128" t="s">
        <v>131</v>
      </c>
      <c r="C6898" s="128" t="s">
        <v>26</v>
      </c>
      <c r="D6898" s="128" t="s">
        <v>77</v>
      </c>
      <c r="E6898" s="128" t="s">
        <v>134</v>
      </c>
      <c r="F6898" s="128">
        <v>173352.3</v>
      </c>
      <c r="G6898" s="128">
        <v>73914.55</v>
      </c>
      <c r="H6898" s="128">
        <v>68112.42</v>
      </c>
      <c r="I6898" s="128">
        <v>433</v>
      </c>
    </row>
    <row r="6899" spans="1:9" ht="13.5">
      <c r="A6899" s="128">
        <v>2011</v>
      </c>
      <c r="B6899" s="128" t="s">
        <v>131</v>
      </c>
      <c r="C6899" s="128" t="s">
        <v>26</v>
      </c>
      <c r="D6899" s="128" t="s">
        <v>77</v>
      </c>
      <c r="E6899" s="128" t="s">
        <v>135</v>
      </c>
      <c r="F6899" s="128">
        <v>436272.14</v>
      </c>
      <c r="G6899" s="128">
        <v>106616.35</v>
      </c>
      <c r="H6899" s="128">
        <v>112577.35</v>
      </c>
      <c r="I6899" s="128">
        <v>1055</v>
      </c>
    </row>
    <row r="6900" spans="1:9" ht="13.5">
      <c r="A6900" s="128">
        <v>2011</v>
      </c>
      <c r="B6900" s="128" t="s">
        <v>131</v>
      </c>
      <c r="C6900" s="128" t="s">
        <v>26</v>
      </c>
      <c r="D6900" s="128" t="s">
        <v>76</v>
      </c>
      <c r="E6900" s="128" t="s">
        <v>136</v>
      </c>
      <c r="F6900" s="128">
        <v>411044.14</v>
      </c>
      <c r="G6900" s="128">
        <v>308902.55</v>
      </c>
      <c r="H6900" s="128">
        <v>102141.57</v>
      </c>
      <c r="I6900" s="128">
        <v>13687</v>
      </c>
    </row>
    <row r="6901" spans="1:9" ht="13.5">
      <c r="A6901" s="128">
        <v>2011</v>
      </c>
      <c r="B6901" s="128" t="s">
        <v>131</v>
      </c>
      <c r="C6901" s="128" t="s">
        <v>26</v>
      </c>
      <c r="D6901" s="128" t="s">
        <v>76</v>
      </c>
      <c r="E6901" s="128" t="s">
        <v>132</v>
      </c>
      <c r="F6901" s="128">
        <v>1002135.05</v>
      </c>
      <c r="G6901" s="128">
        <v>648973.27</v>
      </c>
      <c r="H6901" s="128">
        <v>353084.04</v>
      </c>
      <c r="I6901" s="128">
        <v>12063</v>
      </c>
    </row>
    <row r="6902" spans="1:9" ht="13.5">
      <c r="A6902" s="128">
        <v>2011</v>
      </c>
      <c r="B6902" s="128" t="s">
        <v>131</v>
      </c>
      <c r="C6902" s="128" t="s">
        <v>26</v>
      </c>
      <c r="D6902" s="128" t="s">
        <v>76</v>
      </c>
      <c r="E6902" s="128" t="s">
        <v>133</v>
      </c>
      <c r="F6902" s="128">
        <v>2471449.2799999998</v>
      </c>
      <c r="G6902" s="128">
        <v>1360400.81</v>
      </c>
      <c r="H6902" s="128">
        <v>1111038.73</v>
      </c>
      <c r="I6902" s="128">
        <v>15114</v>
      </c>
    </row>
    <row r="6903" spans="1:9" ht="13.5">
      <c r="A6903" s="128">
        <v>2011</v>
      </c>
      <c r="B6903" s="128" t="s">
        <v>131</v>
      </c>
      <c r="C6903" s="128" t="s">
        <v>26</v>
      </c>
      <c r="D6903" s="128" t="s">
        <v>76</v>
      </c>
      <c r="E6903" s="128" t="s">
        <v>134</v>
      </c>
      <c r="F6903" s="128">
        <v>1974976.7</v>
      </c>
      <c r="G6903" s="128">
        <v>903254.17</v>
      </c>
      <c r="H6903" s="128">
        <v>1071714.93</v>
      </c>
      <c r="I6903" s="128">
        <v>13237</v>
      </c>
    </row>
    <row r="6904" spans="1:9" ht="13.5">
      <c r="A6904" s="128">
        <v>2011</v>
      </c>
      <c r="B6904" s="128" t="s">
        <v>131</v>
      </c>
      <c r="C6904" s="128" t="s">
        <v>26</v>
      </c>
      <c r="D6904" s="128" t="s">
        <v>76</v>
      </c>
      <c r="E6904" s="128" t="s">
        <v>135</v>
      </c>
      <c r="F6904" s="128">
        <v>362870.52</v>
      </c>
      <c r="G6904" s="128">
        <v>112618.8</v>
      </c>
      <c r="H6904" s="128">
        <v>250251.72</v>
      </c>
      <c r="I6904" s="128">
        <v>978</v>
      </c>
    </row>
    <row r="6905" spans="1:9" ht="13.5">
      <c r="A6905" s="128">
        <v>2011</v>
      </c>
      <c r="B6905" s="128" t="s">
        <v>131</v>
      </c>
      <c r="C6905" s="128" t="s">
        <v>27</v>
      </c>
      <c r="D6905" s="128" t="s">
        <v>79</v>
      </c>
      <c r="E6905" s="128" t="s">
        <v>136</v>
      </c>
      <c r="F6905" s="128">
        <v>356087.6</v>
      </c>
      <c r="G6905" s="128">
        <v>267382.42</v>
      </c>
      <c r="H6905" s="128">
        <v>88605.18</v>
      </c>
      <c r="I6905" s="128">
        <v>1626</v>
      </c>
    </row>
    <row r="6906" spans="1:9" ht="13.5">
      <c r="A6906" s="128">
        <v>2011</v>
      </c>
      <c r="B6906" s="128" t="s">
        <v>131</v>
      </c>
      <c r="C6906" s="128" t="s">
        <v>27</v>
      </c>
      <c r="D6906" s="128" t="s">
        <v>79</v>
      </c>
      <c r="E6906" s="128" t="s">
        <v>132</v>
      </c>
      <c r="F6906" s="128">
        <v>30602.959999999999</v>
      </c>
      <c r="G6906" s="128">
        <v>20399</v>
      </c>
      <c r="H6906" s="128">
        <v>6961.71</v>
      </c>
      <c r="I6906" s="128">
        <v>154</v>
      </c>
    </row>
    <row r="6907" spans="1:9" ht="13.5">
      <c r="A6907" s="128">
        <v>2011</v>
      </c>
      <c r="B6907" s="128" t="s">
        <v>131</v>
      </c>
      <c r="C6907" s="128" t="s">
        <v>27</v>
      </c>
      <c r="D6907" s="128" t="s">
        <v>79</v>
      </c>
      <c r="E6907" s="128" t="s">
        <v>133</v>
      </c>
      <c r="F6907" s="128">
        <v>63600.82</v>
      </c>
      <c r="G6907" s="128">
        <v>34143.83</v>
      </c>
      <c r="H6907" s="128">
        <v>11476.59</v>
      </c>
      <c r="I6907" s="128">
        <v>225</v>
      </c>
    </row>
    <row r="6908" spans="1:9" ht="13.5">
      <c r="A6908" s="128">
        <v>2011</v>
      </c>
      <c r="B6908" s="128" t="s">
        <v>131</v>
      </c>
      <c r="C6908" s="128" t="s">
        <v>27</v>
      </c>
      <c r="D6908" s="128" t="s">
        <v>79</v>
      </c>
      <c r="E6908" s="128" t="s">
        <v>134</v>
      </c>
      <c r="F6908" s="128">
        <v>159352.09</v>
      </c>
      <c r="G6908" s="128">
        <v>68956.86</v>
      </c>
      <c r="H6908" s="128">
        <v>23289.96</v>
      </c>
      <c r="I6908" s="128">
        <v>509</v>
      </c>
    </row>
    <row r="6909" spans="1:9" ht="13.5">
      <c r="A6909" s="128">
        <v>2011</v>
      </c>
      <c r="B6909" s="128" t="s">
        <v>131</v>
      </c>
      <c r="C6909" s="128" t="s">
        <v>27</v>
      </c>
      <c r="D6909" s="128" t="s">
        <v>79</v>
      </c>
      <c r="E6909" s="128" t="s">
        <v>135</v>
      </c>
      <c r="F6909" s="128">
        <v>1115863.4099999999</v>
      </c>
      <c r="G6909" s="128">
        <v>300106.96000000002</v>
      </c>
      <c r="H6909" s="128">
        <v>100007.11</v>
      </c>
      <c r="I6909" s="128">
        <v>2072</v>
      </c>
    </row>
    <row r="6910" spans="1:9" ht="13.5">
      <c r="A6910" s="128">
        <v>2011</v>
      </c>
      <c r="B6910" s="128" t="s">
        <v>131</v>
      </c>
      <c r="C6910" s="128" t="s">
        <v>27</v>
      </c>
      <c r="D6910" s="128" t="s">
        <v>77</v>
      </c>
      <c r="E6910" s="128" t="s">
        <v>132</v>
      </c>
      <c r="F6910" s="128">
        <v>23937.64</v>
      </c>
      <c r="G6910" s="128">
        <v>16452.05</v>
      </c>
      <c r="H6910" s="128">
        <v>6324.75</v>
      </c>
      <c r="I6910" s="128">
        <v>98</v>
      </c>
    </row>
    <row r="6911" spans="1:9" ht="13.5">
      <c r="A6911" s="128">
        <v>2011</v>
      </c>
      <c r="B6911" s="128" t="s">
        <v>131</v>
      </c>
      <c r="C6911" s="128" t="s">
        <v>27</v>
      </c>
      <c r="D6911" s="128" t="s">
        <v>77</v>
      </c>
      <c r="E6911" s="128" t="s">
        <v>133</v>
      </c>
      <c r="F6911" s="128">
        <v>59156.1</v>
      </c>
      <c r="G6911" s="128">
        <v>32051.53</v>
      </c>
      <c r="H6911" s="128">
        <v>22221.68</v>
      </c>
      <c r="I6911" s="128">
        <v>205</v>
      </c>
    </row>
    <row r="6912" spans="1:9" ht="13.5">
      <c r="A6912" s="128">
        <v>2011</v>
      </c>
      <c r="B6912" s="128" t="s">
        <v>131</v>
      </c>
      <c r="C6912" s="128" t="s">
        <v>27</v>
      </c>
      <c r="D6912" s="128" t="s">
        <v>77</v>
      </c>
      <c r="E6912" s="128" t="s">
        <v>134</v>
      </c>
      <c r="F6912" s="128">
        <v>160929.78</v>
      </c>
      <c r="G6912" s="128">
        <v>73608.05</v>
      </c>
      <c r="H6912" s="128">
        <v>67782.28</v>
      </c>
      <c r="I6912" s="128">
        <v>369</v>
      </c>
    </row>
    <row r="6913" spans="1:9" ht="13.5">
      <c r="A6913" s="128">
        <v>2011</v>
      </c>
      <c r="B6913" s="128" t="s">
        <v>131</v>
      </c>
      <c r="C6913" s="128" t="s">
        <v>27</v>
      </c>
      <c r="D6913" s="128" t="s">
        <v>77</v>
      </c>
      <c r="E6913" s="128" t="s">
        <v>135</v>
      </c>
      <c r="F6913" s="128">
        <v>266310.75</v>
      </c>
      <c r="G6913" s="128">
        <v>66203.3</v>
      </c>
      <c r="H6913" s="128">
        <v>72322.47</v>
      </c>
      <c r="I6913" s="128">
        <v>765</v>
      </c>
    </row>
    <row r="6914" spans="1:9" ht="13.5">
      <c r="A6914" s="128">
        <v>2011</v>
      </c>
      <c r="B6914" s="128" t="s">
        <v>131</v>
      </c>
      <c r="C6914" s="128" t="s">
        <v>27</v>
      </c>
      <c r="D6914" s="128" t="s">
        <v>76</v>
      </c>
      <c r="E6914" s="128" t="s">
        <v>136</v>
      </c>
      <c r="F6914" s="128">
        <v>119913.62</v>
      </c>
      <c r="G6914" s="128">
        <v>90068.05</v>
      </c>
      <c r="H6914" s="128">
        <v>29845.57</v>
      </c>
      <c r="I6914" s="128">
        <v>1078</v>
      </c>
    </row>
    <row r="6915" spans="1:9" ht="13.5">
      <c r="A6915" s="128">
        <v>2011</v>
      </c>
      <c r="B6915" s="128" t="s">
        <v>131</v>
      </c>
      <c r="C6915" s="128" t="s">
        <v>27</v>
      </c>
      <c r="D6915" s="128" t="s">
        <v>76</v>
      </c>
      <c r="E6915" s="128" t="s">
        <v>132</v>
      </c>
      <c r="F6915" s="128">
        <v>384235.11</v>
      </c>
      <c r="G6915" s="128">
        <v>244473.55</v>
      </c>
      <c r="H6915" s="128">
        <v>139756.93</v>
      </c>
      <c r="I6915" s="128">
        <v>5385</v>
      </c>
    </row>
    <row r="6916" spans="1:9" ht="13.5">
      <c r="A6916" s="128">
        <v>2011</v>
      </c>
      <c r="B6916" s="128" t="s">
        <v>131</v>
      </c>
      <c r="C6916" s="128" t="s">
        <v>27</v>
      </c>
      <c r="D6916" s="128" t="s">
        <v>76</v>
      </c>
      <c r="E6916" s="128" t="s">
        <v>133</v>
      </c>
      <c r="F6916" s="128">
        <v>1079996.8400000001</v>
      </c>
      <c r="G6916" s="128">
        <v>586703.75</v>
      </c>
      <c r="H6916" s="128">
        <v>493292.41</v>
      </c>
      <c r="I6916" s="128">
        <v>5428</v>
      </c>
    </row>
    <row r="6917" spans="1:9" ht="13.5">
      <c r="A6917" s="128">
        <v>2011</v>
      </c>
      <c r="B6917" s="128" t="s">
        <v>131</v>
      </c>
      <c r="C6917" s="128" t="s">
        <v>27</v>
      </c>
      <c r="D6917" s="128" t="s">
        <v>76</v>
      </c>
      <c r="E6917" s="128" t="s">
        <v>134</v>
      </c>
      <c r="F6917" s="128">
        <v>1046235.04</v>
      </c>
      <c r="G6917" s="128">
        <v>479060.8</v>
      </c>
      <c r="H6917" s="128">
        <v>567172.30000000005</v>
      </c>
      <c r="I6917" s="128">
        <v>5468</v>
      </c>
    </row>
    <row r="6918" spans="1:9" ht="13.5">
      <c r="A6918" s="128">
        <v>2011</v>
      </c>
      <c r="B6918" s="128" t="s">
        <v>131</v>
      </c>
      <c r="C6918" s="128" t="s">
        <v>27</v>
      </c>
      <c r="D6918" s="128" t="s">
        <v>76</v>
      </c>
      <c r="E6918" s="128" t="s">
        <v>135</v>
      </c>
      <c r="F6918" s="128">
        <v>51534.400000000001</v>
      </c>
      <c r="G6918" s="128">
        <v>15847.55</v>
      </c>
      <c r="H6918" s="128">
        <v>35686.85</v>
      </c>
      <c r="I6918" s="128">
        <v>83</v>
      </c>
    </row>
    <row r="6919" spans="1:9" ht="13.5">
      <c r="A6919" s="128">
        <v>2011</v>
      </c>
      <c r="B6919" s="128" t="s">
        <v>138</v>
      </c>
      <c r="C6919" s="128" t="s">
        <v>20</v>
      </c>
      <c r="D6919" s="128" t="s">
        <v>79</v>
      </c>
      <c r="E6919" s="128" t="s">
        <v>136</v>
      </c>
      <c r="F6919" s="128">
        <v>32029758.27</v>
      </c>
      <c r="G6919" s="128">
        <v>24063124.579999998</v>
      </c>
      <c r="H6919" s="128">
        <v>7958239.7599999998</v>
      </c>
      <c r="I6919" s="128">
        <v>476941</v>
      </c>
    </row>
    <row r="6920" spans="1:9" ht="13.5">
      <c r="A6920" s="128">
        <v>2011</v>
      </c>
      <c r="B6920" s="128" t="s">
        <v>138</v>
      </c>
      <c r="C6920" s="128" t="s">
        <v>20</v>
      </c>
      <c r="D6920" s="128" t="s">
        <v>79</v>
      </c>
      <c r="E6920" s="128" t="s">
        <v>132</v>
      </c>
      <c r="F6920" s="128">
        <v>2333160.87</v>
      </c>
      <c r="G6920" s="128">
        <v>1559484.94</v>
      </c>
      <c r="H6920" s="128">
        <v>520946.21</v>
      </c>
      <c r="I6920" s="128">
        <v>12400</v>
      </c>
    </row>
    <row r="6921" spans="1:9" ht="13.5">
      <c r="A6921" s="128">
        <v>2011</v>
      </c>
      <c r="B6921" s="128" t="s">
        <v>138</v>
      </c>
      <c r="C6921" s="128" t="s">
        <v>20</v>
      </c>
      <c r="D6921" s="128" t="s">
        <v>79</v>
      </c>
      <c r="E6921" s="128" t="s">
        <v>133</v>
      </c>
      <c r="F6921" s="128">
        <v>2985961.75</v>
      </c>
      <c r="G6921" s="128">
        <v>1595927.31</v>
      </c>
      <c r="H6921" s="128">
        <v>537289.66</v>
      </c>
      <c r="I6921" s="128">
        <v>14123</v>
      </c>
    </row>
    <row r="6922" spans="1:9" ht="13.5">
      <c r="A6922" s="128">
        <v>2011</v>
      </c>
      <c r="B6922" s="128" t="s">
        <v>138</v>
      </c>
      <c r="C6922" s="128" t="s">
        <v>20</v>
      </c>
      <c r="D6922" s="128" t="s">
        <v>79</v>
      </c>
      <c r="E6922" s="128" t="s">
        <v>134</v>
      </c>
      <c r="F6922" s="128">
        <v>14574726.49</v>
      </c>
      <c r="G6922" s="128">
        <v>6167193.1100000003</v>
      </c>
      <c r="H6922" s="128">
        <v>2055123.91</v>
      </c>
      <c r="I6922" s="128">
        <v>70895</v>
      </c>
    </row>
    <row r="6923" spans="1:9" ht="13.5">
      <c r="A6923" s="128">
        <v>2011</v>
      </c>
      <c r="B6923" s="128" t="s">
        <v>138</v>
      </c>
      <c r="C6923" s="128" t="s">
        <v>20</v>
      </c>
      <c r="D6923" s="128" t="s">
        <v>79</v>
      </c>
      <c r="E6923" s="128" t="s">
        <v>135</v>
      </c>
      <c r="F6923" s="128">
        <v>90283518.200000003</v>
      </c>
      <c r="G6923" s="128">
        <v>22785086.140000001</v>
      </c>
      <c r="H6923" s="128">
        <v>7608272.6799999997</v>
      </c>
      <c r="I6923" s="128">
        <v>151865</v>
      </c>
    </row>
    <row r="6924" spans="1:9" ht="13.5">
      <c r="A6924" s="128">
        <v>2011</v>
      </c>
      <c r="B6924" s="128" t="s">
        <v>138</v>
      </c>
      <c r="C6924" s="128" t="s">
        <v>20</v>
      </c>
      <c r="D6924" s="128" t="s">
        <v>77</v>
      </c>
      <c r="E6924" s="128" t="s">
        <v>132</v>
      </c>
      <c r="F6924" s="128">
        <v>1051828.8500000001</v>
      </c>
      <c r="G6924" s="128">
        <v>678347.94</v>
      </c>
      <c r="H6924" s="128">
        <v>296078.59999999998</v>
      </c>
      <c r="I6924" s="128">
        <v>6153</v>
      </c>
    </row>
    <row r="6925" spans="1:9" ht="13.5">
      <c r="A6925" s="128">
        <v>2011</v>
      </c>
      <c r="B6925" s="128" t="s">
        <v>138</v>
      </c>
      <c r="C6925" s="128" t="s">
        <v>20</v>
      </c>
      <c r="D6925" s="128" t="s">
        <v>77</v>
      </c>
      <c r="E6925" s="128" t="s">
        <v>133</v>
      </c>
      <c r="F6925" s="128">
        <v>2156402.9</v>
      </c>
      <c r="G6925" s="128">
        <v>1166858.26</v>
      </c>
      <c r="H6925" s="128">
        <v>718349.81</v>
      </c>
      <c r="I6925" s="128">
        <v>7591</v>
      </c>
    </row>
    <row r="6926" spans="1:9" ht="13.5">
      <c r="A6926" s="128">
        <v>2011</v>
      </c>
      <c r="B6926" s="128" t="s">
        <v>138</v>
      </c>
      <c r="C6926" s="128" t="s">
        <v>20</v>
      </c>
      <c r="D6926" s="128" t="s">
        <v>77</v>
      </c>
      <c r="E6926" s="128" t="s">
        <v>134</v>
      </c>
      <c r="F6926" s="128">
        <v>3625856.14</v>
      </c>
      <c r="G6926" s="128">
        <v>1563107.85</v>
      </c>
      <c r="H6926" s="128">
        <v>1377845.66</v>
      </c>
      <c r="I6926" s="128">
        <v>11608</v>
      </c>
    </row>
    <row r="6927" spans="1:9" ht="13.5">
      <c r="A6927" s="128">
        <v>2011</v>
      </c>
      <c r="B6927" s="128" t="s">
        <v>138</v>
      </c>
      <c r="C6927" s="128" t="s">
        <v>20</v>
      </c>
      <c r="D6927" s="128" t="s">
        <v>77</v>
      </c>
      <c r="E6927" s="128" t="s">
        <v>135</v>
      </c>
      <c r="F6927" s="128">
        <v>6775737.21</v>
      </c>
      <c r="G6927" s="128">
        <v>1725370.13</v>
      </c>
      <c r="H6927" s="128">
        <v>1680393.95</v>
      </c>
      <c r="I6927" s="128">
        <v>17009</v>
      </c>
    </row>
    <row r="6928" spans="1:9" ht="13.5">
      <c r="A6928" s="128">
        <v>2011</v>
      </c>
      <c r="B6928" s="128" t="s">
        <v>138</v>
      </c>
      <c r="C6928" s="128" t="s">
        <v>20</v>
      </c>
      <c r="D6928" s="128" t="s">
        <v>76</v>
      </c>
      <c r="E6928" s="128" t="s">
        <v>136</v>
      </c>
      <c r="F6928" s="128">
        <v>10966379.76</v>
      </c>
      <c r="G6928" s="128">
        <v>8239152.6100000003</v>
      </c>
      <c r="H6928" s="128">
        <v>2727558.1</v>
      </c>
      <c r="I6928" s="128">
        <v>319340</v>
      </c>
    </row>
    <row r="6929" spans="1:9" ht="13.5">
      <c r="A6929" s="128">
        <v>2011</v>
      </c>
      <c r="B6929" s="128" t="s">
        <v>138</v>
      </c>
      <c r="C6929" s="128" t="s">
        <v>20</v>
      </c>
      <c r="D6929" s="128" t="s">
        <v>76</v>
      </c>
      <c r="E6929" s="128" t="s">
        <v>132</v>
      </c>
      <c r="F6929" s="128">
        <v>33193126.57</v>
      </c>
      <c r="G6929" s="128">
        <v>21340765.789999999</v>
      </c>
      <c r="H6929" s="128">
        <v>11852147.67</v>
      </c>
      <c r="I6929" s="128">
        <v>343393</v>
      </c>
    </row>
    <row r="6930" spans="1:9" ht="13.5">
      <c r="A6930" s="128">
        <v>2011</v>
      </c>
      <c r="B6930" s="128" t="s">
        <v>138</v>
      </c>
      <c r="C6930" s="128" t="s">
        <v>20</v>
      </c>
      <c r="D6930" s="128" t="s">
        <v>76</v>
      </c>
      <c r="E6930" s="128" t="s">
        <v>133</v>
      </c>
      <c r="F6930" s="128">
        <v>74444384.670000002</v>
      </c>
      <c r="G6930" s="128">
        <v>40998718.659999996</v>
      </c>
      <c r="H6930" s="128">
        <v>33445498.760000002</v>
      </c>
      <c r="I6930" s="128">
        <v>412495</v>
      </c>
    </row>
    <row r="6931" spans="1:9" ht="13.5">
      <c r="A6931" s="128">
        <v>2011</v>
      </c>
      <c r="B6931" s="128" t="s">
        <v>138</v>
      </c>
      <c r="C6931" s="128" t="s">
        <v>20</v>
      </c>
      <c r="D6931" s="128" t="s">
        <v>76</v>
      </c>
      <c r="E6931" s="128" t="s">
        <v>134</v>
      </c>
      <c r="F6931" s="128">
        <v>69888800.409999996</v>
      </c>
      <c r="G6931" s="128">
        <v>32048605.760000002</v>
      </c>
      <c r="H6931" s="128">
        <v>37840072.740000002</v>
      </c>
      <c r="I6931" s="128">
        <v>424548</v>
      </c>
    </row>
    <row r="6932" spans="1:9" ht="13.5">
      <c r="A6932" s="128">
        <v>2011</v>
      </c>
      <c r="B6932" s="128" t="s">
        <v>138</v>
      </c>
      <c r="C6932" s="128" t="s">
        <v>20</v>
      </c>
      <c r="D6932" s="128" t="s">
        <v>76</v>
      </c>
      <c r="E6932" s="128" t="s">
        <v>135</v>
      </c>
      <c r="F6932" s="128">
        <v>10121959.76</v>
      </c>
      <c r="G6932" s="128">
        <v>3168983.25</v>
      </c>
      <c r="H6932" s="128">
        <v>6952820.7800000003</v>
      </c>
      <c r="I6932" s="128">
        <v>38521</v>
      </c>
    </row>
    <row r="6933" spans="1:9" ht="13.5">
      <c r="A6933" s="128">
        <v>2011</v>
      </c>
      <c r="B6933" s="128" t="s">
        <v>138</v>
      </c>
      <c r="C6933" s="128" t="s">
        <v>21</v>
      </c>
      <c r="D6933" s="128" t="s">
        <v>79</v>
      </c>
      <c r="E6933" s="128" t="s">
        <v>136</v>
      </c>
      <c r="F6933" s="128">
        <v>11559172.26</v>
      </c>
      <c r="G6933" s="128">
        <v>8690191.7100000009</v>
      </c>
      <c r="H6933" s="128">
        <v>2868893.69</v>
      </c>
      <c r="I6933" s="128">
        <v>100661</v>
      </c>
    </row>
    <row r="6934" spans="1:9" ht="13.5">
      <c r="A6934" s="128">
        <v>2011</v>
      </c>
      <c r="B6934" s="128" t="s">
        <v>138</v>
      </c>
      <c r="C6934" s="128" t="s">
        <v>21</v>
      </c>
      <c r="D6934" s="128" t="s">
        <v>79</v>
      </c>
      <c r="E6934" s="128" t="s">
        <v>132</v>
      </c>
      <c r="F6934" s="128">
        <v>1567848.37</v>
      </c>
      <c r="G6934" s="128">
        <v>1034627</v>
      </c>
      <c r="H6934" s="128">
        <v>347870.53</v>
      </c>
      <c r="I6934" s="128">
        <v>9212</v>
      </c>
    </row>
    <row r="6935" spans="1:9" ht="13.5">
      <c r="A6935" s="128">
        <v>2011</v>
      </c>
      <c r="B6935" s="128" t="s">
        <v>138</v>
      </c>
      <c r="C6935" s="128" t="s">
        <v>21</v>
      </c>
      <c r="D6935" s="128" t="s">
        <v>79</v>
      </c>
      <c r="E6935" s="128" t="s">
        <v>133</v>
      </c>
      <c r="F6935" s="128">
        <v>1750354.88</v>
      </c>
      <c r="G6935" s="128">
        <v>954237.57</v>
      </c>
      <c r="H6935" s="128">
        <v>322560.08</v>
      </c>
      <c r="I6935" s="128">
        <v>13798</v>
      </c>
    </row>
    <row r="6936" spans="1:9" ht="13.5">
      <c r="A6936" s="128">
        <v>2011</v>
      </c>
      <c r="B6936" s="128" t="s">
        <v>138</v>
      </c>
      <c r="C6936" s="128" t="s">
        <v>21</v>
      </c>
      <c r="D6936" s="128" t="s">
        <v>79</v>
      </c>
      <c r="E6936" s="128" t="s">
        <v>134</v>
      </c>
      <c r="F6936" s="128">
        <v>4793611.67</v>
      </c>
      <c r="G6936" s="128">
        <v>2047231.34</v>
      </c>
      <c r="H6936" s="128">
        <v>687329.05</v>
      </c>
      <c r="I6936" s="128">
        <v>19931</v>
      </c>
    </row>
    <row r="6937" spans="1:9" ht="13.5">
      <c r="A6937" s="128">
        <v>2011</v>
      </c>
      <c r="B6937" s="128" t="s">
        <v>138</v>
      </c>
      <c r="C6937" s="128" t="s">
        <v>21</v>
      </c>
      <c r="D6937" s="128" t="s">
        <v>79</v>
      </c>
      <c r="E6937" s="128" t="s">
        <v>135</v>
      </c>
      <c r="F6937" s="128">
        <v>21864407.600000001</v>
      </c>
      <c r="G6937" s="128">
        <v>5731855.7400000002</v>
      </c>
      <c r="H6937" s="128">
        <v>1924363.64</v>
      </c>
      <c r="I6937" s="128">
        <v>46838</v>
      </c>
    </row>
    <row r="6938" spans="1:9" ht="13.5">
      <c r="A6938" s="128">
        <v>2011</v>
      </c>
      <c r="B6938" s="128" t="s">
        <v>138</v>
      </c>
      <c r="C6938" s="128" t="s">
        <v>21</v>
      </c>
      <c r="D6938" s="128" t="s">
        <v>77</v>
      </c>
      <c r="E6938" s="128" t="s">
        <v>132</v>
      </c>
      <c r="F6938" s="128">
        <v>1825839.42</v>
      </c>
      <c r="G6938" s="128">
        <v>1187565.76</v>
      </c>
      <c r="H6938" s="128">
        <v>512724.09</v>
      </c>
      <c r="I6938" s="128">
        <v>9600</v>
      </c>
    </row>
    <row r="6939" spans="1:9" ht="13.5">
      <c r="A6939" s="128">
        <v>2011</v>
      </c>
      <c r="B6939" s="128" t="s">
        <v>138</v>
      </c>
      <c r="C6939" s="128" t="s">
        <v>21</v>
      </c>
      <c r="D6939" s="128" t="s">
        <v>77</v>
      </c>
      <c r="E6939" s="128" t="s">
        <v>133</v>
      </c>
      <c r="F6939" s="128">
        <v>3464571.92</v>
      </c>
      <c r="G6939" s="128">
        <v>1899646.26</v>
      </c>
      <c r="H6939" s="128">
        <v>1208855.53</v>
      </c>
      <c r="I6939" s="128">
        <v>13268</v>
      </c>
    </row>
    <row r="6940" spans="1:9" ht="13.5">
      <c r="A6940" s="128">
        <v>2011</v>
      </c>
      <c r="B6940" s="128" t="s">
        <v>138</v>
      </c>
      <c r="C6940" s="128" t="s">
        <v>21</v>
      </c>
      <c r="D6940" s="128" t="s">
        <v>77</v>
      </c>
      <c r="E6940" s="128" t="s">
        <v>134</v>
      </c>
      <c r="F6940" s="128">
        <v>4940928.12</v>
      </c>
      <c r="G6940" s="128">
        <v>2140899.7400000002</v>
      </c>
      <c r="H6940" s="128">
        <v>1734316.86</v>
      </c>
      <c r="I6940" s="128">
        <v>14751</v>
      </c>
    </row>
    <row r="6941" spans="1:9" ht="13.5">
      <c r="A6941" s="128">
        <v>2011</v>
      </c>
      <c r="B6941" s="128" t="s">
        <v>138</v>
      </c>
      <c r="C6941" s="128" t="s">
        <v>21</v>
      </c>
      <c r="D6941" s="128" t="s">
        <v>77</v>
      </c>
      <c r="E6941" s="128" t="s">
        <v>135</v>
      </c>
      <c r="F6941" s="128">
        <v>9095546.0899999999</v>
      </c>
      <c r="G6941" s="128">
        <v>2426547.25</v>
      </c>
      <c r="H6941" s="128">
        <v>2373768.9</v>
      </c>
      <c r="I6941" s="128">
        <v>24108</v>
      </c>
    </row>
    <row r="6942" spans="1:9" ht="13.5">
      <c r="A6942" s="128">
        <v>2011</v>
      </c>
      <c r="B6942" s="128" t="s">
        <v>138</v>
      </c>
      <c r="C6942" s="128" t="s">
        <v>21</v>
      </c>
      <c r="D6942" s="128" t="s">
        <v>76</v>
      </c>
      <c r="E6942" s="128" t="s">
        <v>136</v>
      </c>
      <c r="F6942" s="128">
        <v>11267795.49</v>
      </c>
      <c r="G6942" s="128">
        <v>8478937.8900000006</v>
      </c>
      <c r="H6942" s="128">
        <v>2788857.31</v>
      </c>
      <c r="I6942" s="128">
        <v>238869</v>
      </c>
    </row>
    <row r="6943" spans="1:9" ht="13.5">
      <c r="A6943" s="128">
        <v>2011</v>
      </c>
      <c r="B6943" s="128" t="s">
        <v>138</v>
      </c>
      <c r="C6943" s="128" t="s">
        <v>21</v>
      </c>
      <c r="D6943" s="128" t="s">
        <v>76</v>
      </c>
      <c r="E6943" s="128" t="s">
        <v>132</v>
      </c>
      <c r="F6943" s="128">
        <v>36153515.859999999</v>
      </c>
      <c r="G6943" s="128">
        <v>23217359.600000001</v>
      </c>
      <c r="H6943" s="128">
        <v>12936071.390000001</v>
      </c>
      <c r="I6943" s="128">
        <v>361409</v>
      </c>
    </row>
    <row r="6944" spans="1:9" ht="13.5">
      <c r="A6944" s="128">
        <v>2011</v>
      </c>
      <c r="B6944" s="128" t="s">
        <v>138</v>
      </c>
      <c r="C6944" s="128" t="s">
        <v>21</v>
      </c>
      <c r="D6944" s="128" t="s">
        <v>76</v>
      </c>
      <c r="E6944" s="128" t="s">
        <v>133</v>
      </c>
      <c r="F6944" s="128">
        <v>80279900.510000005</v>
      </c>
      <c r="G6944" s="128">
        <v>44474692.960000001</v>
      </c>
      <c r="H6944" s="128">
        <v>35805123.149999999</v>
      </c>
      <c r="I6944" s="128">
        <v>609190</v>
      </c>
    </row>
    <row r="6945" spans="1:9" ht="13.5">
      <c r="A6945" s="128">
        <v>2011</v>
      </c>
      <c r="B6945" s="128" t="s">
        <v>138</v>
      </c>
      <c r="C6945" s="128" t="s">
        <v>21</v>
      </c>
      <c r="D6945" s="128" t="s">
        <v>76</v>
      </c>
      <c r="E6945" s="128" t="s">
        <v>134</v>
      </c>
      <c r="F6945" s="128">
        <v>78985832.390000001</v>
      </c>
      <c r="G6945" s="128">
        <v>35956090.299999997</v>
      </c>
      <c r="H6945" s="128">
        <v>43029685.840000004</v>
      </c>
      <c r="I6945" s="128">
        <v>436075</v>
      </c>
    </row>
    <row r="6946" spans="1:9" ht="13.5">
      <c r="A6946" s="128">
        <v>2011</v>
      </c>
      <c r="B6946" s="128" t="s">
        <v>138</v>
      </c>
      <c r="C6946" s="128" t="s">
        <v>21</v>
      </c>
      <c r="D6946" s="128" t="s">
        <v>76</v>
      </c>
      <c r="E6946" s="128" t="s">
        <v>135</v>
      </c>
      <c r="F6946" s="128">
        <v>5637577.9100000001</v>
      </c>
      <c r="G6946" s="128">
        <v>1747776.09</v>
      </c>
      <c r="H6946" s="128">
        <v>3889801.82</v>
      </c>
      <c r="I6946" s="128">
        <v>12546</v>
      </c>
    </row>
    <row r="6947" spans="1:9" ht="13.5">
      <c r="A6947" s="128">
        <v>2011</v>
      </c>
      <c r="B6947" s="128" t="s">
        <v>138</v>
      </c>
      <c r="C6947" s="128" t="s">
        <v>22</v>
      </c>
      <c r="D6947" s="128" t="s">
        <v>79</v>
      </c>
      <c r="E6947" s="128" t="s">
        <v>136</v>
      </c>
      <c r="F6947" s="128">
        <v>10092942.859999999</v>
      </c>
      <c r="G6947" s="128">
        <v>7572741.4800000004</v>
      </c>
      <c r="H6947" s="128">
        <v>2510204.27</v>
      </c>
      <c r="I6947" s="128">
        <v>72775</v>
      </c>
    </row>
    <row r="6948" spans="1:9" ht="13.5">
      <c r="A6948" s="128">
        <v>2011</v>
      </c>
      <c r="B6948" s="128" t="s">
        <v>138</v>
      </c>
      <c r="C6948" s="128" t="s">
        <v>22</v>
      </c>
      <c r="D6948" s="128" t="s">
        <v>79</v>
      </c>
      <c r="E6948" s="128" t="s">
        <v>132</v>
      </c>
      <c r="F6948" s="128">
        <v>1720980.17</v>
      </c>
      <c r="G6948" s="128">
        <v>1147329.8899999999</v>
      </c>
      <c r="H6948" s="128">
        <v>380831.71</v>
      </c>
      <c r="I6948" s="128">
        <v>9945</v>
      </c>
    </row>
    <row r="6949" spans="1:9" ht="13.5">
      <c r="A6949" s="128">
        <v>2011</v>
      </c>
      <c r="B6949" s="128" t="s">
        <v>138</v>
      </c>
      <c r="C6949" s="128" t="s">
        <v>22</v>
      </c>
      <c r="D6949" s="128" t="s">
        <v>79</v>
      </c>
      <c r="E6949" s="128" t="s">
        <v>133</v>
      </c>
      <c r="F6949" s="128">
        <v>2960115.93</v>
      </c>
      <c r="G6949" s="128">
        <v>1611339.65</v>
      </c>
      <c r="H6949" s="128">
        <v>554974.21</v>
      </c>
      <c r="I6949" s="128">
        <v>14283</v>
      </c>
    </row>
    <row r="6950" spans="1:9" ht="13.5">
      <c r="A6950" s="128">
        <v>2011</v>
      </c>
      <c r="B6950" s="128" t="s">
        <v>138</v>
      </c>
      <c r="C6950" s="128" t="s">
        <v>22</v>
      </c>
      <c r="D6950" s="128" t="s">
        <v>79</v>
      </c>
      <c r="E6950" s="128" t="s">
        <v>134</v>
      </c>
      <c r="F6950" s="128">
        <v>8734739.5299999993</v>
      </c>
      <c r="G6950" s="128">
        <v>3687329.71</v>
      </c>
      <c r="H6950" s="128">
        <v>1230728.07</v>
      </c>
      <c r="I6950" s="128">
        <v>28493</v>
      </c>
    </row>
    <row r="6951" spans="1:9" ht="13.5">
      <c r="A6951" s="128">
        <v>2011</v>
      </c>
      <c r="B6951" s="128" t="s">
        <v>138</v>
      </c>
      <c r="C6951" s="128" t="s">
        <v>22</v>
      </c>
      <c r="D6951" s="128" t="s">
        <v>79</v>
      </c>
      <c r="E6951" s="128" t="s">
        <v>135</v>
      </c>
      <c r="F6951" s="128">
        <v>45085125.979999997</v>
      </c>
      <c r="G6951" s="128">
        <v>12057416.67</v>
      </c>
      <c r="H6951" s="128">
        <v>4024212.78</v>
      </c>
      <c r="I6951" s="128">
        <v>84524</v>
      </c>
    </row>
    <row r="6952" spans="1:9" ht="13.5">
      <c r="A6952" s="128">
        <v>2011</v>
      </c>
      <c r="B6952" s="128" t="s">
        <v>138</v>
      </c>
      <c r="C6952" s="128" t="s">
        <v>22</v>
      </c>
      <c r="D6952" s="128" t="s">
        <v>77</v>
      </c>
      <c r="E6952" s="128" t="s">
        <v>132</v>
      </c>
      <c r="F6952" s="128">
        <v>587329.46</v>
      </c>
      <c r="G6952" s="128">
        <v>377225.86</v>
      </c>
      <c r="H6952" s="128">
        <v>173205.54</v>
      </c>
      <c r="I6952" s="128">
        <v>2642</v>
      </c>
    </row>
    <row r="6953" spans="1:9" ht="13.5">
      <c r="A6953" s="128">
        <v>2011</v>
      </c>
      <c r="B6953" s="128" t="s">
        <v>138</v>
      </c>
      <c r="C6953" s="128" t="s">
        <v>22</v>
      </c>
      <c r="D6953" s="128" t="s">
        <v>77</v>
      </c>
      <c r="E6953" s="128" t="s">
        <v>133</v>
      </c>
      <c r="F6953" s="128">
        <v>2068221.55</v>
      </c>
      <c r="G6953" s="128">
        <v>1119495.31</v>
      </c>
      <c r="H6953" s="128">
        <v>688040.24</v>
      </c>
      <c r="I6953" s="128">
        <v>8070</v>
      </c>
    </row>
    <row r="6954" spans="1:9" ht="13.5">
      <c r="A6954" s="128">
        <v>2011</v>
      </c>
      <c r="B6954" s="128" t="s">
        <v>138</v>
      </c>
      <c r="C6954" s="128" t="s">
        <v>22</v>
      </c>
      <c r="D6954" s="128" t="s">
        <v>77</v>
      </c>
      <c r="E6954" s="128" t="s">
        <v>134</v>
      </c>
      <c r="F6954" s="128">
        <v>2816141.35</v>
      </c>
      <c r="G6954" s="128">
        <v>1212211.3899999999</v>
      </c>
      <c r="H6954" s="128">
        <v>1037623.88</v>
      </c>
      <c r="I6954" s="128">
        <v>7384</v>
      </c>
    </row>
    <row r="6955" spans="1:9" ht="13.5">
      <c r="A6955" s="128">
        <v>2011</v>
      </c>
      <c r="B6955" s="128" t="s">
        <v>138</v>
      </c>
      <c r="C6955" s="128" t="s">
        <v>22</v>
      </c>
      <c r="D6955" s="128" t="s">
        <v>77</v>
      </c>
      <c r="E6955" s="128" t="s">
        <v>135</v>
      </c>
      <c r="F6955" s="128">
        <v>8394875.3200000003</v>
      </c>
      <c r="G6955" s="128">
        <v>2218974.38</v>
      </c>
      <c r="H6955" s="128">
        <v>2299609.61</v>
      </c>
      <c r="I6955" s="128">
        <v>21079</v>
      </c>
    </row>
    <row r="6956" spans="1:9" ht="13.5">
      <c r="A6956" s="128">
        <v>2011</v>
      </c>
      <c r="B6956" s="128" t="s">
        <v>138</v>
      </c>
      <c r="C6956" s="128" t="s">
        <v>22</v>
      </c>
      <c r="D6956" s="128" t="s">
        <v>76</v>
      </c>
      <c r="E6956" s="128" t="s">
        <v>136</v>
      </c>
      <c r="F6956" s="128">
        <v>5178367.8600000003</v>
      </c>
      <c r="G6956" s="128">
        <v>3893908.83</v>
      </c>
      <c r="H6956" s="128">
        <v>1285369.18</v>
      </c>
      <c r="I6956" s="128">
        <v>91890</v>
      </c>
    </row>
    <row r="6957" spans="1:9" ht="13.5">
      <c r="A6957" s="128">
        <v>2011</v>
      </c>
      <c r="B6957" s="128" t="s">
        <v>138</v>
      </c>
      <c r="C6957" s="128" t="s">
        <v>22</v>
      </c>
      <c r="D6957" s="128" t="s">
        <v>76</v>
      </c>
      <c r="E6957" s="128" t="s">
        <v>132</v>
      </c>
      <c r="F6957" s="128">
        <v>27953404.809999999</v>
      </c>
      <c r="G6957" s="128">
        <v>18000865.23</v>
      </c>
      <c r="H6957" s="128">
        <v>9952441.3699999992</v>
      </c>
      <c r="I6957" s="128">
        <v>307008</v>
      </c>
    </row>
    <row r="6958" spans="1:9" ht="13.5">
      <c r="A6958" s="128">
        <v>2011</v>
      </c>
      <c r="B6958" s="128" t="s">
        <v>138</v>
      </c>
      <c r="C6958" s="128" t="s">
        <v>22</v>
      </c>
      <c r="D6958" s="128" t="s">
        <v>76</v>
      </c>
      <c r="E6958" s="128" t="s">
        <v>133</v>
      </c>
      <c r="F6958" s="128">
        <v>62234719.950000003</v>
      </c>
      <c r="G6958" s="128">
        <v>34709063.829999998</v>
      </c>
      <c r="H6958" s="128">
        <v>27525545.530000001</v>
      </c>
      <c r="I6958" s="128">
        <v>577928</v>
      </c>
    </row>
    <row r="6959" spans="1:9" ht="13.5">
      <c r="A6959" s="128">
        <v>2011</v>
      </c>
      <c r="B6959" s="128" t="s">
        <v>138</v>
      </c>
      <c r="C6959" s="128" t="s">
        <v>22</v>
      </c>
      <c r="D6959" s="128" t="s">
        <v>76</v>
      </c>
      <c r="E6959" s="128" t="s">
        <v>134</v>
      </c>
      <c r="F6959" s="128">
        <v>46882926.020000003</v>
      </c>
      <c r="G6959" s="128">
        <v>21753605.32</v>
      </c>
      <c r="H6959" s="128">
        <v>25129228.379999999</v>
      </c>
      <c r="I6959" s="128">
        <v>293303</v>
      </c>
    </row>
    <row r="6960" spans="1:9" ht="13.5">
      <c r="A6960" s="128">
        <v>2011</v>
      </c>
      <c r="B6960" s="128" t="s">
        <v>138</v>
      </c>
      <c r="C6960" s="128" t="s">
        <v>22</v>
      </c>
      <c r="D6960" s="128" t="s">
        <v>76</v>
      </c>
      <c r="E6960" s="128" t="s">
        <v>135</v>
      </c>
      <c r="F6960" s="128">
        <v>7018521.6200000001</v>
      </c>
      <c r="G6960" s="128">
        <v>2173802.06</v>
      </c>
      <c r="H6960" s="128">
        <v>4844717.38</v>
      </c>
      <c r="I6960" s="128">
        <v>13056</v>
      </c>
    </row>
    <row r="6961" spans="1:9" ht="13.5">
      <c r="A6961" s="128">
        <v>2011</v>
      </c>
      <c r="B6961" s="128" t="s">
        <v>138</v>
      </c>
      <c r="C6961" s="128" t="s">
        <v>23</v>
      </c>
      <c r="D6961" s="128" t="s">
        <v>79</v>
      </c>
      <c r="E6961" s="128" t="s">
        <v>136</v>
      </c>
      <c r="F6961" s="128">
        <v>3523799.48</v>
      </c>
      <c r="G6961" s="128">
        <v>2643998.98</v>
      </c>
      <c r="H6961" s="128">
        <v>878450.15</v>
      </c>
      <c r="I6961" s="128">
        <v>50151</v>
      </c>
    </row>
    <row r="6962" spans="1:9" ht="13.5">
      <c r="A6962" s="128">
        <v>2011</v>
      </c>
      <c r="B6962" s="128" t="s">
        <v>138</v>
      </c>
      <c r="C6962" s="128" t="s">
        <v>23</v>
      </c>
      <c r="D6962" s="128" t="s">
        <v>79</v>
      </c>
      <c r="E6962" s="128" t="s">
        <v>132</v>
      </c>
      <c r="F6962" s="128">
        <v>281136.18</v>
      </c>
      <c r="G6962" s="128">
        <v>184958.38</v>
      </c>
      <c r="H6962" s="128">
        <v>64512.39</v>
      </c>
      <c r="I6962" s="128">
        <v>2231</v>
      </c>
    </row>
    <row r="6963" spans="1:9" ht="13.5">
      <c r="A6963" s="128">
        <v>2011</v>
      </c>
      <c r="B6963" s="128" t="s">
        <v>138</v>
      </c>
      <c r="C6963" s="128" t="s">
        <v>23</v>
      </c>
      <c r="D6963" s="128" t="s">
        <v>79</v>
      </c>
      <c r="E6963" s="128" t="s">
        <v>133</v>
      </c>
      <c r="F6963" s="128">
        <v>738913.8</v>
      </c>
      <c r="G6963" s="128">
        <v>393961.26</v>
      </c>
      <c r="H6963" s="128">
        <v>140662.51</v>
      </c>
      <c r="I6963" s="128">
        <v>5259</v>
      </c>
    </row>
    <row r="6964" spans="1:9" ht="13.5">
      <c r="A6964" s="128">
        <v>2011</v>
      </c>
      <c r="B6964" s="128" t="s">
        <v>138</v>
      </c>
      <c r="C6964" s="128" t="s">
        <v>23</v>
      </c>
      <c r="D6964" s="128" t="s">
        <v>79</v>
      </c>
      <c r="E6964" s="128" t="s">
        <v>134</v>
      </c>
      <c r="F6964" s="128">
        <v>603144.23</v>
      </c>
      <c r="G6964" s="128">
        <v>263599.34000000003</v>
      </c>
      <c r="H6964" s="128">
        <v>103526.45</v>
      </c>
      <c r="I6964" s="128">
        <v>2512</v>
      </c>
    </row>
    <row r="6965" spans="1:9" ht="13.5">
      <c r="A6965" s="128">
        <v>2011</v>
      </c>
      <c r="B6965" s="128" t="s">
        <v>138</v>
      </c>
      <c r="C6965" s="128" t="s">
        <v>23</v>
      </c>
      <c r="D6965" s="128" t="s">
        <v>79</v>
      </c>
      <c r="E6965" s="128" t="s">
        <v>135</v>
      </c>
      <c r="F6965" s="128">
        <v>2364722.98</v>
      </c>
      <c r="G6965" s="128">
        <v>625618.47</v>
      </c>
      <c r="H6965" s="128">
        <v>212398.8</v>
      </c>
      <c r="I6965" s="128">
        <v>7078</v>
      </c>
    </row>
    <row r="6966" spans="1:9" ht="13.5">
      <c r="A6966" s="128">
        <v>2011</v>
      </c>
      <c r="B6966" s="128" t="s">
        <v>138</v>
      </c>
      <c r="C6966" s="128" t="s">
        <v>23</v>
      </c>
      <c r="D6966" s="128" t="s">
        <v>77</v>
      </c>
      <c r="E6966" s="128" t="s">
        <v>132</v>
      </c>
      <c r="F6966" s="128">
        <v>452892.85</v>
      </c>
      <c r="G6966" s="128">
        <v>305645.84999999998</v>
      </c>
      <c r="H6966" s="128">
        <v>116284.98</v>
      </c>
      <c r="I6966" s="128">
        <v>1989</v>
      </c>
    </row>
    <row r="6967" spans="1:9" ht="13.5">
      <c r="A6967" s="128">
        <v>2011</v>
      </c>
      <c r="B6967" s="128" t="s">
        <v>138</v>
      </c>
      <c r="C6967" s="128" t="s">
        <v>23</v>
      </c>
      <c r="D6967" s="128" t="s">
        <v>77</v>
      </c>
      <c r="E6967" s="128" t="s">
        <v>133</v>
      </c>
      <c r="F6967" s="128">
        <v>585761.26</v>
      </c>
      <c r="G6967" s="128">
        <v>316263.95</v>
      </c>
      <c r="H6967" s="128">
        <v>191093.44</v>
      </c>
      <c r="I6967" s="128">
        <v>2279</v>
      </c>
    </row>
    <row r="6968" spans="1:9" ht="13.5">
      <c r="A6968" s="128">
        <v>2011</v>
      </c>
      <c r="B6968" s="128" t="s">
        <v>138</v>
      </c>
      <c r="C6968" s="128" t="s">
        <v>23</v>
      </c>
      <c r="D6968" s="128" t="s">
        <v>77</v>
      </c>
      <c r="E6968" s="128" t="s">
        <v>134</v>
      </c>
      <c r="F6968" s="128">
        <v>1727524.47</v>
      </c>
      <c r="G6968" s="128">
        <v>741253.3</v>
      </c>
      <c r="H6968" s="128">
        <v>685689.31</v>
      </c>
      <c r="I6968" s="128">
        <v>3033</v>
      </c>
    </row>
    <row r="6969" spans="1:9" ht="13.5">
      <c r="A6969" s="128">
        <v>2011</v>
      </c>
      <c r="B6969" s="128" t="s">
        <v>138</v>
      </c>
      <c r="C6969" s="128" t="s">
        <v>23</v>
      </c>
      <c r="D6969" s="128" t="s">
        <v>77</v>
      </c>
      <c r="E6969" s="128" t="s">
        <v>135</v>
      </c>
      <c r="F6969" s="128">
        <v>1247296.1000000001</v>
      </c>
      <c r="G6969" s="128">
        <v>334506.59999999998</v>
      </c>
      <c r="H6969" s="128">
        <v>343689.78</v>
      </c>
      <c r="I6969" s="128">
        <v>2946</v>
      </c>
    </row>
    <row r="6970" spans="1:9" ht="13.5">
      <c r="A6970" s="128">
        <v>2011</v>
      </c>
      <c r="B6970" s="128" t="s">
        <v>138</v>
      </c>
      <c r="C6970" s="128" t="s">
        <v>23</v>
      </c>
      <c r="D6970" s="128" t="s">
        <v>76</v>
      </c>
      <c r="E6970" s="128" t="s">
        <v>136</v>
      </c>
      <c r="F6970" s="128">
        <v>3282940.38</v>
      </c>
      <c r="G6970" s="128">
        <v>2464786.87</v>
      </c>
      <c r="H6970" s="128">
        <v>818192.38</v>
      </c>
      <c r="I6970" s="128">
        <v>26559</v>
      </c>
    </row>
    <row r="6971" spans="1:9" ht="13.5">
      <c r="A6971" s="128">
        <v>2011</v>
      </c>
      <c r="B6971" s="128" t="s">
        <v>138</v>
      </c>
      <c r="C6971" s="128" t="s">
        <v>23</v>
      </c>
      <c r="D6971" s="128" t="s">
        <v>76</v>
      </c>
      <c r="E6971" s="128" t="s">
        <v>132</v>
      </c>
      <c r="F6971" s="128">
        <v>8888899.5700000003</v>
      </c>
      <c r="G6971" s="128">
        <v>5718110.9800000004</v>
      </c>
      <c r="H6971" s="128">
        <v>3170773.57</v>
      </c>
      <c r="I6971" s="128">
        <v>114346</v>
      </c>
    </row>
    <row r="6972" spans="1:9" ht="13.5">
      <c r="A6972" s="128">
        <v>2011</v>
      </c>
      <c r="B6972" s="128" t="s">
        <v>138</v>
      </c>
      <c r="C6972" s="128" t="s">
        <v>23</v>
      </c>
      <c r="D6972" s="128" t="s">
        <v>76</v>
      </c>
      <c r="E6972" s="128" t="s">
        <v>133</v>
      </c>
      <c r="F6972" s="128">
        <v>18991973.440000001</v>
      </c>
      <c r="G6972" s="128">
        <v>10424799.439999999</v>
      </c>
      <c r="H6972" s="128">
        <v>8567141.1600000001</v>
      </c>
      <c r="I6972" s="128">
        <v>154585</v>
      </c>
    </row>
    <row r="6973" spans="1:9" ht="13.5">
      <c r="A6973" s="128">
        <v>2011</v>
      </c>
      <c r="B6973" s="128" t="s">
        <v>138</v>
      </c>
      <c r="C6973" s="128" t="s">
        <v>23</v>
      </c>
      <c r="D6973" s="128" t="s">
        <v>76</v>
      </c>
      <c r="E6973" s="128" t="s">
        <v>134</v>
      </c>
      <c r="F6973" s="128">
        <v>36463087.719999999</v>
      </c>
      <c r="G6973" s="128">
        <v>16471802.640000001</v>
      </c>
      <c r="H6973" s="128">
        <v>19991221.359999999</v>
      </c>
      <c r="I6973" s="128">
        <v>160559</v>
      </c>
    </row>
    <row r="6974" spans="1:9" ht="13.5">
      <c r="A6974" s="128">
        <v>2011</v>
      </c>
      <c r="B6974" s="128" t="s">
        <v>138</v>
      </c>
      <c r="C6974" s="128" t="s">
        <v>23</v>
      </c>
      <c r="D6974" s="128" t="s">
        <v>76</v>
      </c>
      <c r="E6974" s="128" t="s">
        <v>135</v>
      </c>
      <c r="F6974" s="128">
        <v>2146235.15</v>
      </c>
      <c r="G6974" s="128">
        <v>611877.22</v>
      </c>
      <c r="H6974" s="128">
        <v>1534357.93</v>
      </c>
      <c r="I6974" s="128">
        <v>3412</v>
      </c>
    </row>
    <row r="6975" spans="1:9" ht="13.5">
      <c r="A6975" s="128">
        <v>2011</v>
      </c>
      <c r="B6975" s="128" t="s">
        <v>138</v>
      </c>
      <c r="C6975" s="128" t="s">
        <v>24</v>
      </c>
      <c r="D6975" s="128" t="s">
        <v>79</v>
      </c>
      <c r="E6975" s="128" t="s">
        <v>136</v>
      </c>
      <c r="F6975" s="128">
        <v>2207834.1</v>
      </c>
      <c r="G6975" s="128">
        <v>1658979.35</v>
      </c>
      <c r="H6975" s="128">
        <v>548685.56999999995</v>
      </c>
      <c r="I6975" s="128">
        <v>37100</v>
      </c>
    </row>
    <row r="6976" spans="1:9" ht="13.5">
      <c r="A6976" s="128">
        <v>2011</v>
      </c>
      <c r="B6976" s="128" t="s">
        <v>138</v>
      </c>
      <c r="C6976" s="128" t="s">
        <v>24</v>
      </c>
      <c r="D6976" s="128" t="s">
        <v>79</v>
      </c>
      <c r="E6976" s="128" t="s">
        <v>132</v>
      </c>
      <c r="F6976" s="128">
        <v>346154.08</v>
      </c>
      <c r="G6976" s="128">
        <v>230226.28</v>
      </c>
      <c r="H6976" s="128">
        <v>76370.490000000005</v>
      </c>
      <c r="I6976" s="128">
        <v>2507</v>
      </c>
    </row>
    <row r="6977" spans="1:9" ht="13.5">
      <c r="A6977" s="128">
        <v>2011</v>
      </c>
      <c r="B6977" s="128" t="s">
        <v>138</v>
      </c>
      <c r="C6977" s="128" t="s">
        <v>24</v>
      </c>
      <c r="D6977" s="128" t="s">
        <v>79</v>
      </c>
      <c r="E6977" s="128" t="s">
        <v>133</v>
      </c>
      <c r="F6977" s="128">
        <v>1480825.54</v>
      </c>
      <c r="G6977" s="128">
        <v>799100.68</v>
      </c>
      <c r="H6977" s="128">
        <v>267694.31</v>
      </c>
      <c r="I6977" s="128">
        <v>8436</v>
      </c>
    </row>
    <row r="6978" spans="1:9" ht="13.5">
      <c r="A6978" s="128">
        <v>2011</v>
      </c>
      <c r="B6978" s="128" t="s">
        <v>138</v>
      </c>
      <c r="C6978" s="128" t="s">
        <v>24</v>
      </c>
      <c r="D6978" s="128" t="s">
        <v>79</v>
      </c>
      <c r="E6978" s="128" t="s">
        <v>134</v>
      </c>
      <c r="F6978" s="128">
        <v>2695445.12</v>
      </c>
      <c r="G6978" s="128">
        <v>1147279.95</v>
      </c>
      <c r="H6978" s="128">
        <v>385524.73</v>
      </c>
      <c r="I6978" s="128">
        <v>10128</v>
      </c>
    </row>
    <row r="6979" spans="1:9" ht="13.5">
      <c r="A6979" s="128">
        <v>2011</v>
      </c>
      <c r="B6979" s="128" t="s">
        <v>138</v>
      </c>
      <c r="C6979" s="128" t="s">
        <v>24</v>
      </c>
      <c r="D6979" s="128" t="s">
        <v>79</v>
      </c>
      <c r="E6979" s="128" t="s">
        <v>135</v>
      </c>
      <c r="F6979" s="128">
        <v>7912249.3399999999</v>
      </c>
      <c r="G6979" s="128">
        <v>1869180.77</v>
      </c>
      <c r="H6979" s="128">
        <v>632851.9</v>
      </c>
      <c r="I6979" s="128">
        <v>19654</v>
      </c>
    </row>
    <row r="6980" spans="1:9" ht="13.5">
      <c r="A6980" s="128">
        <v>2011</v>
      </c>
      <c r="B6980" s="128" t="s">
        <v>138</v>
      </c>
      <c r="C6980" s="128" t="s">
        <v>24</v>
      </c>
      <c r="D6980" s="128" t="s">
        <v>77</v>
      </c>
      <c r="E6980" s="128" t="s">
        <v>132</v>
      </c>
      <c r="F6980" s="128">
        <v>1987073.9</v>
      </c>
      <c r="G6980" s="128">
        <v>1363834.15</v>
      </c>
      <c r="H6980" s="128">
        <v>592570.41</v>
      </c>
      <c r="I6980" s="128">
        <v>11973</v>
      </c>
    </row>
    <row r="6981" spans="1:9" ht="13.5">
      <c r="A6981" s="128">
        <v>2011</v>
      </c>
      <c r="B6981" s="128" t="s">
        <v>138</v>
      </c>
      <c r="C6981" s="128" t="s">
        <v>24</v>
      </c>
      <c r="D6981" s="128" t="s">
        <v>77</v>
      </c>
      <c r="E6981" s="128" t="s">
        <v>133</v>
      </c>
      <c r="F6981" s="128">
        <v>3810771.36</v>
      </c>
      <c r="G6981" s="128">
        <v>2035225.83</v>
      </c>
      <c r="H6981" s="128">
        <v>1477042.52</v>
      </c>
      <c r="I6981" s="128">
        <v>28489</v>
      </c>
    </row>
    <row r="6982" spans="1:9" ht="13.5">
      <c r="A6982" s="128">
        <v>2011</v>
      </c>
      <c r="B6982" s="128" t="s">
        <v>138</v>
      </c>
      <c r="C6982" s="128" t="s">
        <v>24</v>
      </c>
      <c r="D6982" s="128" t="s">
        <v>77</v>
      </c>
      <c r="E6982" s="128" t="s">
        <v>134</v>
      </c>
      <c r="F6982" s="128">
        <v>6039803.3600000003</v>
      </c>
      <c r="G6982" s="128">
        <v>2624766.15</v>
      </c>
      <c r="H6982" s="128">
        <v>1912332.84</v>
      </c>
      <c r="I6982" s="128">
        <v>17264</v>
      </c>
    </row>
    <row r="6983" spans="1:9" ht="13.5">
      <c r="A6983" s="128">
        <v>2011</v>
      </c>
      <c r="B6983" s="128" t="s">
        <v>138</v>
      </c>
      <c r="C6983" s="128" t="s">
        <v>24</v>
      </c>
      <c r="D6983" s="128" t="s">
        <v>77</v>
      </c>
      <c r="E6983" s="128" t="s">
        <v>135</v>
      </c>
      <c r="F6983" s="128">
        <v>10250836.73</v>
      </c>
      <c r="G6983" s="128">
        <v>2752454.6</v>
      </c>
      <c r="H6983" s="128">
        <v>1739751.16</v>
      </c>
      <c r="I6983" s="128">
        <v>18705</v>
      </c>
    </row>
    <row r="6984" spans="1:9" ht="13.5">
      <c r="A6984" s="128">
        <v>2011</v>
      </c>
      <c r="B6984" s="128" t="s">
        <v>138</v>
      </c>
      <c r="C6984" s="128" t="s">
        <v>24</v>
      </c>
      <c r="D6984" s="128" t="s">
        <v>76</v>
      </c>
      <c r="E6984" s="128" t="s">
        <v>136</v>
      </c>
      <c r="F6984" s="128">
        <v>1049932.9099999999</v>
      </c>
      <c r="G6984" s="128">
        <v>795403.38</v>
      </c>
      <c r="H6984" s="128">
        <v>254553.8</v>
      </c>
      <c r="I6984" s="128">
        <v>12083</v>
      </c>
    </row>
    <row r="6985" spans="1:9" ht="13.5">
      <c r="A6985" s="128">
        <v>2011</v>
      </c>
      <c r="B6985" s="128" t="s">
        <v>138</v>
      </c>
      <c r="C6985" s="128" t="s">
        <v>24</v>
      </c>
      <c r="D6985" s="128" t="s">
        <v>76</v>
      </c>
      <c r="E6985" s="128" t="s">
        <v>132</v>
      </c>
      <c r="F6985" s="128">
        <v>8513796.2799999993</v>
      </c>
      <c r="G6985" s="128">
        <v>5369451.75</v>
      </c>
      <c r="H6985" s="128">
        <v>3144338.44</v>
      </c>
      <c r="I6985" s="128">
        <v>77285</v>
      </c>
    </row>
    <row r="6986" spans="1:9" ht="13.5">
      <c r="A6986" s="128">
        <v>2011</v>
      </c>
      <c r="B6986" s="128" t="s">
        <v>138</v>
      </c>
      <c r="C6986" s="128" t="s">
        <v>24</v>
      </c>
      <c r="D6986" s="128" t="s">
        <v>76</v>
      </c>
      <c r="E6986" s="128" t="s">
        <v>133</v>
      </c>
      <c r="F6986" s="128">
        <v>25364178.23</v>
      </c>
      <c r="G6986" s="128">
        <v>14000448.91</v>
      </c>
      <c r="H6986" s="128">
        <v>11363724.630000001</v>
      </c>
      <c r="I6986" s="128">
        <v>182834</v>
      </c>
    </row>
    <row r="6987" spans="1:9" ht="13.5">
      <c r="A6987" s="128">
        <v>2011</v>
      </c>
      <c r="B6987" s="128" t="s">
        <v>138</v>
      </c>
      <c r="C6987" s="128" t="s">
        <v>24</v>
      </c>
      <c r="D6987" s="128" t="s">
        <v>76</v>
      </c>
      <c r="E6987" s="128" t="s">
        <v>134</v>
      </c>
      <c r="F6987" s="128">
        <v>33477933.609999999</v>
      </c>
      <c r="G6987" s="128">
        <v>14861883.640000001</v>
      </c>
      <c r="H6987" s="128">
        <v>18616045.649999999</v>
      </c>
      <c r="I6987" s="128">
        <v>163392</v>
      </c>
    </row>
    <row r="6988" spans="1:9" ht="13.5">
      <c r="A6988" s="128">
        <v>2011</v>
      </c>
      <c r="B6988" s="128" t="s">
        <v>138</v>
      </c>
      <c r="C6988" s="128" t="s">
        <v>24</v>
      </c>
      <c r="D6988" s="128" t="s">
        <v>76</v>
      </c>
      <c r="E6988" s="128" t="s">
        <v>135</v>
      </c>
      <c r="F6988" s="128">
        <v>3444528.94</v>
      </c>
      <c r="G6988" s="128">
        <v>937905.95</v>
      </c>
      <c r="H6988" s="128">
        <v>2506622.9900000002</v>
      </c>
      <c r="I6988" s="128">
        <v>3003</v>
      </c>
    </row>
    <row r="6989" spans="1:9" ht="13.5">
      <c r="A6989" s="128">
        <v>2011</v>
      </c>
      <c r="B6989" s="128" t="s">
        <v>138</v>
      </c>
      <c r="C6989" s="128" t="s">
        <v>25</v>
      </c>
      <c r="D6989" s="128" t="s">
        <v>79</v>
      </c>
      <c r="E6989" s="128" t="s">
        <v>136</v>
      </c>
      <c r="F6989" s="128">
        <v>1070259.73</v>
      </c>
      <c r="G6989" s="128">
        <v>803761.12</v>
      </c>
      <c r="H6989" s="128">
        <v>266498.26</v>
      </c>
      <c r="I6989" s="128">
        <v>14336</v>
      </c>
    </row>
    <row r="6990" spans="1:9" ht="13.5">
      <c r="A6990" s="128">
        <v>2011</v>
      </c>
      <c r="B6990" s="128" t="s">
        <v>138</v>
      </c>
      <c r="C6990" s="128" t="s">
        <v>25</v>
      </c>
      <c r="D6990" s="128" t="s">
        <v>79</v>
      </c>
      <c r="E6990" s="128" t="s">
        <v>132</v>
      </c>
      <c r="F6990" s="128">
        <v>127116.96</v>
      </c>
      <c r="G6990" s="128">
        <v>86193.77</v>
      </c>
      <c r="H6990" s="128">
        <v>28306.57</v>
      </c>
      <c r="I6990" s="128">
        <v>652</v>
      </c>
    </row>
    <row r="6991" spans="1:9" ht="13.5">
      <c r="A6991" s="128">
        <v>2011</v>
      </c>
      <c r="B6991" s="128" t="s">
        <v>138</v>
      </c>
      <c r="C6991" s="128" t="s">
        <v>25</v>
      </c>
      <c r="D6991" s="128" t="s">
        <v>79</v>
      </c>
      <c r="E6991" s="128" t="s">
        <v>133</v>
      </c>
      <c r="F6991" s="128">
        <v>157088.4</v>
      </c>
      <c r="G6991" s="128">
        <v>84977.43</v>
      </c>
      <c r="H6991" s="128">
        <v>28402.04</v>
      </c>
      <c r="I6991" s="128">
        <v>577</v>
      </c>
    </row>
    <row r="6992" spans="1:9" ht="13.5">
      <c r="A6992" s="128">
        <v>2011</v>
      </c>
      <c r="B6992" s="128" t="s">
        <v>138</v>
      </c>
      <c r="C6992" s="128" t="s">
        <v>25</v>
      </c>
      <c r="D6992" s="128" t="s">
        <v>79</v>
      </c>
      <c r="E6992" s="128" t="s">
        <v>134</v>
      </c>
      <c r="F6992" s="128">
        <v>621642.68999999994</v>
      </c>
      <c r="G6992" s="128">
        <v>267835.32</v>
      </c>
      <c r="H6992" s="128">
        <v>89564.63</v>
      </c>
      <c r="I6992" s="128">
        <v>1577</v>
      </c>
    </row>
    <row r="6993" spans="1:9" ht="13.5">
      <c r="A6993" s="128">
        <v>2011</v>
      </c>
      <c r="B6993" s="128" t="s">
        <v>138</v>
      </c>
      <c r="C6993" s="128" t="s">
        <v>25</v>
      </c>
      <c r="D6993" s="128" t="s">
        <v>79</v>
      </c>
      <c r="E6993" s="128" t="s">
        <v>135</v>
      </c>
      <c r="F6993" s="128">
        <v>2136348.41</v>
      </c>
      <c r="G6993" s="128">
        <v>523170.17</v>
      </c>
      <c r="H6993" s="128">
        <v>180981.77</v>
      </c>
      <c r="I6993" s="128">
        <v>3638</v>
      </c>
    </row>
    <row r="6994" spans="1:9" ht="13.5">
      <c r="A6994" s="128">
        <v>2011</v>
      </c>
      <c r="B6994" s="128" t="s">
        <v>138</v>
      </c>
      <c r="C6994" s="128" t="s">
        <v>25</v>
      </c>
      <c r="D6994" s="128" t="s">
        <v>77</v>
      </c>
      <c r="E6994" s="128" t="s">
        <v>132</v>
      </c>
      <c r="F6994" s="128">
        <v>122470.46</v>
      </c>
      <c r="G6994" s="128">
        <v>78937.11</v>
      </c>
      <c r="H6994" s="128">
        <v>32843.519999999997</v>
      </c>
      <c r="I6994" s="128">
        <v>817</v>
      </c>
    </row>
    <row r="6995" spans="1:9" ht="13.5">
      <c r="A6995" s="128">
        <v>2011</v>
      </c>
      <c r="B6995" s="128" t="s">
        <v>138</v>
      </c>
      <c r="C6995" s="128" t="s">
        <v>25</v>
      </c>
      <c r="D6995" s="128" t="s">
        <v>77</v>
      </c>
      <c r="E6995" s="128" t="s">
        <v>133</v>
      </c>
      <c r="F6995" s="128">
        <v>225800.22</v>
      </c>
      <c r="G6995" s="128">
        <v>123086.53</v>
      </c>
      <c r="H6995" s="128">
        <v>84563.53</v>
      </c>
      <c r="I6995" s="128">
        <v>799</v>
      </c>
    </row>
    <row r="6996" spans="1:9" ht="13.5">
      <c r="A6996" s="128">
        <v>2011</v>
      </c>
      <c r="B6996" s="128" t="s">
        <v>138</v>
      </c>
      <c r="C6996" s="128" t="s">
        <v>25</v>
      </c>
      <c r="D6996" s="128" t="s">
        <v>77</v>
      </c>
      <c r="E6996" s="128" t="s">
        <v>134</v>
      </c>
      <c r="F6996" s="128">
        <v>589235.07999999996</v>
      </c>
      <c r="G6996" s="128">
        <v>251999.02</v>
      </c>
      <c r="H6996" s="128">
        <v>243446.18</v>
      </c>
      <c r="I6996" s="128">
        <v>1435</v>
      </c>
    </row>
    <row r="6997" spans="1:9" ht="13.5">
      <c r="A6997" s="128">
        <v>2011</v>
      </c>
      <c r="B6997" s="128" t="s">
        <v>138</v>
      </c>
      <c r="C6997" s="128" t="s">
        <v>25</v>
      </c>
      <c r="D6997" s="128" t="s">
        <v>77</v>
      </c>
      <c r="E6997" s="128" t="s">
        <v>135</v>
      </c>
      <c r="F6997" s="128">
        <v>1046613.7</v>
      </c>
      <c r="G6997" s="128">
        <v>313529.90999999997</v>
      </c>
      <c r="H6997" s="128">
        <v>345725.21</v>
      </c>
      <c r="I6997" s="128">
        <v>3623</v>
      </c>
    </row>
    <row r="6998" spans="1:9" ht="13.5">
      <c r="A6998" s="128">
        <v>2011</v>
      </c>
      <c r="B6998" s="128" t="s">
        <v>138</v>
      </c>
      <c r="C6998" s="128" t="s">
        <v>25</v>
      </c>
      <c r="D6998" s="128" t="s">
        <v>76</v>
      </c>
      <c r="E6998" s="128" t="s">
        <v>136</v>
      </c>
      <c r="F6998" s="128">
        <v>771600.75</v>
      </c>
      <c r="G6998" s="128">
        <v>578831.12</v>
      </c>
      <c r="H6998" s="128">
        <v>192769.34</v>
      </c>
      <c r="I6998" s="128">
        <v>9143</v>
      </c>
    </row>
    <row r="6999" spans="1:9" ht="13.5">
      <c r="A6999" s="128">
        <v>2011</v>
      </c>
      <c r="B6999" s="128" t="s">
        <v>138</v>
      </c>
      <c r="C6999" s="128" t="s">
        <v>25</v>
      </c>
      <c r="D6999" s="128" t="s">
        <v>76</v>
      </c>
      <c r="E6999" s="128" t="s">
        <v>132</v>
      </c>
      <c r="F6999" s="128">
        <v>2817339.03</v>
      </c>
      <c r="G6999" s="128">
        <v>1791446.71</v>
      </c>
      <c r="H6999" s="128">
        <v>1025891.32</v>
      </c>
      <c r="I6999" s="128">
        <v>22112</v>
      </c>
    </row>
    <row r="7000" spans="1:9" ht="13.5">
      <c r="A7000" s="128">
        <v>2011</v>
      </c>
      <c r="B7000" s="128" t="s">
        <v>138</v>
      </c>
      <c r="C7000" s="128" t="s">
        <v>25</v>
      </c>
      <c r="D7000" s="128" t="s">
        <v>76</v>
      </c>
      <c r="E7000" s="128" t="s">
        <v>133</v>
      </c>
      <c r="F7000" s="128">
        <v>6439282.9299999997</v>
      </c>
      <c r="G7000" s="128">
        <v>3538532.74</v>
      </c>
      <c r="H7000" s="128">
        <v>2900749.99</v>
      </c>
      <c r="I7000" s="128">
        <v>39731</v>
      </c>
    </row>
    <row r="7001" spans="1:9" ht="13.5">
      <c r="A7001" s="128">
        <v>2011</v>
      </c>
      <c r="B7001" s="128" t="s">
        <v>138</v>
      </c>
      <c r="C7001" s="128" t="s">
        <v>25</v>
      </c>
      <c r="D7001" s="128" t="s">
        <v>76</v>
      </c>
      <c r="E7001" s="128" t="s">
        <v>134</v>
      </c>
      <c r="F7001" s="128">
        <v>6178783.8799999999</v>
      </c>
      <c r="G7001" s="128">
        <v>2838366.66</v>
      </c>
      <c r="H7001" s="128">
        <v>3340416.03</v>
      </c>
      <c r="I7001" s="128">
        <v>36608</v>
      </c>
    </row>
    <row r="7002" spans="1:9" ht="13.5">
      <c r="A7002" s="128">
        <v>2011</v>
      </c>
      <c r="B7002" s="128" t="s">
        <v>138</v>
      </c>
      <c r="C7002" s="128" t="s">
        <v>25</v>
      </c>
      <c r="D7002" s="128" t="s">
        <v>76</v>
      </c>
      <c r="E7002" s="128" t="s">
        <v>135</v>
      </c>
      <c r="F7002" s="128">
        <v>616075.80000000005</v>
      </c>
      <c r="G7002" s="128">
        <v>194779.88</v>
      </c>
      <c r="H7002" s="128">
        <v>421295.72</v>
      </c>
      <c r="I7002" s="128">
        <v>1099</v>
      </c>
    </row>
    <row r="7003" spans="1:9" ht="13.5">
      <c r="A7003" s="128">
        <v>2011</v>
      </c>
      <c r="B7003" s="128" t="s">
        <v>138</v>
      </c>
      <c r="C7003" s="128" t="s">
        <v>26</v>
      </c>
      <c r="D7003" s="128" t="s">
        <v>79</v>
      </c>
      <c r="E7003" s="128" t="s">
        <v>136</v>
      </c>
      <c r="F7003" s="128">
        <v>873187.45</v>
      </c>
      <c r="G7003" s="128">
        <v>657253.63</v>
      </c>
      <c r="H7003" s="128">
        <v>215933.81</v>
      </c>
      <c r="I7003" s="128">
        <v>8707</v>
      </c>
    </row>
    <row r="7004" spans="1:9" ht="13.5">
      <c r="A7004" s="128">
        <v>2011</v>
      </c>
      <c r="B7004" s="128" t="s">
        <v>138</v>
      </c>
      <c r="C7004" s="128" t="s">
        <v>26</v>
      </c>
      <c r="D7004" s="128" t="s">
        <v>79</v>
      </c>
      <c r="E7004" s="128" t="s">
        <v>132</v>
      </c>
      <c r="F7004" s="128">
        <v>156902.20000000001</v>
      </c>
      <c r="G7004" s="128">
        <v>102517.71</v>
      </c>
      <c r="H7004" s="128">
        <v>34076.32</v>
      </c>
      <c r="I7004" s="128">
        <v>592</v>
      </c>
    </row>
    <row r="7005" spans="1:9" ht="13.5">
      <c r="A7005" s="128">
        <v>2011</v>
      </c>
      <c r="B7005" s="128" t="s">
        <v>138</v>
      </c>
      <c r="C7005" s="128" t="s">
        <v>26</v>
      </c>
      <c r="D7005" s="128" t="s">
        <v>79</v>
      </c>
      <c r="E7005" s="128" t="s">
        <v>133</v>
      </c>
      <c r="F7005" s="128">
        <v>161601.88</v>
      </c>
      <c r="G7005" s="128">
        <v>87433.79</v>
      </c>
      <c r="H7005" s="128">
        <v>29929.439999999999</v>
      </c>
      <c r="I7005" s="128">
        <v>757</v>
      </c>
    </row>
    <row r="7006" spans="1:9" ht="13.5">
      <c r="A7006" s="128">
        <v>2011</v>
      </c>
      <c r="B7006" s="128" t="s">
        <v>138</v>
      </c>
      <c r="C7006" s="128" t="s">
        <v>26</v>
      </c>
      <c r="D7006" s="128" t="s">
        <v>79</v>
      </c>
      <c r="E7006" s="128" t="s">
        <v>134</v>
      </c>
      <c r="F7006" s="128">
        <v>945433.98</v>
      </c>
      <c r="G7006" s="128">
        <v>395409.93</v>
      </c>
      <c r="H7006" s="128">
        <v>131209.49</v>
      </c>
      <c r="I7006" s="128">
        <v>3000</v>
      </c>
    </row>
    <row r="7007" spans="1:9" ht="13.5">
      <c r="A7007" s="128">
        <v>2011</v>
      </c>
      <c r="B7007" s="128" t="s">
        <v>138</v>
      </c>
      <c r="C7007" s="128" t="s">
        <v>26</v>
      </c>
      <c r="D7007" s="128" t="s">
        <v>79</v>
      </c>
      <c r="E7007" s="128" t="s">
        <v>135</v>
      </c>
      <c r="F7007" s="128">
        <v>7370523.0700000003</v>
      </c>
      <c r="G7007" s="128">
        <v>1825574.01</v>
      </c>
      <c r="H7007" s="128">
        <v>608053.01</v>
      </c>
      <c r="I7007" s="128">
        <v>11604</v>
      </c>
    </row>
    <row r="7008" spans="1:9" ht="13.5">
      <c r="A7008" s="128">
        <v>2011</v>
      </c>
      <c r="B7008" s="128" t="s">
        <v>138</v>
      </c>
      <c r="C7008" s="128" t="s">
        <v>26</v>
      </c>
      <c r="D7008" s="128" t="s">
        <v>77</v>
      </c>
      <c r="E7008" s="128" t="s">
        <v>132</v>
      </c>
      <c r="F7008" s="128">
        <v>57634.33</v>
      </c>
      <c r="G7008" s="128">
        <v>34515.949999999997</v>
      </c>
      <c r="H7008" s="128">
        <v>20115.150000000001</v>
      </c>
      <c r="I7008" s="128">
        <v>160</v>
      </c>
    </row>
    <row r="7009" spans="1:9" ht="13.5">
      <c r="A7009" s="128">
        <v>2011</v>
      </c>
      <c r="B7009" s="128" t="s">
        <v>138</v>
      </c>
      <c r="C7009" s="128" t="s">
        <v>26</v>
      </c>
      <c r="D7009" s="128" t="s">
        <v>77</v>
      </c>
      <c r="E7009" s="128" t="s">
        <v>133</v>
      </c>
      <c r="F7009" s="128">
        <v>41481.56</v>
      </c>
      <c r="G7009" s="128">
        <v>22089.25</v>
      </c>
      <c r="H7009" s="128">
        <v>14733.76</v>
      </c>
      <c r="I7009" s="128">
        <v>132</v>
      </c>
    </row>
    <row r="7010" spans="1:9" ht="13.5">
      <c r="A7010" s="128">
        <v>2011</v>
      </c>
      <c r="B7010" s="128" t="s">
        <v>138</v>
      </c>
      <c r="C7010" s="128" t="s">
        <v>26</v>
      </c>
      <c r="D7010" s="128" t="s">
        <v>77</v>
      </c>
      <c r="E7010" s="128" t="s">
        <v>134</v>
      </c>
      <c r="F7010" s="128">
        <v>137451.07999999999</v>
      </c>
      <c r="G7010" s="128">
        <v>57970.39</v>
      </c>
      <c r="H7010" s="128">
        <v>51745.48</v>
      </c>
      <c r="I7010" s="128">
        <v>448</v>
      </c>
    </row>
    <row r="7011" spans="1:9" ht="13.5">
      <c r="A7011" s="128">
        <v>2011</v>
      </c>
      <c r="B7011" s="128" t="s">
        <v>138</v>
      </c>
      <c r="C7011" s="128" t="s">
        <v>26</v>
      </c>
      <c r="D7011" s="128" t="s">
        <v>77</v>
      </c>
      <c r="E7011" s="128" t="s">
        <v>135</v>
      </c>
      <c r="F7011" s="128">
        <v>465219.24</v>
      </c>
      <c r="G7011" s="128">
        <v>112231.85</v>
      </c>
      <c r="H7011" s="128">
        <v>117377.97</v>
      </c>
      <c r="I7011" s="128">
        <v>1204</v>
      </c>
    </row>
    <row r="7012" spans="1:9" ht="13.5">
      <c r="A7012" s="128">
        <v>2011</v>
      </c>
      <c r="B7012" s="128" t="s">
        <v>138</v>
      </c>
      <c r="C7012" s="128" t="s">
        <v>26</v>
      </c>
      <c r="D7012" s="128" t="s">
        <v>76</v>
      </c>
      <c r="E7012" s="128" t="s">
        <v>136</v>
      </c>
      <c r="F7012" s="128">
        <v>355095.27</v>
      </c>
      <c r="G7012" s="128">
        <v>266968.82</v>
      </c>
      <c r="H7012" s="128">
        <v>88126.45</v>
      </c>
      <c r="I7012" s="128">
        <v>11990</v>
      </c>
    </row>
    <row r="7013" spans="1:9" ht="13.5">
      <c r="A7013" s="128">
        <v>2011</v>
      </c>
      <c r="B7013" s="128" t="s">
        <v>138</v>
      </c>
      <c r="C7013" s="128" t="s">
        <v>26</v>
      </c>
      <c r="D7013" s="128" t="s">
        <v>76</v>
      </c>
      <c r="E7013" s="128" t="s">
        <v>132</v>
      </c>
      <c r="F7013" s="128">
        <v>877098.69</v>
      </c>
      <c r="G7013" s="128">
        <v>567024.12</v>
      </c>
      <c r="H7013" s="128">
        <v>310038.48</v>
      </c>
      <c r="I7013" s="128">
        <v>10855</v>
      </c>
    </row>
    <row r="7014" spans="1:9" ht="13.5">
      <c r="A7014" s="128">
        <v>2011</v>
      </c>
      <c r="B7014" s="128" t="s">
        <v>138</v>
      </c>
      <c r="C7014" s="128" t="s">
        <v>26</v>
      </c>
      <c r="D7014" s="128" t="s">
        <v>76</v>
      </c>
      <c r="E7014" s="128" t="s">
        <v>133</v>
      </c>
      <c r="F7014" s="128">
        <v>2432562.9</v>
      </c>
      <c r="G7014" s="128">
        <v>1343764.21</v>
      </c>
      <c r="H7014" s="128">
        <v>1088795.44</v>
      </c>
      <c r="I7014" s="128">
        <v>15320</v>
      </c>
    </row>
    <row r="7015" spans="1:9" ht="13.5">
      <c r="A7015" s="128">
        <v>2011</v>
      </c>
      <c r="B7015" s="128" t="s">
        <v>138</v>
      </c>
      <c r="C7015" s="128" t="s">
        <v>26</v>
      </c>
      <c r="D7015" s="128" t="s">
        <v>76</v>
      </c>
      <c r="E7015" s="128" t="s">
        <v>134</v>
      </c>
      <c r="F7015" s="128">
        <v>2160246.09</v>
      </c>
      <c r="G7015" s="128">
        <v>993353.51</v>
      </c>
      <c r="H7015" s="128">
        <v>1166876.56</v>
      </c>
      <c r="I7015" s="128">
        <v>15350</v>
      </c>
    </row>
    <row r="7016" spans="1:9" ht="13.5">
      <c r="A7016" s="128">
        <v>2011</v>
      </c>
      <c r="B7016" s="128" t="s">
        <v>138</v>
      </c>
      <c r="C7016" s="128" t="s">
        <v>26</v>
      </c>
      <c r="D7016" s="128" t="s">
        <v>76</v>
      </c>
      <c r="E7016" s="128" t="s">
        <v>135</v>
      </c>
      <c r="F7016" s="128">
        <v>480578.88</v>
      </c>
      <c r="G7016" s="128">
        <v>153039.51999999999</v>
      </c>
      <c r="H7016" s="128">
        <v>327539.36</v>
      </c>
      <c r="I7016" s="128">
        <v>1120</v>
      </c>
    </row>
    <row r="7017" spans="1:9" ht="13.5">
      <c r="A7017" s="128">
        <v>2011</v>
      </c>
      <c r="B7017" s="128" t="s">
        <v>138</v>
      </c>
      <c r="C7017" s="128" t="s">
        <v>27</v>
      </c>
      <c r="D7017" s="128" t="s">
        <v>79</v>
      </c>
      <c r="E7017" s="128" t="s">
        <v>136</v>
      </c>
      <c r="F7017" s="128">
        <v>325734.09999999998</v>
      </c>
      <c r="G7017" s="128">
        <v>244016.73</v>
      </c>
      <c r="H7017" s="128">
        <v>81217.37</v>
      </c>
      <c r="I7017" s="128">
        <v>1472</v>
      </c>
    </row>
    <row r="7018" spans="1:9" ht="13.5">
      <c r="A7018" s="128">
        <v>2011</v>
      </c>
      <c r="B7018" s="128" t="s">
        <v>138</v>
      </c>
      <c r="C7018" s="128" t="s">
        <v>27</v>
      </c>
      <c r="D7018" s="128" t="s">
        <v>79</v>
      </c>
      <c r="E7018" s="128" t="s">
        <v>132</v>
      </c>
      <c r="F7018" s="128">
        <v>25157.599999999999</v>
      </c>
      <c r="G7018" s="128">
        <v>16499.11</v>
      </c>
      <c r="H7018" s="128">
        <v>5505.14</v>
      </c>
      <c r="I7018" s="128">
        <v>136</v>
      </c>
    </row>
    <row r="7019" spans="1:9" ht="13.5">
      <c r="A7019" s="128">
        <v>2011</v>
      </c>
      <c r="B7019" s="128" t="s">
        <v>138</v>
      </c>
      <c r="C7019" s="128" t="s">
        <v>27</v>
      </c>
      <c r="D7019" s="128" t="s">
        <v>79</v>
      </c>
      <c r="E7019" s="128" t="s">
        <v>133</v>
      </c>
      <c r="F7019" s="128">
        <v>71140</v>
      </c>
      <c r="G7019" s="128">
        <v>38589.35</v>
      </c>
      <c r="H7019" s="128">
        <v>12859.3</v>
      </c>
      <c r="I7019" s="128">
        <v>209</v>
      </c>
    </row>
    <row r="7020" spans="1:9" ht="13.5">
      <c r="A7020" s="128">
        <v>2011</v>
      </c>
      <c r="B7020" s="128" t="s">
        <v>138</v>
      </c>
      <c r="C7020" s="128" t="s">
        <v>27</v>
      </c>
      <c r="D7020" s="128" t="s">
        <v>79</v>
      </c>
      <c r="E7020" s="128" t="s">
        <v>134</v>
      </c>
      <c r="F7020" s="128">
        <v>199032.44</v>
      </c>
      <c r="G7020" s="128">
        <v>86826.51</v>
      </c>
      <c r="H7020" s="128">
        <v>29045.97</v>
      </c>
      <c r="I7020" s="128">
        <v>728</v>
      </c>
    </row>
    <row r="7021" spans="1:9" ht="13.5">
      <c r="A7021" s="128">
        <v>2011</v>
      </c>
      <c r="B7021" s="128" t="s">
        <v>138</v>
      </c>
      <c r="C7021" s="128" t="s">
        <v>27</v>
      </c>
      <c r="D7021" s="128" t="s">
        <v>79</v>
      </c>
      <c r="E7021" s="128" t="s">
        <v>135</v>
      </c>
      <c r="F7021" s="128">
        <v>1109058.54</v>
      </c>
      <c r="G7021" s="128">
        <v>298039.09999999998</v>
      </c>
      <c r="H7021" s="128">
        <v>99268.53</v>
      </c>
      <c r="I7021" s="128">
        <v>2048</v>
      </c>
    </row>
    <row r="7022" spans="1:9" ht="13.5">
      <c r="A7022" s="128">
        <v>2011</v>
      </c>
      <c r="B7022" s="128" t="s">
        <v>138</v>
      </c>
      <c r="C7022" s="128" t="s">
        <v>27</v>
      </c>
      <c r="D7022" s="128" t="s">
        <v>77</v>
      </c>
      <c r="E7022" s="128" t="s">
        <v>132</v>
      </c>
      <c r="F7022" s="128">
        <v>24576.61</v>
      </c>
      <c r="G7022" s="128">
        <v>16699.45</v>
      </c>
      <c r="H7022" s="128">
        <v>6639.6</v>
      </c>
      <c r="I7022" s="128">
        <v>106</v>
      </c>
    </row>
    <row r="7023" spans="1:9" ht="13.5">
      <c r="A7023" s="128">
        <v>2011</v>
      </c>
      <c r="B7023" s="128" t="s">
        <v>138</v>
      </c>
      <c r="C7023" s="128" t="s">
        <v>27</v>
      </c>
      <c r="D7023" s="128" t="s">
        <v>77</v>
      </c>
      <c r="E7023" s="128" t="s">
        <v>133</v>
      </c>
      <c r="F7023" s="128">
        <v>18700.669999999998</v>
      </c>
      <c r="G7023" s="128">
        <v>10148.450000000001</v>
      </c>
      <c r="H7023" s="128">
        <v>6138</v>
      </c>
      <c r="I7023" s="128">
        <v>67</v>
      </c>
    </row>
    <row r="7024" spans="1:9" ht="13.5">
      <c r="A7024" s="128">
        <v>2011</v>
      </c>
      <c r="B7024" s="128" t="s">
        <v>138</v>
      </c>
      <c r="C7024" s="128" t="s">
        <v>27</v>
      </c>
      <c r="D7024" s="128" t="s">
        <v>77</v>
      </c>
      <c r="E7024" s="128" t="s">
        <v>134</v>
      </c>
      <c r="F7024" s="128">
        <v>84172.45</v>
      </c>
      <c r="G7024" s="128">
        <v>36930.449999999997</v>
      </c>
      <c r="H7024" s="128">
        <v>31539.03</v>
      </c>
      <c r="I7024" s="128">
        <v>195</v>
      </c>
    </row>
    <row r="7025" spans="1:9" ht="13.5">
      <c r="A7025" s="128">
        <v>2011</v>
      </c>
      <c r="B7025" s="128" t="s">
        <v>138</v>
      </c>
      <c r="C7025" s="128" t="s">
        <v>27</v>
      </c>
      <c r="D7025" s="128" t="s">
        <v>77</v>
      </c>
      <c r="E7025" s="128" t="s">
        <v>135</v>
      </c>
      <c r="F7025" s="128">
        <v>235504.26</v>
      </c>
      <c r="G7025" s="128">
        <v>58702.95</v>
      </c>
      <c r="H7025" s="128">
        <v>60711.45</v>
      </c>
      <c r="I7025" s="128">
        <v>640</v>
      </c>
    </row>
    <row r="7026" spans="1:9" ht="13.5">
      <c r="A7026" s="128">
        <v>2011</v>
      </c>
      <c r="B7026" s="128" t="s">
        <v>138</v>
      </c>
      <c r="C7026" s="128" t="s">
        <v>27</v>
      </c>
      <c r="D7026" s="128" t="s">
        <v>76</v>
      </c>
      <c r="E7026" s="128" t="s">
        <v>136</v>
      </c>
      <c r="F7026" s="128">
        <v>123349.31</v>
      </c>
      <c r="G7026" s="128">
        <v>92578.76</v>
      </c>
      <c r="H7026" s="128">
        <v>30770.55</v>
      </c>
      <c r="I7026" s="128">
        <v>1437</v>
      </c>
    </row>
    <row r="7027" spans="1:9" ht="13.5">
      <c r="A7027" s="128">
        <v>2011</v>
      </c>
      <c r="B7027" s="128" t="s">
        <v>138</v>
      </c>
      <c r="C7027" s="128" t="s">
        <v>27</v>
      </c>
      <c r="D7027" s="128" t="s">
        <v>76</v>
      </c>
      <c r="E7027" s="128" t="s">
        <v>132</v>
      </c>
      <c r="F7027" s="128">
        <v>318657.32</v>
      </c>
      <c r="G7027" s="128">
        <v>202457.15</v>
      </c>
      <c r="H7027" s="128">
        <v>116197.67</v>
      </c>
      <c r="I7027" s="128">
        <v>4596</v>
      </c>
    </row>
    <row r="7028" spans="1:9" ht="13.5">
      <c r="A7028" s="128">
        <v>2011</v>
      </c>
      <c r="B7028" s="128" t="s">
        <v>138</v>
      </c>
      <c r="C7028" s="128" t="s">
        <v>27</v>
      </c>
      <c r="D7028" s="128" t="s">
        <v>76</v>
      </c>
      <c r="E7028" s="128" t="s">
        <v>133</v>
      </c>
      <c r="F7028" s="128">
        <v>1022095.53</v>
      </c>
      <c r="G7028" s="128">
        <v>555711.05000000005</v>
      </c>
      <c r="H7028" s="128">
        <v>466377.56</v>
      </c>
      <c r="I7028" s="128">
        <v>4882</v>
      </c>
    </row>
    <row r="7029" spans="1:9" ht="13.5">
      <c r="A7029" s="128">
        <v>2011</v>
      </c>
      <c r="B7029" s="128" t="s">
        <v>138</v>
      </c>
      <c r="C7029" s="128" t="s">
        <v>27</v>
      </c>
      <c r="D7029" s="128" t="s">
        <v>76</v>
      </c>
      <c r="E7029" s="128" t="s">
        <v>134</v>
      </c>
      <c r="F7029" s="128">
        <v>1129608.02</v>
      </c>
      <c r="G7029" s="128">
        <v>522016.35</v>
      </c>
      <c r="H7029" s="128">
        <v>607584.25</v>
      </c>
      <c r="I7029" s="128">
        <v>6032</v>
      </c>
    </row>
    <row r="7030" spans="1:9" ht="13.5">
      <c r="A7030" s="128">
        <v>2011</v>
      </c>
      <c r="B7030" s="128" t="s">
        <v>138</v>
      </c>
      <c r="C7030" s="128" t="s">
        <v>27</v>
      </c>
      <c r="D7030" s="128" t="s">
        <v>76</v>
      </c>
      <c r="E7030" s="128" t="s">
        <v>135</v>
      </c>
      <c r="F7030" s="128">
        <v>62043.05</v>
      </c>
      <c r="G7030" s="128">
        <v>19753.400000000001</v>
      </c>
      <c r="H7030" s="128">
        <v>42289.65</v>
      </c>
      <c r="I7030" s="128">
        <v>103</v>
      </c>
    </row>
    <row r="7031" spans="1:9" ht="13.5">
      <c r="A7031" s="128">
        <v>2011</v>
      </c>
      <c r="B7031" s="128" t="s">
        <v>139</v>
      </c>
      <c r="C7031" s="128" t="s">
        <v>20</v>
      </c>
      <c r="D7031" s="128" t="s">
        <v>79</v>
      </c>
      <c r="E7031" s="128" t="s">
        <v>136</v>
      </c>
      <c r="F7031" s="128">
        <v>31510627.32</v>
      </c>
      <c r="G7031" s="128">
        <v>23680299.809999999</v>
      </c>
      <c r="H7031" s="128">
        <v>7827331.9100000001</v>
      </c>
      <c r="I7031" s="128">
        <v>500048</v>
      </c>
    </row>
    <row r="7032" spans="1:9" ht="13.5">
      <c r="A7032" s="128">
        <v>2011</v>
      </c>
      <c r="B7032" s="128" t="s">
        <v>139</v>
      </c>
      <c r="C7032" s="128" t="s">
        <v>20</v>
      </c>
      <c r="D7032" s="128" t="s">
        <v>79</v>
      </c>
      <c r="E7032" s="128" t="s">
        <v>132</v>
      </c>
      <c r="F7032" s="128">
        <v>2298003.56</v>
      </c>
      <c r="G7032" s="128">
        <v>1541051.19</v>
      </c>
      <c r="H7032" s="128">
        <v>511479.47</v>
      </c>
      <c r="I7032" s="128">
        <v>12864</v>
      </c>
    </row>
    <row r="7033" spans="1:9" ht="13.5">
      <c r="A7033" s="128">
        <v>2011</v>
      </c>
      <c r="B7033" s="128" t="s">
        <v>139</v>
      </c>
      <c r="C7033" s="128" t="s">
        <v>20</v>
      </c>
      <c r="D7033" s="128" t="s">
        <v>79</v>
      </c>
      <c r="E7033" s="128" t="s">
        <v>133</v>
      </c>
      <c r="F7033" s="128">
        <v>2890907.69</v>
      </c>
      <c r="G7033" s="128">
        <v>1560475.45</v>
      </c>
      <c r="H7033" s="128">
        <v>524278.62</v>
      </c>
      <c r="I7033" s="128">
        <v>14206</v>
      </c>
    </row>
    <row r="7034" spans="1:9" ht="13.5">
      <c r="A7034" s="128">
        <v>2011</v>
      </c>
      <c r="B7034" s="128" t="s">
        <v>139</v>
      </c>
      <c r="C7034" s="128" t="s">
        <v>20</v>
      </c>
      <c r="D7034" s="128" t="s">
        <v>79</v>
      </c>
      <c r="E7034" s="128" t="s">
        <v>134</v>
      </c>
      <c r="F7034" s="128">
        <v>13494484.98</v>
      </c>
      <c r="G7034" s="128">
        <v>5707927.25</v>
      </c>
      <c r="H7034" s="128">
        <v>1912140.01</v>
      </c>
      <c r="I7034" s="128">
        <v>65920</v>
      </c>
    </row>
    <row r="7035" spans="1:9" ht="13.5">
      <c r="A7035" s="128">
        <v>2011</v>
      </c>
      <c r="B7035" s="128" t="s">
        <v>139</v>
      </c>
      <c r="C7035" s="128" t="s">
        <v>20</v>
      </c>
      <c r="D7035" s="128" t="s">
        <v>79</v>
      </c>
      <c r="E7035" s="128" t="s">
        <v>135</v>
      </c>
      <c r="F7035" s="128">
        <v>80424582.109999999</v>
      </c>
      <c r="G7035" s="128">
        <v>20590944.129999999</v>
      </c>
      <c r="H7035" s="128">
        <v>6904805.5099999998</v>
      </c>
      <c r="I7035" s="128">
        <v>140346</v>
      </c>
    </row>
    <row r="7036" spans="1:9" ht="13.5">
      <c r="A7036" s="128">
        <v>2011</v>
      </c>
      <c r="B7036" s="128" t="s">
        <v>139</v>
      </c>
      <c r="C7036" s="128" t="s">
        <v>20</v>
      </c>
      <c r="D7036" s="128" t="s">
        <v>77</v>
      </c>
      <c r="E7036" s="128" t="s">
        <v>132</v>
      </c>
      <c r="F7036" s="128">
        <v>1380636.62</v>
      </c>
      <c r="G7036" s="128">
        <v>897054.75</v>
      </c>
      <c r="H7036" s="128">
        <v>368895.86</v>
      </c>
      <c r="I7036" s="128">
        <v>8580</v>
      </c>
    </row>
    <row r="7037" spans="1:9" ht="13.5">
      <c r="A7037" s="128">
        <v>2011</v>
      </c>
      <c r="B7037" s="128" t="s">
        <v>139</v>
      </c>
      <c r="C7037" s="128" t="s">
        <v>20</v>
      </c>
      <c r="D7037" s="128" t="s">
        <v>77</v>
      </c>
      <c r="E7037" s="128" t="s">
        <v>133</v>
      </c>
      <c r="F7037" s="128">
        <v>2694728.83</v>
      </c>
      <c r="G7037" s="128">
        <v>1455836.39</v>
      </c>
      <c r="H7037" s="128">
        <v>949517.94</v>
      </c>
      <c r="I7037" s="128">
        <v>9670</v>
      </c>
    </row>
    <row r="7038" spans="1:9" ht="13.5">
      <c r="A7038" s="128">
        <v>2011</v>
      </c>
      <c r="B7038" s="128" t="s">
        <v>139</v>
      </c>
      <c r="C7038" s="128" t="s">
        <v>20</v>
      </c>
      <c r="D7038" s="128" t="s">
        <v>77</v>
      </c>
      <c r="E7038" s="128" t="s">
        <v>134</v>
      </c>
      <c r="F7038" s="128">
        <v>4482196.57</v>
      </c>
      <c r="G7038" s="128">
        <v>1949746.72</v>
      </c>
      <c r="H7038" s="128">
        <v>1796351.89</v>
      </c>
      <c r="I7038" s="128">
        <v>14151</v>
      </c>
    </row>
    <row r="7039" spans="1:9" ht="13.5">
      <c r="A7039" s="128">
        <v>2011</v>
      </c>
      <c r="B7039" s="128" t="s">
        <v>139</v>
      </c>
      <c r="C7039" s="128" t="s">
        <v>20</v>
      </c>
      <c r="D7039" s="128" t="s">
        <v>77</v>
      </c>
      <c r="E7039" s="128" t="s">
        <v>135</v>
      </c>
      <c r="F7039" s="128">
        <v>6591406.6299999999</v>
      </c>
      <c r="G7039" s="128">
        <v>1721941.53</v>
      </c>
      <c r="H7039" s="128">
        <v>1711769.39</v>
      </c>
      <c r="I7039" s="128">
        <v>16681</v>
      </c>
    </row>
    <row r="7040" spans="1:9" ht="13.5">
      <c r="A7040" s="128">
        <v>2011</v>
      </c>
      <c r="B7040" s="128" t="s">
        <v>139</v>
      </c>
      <c r="C7040" s="128" t="s">
        <v>20</v>
      </c>
      <c r="D7040" s="128" t="s">
        <v>76</v>
      </c>
      <c r="E7040" s="128" t="s">
        <v>136</v>
      </c>
      <c r="F7040" s="128">
        <v>10998670.859999999</v>
      </c>
      <c r="G7040" s="128">
        <v>8264141.9500000002</v>
      </c>
      <c r="H7040" s="128">
        <v>2734815.49</v>
      </c>
      <c r="I7040" s="128">
        <v>320755</v>
      </c>
    </row>
    <row r="7041" spans="1:9" ht="13.5">
      <c r="A7041" s="128">
        <v>2011</v>
      </c>
      <c r="B7041" s="128" t="s">
        <v>139</v>
      </c>
      <c r="C7041" s="128" t="s">
        <v>20</v>
      </c>
      <c r="D7041" s="128" t="s">
        <v>76</v>
      </c>
      <c r="E7041" s="128" t="s">
        <v>132</v>
      </c>
      <c r="F7041" s="128">
        <v>30444618.780000001</v>
      </c>
      <c r="G7041" s="128">
        <v>19540403.010000002</v>
      </c>
      <c r="H7041" s="128">
        <v>10903816.85</v>
      </c>
      <c r="I7041" s="128">
        <v>318751</v>
      </c>
    </row>
    <row r="7042" spans="1:9" ht="13.5">
      <c r="A7042" s="128">
        <v>2011</v>
      </c>
      <c r="B7042" s="128" t="s">
        <v>139</v>
      </c>
      <c r="C7042" s="128" t="s">
        <v>20</v>
      </c>
      <c r="D7042" s="128" t="s">
        <v>76</v>
      </c>
      <c r="E7042" s="128" t="s">
        <v>133</v>
      </c>
      <c r="F7042" s="128">
        <v>65332627.729999997</v>
      </c>
      <c r="G7042" s="128">
        <v>36019856.420000002</v>
      </c>
      <c r="H7042" s="128">
        <v>29312577.120000001</v>
      </c>
      <c r="I7042" s="128">
        <v>371308</v>
      </c>
    </row>
    <row r="7043" spans="1:9" ht="13.5">
      <c r="A7043" s="128">
        <v>2011</v>
      </c>
      <c r="B7043" s="128" t="s">
        <v>139</v>
      </c>
      <c r="C7043" s="128" t="s">
        <v>20</v>
      </c>
      <c r="D7043" s="128" t="s">
        <v>76</v>
      </c>
      <c r="E7043" s="128" t="s">
        <v>134</v>
      </c>
      <c r="F7043" s="128">
        <v>59088981.060000002</v>
      </c>
      <c r="G7043" s="128">
        <v>27034701.649999999</v>
      </c>
      <c r="H7043" s="128">
        <v>32054110.149999999</v>
      </c>
      <c r="I7043" s="128">
        <v>353699</v>
      </c>
    </row>
    <row r="7044" spans="1:9" ht="13.5">
      <c r="A7044" s="128">
        <v>2011</v>
      </c>
      <c r="B7044" s="128" t="s">
        <v>139</v>
      </c>
      <c r="C7044" s="128" t="s">
        <v>20</v>
      </c>
      <c r="D7044" s="128" t="s">
        <v>76</v>
      </c>
      <c r="E7044" s="128" t="s">
        <v>135</v>
      </c>
      <c r="F7044" s="128">
        <v>9070782.9299999997</v>
      </c>
      <c r="G7044" s="128">
        <v>2812776.56</v>
      </c>
      <c r="H7044" s="128">
        <v>6258005.79</v>
      </c>
      <c r="I7044" s="128">
        <v>33705</v>
      </c>
    </row>
    <row r="7045" spans="1:9" ht="13.5">
      <c r="A7045" s="128">
        <v>2011</v>
      </c>
      <c r="B7045" s="128" t="s">
        <v>139</v>
      </c>
      <c r="C7045" s="128" t="s">
        <v>21</v>
      </c>
      <c r="D7045" s="128" t="s">
        <v>79</v>
      </c>
      <c r="E7045" s="128" t="s">
        <v>136</v>
      </c>
      <c r="F7045" s="128">
        <v>10502292.890000001</v>
      </c>
      <c r="G7045" s="128">
        <v>7892227.2300000004</v>
      </c>
      <c r="H7045" s="128">
        <v>2609133.87</v>
      </c>
      <c r="I7045" s="128">
        <v>94174</v>
      </c>
    </row>
    <row r="7046" spans="1:9" ht="13.5">
      <c r="A7046" s="128">
        <v>2011</v>
      </c>
      <c r="B7046" s="128" t="s">
        <v>139</v>
      </c>
      <c r="C7046" s="128" t="s">
        <v>21</v>
      </c>
      <c r="D7046" s="128" t="s">
        <v>79</v>
      </c>
      <c r="E7046" s="128" t="s">
        <v>132</v>
      </c>
      <c r="F7046" s="128">
        <v>1456362.52</v>
      </c>
      <c r="G7046" s="128">
        <v>965255.55</v>
      </c>
      <c r="H7046" s="128">
        <v>321153.77</v>
      </c>
      <c r="I7046" s="128">
        <v>8603</v>
      </c>
    </row>
    <row r="7047" spans="1:9" ht="13.5">
      <c r="A7047" s="128">
        <v>2011</v>
      </c>
      <c r="B7047" s="128" t="s">
        <v>139</v>
      </c>
      <c r="C7047" s="128" t="s">
        <v>21</v>
      </c>
      <c r="D7047" s="128" t="s">
        <v>79</v>
      </c>
      <c r="E7047" s="128" t="s">
        <v>133</v>
      </c>
      <c r="F7047" s="128">
        <v>2026897.39</v>
      </c>
      <c r="G7047" s="128">
        <v>1108152.83</v>
      </c>
      <c r="H7047" s="128">
        <v>370976.3</v>
      </c>
      <c r="I7047" s="128">
        <v>18166</v>
      </c>
    </row>
    <row r="7048" spans="1:9" ht="13.5">
      <c r="A7048" s="128">
        <v>2011</v>
      </c>
      <c r="B7048" s="128" t="s">
        <v>139</v>
      </c>
      <c r="C7048" s="128" t="s">
        <v>21</v>
      </c>
      <c r="D7048" s="128" t="s">
        <v>79</v>
      </c>
      <c r="E7048" s="128" t="s">
        <v>134</v>
      </c>
      <c r="F7048" s="128">
        <v>4406938.8899999997</v>
      </c>
      <c r="G7048" s="128">
        <v>1882183.13</v>
      </c>
      <c r="H7048" s="128">
        <v>626421.36</v>
      </c>
      <c r="I7048" s="128">
        <v>19959</v>
      </c>
    </row>
    <row r="7049" spans="1:9" ht="13.5">
      <c r="A7049" s="128">
        <v>2011</v>
      </c>
      <c r="B7049" s="128" t="s">
        <v>139</v>
      </c>
      <c r="C7049" s="128" t="s">
        <v>21</v>
      </c>
      <c r="D7049" s="128" t="s">
        <v>79</v>
      </c>
      <c r="E7049" s="128" t="s">
        <v>135</v>
      </c>
      <c r="F7049" s="128">
        <v>19378522.059999999</v>
      </c>
      <c r="G7049" s="128">
        <v>5122302.32</v>
      </c>
      <c r="H7049" s="128">
        <v>1710845.26</v>
      </c>
      <c r="I7049" s="128">
        <v>44964</v>
      </c>
    </row>
    <row r="7050" spans="1:9" ht="13.5">
      <c r="A7050" s="128">
        <v>2011</v>
      </c>
      <c r="B7050" s="128" t="s">
        <v>139</v>
      </c>
      <c r="C7050" s="128" t="s">
        <v>21</v>
      </c>
      <c r="D7050" s="128" t="s">
        <v>77</v>
      </c>
      <c r="E7050" s="128" t="s">
        <v>132</v>
      </c>
      <c r="F7050" s="128">
        <v>2533971.0299999998</v>
      </c>
      <c r="G7050" s="128">
        <v>1682879.43</v>
      </c>
      <c r="H7050" s="128">
        <v>705483.57</v>
      </c>
      <c r="I7050" s="128">
        <v>14495</v>
      </c>
    </row>
    <row r="7051" spans="1:9" ht="13.5">
      <c r="A7051" s="128">
        <v>2011</v>
      </c>
      <c r="B7051" s="128" t="s">
        <v>139</v>
      </c>
      <c r="C7051" s="128" t="s">
        <v>21</v>
      </c>
      <c r="D7051" s="128" t="s">
        <v>77</v>
      </c>
      <c r="E7051" s="128" t="s">
        <v>133</v>
      </c>
      <c r="F7051" s="128">
        <v>4869083.71</v>
      </c>
      <c r="G7051" s="128">
        <v>2661109.54</v>
      </c>
      <c r="H7051" s="128">
        <v>1775595.42</v>
      </c>
      <c r="I7051" s="128">
        <v>18906</v>
      </c>
    </row>
    <row r="7052" spans="1:9" ht="13.5">
      <c r="A7052" s="128">
        <v>2011</v>
      </c>
      <c r="B7052" s="128" t="s">
        <v>139</v>
      </c>
      <c r="C7052" s="128" t="s">
        <v>21</v>
      </c>
      <c r="D7052" s="128" t="s">
        <v>77</v>
      </c>
      <c r="E7052" s="128" t="s">
        <v>134</v>
      </c>
      <c r="F7052" s="128">
        <v>6449637.9500000002</v>
      </c>
      <c r="G7052" s="128">
        <v>2820186.2</v>
      </c>
      <c r="H7052" s="128">
        <v>2481411.4</v>
      </c>
      <c r="I7052" s="128">
        <v>18385</v>
      </c>
    </row>
    <row r="7053" spans="1:9" ht="13.5">
      <c r="A7053" s="128">
        <v>2011</v>
      </c>
      <c r="B7053" s="128" t="s">
        <v>139</v>
      </c>
      <c r="C7053" s="128" t="s">
        <v>21</v>
      </c>
      <c r="D7053" s="128" t="s">
        <v>77</v>
      </c>
      <c r="E7053" s="128" t="s">
        <v>135</v>
      </c>
      <c r="F7053" s="128">
        <v>9440912.5</v>
      </c>
      <c r="G7053" s="128">
        <v>2545282.02</v>
      </c>
      <c r="H7053" s="128">
        <v>2553998.73</v>
      </c>
      <c r="I7053" s="128">
        <v>23966</v>
      </c>
    </row>
    <row r="7054" spans="1:9" ht="13.5">
      <c r="A7054" s="128">
        <v>2011</v>
      </c>
      <c r="B7054" s="128" t="s">
        <v>139</v>
      </c>
      <c r="C7054" s="128" t="s">
        <v>21</v>
      </c>
      <c r="D7054" s="128" t="s">
        <v>76</v>
      </c>
      <c r="E7054" s="128" t="s">
        <v>136</v>
      </c>
      <c r="F7054" s="128">
        <v>11804997.42</v>
      </c>
      <c r="G7054" s="128">
        <v>8878664.8200000003</v>
      </c>
      <c r="H7054" s="128">
        <v>2926354.58</v>
      </c>
      <c r="I7054" s="128">
        <v>247051</v>
      </c>
    </row>
    <row r="7055" spans="1:9" ht="13.5">
      <c r="A7055" s="128">
        <v>2011</v>
      </c>
      <c r="B7055" s="128" t="s">
        <v>139</v>
      </c>
      <c r="C7055" s="128" t="s">
        <v>21</v>
      </c>
      <c r="D7055" s="128" t="s">
        <v>76</v>
      </c>
      <c r="E7055" s="128" t="s">
        <v>132</v>
      </c>
      <c r="F7055" s="128">
        <v>32497679.550000001</v>
      </c>
      <c r="G7055" s="128">
        <v>20868402.949999999</v>
      </c>
      <c r="H7055" s="128">
        <v>11629042.210000001</v>
      </c>
      <c r="I7055" s="128">
        <v>337417</v>
      </c>
    </row>
    <row r="7056" spans="1:9" ht="13.5">
      <c r="A7056" s="128">
        <v>2011</v>
      </c>
      <c r="B7056" s="128" t="s">
        <v>139</v>
      </c>
      <c r="C7056" s="128" t="s">
        <v>21</v>
      </c>
      <c r="D7056" s="128" t="s">
        <v>76</v>
      </c>
      <c r="E7056" s="128" t="s">
        <v>133</v>
      </c>
      <c r="F7056" s="128">
        <v>75333021.950000003</v>
      </c>
      <c r="G7056" s="128">
        <v>41755765.57</v>
      </c>
      <c r="H7056" s="128">
        <v>33577190.960000001</v>
      </c>
      <c r="I7056" s="128">
        <v>564357</v>
      </c>
    </row>
    <row r="7057" spans="1:9" ht="13.5">
      <c r="A7057" s="128">
        <v>2011</v>
      </c>
      <c r="B7057" s="128" t="s">
        <v>139</v>
      </c>
      <c r="C7057" s="128" t="s">
        <v>21</v>
      </c>
      <c r="D7057" s="128" t="s">
        <v>76</v>
      </c>
      <c r="E7057" s="128" t="s">
        <v>134</v>
      </c>
      <c r="F7057" s="128">
        <v>66699898.659999996</v>
      </c>
      <c r="G7057" s="128">
        <v>30317288.75</v>
      </c>
      <c r="H7057" s="128">
        <v>36382539.5</v>
      </c>
      <c r="I7057" s="128">
        <v>368905</v>
      </c>
    </row>
    <row r="7058" spans="1:9" ht="13.5">
      <c r="A7058" s="128">
        <v>2011</v>
      </c>
      <c r="B7058" s="128" t="s">
        <v>139</v>
      </c>
      <c r="C7058" s="128" t="s">
        <v>21</v>
      </c>
      <c r="D7058" s="128" t="s">
        <v>76</v>
      </c>
      <c r="E7058" s="128" t="s">
        <v>135</v>
      </c>
      <c r="F7058" s="128">
        <v>4377830.1399999997</v>
      </c>
      <c r="G7058" s="128">
        <v>1249423.6000000001</v>
      </c>
      <c r="H7058" s="128">
        <v>3128406.54</v>
      </c>
      <c r="I7058" s="128">
        <v>9123</v>
      </c>
    </row>
    <row r="7059" spans="1:9" ht="13.5">
      <c r="A7059" s="128">
        <v>2011</v>
      </c>
      <c r="B7059" s="128" t="s">
        <v>139</v>
      </c>
      <c r="C7059" s="128" t="s">
        <v>22</v>
      </c>
      <c r="D7059" s="128" t="s">
        <v>79</v>
      </c>
      <c r="E7059" s="128" t="s">
        <v>136</v>
      </c>
      <c r="F7059" s="128">
        <v>8221159.6299999999</v>
      </c>
      <c r="G7059" s="128">
        <v>6172897.5099999998</v>
      </c>
      <c r="H7059" s="128">
        <v>2042390.07</v>
      </c>
      <c r="I7059" s="128">
        <v>64097</v>
      </c>
    </row>
    <row r="7060" spans="1:9" ht="13.5">
      <c r="A7060" s="128">
        <v>2011</v>
      </c>
      <c r="B7060" s="128" t="s">
        <v>139</v>
      </c>
      <c r="C7060" s="128" t="s">
        <v>22</v>
      </c>
      <c r="D7060" s="128" t="s">
        <v>79</v>
      </c>
      <c r="E7060" s="128" t="s">
        <v>132</v>
      </c>
      <c r="F7060" s="128">
        <v>1627046.45</v>
      </c>
      <c r="G7060" s="128">
        <v>1083772.67</v>
      </c>
      <c r="H7060" s="128">
        <v>361102.25</v>
      </c>
      <c r="I7060" s="128">
        <v>9551</v>
      </c>
    </row>
    <row r="7061" spans="1:9" ht="13.5">
      <c r="A7061" s="128">
        <v>2011</v>
      </c>
      <c r="B7061" s="128" t="s">
        <v>139</v>
      </c>
      <c r="C7061" s="128" t="s">
        <v>22</v>
      </c>
      <c r="D7061" s="128" t="s">
        <v>79</v>
      </c>
      <c r="E7061" s="128" t="s">
        <v>133</v>
      </c>
      <c r="F7061" s="128">
        <v>2878685.12</v>
      </c>
      <c r="G7061" s="128">
        <v>1569233.74</v>
      </c>
      <c r="H7061" s="128">
        <v>537382.42000000004</v>
      </c>
      <c r="I7061" s="128">
        <v>12772</v>
      </c>
    </row>
    <row r="7062" spans="1:9" ht="13.5">
      <c r="A7062" s="128">
        <v>2011</v>
      </c>
      <c r="B7062" s="128" t="s">
        <v>139</v>
      </c>
      <c r="C7062" s="128" t="s">
        <v>22</v>
      </c>
      <c r="D7062" s="128" t="s">
        <v>79</v>
      </c>
      <c r="E7062" s="128" t="s">
        <v>134</v>
      </c>
      <c r="F7062" s="128">
        <v>8183760.5599999996</v>
      </c>
      <c r="G7062" s="128">
        <v>3464400.53</v>
      </c>
      <c r="H7062" s="128">
        <v>1156414.8500000001</v>
      </c>
      <c r="I7062" s="128">
        <v>26562</v>
      </c>
    </row>
    <row r="7063" spans="1:9" ht="13.5">
      <c r="A7063" s="128">
        <v>2011</v>
      </c>
      <c r="B7063" s="128" t="s">
        <v>139</v>
      </c>
      <c r="C7063" s="128" t="s">
        <v>22</v>
      </c>
      <c r="D7063" s="128" t="s">
        <v>79</v>
      </c>
      <c r="E7063" s="128" t="s">
        <v>135</v>
      </c>
      <c r="F7063" s="128">
        <v>41095021.75</v>
      </c>
      <c r="G7063" s="128">
        <v>10939204.109999999</v>
      </c>
      <c r="H7063" s="128">
        <v>3653098.47</v>
      </c>
      <c r="I7063" s="128">
        <v>76896</v>
      </c>
    </row>
    <row r="7064" spans="1:9" ht="13.5">
      <c r="A7064" s="128">
        <v>2011</v>
      </c>
      <c r="B7064" s="128" t="s">
        <v>139</v>
      </c>
      <c r="C7064" s="128" t="s">
        <v>22</v>
      </c>
      <c r="D7064" s="128" t="s">
        <v>77</v>
      </c>
      <c r="E7064" s="128" t="s">
        <v>132</v>
      </c>
      <c r="F7064" s="128">
        <v>775082.63</v>
      </c>
      <c r="G7064" s="128">
        <v>503216.93</v>
      </c>
      <c r="H7064" s="128">
        <v>220177.88</v>
      </c>
      <c r="I7064" s="128">
        <v>3727</v>
      </c>
    </row>
    <row r="7065" spans="1:9" ht="13.5">
      <c r="A7065" s="128">
        <v>2011</v>
      </c>
      <c r="B7065" s="128" t="s">
        <v>139</v>
      </c>
      <c r="C7065" s="128" t="s">
        <v>22</v>
      </c>
      <c r="D7065" s="128" t="s">
        <v>77</v>
      </c>
      <c r="E7065" s="128" t="s">
        <v>133</v>
      </c>
      <c r="F7065" s="128">
        <v>2671276.5499999998</v>
      </c>
      <c r="G7065" s="128">
        <v>1450835.47</v>
      </c>
      <c r="H7065" s="128">
        <v>938622.65</v>
      </c>
      <c r="I7065" s="128">
        <v>11133</v>
      </c>
    </row>
    <row r="7066" spans="1:9" ht="13.5">
      <c r="A7066" s="128">
        <v>2011</v>
      </c>
      <c r="B7066" s="128" t="s">
        <v>139</v>
      </c>
      <c r="C7066" s="128" t="s">
        <v>22</v>
      </c>
      <c r="D7066" s="128" t="s">
        <v>77</v>
      </c>
      <c r="E7066" s="128" t="s">
        <v>134</v>
      </c>
      <c r="F7066" s="128">
        <v>3993330.88</v>
      </c>
      <c r="G7066" s="128">
        <v>1728531.18</v>
      </c>
      <c r="H7066" s="128">
        <v>1551004.67</v>
      </c>
      <c r="I7066" s="128">
        <v>9099</v>
      </c>
    </row>
    <row r="7067" spans="1:9" ht="13.5">
      <c r="A7067" s="128">
        <v>2011</v>
      </c>
      <c r="B7067" s="128" t="s">
        <v>139</v>
      </c>
      <c r="C7067" s="128" t="s">
        <v>22</v>
      </c>
      <c r="D7067" s="128" t="s">
        <v>77</v>
      </c>
      <c r="E7067" s="128" t="s">
        <v>135</v>
      </c>
      <c r="F7067" s="128">
        <v>8208914.4699999997</v>
      </c>
      <c r="G7067" s="128">
        <v>2242463.4700000002</v>
      </c>
      <c r="H7067" s="128">
        <v>2358434.83</v>
      </c>
      <c r="I7067" s="128">
        <v>19843</v>
      </c>
    </row>
    <row r="7068" spans="1:9" ht="13.5">
      <c r="A7068" s="128">
        <v>2011</v>
      </c>
      <c r="B7068" s="128" t="s">
        <v>139</v>
      </c>
      <c r="C7068" s="128" t="s">
        <v>22</v>
      </c>
      <c r="D7068" s="128" t="s">
        <v>76</v>
      </c>
      <c r="E7068" s="128" t="s">
        <v>136</v>
      </c>
      <c r="F7068" s="128">
        <v>4807000.74</v>
      </c>
      <c r="G7068" s="128">
        <v>3613251.76</v>
      </c>
      <c r="H7068" s="128">
        <v>1193747.33</v>
      </c>
      <c r="I7068" s="128">
        <v>94725</v>
      </c>
    </row>
    <row r="7069" spans="1:9" ht="13.5">
      <c r="A7069" s="128">
        <v>2011</v>
      </c>
      <c r="B7069" s="128" t="s">
        <v>139</v>
      </c>
      <c r="C7069" s="128" t="s">
        <v>22</v>
      </c>
      <c r="D7069" s="128" t="s">
        <v>76</v>
      </c>
      <c r="E7069" s="128" t="s">
        <v>132</v>
      </c>
      <c r="F7069" s="128">
        <v>26197990.370000001</v>
      </c>
      <c r="G7069" s="128">
        <v>16849698.300000001</v>
      </c>
      <c r="H7069" s="128">
        <v>9347980.6099999994</v>
      </c>
      <c r="I7069" s="128">
        <v>285965</v>
      </c>
    </row>
    <row r="7070" spans="1:9" ht="13.5">
      <c r="A7070" s="128">
        <v>2011</v>
      </c>
      <c r="B7070" s="128" t="s">
        <v>139</v>
      </c>
      <c r="C7070" s="128" t="s">
        <v>22</v>
      </c>
      <c r="D7070" s="128" t="s">
        <v>76</v>
      </c>
      <c r="E7070" s="128" t="s">
        <v>133</v>
      </c>
      <c r="F7070" s="128">
        <v>56624082.049999997</v>
      </c>
      <c r="G7070" s="128">
        <v>31600027.100000001</v>
      </c>
      <c r="H7070" s="128">
        <v>25023931.149999999</v>
      </c>
      <c r="I7070" s="128">
        <v>535459</v>
      </c>
    </row>
    <row r="7071" spans="1:9" ht="13.5">
      <c r="A7071" s="128">
        <v>2011</v>
      </c>
      <c r="B7071" s="128" t="s">
        <v>139</v>
      </c>
      <c r="C7071" s="128" t="s">
        <v>22</v>
      </c>
      <c r="D7071" s="128" t="s">
        <v>76</v>
      </c>
      <c r="E7071" s="128" t="s">
        <v>134</v>
      </c>
      <c r="F7071" s="128">
        <v>38760928.149999999</v>
      </c>
      <c r="G7071" s="128">
        <v>17930503.02</v>
      </c>
      <c r="H7071" s="128">
        <v>20830352.420000002</v>
      </c>
      <c r="I7071" s="128">
        <v>241564</v>
      </c>
    </row>
    <row r="7072" spans="1:9" ht="13.5">
      <c r="A7072" s="128">
        <v>2011</v>
      </c>
      <c r="B7072" s="128" t="s">
        <v>139</v>
      </c>
      <c r="C7072" s="128" t="s">
        <v>22</v>
      </c>
      <c r="D7072" s="128" t="s">
        <v>76</v>
      </c>
      <c r="E7072" s="128" t="s">
        <v>135</v>
      </c>
      <c r="F7072" s="128">
        <v>5737288.1100000003</v>
      </c>
      <c r="G7072" s="128">
        <v>1676024.76</v>
      </c>
      <c r="H7072" s="128">
        <v>4061253.12</v>
      </c>
      <c r="I7072" s="128">
        <v>9409</v>
      </c>
    </row>
    <row r="7073" spans="1:9" ht="13.5">
      <c r="A7073" s="128">
        <v>2011</v>
      </c>
      <c r="B7073" s="128" t="s">
        <v>139</v>
      </c>
      <c r="C7073" s="128" t="s">
        <v>23</v>
      </c>
      <c r="D7073" s="128" t="s">
        <v>79</v>
      </c>
      <c r="E7073" s="128" t="s">
        <v>136</v>
      </c>
      <c r="F7073" s="128">
        <v>3350725.13</v>
      </c>
      <c r="G7073" s="128">
        <v>2514434.9900000002</v>
      </c>
      <c r="H7073" s="128">
        <v>835702.64</v>
      </c>
      <c r="I7073" s="128">
        <v>50083</v>
      </c>
    </row>
    <row r="7074" spans="1:9" ht="13.5">
      <c r="A7074" s="128">
        <v>2011</v>
      </c>
      <c r="B7074" s="128" t="s">
        <v>139</v>
      </c>
      <c r="C7074" s="128" t="s">
        <v>23</v>
      </c>
      <c r="D7074" s="128" t="s">
        <v>79</v>
      </c>
      <c r="E7074" s="128" t="s">
        <v>132</v>
      </c>
      <c r="F7074" s="128">
        <v>254511.06</v>
      </c>
      <c r="G7074" s="128">
        <v>167252.1</v>
      </c>
      <c r="H7074" s="128">
        <v>57847.38</v>
      </c>
      <c r="I7074" s="128">
        <v>2021</v>
      </c>
    </row>
    <row r="7075" spans="1:9" ht="13.5">
      <c r="A7075" s="128">
        <v>2011</v>
      </c>
      <c r="B7075" s="128" t="s">
        <v>139</v>
      </c>
      <c r="C7075" s="128" t="s">
        <v>23</v>
      </c>
      <c r="D7075" s="128" t="s">
        <v>79</v>
      </c>
      <c r="E7075" s="128" t="s">
        <v>133</v>
      </c>
      <c r="F7075" s="128">
        <v>709409.77</v>
      </c>
      <c r="G7075" s="128">
        <v>378044.83</v>
      </c>
      <c r="H7075" s="128">
        <v>134302.46</v>
      </c>
      <c r="I7075" s="128">
        <v>3405</v>
      </c>
    </row>
    <row r="7076" spans="1:9" ht="13.5">
      <c r="A7076" s="128">
        <v>2011</v>
      </c>
      <c r="B7076" s="128" t="s">
        <v>139</v>
      </c>
      <c r="C7076" s="128" t="s">
        <v>23</v>
      </c>
      <c r="D7076" s="128" t="s">
        <v>79</v>
      </c>
      <c r="E7076" s="128" t="s">
        <v>134</v>
      </c>
      <c r="F7076" s="128">
        <v>590551.76</v>
      </c>
      <c r="G7076" s="128">
        <v>258927.04</v>
      </c>
      <c r="H7076" s="128">
        <v>91499.44</v>
      </c>
      <c r="I7076" s="128">
        <v>2605</v>
      </c>
    </row>
    <row r="7077" spans="1:9" ht="13.5">
      <c r="A7077" s="128">
        <v>2011</v>
      </c>
      <c r="B7077" s="128" t="s">
        <v>139</v>
      </c>
      <c r="C7077" s="128" t="s">
        <v>23</v>
      </c>
      <c r="D7077" s="128" t="s">
        <v>79</v>
      </c>
      <c r="E7077" s="128" t="s">
        <v>135</v>
      </c>
      <c r="F7077" s="128">
        <v>2082026.24</v>
      </c>
      <c r="G7077" s="128">
        <v>561159.84</v>
      </c>
      <c r="H7077" s="128">
        <v>186319.56</v>
      </c>
      <c r="I7077" s="128">
        <v>6665</v>
      </c>
    </row>
    <row r="7078" spans="1:9" ht="13.5">
      <c r="A7078" s="128">
        <v>2011</v>
      </c>
      <c r="B7078" s="128" t="s">
        <v>139</v>
      </c>
      <c r="C7078" s="128" t="s">
        <v>23</v>
      </c>
      <c r="D7078" s="128" t="s">
        <v>77</v>
      </c>
      <c r="E7078" s="128" t="s">
        <v>132</v>
      </c>
      <c r="F7078" s="128">
        <v>591505.29</v>
      </c>
      <c r="G7078" s="128">
        <v>401951.62</v>
      </c>
      <c r="H7078" s="128">
        <v>157428.25</v>
      </c>
      <c r="I7078" s="128">
        <v>2760</v>
      </c>
    </row>
    <row r="7079" spans="1:9" ht="13.5">
      <c r="A7079" s="128">
        <v>2011</v>
      </c>
      <c r="B7079" s="128" t="s">
        <v>139</v>
      </c>
      <c r="C7079" s="128" t="s">
        <v>23</v>
      </c>
      <c r="D7079" s="128" t="s">
        <v>77</v>
      </c>
      <c r="E7079" s="128" t="s">
        <v>133</v>
      </c>
      <c r="F7079" s="128">
        <v>808873.22</v>
      </c>
      <c r="G7079" s="128">
        <v>436456.41</v>
      </c>
      <c r="H7079" s="128">
        <v>273600.34000000003</v>
      </c>
      <c r="I7079" s="128">
        <v>2945</v>
      </c>
    </row>
    <row r="7080" spans="1:9" ht="13.5">
      <c r="A7080" s="128">
        <v>2011</v>
      </c>
      <c r="B7080" s="128" t="s">
        <v>139</v>
      </c>
      <c r="C7080" s="128" t="s">
        <v>23</v>
      </c>
      <c r="D7080" s="128" t="s">
        <v>77</v>
      </c>
      <c r="E7080" s="128" t="s">
        <v>134</v>
      </c>
      <c r="F7080" s="128">
        <v>1994481.5</v>
      </c>
      <c r="G7080" s="128">
        <v>861205.92</v>
      </c>
      <c r="H7080" s="128">
        <v>814256.65</v>
      </c>
      <c r="I7080" s="128">
        <v>3454</v>
      </c>
    </row>
    <row r="7081" spans="1:9" ht="13.5">
      <c r="A7081" s="128">
        <v>2011</v>
      </c>
      <c r="B7081" s="128" t="s">
        <v>139</v>
      </c>
      <c r="C7081" s="128" t="s">
        <v>23</v>
      </c>
      <c r="D7081" s="128" t="s">
        <v>77</v>
      </c>
      <c r="E7081" s="128" t="s">
        <v>135</v>
      </c>
      <c r="F7081" s="128">
        <v>1291243.47</v>
      </c>
      <c r="G7081" s="128">
        <v>353515.39</v>
      </c>
      <c r="H7081" s="128">
        <v>366889.23</v>
      </c>
      <c r="I7081" s="128">
        <v>3108</v>
      </c>
    </row>
    <row r="7082" spans="1:9" ht="13.5">
      <c r="A7082" s="128">
        <v>2011</v>
      </c>
      <c r="B7082" s="128" t="s">
        <v>139</v>
      </c>
      <c r="C7082" s="128" t="s">
        <v>23</v>
      </c>
      <c r="D7082" s="128" t="s">
        <v>76</v>
      </c>
      <c r="E7082" s="128" t="s">
        <v>136</v>
      </c>
      <c r="F7082" s="128">
        <v>3135349.05</v>
      </c>
      <c r="G7082" s="128">
        <v>2354516.2599999998</v>
      </c>
      <c r="H7082" s="128">
        <v>781003.59</v>
      </c>
      <c r="I7082" s="128">
        <v>24980</v>
      </c>
    </row>
    <row r="7083" spans="1:9" ht="13.5">
      <c r="A7083" s="128">
        <v>2011</v>
      </c>
      <c r="B7083" s="128" t="s">
        <v>139</v>
      </c>
      <c r="C7083" s="128" t="s">
        <v>23</v>
      </c>
      <c r="D7083" s="128" t="s">
        <v>76</v>
      </c>
      <c r="E7083" s="128" t="s">
        <v>132</v>
      </c>
      <c r="F7083" s="128">
        <v>8778636.3699999992</v>
      </c>
      <c r="G7083" s="128">
        <v>5643905.7800000003</v>
      </c>
      <c r="H7083" s="128">
        <v>3134673.21</v>
      </c>
      <c r="I7083" s="128">
        <v>110278</v>
      </c>
    </row>
    <row r="7084" spans="1:9" ht="13.5">
      <c r="A7084" s="128">
        <v>2011</v>
      </c>
      <c r="B7084" s="128" t="s">
        <v>139</v>
      </c>
      <c r="C7084" s="128" t="s">
        <v>23</v>
      </c>
      <c r="D7084" s="128" t="s">
        <v>76</v>
      </c>
      <c r="E7084" s="128" t="s">
        <v>133</v>
      </c>
      <c r="F7084" s="128">
        <v>17756233.649999999</v>
      </c>
      <c r="G7084" s="128">
        <v>9730725.7899999991</v>
      </c>
      <c r="H7084" s="128">
        <v>8025464.0499999998</v>
      </c>
      <c r="I7084" s="128">
        <v>142183</v>
      </c>
    </row>
    <row r="7085" spans="1:9" ht="13.5">
      <c r="A7085" s="128">
        <v>2011</v>
      </c>
      <c r="B7085" s="128" t="s">
        <v>139</v>
      </c>
      <c r="C7085" s="128" t="s">
        <v>23</v>
      </c>
      <c r="D7085" s="128" t="s">
        <v>76</v>
      </c>
      <c r="E7085" s="128" t="s">
        <v>134</v>
      </c>
      <c r="F7085" s="128">
        <v>31772254.760000002</v>
      </c>
      <c r="G7085" s="128">
        <v>14355313.949999999</v>
      </c>
      <c r="H7085" s="128">
        <v>17416889.260000002</v>
      </c>
      <c r="I7085" s="128">
        <v>133814</v>
      </c>
    </row>
    <row r="7086" spans="1:9" ht="13.5">
      <c r="A7086" s="128">
        <v>2011</v>
      </c>
      <c r="B7086" s="128" t="s">
        <v>139</v>
      </c>
      <c r="C7086" s="128" t="s">
        <v>23</v>
      </c>
      <c r="D7086" s="128" t="s">
        <v>76</v>
      </c>
      <c r="E7086" s="128" t="s">
        <v>135</v>
      </c>
      <c r="F7086" s="128">
        <v>2090678.98</v>
      </c>
      <c r="G7086" s="128">
        <v>586571.27</v>
      </c>
      <c r="H7086" s="128">
        <v>1504107.71</v>
      </c>
      <c r="I7086" s="128">
        <v>2820</v>
      </c>
    </row>
    <row r="7087" spans="1:9" ht="13.5">
      <c r="A7087" s="128">
        <v>2011</v>
      </c>
      <c r="B7087" s="128" t="s">
        <v>139</v>
      </c>
      <c r="C7087" s="128" t="s">
        <v>24</v>
      </c>
      <c r="D7087" s="128" t="s">
        <v>79</v>
      </c>
      <c r="E7087" s="128" t="s">
        <v>136</v>
      </c>
      <c r="F7087" s="128">
        <v>1821410.61</v>
      </c>
      <c r="G7087" s="128">
        <v>1368505.23</v>
      </c>
      <c r="H7087" s="128">
        <v>451288.53</v>
      </c>
      <c r="I7087" s="128">
        <v>34306</v>
      </c>
    </row>
    <row r="7088" spans="1:9" ht="13.5">
      <c r="A7088" s="128">
        <v>2011</v>
      </c>
      <c r="B7088" s="128" t="s">
        <v>139</v>
      </c>
      <c r="C7088" s="128" t="s">
        <v>24</v>
      </c>
      <c r="D7088" s="128" t="s">
        <v>79</v>
      </c>
      <c r="E7088" s="128" t="s">
        <v>132</v>
      </c>
      <c r="F7088" s="128">
        <v>417601.46</v>
      </c>
      <c r="G7088" s="128">
        <v>274286.49</v>
      </c>
      <c r="H7088" s="128">
        <v>91243.59</v>
      </c>
      <c r="I7088" s="128">
        <v>2650</v>
      </c>
    </row>
    <row r="7089" spans="1:9" ht="13.5">
      <c r="A7089" s="128">
        <v>2011</v>
      </c>
      <c r="B7089" s="128" t="s">
        <v>139</v>
      </c>
      <c r="C7089" s="128" t="s">
        <v>24</v>
      </c>
      <c r="D7089" s="128" t="s">
        <v>79</v>
      </c>
      <c r="E7089" s="128" t="s">
        <v>133</v>
      </c>
      <c r="F7089" s="128">
        <v>1387350.76</v>
      </c>
      <c r="G7089" s="128">
        <v>748771.15</v>
      </c>
      <c r="H7089" s="128">
        <v>250894.53</v>
      </c>
      <c r="I7089" s="128">
        <v>9512</v>
      </c>
    </row>
    <row r="7090" spans="1:9" ht="13.5">
      <c r="A7090" s="128">
        <v>2011</v>
      </c>
      <c r="B7090" s="128" t="s">
        <v>139</v>
      </c>
      <c r="C7090" s="128" t="s">
        <v>24</v>
      </c>
      <c r="D7090" s="128" t="s">
        <v>79</v>
      </c>
      <c r="E7090" s="128" t="s">
        <v>134</v>
      </c>
      <c r="F7090" s="128">
        <v>2498240.75</v>
      </c>
      <c r="G7090" s="128">
        <v>1061713.75</v>
      </c>
      <c r="H7090" s="128">
        <v>353457.44</v>
      </c>
      <c r="I7090" s="128">
        <v>9934</v>
      </c>
    </row>
    <row r="7091" spans="1:9" ht="13.5">
      <c r="A7091" s="128">
        <v>2011</v>
      </c>
      <c r="B7091" s="128" t="s">
        <v>139</v>
      </c>
      <c r="C7091" s="128" t="s">
        <v>24</v>
      </c>
      <c r="D7091" s="128" t="s">
        <v>79</v>
      </c>
      <c r="E7091" s="128" t="s">
        <v>135</v>
      </c>
      <c r="F7091" s="128">
        <v>6509800.0599999996</v>
      </c>
      <c r="G7091" s="128">
        <v>1684655.82</v>
      </c>
      <c r="H7091" s="128">
        <v>563214.47</v>
      </c>
      <c r="I7091" s="128">
        <v>17211</v>
      </c>
    </row>
    <row r="7092" spans="1:9" ht="13.5">
      <c r="A7092" s="128">
        <v>2011</v>
      </c>
      <c r="B7092" s="128" t="s">
        <v>139</v>
      </c>
      <c r="C7092" s="128" t="s">
        <v>24</v>
      </c>
      <c r="D7092" s="128" t="s">
        <v>77</v>
      </c>
      <c r="E7092" s="128" t="s">
        <v>132</v>
      </c>
      <c r="F7092" s="128">
        <v>1742298.19</v>
      </c>
      <c r="G7092" s="128">
        <v>1197518.77</v>
      </c>
      <c r="H7092" s="128">
        <v>515180.43</v>
      </c>
      <c r="I7092" s="128">
        <v>10977</v>
      </c>
    </row>
    <row r="7093" spans="1:9" ht="13.5">
      <c r="A7093" s="128">
        <v>2011</v>
      </c>
      <c r="B7093" s="128" t="s">
        <v>139</v>
      </c>
      <c r="C7093" s="128" t="s">
        <v>24</v>
      </c>
      <c r="D7093" s="128" t="s">
        <v>77</v>
      </c>
      <c r="E7093" s="128" t="s">
        <v>133</v>
      </c>
      <c r="F7093" s="128">
        <v>3713321.37</v>
      </c>
      <c r="G7093" s="128">
        <v>1987492.6</v>
      </c>
      <c r="H7093" s="128">
        <v>1430006.48</v>
      </c>
      <c r="I7093" s="128">
        <v>26820</v>
      </c>
    </row>
    <row r="7094" spans="1:9" ht="13.5">
      <c r="A7094" s="128">
        <v>2011</v>
      </c>
      <c r="B7094" s="128" t="s">
        <v>139</v>
      </c>
      <c r="C7094" s="128" t="s">
        <v>24</v>
      </c>
      <c r="D7094" s="128" t="s">
        <v>77</v>
      </c>
      <c r="E7094" s="128" t="s">
        <v>134</v>
      </c>
      <c r="F7094" s="128">
        <v>6510853.3899999997</v>
      </c>
      <c r="G7094" s="128">
        <v>2828648.15</v>
      </c>
      <c r="H7094" s="128">
        <v>2128187.7799999998</v>
      </c>
      <c r="I7094" s="128">
        <v>17881</v>
      </c>
    </row>
    <row r="7095" spans="1:9" ht="13.5">
      <c r="A7095" s="128">
        <v>2011</v>
      </c>
      <c r="B7095" s="128" t="s">
        <v>139</v>
      </c>
      <c r="C7095" s="128" t="s">
        <v>24</v>
      </c>
      <c r="D7095" s="128" t="s">
        <v>77</v>
      </c>
      <c r="E7095" s="128" t="s">
        <v>135</v>
      </c>
      <c r="F7095" s="128">
        <v>9361133.0399999991</v>
      </c>
      <c r="G7095" s="128">
        <v>2594385.11</v>
      </c>
      <c r="H7095" s="128">
        <v>1775495.96</v>
      </c>
      <c r="I7095" s="128">
        <v>18244</v>
      </c>
    </row>
    <row r="7096" spans="1:9" ht="13.5">
      <c r="A7096" s="128">
        <v>2011</v>
      </c>
      <c r="B7096" s="128" t="s">
        <v>139</v>
      </c>
      <c r="C7096" s="128" t="s">
        <v>24</v>
      </c>
      <c r="D7096" s="128" t="s">
        <v>76</v>
      </c>
      <c r="E7096" s="128" t="s">
        <v>136</v>
      </c>
      <c r="F7096" s="128">
        <v>1015625.45</v>
      </c>
      <c r="G7096" s="128">
        <v>767483.61</v>
      </c>
      <c r="H7096" s="128">
        <v>248234.69</v>
      </c>
      <c r="I7096" s="128">
        <v>10330</v>
      </c>
    </row>
    <row r="7097" spans="1:9" ht="13.5">
      <c r="A7097" s="128">
        <v>2011</v>
      </c>
      <c r="B7097" s="128" t="s">
        <v>139</v>
      </c>
      <c r="C7097" s="128" t="s">
        <v>24</v>
      </c>
      <c r="D7097" s="128" t="s">
        <v>76</v>
      </c>
      <c r="E7097" s="128" t="s">
        <v>132</v>
      </c>
      <c r="F7097" s="128">
        <v>8356223.5700000003</v>
      </c>
      <c r="G7097" s="128">
        <v>5263684.6900000004</v>
      </c>
      <c r="H7097" s="128">
        <v>3092525</v>
      </c>
      <c r="I7097" s="128">
        <v>83799</v>
      </c>
    </row>
    <row r="7098" spans="1:9" ht="13.5">
      <c r="A7098" s="128">
        <v>2011</v>
      </c>
      <c r="B7098" s="128" t="s">
        <v>139</v>
      </c>
      <c r="C7098" s="128" t="s">
        <v>24</v>
      </c>
      <c r="D7098" s="128" t="s">
        <v>76</v>
      </c>
      <c r="E7098" s="128" t="s">
        <v>133</v>
      </c>
      <c r="F7098" s="128">
        <v>25233503.359999999</v>
      </c>
      <c r="G7098" s="128">
        <v>13916618.550000001</v>
      </c>
      <c r="H7098" s="128">
        <v>11316881.48</v>
      </c>
      <c r="I7098" s="128">
        <v>184902</v>
      </c>
    </row>
    <row r="7099" spans="1:9" ht="13.5">
      <c r="A7099" s="128">
        <v>2011</v>
      </c>
      <c r="B7099" s="128" t="s">
        <v>139</v>
      </c>
      <c r="C7099" s="128" t="s">
        <v>24</v>
      </c>
      <c r="D7099" s="128" t="s">
        <v>76</v>
      </c>
      <c r="E7099" s="128" t="s">
        <v>134</v>
      </c>
      <c r="F7099" s="128">
        <v>29905572.609999999</v>
      </c>
      <c r="G7099" s="128">
        <v>13158792.609999999</v>
      </c>
      <c r="H7099" s="128">
        <v>16746771.800000001</v>
      </c>
      <c r="I7099" s="128">
        <v>146760</v>
      </c>
    </row>
    <row r="7100" spans="1:9" ht="13.5">
      <c r="A7100" s="128">
        <v>2011</v>
      </c>
      <c r="B7100" s="128" t="s">
        <v>139</v>
      </c>
      <c r="C7100" s="128" t="s">
        <v>24</v>
      </c>
      <c r="D7100" s="128" t="s">
        <v>76</v>
      </c>
      <c r="E7100" s="128" t="s">
        <v>135</v>
      </c>
      <c r="F7100" s="128">
        <v>3199271.23</v>
      </c>
      <c r="G7100" s="128">
        <v>839517.46</v>
      </c>
      <c r="H7100" s="128">
        <v>2359753.77</v>
      </c>
      <c r="I7100" s="128">
        <v>2261</v>
      </c>
    </row>
    <row r="7101" spans="1:9" ht="13.5">
      <c r="A7101" s="128">
        <v>2011</v>
      </c>
      <c r="B7101" s="128" t="s">
        <v>139</v>
      </c>
      <c r="C7101" s="128" t="s">
        <v>25</v>
      </c>
      <c r="D7101" s="128" t="s">
        <v>79</v>
      </c>
      <c r="E7101" s="128" t="s">
        <v>136</v>
      </c>
      <c r="F7101" s="128">
        <v>907493.79</v>
      </c>
      <c r="G7101" s="128">
        <v>681962.77</v>
      </c>
      <c r="H7101" s="128">
        <v>225530.68</v>
      </c>
      <c r="I7101" s="128">
        <v>14357</v>
      </c>
    </row>
    <row r="7102" spans="1:9" ht="13.5">
      <c r="A7102" s="128">
        <v>2011</v>
      </c>
      <c r="B7102" s="128" t="s">
        <v>139</v>
      </c>
      <c r="C7102" s="128" t="s">
        <v>25</v>
      </c>
      <c r="D7102" s="128" t="s">
        <v>79</v>
      </c>
      <c r="E7102" s="128" t="s">
        <v>132</v>
      </c>
      <c r="F7102" s="128">
        <v>97025.31</v>
      </c>
      <c r="G7102" s="128">
        <v>65591.759999999995</v>
      </c>
      <c r="H7102" s="128">
        <v>21602.1</v>
      </c>
      <c r="I7102" s="128">
        <v>641</v>
      </c>
    </row>
    <row r="7103" spans="1:9" ht="13.5">
      <c r="A7103" s="128">
        <v>2011</v>
      </c>
      <c r="B7103" s="128" t="s">
        <v>139</v>
      </c>
      <c r="C7103" s="128" t="s">
        <v>25</v>
      </c>
      <c r="D7103" s="128" t="s">
        <v>79</v>
      </c>
      <c r="E7103" s="128" t="s">
        <v>133</v>
      </c>
      <c r="F7103" s="128">
        <v>154610.21</v>
      </c>
      <c r="G7103" s="128">
        <v>84017.63</v>
      </c>
      <c r="H7103" s="128">
        <v>27848.400000000001</v>
      </c>
      <c r="I7103" s="128">
        <v>663</v>
      </c>
    </row>
    <row r="7104" spans="1:9" ht="13.5">
      <c r="A7104" s="128">
        <v>2011</v>
      </c>
      <c r="B7104" s="128" t="s">
        <v>139</v>
      </c>
      <c r="C7104" s="128" t="s">
        <v>25</v>
      </c>
      <c r="D7104" s="128" t="s">
        <v>79</v>
      </c>
      <c r="E7104" s="128" t="s">
        <v>134</v>
      </c>
      <c r="F7104" s="128">
        <v>580432.09</v>
      </c>
      <c r="G7104" s="128">
        <v>250147.20000000001</v>
      </c>
      <c r="H7104" s="128">
        <v>83426.149999999994</v>
      </c>
      <c r="I7104" s="128">
        <v>1580</v>
      </c>
    </row>
    <row r="7105" spans="1:9" ht="13.5">
      <c r="A7105" s="128">
        <v>2011</v>
      </c>
      <c r="B7105" s="128" t="s">
        <v>139</v>
      </c>
      <c r="C7105" s="128" t="s">
        <v>25</v>
      </c>
      <c r="D7105" s="128" t="s">
        <v>79</v>
      </c>
      <c r="E7105" s="128" t="s">
        <v>135</v>
      </c>
      <c r="F7105" s="128">
        <v>1883176.27</v>
      </c>
      <c r="G7105" s="128">
        <v>475514.72</v>
      </c>
      <c r="H7105" s="128">
        <v>159922.12</v>
      </c>
      <c r="I7105" s="128">
        <v>3481</v>
      </c>
    </row>
    <row r="7106" spans="1:9" ht="13.5">
      <c r="A7106" s="128">
        <v>2011</v>
      </c>
      <c r="B7106" s="128" t="s">
        <v>139</v>
      </c>
      <c r="C7106" s="128" t="s">
        <v>25</v>
      </c>
      <c r="D7106" s="128" t="s">
        <v>77</v>
      </c>
      <c r="E7106" s="128" t="s">
        <v>132</v>
      </c>
      <c r="F7106" s="128">
        <v>126164.3</v>
      </c>
      <c r="G7106" s="128">
        <v>82268.12</v>
      </c>
      <c r="H7106" s="128">
        <v>35342.230000000003</v>
      </c>
      <c r="I7106" s="128">
        <v>623</v>
      </c>
    </row>
    <row r="7107" spans="1:9" ht="13.5">
      <c r="A7107" s="128">
        <v>2011</v>
      </c>
      <c r="B7107" s="128" t="s">
        <v>139</v>
      </c>
      <c r="C7107" s="128" t="s">
        <v>25</v>
      </c>
      <c r="D7107" s="128" t="s">
        <v>77</v>
      </c>
      <c r="E7107" s="128" t="s">
        <v>133</v>
      </c>
      <c r="F7107" s="128">
        <v>254347.99</v>
      </c>
      <c r="G7107" s="128">
        <v>138509.14000000001</v>
      </c>
      <c r="H7107" s="128">
        <v>95421.67</v>
      </c>
      <c r="I7107" s="128">
        <v>1006</v>
      </c>
    </row>
    <row r="7108" spans="1:9" ht="13.5">
      <c r="A7108" s="128">
        <v>2011</v>
      </c>
      <c r="B7108" s="128" t="s">
        <v>139</v>
      </c>
      <c r="C7108" s="128" t="s">
        <v>25</v>
      </c>
      <c r="D7108" s="128" t="s">
        <v>77</v>
      </c>
      <c r="E7108" s="128" t="s">
        <v>134</v>
      </c>
      <c r="F7108" s="128">
        <v>721592.4</v>
      </c>
      <c r="G7108" s="128">
        <v>312279.93</v>
      </c>
      <c r="H7108" s="128">
        <v>292185</v>
      </c>
      <c r="I7108" s="128">
        <v>1842</v>
      </c>
    </row>
    <row r="7109" spans="1:9" ht="13.5">
      <c r="A7109" s="128">
        <v>2011</v>
      </c>
      <c r="B7109" s="128" t="s">
        <v>139</v>
      </c>
      <c r="C7109" s="128" t="s">
        <v>25</v>
      </c>
      <c r="D7109" s="128" t="s">
        <v>77</v>
      </c>
      <c r="E7109" s="128" t="s">
        <v>135</v>
      </c>
      <c r="F7109" s="128">
        <v>990870.5</v>
      </c>
      <c r="G7109" s="128">
        <v>297941.83</v>
      </c>
      <c r="H7109" s="128">
        <v>336740.24</v>
      </c>
      <c r="I7109" s="128">
        <v>3581</v>
      </c>
    </row>
    <row r="7110" spans="1:9" ht="13.5">
      <c r="A7110" s="128">
        <v>2011</v>
      </c>
      <c r="B7110" s="128" t="s">
        <v>139</v>
      </c>
      <c r="C7110" s="128" t="s">
        <v>25</v>
      </c>
      <c r="D7110" s="128" t="s">
        <v>76</v>
      </c>
      <c r="E7110" s="128" t="s">
        <v>136</v>
      </c>
      <c r="F7110" s="128">
        <v>712040.06</v>
      </c>
      <c r="G7110" s="128">
        <v>535249.17000000004</v>
      </c>
      <c r="H7110" s="128">
        <v>176794.29</v>
      </c>
      <c r="I7110" s="128">
        <v>8669</v>
      </c>
    </row>
    <row r="7111" spans="1:9" ht="13.5">
      <c r="A7111" s="128">
        <v>2011</v>
      </c>
      <c r="B7111" s="128" t="s">
        <v>139</v>
      </c>
      <c r="C7111" s="128" t="s">
        <v>25</v>
      </c>
      <c r="D7111" s="128" t="s">
        <v>76</v>
      </c>
      <c r="E7111" s="128" t="s">
        <v>132</v>
      </c>
      <c r="F7111" s="128">
        <v>2476202.54</v>
      </c>
      <c r="G7111" s="128">
        <v>1576764.58</v>
      </c>
      <c r="H7111" s="128">
        <v>899412.36</v>
      </c>
      <c r="I7111" s="128">
        <v>20138</v>
      </c>
    </row>
    <row r="7112" spans="1:9" ht="13.5">
      <c r="A7112" s="128">
        <v>2011</v>
      </c>
      <c r="B7112" s="128" t="s">
        <v>139</v>
      </c>
      <c r="C7112" s="128" t="s">
        <v>25</v>
      </c>
      <c r="D7112" s="128" t="s">
        <v>76</v>
      </c>
      <c r="E7112" s="128" t="s">
        <v>133</v>
      </c>
      <c r="F7112" s="128">
        <v>5968337.3799999999</v>
      </c>
      <c r="G7112" s="128">
        <v>3296116.83</v>
      </c>
      <c r="H7112" s="128">
        <v>2672218.9700000002</v>
      </c>
      <c r="I7112" s="128">
        <v>42276</v>
      </c>
    </row>
    <row r="7113" spans="1:9" ht="13.5">
      <c r="A7113" s="128">
        <v>2011</v>
      </c>
      <c r="B7113" s="128" t="s">
        <v>139</v>
      </c>
      <c r="C7113" s="128" t="s">
        <v>25</v>
      </c>
      <c r="D7113" s="128" t="s">
        <v>76</v>
      </c>
      <c r="E7113" s="128" t="s">
        <v>134</v>
      </c>
      <c r="F7113" s="128">
        <v>4867183.57</v>
      </c>
      <c r="G7113" s="128">
        <v>2234722.36</v>
      </c>
      <c r="H7113" s="128">
        <v>2632458.9900000002</v>
      </c>
      <c r="I7113" s="128">
        <v>29787</v>
      </c>
    </row>
    <row r="7114" spans="1:9" ht="13.5">
      <c r="A7114" s="128">
        <v>2011</v>
      </c>
      <c r="B7114" s="128" t="s">
        <v>139</v>
      </c>
      <c r="C7114" s="128" t="s">
        <v>25</v>
      </c>
      <c r="D7114" s="128" t="s">
        <v>76</v>
      </c>
      <c r="E7114" s="128" t="s">
        <v>135</v>
      </c>
      <c r="F7114" s="128">
        <v>542016.82999999996</v>
      </c>
      <c r="G7114" s="128">
        <v>154824.42000000001</v>
      </c>
      <c r="H7114" s="128">
        <v>387192.41</v>
      </c>
      <c r="I7114" s="128">
        <v>474</v>
      </c>
    </row>
    <row r="7115" spans="1:9" ht="13.5">
      <c r="A7115" s="128">
        <v>2011</v>
      </c>
      <c r="B7115" s="128" t="s">
        <v>139</v>
      </c>
      <c r="C7115" s="128" t="s">
        <v>26</v>
      </c>
      <c r="D7115" s="128" t="s">
        <v>79</v>
      </c>
      <c r="E7115" s="128" t="s">
        <v>136</v>
      </c>
      <c r="F7115" s="128">
        <v>811685.94</v>
      </c>
      <c r="G7115" s="128">
        <v>611173.01</v>
      </c>
      <c r="H7115" s="128">
        <v>200012.93</v>
      </c>
      <c r="I7115" s="128">
        <v>8269</v>
      </c>
    </row>
    <row r="7116" spans="1:9" ht="13.5">
      <c r="A7116" s="128">
        <v>2011</v>
      </c>
      <c r="B7116" s="128" t="s">
        <v>139</v>
      </c>
      <c r="C7116" s="128" t="s">
        <v>26</v>
      </c>
      <c r="D7116" s="128" t="s">
        <v>79</v>
      </c>
      <c r="E7116" s="128" t="s">
        <v>132</v>
      </c>
      <c r="F7116" s="128">
        <v>207186.16</v>
      </c>
      <c r="G7116" s="128">
        <v>136655.03</v>
      </c>
      <c r="H7116" s="128">
        <v>45432.55</v>
      </c>
      <c r="I7116" s="128">
        <v>829</v>
      </c>
    </row>
    <row r="7117" spans="1:9" ht="13.5">
      <c r="A7117" s="128">
        <v>2011</v>
      </c>
      <c r="B7117" s="128" t="s">
        <v>139</v>
      </c>
      <c r="C7117" s="128" t="s">
        <v>26</v>
      </c>
      <c r="D7117" s="128" t="s">
        <v>79</v>
      </c>
      <c r="E7117" s="128" t="s">
        <v>133</v>
      </c>
      <c r="F7117" s="128">
        <v>134492.14000000001</v>
      </c>
      <c r="G7117" s="128">
        <v>72749.320000000007</v>
      </c>
      <c r="H7117" s="128">
        <v>24466.16</v>
      </c>
      <c r="I7117" s="128">
        <v>504</v>
      </c>
    </row>
    <row r="7118" spans="1:9" ht="13.5">
      <c r="A7118" s="128">
        <v>2011</v>
      </c>
      <c r="B7118" s="128" t="s">
        <v>139</v>
      </c>
      <c r="C7118" s="128" t="s">
        <v>26</v>
      </c>
      <c r="D7118" s="128" t="s">
        <v>79</v>
      </c>
      <c r="E7118" s="128" t="s">
        <v>134</v>
      </c>
      <c r="F7118" s="128">
        <v>692061.53</v>
      </c>
      <c r="G7118" s="128">
        <v>288326.40000000002</v>
      </c>
      <c r="H7118" s="128">
        <v>95754.27</v>
      </c>
      <c r="I7118" s="128">
        <v>2374</v>
      </c>
    </row>
    <row r="7119" spans="1:9" ht="13.5">
      <c r="A7119" s="128">
        <v>2011</v>
      </c>
      <c r="B7119" s="128" t="s">
        <v>139</v>
      </c>
      <c r="C7119" s="128" t="s">
        <v>26</v>
      </c>
      <c r="D7119" s="128" t="s">
        <v>79</v>
      </c>
      <c r="E7119" s="128" t="s">
        <v>135</v>
      </c>
      <c r="F7119" s="128">
        <v>5947327.75</v>
      </c>
      <c r="G7119" s="128">
        <v>1534812.87</v>
      </c>
      <c r="H7119" s="128">
        <v>511312.86</v>
      </c>
      <c r="I7119" s="128">
        <v>9960</v>
      </c>
    </row>
    <row r="7120" spans="1:9" ht="13.5">
      <c r="A7120" s="128">
        <v>2011</v>
      </c>
      <c r="B7120" s="128" t="s">
        <v>139</v>
      </c>
      <c r="C7120" s="128" t="s">
        <v>26</v>
      </c>
      <c r="D7120" s="128" t="s">
        <v>77</v>
      </c>
      <c r="E7120" s="128" t="s">
        <v>132</v>
      </c>
      <c r="F7120" s="128">
        <v>67556.570000000007</v>
      </c>
      <c r="G7120" s="128">
        <v>41854.82</v>
      </c>
      <c r="H7120" s="128">
        <v>23138.21</v>
      </c>
      <c r="I7120" s="128">
        <v>260</v>
      </c>
    </row>
    <row r="7121" spans="1:9" ht="13.5">
      <c r="A7121" s="128">
        <v>2011</v>
      </c>
      <c r="B7121" s="128" t="s">
        <v>139</v>
      </c>
      <c r="C7121" s="128" t="s">
        <v>26</v>
      </c>
      <c r="D7121" s="128" t="s">
        <v>77</v>
      </c>
      <c r="E7121" s="128" t="s">
        <v>133</v>
      </c>
      <c r="F7121" s="128">
        <v>53705.2</v>
      </c>
      <c r="G7121" s="128">
        <v>28856.42</v>
      </c>
      <c r="H7121" s="128">
        <v>20380.88</v>
      </c>
      <c r="I7121" s="128">
        <v>199</v>
      </c>
    </row>
    <row r="7122" spans="1:9" ht="13.5">
      <c r="A7122" s="128">
        <v>2011</v>
      </c>
      <c r="B7122" s="128" t="s">
        <v>139</v>
      </c>
      <c r="C7122" s="128" t="s">
        <v>26</v>
      </c>
      <c r="D7122" s="128" t="s">
        <v>77</v>
      </c>
      <c r="E7122" s="128" t="s">
        <v>134</v>
      </c>
      <c r="F7122" s="128">
        <v>178662.71</v>
      </c>
      <c r="G7122" s="128">
        <v>75672.600000000006</v>
      </c>
      <c r="H7122" s="128">
        <v>68321.06</v>
      </c>
      <c r="I7122" s="128">
        <v>476</v>
      </c>
    </row>
    <row r="7123" spans="1:9" ht="13.5">
      <c r="A7123" s="128">
        <v>2011</v>
      </c>
      <c r="B7123" s="128" t="s">
        <v>139</v>
      </c>
      <c r="C7123" s="128" t="s">
        <v>26</v>
      </c>
      <c r="D7123" s="128" t="s">
        <v>77</v>
      </c>
      <c r="E7123" s="128" t="s">
        <v>135</v>
      </c>
      <c r="F7123" s="128">
        <v>403502.45</v>
      </c>
      <c r="G7123" s="128">
        <v>105750.48</v>
      </c>
      <c r="H7123" s="128">
        <v>111076.36</v>
      </c>
      <c r="I7123" s="128">
        <v>1020</v>
      </c>
    </row>
    <row r="7124" spans="1:9" ht="13.5">
      <c r="A7124" s="128">
        <v>2011</v>
      </c>
      <c r="B7124" s="128" t="s">
        <v>139</v>
      </c>
      <c r="C7124" s="128" t="s">
        <v>26</v>
      </c>
      <c r="D7124" s="128" t="s">
        <v>76</v>
      </c>
      <c r="E7124" s="128" t="s">
        <v>136</v>
      </c>
      <c r="F7124" s="128">
        <v>351691.2</v>
      </c>
      <c r="G7124" s="128">
        <v>263489.43</v>
      </c>
      <c r="H7124" s="128">
        <v>88201.82</v>
      </c>
      <c r="I7124" s="128">
        <v>12553</v>
      </c>
    </row>
    <row r="7125" spans="1:9" ht="13.5">
      <c r="A7125" s="128">
        <v>2011</v>
      </c>
      <c r="B7125" s="128" t="s">
        <v>139</v>
      </c>
      <c r="C7125" s="128" t="s">
        <v>26</v>
      </c>
      <c r="D7125" s="128" t="s">
        <v>76</v>
      </c>
      <c r="E7125" s="128" t="s">
        <v>132</v>
      </c>
      <c r="F7125" s="128">
        <v>738191.62</v>
      </c>
      <c r="G7125" s="128">
        <v>478604.76</v>
      </c>
      <c r="H7125" s="128">
        <v>259563.12</v>
      </c>
      <c r="I7125" s="128">
        <v>9478</v>
      </c>
    </row>
    <row r="7126" spans="1:9" ht="13.5">
      <c r="A7126" s="128">
        <v>2011</v>
      </c>
      <c r="B7126" s="128" t="s">
        <v>139</v>
      </c>
      <c r="C7126" s="128" t="s">
        <v>26</v>
      </c>
      <c r="D7126" s="128" t="s">
        <v>76</v>
      </c>
      <c r="E7126" s="128" t="s">
        <v>133</v>
      </c>
      <c r="F7126" s="128">
        <v>2192896.71</v>
      </c>
      <c r="G7126" s="128">
        <v>1210585.1100000001</v>
      </c>
      <c r="H7126" s="128">
        <v>982310.22</v>
      </c>
      <c r="I7126" s="128">
        <v>12603</v>
      </c>
    </row>
    <row r="7127" spans="1:9" ht="13.5">
      <c r="A7127" s="128">
        <v>2011</v>
      </c>
      <c r="B7127" s="128" t="s">
        <v>139</v>
      </c>
      <c r="C7127" s="128" t="s">
        <v>26</v>
      </c>
      <c r="D7127" s="128" t="s">
        <v>76</v>
      </c>
      <c r="E7127" s="128" t="s">
        <v>134</v>
      </c>
      <c r="F7127" s="128">
        <v>1599035.62</v>
      </c>
      <c r="G7127" s="128">
        <v>731554.82</v>
      </c>
      <c r="H7127" s="128">
        <v>867461.37</v>
      </c>
      <c r="I7127" s="128">
        <v>10961</v>
      </c>
    </row>
    <row r="7128" spans="1:9" ht="13.5">
      <c r="A7128" s="128">
        <v>2011</v>
      </c>
      <c r="B7128" s="128" t="s">
        <v>139</v>
      </c>
      <c r="C7128" s="128" t="s">
        <v>26</v>
      </c>
      <c r="D7128" s="128" t="s">
        <v>76</v>
      </c>
      <c r="E7128" s="128" t="s">
        <v>135</v>
      </c>
      <c r="F7128" s="128">
        <v>410367.84</v>
      </c>
      <c r="G7128" s="128">
        <v>128977.54</v>
      </c>
      <c r="H7128" s="128">
        <v>281390.3</v>
      </c>
      <c r="I7128" s="128">
        <v>823</v>
      </c>
    </row>
    <row r="7129" spans="1:9" ht="13.5">
      <c r="A7129" s="128">
        <v>2011</v>
      </c>
      <c r="B7129" s="128" t="s">
        <v>139</v>
      </c>
      <c r="C7129" s="128" t="s">
        <v>27</v>
      </c>
      <c r="D7129" s="128" t="s">
        <v>79</v>
      </c>
      <c r="E7129" s="128" t="s">
        <v>136</v>
      </c>
      <c r="F7129" s="128">
        <v>351619.95</v>
      </c>
      <c r="G7129" s="128">
        <v>264057.51</v>
      </c>
      <c r="H7129" s="128">
        <v>87562.89</v>
      </c>
      <c r="I7129" s="128">
        <v>1673</v>
      </c>
    </row>
    <row r="7130" spans="1:9" ht="13.5">
      <c r="A7130" s="128">
        <v>2011</v>
      </c>
      <c r="B7130" s="128" t="s">
        <v>139</v>
      </c>
      <c r="C7130" s="128" t="s">
        <v>27</v>
      </c>
      <c r="D7130" s="128" t="s">
        <v>79</v>
      </c>
      <c r="E7130" s="128" t="s">
        <v>132</v>
      </c>
      <c r="F7130" s="128">
        <v>37356.79</v>
      </c>
      <c r="G7130" s="128">
        <v>24754.959999999999</v>
      </c>
      <c r="H7130" s="128">
        <v>8249.17</v>
      </c>
      <c r="I7130" s="128">
        <v>164</v>
      </c>
    </row>
    <row r="7131" spans="1:9" ht="13.5">
      <c r="A7131" s="128">
        <v>2011</v>
      </c>
      <c r="B7131" s="128" t="s">
        <v>139</v>
      </c>
      <c r="C7131" s="128" t="s">
        <v>27</v>
      </c>
      <c r="D7131" s="128" t="s">
        <v>79</v>
      </c>
      <c r="E7131" s="128" t="s">
        <v>133</v>
      </c>
      <c r="F7131" s="128">
        <v>98577.08</v>
      </c>
      <c r="G7131" s="128">
        <v>53355.06</v>
      </c>
      <c r="H7131" s="128">
        <v>18082.96</v>
      </c>
      <c r="I7131" s="128">
        <v>317</v>
      </c>
    </row>
    <row r="7132" spans="1:9" ht="13.5">
      <c r="A7132" s="128">
        <v>2011</v>
      </c>
      <c r="B7132" s="128" t="s">
        <v>139</v>
      </c>
      <c r="C7132" s="128" t="s">
        <v>27</v>
      </c>
      <c r="D7132" s="128" t="s">
        <v>79</v>
      </c>
      <c r="E7132" s="128" t="s">
        <v>134</v>
      </c>
      <c r="F7132" s="128">
        <v>143507.96</v>
      </c>
      <c r="G7132" s="128">
        <v>60964.14</v>
      </c>
      <c r="H7132" s="128">
        <v>20226.82</v>
      </c>
      <c r="I7132" s="128">
        <v>626</v>
      </c>
    </row>
    <row r="7133" spans="1:9" ht="13.5">
      <c r="A7133" s="128">
        <v>2011</v>
      </c>
      <c r="B7133" s="128" t="s">
        <v>139</v>
      </c>
      <c r="C7133" s="128" t="s">
        <v>27</v>
      </c>
      <c r="D7133" s="128" t="s">
        <v>79</v>
      </c>
      <c r="E7133" s="128" t="s">
        <v>135</v>
      </c>
      <c r="F7133" s="128">
        <v>1010898.37</v>
      </c>
      <c r="G7133" s="128">
        <v>281998.99</v>
      </c>
      <c r="H7133" s="128">
        <v>93899.23</v>
      </c>
      <c r="I7133" s="128">
        <v>1921</v>
      </c>
    </row>
    <row r="7134" spans="1:9" ht="13.5">
      <c r="A7134" s="128">
        <v>2011</v>
      </c>
      <c r="B7134" s="128" t="s">
        <v>139</v>
      </c>
      <c r="C7134" s="128" t="s">
        <v>27</v>
      </c>
      <c r="D7134" s="128" t="s">
        <v>77</v>
      </c>
      <c r="E7134" s="128" t="s">
        <v>132</v>
      </c>
      <c r="F7134" s="128">
        <v>15980.67</v>
      </c>
      <c r="G7134" s="128">
        <v>10909.13</v>
      </c>
      <c r="H7134" s="128">
        <v>3704.04</v>
      </c>
      <c r="I7134" s="128">
        <v>88</v>
      </c>
    </row>
    <row r="7135" spans="1:9" ht="13.5">
      <c r="A7135" s="128">
        <v>2011</v>
      </c>
      <c r="B7135" s="128" t="s">
        <v>139</v>
      </c>
      <c r="C7135" s="128" t="s">
        <v>27</v>
      </c>
      <c r="D7135" s="128" t="s">
        <v>77</v>
      </c>
      <c r="E7135" s="128" t="s">
        <v>133</v>
      </c>
      <c r="F7135" s="128">
        <v>55880.99</v>
      </c>
      <c r="G7135" s="128">
        <v>30018.02</v>
      </c>
      <c r="H7135" s="128">
        <v>18937.57</v>
      </c>
      <c r="I7135" s="128">
        <v>230</v>
      </c>
    </row>
    <row r="7136" spans="1:9" ht="13.5">
      <c r="A7136" s="128">
        <v>2011</v>
      </c>
      <c r="B7136" s="128" t="s">
        <v>139</v>
      </c>
      <c r="C7136" s="128" t="s">
        <v>27</v>
      </c>
      <c r="D7136" s="128" t="s">
        <v>77</v>
      </c>
      <c r="E7136" s="128" t="s">
        <v>134</v>
      </c>
      <c r="F7136" s="128">
        <v>98208.99</v>
      </c>
      <c r="G7136" s="128">
        <v>43610.82</v>
      </c>
      <c r="H7136" s="128">
        <v>38590.949999999997</v>
      </c>
      <c r="I7136" s="128">
        <v>279</v>
      </c>
    </row>
    <row r="7137" spans="1:9" ht="13.5">
      <c r="A7137" s="128">
        <v>2011</v>
      </c>
      <c r="B7137" s="128" t="s">
        <v>139</v>
      </c>
      <c r="C7137" s="128" t="s">
        <v>27</v>
      </c>
      <c r="D7137" s="128" t="s">
        <v>77</v>
      </c>
      <c r="E7137" s="128" t="s">
        <v>135</v>
      </c>
      <c r="F7137" s="128">
        <v>233278.17</v>
      </c>
      <c r="G7137" s="128">
        <v>57914.81</v>
      </c>
      <c r="H7137" s="128">
        <v>60802.57</v>
      </c>
      <c r="I7137" s="128">
        <v>634</v>
      </c>
    </row>
    <row r="7138" spans="1:9" ht="13.5">
      <c r="A7138" s="128">
        <v>2011</v>
      </c>
      <c r="B7138" s="128" t="s">
        <v>139</v>
      </c>
      <c r="C7138" s="128" t="s">
        <v>27</v>
      </c>
      <c r="D7138" s="128" t="s">
        <v>76</v>
      </c>
      <c r="E7138" s="128" t="s">
        <v>136</v>
      </c>
      <c r="F7138" s="128">
        <v>132671.85999999999</v>
      </c>
      <c r="G7138" s="128">
        <v>99662.47</v>
      </c>
      <c r="H7138" s="128">
        <v>33009.39</v>
      </c>
      <c r="I7138" s="128">
        <v>1344</v>
      </c>
    </row>
    <row r="7139" spans="1:9" ht="13.5">
      <c r="A7139" s="128">
        <v>2011</v>
      </c>
      <c r="B7139" s="128" t="s">
        <v>139</v>
      </c>
      <c r="C7139" s="128" t="s">
        <v>27</v>
      </c>
      <c r="D7139" s="128" t="s">
        <v>76</v>
      </c>
      <c r="E7139" s="128" t="s">
        <v>132</v>
      </c>
      <c r="F7139" s="128">
        <v>325083.01</v>
      </c>
      <c r="G7139" s="128">
        <v>206690.38</v>
      </c>
      <c r="H7139" s="128">
        <v>118386.41</v>
      </c>
      <c r="I7139" s="128">
        <v>4717</v>
      </c>
    </row>
    <row r="7140" spans="1:9" ht="13.5">
      <c r="A7140" s="128">
        <v>2011</v>
      </c>
      <c r="B7140" s="128" t="s">
        <v>139</v>
      </c>
      <c r="C7140" s="128" t="s">
        <v>27</v>
      </c>
      <c r="D7140" s="128" t="s">
        <v>76</v>
      </c>
      <c r="E7140" s="128" t="s">
        <v>133</v>
      </c>
      <c r="F7140" s="128">
        <v>888064.04</v>
      </c>
      <c r="G7140" s="128">
        <v>483688.56</v>
      </c>
      <c r="H7140" s="128">
        <v>404368.13</v>
      </c>
      <c r="I7140" s="128">
        <v>4592</v>
      </c>
    </row>
    <row r="7141" spans="1:9" ht="13.5">
      <c r="A7141" s="128">
        <v>2011</v>
      </c>
      <c r="B7141" s="128" t="s">
        <v>139</v>
      </c>
      <c r="C7141" s="128" t="s">
        <v>27</v>
      </c>
      <c r="D7141" s="128" t="s">
        <v>76</v>
      </c>
      <c r="E7141" s="128" t="s">
        <v>134</v>
      </c>
      <c r="F7141" s="128">
        <v>1014762.88</v>
      </c>
      <c r="G7141" s="128">
        <v>466316.21</v>
      </c>
      <c r="H7141" s="128">
        <v>548440.06999999995</v>
      </c>
      <c r="I7141" s="128">
        <v>5084</v>
      </c>
    </row>
    <row r="7142" spans="1:9" ht="13.5">
      <c r="A7142" s="128">
        <v>2011</v>
      </c>
      <c r="B7142" s="128" t="s">
        <v>139</v>
      </c>
      <c r="C7142" s="128" t="s">
        <v>27</v>
      </c>
      <c r="D7142" s="128" t="s">
        <v>76</v>
      </c>
      <c r="E7142" s="128" t="s">
        <v>135</v>
      </c>
      <c r="F7142" s="128">
        <v>58463.08</v>
      </c>
      <c r="G7142" s="128">
        <v>17957.48</v>
      </c>
      <c r="H7142" s="128">
        <v>40505.599999999999</v>
      </c>
      <c r="I7142" s="128">
        <v>74</v>
      </c>
    </row>
    <row r="7143" spans="1:9" ht="13.5">
      <c r="A7143" s="128">
        <v>2011</v>
      </c>
      <c r="B7143" s="128" t="s">
        <v>137</v>
      </c>
      <c r="C7143" s="128" t="s">
        <v>20</v>
      </c>
      <c r="D7143" s="128" t="s">
        <v>79</v>
      </c>
      <c r="E7143" s="128" t="s">
        <v>136</v>
      </c>
      <c r="F7143" s="128">
        <v>34612434.82</v>
      </c>
      <c r="G7143" s="128">
        <v>25996202.870000001</v>
      </c>
      <c r="H7143" s="128">
        <v>8606544.9199999999</v>
      </c>
      <c r="I7143" s="128">
        <v>555506</v>
      </c>
    </row>
    <row r="7144" spans="1:9" ht="13.5">
      <c r="A7144" s="128">
        <v>2011</v>
      </c>
      <c r="B7144" s="128" t="s">
        <v>137</v>
      </c>
      <c r="C7144" s="128" t="s">
        <v>20</v>
      </c>
      <c r="D7144" s="128" t="s">
        <v>79</v>
      </c>
      <c r="E7144" s="128" t="s">
        <v>132</v>
      </c>
      <c r="F7144" s="128">
        <v>2324090.4</v>
      </c>
      <c r="G7144" s="128">
        <v>1560537.94</v>
      </c>
      <c r="H7144" s="128">
        <v>516276.44</v>
      </c>
      <c r="I7144" s="128">
        <v>11221</v>
      </c>
    </row>
    <row r="7145" spans="1:9" ht="13.5">
      <c r="A7145" s="128">
        <v>2011</v>
      </c>
      <c r="B7145" s="128" t="s">
        <v>137</v>
      </c>
      <c r="C7145" s="128" t="s">
        <v>20</v>
      </c>
      <c r="D7145" s="128" t="s">
        <v>79</v>
      </c>
      <c r="E7145" s="128" t="s">
        <v>133</v>
      </c>
      <c r="F7145" s="128">
        <v>3046030.19</v>
      </c>
      <c r="G7145" s="128">
        <v>1633757.96</v>
      </c>
      <c r="H7145" s="128">
        <v>558531.11</v>
      </c>
      <c r="I7145" s="128">
        <v>12702</v>
      </c>
    </row>
    <row r="7146" spans="1:9" ht="13.5">
      <c r="A7146" s="128">
        <v>2011</v>
      </c>
      <c r="B7146" s="128" t="s">
        <v>137</v>
      </c>
      <c r="C7146" s="128" t="s">
        <v>20</v>
      </c>
      <c r="D7146" s="128" t="s">
        <v>79</v>
      </c>
      <c r="E7146" s="128" t="s">
        <v>134</v>
      </c>
      <c r="F7146" s="128">
        <v>14386440.51</v>
      </c>
      <c r="G7146" s="128">
        <v>6095867.6799999997</v>
      </c>
      <c r="H7146" s="128">
        <v>2040358.72</v>
      </c>
      <c r="I7146" s="128">
        <v>73821</v>
      </c>
    </row>
    <row r="7147" spans="1:9" ht="13.5">
      <c r="A7147" s="128">
        <v>2011</v>
      </c>
      <c r="B7147" s="128" t="s">
        <v>137</v>
      </c>
      <c r="C7147" s="128" t="s">
        <v>20</v>
      </c>
      <c r="D7147" s="128" t="s">
        <v>79</v>
      </c>
      <c r="E7147" s="128" t="s">
        <v>135</v>
      </c>
      <c r="F7147" s="128">
        <v>92469322.379999995</v>
      </c>
      <c r="G7147" s="128">
        <v>23775112.530000001</v>
      </c>
      <c r="H7147" s="128">
        <v>7945699.9100000001</v>
      </c>
      <c r="I7147" s="128">
        <v>157921</v>
      </c>
    </row>
    <row r="7148" spans="1:9" ht="13.5">
      <c r="A7148" s="128">
        <v>2011</v>
      </c>
      <c r="B7148" s="128" t="s">
        <v>137</v>
      </c>
      <c r="C7148" s="128" t="s">
        <v>20</v>
      </c>
      <c r="D7148" s="128" t="s">
        <v>77</v>
      </c>
      <c r="E7148" s="128" t="s">
        <v>132</v>
      </c>
      <c r="F7148" s="128">
        <v>1182527.27</v>
      </c>
      <c r="G7148" s="128">
        <v>780549.47</v>
      </c>
      <c r="H7148" s="128">
        <v>322394.17</v>
      </c>
      <c r="I7148" s="128">
        <v>7012</v>
      </c>
    </row>
    <row r="7149" spans="1:9" ht="13.5">
      <c r="A7149" s="128">
        <v>2011</v>
      </c>
      <c r="B7149" s="128" t="s">
        <v>137</v>
      </c>
      <c r="C7149" s="128" t="s">
        <v>20</v>
      </c>
      <c r="D7149" s="128" t="s">
        <v>77</v>
      </c>
      <c r="E7149" s="128" t="s">
        <v>133</v>
      </c>
      <c r="F7149" s="128">
        <v>2898767.58</v>
      </c>
      <c r="G7149" s="128">
        <v>1555359.71</v>
      </c>
      <c r="H7149" s="128">
        <v>1038104.12</v>
      </c>
      <c r="I7149" s="128">
        <v>9481</v>
      </c>
    </row>
    <row r="7150" spans="1:9" ht="13.5">
      <c r="A7150" s="128">
        <v>2011</v>
      </c>
      <c r="B7150" s="128" t="s">
        <v>137</v>
      </c>
      <c r="C7150" s="128" t="s">
        <v>20</v>
      </c>
      <c r="D7150" s="128" t="s">
        <v>77</v>
      </c>
      <c r="E7150" s="128" t="s">
        <v>134</v>
      </c>
      <c r="F7150" s="128">
        <v>5042161.7699999996</v>
      </c>
      <c r="G7150" s="128">
        <v>2169116.27</v>
      </c>
      <c r="H7150" s="128">
        <v>1982084.73</v>
      </c>
      <c r="I7150" s="128">
        <v>14222</v>
      </c>
    </row>
    <row r="7151" spans="1:9" ht="13.5">
      <c r="A7151" s="128">
        <v>2011</v>
      </c>
      <c r="B7151" s="128" t="s">
        <v>137</v>
      </c>
      <c r="C7151" s="128" t="s">
        <v>20</v>
      </c>
      <c r="D7151" s="128" t="s">
        <v>77</v>
      </c>
      <c r="E7151" s="128" t="s">
        <v>135</v>
      </c>
      <c r="F7151" s="128">
        <v>7169452.6200000001</v>
      </c>
      <c r="G7151" s="128">
        <v>1940510.97</v>
      </c>
      <c r="H7151" s="128">
        <v>1809016.66</v>
      </c>
      <c r="I7151" s="128">
        <v>17068</v>
      </c>
    </row>
    <row r="7152" spans="1:9" ht="13.5">
      <c r="A7152" s="128">
        <v>2011</v>
      </c>
      <c r="B7152" s="128" t="s">
        <v>137</v>
      </c>
      <c r="C7152" s="128" t="s">
        <v>20</v>
      </c>
      <c r="D7152" s="128" t="s">
        <v>76</v>
      </c>
      <c r="E7152" s="128" t="s">
        <v>136</v>
      </c>
      <c r="F7152" s="128">
        <v>11649508.01</v>
      </c>
      <c r="G7152" s="128">
        <v>8752135.9800000004</v>
      </c>
      <c r="H7152" s="128">
        <v>2897593.62</v>
      </c>
      <c r="I7152" s="128">
        <v>322221</v>
      </c>
    </row>
    <row r="7153" spans="1:9" ht="13.5">
      <c r="A7153" s="128">
        <v>2011</v>
      </c>
      <c r="B7153" s="128" t="s">
        <v>137</v>
      </c>
      <c r="C7153" s="128" t="s">
        <v>20</v>
      </c>
      <c r="D7153" s="128" t="s">
        <v>76</v>
      </c>
      <c r="E7153" s="128" t="s">
        <v>132</v>
      </c>
      <c r="F7153" s="128">
        <v>35679104.270000003</v>
      </c>
      <c r="G7153" s="128">
        <v>22907804.379999999</v>
      </c>
      <c r="H7153" s="128">
        <v>12771034.67</v>
      </c>
      <c r="I7153" s="128">
        <v>365007</v>
      </c>
    </row>
    <row r="7154" spans="1:9" ht="13.5">
      <c r="A7154" s="128">
        <v>2011</v>
      </c>
      <c r="B7154" s="128" t="s">
        <v>137</v>
      </c>
      <c r="C7154" s="128" t="s">
        <v>20</v>
      </c>
      <c r="D7154" s="128" t="s">
        <v>76</v>
      </c>
      <c r="E7154" s="128" t="s">
        <v>133</v>
      </c>
      <c r="F7154" s="128">
        <v>80427674.430000007</v>
      </c>
      <c r="G7154" s="128">
        <v>44328587.939999998</v>
      </c>
      <c r="H7154" s="128">
        <v>36098849.229999997</v>
      </c>
      <c r="I7154" s="128">
        <v>456443</v>
      </c>
    </row>
    <row r="7155" spans="1:9" ht="13.5">
      <c r="A7155" s="128">
        <v>2011</v>
      </c>
      <c r="B7155" s="128" t="s">
        <v>137</v>
      </c>
      <c r="C7155" s="128" t="s">
        <v>20</v>
      </c>
      <c r="D7155" s="128" t="s">
        <v>76</v>
      </c>
      <c r="E7155" s="128" t="s">
        <v>134</v>
      </c>
      <c r="F7155" s="128">
        <v>71754060.560000002</v>
      </c>
      <c r="G7155" s="128">
        <v>32789559.850000001</v>
      </c>
      <c r="H7155" s="128">
        <v>38964369.229999997</v>
      </c>
      <c r="I7155" s="128">
        <v>433917</v>
      </c>
    </row>
    <row r="7156" spans="1:9" ht="13.5">
      <c r="A7156" s="128">
        <v>2011</v>
      </c>
      <c r="B7156" s="128" t="s">
        <v>137</v>
      </c>
      <c r="C7156" s="128" t="s">
        <v>20</v>
      </c>
      <c r="D7156" s="128" t="s">
        <v>76</v>
      </c>
      <c r="E7156" s="128" t="s">
        <v>135</v>
      </c>
      <c r="F7156" s="128">
        <v>10467885.189999999</v>
      </c>
      <c r="G7156" s="128">
        <v>3251709.27</v>
      </c>
      <c r="H7156" s="128">
        <v>7216175.2300000004</v>
      </c>
      <c r="I7156" s="128">
        <v>40928</v>
      </c>
    </row>
    <row r="7157" spans="1:9" ht="13.5">
      <c r="A7157" s="128">
        <v>2011</v>
      </c>
      <c r="B7157" s="128" t="s">
        <v>137</v>
      </c>
      <c r="C7157" s="128" t="s">
        <v>21</v>
      </c>
      <c r="D7157" s="128" t="s">
        <v>79</v>
      </c>
      <c r="E7157" s="128" t="s">
        <v>136</v>
      </c>
      <c r="F7157" s="128">
        <v>12633005.85</v>
      </c>
      <c r="G7157" s="128">
        <v>9491540.5</v>
      </c>
      <c r="H7157" s="128">
        <v>3140918.58</v>
      </c>
      <c r="I7157" s="128">
        <v>117116</v>
      </c>
    </row>
    <row r="7158" spans="1:9" ht="13.5">
      <c r="A7158" s="128">
        <v>2011</v>
      </c>
      <c r="B7158" s="128" t="s">
        <v>137</v>
      </c>
      <c r="C7158" s="128" t="s">
        <v>21</v>
      </c>
      <c r="D7158" s="128" t="s">
        <v>79</v>
      </c>
      <c r="E7158" s="128" t="s">
        <v>132</v>
      </c>
      <c r="F7158" s="128">
        <v>1674795.97</v>
      </c>
      <c r="G7158" s="128">
        <v>1109773.18</v>
      </c>
      <c r="H7158" s="128">
        <v>368794.56</v>
      </c>
      <c r="I7158" s="128">
        <v>9832</v>
      </c>
    </row>
    <row r="7159" spans="1:9" ht="13.5">
      <c r="A7159" s="128">
        <v>2011</v>
      </c>
      <c r="B7159" s="128" t="s">
        <v>137</v>
      </c>
      <c r="C7159" s="128" t="s">
        <v>21</v>
      </c>
      <c r="D7159" s="128" t="s">
        <v>79</v>
      </c>
      <c r="E7159" s="128" t="s">
        <v>133</v>
      </c>
      <c r="F7159" s="128">
        <v>1827138.18</v>
      </c>
      <c r="G7159" s="128">
        <v>994313.97</v>
      </c>
      <c r="H7159" s="128">
        <v>330452.49</v>
      </c>
      <c r="I7159" s="128">
        <v>15002</v>
      </c>
    </row>
    <row r="7160" spans="1:9" ht="13.5">
      <c r="A7160" s="128">
        <v>2011</v>
      </c>
      <c r="B7160" s="128" t="s">
        <v>137</v>
      </c>
      <c r="C7160" s="128" t="s">
        <v>21</v>
      </c>
      <c r="D7160" s="128" t="s">
        <v>79</v>
      </c>
      <c r="E7160" s="128" t="s">
        <v>134</v>
      </c>
      <c r="F7160" s="128">
        <v>4713740.93</v>
      </c>
      <c r="G7160" s="128">
        <v>2013036.97</v>
      </c>
      <c r="H7160" s="128">
        <v>674009.15</v>
      </c>
      <c r="I7160" s="128">
        <v>20893</v>
      </c>
    </row>
    <row r="7161" spans="1:9" ht="13.5">
      <c r="A7161" s="128">
        <v>2011</v>
      </c>
      <c r="B7161" s="128" t="s">
        <v>137</v>
      </c>
      <c r="C7161" s="128" t="s">
        <v>21</v>
      </c>
      <c r="D7161" s="128" t="s">
        <v>79</v>
      </c>
      <c r="E7161" s="128" t="s">
        <v>135</v>
      </c>
      <c r="F7161" s="128">
        <v>22520279.780000001</v>
      </c>
      <c r="G7161" s="128">
        <v>5939055.4800000004</v>
      </c>
      <c r="H7161" s="128">
        <v>1985053.61</v>
      </c>
      <c r="I7161" s="128">
        <v>47707</v>
      </c>
    </row>
    <row r="7162" spans="1:9" ht="13.5">
      <c r="A7162" s="128">
        <v>2011</v>
      </c>
      <c r="B7162" s="128" t="s">
        <v>137</v>
      </c>
      <c r="C7162" s="128" t="s">
        <v>21</v>
      </c>
      <c r="D7162" s="128" t="s">
        <v>77</v>
      </c>
      <c r="E7162" s="128" t="s">
        <v>132</v>
      </c>
      <c r="F7162" s="128">
        <v>2204001.89</v>
      </c>
      <c r="G7162" s="128">
        <v>1445936.96</v>
      </c>
      <c r="H7162" s="128">
        <v>621838.94999999995</v>
      </c>
      <c r="I7162" s="128">
        <v>11459</v>
      </c>
    </row>
    <row r="7163" spans="1:9" ht="13.5">
      <c r="A7163" s="128">
        <v>2011</v>
      </c>
      <c r="B7163" s="128" t="s">
        <v>137</v>
      </c>
      <c r="C7163" s="128" t="s">
        <v>21</v>
      </c>
      <c r="D7163" s="128" t="s">
        <v>77</v>
      </c>
      <c r="E7163" s="128" t="s">
        <v>133</v>
      </c>
      <c r="F7163" s="128">
        <v>5090554.6399999997</v>
      </c>
      <c r="G7163" s="128">
        <v>2780419.4</v>
      </c>
      <c r="H7163" s="128">
        <v>1887030.92</v>
      </c>
      <c r="I7163" s="128">
        <v>19154</v>
      </c>
    </row>
    <row r="7164" spans="1:9" ht="13.5">
      <c r="A7164" s="128">
        <v>2011</v>
      </c>
      <c r="B7164" s="128" t="s">
        <v>137</v>
      </c>
      <c r="C7164" s="128" t="s">
        <v>21</v>
      </c>
      <c r="D7164" s="128" t="s">
        <v>77</v>
      </c>
      <c r="E7164" s="128" t="s">
        <v>134</v>
      </c>
      <c r="F7164" s="128">
        <v>6795249.7400000002</v>
      </c>
      <c r="G7164" s="128">
        <v>2970172.43</v>
      </c>
      <c r="H7164" s="128">
        <v>2579462.4</v>
      </c>
      <c r="I7164" s="128">
        <v>17757</v>
      </c>
    </row>
    <row r="7165" spans="1:9" ht="13.5">
      <c r="A7165" s="128">
        <v>2011</v>
      </c>
      <c r="B7165" s="128" t="s">
        <v>137</v>
      </c>
      <c r="C7165" s="128" t="s">
        <v>21</v>
      </c>
      <c r="D7165" s="128" t="s">
        <v>77</v>
      </c>
      <c r="E7165" s="128" t="s">
        <v>135</v>
      </c>
      <c r="F7165" s="128">
        <v>9277152.4299999997</v>
      </c>
      <c r="G7165" s="128">
        <v>2608513.77</v>
      </c>
      <c r="H7165" s="128">
        <v>2508677.7200000002</v>
      </c>
      <c r="I7165" s="128">
        <v>23707</v>
      </c>
    </row>
    <row r="7166" spans="1:9" ht="13.5">
      <c r="A7166" s="128">
        <v>2011</v>
      </c>
      <c r="B7166" s="128" t="s">
        <v>137</v>
      </c>
      <c r="C7166" s="128" t="s">
        <v>21</v>
      </c>
      <c r="D7166" s="128" t="s">
        <v>76</v>
      </c>
      <c r="E7166" s="128" t="s">
        <v>136</v>
      </c>
      <c r="F7166" s="128">
        <v>11268475.32</v>
      </c>
      <c r="G7166" s="128">
        <v>8483129.3900000006</v>
      </c>
      <c r="H7166" s="128">
        <v>2785353.71</v>
      </c>
      <c r="I7166" s="128">
        <v>233927</v>
      </c>
    </row>
    <row r="7167" spans="1:9" ht="13.5">
      <c r="A7167" s="128">
        <v>2011</v>
      </c>
      <c r="B7167" s="128" t="s">
        <v>137</v>
      </c>
      <c r="C7167" s="128" t="s">
        <v>21</v>
      </c>
      <c r="D7167" s="128" t="s">
        <v>76</v>
      </c>
      <c r="E7167" s="128" t="s">
        <v>132</v>
      </c>
      <c r="F7167" s="128">
        <v>38569587.850000001</v>
      </c>
      <c r="G7167" s="128">
        <v>24663739.379999999</v>
      </c>
      <c r="H7167" s="128">
        <v>13905732.369999999</v>
      </c>
      <c r="I7167" s="128">
        <v>385193</v>
      </c>
    </row>
    <row r="7168" spans="1:9" ht="13.5">
      <c r="A7168" s="128">
        <v>2011</v>
      </c>
      <c r="B7168" s="128" t="s">
        <v>137</v>
      </c>
      <c r="C7168" s="128" t="s">
        <v>21</v>
      </c>
      <c r="D7168" s="128" t="s">
        <v>76</v>
      </c>
      <c r="E7168" s="128" t="s">
        <v>133</v>
      </c>
      <c r="F7168" s="128">
        <v>88849651.420000002</v>
      </c>
      <c r="G7168" s="128">
        <v>49220060.689999998</v>
      </c>
      <c r="H7168" s="128">
        <v>39629546.240000002</v>
      </c>
      <c r="I7168" s="128">
        <v>656633</v>
      </c>
    </row>
    <row r="7169" spans="1:9" ht="13.5">
      <c r="A7169" s="128">
        <v>2011</v>
      </c>
      <c r="B7169" s="128" t="s">
        <v>137</v>
      </c>
      <c r="C7169" s="128" t="s">
        <v>21</v>
      </c>
      <c r="D7169" s="128" t="s">
        <v>76</v>
      </c>
      <c r="E7169" s="128" t="s">
        <v>134</v>
      </c>
      <c r="F7169" s="128">
        <v>81557467.280000001</v>
      </c>
      <c r="G7169" s="128">
        <v>37052446.030000001</v>
      </c>
      <c r="H7169" s="128">
        <v>44504965.329999998</v>
      </c>
      <c r="I7169" s="128">
        <v>440313</v>
      </c>
    </row>
    <row r="7170" spans="1:9" ht="13.5">
      <c r="A7170" s="128">
        <v>2011</v>
      </c>
      <c r="B7170" s="128" t="s">
        <v>137</v>
      </c>
      <c r="C7170" s="128" t="s">
        <v>21</v>
      </c>
      <c r="D7170" s="128" t="s">
        <v>76</v>
      </c>
      <c r="E7170" s="128" t="s">
        <v>135</v>
      </c>
      <c r="F7170" s="128">
        <v>5251798.8899999997</v>
      </c>
      <c r="G7170" s="128">
        <v>1514384.57</v>
      </c>
      <c r="H7170" s="128">
        <v>3737413.67</v>
      </c>
      <c r="I7170" s="128">
        <v>11146</v>
      </c>
    </row>
    <row r="7171" spans="1:9" ht="13.5">
      <c r="A7171" s="128">
        <v>2011</v>
      </c>
      <c r="B7171" s="128" t="s">
        <v>137</v>
      </c>
      <c r="C7171" s="128" t="s">
        <v>22</v>
      </c>
      <c r="D7171" s="128" t="s">
        <v>79</v>
      </c>
      <c r="E7171" s="128" t="s">
        <v>136</v>
      </c>
      <c r="F7171" s="128">
        <v>9706044.2699999996</v>
      </c>
      <c r="G7171" s="128">
        <v>7289845.5700000003</v>
      </c>
      <c r="H7171" s="128">
        <v>2415717.9900000002</v>
      </c>
      <c r="I7171" s="128">
        <v>72322</v>
      </c>
    </row>
    <row r="7172" spans="1:9" ht="13.5">
      <c r="A7172" s="128">
        <v>2011</v>
      </c>
      <c r="B7172" s="128" t="s">
        <v>137</v>
      </c>
      <c r="C7172" s="128" t="s">
        <v>22</v>
      </c>
      <c r="D7172" s="128" t="s">
        <v>79</v>
      </c>
      <c r="E7172" s="128" t="s">
        <v>132</v>
      </c>
      <c r="F7172" s="128">
        <v>1615495.02</v>
      </c>
      <c r="G7172" s="128">
        <v>1077593.23</v>
      </c>
      <c r="H7172" s="128">
        <v>359451.33</v>
      </c>
      <c r="I7172" s="128">
        <v>9462</v>
      </c>
    </row>
    <row r="7173" spans="1:9" ht="13.5">
      <c r="A7173" s="128">
        <v>2011</v>
      </c>
      <c r="B7173" s="128" t="s">
        <v>137</v>
      </c>
      <c r="C7173" s="128" t="s">
        <v>22</v>
      </c>
      <c r="D7173" s="128" t="s">
        <v>79</v>
      </c>
      <c r="E7173" s="128" t="s">
        <v>133</v>
      </c>
      <c r="F7173" s="128">
        <v>2883425.61</v>
      </c>
      <c r="G7173" s="128">
        <v>1571159.12</v>
      </c>
      <c r="H7173" s="128">
        <v>552783.06999999995</v>
      </c>
      <c r="I7173" s="128">
        <v>12686</v>
      </c>
    </row>
    <row r="7174" spans="1:9" ht="13.5">
      <c r="A7174" s="128">
        <v>2011</v>
      </c>
      <c r="B7174" s="128" t="s">
        <v>137</v>
      </c>
      <c r="C7174" s="128" t="s">
        <v>22</v>
      </c>
      <c r="D7174" s="128" t="s">
        <v>79</v>
      </c>
      <c r="E7174" s="128" t="s">
        <v>134</v>
      </c>
      <c r="F7174" s="128">
        <v>8910969.7200000007</v>
      </c>
      <c r="G7174" s="128">
        <v>3760607.87</v>
      </c>
      <c r="H7174" s="128">
        <v>1257205.2</v>
      </c>
      <c r="I7174" s="128">
        <v>27735</v>
      </c>
    </row>
    <row r="7175" spans="1:9" ht="13.5">
      <c r="A7175" s="128">
        <v>2011</v>
      </c>
      <c r="B7175" s="128" t="s">
        <v>137</v>
      </c>
      <c r="C7175" s="128" t="s">
        <v>22</v>
      </c>
      <c r="D7175" s="128" t="s">
        <v>79</v>
      </c>
      <c r="E7175" s="128" t="s">
        <v>135</v>
      </c>
      <c r="F7175" s="128">
        <v>45022950.5</v>
      </c>
      <c r="G7175" s="128">
        <v>12146625.279999999</v>
      </c>
      <c r="H7175" s="128">
        <v>4052721.85</v>
      </c>
      <c r="I7175" s="128">
        <v>85201</v>
      </c>
    </row>
    <row r="7176" spans="1:9" ht="13.5">
      <c r="A7176" s="128">
        <v>2011</v>
      </c>
      <c r="B7176" s="128" t="s">
        <v>137</v>
      </c>
      <c r="C7176" s="128" t="s">
        <v>22</v>
      </c>
      <c r="D7176" s="128" t="s">
        <v>77</v>
      </c>
      <c r="E7176" s="128" t="s">
        <v>132</v>
      </c>
      <c r="F7176" s="128">
        <v>793718.51</v>
      </c>
      <c r="G7176" s="128">
        <v>516484.22</v>
      </c>
      <c r="H7176" s="128">
        <v>221862.32</v>
      </c>
      <c r="I7176" s="128">
        <v>1662</v>
      </c>
    </row>
    <row r="7177" spans="1:9" ht="13.5">
      <c r="A7177" s="128">
        <v>2011</v>
      </c>
      <c r="B7177" s="128" t="s">
        <v>137</v>
      </c>
      <c r="C7177" s="128" t="s">
        <v>22</v>
      </c>
      <c r="D7177" s="128" t="s">
        <v>77</v>
      </c>
      <c r="E7177" s="128" t="s">
        <v>133</v>
      </c>
      <c r="F7177" s="128">
        <v>2765537.9</v>
      </c>
      <c r="G7177" s="128">
        <v>1491963.6</v>
      </c>
      <c r="H7177" s="128">
        <v>1035989.63</v>
      </c>
      <c r="I7177" s="128">
        <v>8893</v>
      </c>
    </row>
    <row r="7178" spans="1:9" ht="13.5">
      <c r="A7178" s="128">
        <v>2011</v>
      </c>
      <c r="B7178" s="128" t="s">
        <v>137</v>
      </c>
      <c r="C7178" s="128" t="s">
        <v>22</v>
      </c>
      <c r="D7178" s="128" t="s">
        <v>77</v>
      </c>
      <c r="E7178" s="128" t="s">
        <v>134</v>
      </c>
      <c r="F7178" s="128">
        <v>4736458.3499999996</v>
      </c>
      <c r="G7178" s="128">
        <v>2038829.98</v>
      </c>
      <c r="H7178" s="128">
        <v>1811081.05</v>
      </c>
      <c r="I7178" s="128">
        <v>10206</v>
      </c>
    </row>
    <row r="7179" spans="1:9" ht="13.5">
      <c r="A7179" s="128">
        <v>2011</v>
      </c>
      <c r="B7179" s="128" t="s">
        <v>137</v>
      </c>
      <c r="C7179" s="128" t="s">
        <v>22</v>
      </c>
      <c r="D7179" s="128" t="s">
        <v>77</v>
      </c>
      <c r="E7179" s="128" t="s">
        <v>135</v>
      </c>
      <c r="F7179" s="128">
        <v>9288642.1300000008</v>
      </c>
      <c r="G7179" s="128">
        <v>2647393.73</v>
      </c>
      <c r="H7179" s="128">
        <v>2564296.83</v>
      </c>
      <c r="I7179" s="128">
        <v>21161</v>
      </c>
    </row>
    <row r="7180" spans="1:9" ht="13.5">
      <c r="A7180" s="128">
        <v>2011</v>
      </c>
      <c r="B7180" s="128" t="s">
        <v>137</v>
      </c>
      <c r="C7180" s="128" t="s">
        <v>22</v>
      </c>
      <c r="D7180" s="128" t="s">
        <v>76</v>
      </c>
      <c r="E7180" s="128" t="s">
        <v>136</v>
      </c>
      <c r="F7180" s="128">
        <v>5671741.1699999999</v>
      </c>
      <c r="G7180" s="128">
        <v>4263751.22</v>
      </c>
      <c r="H7180" s="128">
        <v>1407988.35</v>
      </c>
      <c r="I7180" s="128">
        <v>80690</v>
      </c>
    </row>
    <row r="7181" spans="1:9" ht="13.5">
      <c r="A7181" s="128">
        <v>2011</v>
      </c>
      <c r="B7181" s="128" t="s">
        <v>137</v>
      </c>
      <c r="C7181" s="128" t="s">
        <v>22</v>
      </c>
      <c r="D7181" s="128" t="s">
        <v>76</v>
      </c>
      <c r="E7181" s="128" t="s">
        <v>132</v>
      </c>
      <c r="F7181" s="128">
        <v>30535848.120000001</v>
      </c>
      <c r="G7181" s="128">
        <v>19615864.760000002</v>
      </c>
      <c r="H7181" s="128">
        <v>10919932.57</v>
      </c>
      <c r="I7181" s="128">
        <v>326288</v>
      </c>
    </row>
    <row r="7182" spans="1:9" ht="13.5">
      <c r="A7182" s="128">
        <v>2011</v>
      </c>
      <c r="B7182" s="128" t="s">
        <v>137</v>
      </c>
      <c r="C7182" s="128" t="s">
        <v>22</v>
      </c>
      <c r="D7182" s="128" t="s">
        <v>76</v>
      </c>
      <c r="E7182" s="128" t="s">
        <v>133</v>
      </c>
      <c r="F7182" s="128">
        <v>66208066.149999999</v>
      </c>
      <c r="G7182" s="128">
        <v>36903137.890000001</v>
      </c>
      <c r="H7182" s="128">
        <v>29304824.710000001</v>
      </c>
      <c r="I7182" s="128">
        <v>613992</v>
      </c>
    </row>
    <row r="7183" spans="1:9" ht="13.5">
      <c r="A7183" s="128">
        <v>2011</v>
      </c>
      <c r="B7183" s="128" t="s">
        <v>137</v>
      </c>
      <c r="C7183" s="128" t="s">
        <v>22</v>
      </c>
      <c r="D7183" s="128" t="s">
        <v>76</v>
      </c>
      <c r="E7183" s="128" t="s">
        <v>134</v>
      </c>
      <c r="F7183" s="128">
        <v>47425245.939999998</v>
      </c>
      <c r="G7183" s="128">
        <v>21949377.440000001</v>
      </c>
      <c r="H7183" s="128">
        <v>25475757.100000001</v>
      </c>
      <c r="I7183" s="128">
        <v>292324</v>
      </c>
    </row>
    <row r="7184" spans="1:9" ht="13.5">
      <c r="A7184" s="128">
        <v>2011</v>
      </c>
      <c r="B7184" s="128" t="s">
        <v>137</v>
      </c>
      <c r="C7184" s="128" t="s">
        <v>22</v>
      </c>
      <c r="D7184" s="128" t="s">
        <v>76</v>
      </c>
      <c r="E7184" s="128" t="s">
        <v>135</v>
      </c>
      <c r="F7184" s="128">
        <v>6400374.9000000004</v>
      </c>
      <c r="G7184" s="128">
        <v>1873590</v>
      </c>
      <c r="H7184" s="128">
        <v>4526786.3</v>
      </c>
      <c r="I7184" s="128">
        <v>11260</v>
      </c>
    </row>
    <row r="7185" spans="1:9" ht="13.5">
      <c r="A7185" s="128">
        <v>2011</v>
      </c>
      <c r="B7185" s="128" t="s">
        <v>137</v>
      </c>
      <c r="C7185" s="128" t="s">
        <v>23</v>
      </c>
      <c r="D7185" s="128" t="s">
        <v>79</v>
      </c>
      <c r="E7185" s="128" t="s">
        <v>136</v>
      </c>
      <c r="F7185" s="128">
        <v>3531069.28</v>
      </c>
      <c r="G7185" s="128">
        <v>2651629.84</v>
      </c>
      <c r="H7185" s="128">
        <v>879334.42</v>
      </c>
      <c r="I7185" s="128">
        <v>55563</v>
      </c>
    </row>
    <row r="7186" spans="1:9" ht="13.5">
      <c r="A7186" s="128">
        <v>2011</v>
      </c>
      <c r="B7186" s="128" t="s">
        <v>137</v>
      </c>
      <c r="C7186" s="128" t="s">
        <v>23</v>
      </c>
      <c r="D7186" s="128" t="s">
        <v>79</v>
      </c>
      <c r="E7186" s="128" t="s">
        <v>132</v>
      </c>
      <c r="F7186" s="128">
        <v>293630.03999999998</v>
      </c>
      <c r="G7186" s="128">
        <v>193385.17</v>
      </c>
      <c r="H7186" s="128">
        <v>70507.78</v>
      </c>
      <c r="I7186" s="128">
        <v>2403</v>
      </c>
    </row>
    <row r="7187" spans="1:9" ht="13.5">
      <c r="A7187" s="128">
        <v>2011</v>
      </c>
      <c r="B7187" s="128" t="s">
        <v>137</v>
      </c>
      <c r="C7187" s="128" t="s">
        <v>23</v>
      </c>
      <c r="D7187" s="128" t="s">
        <v>79</v>
      </c>
      <c r="E7187" s="128" t="s">
        <v>133</v>
      </c>
      <c r="F7187" s="128">
        <v>656607.64</v>
      </c>
      <c r="G7187" s="128">
        <v>349504.76</v>
      </c>
      <c r="H7187" s="128">
        <v>126412.87</v>
      </c>
      <c r="I7187" s="128">
        <v>3201</v>
      </c>
    </row>
    <row r="7188" spans="1:9" ht="13.5">
      <c r="A7188" s="128">
        <v>2011</v>
      </c>
      <c r="B7188" s="128" t="s">
        <v>137</v>
      </c>
      <c r="C7188" s="128" t="s">
        <v>23</v>
      </c>
      <c r="D7188" s="128" t="s">
        <v>79</v>
      </c>
      <c r="E7188" s="128" t="s">
        <v>134</v>
      </c>
      <c r="F7188" s="128">
        <v>565212.96</v>
      </c>
      <c r="G7188" s="128">
        <v>244544.4</v>
      </c>
      <c r="H7188" s="128">
        <v>102293.53</v>
      </c>
      <c r="I7188" s="128">
        <v>2490</v>
      </c>
    </row>
    <row r="7189" spans="1:9" ht="13.5">
      <c r="A7189" s="128">
        <v>2011</v>
      </c>
      <c r="B7189" s="128" t="s">
        <v>137</v>
      </c>
      <c r="C7189" s="128" t="s">
        <v>23</v>
      </c>
      <c r="D7189" s="128" t="s">
        <v>79</v>
      </c>
      <c r="E7189" s="128" t="s">
        <v>135</v>
      </c>
      <c r="F7189" s="128">
        <v>2587968.39</v>
      </c>
      <c r="G7189" s="128">
        <v>683568.77</v>
      </c>
      <c r="H7189" s="128">
        <v>230458.41</v>
      </c>
      <c r="I7189" s="128">
        <v>7848</v>
      </c>
    </row>
    <row r="7190" spans="1:9" ht="13.5">
      <c r="A7190" s="128">
        <v>2011</v>
      </c>
      <c r="B7190" s="128" t="s">
        <v>137</v>
      </c>
      <c r="C7190" s="128" t="s">
        <v>23</v>
      </c>
      <c r="D7190" s="128" t="s">
        <v>77</v>
      </c>
      <c r="E7190" s="128" t="s">
        <v>132</v>
      </c>
      <c r="F7190" s="128">
        <v>486689.43</v>
      </c>
      <c r="G7190" s="128">
        <v>333430.34999999998</v>
      </c>
      <c r="H7190" s="128">
        <v>124612.47</v>
      </c>
      <c r="I7190" s="128">
        <v>2121</v>
      </c>
    </row>
    <row r="7191" spans="1:9" ht="13.5">
      <c r="A7191" s="128">
        <v>2011</v>
      </c>
      <c r="B7191" s="128" t="s">
        <v>137</v>
      </c>
      <c r="C7191" s="128" t="s">
        <v>23</v>
      </c>
      <c r="D7191" s="128" t="s">
        <v>77</v>
      </c>
      <c r="E7191" s="128" t="s">
        <v>133</v>
      </c>
      <c r="F7191" s="128">
        <v>941751.82</v>
      </c>
      <c r="G7191" s="128">
        <v>510155.25</v>
      </c>
      <c r="H7191" s="128">
        <v>326225</v>
      </c>
      <c r="I7191" s="128">
        <v>3151</v>
      </c>
    </row>
    <row r="7192" spans="1:9" ht="13.5">
      <c r="A7192" s="128">
        <v>2011</v>
      </c>
      <c r="B7192" s="128" t="s">
        <v>137</v>
      </c>
      <c r="C7192" s="128" t="s">
        <v>23</v>
      </c>
      <c r="D7192" s="128" t="s">
        <v>77</v>
      </c>
      <c r="E7192" s="128" t="s">
        <v>134</v>
      </c>
      <c r="F7192" s="128">
        <v>2169265.7200000002</v>
      </c>
      <c r="G7192" s="128">
        <v>931271.29</v>
      </c>
      <c r="H7192" s="128">
        <v>882083.19</v>
      </c>
      <c r="I7192" s="128">
        <v>3288</v>
      </c>
    </row>
    <row r="7193" spans="1:9" ht="13.5">
      <c r="A7193" s="128">
        <v>2011</v>
      </c>
      <c r="B7193" s="128" t="s">
        <v>137</v>
      </c>
      <c r="C7193" s="128" t="s">
        <v>23</v>
      </c>
      <c r="D7193" s="128" t="s">
        <v>77</v>
      </c>
      <c r="E7193" s="128" t="s">
        <v>135</v>
      </c>
      <c r="F7193" s="128">
        <v>977384.61</v>
      </c>
      <c r="G7193" s="128">
        <v>260377.2</v>
      </c>
      <c r="H7193" s="128">
        <v>255431.03</v>
      </c>
      <c r="I7193" s="128">
        <v>2074</v>
      </c>
    </row>
    <row r="7194" spans="1:9" ht="13.5">
      <c r="A7194" s="128">
        <v>2011</v>
      </c>
      <c r="B7194" s="128" t="s">
        <v>137</v>
      </c>
      <c r="C7194" s="128" t="s">
        <v>23</v>
      </c>
      <c r="D7194" s="128" t="s">
        <v>76</v>
      </c>
      <c r="E7194" s="128" t="s">
        <v>136</v>
      </c>
      <c r="F7194" s="128">
        <v>3365765.26</v>
      </c>
      <c r="G7194" s="128">
        <v>2530407.25</v>
      </c>
      <c r="H7194" s="128">
        <v>835463.54</v>
      </c>
      <c r="I7194" s="128">
        <v>25279</v>
      </c>
    </row>
    <row r="7195" spans="1:9" ht="13.5">
      <c r="A7195" s="128">
        <v>2011</v>
      </c>
      <c r="B7195" s="128" t="s">
        <v>137</v>
      </c>
      <c r="C7195" s="128" t="s">
        <v>23</v>
      </c>
      <c r="D7195" s="128" t="s">
        <v>76</v>
      </c>
      <c r="E7195" s="128" t="s">
        <v>132</v>
      </c>
      <c r="F7195" s="128">
        <v>9403524.1099999994</v>
      </c>
      <c r="G7195" s="128">
        <v>6025463.4100000001</v>
      </c>
      <c r="H7195" s="128">
        <v>3377911.94</v>
      </c>
      <c r="I7195" s="128">
        <v>116881</v>
      </c>
    </row>
    <row r="7196" spans="1:9" ht="13.5">
      <c r="A7196" s="128">
        <v>2011</v>
      </c>
      <c r="B7196" s="128" t="s">
        <v>137</v>
      </c>
      <c r="C7196" s="128" t="s">
        <v>23</v>
      </c>
      <c r="D7196" s="128" t="s">
        <v>76</v>
      </c>
      <c r="E7196" s="128" t="s">
        <v>133</v>
      </c>
      <c r="F7196" s="128">
        <v>20429325.969999999</v>
      </c>
      <c r="G7196" s="128">
        <v>11196606.210000001</v>
      </c>
      <c r="H7196" s="128">
        <v>9232680.5600000005</v>
      </c>
      <c r="I7196" s="128">
        <v>159878</v>
      </c>
    </row>
    <row r="7197" spans="1:9" ht="13.5">
      <c r="A7197" s="128">
        <v>2011</v>
      </c>
      <c r="B7197" s="128" t="s">
        <v>137</v>
      </c>
      <c r="C7197" s="128" t="s">
        <v>23</v>
      </c>
      <c r="D7197" s="128" t="s">
        <v>76</v>
      </c>
      <c r="E7197" s="128" t="s">
        <v>134</v>
      </c>
      <c r="F7197" s="128">
        <v>37622599.990000002</v>
      </c>
      <c r="G7197" s="128">
        <v>17024835.809999999</v>
      </c>
      <c r="H7197" s="128">
        <v>20597735.09</v>
      </c>
      <c r="I7197" s="128">
        <v>160024</v>
      </c>
    </row>
    <row r="7198" spans="1:9" ht="13.5">
      <c r="A7198" s="128">
        <v>2011</v>
      </c>
      <c r="B7198" s="128" t="s">
        <v>137</v>
      </c>
      <c r="C7198" s="128" t="s">
        <v>23</v>
      </c>
      <c r="D7198" s="128" t="s">
        <v>76</v>
      </c>
      <c r="E7198" s="128" t="s">
        <v>135</v>
      </c>
      <c r="F7198" s="128">
        <v>2138049.98</v>
      </c>
      <c r="G7198" s="128">
        <v>611551.09</v>
      </c>
      <c r="H7198" s="128">
        <v>1526498.89</v>
      </c>
      <c r="I7198" s="128">
        <v>3367</v>
      </c>
    </row>
    <row r="7199" spans="1:9" ht="13.5">
      <c r="A7199" s="128">
        <v>2011</v>
      </c>
      <c r="B7199" s="128" t="s">
        <v>137</v>
      </c>
      <c r="C7199" s="128" t="s">
        <v>24</v>
      </c>
      <c r="D7199" s="128" t="s">
        <v>79</v>
      </c>
      <c r="E7199" s="128" t="s">
        <v>136</v>
      </c>
      <c r="F7199" s="128">
        <v>2305554.38</v>
      </c>
      <c r="G7199" s="128">
        <v>1731954.04</v>
      </c>
      <c r="H7199" s="128">
        <v>571941.74</v>
      </c>
      <c r="I7199" s="128">
        <v>38706</v>
      </c>
    </row>
    <row r="7200" spans="1:9" ht="13.5">
      <c r="A7200" s="128">
        <v>2011</v>
      </c>
      <c r="B7200" s="128" t="s">
        <v>137</v>
      </c>
      <c r="C7200" s="128" t="s">
        <v>24</v>
      </c>
      <c r="D7200" s="128" t="s">
        <v>79</v>
      </c>
      <c r="E7200" s="128" t="s">
        <v>132</v>
      </c>
      <c r="F7200" s="128">
        <v>380918.76</v>
      </c>
      <c r="G7200" s="128">
        <v>250258.18</v>
      </c>
      <c r="H7200" s="128">
        <v>83870.990000000005</v>
      </c>
      <c r="I7200" s="128">
        <v>2649</v>
      </c>
    </row>
    <row r="7201" spans="1:9" ht="13.5">
      <c r="A7201" s="128">
        <v>2011</v>
      </c>
      <c r="B7201" s="128" t="s">
        <v>137</v>
      </c>
      <c r="C7201" s="128" t="s">
        <v>24</v>
      </c>
      <c r="D7201" s="128" t="s">
        <v>79</v>
      </c>
      <c r="E7201" s="128" t="s">
        <v>133</v>
      </c>
      <c r="F7201" s="128">
        <v>1246065.78</v>
      </c>
      <c r="G7201" s="128">
        <v>677273.2</v>
      </c>
      <c r="H7201" s="128">
        <v>227939.69</v>
      </c>
      <c r="I7201" s="128">
        <v>7595</v>
      </c>
    </row>
    <row r="7202" spans="1:9" ht="13.5">
      <c r="A7202" s="128">
        <v>2011</v>
      </c>
      <c r="B7202" s="128" t="s">
        <v>137</v>
      </c>
      <c r="C7202" s="128" t="s">
        <v>24</v>
      </c>
      <c r="D7202" s="128" t="s">
        <v>79</v>
      </c>
      <c r="E7202" s="128" t="s">
        <v>134</v>
      </c>
      <c r="F7202" s="128">
        <v>2853321.34</v>
      </c>
      <c r="G7202" s="128">
        <v>1226734.42</v>
      </c>
      <c r="H7202" s="128">
        <v>411606.01</v>
      </c>
      <c r="I7202" s="128">
        <v>9693</v>
      </c>
    </row>
    <row r="7203" spans="1:9" ht="13.5">
      <c r="A7203" s="128">
        <v>2011</v>
      </c>
      <c r="B7203" s="128" t="s">
        <v>137</v>
      </c>
      <c r="C7203" s="128" t="s">
        <v>24</v>
      </c>
      <c r="D7203" s="128" t="s">
        <v>79</v>
      </c>
      <c r="E7203" s="128" t="s">
        <v>135</v>
      </c>
      <c r="F7203" s="128">
        <v>7935203.0099999998</v>
      </c>
      <c r="G7203" s="128">
        <v>1951739.33</v>
      </c>
      <c r="H7203" s="128">
        <v>652653.31000000006</v>
      </c>
      <c r="I7203" s="128">
        <v>20945</v>
      </c>
    </row>
    <row r="7204" spans="1:9" ht="13.5">
      <c r="A7204" s="128">
        <v>2011</v>
      </c>
      <c r="B7204" s="128" t="s">
        <v>137</v>
      </c>
      <c r="C7204" s="128" t="s">
        <v>24</v>
      </c>
      <c r="D7204" s="128" t="s">
        <v>77</v>
      </c>
      <c r="E7204" s="128" t="s">
        <v>132</v>
      </c>
      <c r="F7204" s="128">
        <v>2197974.7799999998</v>
      </c>
      <c r="G7204" s="128">
        <v>1498160.23</v>
      </c>
      <c r="H7204" s="128">
        <v>664040.42000000004</v>
      </c>
      <c r="I7204" s="128">
        <v>12793</v>
      </c>
    </row>
    <row r="7205" spans="1:9" ht="13.5">
      <c r="A7205" s="128">
        <v>2011</v>
      </c>
      <c r="B7205" s="128" t="s">
        <v>137</v>
      </c>
      <c r="C7205" s="128" t="s">
        <v>24</v>
      </c>
      <c r="D7205" s="128" t="s">
        <v>77</v>
      </c>
      <c r="E7205" s="128" t="s">
        <v>133</v>
      </c>
      <c r="F7205" s="128">
        <v>4634161.92</v>
      </c>
      <c r="G7205" s="128">
        <v>2482369.7400000002</v>
      </c>
      <c r="H7205" s="128">
        <v>1830566.88</v>
      </c>
      <c r="I7205" s="128">
        <v>37630</v>
      </c>
    </row>
    <row r="7206" spans="1:9" ht="13.5">
      <c r="A7206" s="128">
        <v>2011</v>
      </c>
      <c r="B7206" s="128" t="s">
        <v>137</v>
      </c>
      <c r="C7206" s="128" t="s">
        <v>24</v>
      </c>
      <c r="D7206" s="128" t="s">
        <v>77</v>
      </c>
      <c r="E7206" s="128" t="s">
        <v>134</v>
      </c>
      <c r="F7206" s="128">
        <v>7601652.6299999999</v>
      </c>
      <c r="G7206" s="128">
        <v>3339838.85</v>
      </c>
      <c r="H7206" s="128">
        <v>2423108.98</v>
      </c>
      <c r="I7206" s="128">
        <v>19234</v>
      </c>
    </row>
    <row r="7207" spans="1:9" ht="13.5">
      <c r="A7207" s="128">
        <v>2011</v>
      </c>
      <c r="B7207" s="128" t="s">
        <v>137</v>
      </c>
      <c r="C7207" s="128" t="s">
        <v>24</v>
      </c>
      <c r="D7207" s="128" t="s">
        <v>77</v>
      </c>
      <c r="E7207" s="128" t="s">
        <v>135</v>
      </c>
      <c r="F7207" s="128">
        <v>11043139.18</v>
      </c>
      <c r="G7207" s="128">
        <v>3051450.42</v>
      </c>
      <c r="H7207" s="128">
        <v>1934570.47</v>
      </c>
      <c r="I7207" s="128">
        <v>20840</v>
      </c>
    </row>
    <row r="7208" spans="1:9" ht="13.5">
      <c r="A7208" s="128">
        <v>2011</v>
      </c>
      <c r="B7208" s="128" t="s">
        <v>137</v>
      </c>
      <c r="C7208" s="128" t="s">
        <v>24</v>
      </c>
      <c r="D7208" s="128" t="s">
        <v>76</v>
      </c>
      <c r="E7208" s="128" t="s">
        <v>136</v>
      </c>
      <c r="F7208" s="128">
        <v>1277791.3799999999</v>
      </c>
      <c r="G7208" s="128">
        <v>965729.69</v>
      </c>
      <c r="H7208" s="128">
        <v>312037.45</v>
      </c>
      <c r="I7208" s="128">
        <v>14082</v>
      </c>
    </row>
    <row r="7209" spans="1:9" ht="13.5">
      <c r="A7209" s="128">
        <v>2011</v>
      </c>
      <c r="B7209" s="128" t="s">
        <v>137</v>
      </c>
      <c r="C7209" s="128" t="s">
        <v>24</v>
      </c>
      <c r="D7209" s="128" t="s">
        <v>76</v>
      </c>
      <c r="E7209" s="128" t="s">
        <v>132</v>
      </c>
      <c r="F7209" s="128">
        <v>9497092.2300000004</v>
      </c>
      <c r="G7209" s="128">
        <v>5975547.9000000004</v>
      </c>
      <c r="H7209" s="128">
        <v>3521538.84</v>
      </c>
      <c r="I7209" s="128">
        <v>90274</v>
      </c>
    </row>
    <row r="7210" spans="1:9" ht="13.5">
      <c r="A7210" s="128">
        <v>2011</v>
      </c>
      <c r="B7210" s="128" t="s">
        <v>137</v>
      </c>
      <c r="C7210" s="128" t="s">
        <v>24</v>
      </c>
      <c r="D7210" s="128" t="s">
        <v>76</v>
      </c>
      <c r="E7210" s="128" t="s">
        <v>133</v>
      </c>
      <c r="F7210" s="128">
        <v>28202409.43</v>
      </c>
      <c r="G7210" s="128">
        <v>15545707.26</v>
      </c>
      <c r="H7210" s="128">
        <v>12656697.300000001</v>
      </c>
      <c r="I7210" s="128">
        <v>193525</v>
      </c>
    </row>
    <row r="7211" spans="1:9" ht="13.5">
      <c r="A7211" s="128">
        <v>2011</v>
      </c>
      <c r="B7211" s="128" t="s">
        <v>137</v>
      </c>
      <c r="C7211" s="128" t="s">
        <v>24</v>
      </c>
      <c r="D7211" s="128" t="s">
        <v>76</v>
      </c>
      <c r="E7211" s="128" t="s">
        <v>134</v>
      </c>
      <c r="F7211" s="128">
        <v>36266413.270000003</v>
      </c>
      <c r="G7211" s="128">
        <v>15980721.439999999</v>
      </c>
      <c r="H7211" s="128">
        <v>20285690.989999998</v>
      </c>
      <c r="I7211" s="128">
        <v>176748</v>
      </c>
    </row>
    <row r="7212" spans="1:9" ht="13.5">
      <c r="A7212" s="128">
        <v>2011</v>
      </c>
      <c r="B7212" s="128" t="s">
        <v>137</v>
      </c>
      <c r="C7212" s="128" t="s">
        <v>24</v>
      </c>
      <c r="D7212" s="128" t="s">
        <v>76</v>
      </c>
      <c r="E7212" s="128" t="s">
        <v>135</v>
      </c>
      <c r="F7212" s="128">
        <v>3447444.86</v>
      </c>
      <c r="G7212" s="128">
        <v>901950.63</v>
      </c>
      <c r="H7212" s="128">
        <v>2545494.23</v>
      </c>
      <c r="I7212" s="128">
        <v>2549</v>
      </c>
    </row>
    <row r="7213" spans="1:9" ht="13.5">
      <c r="A7213" s="128">
        <v>2011</v>
      </c>
      <c r="B7213" s="128" t="s">
        <v>137</v>
      </c>
      <c r="C7213" s="128" t="s">
        <v>25</v>
      </c>
      <c r="D7213" s="128" t="s">
        <v>79</v>
      </c>
      <c r="E7213" s="128" t="s">
        <v>136</v>
      </c>
      <c r="F7213" s="128">
        <v>1142679.0900000001</v>
      </c>
      <c r="G7213" s="128">
        <v>859010.54</v>
      </c>
      <c r="H7213" s="128">
        <v>283668.32</v>
      </c>
      <c r="I7213" s="128">
        <v>15645</v>
      </c>
    </row>
    <row r="7214" spans="1:9" ht="13.5">
      <c r="A7214" s="128">
        <v>2011</v>
      </c>
      <c r="B7214" s="128" t="s">
        <v>137</v>
      </c>
      <c r="C7214" s="128" t="s">
        <v>25</v>
      </c>
      <c r="D7214" s="128" t="s">
        <v>79</v>
      </c>
      <c r="E7214" s="128" t="s">
        <v>132</v>
      </c>
      <c r="F7214" s="128">
        <v>113692.53</v>
      </c>
      <c r="G7214" s="128">
        <v>76002.89</v>
      </c>
      <c r="H7214" s="128">
        <v>25189.05</v>
      </c>
      <c r="I7214" s="128">
        <v>790</v>
      </c>
    </row>
    <row r="7215" spans="1:9" ht="13.5">
      <c r="A7215" s="128">
        <v>2011</v>
      </c>
      <c r="B7215" s="128" t="s">
        <v>137</v>
      </c>
      <c r="C7215" s="128" t="s">
        <v>25</v>
      </c>
      <c r="D7215" s="128" t="s">
        <v>79</v>
      </c>
      <c r="E7215" s="128" t="s">
        <v>133</v>
      </c>
      <c r="F7215" s="128">
        <v>106886.56</v>
      </c>
      <c r="G7215" s="128">
        <v>57639.86</v>
      </c>
      <c r="H7215" s="128">
        <v>18952.53</v>
      </c>
      <c r="I7215" s="128">
        <v>402</v>
      </c>
    </row>
    <row r="7216" spans="1:9" ht="13.5">
      <c r="A7216" s="128">
        <v>2011</v>
      </c>
      <c r="B7216" s="128" t="s">
        <v>137</v>
      </c>
      <c r="C7216" s="128" t="s">
        <v>25</v>
      </c>
      <c r="D7216" s="128" t="s">
        <v>79</v>
      </c>
      <c r="E7216" s="128" t="s">
        <v>134</v>
      </c>
      <c r="F7216" s="128">
        <v>532420.81999999995</v>
      </c>
      <c r="G7216" s="128">
        <v>229939.45</v>
      </c>
      <c r="H7216" s="128">
        <v>76716</v>
      </c>
      <c r="I7216" s="128">
        <v>1311</v>
      </c>
    </row>
    <row r="7217" spans="1:9" ht="13.5">
      <c r="A7217" s="128">
        <v>2011</v>
      </c>
      <c r="B7217" s="128" t="s">
        <v>137</v>
      </c>
      <c r="C7217" s="128" t="s">
        <v>25</v>
      </c>
      <c r="D7217" s="128" t="s">
        <v>79</v>
      </c>
      <c r="E7217" s="128" t="s">
        <v>135</v>
      </c>
      <c r="F7217" s="128">
        <v>2140934.89</v>
      </c>
      <c r="G7217" s="128">
        <v>520947.79</v>
      </c>
      <c r="H7217" s="128">
        <v>173787.68</v>
      </c>
      <c r="I7217" s="128">
        <v>3709</v>
      </c>
    </row>
    <row r="7218" spans="1:9" ht="13.5">
      <c r="A7218" s="128">
        <v>2011</v>
      </c>
      <c r="B7218" s="128" t="s">
        <v>137</v>
      </c>
      <c r="C7218" s="128" t="s">
        <v>25</v>
      </c>
      <c r="D7218" s="128" t="s">
        <v>77</v>
      </c>
      <c r="E7218" s="128" t="s">
        <v>132</v>
      </c>
      <c r="F7218" s="128">
        <v>166693.79</v>
      </c>
      <c r="G7218" s="128">
        <v>109023.95</v>
      </c>
      <c r="H7218" s="128">
        <v>39441.589999999997</v>
      </c>
      <c r="I7218" s="128">
        <v>847</v>
      </c>
    </row>
    <row r="7219" spans="1:9" ht="13.5">
      <c r="A7219" s="128">
        <v>2011</v>
      </c>
      <c r="B7219" s="128" t="s">
        <v>137</v>
      </c>
      <c r="C7219" s="128" t="s">
        <v>25</v>
      </c>
      <c r="D7219" s="128" t="s">
        <v>77</v>
      </c>
      <c r="E7219" s="128" t="s">
        <v>133</v>
      </c>
      <c r="F7219" s="128">
        <v>281641.14</v>
      </c>
      <c r="G7219" s="128">
        <v>152251.91</v>
      </c>
      <c r="H7219" s="128">
        <v>103850.69</v>
      </c>
      <c r="I7219" s="128">
        <v>954</v>
      </c>
    </row>
    <row r="7220" spans="1:9" ht="13.5">
      <c r="A7220" s="128">
        <v>2011</v>
      </c>
      <c r="B7220" s="128" t="s">
        <v>137</v>
      </c>
      <c r="C7220" s="128" t="s">
        <v>25</v>
      </c>
      <c r="D7220" s="128" t="s">
        <v>77</v>
      </c>
      <c r="E7220" s="128" t="s">
        <v>134</v>
      </c>
      <c r="F7220" s="128">
        <v>690144.85</v>
      </c>
      <c r="G7220" s="128">
        <v>296332.59000000003</v>
      </c>
      <c r="H7220" s="128">
        <v>281212.68</v>
      </c>
      <c r="I7220" s="128">
        <v>1715</v>
      </c>
    </row>
    <row r="7221" spans="1:9" ht="13.5">
      <c r="A7221" s="128">
        <v>2011</v>
      </c>
      <c r="B7221" s="128" t="s">
        <v>137</v>
      </c>
      <c r="C7221" s="128" t="s">
        <v>25</v>
      </c>
      <c r="D7221" s="128" t="s">
        <v>77</v>
      </c>
      <c r="E7221" s="128" t="s">
        <v>135</v>
      </c>
      <c r="F7221" s="128">
        <v>1120619.23</v>
      </c>
      <c r="G7221" s="128">
        <v>337990.25</v>
      </c>
      <c r="H7221" s="128">
        <v>385695.58</v>
      </c>
      <c r="I7221" s="128">
        <v>4097</v>
      </c>
    </row>
    <row r="7222" spans="1:9" ht="13.5">
      <c r="A7222" s="128">
        <v>2011</v>
      </c>
      <c r="B7222" s="128" t="s">
        <v>137</v>
      </c>
      <c r="C7222" s="128" t="s">
        <v>25</v>
      </c>
      <c r="D7222" s="128" t="s">
        <v>76</v>
      </c>
      <c r="E7222" s="128" t="s">
        <v>136</v>
      </c>
      <c r="F7222" s="128">
        <v>816125.08</v>
      </c>
      <c r="G7222" s="128">
        <v>614087.15</v>
      </c>
      <c r="H7222" s="128">
        <v>202037.93</v>
      </c>
      <c r="I7222" s="128">
        <v>10293</v>
      </c>
    </row>
    <row r="7223" spans="1:9" ht="13.5">
      <c r="A7223" s="128">
        <v>2011</v>
      </c>
      <c r="B7223" s="128" t="s">
        <v>137</v>
      </c>
      <c r="C7223" s="128" t="s">
        <v>25</v>
      </c>
      <c r="D7223" s="128" t="s">
        <v>76</v>
      </c>
      <c r="E7223" s="128" t="s">
        <v>132</v>
      </c>
      <c r="F7223" s="128">
        <v>2800825.52</v>
      </c>
      <c r="G7223" s="128">
        <v>1777993.78</v>
      </c>
      <c r="H7223" s="128">
        <v>1022831.42</v>
      </c>
      <c r="I7223" s="128">
        <v>21832</v>
      </c>
    </row>
    <row r="7224" spans="1:9" ht="13.5">
      <c r="A7224" s="128">
        <v>2011</v>
      </c>
      <c r="B7224" s="128" t="s">
        <v>137</v>
      </c>
      <c r="C7224" s="128" t="s">
        <v>25</v>
      </c>
      <c r="D7224" s="128" t="s">
        <v>76</v>
      </c>
      <c r="E7224" s="128" t="s">
        <v>133</v>
      </c>
      <c r="F7224" s="128">
        <v>6817693.71</v>
      </c>
      <c r="G7224" s="128">
        <v>3750135.84</v>
      </c>
      <c r="H7224" s="128">
        <v>3067549.35</v>
      </c>
      <c r="I7224" s="128">
        <v>42483</v>
      </c>
    </row>
    <row r="7225" spans="1:9" ht="13.5">
      <c r="A7225" s="128">
        <v>2011</v>
      </c>
      <c r="B7225" s="128" t="s">
        <v>137</v>
      </c>
      <c r="C7225" s="128" t="s">
        <v>25</v>
      </c>
      <c r="D7225" s="128" t="s">
        <v>76</v>
      </c>
      <c r="E7225" s="128" t="s">
        <v>134</v>
      </c>
      <c r="F7225" s="128">
        <v>5874241.3700000001</v>
      </c>
      <c r="G7225" s="128">
        <v>2696336.42</v>
      </c>
      <c r="H7225" s="128">
        <v>3177903.53</v>
      </c>
      <c r="I7225" s="128">
        <v>35311</v>
      </c>
    </row>
    <row r="7226" spans="1:9" ht="13.5">
      <c r="A7226" s="128">
        <v>2011</v>
      </c>
      <c r="B7226" s="128" t="s">
        <v>137</v>
      </c>
      <c r="C7226" s="128" t="s">
        <v>25</v>
      </c>
      <c r="D7226" s="128" t="s">
        <v>76</v>
      </c>
      <c r="E7226" s="128" t="s">
        <v>135</v>
      </c>
      <c r="F7226" s="128">
        <v>561391.14</v>
      </c>
      <c r="G7226" s="128">
        <v>158260.79999999999</v>
      </c>
      <c r="H7226" s="128">
        <v>403130.34</v>
      </c>
      <c r="I7226" s="128">
        <v>518</v>
      </c>
    </row>
    <row r="7227" spans="1:9" ht="13.5">
      <c r="A7227" s="128">
        <v>2011</v>
      </c>
      <c r="B7227" s="128" t="s">
        <v>137</v>
      </c>
      <c r="C7227" s="128" t="s">
        <v>26</v>
      </c>
      <c r="D7227" s="128" t="s">
        <v>79</v>
      </c>
      <c r="E7227" s="128" t="s">
        <v>136</v>
      </c>
      <c r="F7227" s="128">
        <v>856254.74</v>
      </c>
      <c r="G7227" s="128">
        <v>643758.01</v>
      </c>
      <c r="H7227" s="128">
        <v>212358.08</v>
      </c>
      <c r="I7227" s="128">
        <v>9357</v>
      </c>
    </row>
    <row r="7228" spans="1:9" ht="13.5">
      <c r="A7228" s="128">
        <v>2011</v>
      </c>
      <c r="B7228" s="128" t="s">
        <v>137</v>
      </c>
      <c r="C7228" s="128" t="s">
        <v>26</v>
      </c>
      <c r="D7228" s="128" t="s">
        <v>79</v>
      </c>
      <c r="E7228" s="128" t="s">
        <v>132</v>
      </c>
      <c r="F7228" s="128">
        <v>159051.82999999999</v>
      </c>
      <c r="G7228" s="128">
        <v>104540.66</v>
      </c>
      <c r="H7228" s="128">
        <v>34635.17</v>
      </c>
      <c r="I7228" s="128">
        <v>608</v>
      </c>
    </row>
    <row r="7229" spans="1:9" ht="13.5">
      <c r="A7229" s="128">
        <v>2011</v>
      </c>
      <c r="B7229" s="128" t="s">
        <v>137</v>
      </c>
      <c r="C7229" s="128" t="s">
        <v>26</v>
      </c>
      <c r="D7229" s="128" t="s">
        <v>79</v>
      </c>
      <c r="E7229" s="128" t="s">
        <v>133</v>
      </c>
      <c r="F7229" s="128">
        <v>125745.26</v>
      </c>
      <c r="G7229" s="128">
        <v>67791.22</v>
      </c>
      <c r="H7229" s="128">
        <v>22722.34</v>
      </c>
      <c r="I7229" s="128">
        <v>591</v>
      </c>
    </row>
    <row r="7230" spans="1:9" ht="13.5">
      <c r="A7230" s="128">
        <v>2011</v>
      </c>
      <c r="B7230" s="128" t="s">
        <v>137</v>
      </c>
      <c r="C7230" s="128" t="s">
        <v>26</v>
      </c>
      <c r="D7230" s="128" t="s">
        <v>79</v>
      </c>
      <c r="E7230" s="128" t="s">
        <v>134</v>
      </c>
      <c r="F7230" s="128">
        <v>961233.83</v>
      </c>
      <c r="G7230" s="128">
        <v>400472.63</v>
      </c>
      <c r="H7230" s="128">
        <v>133364.24</v>
      </c>
      <c r="I7230" s="128">
        <v>2993</v>
      </c>
    </row>
    <row r="7231" spans="1:9" ht="13.5">
      <c r="A7231" s="128">
        <v>2011</v>
      </c>
      <c r="B7231" s="128" t="s">
        <v>137</v>
      </c>
      <c r="C7231" s="128" t="s">
        <v>26</v>
      </c>
      <c r="D7231" s="128" t="s">
        <v>79</v>
      </c>
      <c r="E7231" s="128" t="s">
        <v>135</v>
      </c>
      <c r="F7231" s="128">
        <v>7038628.4000000004</v>
      </c>
      <c r="G7231" s="128">
        <v>1794739.8</v>
      </c>
      <c r="H7231" s="128">
        <v>598962.68000000005</v>
      </c>
      <c r="I7231" s="128">
        <v>11388</v>
      </c>
    </row>
    <row r="7232" spans="1:9" ht="13.5">
      <c r="A7232" s="128">
        <v>2011</v>
      </c>
      <c r="B7232" s="128" t="s">
        <v>137</v>
      </c>
      <c r="C7232" s="128" t="s">
        <v>26</v>
      </c>
      <c r="D7232" s="128" t="s">
        <v>77</v>
      </c>
      <c r="E7232" s="128" t="s">
        <v>132</v>
      </c>
      <c r="F7232" s="128">
        <v>44174.33</v>
      </c>
      <c r="G7232" s="128">
        <v>26665.1</v>
      </c>
      <c r="H7232" s="128">
        <v>14357.24</v>
      </c>
      <c r="I7232" s="128">
        <v>139</v>
      </c>
    </row>
    <row r="7233" spans="1:9" ht="13.5">
      <c r="A7233" s="128">
        <v>2011</v>
      </c>
      <c r="B7233" s="128" t="s">
        <v>137</v>
      </c>
      <c r="C7233" s="128" t="s">
        <v>26</v>
      </c>
      <c r="D7233" s="128" t="s">
        <v>77</v>
      </c>
      <c r="E7233" s="128" t="s">
        <v>133</v>
      </c>
      <c r="F7233" s="128">
        <v>82752.149999999994</v>
      </c>
      <c r="G7233" s="128">
        <v>44965.01</v>
      </c>
      <c r="H7233" s="128">
        <v>29074.79</v>
      </c>
      <c r="I7233" s="128">
        <v>310</v>
      </c>
    </row>
    <row r="7234" spans="1:9" ht="13.5">
      <c r="A7234" s="128">
        <v>2011</v>
      </c>
      <c r="B7234" s="128" t="s">
        <v>137</v>
      </c>
      <c r="C7234" s="128" t="s">
        <v>26</v>
      </c>
      <c r="D7234" s="128" t="s">
        <v>77</v>
      </c>
      <c r="E7234" s="128" t="s">
        <v>134</v>
      </c>
      <c r="F7234" s="128">
        <v>182708</v>
      </c>
      <c r="G7234" s="128">
        <v>76604.55</v>
      </c>
      <c r="H7234" s="128">
        <v>69100.800000000003</v>
      </c>
      <c r="I7234" s="128">
        <v>441</v>
      </c>
    </row>
    <row r="7235" spans="1:9" ht="13.5">
      <c r="A7235" s="128">
        <v>2011</v>
      </c>
      <c r="B7235" s="128" t="s">
        <v>137</v>
      </c>
      <c r="C7235" s="128" t="s">
        <v>26</v>
      </c>
      <c r="D7235" s="128" t="s">
        <v>77</v>
      </c>
      <c r="E7235" s="128" t="s">
        <v>135</v>
      </c>
      <c r="F7235" s="128">
        <v>493537.27</v>
      </c>
      <c r="G7235" s="128">
        <v>121460.3</v>
      </c>
      <c r="H7235" s="128">
        <v>122997.94</v>
      </c>
      <c r="I7235" s="128">
        <v>1156</v>
      </c>
    </row>
    <row r="7236" spans="1:9" ht="13.5">
      <c r="A7236" s="128">
        <v>2011</v>
      </c>
      <c r="B7236" s="128" t="s">
        <v>137</v>
      </c>
      <c r="C7236" s="128" t="s">
        <v>26</v>
      </c>
      <c r="D7236" s="128" t="s">
        <v>76</v>
      </c>
      <c r="E7236" s="128" t="s">
        <v>136</v>
      </c>
      <c r="F7236" s="128">
        <v>369828.1</v>
      </c>
      <c r="G7236" s="128">
        <v>278270.86</v>
      </c>
      <c r="H7236" s="128">
        <v>91557.23</v>
      </c>
      <c r="I7236" s="128">
        <v>12423</v>
      </c>
    </row>
    <row r="7237" spans="1:9" ht="13.5">
      <c r="A7237" s="128">
        <v>2011</v>
      </c>
      <c r="B7237" s="128" t="s">
        <v>137</v>
      </c>
      <c r="C7237" s="128" t="s">
        <v>26</v>
      </c>
      <c r="D7237" s="128" t="s">
        <v>76</v>
      </c>
      <c r="E7237" s="128" t="s">
        <v>132</v>
      </c>
      <c r="F7237" s="128">
        <v>970044.51</v>
      </c>
      <c r="G7237" s="128">
        <v>627441.67000000004</v>
      </c>
      <c r="H7237" s="128">
        <v>342588.85</v>
      </c>
      <c r="I7237" s="128">
        <v>11657</v>
      </c>
    </row>
    <row r="7238" spans="1:9" ht="13.5">
      <c r="A7238" s="128">
        <v>2011</v>
      </c>
      <c r="B7238" s="128" t="s">
        <v>137</v>
      </c>
      <c r="C7238" s="128" t="s">
        <v>26</v>
      </c>
      <c r="D7238" s="128" t="s">
        <v>76</v>
      </c>
      <c r="E7238" s="128" t="s">
        <v>133</v>
      </c>
      <c r="F7238" s="128">
        <v>2590867.86</v>
      </c>
      <c r="G7238" s="128">
        <v>1427267.38</v>
      </c>
      <c r="H7238" s="128">
        <v>1163596.3</v>
      </c>
      <c r="I7238" s="128">
        <v>15819</v>
      </c>
    </row>
    <row r="7239" spans="1:9" ht="13.5">
      <c r="A7239" s="128">
        <v>2011</v>
      </c>
      <c r="B7239" s="128" t="s">
        <v>137</v>
      </c>
      <c r="C7239" s="128" t="s">
        <v>26</v>
      </c>
      <c r="D7239" s="128" t="s">
        <v>76</v>
      </c>
      <c r="E7239" s="128" t="s">
        <v>134</v>
      </c>
      <c r="F7239" s="128">
        <v>2025318.8</v>
      </c>
      <c r="G7239" s="128">
        <v>930149.51</v>
      </c>
      <c r="H7239" s="128">
        <v>1095157.58</v>
      </c>
      <c r="I7239" s="128">
        <v>13777</v>
      </c>
    </row>
    <row r="7240" spans="1:9" ht="13.5">
      <c r="A7240" s="128">
        <v>2011</v>
      </c>
      <c r="B7240" s="128" t="s">
        <v>137</v>
      </c>
      <c r="C7240" s="128" t="s">
        <v>26</v>
      </c>
      <c r="D7240" s="128" t="s">
        <v>76</v>
      </c>
      <c r="E7240" s="128" t="s">
        <v>135</v>
      </c>
      <c r="F7240" s="128">
        <v>417547.25</v>
      </c>
      <c r="G7240" s="128">
        <v>130099.6</v>
      </c>
      <c r="H7240" s="128">
        <v>287447.65000000002</v>
      </c>
      <c r="I7240" s="128">
        <v>1065</v>
      </c>
    </row>
    <row r="7241" spans="1:9" ht="13.5">
      <c r="A7241" s="128">
        <v>2011</v>
      </c>
      <c r="B7241" s="128" t="s">
        <v>137</v>
      </c>
      <c r="C7241" s="128" t="s">
        <v>27</v>
      </c>
      <c r="D7241" s="128" t="s">
        <v>79</v>
      </c>
      <c r="E7241" s="128" t="s">
        <v>136</v>
      </c>
      <c r="F7241" s="128">
        <v>374593.12</v>
      </c>
      <c r="G7241" s="128">
        <v>280906.77</v>
      </c>
      <c r="H7241" s="128">
        <v>93386.35</v>
      </c>
      <c r="I7241" s="128">
        <v>2237</v>
      </c>
    </row>
    <row r="7242" spans="1:9" ht="13.5">
      <c r="A7242" s="128">
        <v>2011</v>
      </c>
      <c r="B7242" s="128" t="s">
        <v>137</v>
      </c>
      <c r="C7242" s="128" t="s">
        <v>27</v>
      </c>
      <c r="D7242" s="128" t="s">
        <v>79</v>
      </c>
      <c r="E7242" s="128" t="s">
        <v>132</v>
      </c>
      <c r="F7242" s="128">
        <v>29960.880000000001</v>
      </c>
      <c r="G7242" s="128">
        <v>19489.8</v>
      </c>
      <c r="H7242" s="128">
        <v>6511.65</v>
      </c>
      <c r="I7242" s="128">
        <v>139</v>
      </c>
    </row>
    <row r="7243" spans="1:9" ht="13.5">
      <c r="A7243" s="128">
        <v>2011</v>
      </c>
      <c r="B7243" s="128" t="s">
        <v>137</v>
      </c>
      <c r="C7243" s="128" t="s">
        <v>27</v>
      </c>
      <c r="D7243" s="128" t="s">
        <v>79</v>
      </c>
      <c r="E7243" s="128" t="s">
        <v>133</v>
      </c>
      <c r="F7243" s="128">
        <v>45363.32</v>
      </c>
      <c r="G7243" s="128">
        <v>25063.66</v>
      </c>
      <c r="H7243" s="128">
        <v>8476.76</v>
      </c>
      <c r="I7243" s="128">
        <v>165</v>
      </c>
    </row>
    <row r="7244" spans="1:9" ht="13.5">
      <c r="A7244" s="128">
        <v>2011</v>
      </c>
      <c r="B7244" s="128" t="s">
        <v>137</v>
      </c>
      <c r="C7244" s="128" t="s">
        <v>27</v>
      </c>
      <c r="D7244" s="128" t="s">
        <v>79</v>
      </c>
      <c r="E7244" s="128" t="s">
        <v>134</v>
      </c>
      <c r="F7244" s="128">
        <v>148918.85</v>
      </c>
      <c r="G7244" s="128">
        <v>65535.09</v>
      </c>
      <c r="H7244" s="128">
        <v>21834.799999999999</v>
      </c>
      <c r="I7244" s="128">
        <v>592</v>
      </c>
    </row>
    <row r="7245" spans="1:9" ht="13.5">
      <c r="A7245" s="128">
        <v>2011</v>
      </c>
      <c r="B7245" s="128" t="s">
        <v>137</v>
      </c>
      <c r="C7245" s="128" t="s">
        <v>27</v>
      </c>
      <c r="D7245" s="128" t="s">
        <v>79</v>
      </c>
      <c r="E7245" s="128" t="s">
        <v>135</v>
      </c>
      <c r="F7245" s="128">
        <v>1092916.99</v>
      </c>
      <c r="G7245" s="128">
        <v>290869.99</v>
      </c>
      <c r="H7245" s="128">
        <v>96640.09</v>
      </c>
      <c r="I7245" s="128">
        <v>2043</v>
      </c>
    </row>
    <row r="7246" spans="1:9" ht="13.5">
      <c r="A7246" s="128">
        <v>2011</v>
      </c>
      <c r="B7246" s="128" t="s">
        <v>137</v>
      </c>
      <c r="C7246" s="128" t="s">
        <v>27</v>
      </c>
      <c r="D7246" s="128" t="s">
        <v>77</v>
      </c>
      <c r="E7246" s="128" t="s">
        <v>132</v>
      </c>
      <c r="F7246" s="128">
        <v>10596.79</v>
      </c>
      <c r="G7246" s="128">
        <v>6886.35</v>
      </c>
      <c r="H7246" s="128">
        <v>3222.09</v>
      </c>
      <c r="I7246" s="128">
        <v>61</v>
      </c>
    </row>
    <row r="7247" spans="1:9" ht="13.5">
      <c r="A7247" s="128">
        <v>2011</v>
      </c>
      <c r="B7247" s="128" t="s">
        <v>137</v>
      </c>
      <c r="C7247" s="128" t="s">
        <v>27</v>
      </c>
      <c r="D7247" s="128" t="s">
        <v>77</v>
      </c>
      <c r="E7247" s="128" t="s">
        <v>133</v>
      </c>
      <c r="F7247" s="128">
        <v>68831.98</v>
      </c>
      <c r="G7247" s="128">
        <v>37043.199999999997</v>
      </c>
      <c r="H7247" s="128">
        <v>25757.86</v>
      </c>
      <c r="I7247" s="128">
        <v>286</v>
      </c>
    </row>
    <row r="7248" spans="1:9" ht="13.5">
      <c r="A7248" s="128">
        <v>2011</v>
      </c>
      <c r="B7248" s="128" t="s">
        <v>137</v>
      </c>
      <c r="C7248" s="128" t="s">
        <v>27</v>
      </c>
      <c r="D7248" s="128" t="s">
        <v>77</v>
      </c>
      <c r="E7248" s="128" t="s">
        <v>134</v>
      </c>
      <c r="F7248" s="128">
        <v>127283.07</v>
      </c>
      <c r="G7248" s="128">
        <v>57637.35</v>
      </c>
      <c r="H7248" s="128">
        <v>53839.77</v>
      </c>
      <c r="I7248" s="128">
        <v>272</v>
      </c>
    </row>
    <row r="7249" spans="1:9" ht="13.5">
      <c r="A7249" s="128">
        <v>2011</v>
      </c>
      <c r="B7249" s="128" t="s">
        <v>137</v>
      </c>
      <c r="C7249" s="128" t="s">
        <v>27</v>
      </c>
      <c r="D7249" s="128" t="s">
        <v>77</v>
      </c>
      <c r="E7249" s="128" t="s">
        <v>135</v>
      </c>
      <c r="F7249" s="128">
        <v>269423.61</v>
      </c>
      <c r="G7249" s="128">
        <v>64933.5</v>
      </c>
      <c r="H7249" s="128">
        <v>68651.03</v>
      </c>
      <c r="I7249" s="128">
        <v>740</v>
      </c>
    </row>
    <row r="7250" spans="1:9" ht="13.5">
      <c r="A7250" s="128">
        <v>2011</v>
      </c>
      <c r="B7250" s="128" t="s">
        <v>137</v>
      </c>
      <c r="C7250" s="128" t="s">
        <v>27</v>
      </c>
      <c r="D7250" s="128" t="s">
        <v>76</v>
      </c>
      <c r="E7250" s="128" t="s">
        <v>136</v>
      </c>
      <c r="F7250" s="128">
        <v>107239.33</v>
      </c>
      <c r="G7250" s="128">
        <v>80531.539999999994</v>
      </c>
      <c r="H7250" s="128">
        <v>26709.439999999999</v>
      </c>
      <c r="I7250" s="128">
        <v>1050</v>
      </c>
    </row>
    <row r="7251" spans="1:9" ht="13.5">
      <c r="A7251" s="128">
        <v>2011</v>
      </c>
      <c r="B7251" s="128" t="s">
        <v>137</v>
      </c>
      <c r="C7251" s="128" t="s">
        <v>27</v>
      </c>
      <c r="D7251" s="128" t="s">
        <v>76</v>
      </c>
      <c r="E7251" s="128" t="s">
        <v>132</v>
      </c>
      <c r="F7251" s="128">
        <v>370301.02</v>
      </c>
      <c r="G7251" s="128">
        <v>234133.75</v>
      </c>
      <c r="H7251" s="128">
        <v>136163.79999999999</v>
      </c>
      <c r="I7251" s="128">
        <v>5702</v>
      </c>
    </row>
    <row r="7252" spans="1:9" ht="13.5">
      <c r="A7252" s="128">
        <v>2011</v>
      </c>
      <c r="B7252" s="128" t="s">
        <v>137</v>
      </c>
      <c r="C7252" s="128" t="s">
        <v>27</v>
      </c>
      <c r="D7252" s="128" t="s">
        <v>76</v>
      </c>
      <c r="E7252" s="128" t="s">
        <v>133</v>
      </c>
      <c r="F7252" s="128">
        <v>970285.15</v>
      </c>
      <c r="G7252" s="128">
        <v>530073.5</v>
      </c>
      <c r="H7252" s="128">
        <v>440211.1</v>
      </c>
      <c r="I7252" s="128">
        <v>4735</v>
      </c>
    </row>
    <row r="7253" spans="1:9" ht="13.5">
      <c r="A7253" s="128">
        <v>2011</v>
      </c>
      <c r="B7253" s="128" t="s">
        <v>137</v>
      </c>
      <c r="C7253" s="128" t="s">
        <v>27</v>
      </c>
      <c r="D7253" s="128" t="s">
        <v>76</v>
      </c>
      <c r="E7253" s="128" t="s">
        <v>134</v>
      </c>
      <c r="F7253" s="128">
        <v>1002029.41</v>
      </c>
      <c r="G7253" s="128">
        <v>459831.65</v>
      </c>
      <c r="H7253" s="128">
        <v>542191.96</v>
      </c>
      <c r="I7253" s="128">
        <v>5353</v>
      </c>
    </row>
    <row r="7254" spans="1:9" ht="13.5">
      <c r="A7254" s="128">
        <v>2011</v>
      </c>
      <c r="B7254" s="128" t="s">
        <v>137</v>
      </c>
      <c r="C7254" s="128" t="s">
        <v>27</v>
      </c>
      <c r="D7254" s="128" t="s">
        <v>76</v>
      </c>
      <c r="E7254" s="128" t="s">
        <v>135</v>
      </c>
      <c r="F7254" s="128">
        <v>44984.7</v>
      </c>
      <c r="G7254" s="128">
        <v>14379.65</v>
      </c>
      <c r="H7254" s="128">
        <v>30603.35</v>
      </c>
      <c r="I7254" s="128">
        <v>71</v>
      </c>
    </row>
    <row r="7255" spans="1:9" ht="13.5">
      <c r="A7255" s="128">
        <v>2012</v>
      </c>
      <c r="B7255" s="128" t="s">
        <v>131</v>
      </c>
      <c r="C7255" s="128" t="s">
        <v>20</v>
      </c>
      <c r="D7255" s="128" t="s">
        <v>79</v>
      </c>
      <c r="E7255" s="128" t="s">
        <v>136</v>
      </c>
      <c r="F7255" s="128">
        <v>33736576.640000001</v>
      </c>
      <c r="G7255" s="128">
        <v>25337302.23</v>
      </c>
      <c r="H7255" s="128">
        <v>8379866.0099999998</v>
      </c>
      <c r="I7255" s="128">
        <v>558528</v>
      </c>
    </row>
    <row r="7256" spans="1:9" ht="13.5">
      <c r="A7256" s="128">
        <v>2012</v>
      </c>
      <c r="B7256" s="128" t="s">
        <v>131</v>
      </c>
      <c r="C7256" s="128" t="s">
        <v>20</v>
      </c>
      <c r="D7256" s="128" t="s">
        <v>79</v>
      </c>
      <c r="E7256" s="128" t="s">
        <v>132</v>
      </c>
      <c r="F7256" s="128">
        <v>2553657.96</v>
      </c>
      <c r="G7256" s="128">
        <v>1689854.91</v>
      </c>
      <c r="H7256" s="128">
        <v>623616.86</v>
      </c>
      <c r="I7256" s="128">
        <v>14258</v>
      </c>
    </row>
    <row r="7257" spans="1:9" ht="13.5">
      <c r="A7257" s="128">
        <v>2012</v>
      </c>
      <c r="B7257" s="128" t="s">
        <v>131</v>
      </c>
      <c r="C7257" s="128" t="s">
        <v>20</v>
      </c>
      <c r="D7257" s="128" t="s">
        <v>79</v>
      </c>
      <c r="E7257" s="128" t="s">
        <v>133</v>
      </c>
      <c r="F7257" s="128">
        <v>3358838.12</v>
      </c>
      <c r="G7257" s="128">
        <v>1813954.51</v>
      </c>
      <c r="H7257" s="128">
        <v>804590.7</v>
      </c>
      <c r="I7257" s="128">
        <v>14968</v>
      </c>
    </row>
    <row r="7258" spans="1:9" ht="13.5">
      <c r="A7258" s="128">
        <v>2012</v>
      </c>
      <c r="B7258" s="128" t="s">
        <v>131</v>
      </c>
      <c r="C7258" s="128" t="s">
        <v>20</v>
      </c>
      <c r="D7258" s="128" t="s">
        <v>79</v>
      </c>
      <c r="E7258" s="128" t="s">
        <v>134</v>
      </c>
      <c r="F7258" s="128">
        <v>15616443.75</v>
      </c>
      <c r="G7258" s="128">
        <v>6706156.1900000004</v>
      </c>
      <c r="H7258" s="128">
        <v>2662274.48</v>
      </c>
      <c r="I7258" s="128">
        <v>86954</v>
      </c>
    </row>
    <row r="7259" spans="1:9" ht="13.5">
      <c r="A7259" s="128">
        <v>2012</v>
      </c>
      <c r="B7259" s="128" t="s">
        <v>131</v>
      </c>
      <c r="C7259" s="128" t="s">
        <v>20</v>
      </c>
      <c r="D7259" s="128" t="s">
        <v>79</v>
      </c>
      <c r="E7259" s="128" t="s">
        <v>135</v>
      </c>
      <c r="F7259" s="128">
        <v>96312805.480000004</v>
      </c>
      <c r="G7259" s="128">
        <v>24253579.25</v>
      </c>
      <c r="H7259" s="128">
        <v>8114943</v>
      </c>
      <c r="I7259" s="128">
        <v>155381</v>
      </c>
    </row>
    <row r="7260" spans="1:9" ht="13.5">
      <c r="A7260" s="128">
        <v>2012</v>
      </c>
      <c r="B7260" s="128" t="s">
        <v>131</v>
      </c>
      <c r="C7260" s="128" t="s">
        <v>20</v>
      </c>
      <c r="D7260" s="128" t="s">
        <v>77</v>
      </c>
      <c r="E7260" s="128" t="s">
        <v>132</v>
      </c>
      <c r="F7260" s="128">
        <v>1544077.65</v>
      </c>
      <c r="G7260" s="128">
        <v>1040616.59</v>
      </c>
      <c r="H7260" s="128">
        <v>439588.46</v>
      </c>
      <c r="I7260" s="128">
        <v>8186</v>
      </c>
    </row>
    <row r="7261" spans="1:9" ht="13.5">
      <c r="A7261" s="128">
        <v>2012</v>
      </c>
      <c r="B7261" s="128" t="s">
        <v>131</v>
      </c>
      <c r="C7261" s="128" t="s">
        <v>20</v>
      </c>
      <c r="D7261" s="128" t="s">
        <v>77</v>
      </c>
      <c r="E7261" s="128" t="s">
        <v>133</v>
      </c>
      <c r="F7261" s="128">
        <v>2385765.7000000002</v>
      </c>
      <c r="G7261" s="128">
        <v>1284173.8799999999</v>
      </c>
      <c r="H7261" s="128">
        <v>895795.03</v>
      </c>
      <c r="I7261" s="128">
        <v>8626</v>
      </c>
    </row>
    <row r="7262" spans="1:9" ht="13.5">
      <c r="A7262" s="128">
        <v>2012</v>
      </c>
      <c r="B7262" s="128" t="s">
        <v>131</v>
      </c>
      <c r="C7262" s="128" t="s">
        <v>20</v>
      </c>
      <c r="D7262" s="128" t="s">
        <v>77</v>
      </c>
      <c r="E7262" s="128" t="s">
        <v>134</v>
      </c>
      <c r="F7262" s="128">
        <v>5563942.6799999997</v>
      </c>
      <c r="G7262" s="128">
        <v>2451746.89</v>
      </c>
      <c r="H7262" s="128">
        <v>2338320.08</v>
      </c>
      <c r="I7262" s="128">
        <v>15131</v>
      </c>
    </row>
    <row r="7263" spans="1:9" ht="13.5">
      <c r="A7263" s="128">
        <v>2012</v>
      </c>
      <c r="B7263" s="128" t="s">
        <v>131</v>
      </c>
      <c r="C7263" s="128" t="s">
        <v>20</v>
      </c>
      <c r="D7263" s="128" t="s">
        <v>77</v>
      </c>
      <c r="E7263" s="128" t="s">
        <v>135</v>
      </c>
      <c r="F7263" s="128">
        <v>6623247.71</v>
      </c>
      <c r="G7263" s="128">
        <v>1814958.12</v>
      </c>
      <c r="H7263" s="128">
        <v>1730392.46</v>
      </c>
      <c r="I7263" s="128">
        <v>16732</v>
      </c>
    </row>
    <row r="7264" spans="1:9" ht="13.5">
      <c r="A7264" s="128">
        <v>2012</v>
      </c>
      <c r="B7264" s="128" t="s">
        <v>131</v>
      </c>
      <c r="C7264" s="128" t="s">
        <v>20</v>
      </c>
      <c r="D7264" s="128" t="s">
        <v>76</v>
      </c>
      <c r="E7264" s="128" t="s">
        <v>136</v>
      </c>
      <c r="F7264" s="128">
        <v>14346986.279999999</v>
      </c>
      <c r="G7264" s="128">
        <v>10783322.060000001</v>
      </c>
      <c r="H7264" s="128">
        <v>3564150.51</v>
      </c>
      <c r="I7264" s="128">
        <v>371970</v>
      </c>
    </row>
    <row r="7265" spans="1:9" ht="13.5">
      <c r="A7265" s="128">
        <v>2012</v>
      </c>
      <c r="B7265" s="128" t="s">
        <v>131</v>
      </c>
      <c r="C7265" s="128" t="s">
        <v>20</v>
      </c>
      <c r="D7265" s="128" t="s">
        <v>76</v>
      </c>
      <c r="E7265" s="128" t="s">
        <v>132</v>
      </c>
      <c r="F7265" s="128">
        <v>37240280.460000001</v>
      </c>
      <c r="G7265" s="128">
        <v>23842575.800000001</v>
      </c>
      <c r="H7265" s="128">
        <v>13397403.02</v>
      </c>
      <c r="I7265" s="128">
        <v>371544</v>
      </c>
    </row>
    <row r="7266" spans="1:9" ht="13.5">
      <c r="A7266" s="128">
        <v>2012</v>
      </c>
      <c r="B7266" s="128" t="s">
        <v>131</v>
      </c>
      <c r="C7266" s="128" t="s">
        <v>20</v>
      </c>
      <c r="D7266" s="128" t="s">
        <v>76</v>
      </c>
      <c r="E7266" s="128" t="s">
        <v>133</v>
      </c>
      <c r="F7266" s="128">
        <v>82132763.909999996</v>
      </c>
      <c r="G7266" s="128">
        <v>45194799.799999997</v>
      </c>
      <c r="H7266" s="128">
        <v>36937781.810000002</v>
      </c>
      <c r="I7266" s="128">
        <v>457919</v>
      </c>
    </row>
    <row r="7267" spans="1:9" ht="13.5">
      <c r="A7267" s="128">
        <v>2012</v>
      </c>
      <c r="B7267" s="128" t="s">
        <v>131</v>
      </c>
      <c r="C7267" s="128" t="s">
        <v>20</v>
      </c>
      <c r="D7267" s="128" t="s">
        <v>76</v>
      </c>
      <c r="E7267" s="128" t="s">
        <v>134</v>
      </c>
      <c r="F7267" s="128">
        <v>83076763.040000007</v>
      </c>
      <c r="G7267" s="128">
        <v>37946494.329999998</v>
      </c>
      <c r="H7267" s="128">
        <v>45130039.539999999</v>
      </c>
      <c r="I7267" s="128">
        <v>482951</v>
      </c>
    </row>
    <row r="7268" spans="1:9" ht="13.5">
      <c r="A7268" s="128">
        <v>2012</v>
      </c>
      <c r="B7268" s="128" t="s">
        <v>131</v>
      </c>
      <c r="C7268" s="128" t="s">
        <v>20</v>
      </c>
      <c r="D7268" s="128" t="s">
        <v>76</v>
      </c>
      <c r="E7268" s="128" t="s">
        <v>135</v>
      </c>
      <c r="F7268" s="128">
        <v>10686238.25</v>
      </c>
      <c r="G7268" s="128">
        <v>3287092.48</v>
      </c>
      <c r="H7268" s="128">
        <v>7399145.7000000002</v>
      </c>
      <c r="I7268" s="128">
        <v>41566</v>
      </c>
    </row>
    <row r="7269" spans="1:9" ht="13.5">
      <c r="A7269" s="128">
        <v>2012</v>
      </c>
      <c r="B7269" s="128" t="s">
        <v>131</v>
      </c>
      <c r="C7269" s="128" t="s">
        <v>21</v>
      </c>
      <c r="D7269" s="128" t="s">
        <v>79</v>
      </c>
      <c r="E7269" s="128" t="s">
        <v>136</v>
      </c>
      <c r="F7269" s="128">
        <v>9309868.0999999996</v>
      </c>
      <c r="G7269" s="128">
        <v>6999179.6900000004</v>
      </c>
      <c r="H7269" s="128">
        <v>2310117.94</v>
      </c>
      <c r="I7269" s="128">
        <v>79896</v>
      </c>
    </row>
    <row r="7270" spans="1:9" ht="13.5">
      <c r="A7270" s="128">
        <v>2012</v>
      </c>
      <c r="B7270" s="128" t="s">
        <v>131</v>
      </c>
      <c r="C7270" s="128" t="s">
        <v>21</v>
      </c>
      <c r="D7270" s="128" t="s">
        <v>79</v>
      </c>
      <c r="E7270" s="128" t="s">
        <v>132</v>
      </c>
      <c r="F7270" s="128">
        <v>1897966.81</v>
      </c>
      <c r="G7270" s="128">
        <v>1250709.78</v>
      </c>
      <c r="H7270" s="128">
        <v>457000.29</v>
      </c>
      <c r="I7270" s="128">
        <v>11443</v>
      </c>
    </row>
    <row r="7271" spans="1:9" ht="13.5">
      <c r="A7271" s="128">
        <v>2012</v>
      </c>
      <c r="B7271" s="128" t="s">
        <v>131</v>
      </c>
      <c r="C7271" s="128" t="s">
        <v>21</v>
      </c>
      <c r="D7271" s="128" t="s">
        <v>79</v>
      </c>
      <c r="E7271" s="128" t="s">
        <v>133</v>
      </c>
      <c r="F7271" s="128">
        <v>2612634.16</v>
      </c>
      <c r="G7271" s="128">
        <v>1431185.48</v>
      </c>
      <c r="H7271" s="128">
        <v>764268.91</v>
      </c>
      <c r="I7271" s="128">
        <v>24901</v>
      </c>
    </row>
    <row r="7272" spans="1:9" ht="13.5">
      <c r="A7272" s="128">
        <v>2012</v>
      </c>
      <c r="B7272" s="128" t="s">
        <v>131</v>
      </c>
      <c r="C7272" s="128" t="s">
        <v>21</v>
      </c>
      <c r="D7272" s="128" t="s">
        <v>79</v>
      </c>
      <c r="E7272" s="128" t="s">
        <v>134</v>
      </c>
      <c r="F7272" s="128">
        <v>5099607.0599999996</v>
      </c>
      <c r="G7272" s="128">
        <v>2190017.4900000002</v>
      </c>
      <c r="H7272" s="128">
        <v>1451255.58</v>
      </c>
      <c r="I7272" s="128">
        <v>22908</v>
      </c>
    </row>
    <row r="7273" spans="1:9" ht="13.5">
      <c r="A7273" s="128">
        <v>2012</v>
      </c>
      <c r="B7273" s="128" t="s">
        <v>131</v>
      </c>
      <c r="C7273" s="128" t="s">
        <v>21</v>
      </c>
      <c r="D7273" s="128" t="s">
        <v>79</v>
      </c>
      <c r="E7273" s="128" t="s">
        <v>135</v>
      </c>
      <c r="F7273" s="128">
        <v>22734323.039999999</v>
      </c>
      <c r="G7273" s="128">
        <v>5887958.6500000004</v>
      </c>
      <c r="H7273" s="128">
        <v>2044692.7</v>
      </c>
      <c r="I7273" s="128">
        <v>45561</v>
      </c>
    </row>
    <row r="7274" spans="1:9" ht="13.5">
      <c r="A7274" s="128">
        <v>2012</v>
      </c>
      <c r="B7274" s="128" t="s">
        <v>131</v>
      </c>
      <c r="C7274" s="128" t="s">
        <v>21</v>
      </c>
      <c r="D7274" s="128" t="s">
        <v>77</v>
      </c>
      <c r="E7274" s="128" t="s">
        <v>132</v>
      </c>
      <c r="F7274" s="128">
        <v>2478455.54</v>
      </c>
      <c r="G7274" s="128">
        <v>1638710.56</v>
      </c>
      <c r="H7274" s="128">
        <v>702687.29</v>
      </c>
      <c r="I7274" s="128">
        <v>15331</v>
      </c>
    </row>
    <row r="7275" spans="1:9" ht="13.5">
      <c r="A7275" s="128">
        <v>2012</v>
      </c>
      <c r="B7275" s="128" t="s">
        <v>131</v>
      </c>
      <c r="C7275" s="128" t="s">
        <v>21</v>
      </c>
      <c r="D7275" s="128" t="s">
        <v>77</v>
      </c>
      <c r="E7275" s="128" t="s">
        <v>133</v>
      </c>
      <c r="F7275" s="128">
        <v>4991687.99</v>
      </c>
      <c r="G7275" s="128">
        <v>2717951.98</v>
      </c>
      <c r="H7275" s="128">
        <v>1844848.78</v>
      </c>
      <c r="I7275" s="128">
        <v>20111</v>
      </c>
    </row>
    <row r="7276" spans="1:9" ht="13.5">
      <c r="A7276" s="128">
        <v>2012</v>
      </c>
      <c r="B7276" s="128" t="s">
        <v>131</v>
      </c>
      <c r="C7276" s="128" t="s">
        <v>21</v>
      </c>
      <c r="D7276" s="128" t="s">
        <v>77</v>
      </c>
      <c r="E7276" s="128" t="s">
        <v>134</v>
      </c>
      <c r="F7276" s="128">
        <v>7675226.75</v>
      </c>
      <c r="G7276" s="128">
        <v>3348545.37</v>
      </c>
      <c r="H7276" s="128">
        <v>3077336.23</v>
      </c>
      <c r="I7276" s="128">
        <v>21225</v>
      </c>
    </row>
    <row r="7277" spans="1:9" ht="13.5">
      <c r="A7277" s="128">
        <v>2012</v>
      </c>
      <c r="B7277" s="128" t="s">
        <v>131</v>
      </c>
      <c r="C7277" s="128" t="s">
        <v>21</v>
      </c>
      <c r="D7277" s="128" t="s">
        <v>77</v>
      </c>
      <c r="E7277" s="128" t="s">
        <v>135</v>
      </c>
      <c r="F7277" s="128">
        <v>7772663.8600000003</v>
      </c>
      <c r="G7277" s="128">
        <v>2286328.44</v>
      </c>
      <c r="H7277" s="128">
        <v>2234383.19</v>
      </c>
      <c r="I7277" s="128">
        <v>19282</v>
      </c>
    </row>
    <row r="7278" spans="1:9" ht="13.5">
      <c r="A7278" s="128">
        <v>2012</v>
      </c>
      <c r="B7278" s="128" t="s">
        <v>131</v>
      </c>
      <c r="C7278" s="128" t="s">
        <v>21</v>
      </c>
      <c r="D7278" s="128" t="s">
        <v>76</v>
      </c>
      <c r="E7278" s="128" t="s">
        <v>136</v>
      </c>
      <c r="F7278" s="128">
        <v>12367820.619999999</v>
      </c>
      <c r="G7278" s="128">
        <v>9310556.5800000001</v>
      </c>
      <c r="H7278" s="128">
        <v>3057263.6</v>
      </c>
      <c r="I7278" s="128">
        <v>232944</v>
      </c>
    </row>
    <row r="7279" spans="1:9" ht="13.5">
      <c r="A7279" s="128">
        <v>2012</v>
      </c>
      <c r="B7279" s="128" t="s">
        <v>131</v>
      </c>
      <c r="C7279" s="128" t="s">
        <v>21</v>
      </c>
      <c r="D7279" s="128" t="s">
        <v>76</v>
      </c>
      <c r="E7279" s="128" t="s">
        <v>132</v>
      </c>
      <c r="F7279" s="128">
        <v>41336753.18</v>
      </c>
      <c r="G7279" s="128">
        <v>26391714.440000001</v>
      </c>
      <c r="H7279" s="128">
        <v>14944895.84</v>
      </c>
      <c r="I7279" s="128">
        <v>426510</v>
      </c>
    </row>
    <row r="7280" spans="1:9" ht="13.5">
      <c r="A7280" s="128">
        <v>2012</v>
      </c>
      <c r="B7280" s="128" t="s">
        <v>131</v>
      </c>
      <c r="C7280" s="128" t="s">
        <v>21</v>
      </c>
      <c r="D7280" s="128" t="s">
        <v>76</v>
      </c>
      <c r="E7280" s="128" t="s">
        <v>133</v>
      </c>
      <c r="F7280" s="128">
        <v>89483416.349999994</v>
      </c>
      <c r="G7280" s="128">
        <v>49393480.159999996</v>
      </c>
      <c r="H7280" s="128">
        <v>40089821.149999999</v>
      </c>
      <c r="I7280" s="128">
        <v>689596</v>
      </c>
    </row>
    <row r="7281" spans="1:9" ht="13.5">
      <c r="A7281" s="128">
        <v>2012</v>
      </c>
      <c r="B7281" s="128" t="s">
        <v>131</v>
      </c>
      <c r="C7281" s="128" t="s">
        <v>21</v>
      </c>
      <c r="D7281" s="128" t="s">
        <v>76</v>
      </c>
      <c r="E7281" s="128" t="s">
        <v>134</v>
      </c>
      <c r="F7281" s="128">
        <v>87917767.909999996</v>
      </c>
      <c r="G7281" s="128">
        <v>39774234.109999999</v>
      </c>
      <c r="H7281" s="128">
        <v>48143349.030000001</v>
      </c>
      <c r="I7281" s="128">
        <v>457921</v>
      </c>
    </row>
    <row r="7282" spans="1:9" ht="13.5">
      <c r="A7282" s="128">
        <v>2012</v>
      </c>
      <c r="B7282" s="128" t="s">
        <v>131</v>
      </c>
      <c r="C7282" s="128" t="s">
        <v>21</v>
      </c>
      <c r="D7282" s="128" t="s">
        <v>76</v>
      </c>
      <c r="E7282" s="128" t="s">
        <v>135</v>
      </c>
      <c r="F7282" s="128">
        <v>5048361.97</v>
      </c>
      <c r="G7282" s="128">
        <v>1426690.91</v>
      </c>
      <c r="H7282" s="128">
        <v>3621668.96</v>
      </c>
      <c r="I7282" s="128">
        <v>11921</v>
      </c>
    </row>
    <row r="7283" spans="1:9" ht="13.5">
      <c r="A7283" s="128">
        <v>2012</v>
      </c>
      <c r="B7283" s="128" t="s">
        <v>131</v>
      </c>
      <c r="C7283" s="128" t="s">
        <v>22</v>
      </c>
      <c r="D7283" s="128" t="s">
        <v>79</v>
      </c>
      <c r="E7283" s="128" t="s">
        <v>136</v>
      </c>
      <c r="F7283" s="128">
        <v>8305280.7199999997</v>
      </c>
      <c r="G7283" s="128">
        <v>6238457.7599999998</v>
      </c>
      <c r="H7283" s="128">
        <v>2065836.66</v>
      </c>
      <c r="I7283" s="128">
        <v>65527</v>
      </c>
    </row>
    <row r="7284" spans="1:9" ht="13.5">
      <c r="A7284" s="128">
        <v>2012</v>
      </c>
      <c r="B7284" s="128" t="s">
        <v>131</v>
      </c>
      <c r="C7284" s="128" t="s">
        <v>22</v>
      </c>
      <c r="D7284" s="128" t="s">
        <v>79</v>
      </c>
      <c r="E7284" s="128" t="s">
        <v>132</v>
      </c>
      <c r="F7284" s="128">
        <v>2031253.65</v>
      </c>
      <c r="G7284" s="128">
        <v>1341256.51</v>
      </c>
      <c r="H7284" s="128">
        <v>523926.9</v>
      </c>
      <c r="I7284" s="128">
        <v>12791</v>
      </c>
    </row>
    <row r="7285" spans="1:9" ht="13.5">
      <c r="A7285" s="128">
        <v>2012</v>
      </c>
      <c r="B7285" s="128" t="s">
        <v>131</v>
      </c>
      <c r="C7285" s="128" t="s">
        <v>22</v>
      </c>
      <c r="D7285" s="128" t="s">
        <v>79</v>
      </c>
      <c r="E7285" s="128" t="s">
        <v>133</v>
      </c>
      <c r="F7285" s="128">
        <v>3684354.85</v>
      </c>
      <c r="G7285" s="128">
        <v>2007627.91</v>
      </c>
      <c r="H7285" s="128">
        <v>992288.18</v>
      </c>
      <c r="I7285" s="128">
        <v>26562</v>
      </c>
    </row>
    <row r="7286" spans="1:9" ht="13.5">
      <c r="A7286" s="128">
        <v>2012</v>
      </c>
      <c r="B7286" s="128" t="s">
        <v>131</v>
      </c>
      <c r="C7286" s="128" t="s">
        <v>22</v>
      </c>
      <c r="D7286" s="128" t="s">
        <v>79</v>
      </c>
      <c r="E7286" s="128" t="s">
        <v>134</v>
      </c>
      <c r="F7286" s="128">
        <v>9464262.7799999993</v>
      </c>
      <c r="G7286" s="128">
        <v>4017959.09</v>
      </c>
      <c r="H7286" s="128">
        <v>1706099.76</v>
      </c>
      <c r="I7286" s="128">
        <v>31185</v>
      </c>
    </row>
    <row r="7287" spans="1:9" ht="13.5">
      <c r="A7287" s="128">
        <v>2012</v>
      </c>
      <c r="B7287" s="128" t="s">
        <v>131</v>
      </c>
      <c r="C7287" s="128" t="s">
        <v>22</v>
      </c>
      <c r="D7287" s="128" t="s">
        <v>79</v>
      </c>
      <c r="E7287" s="128" t="s">
        <v>135</v>
      </c>
      <c r="F7287" s="128">
        <v>48672712.439999998</v>
      </c>
      <c r="G7287" s="128">
        <v>12952628.210000001</v>
      </c>
      <c r="H7287" s="128">
        <v>4384704.62</v>
      </c>
      <c r="I7287" s="128">
        <v>87499</v>
      </c>
    </row>
    <row r="7288" spans="1:9" ht="13.5">
      <c r="A7288" s="128">
        <v>2012</v>
      </c>
      <c r="B7288" s="128" t="s">
        <v>131</v>
      </c>
      <c r="C7288" s="128" t="s">
        <v>22</v>
      </c>
      <c r="D7288" s="128" t="s">
        <v>77</v>
      </c>
      <c r="E7288" s="128" t="s">
        <v>132</v>
      </c>
      <c r="F7288" s="128">
        <v>1079424.96</v>
      </c>
      <c r="G7288" s="128">
        <v>713317.25</v>
      </c>
      <c r="H7288" s="128">
        <v>303000.40999999997</v>
      </c>
      <c r="I7288" s="128">
        <v>6282</v>
      </c>
    </row>
    <row r="7289" spans="1:9" ht="13.5">
      <c r="A7289" s="128">
        <v>2012</v>
      </c>
      <c r="B7289" s="128" t="s">
        <v>131</v>
      </c>
      <c r="C7289" s="128" t="s">
        <v>22</v>
      </c>
      <c r="D7289" s="128" t="s">
        <v>77</v>
      </c>
      <c r="E7289" s="128" t="s">
        <v>133</v>
      </c>
      <c r="F7289" s="128">
        <v>2356378.2400000002</v>
      </c>
      <c r="G7289" s="128">
        <v>1269618.8500000001</v>
      </c>
      <c r="H7289" s="128">
        <v>879090.43</v>
      </c>
      <c r="I7289" s="128">
        <v>8806</v>
      </c>
    </row>
    <row r="7290" spans="1:9" ht="13.5">
      <c r="A7290" s="128">
        <v>2012</v>
      </c>
      <c r="B7290" s="128" t="s">
        <v>131</v>
      </c>
      <c r="C7290" s="128" t="s">
        <v>22</v>
      </c>
      <c r="D7290" s="128" t="s">
        <v>77</v>
      </c>
      <c r="E7290" s="128" t="s">
        <v>134</v>
      </c>
      <c r="F7290" s="128">
        <v>4882066.62</v>
      </c>
      <c r="G7290" s="128">
        <v>2108576.44</v>
      </c>
      <c r="H7290" s="128">
        <v>1986324.3</v>
      </c>
      <c r="I7290" s="128">
        <v>10570</v>
      </c>
    </row>
    <row r="7291" spans="1:9" ht="13.5">
      <c r="A7291" s="128">
        <v>2012</v>
      </c>
      <c r="B7291" s="128" t="s">
        <v>131</v>
      </c>
      <c r="C7291" s="128" t="s">
        <v>22</v>
      </c>
      <c r="D7291" s="128" t="s">
        <v>77</v>
      </c>
      <c r="E7291" s="128" t="s">
        <v>135</v>
      </c>
      <c r="F7291" s="128">
        <v>7756215.3899999997</v>
      </c>
      <c r="G7291" s="128">
        <v>2273387.5099999998</v>
      </c>
      <c r="H7291" s="128">
        <v>2299872.9300000002</v>
      </c>
      <c r="I7291" s="128">
        <v>18341</v>
      </c>
    </row>
    <row r="7292" spans="1:9" ht="13.5">
      <c r="A7292" s="128">
        <v>2012</v>
      </c>
      <c r="B7292" s="128" t="s">
        <v>131</v>
      </c>
      <c r="C7292" s="128" t="s">
        <v>22</v>
      </c>
      <c r="D7292" s="128" t="s">
        <v>76</v>
      </c>
      <c r="E7292" s="128" t="s">
        <v>136</v>
      </c>
      <c r="F7292" s="128">
        <v>8408926.6600000001</v>
      </c>
      <c r="G7292" s="128">
        <v>6317317.3799999999</v>
      </c>
      <c r="H7292" s="128">
        <v>2091606.23</v>
      </c>
      <c r="I7292" s="128">
        <v>164642</v>
      </c>
    </row>
    <row r="7293" spans="1:9" ht="13.5">
      <c r="A7293" s="128">
        <v>2012</v>
      </c>
      <c r="B7293" s="128" t="s">
        <v>131</v>
      </c>
      <c r="C7293" s="128" t="s">
        <v>22</v>
      </c>
      <c r="D7293" s="128" t="s">
        <v>76</v>
      </c>
      <c r="E7293" s="128" t="s">
        <v>132</v>
      </c>
      <c r="F7293" s="128">
        <v>32170770.550000001</v>
      </c>
      <c r="G7293" s="128">
        <v>20631080.219999999</v>
      </c>
      <c r="H7293" s="128">
        <v>11539354.92</v>
      </c>
      <c r="I7293" s="128">
        <v>330092</v>
      </c>
    </row>
    <row r="7294" spans="1:9" ht="13.5">
      <c r="A7294" s="128">
        <v>2012</v>
      </c>
      <c r="B7294" s="128" t="s">
        <v>131</v>
      </c>
      <c r="C7294" s="128" t="s">
        <v>22</v>
      </c>
      <c r="D7294" s="128" t="s">
        <v>76</v>
      </c>
      <c r="E7294" s="128" t="s">
        <v>133</v>
      </c>
      <c r="F7294" s="128">
        <v>67619018.510000005</v>
      </c>
      <c r="G7294" s="128">
        <v>37554666.939999998</v>
      </c>
      <c r="H7294" s="128">
        <v>30063924.469999999</v>
      </c>
      <c r="I7294" s="128">
        <v>584977</v>
      </c>
    </row>
    <row r="7295" spans="1:9" ht="13.5">
      <c r="A7295" s="128">
        <v>2012</v>
      </c>
      <c r="B7295" s="128" t="s">
        <v>131</v>
      </c>
      <c r="C7295" s="128" t="s">
        <v>22</v>
      </c>
      <c r="D7295" s="128" t="s">
        <v>76</v>
      </c>
      <c r="E7295" s="128" t="s">
        <v>134</v>
      </c>
      <c r="F7295" s="128">
        <v>54442247.609999999</v>
      </c>
      <c r="G7295" s="128">
        <v>25155721.23</v>
      </c>
      <c r="H7295" s="128">
        <v>29286274.190000001</v>
      </c>
      <c r="I7295" s="128">
        <v>336837</v>
      </c>
    </row>
    <row r="7296" spans="1:9" ht="13.5">
      <c r="A7296" s="128">
        <v>2012</v>
      </c>
      <c r="B7296" s="128" t="s">
        <v>131</v>
      </c>
      <c r="C7296" s="128" t="s">
        <v>22</v>
      </c>
      <c r="D7296" s="128" t="s">
        <v>76</v>
      </c>
      <c r="E7296" s="128" t="s">
        <v>135</v>
      </c>
      <c r="F7296" s="128">
        <v>6276605.2800000003</v>
      </c>
      <c r="G7296" s="128">
        <v>1839937.26</v>
      </c>
      <c r="H7296" s="128">
        <v>4436666.2</v>
      </c>
      <c r="I7296" s="128">
        <v>11923</v>
      </c>
    </row>
    <row r="7297" spans="1:9" ht="13.5">
      <c r="A7297" s="128">
        <v>2012</v>
      </c>
      <c r="B7297" s="128" t="s">
        <v>131</v>
      </c>
      <c r="C7297" s="128" t="s">
        <v>23</v>
      </c>
      <c r="D7297" s="128" t="s">
        <v>79</v>
      </c>
      <c r="E7297" s="128" t="s">
        <v>136</v>
      </c>
      <c r="F7297" s="128">
        <v>1760421.86</v>
      </c>
      <c r="G7297" s="128">
        <v>1322519.8</v>
      </c>
      <c r="H7297" s="128">
        <v>437947.21</v>
      </c>
      <c r="I7297" s="128">
        <v>22660</v>
      </c>
    </row>
    <row r="7298" spans="1:9" ht="13.5">
      <c r="A7298" s="128">
        <v>2012</v>
      </c>
      <c r="B7298" s="128" t="s">
        <v>131</v>
      </c>
      <c r="C7298" s="128" t="s">
        <v>23</v>
      </c>
      <c r="D7298" s="128" t="s">
        <v>79</v>
      </c>
      <c r="E7298" s="128" t="s">
        <v>132</v>
      </c>
      <c r="F7298" s="128">
        <v>410174.22</v>
      </c>
      <c r="G7298" s="128">
        <v>266367.2</v>
      </c>
      <c r="H7298" s="128">
        <v>122780.9</v>
      </c>
      <c r="I7298" s="128">
        <v>3045</v>
      </c>
    </row>
    <row r="7299" spans="1:9" ht="13.5">
      <c r="A7299" s="128">
        <v>2012</v>
      </c>
      <c r="B7299" s="128" t="s">
        <v>131</v>
      </c>
      <c r="C7299" s="128" t="s">
        <v>23</v>
      </c>
      <c r="D7299" s="128" t="s">
        <v>79</v>
      </c>
      <c r="E7299" s="128" t="s">
        <v>133</v>
      </c>
      <c r="F7299" s="128">
        <v>991435.16</v>
      </c>
      <c r="G7299" s="128">
        <v>533340.72</v>
      </c>
      <c r="H7299" s="128">
        <v>324273.46000000002</v>
      </c>
      <c r="I7299" s="128">
        <v>7294</v>
      </c>
    </row>
    <row r="7300" spans="1:9" ht="13.5">
      <c r="A7300" s="128">
        <v>2012</v>
      </c>
      <c r="B7300" s="128" t="s">
        <v>131</v>
      </c>
      <c r="C7300" s="128" t="s">
        <v>23</v>
      </c>
      <c r="D7300" s="128" t="s">
        <v>79</v>
      </c>
      <c r="E7300" s="128" t="s">
        <v>134</v>
      </c>
      <c r="F7300" s="128">
        <v>2011576.36</v>
      </c>
      <c r="G7300" s="128">
        <v>882764.64</v>
      </c>
      <c r="H7300" s="128">
        <v>952730.92</v>
      </c>
      <c r="I7300" s="128">
        <v>8725</v>
      </c>
    </row>
    <row r="7301" spans="1:9" ht="13.5">
      <c r="A7301" s="128">
        <v>2012</v>
      </c>
      <c r="B7301" s="128" t="s">
        <v>131</v>
      </c>
      <c r="C7301" s="128" t="s">
        <v>23</v>
      </c>
      <c r="D7301" s="128" t="s">
        <v>79</v>
      </c>
      <c r="E7301" s="128" t="s">
        <v>135</v>
      </c>
      <c r="F7301" s="128">
        <v>2483539.58</v>
      </c>
      <c r="G7301" s="128">
        <v>656142.6</v>
      </c>
      <c r="H7301" s="128">
        <v>258627.5</v>
      </c>
      <c r="I7301" s="128">
        <v>6417</v>
      </c>
    </row>
    <row r="7302" spans="1:9" ht="13.5">
      <c r="A7302" s="128">
        <v>2012</v>
      </c>
      <c r="B7302" s="128" t="s">
        <v>131</v>
      </c>
      <c r="C7302" s="128" t="s">
        <v>23</v>
      </c>
      <c r="D7302" s="128" t="s">
        <v>77</v>
      </c>
      <c r="E7302" s="128" t="s">
        <v>132</v>
      </c>
      <c r="F7302" s="128">
        <v>522630.22</v>
      </c>
      <c r="G7302" s="128">
        <v>355300.26</v>
      </c>
      <c r="H7302" s="128">
        <v>146145.57999999999</v>
      </c>
      <c r="I7302" s="128">
        <v>2740</v>
      </c>
    </row>
    <row r="7303" spans="1:9" ht="13.5">
      <c r="A7303" s="128">
        <v>2012</v>
      </c>
      <c r="B7303" s="128" t="s">
        <v>131</v>
      </c>
      <c r="C7303" s="128" t="s">
        <v>23</v>
      </c>
      <c r="D7303" s="128" t="s">
        <v>77</v>
      </c>
      <c r="E7303" s="128" t="s">
        <v>133</v>
      </c>
      <c r="F7303" s="128">
        <v>755245.58</v>
      </c>
      <c r="G7303" s="128">
        <v>409292.31</v>
      </c>
      <c r="H7303" s="128">
        <v>265749.84999999998</v>
      </c>
      <c r="I7303" s="128">
        <v>3273</v>
      </c>
    </row>
    <row r="7304" spans="1:9" ht="13.5">
      <c r="A7304" s="128">
        <v>2012</v>
      </c>
      <c r="B7304" s="128" t="s">
        <v>131</v>
      </c>
      <c r="C7304" s="128" t="s">
        <v>23</v>
      </c>
      <c r="D7304" s="128" t="s">
        <v>77</v>
      </c>
      <c r="E7304" s="128" t="s">
        <v>134</v>
      </c>
      <c r="F7304" s="128">
        <v>2333086.0299999998</v>
      </c>
      <c r="G7304" s="128">
        <v>998836.82</v>
      </c>
      <c r="H7304" s="128">
        <v>958900.62</v>
      </c>
      <c r="I7304" s="128">
        <v>3909</v>
      </c>
    </row>
    <row r="7305" spans="1:9" ht="13.5">
      <c r="A7305" s="128">
        <v>2012</v>
      </c>
      <c r="B7305" s="128" t="s">
        <v>131</v>
      </c>
      <c r="C7305" s="128" t="s">
        <v>23</v>
      </c>
      <c r="D7305" s="128" t="s">
        <v>77</v>
      </c>
      <c r="E7305" s="128" t="s">
        <v>135</v>
      </c>
      <c r="F7305" s="128">
        <v>1253825.8899999999</v>
      </c>
      <c r="G7305" s="128">
        <v>351411.9</v>
      </c>
      <c r="H7305" s="128">
        <v>373342.84</v>
      </c>
      <c r="I7305" s="128">
        <v>3094</v>
      </c>
    </row>
    <row r="7306" spans="1:9" ht="13.5">
      <c r="A7306" s="128">
        <v>2012</v>
      </c>
      <c r="B7306" s="128" t="s">
        <v>131</v>
      </c>
      <c r="C7306" s="128" t="s">
        <v>23</v>
      </c>
      <c r="D7306" s="128" t="s">
        <v>76</v>
      </c>
      <c r="E7306" s="128" t="s">
        <v>136</v>
      </c>
      <c r="F7306" s="128">
        <v>4150432.94</v>
      </c>
      <c r="G7306" s="128">
        <v>3117204.54</v>
      </c>
      <c r="H7306" s="128">
        <v>1033232.77</v>
      </c>
      <c r="I7306" s="128">
        <v>61887</v>
      </c>
    </row>
    <row r="7307" spans="1:9" ht="13.5">
      <c r="A7307" s="128">
        <v>2012</v>
      </c>
      <c r="B7307" s="128" t="s">
        <v>131</v>
      </c>
      <c r="C7307" s="128" t="s">
        <v>23</v>
      </c>
      <c r="D7307" s="128" t="s">
        <v>76</v>
      </c>
      <c r="E7307" s="128" t="s">
        <v>132</v>
      </c>
      <c r="F7307" s="128">
        <v>9760071.1300000008</v>
      </c>
      <c r="G7307" s="128">
        <v>6254668.3799999999</v>
      </c>
      <c r="H7307" s="128">
        <v>3505336.2</v>
      </c>
      <c r="I7307" s="128">
        <v>112571</v>
      </c>
    </row>
    <row r="7308" spans="1:9" ht="13.5">
      <c r="A7308" s="128">
        <v>2012</v>
      </c>
      <c r="B7308" s="128" t="s">
        <v>131</v>
      </c>
      <c r="C7308" s="128" t="s">
        <v>23</v>
      </c>
      <c r="D7308" s="128" t="s">
        <v>76</v>
      </c>
      <c r="E7308" s="128" t="s">
        <v>133</v>
      </c>
      <c r="F7308" s="128">
        <v>21366906.899999999</v>
      </c>
      <c r="G7308" s="128">
        <v>11680527.4</v>
      </c>
      <c r="H7308" s="128">
        <v>9686327.1999999993</v>
      </c>
      <c r="I7308" s="128">
        <v>171335</v>
      </c>
    </row>
    <row r="7309" spans="1:9" ht="13.5">
      <c r="A7309" s="128">
        <v>2012</v>
      </c>
      <c r="B7309" s="128" t="s">
        <v>131</v>
      </c>
      <c r="C7309" s="128" t="s">
        <v>23</v>
      </c>
      <c r="D7309" s="128" t="s">
        <v>76</v>
      </c>
      <c r="E7309" s="128" t="s">
        <v>134</v>
      </c>
      <c r="F7309" s="128">
        <v>36551245.210000001</v>
      </c>
      <c r="G7309" s="128">
        <v>16444560.58</v>
      </c>
      <c r="H7309" s="128">
        <v>20106669.800000001</v>
      </c>
      <c r="I7309" s="128">
        <v>151784</v>
      </c>
    </row>
    <row r="7310" spans="1:9" ht="13.5">
      <c r="A7310" s="128">
        <v>2012</v>
      </c>
      <c r="B7310" s="128" t="s">
        <v>131</v>
      </c>
      <c r="C7310" s="128" t="s">
        <v>23</v>
      </c>
      <c r="D7310" s="128" t="s">
        <v>76</v>
      </c>
      <c r="E7310" s="128" t="s">
        <v>135</v>
      </c>
      <c r="F7310" s="128">
        <v>2117261.02</v>
      </c>
      <c r="G7310" s="128">
        <v>587841.27</v>
      </c>
      <c r="H7310" s="128">
        <v>1529419.75</v>
      </c>
      <c r="I7310" s="128">
        <v>3395</v>
      </c>
    </row>
    <row r="7311" spans="1:9" ht="13.5">
      <c r="A7311" s="128">
        <v>2012</v>
      </c>
      <c r="B7311" s="128" t="s">
        <v>131</v>
      </c>
      <c r="C7311" s="128" t="s">
        <v>24</v>
      </c>
      <c r="D7311" s="128" t="s">
        <v>79</v>
      </c>
      <c r="E7311" s="128" t="s">
        <v>136</v>
      </c>
      <c r="F7311" s="128">
        <v>2144757.9300000002</v>
      </c>
      <c r="G7311" s="128">
        <v>1612543.89</v>
      </c>
      <c r="H7311" s="128">
        <v>531529.14</v>
      </c>
      <c r="I7311" s="128">
        <v>40077</v>
      </c>
    </row>
    <row r="7312" spans="1:9" ht="13.5">
      <c r="A7312" s="128">
        <v>2012</v>
      </c>
      <c r="B7312" s="128" t="s">
        <v>131</v>
      </c>
      <c r="C7312" s="128" t="s">
        <v>24</v>
      </c>
      <c r="D7312" s="128" t="s">
        <v>79</v>
      </c>
      <c r="E7312" s="128" t="s">
        <v>132</v>
      </c>
      <c r="F7312" s="128">
        <v>337446.6</v>
      </c>
      <c r="G7312" s="128">
        <v>225552.8</v>
      </c>
      <c r="H7312" s="128">
        <v>77871</v>
      </c>
      <c r="I7312" s="128">
        <v>1987</v>
      </c>
    </row>
    <row r="7313" spans="1:9" ht="13.5">
      <c r="A7313" s="128">
        <v>2012</v>
      </c>
      <c r="B7313" s="128" t="s">
        <v>131</v>
      </c>
      <c r="C7313" s="128" t="s">
        <v>24</v>
      </c>
      <c r="D7313" s="128" t="s">
        <v>79</v>
      </c>
      <c r="E7313" s="128" t="s">
        <v>133</v>
      </c>
      <c r="F7313" s="128">
        <v>931673.2</v>
      </c>
      <c r="G7313" s="128">
        <v>511057.56</v>
      </c>
      <c r="H7313" s="128">
        <v>197509.62</v>
      </c>
      <c r="I7313" s="128">
        <v>3666</v>
      </c>
    </row>
    <row r="7314" spans="1:9" ht="13.5">
      <c r="A7314" s="128">
        <v>2012</v>
      </c>
      <c r="B7314" s="128" t="s">
        <v>131</v>
      </c>
      <c r="C7314" s="128" t="s">
        <v>24</v>
      </c>
      <c r="D7314" s="128" t="s">
        <v>79</v>
      </c>
      <c r="E7314" s="128" t="s">
        <v>134</v>
      </c>
      <c r="F7314" s="128">
        <v>2569163.36</v>
      </c>
      <c r="G7314" s="128">
        <v>1114956.08</v>
      </c>
      <c r="H7314" s="128">
        <v>408704.78</v>
      </c>
      <c r="I7314" s="128">
        <v>8179</v>
      </c>
    </row>
    <row r="7315" spans="1:9" ht="13.5">
      <c r="A7315" s="128">
        <v>2012</v>
      </c>
      <c r="B7315" s="128" t="s">
        <v>131</v>
      </c>
      <c r="C7315" s="128" t="s">
        <v>24</v>
      </c>
      <c r="D7315" s="128" t="s">
        <v>79</v>
      </c>
      <c r="E7315" s="128" t="s">
        <v>135</v>
      </c>
      <c r="F7315" s="128">
        <v>7915607.3200000003</v>
      </c>
      <c r="G7315" s="128">
        <v>2011188.05</v>
      </c>
      <c r="H7315" s="128">
        <v>689498.41</v>
      </c>
      <c r="I7315" s="128">
        <v>21623</v>
      </c>
    </row>
    <row r="7316" spans="1:9" ht="13.5">
      <c r="A7316" s="128">
        <v>2012</v>
      </c>
      <c r="B7316" s="128" t="s">
        <v>131</v>
      </c>
      <c r="C7316" s="128" t="s">
        <v>24</v>
      </c>
      <c r="D7316" s="128" t="s">
        <v>77</v>
      </c>
      <c r="E7316" s="128" t="s">
        <v>132</v>
      </c>
      <c r="F7316" s="128">
        <v>2454115.7200000002</v>
      </c>
      <c r="G7316" s="128">
        <v>1686351.05</v>
      </c>
      <c r="H7316" s="128">
        <v>738747.3</v>
      </c>
      <c r="I7316" s="128">
        <v>12016</v>
      </c>
    </row>
    <row r="7317" spans="1:9" ht="13.5">
      <c r="A7317" s="128">
        <v>2012</v>
      </c>
      <c r="B7317" s="128" t="s">
        <v>131</v>
      </c>
      <c r="C7317" s="128" t="s">
        <v>24</v>
      </c>
      <c r="D7317" s="128" t="s">
        <v>77</v>
      </c>
      <c r="E7317" s="128" t="s">
        <v>133</v>
      </c>
      <c r="F7317" s="128">
        <v>3681840.53</v>
      </c>
      <c r="G7317" s="128">
        <v>1985086.16</v>
      </c>
      <c r="H7317" s="128">
        <v>1458123.58</v>
      </c>
      <c r="I7317" s="128">
        <v>38312</v>
      </c>
    </row>
    <row r="7318" spans="1:9" ht="13.5">
      <c r="A7318" s="128">
        <v>2012</v>
      </c>
      <c r="B7318" s="128" t="s">
        <v>131</v>
      </c>
      <c r="C7318" s="128" t="s">
        <v>24</v>
      </c>
      <c r="D7318" s="128" t="s">
        <v>77</v>
      </c>
      <c r="E7318" s="128" t="s">
        <v>134</v>
      </c>
      <c r="F7318" s="128">
        <v>7346409.0899999999</v>
      </c>
      <c r="G7318" s="128">
        <v>3237505.43</v>
      </c>
      <c r="H7318" s="128">
        <v>2368590.87</v>
      </c>
      <c r="I7318" s="128">
        <v>15777</v>
      </c>
    </row>
    <row r="7319" spans="1:9" ht="13.5">
      <c r="A7319" s="128">
        <v>2012</v>
      </c>
      <c r="B7319" s="128" t="s">
        <v>131</v>
      </c>
      <c r="C7319" s="128" t="s">
        <v>24</v>
      </c>
      <c r="D7319" s="128" t="s">
        <v>77</v>
      </c>
      <c r="E7319" s="128" t="s">
        <v>135</v>
      </c>
      <c r="F7319" s="128">
        <v>11586638.76</v>
      </c>
      <c r="G7319" s="128">
        <v>3165491.75</v>
      </c>
      <c r="H7319" s="128">
        <v>1999849.6</v>
      </c>
      <c r="I7319" s="128">
        <v>24505</v>
      </c>
    </row>
    <row r="7320" spans="1:9" ht="13.5">
      <c r="A7320" s="128">
        <v>2012</v>
      </c>
      <c r="B7320" s="128" t="s">
        <v>131</v>
      </c>
      <c r="C7320" s="128" t="s">
        <v>24</v>
      </c>
      <c r="D7320" s="128" t="s">
        <v>76</v>
      </c>
      <c r="E7320" s="128" t="s">
        <v>136</v>
      </c>
      <c r="F7320" s="128">
        <v>1363327.93</v>
      </c>
      <c r="G7320" s="128">
        <v>1028407.11</v>
      </c>
      <c r="H7320" s="128">
        <v>334921.14</v>
      </c>
      <c r="I7320" s="128">
        <v>14566</v>
      </c>
    </row>
    <row r="7321" spans="1:9" ht="13.5">
      <c r="A7321" s="128">
        <v>2012</v>
      </c>
      <c r="B7321" s="128" t="s">
        <v>131</v>
      </c>
      <c r="C7321" s="128" t="s">
        <v>24</v>
      </c>
      <c r="D7321" s="128" t="s">
        <v>76</v>
      </c>
      <c r="E7321" s="128" t="s">
        <v>132</v>
      </c>
      <c r="F7321" s="128">
        <v>6805522.4500000002</v>
      </c>
      <c r="G7321" s="128">
        <v>4369022.03</v>
      </c>
      <c r="H7321" s="128">
        <v>2436490.5299999998</v>
      </c>
      <c r="I7321" s="128">
        <v>57746</v>
      </c>
    </row>
    <row r="7322" spans="1:9" ht="13.5">
      <c r="A7322" s="128">
        <v>2012</v>
      </c>
      <c r="B7322" s="128" t="s">
        <v>131</v>
      </c>
      <c r="C7322" s="128" t="s">
        <v>24</v>
      </c>
      <c r="D7322" s="128" t="s">
        <v>76</v>
      </c>
      <c r="E7322" s="128" t="s">
        <v>133</v>
      </c>
      <c r="F7322" s="128">
        <v>30956545.609999999</v>
      </c>
      <c r="G7322" s="128">
        <v>17138301.530000001</v>
      </c>
      <c r="H7322" s="128">
        <v>13818270.300000001</v>
      </c>
      <c r="I7322" s="128">
        <v>226898</v>
      </c>
    </row>
    <row r="7323" spans="1:9" ht="13.5">
      <c r="A7323" s="128">
        <v>2012</v>
      </c>
      <c r="B7323" s="128" t="s">
        <v>131</v>
      </c>
      <c r="C7323" s="128" t="s">
        <v>24</v>
      </c>
      <c r="D7323" s="128" t="s">
        <v>76</v>
      </c>
      <c r="E7323" s="128" t="s">
        <v>134</v>
      </c>
      <c r="F7323" s="128">
        <v>38330474.509999998</v>
      </c>
      <c r="G7323" s="128">
        <v>16896316.739999998</v>
      </c>
      <c r="H7323" s="128">
        <v>21434143.780000001</v>
      </c>
      <c r="I7323" s="128">
        <v>182425</v>
      </c>
    </row>
    <row r="7324" spans="1:9" ht="13.5">
      <c r="A7324" s="128">
        <v>2012</v>
      </c>
      <c r="B7324" s="128" t="s">
        <v>131</v>
      </c>
      <c r="C7324" s="128" t="s">
        <v>24</v>
      </c>
      <c r="D7324" s="128" t="s">
        <v>76</v>
      </c>
      <c r="E7324" s="128" t="s">
        <v>135</v>
      </c>
      <c r="F7324" s="128">
        <v>3357883.25</v>
      </c>
      <c r="G7324" s="128">
        <v>880219.95</v>
      </c>
      <c r="H7324" s="128">
        <v>2477663.2999999998</v>
      </c>
      <c r="I7324" s="128">
        <v>2375</v>
      </c>
    </row>
    <row r="7325" spans="1:9" ht="13.5">
      <c r="A7325" s="128">
        <v>2012</v>
      </c>
      <c r="B7325" s="128" t="s">
        <v>131</v>
      </c>
      <c r="C7325" s="128" t="s">
        <v>25</v>
      </c>
      <c r="D7325" s="128" t="s">
        <v>79</v>
      </c>
      <c r="E7325" s="128" t="s">
        <v>136</v>
      </c>
      <c r="F7325" s="128">
        <v>843956.14</v>
      </c>
      <c r="G7325" s="128">
        <v>633698.62</v>
      </c>
      <c r="H7325" s="128">
        <v>210257.37</v>
      </c>
      <c r="I7325" s="128">
        <v>9614</v>
      </c>
    </row>
    <row r="7326" spans="1:9" ht="13.5">
      <c r="A7326" s="128">
        <v>2012</v>
      </c>
      <c r="B7326" s="128" t="s">
        <v>131</v>
      </c>
      <c r="C7326" s="128" t="s">
        <v>25</v>
      </c>
      <c r="D7326" s="128" t="s">
        <v>79</v>
      </c>
      <c r="E7326" s="128" t="s">
        <v>132</v>
      </c>
      <c r="F7326" s="128">
        <v>103298.17</v>
      </c>
      <c r="G7326" s="128">
        <v>68181.64</v>
      </c>
      <c r="H7326" s="128">
        <v>28707.45</v>
      </c>
      <c r="I7326" s="128">
        <v>718</v>
      </c>
    </row>
    <row r="7327" spans="1:9" ht="13.5">
      <c r="A7327" s="128">
        <v>2012</v>
      </c>
      <c r="B7327" s="128" t="s">
        <v>131</v>
      </c>
      <c r="C7327" s="128" t="s">
        <v>25</v>
      </c>
      <c r="D7327" s="128" t="s">
        <v>79</v>
      </c>
      <c r="E7327" s="128" t="s">
        <v>133</v>
      </c>
      <c r="F7327" s="128">
        <v>176750.81</v>
      </c>
      <c r="G7327" s="128">
        <v>94755.58</v>
      </c>
      <c r="H7327" s="128">
        <v>58970.3</v>
      </c>
      <c r="I7327" s="128">
        <v>822</v>
      </c>
    </row>
    <row r="7328" spans="1:9" ht="13.5">
      <c r="A7328" s="128">
        <v>2012</v>
      </c>
      <c r="B7328" s="128" t="s">
        <v>131</v>
      </c>
      <c r="C7328" s="128" t="s">
        <v>25</v>
      </c>
      <c r="D7328" s="128" t="s">
        <v>79</v>
      </c>
      <c r="E7328" s="128" t="s">
        <v>134</v>
      </c>
      <c r="F7328" s="128">
        <v>709812.58</v>
      </c>
      <c r="G7328" s="128">
        <v>311032.33</v>
      </c>
      <c r="H7328" s="128">
        <v>192843.43</v>
      </c>
      <c r="I7328" s="128">
        <v>2908</v>
      </c>
    </row>
    <row r="7329" spans="1:9" ht="13.5">
      <c r="A7329" s="128">
        <v>2012</v>
      </c>
      <c r="B7329" s="128" t="s">
        <v>131</v>
      </c>
      <c r="C7329" s="128" t="s">
        <v>25</v>
      </c>
      <c r="D7329" s="128" t="s">
        <v>79</v>
      </c>
      <c r="E7329" s="128" t="s">
        <v>135</v>
      </c>
      <c r="F7329" s="128">
        <v>2132808.27</v>
      </c>
      <c r="G7329" s="128">
        <v>520244.47999999998</v>
      </c>
      <c r="H7329" s="128">
        <v>178666.5</v>
      </c>
      <c r="I7329" s="128">
        <v>3321</v>
      </c>
    </row>
    <row r="7330" spans="1:9" ht="13.5">
      <c r="A7330" s="128">
        <v>2012</v>
      </c>
      <c r="B7330" s="128" t="s">
        <v>131</v>
      </c>
      <c r="C7330" s="128" t="s">
        <v>25</v>
      </c>
      <c r="D7330" s="128" t="s">
        <v>77</v>
      </c>
      <c r="E7330" s="128" t="s">
        <v>132</v>
      </c>
      <c r="F7330" s="128">
        <v>208873.43</v>
      </c>
      <c r="G7330" s="128">
        <v>142684.25</v>
      </c>
      <c r="H7330" s="128">
        <v>60626.9</v>
      </c>
      <c r="I7330" s="128">
        <v>960</v>
      </c>
    </row>
    <row r="7331" spans="1:9" ht="13.5">
      <c r="A7331" s="128">
        <v>2012</v>
      </c>
      <c r="B7331" s="128" t="s">
        <v>131</v>
      </c>
      <c r="C7331" s="128" t="s">
        <v>25</v>
      </c>
      <c r="D7331" s="128" t="s">
        <v>77</v>
      </c>
      <c r="E7331" s="128" t="s">
        <v>133</v>
      </c>
      <c r="F7331" s="128">
        <v>302136.40999999997</v>
      </c>
      <c r="G7331" s="128">
        <v>163290.75</v>
      </c>
      <c r="H7331" s="128">
        <v>119684.38</v>
      </c>
      <c r="I7331" s="128">
        <v>1132</v>
      </c>
    </row>
    <row r="7332" spans="1:9" ht="13.5">
      <c r="A7332" s="128">
        <v>2012</v>
      </c>
      <c r="B7332" s="128" t="s">
        <v>131</v>
      </c>
      <c r="C7332" s="128" t="s">
        <v>25</v>
      </c>
      <c r="D7332" s="128" t="s">
        <v>77</v>
      </c>
      <c r="E7332" s="128" t="s">
        <v>134</v>
      </c>
      <c r="F7332" s="128">
        <v>747181.15</v>
      </c>
      <c r="G7332" s="128">
        <v>321979.14</v>
      </c>
      <c r="H7332" s="128">
        <v>324222.92</v>
      </c>
      <c r="I7332" s="128">
        <v>1650</v>
      </c>
    </row>
    <row r="7333" spans="1:9" ht="13.5">
      <c r="A7333" s="128">
        <v>2012</v>
      </c>
      <c r="B7333" s="128" t="s">
        <v>131</v>
      </c>
      <c r="C7333" s="128" t="s">
        <v>25</v>
      </c>
      <c r="D7333" s="128" t="s">
        <v>77</v>
      </c>
      <c r="E7333" s="128" t="s">
        <v>135</v>
      </c>
      <c r="F7333" s="128">
        <v>1077045.1100000001</v>
      </c>
      <c r="G7333" s="128">
        <v>327321.11</v>
      </c>
      <c r="H7333" s="128">
        <v>376744.42</v>
      </c>
      <c r="I7333" s="128">
        <v>4130</v>
      </c>
    </row>
    <row r="7334" spans="1:9" ht="13.5">
      <c r="A7334" s="128">
        <v>2012</v>
      </c>
      <c r="B7334" s="128" t="s">
        <v>131</v>
      </c>
      <c r="C7334" s="128" t="s">
        <v>25</v>
      </c>
      <c r="D7334" s="128" t="s">
        <v>76</v>
      </c>
      <c r="E7334" s="128" t="s">
        <v>136</v>
      </c>
      <c r="F7334" s="128">
        <v>1698228.67</v>
      </c>
      <c r="G7334" s="128">
        <v>1275402.1200000001</v>
      </c>
      <c r="H7334" s="128">
        <v>422826.55</v>
      </c>
      <c r="I7334" s="128">
        <v>25629</v>
      </c>
    </row>
    <row r="7335" spans="1:9" ht="13.5">
      <c r="A7335" s="128">
        <v>2012</v>
      </c>
      <c r="B7335" s="128" t="s">
        <v>131</v>
      </c>
      <c r="C7335" s="128" t="s">
        <v>25</v>
      </c>
      <c r="D7335" s="128" t="s">
        <v>76</v>
      </c>
      <c r="E7335" s="128" t="s">
        <v>132</v>
      </c>
      <c r="F7335" s="128">
        <v>3231331.3</v>
      </c>
      <c r="G7335" s="128">
        <v>2048924.34</v>
      </c>
      <c r="H7335" s="128">
        <v>1182398.96</v>
      </c>
      <c r="I7335" s="128">
        <v>23692</v>
      </c>
    </row>
    <row r="7336" spans="1:9" ht="13.5">
      <c r="A7336" s="128">
        <v>2012</v>
      </c>
      <c r="B7336" s="128" t="s">
        <v>131</v>
      </c>
      <c r="C7336" s="128" t="s">
        <v>25</v>
      </c>
      <c r="D7336" s="128" t="s">
        <v>76</v>
      </c>
      <c r="E7336" s="128" t="s">
        <v>133</v>
      </c>
      <c r="F7336" s="128">
        <v>7813659.9199999999</v>
      </c>
      <c r="G7336" s="128">
        <v>4271290.29</v>
      </c>
      <c r="H7336" s="128">
        <v>3542363.89</v>
      </c>
      <c r="I7336" s="128">
        <v>46380</v>
      </c>
    </row>
    <row r="7337" spans="1:9" ht="13.5">
      <c r="A7337" s="128">
        <v>2012</v>
      </c>
      <c r="B7337" s="128" t="s">
        <v>131</v>
      </c>
      <c r="C7337" s="128" t="s">
        <v>25</v>
      </c>
      <c r="D7337" s="128" t="s">
        <v>76</v>
      </c>
      <c r="E7337" s="128" t="s">
        <v>134</v>
      </c>
      <c r="F7337" s="128">
        <v>6599130.8799999999</v>
      </c>
      <c r="G7337" s="128">
        <v>3014553.19</v>
      </c>
      <c r="H7337" s="128">
        <v>3584573.92</v>
      </c>
      <c r="I7337" s="128">
        <v>36571</v>
      </c>
    </row>
    <row r="7338" spans="1:9" ht="13.5">
      <c r="A7338" s="128">
        <v>2012</v>
      </c>
      <c r="B7338" s="128" t="s">
        <v>131</v>
      </c>
      <c r="C7338" s="128" t="s">
        <v>25</v>
      </c>
      <c r="D7338" s="128" t="s">
        <v>76</v>
      </c>
      <c r="E7338" s="128" t="s">
        <v>135</v>
      </c>
      <c r="F7338" s="128">
        <v>520194.75</v>
      </c>
      <c r="G7338" s="128">
        <v>146419.45000000001</v>
      </c>
      <c r="H7338" s="128">
        <v>373775.3</v>
      </c>
      <c r="I7338" s="128">
        <v>520</v>
      </c>
    </row>
    <row r="7339" spans="1:9" ht="13.5">
      <c r="A7339" s="128">
        <v>2012</v>
      </c>
      <c r="B7339" s="128" t="s">
        <v>131</v>
      </c>
      <c r="C7339" s="128" t="s">
        <v>26</v>
      </c>
      <c r="D7339" s="128" t="s">
        <v>79</v>
      </c>
      <c r="E7339" s="128" t="s">
        <v>136</v>
      </c>
      <c r="F7339" s="128">
        <v>899799.93</v>
      </c>
      <c r="G7339" s="128">
        <v>676912.16</v>
      </c>
      <c r="H7339" s="128">
        <v>220872.76</v>
      </c>
      <c r="I7339" s="128">
        <v>8877</v>
      </c>
    </row>
    <row r="7340" spans="1:9" ht="13.5">
      <c r="A7340" s="128">
        <v>2012</v>
      </c>
      <c r="B7340" s="128" t="s">
        <v>131</v>
      </c>
      <c r="C7340" s="128" t="s">
        <v>26</v>
      </c>
      <c r="D7340" s="128" t="s">
        <v>79</v>
      </c>
      <c r="E7340" s="128" t="s">
        <v>132</v>
      </c>
      <c r="F7340" s="128">
        <v>68380.72</v>
      </c>
      <c r="G7340" s="128">
        <v>44426.21</v>
      </c>
      <c r="H7340" s="128">
        <v>16058.6</v>
      </c>
      <c r="I7340" s="128">
        <v>464</v>
      </c>
    </row>
    <row r="7341" spans="1:9" ht="13.5">
      <c r="A7341" s="128">
        <v>2012</v>
      </c>
      <c r="B7341" s="128" t="s">
        <v>131</v>
      </c>
      <c r="C7341" s="128" t="s">
        <v>26</v>
      </c>
      <c r="D7341" s="128" t="s">
        <v>79</v>
      </c>
      <c r="E7341" s="128" t="s">
        <v>133</v>
      </c>
      <c r="F7341" s="128">
        <v>147674.75</v>
      </c>
      <c r="G7341" s="128">
        <v>81115.17</v>
      </c>
      <c r="H7341" s="128">
        <v>31089.759999999998</v>
      </c>
      <c r="I7341" s="128">
        <v>561</v>
      </c>
    </row>
    <row r="7342" spans="1:9" ht="13.5">
      <c r="A7342" s="128">
        <v>2012</v>
      </c>
      <c r="B7342" s="128" t="s">
        <v>131</v>
      </c>
      <c r="C7342" s="128" t="s">
        <v>26</v>
      </c>
      <c r="D7342" s="128" t="s">
        <v>79</v>
      </c>
      <c r="E7342" s="128" t="s">
        <v>134</v>
      </c>
      <c r="F7342" s="128">
        <v>867632.4</v>
      </c>
      <c r="G7342" s="128">
        <v>361974.76</v>
      </c>
      <c r="H7342" s="128">
        <v>127482.7</v>
      </c>
      <c r="I7342" s="128">
        <v>2695</v>
      </c>
    </row>
    <row r="7343" spans="1:9" ht="13.5">
      <c r="A7343" s="128">
        <v>2012</v>
      </c>
      <c r="B7343" s="128" t="s">
        <v>131</v>
      </c>
      <c r="C7343" s="128" t="s">
        <v>26</v>
      </c>
      <c r="D7343" s="128" t="s">
        <v>79</v>
      </c>
      <c r="E7343" s="128" t="s">
        <v>135</v>
      </c>
      <c r="F7343" s="128">
        <v>8038289.0899999999</v>
      </c>
      <c r="G7343" s="128">
        <v>2009359.82</v>
      </c>
      <c r="H7343" s="128">
        <v>673212.3</v>
      </c>
      <c r="I7343" s="128">
        <v>12402</v>
      </c>
    </row>
    <row r="7344" spans="1:9" ht="13.5">
      <c r="A7344" s="128">
        <v>2012</v>
      </c>
      <c r="B7344" s="128" t="s">
        <v>131</v>
      </c>
      <c r="C7344" s="128" t="s">
        <v>26</v>
      </c>
      <c r="D7344" s="128" t="s">
        <v>77</v>
      </c>
      <c r="E7344" s="128" t="s">
        <v>132</v>
      </c>
      <c r="F7344" s="128">
        <v>77100.08</v>
      </c>
      <c r="G7344" s="128">
        <v>50468.1</v>
      </c>
      <c r="H7344" s="128">
        <v>23535.74</v>
      </c>
      <c r="I7344" s="128">
        <v>254</v>
      </c>
    </row>
    <row r="7345" spans="1:9" ht="13.5">
      <c r="A7345" s="128">
        <v>2012</v>
      </c>
      <c r="B7345" s="128" t="s">
        <v>131</v>
      </c>
      <c r="C7345" s="128" t="s">
        <v>26</v>
      </c>
      <c r="D7345" s="128" t="s">
        <v>77</v>
      </c>
      <c r="E7345" s="128" t="s">
        <v>133</v>
      </c>
      <c r="F7345" s="128">
        <v>116613.43</v>
      </c>
      <c r="G7345" s="128">
        <v>64422.2</v>
      </c>
      <c r="H7345" s="128">
        <v>46106.84</v>
      </c>
      <c r="I7345" s="128">
        <v>364</v>
      </c>
    </row>
    <row r="7346" spans="1:9" ht="13.5">
      <c r="A7346" s="128">
        <v>2012</v>
      </c>
      <c r="B7346" s="128" t="s">
        <v>131</v>
      </c>
      <c r="C7346" s="128" t="s">
        <v>26</v>
      </c>
      <c r="D7346" s="128" t="s">
        <v>77</v>
      </c>
      <c r="E7346" s="128" t="s">
        <v>134</v>
      </c>
      <c r="F7346" s="128">
        <v>210864.45</v>
      </c>
      <c r="G7346" s="128">
        <v>90750.45</v>
      </c>
      <c r="H7346" s="128">
        <v>86396.26</v>
      </c>
      <c r="I7346" s="128">
        <v>608</v>
      </c>
    </row>
    <row r="7347" spans="1:9" ht="13.5">
      <c r="A7347" s="128">
        <v>2012</v>
      </c>
      <c r="B7347" s="128" t="s">
        <v>131</v>
      </c>
      <c r="C7347" s="128" t="s">
        <v>26</v>
      </c>
      <c r="D7347" s="128" t="s">
        <v>77</v>
      </c>
      <c r="E7347" s="128" t="s">
        <v>135</v>
      </c>
      <c r="F7347" s="128">
        <v>755503.57</v>
      </c>
      <c r="G7347" s="128">
        <v>202295.52</v>
      </c>
      <c r="H7347" s="128">
        <v>212673.16</v>
      </c>
      <c r="I7347" s="128">
        <v>2484</v>
      </c>
    </row>
    <row r="7348" spans="1:9" ht="13.5">
      <c r="A7348" s="128">
        <v>2012</v>
      </c>
      <c r="B7348" s="128" t="s">
        <v>131</v>
      </c>
      <c r="C7348" s="128" t="s">
        <v>26</v>
      </c>
      <c r="D7348" s="128" t="s">
        <v>76</v>
      </c>
      <c r="E7348" s="128" t="s">
        <v>136</v>
      </c>
      <c r="F7348" s="128">
        <v>398944.21</v>
      </c>
      <c r="G7348" s="128">
        <v>299897.2</v>
      </c>
      <c r="H7348" s="128">
        <v>99046.93</v>
      </c>
      <c r="I7348" s="128">
        <v>13371</v>
      </c>
    </row>
    <row r="7349" spans="1:9" ht="13.5">
      <c r="A7349" s="128">
        <v>2012</v>
      </c>
      <c r="B7349" s="128" t="s">
        <v>131</v>
      </c>
      <c r="C7349" s="128" t="s">
        <v>26</v>
      </c>
      <c r="D7349" s="128" t="s">
        <v>76</v>
      </c>
      <c r="E7349" s="128" t="s">
        <v>132</v>
      </c>
      <c r="F7349" s="128">
        <v>1086732.1399999999</v>
      </c>
      <c r="G7349" s="128">
        <v>699924.35</v>
      </c>
      <c r="H7349" s="128">
        <v>386774.45</v>
      </c>
      <c r="I7349" s="128">
        <v>12241</v>
      </c>
    </row>
    <row r="7350" spans="1:9" ht="13.5">
      <c r="A7350" s="128">
        <v>2012</v>
      </c>
      <c r="B7350" s="128" t="s">
        <v>131</v>
      </c>
      <c r="C7350" s="128" t="s">
        <v>26</v>
      </c>
      <c r="D7350" s="128" t="s">
        <v>76</v>
      </c>
      <c r="E7350" s="128" t="s">
        <v>133</v>
      </c>
      <c r="F7350" s="128">
        <v>2710706.78</v>
      </c>
      <c r="G7350" s="128">
        <v>1497018.97</v>
      </c>
      <c r="H7350" s="128">
        <v>1213678.42</v>
      </c>
      <c r="I7350" s="128">
        <v>17231</v>
      </c>
    </row>
    <row r="7351" spans="1:9" ht="13.5">
      <c r="A7351" s="128">
        <v>2012</v>
      </c>
      <c r="B7351" s="128" t="s">
        <v>131</v>
      </c>
      <c r="C7351" s="128" t="s">
        <v>26</v>
      </c>
      <c r="D7351" s="128" t="s">
        <v>76</v>
      </c>
      <c r="E7351" s="128" t="s">
        <v>134</v>
      </c>
      <c r="F7351" s="128">
        <v>2177060.2999999998</v>
      </c>
      <c r="G7351" s="128">
        <v>994367.99</v>
      </c>
      <c r="H7351" s="128">
        <v>1182742.29</v>
      </c>
      <c r="I7351" s="128">
        <v>14985</v>
      </c>
    </row>
    <row r="7352" spans="1:9" ht="13.5">
      <c r="A7352" s="128">
        <v>2012</v>
      </c>
      <c r="B7352" s="128" t="s">
        <v>131</v>
      </c>
      <c r="C7352" s="128" t="s">
        <v>26</v>
      </c>
      <c r="D7352" s="128" t="s">
        <v>76</v>
      </c>
      <c r="E7352" s="128" t="s">
        <v>135</v>
      </c>
      <c r="F7352" s="128">
        <v>352674.02</v>
      </c>
      <c r="G7352" s="128">
        <v>106574.17</v>
      </c>
      <c r="H7352" s="128">
        <v>246099.85</v>
      </c>
      <c r="I7352" s="128">
        <v>995</v>
      </c>
    </row>
    <row r="7353" spans="1:9" ht="13.5">
      <c r="A7353" s="128">
        <v>2012</v>
      </c>
      <c r="B7353" s="128" t="s">
        <v>131</v>
      </c>
      <c r="C7353" s="128" t="s">
        <v>27</v>
      </c>
      <c r="D7353" s="128" t="s">
        <v>79</v>
      </c>
      <c r="E7353" s="128" t="s">
        <v>136</v>
      </c>
      <c r="F7353" s="128">
        <v>335949.06</v>
      </c>
      <c r="G7353" s="128">
        <v>252685.78</v>
      </c>
      <c r="H7353" s="128">
        <v>83263.28</v>
      </c>
      <c r="I7353" s="128">
        <v>1272</v>
      </c>
    </row>
    <row r="7354" spans="1:9" ht="13.5">
      <c r="A7354" s="128">
        <v>2012</v>
      </c>
      <c r="B7354" s="128" t="s">
        <v>131</v>
      </c>
      <c r="C7354" s="128" t="s">
        <v>27</v>
      </c>
      <c r="D7354" s="128" t="s">
        <v>79</v>
      </c>
      <c r="E7354" s="128" t="s">
        <v>132</v>
      </c>
      <c r="F7354" s="128">
        <v>53061.64</v>
      </c>
      <c r="G7354" s="128">
        <v>34817.019999999997</v>
      </c>
      <c r="H7354" s="128">
        <v>12536.65</v>
      </c>
      <c r="I7354" s="128">
        <v>244</v>
      </c>
    </row>
    <row r="7355" spans="1:9" ht="13.5">
      <c r="A7355" s="128">
        <v>2012</v>
      </c>
      <c r="B7355" s="128" t="s">
        <v>131</v>
      </c>
      <c r="C7355" s="128" t="s">
        <v>27</v>
      </c>
      <c r="D7355" s="128" t="s">
        <v>79</v>
      </c>
      <c r="E7355" s="128" t="s">
        <v>133</v>
      </c>
      <c r="F7355" s="128">
        <v>75099.81</v>
      </c>
      <c r="G7355" s="128">
        <v>41197.65</v>
      </c>
      <c r="H7355" s="128">
        <v>18736.55</v>
      </c>
      <c r="I7355" s="128">
        <v>373</v>
      </c>
    </row>
    <row r="7356" spans="1:9" ht="13.5">
      <c r="A7356" s="128">
        <v>2012</v>
      </c>
      <c r="B7356" s="128" t="s">
        <v>131</v>
      </c>
      <c r="C7356" s="128" t="s">
        <v>27</v>
      </c>
      <c r="D7356" s="128" t="s">
        <v>79</v>
      </c>
      <c r="E7356" s="128" t="s">
        <v>134</v>
      </c>
      <c r="F7356" s="128">
        <v>186530.25</v>
      </c>
      <c r="G7356" s="128">
        <v>81271.08</v>
      </c>
      <c r="H7356" s="128">
        <v>37053.9</v>
      </c>
      <c r="I7356" s="128">
        <v>730</v>
      </c>
    </row>
    <row r="7357" spans="1:9" ht="13.5">
      <c r="A7357" s="128">
        <v>2012</v>
      </c>
      <c r="B7357" s="128" t="s">
        <v>131</v>
      </c>
      <c r="C7357" s="128" t="s">
        <v>27</v>
      </c>
      <c r="D7357" s="128" t="s">
        <v>79</v>
      </c>
      <c r="E7357" s="128" t="s">
        <v>135</v>
      </c>
      <c r="F7357" s="128">
        <v>1326826.57</v>
      </c>
      <c r="G7357" s="128">
        <v>344784.46</v>
      </c>
      <c r="H7357" s="128">
        <v>115599.95</v>
      </c>
      <c r="I7357" s="128">
        <v>2127</v>
      </c>
    </row>
    <row r="7358" spans="1:9" ht="13.5">
      <c r="A7358" s="128">
        <v>2012</v>
      </c>
      <c r="B7358" s="128" t="s">
        <v>131</v>
      </c>
      <c r="C7358" s="128" t="s">
        <v>27</v>
      </c>
      <c r="D7358" s="128" t="s">
        <v>77</v>
      </c>
      <c r="E7358" s="128" t="s">
        <v>132</v>
      </c>
      <c r="F7358" s="128">
        <v>18860.330000000002</v>
      </c>
      <c r="G7358" s="128">
        <v>12439.3</v>
      </c>
      <c r="H7358" s="128">
        <v>5877.15</v>
      </c>
      <c r="I7358" s="128">
        <v>99</v>
      </c>
    </row>
    <row r="7359" spans="1:9" ht="13.5">
      <c r="A7359" s="128">
        <v>2012</v>
      </c>
      <c r="B7359" s="128" t="s">
        <v>131</v>
      </c>
      <c r="C7359" s="128" t="s">
        <v>27</v>
      </c>
      <c r="D7359" s="128" t="s">
        <v>77</v>
      </c>
      <c r="E7359" s="128" t="s">
        <v>133</v>
      </c>
      <c r="F7359" s="128">
        <v>58541.95</v>
      </c>
      <c r="G7359" s="128">
        <v>31209.5</v>
      </c>
      <c r="H7359" s="128">
        <v>23287.81</v>
      </c>
      <c r="I7359" s="128">
        <v>227</v>
      </c>
    </row>
    <row r="7360" spans="1:9" ht="13.5">
      <c r="A7360" s="128">
        <v>2012</v>
      </c>
      <c r="B7360" s="128" t="s">
        <v>131</v>
      </c>
      <c r="C7360" s="128" t="s">
        <v>27</v>
      </c>
      <c r="D7360" s="128" t="s">
        <v>77</v>
      </c>
      <c r="E7360" s="128" t="s">
        <v>134</v>
      </c>
      <c r="F7360" s="128">
        <v>153203.95000000001</v>
      </c>
      <c r="G7360" s="128">
        <v>67684.649999999994</v>
      </c>
      <c r="H7360" s="128">
        <v>64607.42</v>
      </c>
      <c r="I7360" s="128">
        <v>315</v>
      </c>
    </row>
    <row r="7361" spans="1:9" ht="13.5">
      <c r="A7361" s="128">
        <v>2012</v>
      </c>
      <c r="B7361" s="128" t="s">
        <v>131</v>
      </c>
      <c r="C7361" s="128" t="s">
        <v>27</v>
      </c>
      <c r="D7361" s="128" t="s">
        <v>77</v>
      </c>
      <c r="E7361" s="128" t="s">
        <v>135</v>
      </c>
      <c r="F7361" s="128">
        <v>325935.08</v>
      </c>
      <c r="G7361" s="128">
        <v>86021.5</v>
      </c>
      <c r="H7361" s="128">
        <v>94869.7</v>
      </c>
      <c r="I7361" s="128">
        <v>955</v>
      </c>
    </row>
    <row r="7362" spans="1:9" ht="13.5">
      <c r="A7362" s="128">
        <v>2012</v>
      </c>
      <c r="B7362" s="128" t="s">
        <v>131</v>
      </c>
      <c r="C7362" s="128" t="s">
        <v>27</v>
      </c>
      <c r="D7362" s="128" t="s">
        <v>76</v>
      </c>
      <c r="E7362" s="128" t="s">
        <v>136</v>
      </c>
      <c r="F7362" s="128">
        <v>149791.37</v>
      </c>
      <c r="G7362" s="128">
        <v>112471.64</v>
      </c>
      <c r="H7362" s="128">
        <v>37319.730000000003</v>
      </c>
      <c r="I7362" s="128">
        <v>2024</v>
      </c>
    </row>
    <row r="7363" spans="1:9" ht="13.5">
      <c r="A7363" s="128">
        <v>2012</v>
      </c>
      <c r="B7363" s="128" t="s">
        <v>131</v>
      </c>
      <c r="C7363" s="128" t="s">
        <v>27</v>
      </c>
      <c r="D7363" s="128" t="s">
        <v>76</v>
      </c>
      <c r="E7363" s="128" t="s">
        <v>132</v>
      </c>
      <c r="F7363" s="128">
        <v>480399.82</v>
      </c>
      <c r="G7363" s="128">
        <v>305491.05</v>
      </c>
      <c r="H7363" s="128">
        <v>174903.07</v>
      </c>
      <c r="I7363" s="128">
        <v>6139</v>
      </c>
    </row>
    <row r="7364" spans="1:9" ht="13.5">
      <c r="A7364" s="128">
        <v>2012</v>
      </c>
      <c r="B7364" s="128" t="s">
        <v>131</v>
      </c>
      <c r="C7364" s="128" t="s">
        <v>27</v>
      </c>
      <c r="D7364" s="128" t="s">
        <v>76</v>
      </c>
      <c r="E7364" s="128" t="s">
        <v>133</v>
      </c>
      <c r="F7364" s="128">
        <v>1095229.6000000001</v>
      </c>
      <c r="G7364" s="128">
        <v>599608.25</v>
      </c>
      <c r="H7364" s="128">
        <v>495619.42</v>
      </c>
      <c r="I7364" s="128">
        <v>5852</v>
      </c>
    </row>
    <row r="7365" spans="1:9" ht="13.5">
      <c r="A7365" s="128">
        <v>2012</v>
      </c>
      <c r="B7365" s="128" t="s">
        <v>131</v>
      </c>
      <c r="C7365" s="128" t="s">
        <v>27</v>
      </c>
      <c r="D7365" s="128" t="s">
        <v>76</v>
      </c>
      <c r="E7365" s="128" t="s">
        <v>134</v>
      </c>
      <c r="F7365" s="128">
        <v>1267572.28</v>
      </c>
      <c r="G7365" s="128">
        <v>582075.1</v>
      </c>
      <c r="H7365" s="128">
        <v>685481.23</v>
      </c>
      <c r="I7365" s="128">
        <v>6086</v>
      </c>
    </row>
    <row r="7366" spans="1:9" ht="13.5">
      <c r="A7366" s="128">
        <v>2012</v>
      </c>
      <c r="B7366" s="128" t="s">
        <v>131</v>
      </c>
      <c r="C7366" s="128" t="s">
        <v>27</v>
      </c>
      <c r="D7366" s="128" t="s">
        <v>76</v>
      </c>
      <c r="E7366" s="128" t="s">
        <v>135</v>
      </c>
      <c r="F7366" s="128">
        <v>28739.7</v>
      </c>
      <c r="G7366" s="128">
        <v>8573.35</v>
      </c>
      <c r="H7366" s="128">
        <v>20166.349999999999</v>
      </c>
      <c r="I7366" s="128">
        <v>60</v>
      </c>
    </row>
    <row r="7367" spans="1:9" ht="13.5">
      <c r="A7367" s="128">
        <v>2012</v>
      </c>
      <c r="B7367" s="128" t="s">
        <v>138</v>
      </c>
      <c r="C7367" s="128" t="s">
        <v>20</v>
      </c>
      <c r="D7367" s="128" t="s">
        <v>79</v>
      </c>
      <c r="E7367" s="128" t="s">
        <v>136</v>
      </c>
      <c r="F7367" s="128">
        <v>34474898.280000001</v>
      </c>
      <c r="G7367" s="128">
        <v>25900997.379999999</v>
      </c>
      <c r="H7367" s="128">
        <v>8570114.7599999998</v>
      </c>
      <c r="I7367" s="128">
        <v>557127</v>
      </c>
    </row>
    <row r="7368" spans="1:9" ht="13.5">
      <c r="A7368" s="128">
        <v>2012</v>
      </c>
      <c r="B7368" s="128" t="s">
        <v>138</v>
      </c>
      <c r="C7368" s="128" t="s">
        <v>20</v>
      </c>
      <c r="D7368" s="128" t="s">
        <v>79</v>
      </c>
      <c r="E7368" s="128" t="s">
        <v>132</v>
      </c>
      <c r="F7368" s="128">
        <v>2225118.9900000002</v>
      </c>
      <c r="G7368" s="128">
        <v>1482734.68</v>
      </c>
      <c r="H7368" s="128">
        <v>518415.79</v>
      </c>
      <c r="I7368" s="128">
        <v>12605</v>
      </c>
    </row>
    <row r="7369" spans="1:9" ht="13.5">
      <c r="A7369" s="128">
        <v>2012</v>
      </c>
      <c r="B7369" s="128" t="s">
        <v>138</v>
      </c>
      <c r="C7369" s="128" t="s">
        <v>20</v>
      </c>
      <c r="D7369" s="128" t="s">
        <v>79</v>
      </c>
      <c r="E7369" s="128" t="s">
        <v>133</v>
      </c>
      <c r="F7369" s="128">
        <v>3389463.31</v>
      </c>
      <c r="G7369" s="128">
        <v>1823112.43</v>
      </c>
      <c r="H7369" s="128">
        <v>697494.23</v>
      </c>
      <c r="I7369" s="128">
        <v>15790</v>
      </c>
    </row>
    <row r="7370" spans="1:9" ht="13.5">
      <c r="A7370" s="128">
        <v>2012</v>
      </c>
      <c r="B7370" s="128" t="s">
        <v>138</v>
      </c>
      <c r="C7370" s="128" t="s">
        <v>20</v>
      </c>
      <c r="D7370" s="128" t="s">
        <v>79</v>
      </c>
      <c r="E7370" s="128" t="s">
        <v>134</v>
      </c>
      <c r="F7370" s="128">
        <v>14387711.279999999</v>
      </c>
      <c r="G7370" s="128">
        <v>6117752.5899999999</v>
      </c>
      <c r="H7370" s="128">
        <v>2274038.4300000002</v>
      </c>
      <c r="I7370" s="128">
        <v>72046</v>
      </c>
    </row>
    <row r="7371" spans="1:9" ht="13.5">
      <c r="A7371" s="128">
        <v>2012</v>
      </c>
      <c r="B7371" s="128" t="s">
        <v>138</v>
      </c>
      <c r="C7371" s="128" t="s">
        <v>20</v>
      </c>
      <c r="D7371" s="128" t="s">
        <v>79</v>
      </c>
      <c r="E7371" s="128" t="s">
        <v>135</v>
      </c>
      <c r="F7371" s="128">
        <v>94664557.689999998</v>
      </c>
      <c r="G7371" s="128">
        <v>23901655.109999999</v>
      </c>
      <c r="H7371" s="128">
        <v>8003695.9900000002</v>
      </c>
      <c r="I7371" s="128">
        <v>157646</v>
      </c>
    </row>
    <row r="7372" spans="1:9" ht="13.5">
      <c r="A7372" s="128">
        <v>2012</v>
      </c>
      <c r="B7372" s="128" t="s">
        <v>138</v>
      </c>
      <c r="C7372" s="128" t="s">
        <v>20</v>
      </c>
      <c r="D7372" s="128" t="s">
        <v>77</v>
      </c>
      <c r="E7372" s="128" t="s">
        <v>132</v>
      </c>
      <c r="F7372" s="128">
        <v>1309681.71</v>
      </c>
      <c r="G7372" s="128">
        <v>885796.1</v>
      </c>
      <c r="H7372" s="128">
        <v>373684.08</v>
      </c>
      <c r="I7372" s="128">
        <v>6842</v>
      </c>
    </row>
    <row r="7373" spans="1:9" ht="13.5">
      <c r="A7373" s="128">
        <v>2012</v>
      </c>
      <c r="B7373" s="128" t="s">
        <v>138</v>
      </c>
      <c r="C7373" s="128" t="s">
        <v>20</v>
      </c>
      <c r="D7373" s="128" t="s">
        <v>77</v>
      </c>
      <c r="E7373" s="128" t="s">
        <v>133</v>
      </c>
      <c r="F7373" s="128">
        <v>2156781.2799999998</v>
      </c>
      <c r="G7373" s="128">
        <v>1154927.3899999999</v>
      </c>
      <c r="H7373" s="128">
        <v>777791.78</v>
      </c>
      <c r="I7373" s="128">
        <v>7621</v>
      </c>
    </row>
    <row r="7374" spans="1:9" ht="13.5">
      <c r="A7374" s="128">
        <v>2012</v>
      </c>
      <c r="B7374" s="128" t="s">
        <v>138</v>
      </c>
      <c r="C7374" s="128" t="s">
        <v>20</v>
      </c>
      <c r="D7374" s="128" t="s">
        <v>77</v>
      </c>
      <c r="E7374" s="128" t="s">
        <v>134</v>
      </c>
      <c r="F7374" s="128">
        <v>5407369.5999999996</v>
      </c>
      <c r="G7374" s="128">
        <v>2353196.66</v>
      </c>
      <c r="H7374" s="128">
        <v>2243529.8199999998</v>
      </c>
      <c r="I7374" s="128">
        <v>15477</v>
      </c>
    </row>
    <row r="7375" spans="1:9" ht="13.5">
      <c r="A7375" s="128">
        <v>2012</v>
      </c>
      <c r="B7375" s="128" t="s">
        <v>138</v>
      </c>
      <c r="C7375" s="128" t="s">
        <v>20</v>
      </c>
      <c r="D7375" s="128" t="s">
        <v>77</v>
      </c>
      <c r="E7375" s="128" t="s">
        <v>135</v>
      </c>
      <c r="F7375" s="128">
        <v>6951020.7199999997</v>
      </c>
      <c r="G7375" s="128">
        <v>1918086.28</v>
      </c>
      <c r="H7375" s="128">
        <v>1792391.26</v>
      </c>
      <c r="I7375" s="128">
        <v>18425</v>
      </c>
    </row>
    <row r="7376" spans="1:9" ht="13.5">
      <c r="A7376" s="128">
        <v>2012</v>
      </c>
      <c r="B7376" s="128" t="s">
        <v>138</v>
      </c>
      <c r="C7376" s="128" t="s">
        <v>20</v>
      </c>
      <c r="D7376" s="128" t="s">
        <v>76</v>
      </c>
      <c r="E7376" s="128" t="s">
        <v>136</v>
      </c>
      <c r="F7376" s="128">
        <v>12538646.220000001</v>
      </c>
      <c r="G7376" s="128">
        <v>9424654.3399999999</v>
      </c>
      <c r="H7376" s="128">
        <v>3114715.57</v>
      </c>
      <c r="I7376" s="128">
        <v>329627</v>
      </c>
    </row>
    <row r="7377" spans="1:9" ht="13.5">
      <c r="A7377" s="128">
        <v>2012</v>
      </c>
      <c r="B7377" s="128" t="s">
        <v>138</v>
      </c>
      <c r="C7377" s="128" t="s">
        <v>20</v>
      </c>
      <c r="D7377" s="128" t="s">
        <v>76</v>
      </c>
      <c r="E7377" s="128" t="s">
        <v>132</v>
      </c>
      <c r="F7377" s="128">
        <v>35590942.600000001</v>
      </c>
      <c r="G7377" s="128">
        <v>22796277.440000001</v>
      </c>
      <c r="H7377" s="128">
        <v>12794582.84</v>
      </c>
      <c r="I7377" s="128">
        <v>377596</v>
      </c>
    </row>
    <row r="7378" spans="1:9" ht="13.5">
      <c r="A7378" s="128">
        <v>2012</v>
      </c>
      <c r="B7378" s="128" t="s">
        <v>138</v>
      </c>
      <c r="C7378" s="128" t="s">
        <v>20</v>
      </c>
      <c r="D7378" s="128" t="s">
        <v>76</v>
      </c>
      <c r="E7378" s="128" t="s">
        <v>133</v>
      </c>
      <c r="F7378" s="128">
        <v>79299232.719999999</v>
      </c>
      <c r="G7378" s="128">
        <v>43580457.979999997</v>
      </c>
      <c r="H7378" s="128">
        <v>35718586.189999998</v>
      </c>
      <c r="I7378" s="128">
        <v>439191</v>
      </c>
    </row>
    <row r="7379" spans="1:9" ht="13.5">
      <c r="A7379" s="128">
        <v>2012</v>
      </c>
      <c r="B7379" s="128" t="s">
        <v>138</v>
      </c>
      <c r="C7379" s="128" t="s">
        <v>20</v>
      </c>
      <c r="D7379" s="128" t="s">
        <v>76</v>
      </c>
      <c r="E7379" s="128" t="s">
        <v>134</v>
      </c>
      <c r="F7379" s="128">
        <v>74737884.769999996</v>
      </c>
      <c r="G7379" s="128">
        <v>34172199.130000003</v>
      </c>
      <c r="H7379" s="128">
        <v>40565551.270000003</v>
      </c>
      <c r="I7379" s="128">
        <v>433205</v>
      </c>
    </row>
    <row r="7380" spans="1:9" ht="13.5">
      <c r="A7380" s="128">
        <v>2012</v>
      </c>
      <c r="B7380" s="128" t="s">
        <v>138</v>
      </c>
      <c r="C7380" s="128" t="s">
        <v>20</v>
      </c>
      <c r="D7380" s="128" t="s">
        <v>76</v>
      </c>
      <c r="E7380" s="128" t="s">
        <v>135</v>
      </c>
      <c r="F7380" s="128">
        <v>9969142.4299999997</v>
      </c>
      <c r="G7380" s="128">
        <v>3069839.97</v>
      </c>
      <c r="H7380" s="128">
        <v>6899294.0899999999</v>
      </c>
      <c r="I7380" s="128">
        <v>38102</v>
      </c>
    </row>
    <row r="7381" spans="1:9" ht="13.5">
      <c r="A7381" s="128">
        <v>2012</v>
      </c>
      <c r="B7381" s="128" t="s">
        <v>138</v>
      </c>
      <c r="C7381" s="128" t="s">
        <v>21</v>
      </c>
      <c r="D7381" s="128" t="s">
        <v>79</v>
      </c>
      <c r="E7381" s="128" t="s">
        <v>136</v>
      </c>
      <c r="F7381" s="128">
        <v>12108486.99</v>
      </c>
      <c r="G7381" s="128">
        <v>9140191.2400000002</v>
      </c>
      <c r="H7381" s="128">
        <v>2967723.77</v>
      </c>
      <c r="I7381" s="128">
        <v>101215</v>
      </c>
    </row>
    <row r="7382" spans="1:9" ht="13.5">
      <c r="A7382" s="128">
        <v>2012</v>
      </c>
      <c r="B7382" s="128" t="s">
        <v>138</v>
      </c>
      <c r="C7382" s="128" t="s">
        <v>21</v>
      </c>
      <c r="D7382" s="128" t="s">
        <v>79</v>
      </c>
      <c r="E7382" s="128" t="s">
        <v>132</v>
      </c>
      <c r="F7382" s="128">
        <v>1867472.67</v>
      </c>
      <c r="G7382" s="128">
        <v>1238514.6100000001</v>
      </c>
      <c r="H7382" s="128">
        <v>437211.67</v>
      </c>
      <c r="I7382" s="128">
        <v>10845</v>
      </c>
    </row>
    <row r="7383" spans="1:9" ht="13.5">
      <c r="A7383" s="128">
        <v>2012</v>
      </c>
      <c r="B7383" s="128" t="s">
        <v>138</v>
      </c>
      <c r="C7383" s="128" t="s">
        <v>21</v>
      </c>
      <c r="D7383" s="128" t="s">
        <v>79</v>
      </c>
      <c r="E7383" s="128" t="s">
        <v>133</v>
      </c>
      <c r="F7383" s="128">
        <v>2204919.09</v>
      </c>
      <c r="G7383" s="128">
        <v>1206503.29</v>
      </c>
      <c r="H7383" s="128">
        <v>525402.91</v>
      </c>
      <c r="I7383" s="128">
        <v>20095</v>
      </c>
    </row>
    <row r="7384" spans="1:9" ht="13.5">
      <c r="A7384" s="128">
        <v>2012</v>
      </c>
      <c r="B7384" s="128" t="s">
        <v>138</v>
      </c>
      <c r="C7384" s="128" t="s">
        <v>21</v>
      </c>
      <c r="D7384" s="128" t="s">
        <v>79</v>
      </c>
      <c r="E7384" s="128" t="s">
        <v>134</v>
      </c>
      <c r="F7384" s="128">
        <v>4924612.8600000003</v>
      </c>
      <c r="G7384" s="128">
        <v>2106755.6</v>
      </c>
      <c r="H7384" s="128">
        <v>1046054.19</v>
      </c>
      <c r="I7384" s="128">
        <v>22589</v>
      </c>
    </row>
    <row r="7385" spans="1:9" ht="13.5">
      <c r="A7385" s="128">
        <v>2012</v>
      </c>
      <c r="B7385" s="128" t="s">
        <v>138</v>
      </c>
      <c r="C7385" s="128" t="s">
        <v>21</v>
      </c>
      <c r="D7385" s="128" t="s">
        <v>79</v>
      </c>
      <c r="E7385" s="128" t="s">
        <v>135</v>
      </c>
      <c r="F7385" s="128">
        <v>23360976.989999998</v>
      </c>
      <c r="G7385" s="128">
        <v>6147719.6200000001</v>
      </c>
      <c r="H7385" s="128">
        <v>2084074.58</v>
      </c>
      <c r="I7385" s="128">
        <v>48280</v>
      </c>
    </row>
    <row r="7386" spans="1:9" ht="13.5">
      <c r="A7386" s="128">
        <v>2012</v>
      </c>
      <c r="B7386" s="128" t="s">
        <v>138</v>
      </c>
      <c r="C7386" s="128" t="s">
        <v>21</v>
      </c>
      <c r="D7386" s="128" t="s">
        <v>77</v>
      </c>
      <c r="E7386" s="128" t="s">
        <v>132</v>
      </c>
      <c r="F7386" s="128">
        <v>2390202.0099999998</v>
      </c>
      <c r="G7386" s="128">
        <v>1589987.88</v>
      </c>
      <c r="H7386" s="128">
        <v>674346.27</v>
      </c>
      <c r="I7386" s="128">
        <v>13112</v>
      </c>
    </row>
    <row r="7387" spans="1:9" ht="13.5">
      <c r="A7387" s="128">
        <v>2012</v>
      </c>
      <c r="B7387" s="128" t="s">
        <v>138</v>
      </c>
      <c r="C7387" s="128" t="s">
        <v>21</v>
      </c>
      <c r="D7387" s="128" t="s">
        <v>77</v>
      </c>
      <c r="E7387" s="128" t="s">
        <v>133</v>
      </c>
      <c r="F7387" s="128">
        <v>4253365.05</v>
      </c>
      <c r="G7387" s="128">
        <v>2313970.2400000002</v>
      </c>
      <c r="H7387" s="128">
        <v>1542292.68</v>
      </c>
      <c r="I7387" s="128">
        <v>15993</v>
      </c>
    </row>
    <row r="7388" spans="1:9" ht="13.5">
      <c r="A7388" s="128">
        <v>2012</v>
      </c>
      <c r="B7388" s="128" t="s">
        <v>138</v>
      </c>
      <c r="C7388" s="128" t="s">
        <v>21</v>
      </c>
      <c r="D7388" s="128" t="s">
        <v>77</v>
      </c>
      <c r="E7388" s="128" t="s">
        <v>134</v>
      </c>
      <c r="F7388" s="128">
        <v>7382788.6100000003</v>
      </c>
      <c r="G7388" s="128">
        <v>3196856.86</v>
      </c>
      <c r="H7388" s="128">
        <v>2878081.76</v>
      </c>
      <c r="I7388" s="128">
        <v>21480</v>
      </c>
    </row>
    <row r="7389" spans="1:9" ht="13.5">
      <c r="A7389" s="128">
        <v>2012</v>
      </c>
      <c r="B7389" s="128" t="s">
        <v>138</v>
      </c>
      <c r="C7389" s="128" t="s">
        <v>21</v>
      </c>
      <c r="D7389" s="128" t="s">
        <v>77</v>
      </c>
      <c r="E7389" s="128" t="s">
        <v>135</v>
      </c>
      <c r="F7389" s="128">
        <v>9195859.5899999999</v>
      </c>
      <c r="G7389" s="128">
        <v>2641182.14</v>
      </c>
      <c r="H7389" s="128">
        <v>2594833.79</v>
      </c>
      <c r="I7389" s="128">
        <v>25082</v>
      </c>
    </row>
    <row r="7390" spans="1:9" ht="13.5">
      <c r="A7390" s="128">
        <v>2012</v>
      </c>
      <c r="B7390" s="128" t="s">
        <v>138</v>
      </c>
      <c r="C7390" s="128" t="s">
        <v>21</v>
      </c>
      <c r="D7390" s="128" t="s">
        <v>76</v>
      </c>
      <c r="E7390" s="128" t="s">
        <v>136</v>
      </c>
      <c r="F7390" s="128">
        <v>12823695.289999999</v>
      </c>
      <c r="G7390" s="128">
        <v>9656218.7400000002</v>
      </c>
      <c r="H7390" s="128">
        <v>3167495.26</v>
      </c>
      <c r="I7390" s="128">
        <v>241367</v>
      </c>
    </row>
    <row r="7391" spans="1:9" ht="13.5">
      <c r="A7391" s="128">
        <v>2012</v>
      </c>
      <c r="B7391" s="128" t="s">
        <v>138</v>
      </c>
      <c r="C7391" s="128" t="s">
        <v>21</v>
      </c>
      <c r="D7391" s="128" t="s">
        <v>76</v>
      </c>
      <c r="E7391" s="128" t="s">
        <v>132</v>
      </c>
      <c r="F7391" s="128">
        <v>37471018.659999996</v>
      </c>
      <c r="G7391" s="128">
        <v>23972355.399999999</v>
      </c>
      <c r="H7391" s="128">
        <v>13498583.720000001</v>
      </c>
      <c r="I7391" s="128">
        <v>339077</v>
      </c>
    </row>
    <row r="7392" spans="1:9" ht="13.5">
      <c r="A7392" s="128">
        <v>2012</v>
      </c>
      <c r="B7392" s="128" t="s">
        <v>138</v>
      </c>
      <c r="C7392" s="128" t="s">
        <v>21</v>
      </c>
      <c r="D7392" s="128" t="s">
        <v>76</v>
      </c>
      <c r="E7392" s="128" t="s">
        <v>133</v>
      </c>
      <c r="F7392" s="128">
        <v>84473141.260000005</v>
      </c>
      <c r="G7392" s="128">
        <v>46625687.710000001</v>
      </c>
      <c r="H7392" s="128">
        <v>37847376.329999998</v>
      </c>
      <c r="I7392" s="128">
        <v>636827</v>
      </c>
    </row>
    <row r="7393" spans="1:9" ht="13.5">
      <c r="A7393" s="128">
        <v>2012</v>
      </c>
      <c r="B7393" s="128" t="s">
        <v>138</v>
      </c>
      <c r="C7393" s="128" t="s">
        <v>21</v>
      </c>
      <c r="D7393" s="128" t="s">
        <v>76</v>
      </c>
      <c r="E7393" s="128" t="s">
        <v>134</v>
      </c>
      <c r="F7393" s="128">
        <v>82787531.689999998</v>
      </c>
      <c r="G7393" s="128">
        <v>37484018.899999999</v>
      </c>
      <c r="H7393" s="128">
        <v>45303387.579999998</v>
      </c>
      <c r="I7393" s="128">
        <v>430387</v>
      </c>
    </row>
    <row r="7394" spans="1:9" ht="13.5">
      <c r="A7394" s="128">
        <v>2012</v>
      </c>
      <c r="B7394" s="128" t="s">
        <v>138</v>
      </c>
      <c r="C7394" s="128" t="s">
        <v>21</v>
      </c>
      <c r="D7394" s="128" t="s">
        <v>76</v>
      </c>
      <c r="E7394" s="128" t="s">
        <v>135</v>
      </c>
      <c r="F7394" s="128">
        <v>4777277.63</v>
      </c>
      <c r="G7394" s="128">
        <v>1344640.04</v>
      </c>
      <c r="H7394" s="128">
        <v>3432637.04</v>
      </c>
      <c r="I7394" s="128">
        <v>11194</v>
      </c>
    </row>
    <row r="7395" spans="1:9" ht="13.5">
      <c r="A7395" s="128">
        <v>2012</v>
      </c>
      <c r="B7395" s="128" t="s">
        <v>138</v>
      </c>
      <c r="C7395" s="128" t="s">
        <v>22</v>
      </c>
      <c r="D7395" s="128" t="s">
        <v>79</v>
      </c>
      <c r="E7395" s="128" t="s">
        <v>136</v>
      </c>
      <c r="F7395" s="128">
        <v>9860348.3699999992</v>
      </c>
      <c r="G7395" s="128">
        <v>7407770.0499999998</v>
      </c>
      <c r="H7395" s="128">
        <v>2451371.21</v>
      </c>
      <c r="I7395" s="128">
        <v>74597</v>
      </c>
    </row>
    <row r="7396" spans="1:9" ht="13.5">
      <c r="A7396" s="128">
        <v>2012</v>
      </c>
      <c r="B7396" s="128" t="s">
        <v>138</v>
      </c>
      <c r="C7396" s="128" t="s">
        <v>22</v>
      </c>
      <c r="D7396" s="128" t="s">
        <v>79</v>
      </c>
      <c r="E7396" s="128" t="s">
        <v>132</v>
      </c>
      <c r="F7396" s="128">
        <v>1717498</v>
      </c>
      <c r="G7396" s="128">
        <v>1138936.26</v>
      </c>
      <c r="H7396" s="128">
        <v>403466.05</v>
      </c>
      <c r="I7396" s="128">
        <v>9787</v>
      </c>
    </row>
    <row r="7397" spans="1:9" ht="13.5">
      <c r="A7397" s="128">
        <v>2012</v>
      </c>
      <c r="B7397" s="128" t="s">
        <v>138</v>
      </c>
      <c r="C7397" s="128" t="s">
        <v>22</v>
      </c>
      <c r="D7397" s="128" t="s">
        <v>79</v>
      </c>
      <c r="E7397" s="128" t="s">
        <v>133</v>
      </c>
      <c r="F7397" s="128">
        <v>3053444.89</v>
      </c>
      <c r="G7397" s="128">
        <v>1664348.09</v>
      </c>
      <c r="H7397" s="128">
        <v>694168.88</v>
      </c>
      <c r="I7397" s="128">
        <v>18687</v>
      </c>
    </row>
    <row r="7398" spans="1:9" ht="13.5">
      <c r="A7398" s="128">
        <v>2012</v>
      </c>
      <c r="B7398" s="128" t="s">
        <v>138</v>
      </c>
      <c r="C7398" s="128" t="s">
        <v>22</v>
      </c>
      <c r="D7398" s="128" t="s">
        <v>79</v>
      </c>
      <c r="E7398" s="128" t="s">
        <v>134</v>
      </c>
      <c r="F7398" s="128">
        <v>8672708.5500000007</v>
      </c>
      <c r="G7398" s="128">
        <v>3679512.39</v>
      </c>
      <c r="H7398" s="128">
        <v>1428377.06</v>
      </c>
      <c r="I7398" s="128">
        <v>28599</v>
      </c>
    </row>
    <row r="7399" spans="1:9" ht="13.5">
      <c r="A7399" s="128">
        <v>2012</v>
      </c>
      <c r="B7399" s="128" t="s">
        <v>138</v>
      </c>
      <c r="C7399" s="128" t="s">
        <v>22</v>
      </c>
      <c r="D7399" s="128" t="s">
        <v>79</v>
      </c>
      <c r="E7399" s="128" t="s">
        <v>135</v>
      </c>
      <c r="F7399" s="128">
        <v>45581184.579999998</v>
      </c>
      <c r="G7399" s="128">
        <v>12242708.57</v>
      </c>
      <c r="H7399" s="128">
        <v>4111534.35</v>
      </c>
      <c r="I7399" s="128">
        <v>85915</v>
      </c>
    </row>
    <row r="7400" spans="1:9" ht="13.5">
      <c r="A7400" s="128">
        <v>2012</v>
      </c>
      <c r="B7400" s="128" t="s">
        <v>138</v>
      </c>
      <c r="C7400" s="128" t="s">
        <v>22</v>
      </c>
      <c r="D7400" s="128" t="s">
        <v>77</v>
      </c>
      <c r="E7400" s="128" t="s">
        <v>132</v>
      </c>
      <c r="F7400" s="128">
        <v>872471.32</v>
      </c>
      <c r="G7400" s="128">
        <v>575792.96</v>
      </c>
      <c r="H7400" s="128">
        <v>250918.24</v>
      </c>
      <c r="I7400" s="128">
        <v>4305</v>
      </c>
    </row>
    <row r="7401" spans="1:9" ht="13.5">
      <c r="A7401" s="128">
        <v>2012</v>
      </c>
      <c r="B7401" s="128" t="s">
        <v>138</v>
      </c>
      <c r="C7401" s="128" t="s">
        <v>22</v>
      </c>
      <c r="D7401" s="128" t="s">
        <v>77</v>
      </c>
      <c r="E7401" s="128" t="s">
        <v>133</v>
      </c>
      <c r="F7401" s="128">
        <v>2094088.47</v>
      </c>
      <c r="G7401" s="128">
        <v>1126637.3899999999</v>
      </c>
      <c r="H7401" s="128">
        <v>758641.79</v>
      </c>
      <c r="I7401" s="128">
        <v>7864</v>
      </c>
    </row>
    <row r="7402" spans="1:9" ht="13.5">
      <c r="A7402" s="128">
        <v>2012</v>
      </c>
      <c r="B7402" s="128" t="s">
        <v>138</v>
      </c>
      <c r="C7402" s="128" t="s">
        <v>22</v>
      </c>
      <c r="D7402" s="128" t="s">
        <v>77</v>
      </c>
      <c r="E7402" s="128" t="s">
        <v>134</v>
      </c>
      <c r="F7402" s="128">
        <v>4561442.13</v>
      </c>
      <c r="G7402" s="128">
        <v>1971816.89</v>
      </c>
      <c r="H7402" s="128">
        <v>1831506.22</v>
      </c>
      <c r="I7402" s="128">
        <v>10149</v>
      </c>
    </row>
    <row r="7403" spans="1:9" ht="13.5">
      <c r="A7403" s="128">
        <v>2012</v>
      </c>
      <c r="B7403" s="128" t="s">
        <v>138</v>
      </c>
      <c r="C7403" s="128" t="s">
        <v>22</v>
      </c>
      <c r="D7403" s="128" t="s">
        <v>77</v>
      </c>
      <c r="E7403" s="128" t="s">
        <v>135</v>
      </c>
      <c r="F7403" s="128">
        <v>8128220.3600000003</v>
      </c>
      <c r="G7403" s="128">
        <v>2367800.42</v>
      </c>
      <c r="H7403" s="128">
        <v>2376030.23</v>
      </c>
      <c r="I7403" s="128">
        <v>20774</v>
      </c>
    </row>
    <row r="7404" spans="1:9" ht="13.5">
      <c r="A7404" s="128">
        <v>2012</v>
      </c>
      <c r="B7404" s="128" t="s">
        <v>138</v>
      </c>
      <c r="C7404" s="128" t="s">
        <v>22</v>
      </c>
      <c r="D7404" s="128" t="s">
        <v>76</v>
      </c>
      <c r="E7404" s="128" t="s">
        <v>136</v>
      </c>
      <c r="F7404" s="128">
        <v>9365440.5899999999</v>
      </c>
      <c r="G7404" s="128">
        <v>7034683.75</v>
      </c>
      <c r="H7404" s="128">
        <v>2330752.73</v>
      </c>
      <c r="I7404" s="128">
        <v>221742</v>
      </c>
    </row>
    <row r="7405" spans="1:9" ht="13.5">
      <c r="A7405" s="128">
        <v>2012</v>
      </c>
      <c r="B7405" s="128" t="s">
        <v>138</v>
      </c>
      <c r="C7405" s="128" t="s">
        <v>22</v>
      </c>
      <c r="D7405" s="128" t="s">
        <v>76</v>
      </c>
      <c r="E7405" s="128" t="s">
        <v>132</v>
      </c>
      <c r="F7405" s="128">
        <v>30044761.34</v>
      </c>
      <c r="G7405" s="128">
        <v>19270520.710000001</v>
      </c>
      <c r="H7405" s="128">
        <v>10774172.619999999</v>
      </c>
      <c r="I7405" s="128">
        <v>310879</v>
      </c>
    </row>
    <row r="7406" spans="1:9" ht="13.5">
      <c r="A7406" s="128">
        <v>2012</v>
      </c>
      <c r="B7406" s="128" t="s">
        <v>138</v>
      </c>
      <c r="C7406" s="128" t="s">
        <v>22</v>
      </c>
      <c r="D7406" s="128" t="s">
        <v>76</v>
      </c>
      <c r="E7406" s="128" t="s">
        <v>133</v>
      </c>
      <c r="F7406" s="128">
        <v>64798516.609999999</v>
      </c>
      <c r="G7406" s="128">
        <v>35934368.799999997</v>
      </c>
      <c r="H7406" s="128">
        <v>28864159.010000002</v>
      </c>
      <c r="I7406" s="128">
        <v>572794</v>
      </c>
    </row>
    <row r="7407" spans="1:9" ht="13.5">
      <c r="A7407" s="128">
        <v>2012</v>
      </c>
      <c r="B7407" s="128" t="s">
        <v>138</v>
      </c>
      <c r="C7407" s="128" t="s">
        <v>22</v>
      </c>
      <c r="D7407" s="128" t="s">
        <v>76</v>
      </c>
      <c r="E7407" s="128" t="s">
        <v>134</v>
      </c>
      <c r="F7407" s="128">
        <v>48647540.719999999</v>
      </c>
      <c r="G7407" s="128">
        <v>22459643.77</v>
      </c>
      <c r="H7407" s="128">
        <v>26187875.170000002</v>
      </c>
      <c r="I7407" s="128">
        <v>288157</v>
      </c>
    </row>
    <row r="7408" spans="1:9" ht="13.5">
      <c r="A7408" s="128">
        <v>2012</v>
      </c>
      <c r="B7408" s="128" t="s">
        <v>138</v>
      </c>
      <c r="C7408" s="128" t="s">
        <v>22</v>
      </c>
      <c r="D7408" s="128" t="s">
        <v>76</v>
      </c>
      <c r="E7408" s="128" t="s">
        <v>135</v>
      </c>
      <c r="F7408" s="128">
        <v>6078670.21</v>
      </c>
      <c r="G7408" s="128">
        <v>1769042.91</v>
      </c>
      <c r="H7408" s="128">
        <v>4309619.5599999996</v>
      </c>
      <c r="I7408" s="128">
        <v>10615</v>
      </c>
    </row>
    <row r="7409" spans="1:9" ht="13.5">
      <c r="A7409" s="128">
        <v>2012</v>
      </c>
      <c r="B7409" s="128" t="s">
        <v>138</v>
      </c>
      <c r="C7409" s="128" t="s">
        <v>23</v>
      </c>
      <c r="D7409" s="128" t="s">
        <v>79</v>
      </c>
      <c r="E7409" s="128" t="s">
        <v>136</v>
      </c>
      <c r="F7409" s="128">
        <v>2680775.0299999998</v>
      </c>
      <c r="G7409" s="128">
        <v>2013327.94</v>
      </c>
      <c r="H7409" s="128">
        <v>667364.91</v>
      </c>
      <c r="I7409" s="128">
        <v>26275</v>
      </c>
    </row>
    <row r="7410" spans="1:9" ht="13.5">
      <c r="A7410" s="128">
        <v>2012</v>
      </c>
      <c r="B7410" s="128" t="s">
        <v>138</v>
      </c>
      <c r="C7410" s="128" t="s">
        <v>23</v>
      </c>
      <c r="D7410" s="128" t="s">
        <v>79</v>
      </c>
      <c r="E7410" s="128" t="s">
        <v>132</v>
      </c>
      <c r="F7410" s="128">
        <v>355147.6</v>
      </c>
      <c r="G7410" s="128">
        <v>229762.75</v>
      </c>
      <c r="H7410" s="128">
        <v>101696.88</v>
      </c>
      <c r="I7410" s="128">
        <v>2123</v>
      </c>
    </row>
    <row r="7411" spans="1:9" ht="13.5">
      <c r="A7411" s="128">
        <v>2012</v>
      </c>
      <c r="B7411" s="128" t="s">
        <v>138</v>
      </c>
      <c r="C7411" s="128" t="s">
        <v>23</v>
      </c>
      <c r="D7411" s="128" t="s">
        <v>79</v>
      </c>
      <c r="E7411" s="128" t="s">
        <v>133</v>
      </c>
      <c r="F7411" s="128">
        <v>790838.72</v>
      </c>
      <c r="G7411" s="128">
        <v>425388.85</v>
      </c>
      <c r="H7411" s="128">
        <v>230874.69</v>
      </c>
      <c r="I7411" s="128">
        <v>5251</v>
      </c>
    </row>
    <row r="7412" spans="1:9" ht="13.5">
      <c r="A7412" s="128">
        <v>2012</v>
      </c>
      <c r="B7412" s="128" t="s">
        <v>138</v>
      </c>
      <c r="C7412" s="128" t="s">
        <v>23</v>
      </c>
      <c r="D7412" s="128" t="s">
        <v>79</v>
      </c>
      <c r="E7412" s="128" t="s">
        <v>134</v>
      </c>
      <c r="F7412" s="128">
        <v>1499415.71</v>
      </c>
      <c r="G7412" s="128">
        <v>655110.85</v>
      </c>
      <c r="H7412" s="128">
        <v>640717.24</v>
      </c>
      <c r="I7412" s="128">
        <v>7174</v>
      </c>
    </row>
    <row r="7413" spans="1:9" ht="13.5">
      <c r="A7413" s="128">
        <v>2012</v>
      </c>
      <c r="B7413" s="128" t="s">
        <v>138</v>
      </c>
      <c r="C7413" s="128" t="s">
        <v>23</v>
      </c>
      <c r="D7413" s="128" t="s">
        <v>79</v>
      </c>
      <c r="E7413" s="128" t="s">
        <v>135</v>
      </c>
      <c r="F7413" s="128">
        <v>2311613.7400000002</v>
      </c>
      <c r="G7413" s="128">
        <v>627042.29</v>
      </c>
      <c r="H7413" s="128">
        <v>223893.06</v>
      </c>
      <c r="I7413" s="128">
        <v>7190</v>
      </c>
    </row>
    <row r="7414" spans="1:9" ht="13.5">
      <c r="A7414" s="128">
        <v>2012</v>
      </c>
      <c r="B7414" s="128" t="s">
        <v>138</v>
      </c>
      <c r="C7414" s="128" t="s">
        <v>23</v>
      </c>
      <c r="D7414" s="128" t="s">
        <v>77</v>
      </c>
      <c r="E7414" s="128" t="s">
        <v>132</v>
      </c>
      <c r="F7414" s="128">
        <v>580989.46</v>
      </c>
      <c r="G7414" s="128">
        <v>394099.7</v>
      </c>
      <c r="H7414" s="128">
        <v>168099.75</v>
      </c>
      <c r="I7414" s="128">
        <v>2823</v>
      </c>
    </row>
    <row r="7415" spans="1:9" ht="13.5">
      <c r="A7415" s="128">
        <v>2012</v>
      </c>
      <c r="B7415" s="128" t="s">
        <v>138</v>
      </c>
      <c r="C7415" s="128" t="s">
        <v>23</v>
      </c>
      <c r="D7415" s="128" t="s">
        <v>77</v>
      </c>
      <c r="E7415" s="128" t="s">
        <v>133</v>
      </c>
      <c r="F7415" s="128">
        <v>711391.74</v>
      </c>
      <c r="G7415" s="128">
        <v>385468.95</v>
      </c>
      <c r="H7415" s="128">
        <v>250853.64</v>
      </c>
      <c r="I7415" s="128">
        <v>3222</v>
      </c>
    </row>
    <row r="7416" spans="1:9" ht="13.5">
      <c r="A7416" s="128">
        <v>2012</v>
      </c>
      <c r="B7416" s="128" t="s">
        <v>138</v>
      </c>
      <c r="C7416" s="128" t="s">
        <v>23</v>
      </c>
      <c r="D7416" s="128" t="s">
        <v>77</v>
      </c>
      <c r="E7416" s="128" t="s">
        <v>134</v>
      </c>
      <c r="F7416" s="128">
        <v>2514064.9</v>
      </c>
      <c r="G7416" s="128">
        <v>1073325.1000000001</v>
      </c>
      <c r="H7416" s="128">
        <v>1068522</v>
      </c>
      <c r="I7416" s="128">
        <v>4122</v>
      </c>
    </row>
    <row r="7417" spans="1:9" ht="13.5">
      <c r="A7417" s="128">
        <v>2012</v>
      </c>
      <c r="B7417" s="128" t="s">
        <v>138</v>
      </c>
      <c r="C7417" s="128" t="s">
        <v>23</v>
      </c>
      <c r="D7417" s="128" t="s">
        <v>77</v>
      </c>
      <c r="E7417" s="128" t="s">
        <v>135</v>
      </c>
      <c r="F7417" s="128">
        <v>1201811.06</v>
      </c>
      <c r="G7417" s="128">
        <v>354371.25</v>
      </c>
      <c r="H7417" s="128">
        <v>391247.72</v>
      </c>
      <c r="I7417" s="128">
        <v>3187</v>
      </c>
    </row>
    <row r="7418" spans="1:9" ht="13.5">
      <c r="A7418" s="128">
        <v>2012</v>
      </c>
      <c r="B7418" s="128" t="s">
        <v>138</v>
      </c>
      <c r="C7418" s="128" t="s">
        <v>23</v>
      </c>
      <c r="D7418" s="128" t="s">
        <v>76</v>
      </c>
      <c r="E7418" s="128" t="s">
        <v>136</v>
      </c>
      <c r="F7418" s="128">
        <v>3638205.83</v>
      </c>
      <c r="G7418" s="128">
        <v>2733940.3</v>
      </c>
      <c r="H7418" s="128">
        <v>904278.8</v>
      </c>
      <c r="I7418" s="128">
        <v>40763</v>
      </c>
    </row>
    <row r="7419" spans="1:9" ht="13.5">
      <c r="A7419" s="128">
        <v>2012</v>
      </c>
      <c r="B7419" s="128" t="s">
        <v>138</v>
      </c>
      <c r="C7419" s="128" t="s">
        <v>23</v>
      </c>
      <c r="D7419" s="128" t="s">
        <v>76</v>
      </c>
      <c r="E7419" s="128" t="s">
        <v>132</v>
      </c>
      <c r="F7419" s="128">
        <v>9498528.8599999994</v>
      </c>
      <c r="G7419" s="128">
        <v>6117675.0300000003</v>
      </c>
      <c r="H7419" s="128">
        <v>3380842.67</v>
      </c>
      <c r="I7419" s="128">
        <v>109551</v>
      </c>
    </row>
    <row r="7420" spans="1:9" ht="13.5">
      <c r="A7420" s="128">
        <v>2012</v>
      </c>
      <c r="B7420" s="128" t="s">
        <v>138</v>
      </c>
      <c r="C7420" s="128" t="s">
        <v>23</v>
      </c>
      <c r="D7420" s="128" t="s">
        <v>76</v>
      </c>
      <c r="E7420" s="128" t="s">
        <v>133</v>
      </c>
      <c r="F7420" s="128">
        <v>20060070.420000002</v>
      </c>
      <c r="G7420" s="128">
        <v>10956572.32</v>
      </c>
      <c r="H7420" s="128">
        <v>9103477.9800000004</v>
      </c>
      <c r="I7420" s="128">
        <v>157707</v>
      </c>
    </row>
    <row r="7421" spans="1:9" ht="13.5">
      <c r="A7421" s="128">
        <v>2012</v>
      </c>
      <c r="B7421" s="128" t="s">
        <v>138</v>
      </c>
      <c r="C7421" s="128" t="s">
        <v>23</v>
      </c>
      <c r="D7421" s="128" t="s">
        <v>76</v>
      </c>
      <c r="E7421" s="128" t="s">
        <v>134</v>
      </c>
      <c r="F7421" s="128">
        <v>35092441.899999999</v>
      </c>
      <c r="G7421" s="128">
        <v>15808938.76</v>
      </c>
      <c r="H7421" s="128">
        <v>19283453.989999998</v>
      </c>
      <c r="I7421" s="128">
        <v>142145</v>
      </c>
    </row>
    <row r="7422" spans="1:9" ht="13.5">
      <c r="A7422" s="128">
        <v>2012</v>
      </c>
      <c r="B7422" s="128" t="s">
        <v>138</v>
      </c>
      <c r="C7422" s="128" t="s">
        <v>23</v>
      </c>
      <c r="D7422" s="128" t="s">
        <v>76</v>
      </c>
      <c r="E7422" s="128" t="s">
        <v>135</v>
      </c>
      <c r="F7422" s="128">
        <v>1962951.83</v>
      </c>
      <c r="G7422" s="128">
        <v>542631.88</v>
      </c>
      <c r="H7422" s="128">
        <v>1420312.2</v>
      </c>
      <c r="I7422" s="128">
        <v>3299</v>
      </c>
    </row>
    <row r="7423" spans="1:9" ht="13.5">
      <c r="A7423" s="128">
        <v>2012</v>
      </c>
      <c r="B7423" s="128" t="s">
        <v>138</v>
      </c>
      <c r="C7423" s="128" t="s">
        <v>24</v>
      </c>
      <c r="D7423" s="128" t="s">
        <v>79</v>
      </c>
      <c r="E7423" s="128" t="s">
        <v>136</v>
      </c>
      <c r="F7423" s="128">
        <v>2400936.02</v>
      </c>
      <c r="G7423" s="128">
        <v>1804031.04</v>
      </c>
      <c r="H7423" s="128">
        <v>595770.13</v>
      </c>
      <c r="I7423" s="128">
        <v>40063</v>
      </c>
    </row>
    <row r="7424" spans="1:9" ht="13.5">
      <c r="A7424" s="128">
        <v>2012</v>
      </c>
      <c r="B7424" s="128" t="s">
        <v>138</v>
      </c>
      <c r="C7424" s="128" t="s">
        <v>24</v>
      </c>
      <c r="D7424" s="128" t="s">
        <v>79</v>
      </c>
      <c r="E7424" s="128" t="s">
        <v>132</v>
      </c>
      <c r="F7424" s="128">
        <v>313474.12</v>
      </c>
      <c r="G7424" s="128">
        <v>208969.63</v>
      </c>
      <c r="H7424" s="128">
        <v>70506.490000000005</v>
      </c>
      <c r="I7424" s="128">
        <v>2150</v>
      </c>
    </row>
    <row r="7425" spans="1:9" ht="13.5">
      <c r="A7425" s="128">
        <v>2012</v>
      </c>
      <c r="B7425" s="128" t="s">
        <v>138</v>
      </c>
      <c r="C7425" s="128" t="s">
        <v>24</v>
      </c>
      <c r="D7425" s="128" t="s">
        <v>79</v>
      </c>
      <c r="E7425" s="128" t="s">
        <v>133</v>
      </c>
      <c r="F7425" s="128">
        <v>1119469.4099999999</v>
      </c>
      <c r="G7425" s="128">
        <v>610928.51</v>
      </c>
      <c r="H7425" s="128">
        <v>217714.48</v>
      </c>
      <c r="I7425" s="128">
        <v>7272</v>
      </c>
    </row>
    <row r="7426" spans="1:9" ht="13.5">
      <c r="A7426" s="128">
        <v>2012</v>
      </c>
      <c r="B7426" s="128" t="s">
        <v>138</v>
      </c>
      <c r="C7426" s="128" t="s">
        <v>24</v>
      </c>
      <c r="D7426" s="128" t="s">
        <v>79</v>
      </c>
      <c r="E7426" s="128" t="s">
        <v>134</v>
      </c>
      <c r="F7426" s="128">
        <v>2660861.9700000002</v>
      </c>
      <c r="G7426" s="128">
        <v>1153809.73</v>
      </c>
      <c r="H7426" s="128">
        <v>399508.06</v>
      </c>
      <c r="I7426" s="128">
        <v>8720</v>
      </c>
    </row>
    <row r="7427" spans="1:9" ht="13.5">
      <c r="A7427" s="128">
        <v>2012</v>
      </c>
      <c r="B7427" s="128" t="s">
        <v>138</v>
      </c>
      <c r="C7427" s="128" t="s">
        <v>24</v>
      </c>
      <c r="D7427" s="128" t="s">
        <v>79</v>
      </c>
      <c r="E7427" s="128" t="s">
        <v>135</v>
      </c>
      <c r="F7427" s="128">
        <v>7549344.1100000003</v>
      </c>
      <c r="G7427" s="128">
        <v>2039347.4</v>
      </c>
      <c r="H7427" s="128">
        <v>697556</v>
      </c>
      <c r="I7427" s="128">
        <v>21976</v>
      </c>
    </row>
    <row r="7428" spans="1:9" ht="13.5">
      <c r="A7428" s="128">
        <v>2012</v>
      </c>
      <c r="B7428" s="128" t="s">
        <v>138</v>
      </c>
      <c r="C7428" s="128" t="s">
        <v>24</v>
      </c>
      <c r="D7428" s="128" t="s">
        <v>77</v>
      </c>
      <c r="E7428" s="128" t="s">
        <v>132</v>
      </c>
      <c r="F7428" s="128">
        <v>2243023.88</v>
      </c>
      <c r="G7428" s="128">
        <v>1533250.88</v>
      </c>
      <c r="H7428" s="128">
        <v>674347.43</v>
      </c>
      <c r="I7428" s="128">
        <v>12048</v>
      </c>
    </row>
    <row r="7429" spans="1:9" ht="13.5">
      <c r="A7429" s="128">
        <v>2012</v>
      </c>
      <c r="B7429" s="128" t="s">
        <v>138</v>
      </c>
      <c r="C7429" s="128" t="s">
        <v>24</v>
      </c>
      <c r="D7429" s="128" t="s">
        <v>77</v>
      </c>
      <c r="E7429" s="128" t="s">
        <v>133</v>
      </c>
      <c r="F7429" s="128">
        <v>3978093.05</v>
      </c>
      <c r="G7429" s="128">
        <v>2148697.66</v>
      </c>
      <c r="H7429" s="128">
        <v>1564044.09</v>
      </c>
      <c r="I7429" s="128">
        <v>37209</v>
      </c>
    </row>
    <row r="7430" spans="1:9" ht="13.5">
      <c r="A7430" s="128">
        <v>2012</v>
      </c>
      <c r="B7430" s="128" t="s">
        <v>138</v>
      </c>
      <c r="C7430" s="128" t="s">
        <v>24</v>
      </c>
      <c r="D7430" s="128" t="s">
        <v>77</v>
      </c>
      <c r="E7430" s="128" t="s">
        <v>134</v>
      </c>
      <c r="F7430" s="128">
        <v>7883365.6500000004</v>
      </c>
      <c r="G7430" s="128">
        <v>3473014.88</v>
      </c>
      <c r="H7430" s="128">
        <v>2599870.41</v>
      </c>
      <c r="I7430" s="128">
        <v>19046</v>
      </c>
    </row>
    <row r="7431" spans="1:9" ht="13.5">
      <c r="A7431" s="128">
        <v>2012</v>
      </c>
      <c r="B7431" s="128" t="s">
        <v>138</v>
      </c>
      <c r="C7431" s="128" t="s">
        <v>24</v>
      </c>
      <c r="D7431" s="128" t="s">
        <v>77</v>
      </c>
      <c r="E7431" s="128" t="s">
        <v>135</v>
      </c>
      <c r="F7431" s="128">
        <v>11410642.99</v>
      </c>
      <c r="G7431" s="128">
        <v>3103557.94</v>
      </c>
      <c r="H7431" s="128">
        <v>2039707.87</v>
      </c>
      <c r="I7431" s="128">
        <v>22372</v>
      </c>
    </row>
    <row r="7432" spans="1:9" ht="13.5">
      <c r="A7432" s="128">
        <v>2012</v>
      </c>
      <c r="B7432" s="128" t="s">
        <v>138</v>
      </c>
      <c r="C7432" s="128" t="s">
        <v>24</v>
      </c>
      <c r="D7432" s="128" t="s">
        <v>76</v>
      </c>
      <c r="E7432" s="128" t="s">
        <v>136</v>
      </c>
      <c r="F7432" s="128">
        <v>1242859.97</v>
      </c>
      <c r="G7432" s="128">
        <v>939011.84</v>
      </c>
      <c r="H7432" s="128">
        <v>303847.88</v>
      </c>
      <c r="I7432" s="128">
        <v>13717</v>
      </c>
    </row>
    <row r="7433" spans="1:9" ht="13.5">
      <c r="A7433" s="128">
        <v>2012</v>
      </c>
      <c r="B7433" s="128" t="s">
        <v>138</v>
      </c>
      <c r="C7433" s="128" t="s">
        <v>24</v>
      </c>
      <c r="D7433" s="128" t="s">
        <v>76</v>
      </c>
      <c r="E7433" s="128" t="s">
        <v>132</v>
      </c>
      <c r="F7433" s="128">
        <v>7094864.2199999997</v>
      </c>
      <c r="G7433" s="128">
        <v>4546799.4800000004</v>
      </c>
      <c r="H7433" s="128">
        <v>2548058.9900000002</v>
      </c>
      <c r="I7433" s="128">
        <v>61692</v>
      </c>
    </row>
    <row r="7434" spans="1:9" ht="13.5">
      <c r="A7434" s="128">
        <v>2012</v>
      </c>
      <c r="B7434" s="128" t="s">
        <v>138</v>
      </c>
      <c r="C7434" s="128" t="s">
        <v>24</v>
      </c>
      <c r="D7434" s="128" t="s">
        <v>76</v>
      </c>
      <c r="E7434" s="128" t="s">
        <v>133</v>
      </c>
      <c r="F7434" s="128">
        <v>31191645.25</v>
      </c>
      <c r="G7434" s="128">
        <v>17257334.030000001</v>
      </c>
      <c r="H7434" s="128">
        <v>13934303.939999999</v>
      </c>
      <c r="I7434" s="128">
        <v>215615</v>
      </c>
    </row>
    <row r="7435" spans="1:9" ht="13.5">
      <c r="A7435" s="128">
        <v>2012</v>
      </c>
      <c r="B7435" s="128" t="s">
        <v>138</v>
      </c>
      <c r="C7435" s="128" t="s">
        <v>24</v>
      </c>
      <c r="D7435" s="128" t="s">
        <v>76</v>
      </c>
      <c r="E7435" s="128" t="s">
        <v>134</v>
      </c>
      <c r="F7435" s="128">
        <v>36613723.109999999</v>
      </c>
      <c r="G7435" s="128">
        <v>16152669.82</v>
      </c>
      <c r="H7435" s="128">
        <v>20461045.940000001</v>
      </c>
      <c r="I7435" s="128">
        <v>171816</v>
      </c>
    </row>
    <row r="7436" spans="1:9" ht="13.5">
      <c r="A7436" s="128">
        <v>2012</v>
      </c>
      <c r="B7436" s="128" t="s">
        <v>138</v>
      </c>
      <c r="C7436" s="128" t="s">
        <v>24</v>
      </c>
      <c r="D7436" s="128" t="s">
        <v>76</v>
      </c>
      <c r="E7436" s="128" t="s">
        <v>135</v>
      </c>
      <c r="F7436" s="128">
        <v>3714649.55</v>
      </c>
      <c r="G7436" s="128">
        <v>967880.3</v>
      </c>
      <c r="H7436" s="128">
        <v>2746769.25</v>
      </c>
      <c r="I7436" s="128">
        <v>2620</v>
      </c>
    </row>
    <row r="7437" spans="1:9" ht="13.5">
      <c r="A7437" s="128">
        <v>2012</v>
      </c>
      <c r="B7437" s="128" t="s">
        <v>138</v>
      </c>
      <c r="C7437" s="128" t="s">
        <v>25</v>
      </c>
      <c r="D7437" s="128" t="s">
        <v>79</v>
      </c>
      <c r="E7437" s="128" t="s">
        <v>136</v>
      </c>
      <c r="F7437" s="128">
        <v>1077136.6499999999</v>
      </c>
      <c r="G7437" s="128">
        <v>809140.67</v>
      </c>
      <c r="H7437" s="128">
        <v>267996.03000000003</v>
      </c>
      <c r="I7437" s="128">
        <v>17864</v>
      </c>
    </row>
    <row r="7438" spans="1:9" ht="13.5">
      <c r="A7438" s="128">
        <v>2012</v>
      </c>
      <c r="B7438" s="128" t="s">
        <v>138</v>
      </c>
      <c r="C7438" s="128" t="s">
        <v>25</v>
      </c>
      <c r="D7438" s="128" t="s">
        <v>79</v>
      </c>
      <c r="E7438" s="128" t="s">
        <v>132</v>
      </c>
      <c r="F7438" s="128">
        <v>134497.49</v>
      </c>
      <c r="G7438" s="128">
        <v>90707.91</v>
      </c>
      <c r="H7438" s="128">
        <v>32925.08</v>
      </c>
      <c r="I7438" s="128">
        <v>775</v>
      </c>
    </row>
    <row r="7439" spans="1:9" ht="13.5">
      <c r="A7439" s="128">
        <v>2012</v>
      </c>
      <c r="B7439" s="128" t="s">
        <v>138</v>
      </c>
      <c r="C7439" s="128" t="s">
        <v>25</v>
      </c>
      <c r="D7439" s="128" t="s">
        <v>79</v>
      </c>
      <c r="E7439" s="128" t="s">
        <v>133</v>
      </c>
      <c r="F7439" s="128">
        <v>176682.97</v>
      </c>
      <c r="G7439" s="128">
        <v>95534.45</v>
      </c>
      <c r="H7439" s="128">
        <v>46472.81</v>
      </c>
      <c r="I7439" s="128">
        <v>559</v>
      </c>
    </row>
    <row r="7440" spans="1:9" ht="13.5">
      <c r="A7440" s="128">
        <v>2012</v>
      </c>
      <c r="B7440" s="128" t="s">
        <v>138</v>
      </c>
      <c r="C7440" s="128" t="s">
        <v>25</v>
      </c>
      <c r="D7440" s="128" t="s">
        <v>79</v>
      </c>
      <c r="E7440" s="128" t="s">
        <v>134</v>
      </c>
      <c r="F7440" s="128">
        <v>572009.04</v>
      </c>
      <c r="G7440" s="128">
        <v>246216.97</v>
      </c>
      <c r="H7440" s="128">
        <v>117106.04</v>
      </c>
      <c r="I7440" s="128">
        <v>1760</v>
      </c>
    </row>
    <row r="7441" spans="1:9" ht="13.5">
      <c r="A7441" s="128">
        <v>2012</v>
      </c>
      <c r="B7441" s="128" t="s">
        <v>138</v>
      </c>
      <c r="C7441" s="128" t="s">
        <v>25</v>
      </c>
      <c r="D7441" s="128" t="s">
        <v>79</v>
      </c>
      <c r="E7441" s="128" t="s">
        <v>135</v>
      </c>
      <c r="F7441" s="128">
        <v>2130094.06</v>
      </c>
      <c r="G7441" s="128">
        <v>535594.74</v>
      </c>
      <c r="H7441" s="128">
        <v>185391.46</v>
      </c>
      <c r="I7441" s="128">
        <v>3803</v>
      </c>
    </row>
    <row r="7442" spans="1:9" ht="13.5">
      <c r="A7442" s="128">
        <v>2012</v>
      </c>
      <c r="B7442" s="128" t="s">
        <v>138</v>
      </c>
      <c r="C7442" s="128" t="s">
        <v>25</v>
      </c>
      <c r="D7442" s="128" t="s">
        <v>77</v>
      </c>
      <c r="E7442" s="128" t="s">
        <v>132</v>
      </c>
      <c r="F7442" s="128">
        <v>184982.21</v>
      </c>
      <c r="G7442" s="128">
        <v>120634.2</v>
      </c>
      <c r="H7442" s="128">
        <v>50295.15</v>
      </c>
      <c r="I7442" s="128">
        <v>805</v>
      </c>
    </row>
    <row r="7443" spans="1:9" ht="13.5">
      <c r="A7443" s="128">
        <v>2012</v>
      </c>
      <c r="B7443" s="128" t="s">
        <v>138</v>
      </c>
      <c r="C7443" s="128" t="s">
        <v>25</v>
      </c>
      <c r="D7443" s="128" t="s">
        <v>77</v>
      </c>
      <c r="E7443" s="128" t="s">
        <v>133</v>
      </c>
      <c r="F7443" s="128">
        <v>240780.03</v>
      </c>
      <c r="G7443" s="128">
        <v>130233.60000000001</v>
      </c>
      <c r="H7443" s="128">
        <v>91297.75</v>
      </c>
      <c r="I7443" s="128">
        <v>1220</v>
      </c>
    </row>
    <row r="7444" spans="1:9" ht="13.5">
      <c r="A7444" s="128">
        <v>2012</v>
      </c>
      <c r="B7444" s="128" t="s">
        <v>138</v>
      </c>
      <c r="C7444" s="128" t="s">
        <v>25</v>
      </c>
      <c r="D7444" s="128" t="s">
        <v>77</v>
      </c>
      <c r="E7444" s="128" t="s">
        <v>134</v>
      </c>
      <c r="F7444" s="128">
        <v>821654.49</v>
      </c>
      <c r="G7444" s="128">
        <v>353749.2</v>
      </c>
      <c r="H7444" s="128">
        <v>358094.66</v>
      </c>
      <c r="I7444" s="128">
        <v>1774</v>
      </c>
    </row>
    <row r="7445" spans="1:9" ht="13.5">
      <c r="A7445" s="128">
        <v>2012</v>
      </c>
      <c r="B7445" s="128" t="s">
        <v>138</v>
      </c>
      <c r="C7445" s="128" t="s">
        <v>25</v>
      </c>
      <c r="D7445" s="128" t="s">
        <v>77</v>
      </c>
      <c r="E7445" s="128" t="s">
        <v>135</v>
      </c>
      <c r="F7445" s="128">
        <v>1174646.77</v>
      </c>
      <c r="G7445" s="128">
        <v>359851</v>
      </c>
      <c r="H7445" s="128">
        <v>410008.68</v>
      </c>
      <c r="I7445" s="128">
        <v>4286</v>
      </c>
    </row>
    <row r="7446" spans="1:9" ht="13.5">
      <c r="A7446" s="128">
        <v>2012</v>
      </c>
      <c r="B7446" s="128" t="s">
        <v>138</v>
      </c>
      <c r="C7446" s="128" t="s">
        <v>25</v>
      </c>
      <c r="D7446" s="128" t="s">
        <v>76</v>
      </c>
      <c r="E7446" s="128" t="s">
        <v>136</v>
      </c>
      <c r="F7446" s="128">
        <v>1056455.55</v>
      </c>
      <c r="G7446" s="128">
        <v>793911.78</v>
      </c>
      <c r="H7446" s="128">
        <v>262543.64</v>
      </c>
      <c r="I7446" s="128">
        <v>11799</v>
      </c>
    </row>
    <row r="7447" spans="1:9" ht="13.5">
      <c r="A7447" s="128">
        <v>2012</v>
      </c>
      <c r="B7447" s="128" t="s">
        <v>138</v>
      </c>
      <c r="C7447" s="128" t="s">
        <v>25</v>
      </c>
      <c r="D7447" s="128" t="s">
        <v>76</v>
      </c>
      <c r="E7447" s="128" t="s">
        <v>132</v>
      </c>
      <c r="F7447" s="128">
        <v>2843661.17</v>
      </c>
      <c r="G7447" s="128">
        <v>1806277.65</v>
      </c>
      <c r="H7447" s="128">
        <v>1037375.9</v>
      </c>
      <c r="I7447" s="128">
        <v>20435</v>
      </c>
    </row>
    <row r="7448" spans="1:9" ht="13.5">
      <c r="A7448" s="128">
        <v>2012</v>
      </c>
      <c r="B7448" s="128" t="s">
        <v>138</v>
      </c>
      <c r="C7448" s="128" t="s">
        <v>25</v>
      </c>
      <c r="D7448" s="128" t="s">
        <v>76</v>
      </c>
      <c r="E7448" s="128" t="s">
        <v>133</v>
      </c>
      <c r="F7448" s="128">
        <v>7211860.8799999999</v>
      </c>
      <c r="G7448" s="128">
        <v>3945183.71</v>
      </c>
      <c r="H7448" s="128">
        <v>3266673.47</v>
      </c>
      <c r="I7448" s="128">
        <v>43025</v>
      </c>
    </row>
    <row r="7449" spans="1:9" ht="13.5">
      <c r="A7449" s="128">
        <v>2012</v>
      </c>
      <c r="B7449" s="128" t="s">
        <v>138</v>
      </c>
      <c r="C7449" s="128" t="s">
        <v>25</v>
      </c>
      <c r="D7449" s="128" t="s">
        <v>76</v>
      </c>
      <c r="E7449" s="128" t="s">
        <v>134</v>
      </c>
      <c r="F7449" s="128">
        <v>6088970.3499999996</v>
      </c>
      <c r="G7449" s="128">
        <v>2785315.58</v>
      </c>
      <c r="H7449" s="128">
        <v>3303651.22</v>
      </c>
      <c r="I7449" s="128">
        <v>34376</v>
      </c>
    </row>
    <row r="7450" spans="1:9" ht="13.5">
      <c r="A7450" s="128">
        <v>2012</v>
      </c>
      <c r="B7450" s="128" t="s">
        <v>138</v>
      </c>
      <c r="C7450" s="128" t="s">
        <v>25</v>
      </c>
      <c r="D7450" s="128" t="s">
        <v>76</v>
      </c>
      <c r="E7450" s="128" t="s">
        <v>135</v>
      </c>
      <c r="F7450" s="128">
        <v>555095.15</v>
      </c>
      <c r="G7450" s="128">
        <v>156678</v>
      </c>
      <c r="H7450" s="128">
        <v>398417.15</v>
      </c>
      <c r="I7450" s="128">
        <v>495</v>
      </c>
    </row>
    <row r="7451" spans="1:9" ht="13.5">
      <c r="A7451" s="128">
        <v>2012</v>
      </c>
      <c r="B7451" s="128" t="s">
        <v>138</v>
      </c>
      <c r="C7451" s="128" t="s">
        <v>26</v>
      </c>
      <c r="D7451" s="128" t="s">
        <v>79</v>
      </c>
      <c r="E7451" s="128" t="s">
        <v>136</v>
      </c>
      <c r="F7451" s="128">
        <v>1034629.98</v>
      </c>
      <c r="G7451" s="128">
        <v>778988.13</v>
      </c>
      <c r="H7451" s="128">
        <v>255485.88</v>
      </c>
      <c r="I7451" s="128">
        <v>10883</v>
      </c>
    </row>
    <row r="7452" spans="1:9" ht="13.5">
      <c r="A7452" s="128">
        <v>2012</v>
      </c>
      <c r="B7452" s="128" t="s">
        <v>138</v>
      </c>
      <c r="C7452" s="128" t="s">
        <v>26</v>
      </c>
      <c r="D7452" s="128" t="s">
        <v>79</v>
      </c>
      <c r="E7452" s="128" t="s">
        <v>132</v>
      </c>
      <c r="F7452" s="128">
        <v>91449.24</v>
      </c>
      <c r="G7452" s="128">
        <v>59111.19</v>
      </c>
      <c r="H7452" s="128">
        <v>20233.169999999998</v>
      </c>
      <c r="I7452" s="128">
        <v>459</v>
      </c>
    </row>
    <row r="7453" spans="1:9" ht="13.5">
      <c r="A7453" s="128">
        <v>2012</v>
      </c>
      <c r="B7453" s="128" t="s">
        <v>138</v>
      </c>
      <c r="C7453" s="128" t="s">
        <v>26</v>
      </c>
      <c r="D7453" s="128" t="s">
        <v>79</v>
      </c>
      <c r="E7453" s="128" t="s">
        <v>133</v>
      </c>
      <c r="F7453" s="128">
        <v>136157.93</v>
      </c>
      <c r="G7453" s="128">
        <v>74504.05</v>
      </c>
      <c r="H7453" s="128">
        <v>27422.98</v>
      </c>
      <c r="I7453" s="128">
        <v>583</v>
      </c>
    </row>
    <row r="7454" spans="1:9" ht="13.5">
      <c r="A7454" s="128">
        <v>2012</v>
      </c>
      <c r="B7454" s="128" t="s">
        <v>138</v>
      </c>
      <c r="C7454" s="128" t="s">
        <v>26</v>
      </c>
      <c r="D7454" s="128" t="s">
        <v>79</v>
      </c>
      <c r="E7454" s="128" t="s">
        <v>134</v>
      </c>
      <c r="F7454" s="128">
        <v>924764.68</v>
      </c>
      <c r="G7454" s="128">
        <v>385180.12</v>
      </c>
      <c r="H7454" s="128">
        <v>132798.48000000001</v>
      </c>
      <c r="I7454" s="128">
        <v>2814</v>
      </c>
    </row>
    <row r="7455" spans="1:9" ht="13.5">
      <c r="A7455" s="128">
        <v>2012</v>
      </c>
      <c r="B7455" s="128" t="s">
        <v>138</v>
      </c>
      <c r="C7455" s="128" t="s">
        <v>26</v>
      </c>
      <c r="D7455" s="128" t="s">
        <v>79</v>
      </c>
      <c r="E7455" s="128" t="s">
        <v>135</v>
      </c>
      <c r="F7455" s="128">
        <v>7730836.6900000004</v>
      </c>
      <c r="G7455" s="128">
        <v>1932950.2</v>
      </c>
      <c r="H7455" s="128">
        <v>651082.80000000005</v>
      </c>
      <c r="I7455" s="128">
        <v>12394</v>
      </c>
    </row>
    <row r="7456" spans="1:9" ht="13.5">
      <c r="A7456" s="128">
        <v>2012</v>
      </c>
      <c r="B7456" s="128" t="s">
        <v>138</v>
      </c>
      <c r="C7456" s="128" t="s">
        <v>26</v>
      </c>
      <c r="D7456" s="128" t="s">
        <v>77</v>
      </c>
      <c r="E7456" s="128" t="s">
        <v>132</v>
      </c>
      <c r="F7456" s="128">
        <v>61553.86</v>
      </c>
      <c r="G7456" s="128">
        <v>40361.15</v>
      </c>
      <c r="H7456" s="128">
        <v>19774.509999999998</v>
      </c>
      <c r="I7456" s="128">
        <v>245</v>
      </c>
    </row>
    <row r="7457" spans="1:9" ht="13.5">
      <c r="A7457" s="128">
        <v>2012</v>
      </c>
      <c r="B7457" s="128" t="s">
        <v>138</v>
      </c>
      <c r="C7457" s="128" t="s">
        <v>26</v>
      </c>
      <c r="D7457" s="128" t="s">
        <v>77</v>
      </c>
      <c r="E7457" s="128" t="s">
        <v>133</v>
      </c>
      <c r="F7457" s="128">
        <v>119698.22</v>
      </c>
      <c r="G7457" s="128">
        <v>65779.350000000006</v>
      </c>
      <c r="H7457" s="128">
        <v>46359.47</v>
      </c>
      <c r="I7457" s="128">
        <v>402</v>
      </c>
    </row>
    <row r="7458" spans="1:9" ht="13.5">
      <c r="A7458" s="128">
        <v>2012</v>
      </c>
      <c r="B7458" s="128" t="s">
        <v>138</v>
      </c>
      <c r="C7458" s="128" t="s">
        <v>26</v>
      </c>
      <c r="D7458" s="128" t="s">
        <v>77</v>
      </c>
      <c r="E7458" s="128" t="s">
        <v>134</v>
      </c>
      <c r="F7458" s="128">
        <v>216718.86</v>
      </c>
      <c r="G7458" s="128">
        <v>91112.53</v>
      </c>
      <c r="H7458" s="128">
        <v>84771.06</v>
      </c>
      <c r="I7458" s="128">
        <v>577</v>
      </c>
    </row>
    <row r="7459" spans="1:9" ht="13.5">
      <c r="A7459" s="128">
        <v>2012</v>
      </c>
      <c r="B7459" s="128" t="s">
        <v>138</v>
      </c>
      <c r="C7459" s="128" t="s">
        <v>26</v>
      </c>
      <c r="D7459" s="128" t="s">
        <v>77</v>
      </c>
      <c r="E7459" s="128" t="s">
        <v>135</v>
      </c>
      <c r="F7459" s="128">
        <v>610201.13</v>
      </c>
      <c r="G7459" s="128">
        <v>169702.45</v>
      </c>
      <c r="H7459" s="128">
        <v>187662.36</v>
      </c>
      <c r="I7459" s="128">
        <v>2315</v>
      </c>
    </row>
    <row r="7460" spans="1:9" ht="13.5">
      <c r="A7460" s="128">
        <v>2012</v>
      </c>
      <c r="B7460" s="128" t="s">
        <v>138</v>
      </c>
      <c r="C7460" s="128" t="s">
        <v>26</v>
      </c>
      <c r="D7460" s="128" t="s">
        <v>76</v>
      </c>
      <c r="E7460" s="128" t="s">
        <v>136</v>
      </c>
      <c r="F7460" s="128">
        <v>407380.17</v>
      </c>
      <c r="G7460" s="128">
        <v>306417.82</v>
      </c>
      <c r="H7460" s="128">
        <v>100962.48</v>
      </c>
      <c r="I7460" s="128">
        <v>12813</v>
      </c>
    </row>
    <row r="7461" spans="1:9" ht="13.5">
      <c r="A7461" s="128">
        <v>2012</v>
      </c>
      <c r="B7461" s="128" t="s">
        <v>138</v>
      </c>
      <c r="C7461" s="128" t="s">
        <v>26</v>
      </c>
      <c r="D7461" s="128" t="s">
        <v>76</v>
      </c>
      <c r="E7461" s="128" t="s">
        <v>132</v>
      </c>
      <c r="F7461" s="128">
        <v>1105114.68</v>
      </c>
      <c r="G7461" s="128">
        <v>712332.34</v>
      </c>
      <c r="H7461" s="128">
        <v>392743.36</v>
      </c>
      <c r="I7461" s="128">
        <v>13198</v>
      </c>
    </row>
    <row r="7462" spans="1:9" ht="13.5">
      <c r="A7462" s="128">
        <v>2012</v>
      </c>
      <c r="B7462" s="128" t="s">
        <v>138</v>
      </c>
      <c r="C7462" s="128" t="s">
        <v>26</v>
      </c>
      <c r="D7462" s="128" t="s">
        <v>76</v>
      </c>
      <c r="E7462" s="128" t="s">
        <v>133</v>
      </c>
      <c r="F7462" s="128">
        <v>2815740.4</v>
      </c>
      <c r="G7462" s="128">
        <v>1551246.66</v>
      </c>
      <c r="H7462" s="128">
        <v>1264488.53</v>
      </c>
      <c r="I7462" s="128">
        <v>16470</v>
      </c>
    </row>
    <row r="7463" spans="1:9" ht="13.5">
      <c r="A7463" s="128">
        <v>2012</v>
      </c>
      <c r="B7463" s="128" t="s">
        <v>138</v>
      </c>
      <c r="C7463" s="128" t="s">
        <v>26</v>
      </c>
      <c r="D7463" s="128" t="s">
        <v>76</v>
      </c>
      <c r="E7463" s="128" t="s">
        <v>134</v>
      </c>
      <c r="F7463" s="128">
        <v>1981583.73</v>
      </c>
      <c r="G7463" s="128">
        <v>905144.19</v>
      </c>
      <c r="H7463" s="128">
        <v>1076428.3</v>
      </c>
      <c r="I7463" s="128">
        <v>13357</v>
      </c>
    </row>
    <row r="7464" spans="1:9" ht="13.5">
      <c r="A7464" s="128">
        <v>2012</v>
      </c>
      <c r="B7464" s="128" t="s">
        <v>138</v>
      </c>
      <c r="C7464" s="128" t="s">
        <v>26</v>
      </c>
      <c r="D7464" s="128" t="s">
        <v>76</v>
      </c>
      <c r="E7464" s="128" t="s">
        <v>135</v>
      </c>
      <c r="F7464" s="128">
        <v>378931.66</v>
      </c>
      <c r="G7464" s="128">
        <v>117275.27</v>
      </c>
      <c r="H7464" s="128">
        <v>261656.39</v>
      </c>
      <c r="I7464" s="128">
        <v>1143</v>
      </c>
    </row>
    <row r="7465" spans="1:9" ht="13.5">
      <c r="A7465" s="128">
        <v>2012</v>
      </c>
      <c r="B7465" s="128" t="s">
        <v>138</v>
      </c>
      <c r="C7465" s="128" t="s">
        <v>27</v>
      </c>
      <c r="D7465" s="128" t="s">
        <v>79</v>
      </c>
      <c r="E7465" s="128" t="s">
        <v>136</v>
      </c>
      <c r="F7465" s="128">
        <v>346446.48</v>
      </c>
      <c r="G7465" s="128">
        <v>260012.43</v>
      </c>
      <c r="H7465" s="128">
        <v>86434.05</v>
      </c>
      <c r="I7465" s="128">
        <v>1571</v>
      </c>
    </row>
    <row r="7466" spans="1:9" ht="13.5">
      <c r="A7466" s="128">
        <v>2012</v>
      </c>
      <c r="B7466" s="128" t="s">
        <v>138</v>
      </c>
      <c r="C7466" s="128" t="s">
        <v>27</v>
      </c>
      <c r="D7466" s="128" t="s">
        <v>79</v>
      </c>
      <c r="E7466" s="128" t="s">
        <v>132</v>
      </c>
      <c r="F7466" s="128">
        <v>36949.599999999999</v>
      </c>
      <c r="G7466" s="128">
        <v>24779.96</v>
      </c>
      <c r="H7466" s="128">
        <v>8817.5</v>
      </c>
      <c r="I7466" s="128">
        <v>215</v>
      </c>
    </row>
    <row r="7467" spans="1:9" ht="13.5">
      <c r="A7467" s="128">
        <v>2012</v>
      </c>
      <c r="B7467" s="128" t="s">
        <v>138</v>
      </c>
      <c r="C7467" s="128" t="s">
        <v>27</v>
      </c>
      <c r="D7467" s="128" t="s">
        <v>79</v>
      </c>
      <c r="E7467" s="128" t="s">
        <v>133</v>
      </c>
      <c r="F7467" s="128">
        <v>82873.91</v>
      </c>
      <c r="G7467" s="128">
        <v>44649.09</v>
      </c>
      <c r="H7467" s="128">
        <v>15559.65</v>
      </c>
      <c r="I7467" s="128">
        <v>231</v>
      </c>
    </row>
    <row r="7468" spans="1:9" ht="13.5">
      <c r="A7468" s="128">
        <v>2012</v>
      </c>
      <c r="B7468" s="128" t="s">
        <v>138</v>
      </c>
      <c r="C7468" s="128" t="s">
        <v>27</v>
      </c>
      <c r="D7468" s="128" t="s">
        <v>79</v>
      </c>
      <c r="E7468" s="128" t="s">
        <v>134</v>
      </c>
      <c r="F7468" s="128">
        <v>164526.76</v>
      </c>
      <c r="G7468" s="128">
        <v>70681.06</v>
      </c>
      <c r="H7468" s="128">
        <v>35188.6</v>
      </c>
      <c r="I7468" s="128">
        <v>710</v>
      </c>
    </row>
    <row r="7469" spans="1:9" ht="13.5">
      <c r="A7469" s="128">
        <v>2012</v>
      </c>
      <c r="B7469" s="128" t="s">
        <v>138</v>
      </c>
      <c r="C7469" s="128" t="s">
        <v>27</v>
      </c>
      <c r="D7469" s="128" t="s">
        <v>79</v>
      </c>
      <c r="E7469" s="128" t="s">
        <v>135</v>
      </c>
      <c r="F7469" s="128">
        <v>1141101.97</v>
      </c>
      <c r="G7469" s="128">
        <v>300542.25</v>
      </c>
      <c r="H7469" s="128">
        <v>100986.75</v>
      </c>
      <c r="I7469" s="128">
        <v>1993</v>
      </c>
    </row>
    <row r="7470" spans="1:9" ht="13.5">
      <c r="A7470" s="128">
        <v>2012</v>
      </c>
      <c r="B7470" s="128" t="s">
        <v>138</v>
      </c>
      <c r="C7470" s="128" t="s">
        <v>27</v>
      </c>
      <c r="D7470" s="128" t="s">
        <v>77</v>
      </c>
      <c r="E7470" s="128" t="s">
        <v>132</v>
      </c>
      <c r="F7470" s="128">
        <v>24749.05</v>
      </c>
      <c r="G7470" s="128">
        <v>16542.45</v>
      </c>
      <c r="H7470" s="128">
        <v>7313.45</v>
      </c>
      <c r="I7470" s="128">
        <v>112</v>
      </c>
    </row>
    <row r="7471" spans="1:9" ht="13.5">
      <c r="A7471" s="128">
        <v>2012</v>
      </c>
      <c r="B7471" s="128" t="s">
        <v>138</v>
      </c>
      <c r="C7471" s="128" t="s">
        <v>27</v>
      </c>
      <c r="D7471" s="128" t="s">
        <v>77</v>
      </c>
      <c r="E7471" s="128" t="s">
        <v>133</v>
      </c>
      <c r="F7471" s="128">
        <v>41296.97</v>
      </c>
      <c r="G7471" s="128">
        <v>22184.05</v>
      </c>
      <c r="H7471" s="128">
        <v>15173.46</v>
      </c>
      <c r="I7471" s="128">
        <v>214</v>
      </c>
    </row>
    <row r="7472" spans="1:9" ht="13.5">
      <c r="A7472" s="128">
        <v>2012</v>
      </c>
      <c r="B7472" s="128" t="s">
        <v>138</v>
      </c>
      <c r="C7472" s="128" t="s">
        <v>27</v>
      </c>
      <c r="D7472" s="128" t="s">
        <v>77</v>
      </c>
      <c r="E7472" s="128" t="s">
        <v>134</v>
      </c>
      <c r="F7472" s="128">
        <v>126413.35</v>
      </c>
      <c r="G7472" s="128">
        <v>57192.85</v>
      </c>
      <c r="H7472" s="128">
        <v>53944.160000000003</v>
      </c>
      <c r="I7472" s="128">
        <v>247</v>
      </c>
    </row>
    <row r="7473" spans="1:9" ht="13.5">
      <c r="A7473" s="128">
        <v>2012</v>
      </c>
      <c r="B7473" s="128" t="s">
        <v>138</v>
      </c>
      <c r="C7473" s="128" t="s">
        <v>27</v>
      </c>
      <c r="D7473" s="128" t="s">
        <v>77</v>
      </c>
      <c r="E7473" s="128" t="s">
        <v>135</v>
      </c>
      <c r="F7473" s="128">
        <v>310015.63</v>
      </c>
      <c r="G7473" s="128">
        <v>84380.6</v>
      </c>
      <c r="H7473" s="128">
        <v>88949.82</v>
      </c>
      <c r="I7473" s="128">
        <v>1049</v>
      </c>
    </row>
    <row r="7474" spans="1:9" ht="13.5">
      <c r="A7474" s="128">
        <v>2012</v>
      </c>
      <c r="B7474" s="128" t="s">
        <v>138</v>
      </c>
      <c r="C7474" s="128" t="s">
        <v>27</v>
      </c>
      <c r="D7474" s="128" t="s">
        <v>76</v>
      </c>
      <c r="E7474" s="128" t="s">
        <v>136</v>
      </c>
      <c r="F7474" s="128">
        <v>122216.69</v>
      </c>
      <c r="G7474" s="128">
        <v>91873.03</v>
      </c>
      <c r="H7474" s="128">
        <v>30343.66</v>
      </c>
      <c r="I7474" s="128">
        <v>1516</v>
      </c>
    </row>
    <row r="7475" spans="1:9" ht="13.5">
      <c r="A7475" s="128">
        <v>2012</v>
      </c>
      <c r="B7475" s="128" t="s">
        <v>138</v>
      </c>
      <c r="C7475" s="128" t="s">
        <v>27</v>
      </c>
      <c r="D7475" s="128" t="s">
        <v>76</v>
      </c>
      <c r="E7475" s="128" t="s">
        <v>132</v>
      </c>
      <c r="F7475" s="128">
        <v>415601.84</v>
      </c>
      <c r="G7475" s="128">
        <v>263161.05</v>
      </c>
      <c r="H7475" s="128">
        <v>152422.81</v>
      </c>
      <c r="I7475" s="128">
        <v>5861</v>
      </c>
    </row>
    <row r="7476" spans="1:9" ht="13.5">
      <c r="A7476" s="128">
        <v>2012</v>
      </c>
      <c r="B7476" s="128" t="s">
        <v>138</v>
      </c>
      <c r="C7476" s="128" t="s">
        <v>27</v>
      </c>
      <c r="D7476" s="128" t="s">
        <v>76</v>
      </c>
      <c r="E7476" s="128" t="s">
        <v>133</v>
      </c>
      <c r="F7476" s="128">
        <v>1024433.54</v>
      </c>
      <c r="G7476" s="128">
        <v>559800.25</v>
      </c>
      <c r="H7476" s="128">
        <v>464633.17</v>
      </c>
      <c r="I7476" s="128">
        <v>5594</v>
      </c>
    </row>
    <row r="7477" spans="1:9" ht="13.5">
      <c r="A7477" s="128">
        <v>2012</v>
      </c>
      <c r="B7477" s="128" t="s">
        <v>138</v>
      </c>
      <c r="C7477" s="128" t="s">
        <v>27</v>
      </c>
      <c r="D7477" s="128" t="s">
        <v>76</v>
      </c>
      <c r="E7477" s="128" t="s">
        <v>134</v>
      </c>
      <c r="F7477" s="128">
        <v>1191227.54</v>
      </c>
      <c r="G7477" s="128">
        <v>547967.30000000005</v>
      </c>
      <c r="H7477" s="128">
        <v>643256.59</v>
      </c>
      <c r="I7477" s="128">
        <v>5622</v>
      </c>
    </row>
    <row r="7478" spans="1:9" ht="13.5">
      <c r="A7478" s="128">
        <v>2012</v>
      </c>
      <c r="B7478" s="128" t="s">
        <v>138</v>
      </c>
      <c r="C7478" s="128" t="s">
        <v>27</v>
      </c>
      <c r="D7478" s="128" t="s">
        <v>76</v>
      </c>
      <c r="E7478" s="128" t="s">
        <v>135</v>
      </c>
      <c r="F7478" s="128">
        <v>69068.25</v>
      </c>
      <c r="G7478" s="128">
        <v>20352</v>
      </c>
      <c r="H7478" s="128">
        <v>48716.25</v>
      </c>
      <c r="I7478" s="128">
        <v>90</v>
      </c>
    </row>
    <row r="7479" spans="1:9" ht="13.5">
      <c r="A7479" s="128">
        <v>2012</v>
      </c>
      <c r="B7479" s="128" t="s">
        <v>139</v>
      </c>
      <c r="C7479" s="128" t="s">
        <v>20</v>
      </c>
      <c r="D7479" s="128" t="s">
        <v>79</v>
      </c>
      <c r="E7479" s="128" t="s">
        <v>136</v>
      </c>
      <c r="F7479" s="128">
        <v>34686691.990000002</v>
      </c>
      <c r="G7479" s="128">
        <v>26060452.510000002</v>
      </c>
      <c r="H7479" s="128">
        <v>8619086.7899999991</v>
      </c>
      <c r="I7479" s="128">
        <v>566177</v>
      </c>
    </row>
    <row r="7480" spans="1:9" ht="13.5">
      <c r="A7480" s="128">
        <v>2012</v>
      </c>
      <c r="B7480" s="128" t="s">
        <v>139</v>
      </c>
      <c r="C7480" s="128" t="s">
        <v>20</v>
      </c>
      <c r="D7480" s="128" t="s">
        <v>79</v>
      </c>
      <c r="E7480" s="128" t="s">
        <v>132</v>
      </c>
      <c r="F7480" s="128">
        <v>2246542.02</v>
      </c>
      <c r="G7480" s="128">
        <v>1504092.42</v>
      </c>
      <c r="H7480" s="128">
        <v>521282.54</v>
      </c>
      <c r="I7480" s="128">
        <v>11914</v>
      </c>
    </row>
    <row r="7481" spans="1:9" ht="13.5">
      <c r="A7481" s="128">
        <v>2012</v>
      </c>
      <c r="B7481" s="128" t="s">
        <v>139</v>
      </c>
      <c r="C7481" s="128" t="s">
        <v>20</v>
      </c>
      <c r="D7481" s="128" t="s">
        <v>79</v>
      </c>
      <c r="E7481" s="128" t="s">
        <v>133</v>
      </c>
      <c r="F7481" s="128">
        <v>3021503.51</v>
      </c>
      <c r="G7481" s="128">
        <v>1630555.73</v>
      </c>
      <c r="H7481" s="128">
        <v>601743.07999999996</v>
      </c>
      <c r="I7481" s="128">
        <v>12638</v>
      </c>
    </row>
    <row r="7482" spans="1:9" ht="13.5">
      <c r="A7482" s="128">
        <v>2012</v>
      </c>
      <c r="B7482" s="128" t="s">
        <v>139</v>
      </c>
      <c r="C7482" s="128" t="s">
        <v>20</v>
      </c>
      <c r="D7482" s="128" t="s">
        <v>79</v>
      </c>
      <c r="E7482" s="128" t="s">
        <v>134</v>
      </c>
      <c r="F7482" s="128">
        <v>14035150.16</v>
      </c>
      <c r="G7482" s="128">
        <v>5967227.7300000004</v>
      </c>
      <c r="H7482" s="128">
        <v>2188829.86</v>
      </c>
      <c r="I7482" s="128">
        <v>73504</v>
      </c>
    </row>
    <row r="7483" spans="1:9" ht="13.5">
      <c r="A7483" s="128">
        <v>2012</v>
      </c>
      <c r="B7483" s="128" t="s">
        <v>139</v>
      </c>
      <c r="C7483" s="128" t="s">
        <v>20</v>
      </c>
      <c r="D7483" s="128" t="s">
        <v>79</v>
      </c>
      <c r="E7483" s="128" t="s">
        <v>135</v>
      </c>
      <c r="F7483" s="128">
        <v>87471583.680000007</v>
      </c>
      <c r="G7483" s="128">
        <v>22163025.620000001</v>
      </c>
      <c r="H7483" s="128">
        <v>7423869.1200000001</v>
      </c>
      <c r="I7483" s="128">
        <v>146781</v>
      </c>
    </row>
    <row r="7484" spans="1:9" ht="13.5">
      <c r="A7484" s="128">
        <v>2012</v>
      </c>
      <c r="B7484" s="128" t="s">
        <v>139</v>
      </c>
      <c r="C7484" s="128" t="s">
        <v>20</v>
      </c>
      <c r="D7484" s="128" t="s">
        <v>77</v>
      </c>
      <c r="E7484" s="128" t="s">
        <v>132</v>
      </c>
      <c r="F7484" s="128">
        <v>1443733.65</v>
      </c>
      <c r="G7484" s="128">
        <v>969711.75</v>
      </c>
      <c r="H7484" s="128">
        <v>408479.85</v>
      </c>
      <c r="I7484" s="128">
        <v>8140</v>
      </c>
    </row>
    <row r="7485" spans="1:9" ht="13.5">
      <c r="A7485" s="128">
        <v>2012</v>
      </c>
      <c r="B7485" s="128" t="s">
        <v>139</v>
      </c>
      <c r="C7485" s="128" t="s">
        <v>20</v>
      </c>
      <c r="D7485" s="128" t="s">
        <v>77</v>
      </c>
      <c r="E7485" s="128" t="s">
        <v>133</v>
      </c>
      <c r="F7485" s="128">
        <v>2491023.25</v>
      </c>
      <c r="G7485" s="128">
        <v>1337362.67</v>
      </c>
      <c r="H7485" s="128">
        <v>932239.13</v>
      </c>
      <c r="I7485" s="128">
        <v>9624</v>
      </c>
    </row>
    <row r="7486" spans="1:9" ht="13.5">
      <c r="A7486" s="128">
        <v>2012</v>
      </c>
      <c r="B7486" s="128" t="s">
        <v>139</v>
      </c>
      <c r="C7486" s="128" t="s">
        <v>20</v>
      </c>
      <c r="D7486" s="128" t="s">
        <v>77</v>
      </c>
      <c r="E7486" s="128" t="s">
        <v>134</v>
      </c>
      <c r="F7486" s="128">
        <v>5275712.34</v>
      </c>
      <c r="G7486" s="128">
        <v>2302420.58</v>
      </c>
      <c r="H7486" s="128">
        <v>2241044.21</v>
      </c>
      <c r="I7486" s="128">
        <v>15271</v>
      </c>
    </row>
    <row r="7487" spans="1:9" ht="13.5">
      <c r="A7487" s="128">
        <v>2012</v>
      </c>
      <c r="B7487" s="128" t="s">
        <v>139</v>
      </c>
      <c r="C7487" s="128" t="s">
        <v>20</v>
      </c>
      <c r="D7487" s="128" t="s">
        <v>77</v>
      </c>
      <c r="E7487" s="128" t="s">
        <v>135</v>
      </c>
      <c r="F7487" s="128">
        <v>6231194.9699999997</v>
      </c>
      <c r="G7487" s="128">
        <v>1735462.84</v>
      </c>
      <c r="H7487" s="128">
        <v>1684343.7</v>
      </c>
      <c r="I7487" s="128">
        <v>16464</v>
      </c>
    </row>
    <row r="7488" spans="1:9" ht="13.5">
      <c r="A7488" s="128">
        <v>2012</v>
      </c>
      <c r="B7488" s="128" t="s">
        <v>139</v>
      </c>
      <c r="C7488" s="128" t="s">
        <v>20</v>
      </c>
      <c r="D7488" s="128" t="s">
        <v>76</v>
      </c>
      <c r="E7488" s="128" t="s">
        <v>136</v>
      </c>
      <c r="F7488" s="128">
        <v>11487425.1</v>
      </c>
      <c r="G7488" s="128">
        <v>8631357.8699999992</v>
      </c>
      <c r="H7488" s="128">
        <v>2856784.88</v>
      </c>
      <c r="I7488" s="128">
        <v>308812</v>
      </c>
    </row>
    <row r="7489" spans="1:9" ht="13.5">
      <c r="A7489" s="128">
        <v>2012</v>
      </c>
      <c r="B7489" s="128" t="s">
        <v>139</v>
      </c>
      <c r="C7489" s="128" t="s">
        <v>20</v>
      </c>
      <c r="D7489" s="128" t="s">
        <v>76</v>
      </c>
      <c r="E7489" s="128" t="s">
        <v>132</v>
      </c>
      <c r="F7489" s="128">
        <v>33977992.630000003</v>
      </c>
      <c r="G7489" s="128">
        <v>21782172.530000001</v>
      </c>
      <c r="H7489" s="128">
        <v>12195464.35</v>
      </c>
      <c r="I7489" s="128">
        <v>351081</v>
      </c>
    </row>
    <row r="7490" spans="1:9" ht="13.5">
      <c r="A7490" s="128">
        <v>2012</v>
      </c>
      <c r="B7490" s="128" t="s">
        <v>139</v>
      </c>
      <c r="C7490" s="128" t="s">
        <v>20</v>
      </c>
      <c r="D7490" s="128" t="s">
        <v>76</v>
      </c>
      <c r="E7490" s="128" t="s">
        <v>133</v>
      </c>
      <c r="F7490" s="128">
        <v>75631109.280000001</v>
      </c>
      <c r="G7490" s="128">
        <v>41553973.399999999</v>
      </c>
      <c r="H7490" s="128">
        <v>34076984.520000003</v>
      </c>
      <c r="I7490" s="128">
        <v>397309</v>
      </c>
    </row>
    <row r="7491" spans="1:9" ht="13.5">
      <c r="A7491" s="128">
        <v>2012</v>
      </c>
      <c r="B7491" s="128" t="s">
        <v>139</v>
      </c>
      <c r="C7491" s="128" t="s">
        <v>20</v>
      </c>
      <c r="D7491" s="128" t="s">
        <v>76</v>
      </c>
      <c r="E7491" s="128" t="s">
        <v>134</v>
      </c>
      <c r="F7491" s="128">
        <v>70921259.659999996</v>
      </c>
      <c r="G7491" s="128">
        <v>32359728.289999999</v>
      </c>
      <c r="H7491" s="128">
        <v>38561358.350000001</v>
      </c>
      <c r="I7491" s="128">
        <v>413774</v>
      </c>
    </row>
    <row r="7492" spans="1:9" ht="13.5">
      <c r="A7492" s="128">
        <v>2012</v>
      </c>
      <c r="B7492" s="128" t="s">
        <v>139</v>
      </c>
      <c r="C7492" s="128" t="s">
        <v>20</v>
      </c>
      <c r="D7492" s="128" t="s">
        <v>76</v>
      </c>
      <c r="E7492" s="128" t="s">
        <v>135</v>
      </c>
      <c r="F7492" s="128">
        <v>9642070.9399999995</v>
      </c>
      <c r="G7492" s="128">
        <v>2978238.41</v>
      </c>
      <c r="H7492" s="128">
        <v>6663829.79</v>
      </c>
      <c r="I7492" s="128">
        <v>36432</v>
      </c>
    </row>
    <row r="7493" spans="1:9" ht="13.5">
      <c r="A7493" s="128">
        <v>2012</v>
      </c>
      <c r="B7493" s="128" t="s">
        <v>139</v>
      </c>
      <c r="C7493" s="128" t="s">
        <v>21</v>
      </c>
      <c r="D7493" s="128" t="s">
        <v>79</v>
      </c>
      <c r="E7493" s="128" t="s">
        <v>136</v>
      </c>
      <c r="F7493" s="128">
        <v>11528949.23</v>
      </c>
      <c r="G7493" s="128">
        <v>8664049.0199999996</v>
      </c>
      <c r="H7493" s="128">
        <v>2864667.35</v>
      </c>
      <c r="I7493" s="128">
        <v>102468</v>
      </c>
    </row>
    <row r="7494" spans="1:9" ht="13.5">
      <c r="A7494" s="128">
        <v>2012</v>
      </c>
      <c r="B7494" s="128" t="s">
        <v>139</v>
      </c>
      <c r="C7494" s="128" t="s">
        <v>21</v>
      </c>
      <c r="D7494" s="128" t="s">
        <v>79</v>
      </c>
      <c r="E7494" s="128" t="s">
        <v>132</v>
      </c>
      <c r="F7494" s="128">
        <v>1770704.15</v>
      </c>
      <c r="G7494" s="128">
        <v>1173848.78</v>
      </c>
      <c r="H7494" s="128">
        <v>413474.59</v>
      </c>
      <c r="I7494" s="128">
        <v>10732</v>
      </c>
    </row>
    <row r="7495" spans="1:9" ht="13.5">
      <c r="A7495" s="128">
        <v>2012</v>
      </c>
      <c r="B7495" s="128" t="s">
        <v>139</v>
      </c>
      <c r="C7495" s="128" t="s">
        <v>21</v>
      </c>
      <c r="D7495" s="128" t="s">
        <v>79</v>
      </c>
      <c r="E7495" s="128" t="s">
        <v>133</v>
      </c>
      <c r="F7495" s="128">
        <v>2113624.81</v>
      </c>
      <c r="G7495" s="128">
        <v>1155607.99</v>
      </c>
      <c r="H7495" s="128">
        <v>464455.19</v>
      </c>
      <c r="I7495" s="128">
        <v>19440</v>
      </c>
    </row>
    <row r="7496" spans="1:9" ht="13.5">
      <c r="A7496" s="128">
        <v>2012</v>
      </c>
      <c r="B7496" s="128" t="s">
        <v>139</v>
      </c>
      <c r="C7496" s="128" t="s">
        <v>21</v>
      </c>
      <c r="D7496" s="128" t="s">
        <v>79</v>
      </c>
      <c r="E7496" s="128" t="s">
        <v>134</v>
      </c>
      <c r="F7496" s="128">
        <v>4708967.33</v>
      </c>
      <c r="G7496" s="128">
        <v>2012225.03</v>
      </c>
      <c r="H7496" s="128">
        <v>965060.89</v>
      </c>
      <c r="I7496" s="128">
        <v>22770</v>
      </c>
    </row>
    <row r="7497" spans="1:9" ht="13.5">
      <c r="A7497" s="128">
        <v>2012</v>
      </c>
      <c r="B7497" s="128" t="s">
        <v>139</v>
      </c>
      <c r="C7497" s="128" t="s">
        <v>21</v>
      </c>
      <c r="D7497" s="128" t="s">
        <v>79</v>
      </c>
      <c r="E7497" s="128" t="s">
        <v>135</v>
      </c>
      <c r="F7497" s="128">
        <v>21479768.140000001</v>
      </c>
      <c r="G7497" s="128">
        <v>5587243.1799999997</v>
      </c>
      <c r="H7497" s="128">
        <v>1878413.47</v>
      </c>
      <c r="I7497" s="128">
        <v>45100</v>
      </c>
    </row>
    <row r="7498" spans="1:9" ht="13.5">
      <c r="A7498" s="128">
        <v>2012</v>
      </c>
      <c r="B7498" s="128" t="s">
        <v>139</v>
      </c>
      <c r="C7498" s="128" t="s">
        <v>21</v>
      </c>
      <c r="D7498" s="128" t="s">
        <v>77</v>
      </c>
      <c r="E7498" s="128" t="s">
        <v>132</v>
      </c>
      <c r="F7498" s="128">
        <v>2306944.2799999998</v>
      </c>
      <c r="G7498" s="128">
        <v>1536064.16</v>
      </c>
      <c r="H7498" s="128">
        <v>648487.15</v>
      </c>
      <c r="I7498" s="128">
        <v>12149</v>
      </c>
    </row>
    <row r="7499" spans="1:9" ht="13.5">
      <c r="A7499" s="128">
        <v>2012</v>
      </c>
      <c r="B7499" s="128" t="s">
        <v>139</v>
      </c>
      <c r="C7499" s="128" t="s">
        <v>21</v>
      </c>
      <c r="D7499" s="128" t="s">
        <v>77</v>
      </c>
      <c r="E7499" s="128" t="s">
        <v>133</v>
      </c>
      <c r="F7499" s="128">
        <v>4450020.13</v>
      </c>
      <c r="G7499" s="128">
        <v>2426197.81</v>
      </c>
      <c r="H7499" s="128">
        <v>1643032.69</v>
      </c>
      <c r="I7499" s="128">
        <v>17579</v>
      </c>
    </row>
    <row r="7500" spans="1:9" ht="13.5">
      <c r="A7500" s="128">
        <v>2012</v>
      </c>
      <c r="B7500" s="128" t="s">
        <v>139</v>
      </c>
      <c r="C7500" s="128" t="s">
        <v>21</v>
      </c>
      <c r="D7500" s="128" t="s">
        <v>77</v>
      </c>
      <c r="E7500" s="128" t="s">
        <v>134</v>
      </c>
      <c r="F7500" s="128">
        <v>6821186.9699999997</v>
      </c>
      <c r="G7500" s="128">
        <v>2972603.91</v>
      </c>
      <c r="H7500" s="128">
        <v>2722700.59</v>
      </c>
      <c r="I7500" s="128">
        <v>20095</v>
      </c>
    </row>
    <row r="7501" spans="1:9" ht="13.5">
      <c r="A7501" s="128">
        <v>2012</v>
      </c>
      <c r="B7501" s="128" t="s">
        <v>139</v>
      </c>
      <c r="C7501" s="128" t="s">
        <v>21</v>
      </c>
      <c r="D7501" s="128" t="s">
        <v>77</v>
      </c>
      <c r="E7501" s="128" t="s">
        <v>135</v>
      </c>
      <c r="F7501" s="128">
        <v>8386120.2199999997</v>
      </c>
      <c r="G7501" s="128">
        <v>2366340.7400000002</v>
      </c>
      <c r="H7501" s="128">
        <v>2407366.04</v>
      </c>
      <c r="I7501" s="128">
        <v>22099</v>
      </c>
    </row>
    <row r="7502" spans="1:9" ht="13.5">
      <c r="A7502" s="128">
        <v>2012</v>
      </c>
      <c r="B7502" s="128" t="s">
        <v>139</v>
      </c>
      <c r="C7502" s="128" t="s">
        <v>21</v>
      </c>
      <c r="D7502" s="128" t="s">
        <v>76</v>
      </c>
      <c r="E7502" s="128" t="s">
        <v>136</v>
      </c>
      <c r="F7502" s="128">
        <v>13061207.140000001</v>
      </c>
      <c r="G7502" s="128">
        <v>9832384.0999999996</v>
      </c>
      <c r="H7502" s="128">
        <v>3228964.91</v>
      </c>
      <c r="I7502" s="128">
        <v>257674</v>
      </c>
    </row>
    <row r="7503" spans="1:9" ht="13.5">
      <c r="A7503" s="128">
        <v>2012</v>
      </c>
      <c r="B7503" s="128" t="s">
        <v>139</v>
      </c>
      <c r="C7503" s="128" t="s">
        <v>21</v>
      </c>
      <c r="D7503" s="128" t="s">
        <v>76</v>
      </c>
      <c r="E7503" s="128" t="s">
        <v>132</v>
      </c>
      <c r="F7503" s="128">
        <v>36575494.390000001</v>
      </c>
      <c r="G7503" s="128">
        <v>23447664.210000001</v>
      </c>
      <c r="H7503" s="128">
        <v>13127765.279999999</v>
      </c>
      <c r="I7503" s="128">
        <v>355734</v>
      </c>
    </row>
    <row r="7504" spans="1:9" ht="13.5">
      <c r="A7504" s="128">
        <v>2012</v>
      </c>
      <c r="B7504" s="128" t="s">
        <v>139</v>
      </c>
      <c r="C7504" s="128" t="s">
        <v>21</v>
      </c>
      <c r="D7504" s="128" t="s">
        <v>76</v>
      </c>
      <c r="E7504" s="128" t="s">
        <v>133</v>
      </c>
      <c r="F7504" s="128">
        <v>82372381.909999996</v>
      </c>
      <c r="G7504" s="128">
        <v>45495947.640000001</v>
      </c>
      <c r="H7504" s="128">
        <v>36876363.200000003</v>
      </c>
      <c r="I7504" s="128">
        <v>611403</v>
      </c>
    </row>
    <row r="7505" spans="1:9" ht="13.5">
      <c r="A7505" s="128">
        <v>2012</v>
      </c>
      <c r="B7505" s="128" t="s">
        <v>139</v>
      </c>
      <c r="C7505" s="128" t="s">
        <v>21</v>
      </c>
      <c r="D7505" s="128" t="s">
        <v>76</v>
      </c>
      <c r="E7505" s="128" t="s">
        <v>134</v>
      </c>
      <c r="F7505" s="128">
        <v>79141960</v>
      </c>
      <c r="G7505" s="128">
        <v>35833916.450000003</v>
      </c>
      <c r="H7505" s="128">
        <v>43307887.890000001</v>
      </c>
      <c r="I7505" s="128">
        <v>417300</v>
      </c>
    </row>
    <row r="7506" spans="1:9" ht="13.5">
      <c r="A7506" s="128">
        <v>2012</v>
      </c>
      <c r="B7506" s="128" t="s">
        <v>139</v>
      </c>
      <c r="C7506" s="128" t="s">
        <v>21</v>
      </c>
      <c r="D7506" s="128" t="s">
        <v>76</v>
      </c>
      <c r="E7506" s="128" t="s">
        <v>135</v>
      </c>
      <c r="F7506" s="128">
        <v>4646004.32</v>
      </c>
      <c r="G7506" s="128">
        <v>1301252.73</v>
      </c>
      <c r="H7506" s="128">
        <v>3344751.59</v>
      </c>
      <c r="I7506" s="128">
        <v>10063</v>
      </c>
    </row>
    <row r="7507" spans="1:9" ht="13.5">
      <c r="A7507" s="128">
        <v>2012</v>
      </c>
      <c r="B7507" s="128" t="s">
        <v>139</v>
      </c>
      <c r="C7507" s="128" t="s">
        <v>22</v>
      </c>
      <c r="D7507" s="128" t="s">
        <v>79</v>
      </c>
      <c r="E7507" s="128" t="s">
        <v>136</v>
      </c>
      <c r="F7507" s="128">
        <v>9409439.7599999998</v>
      </c>
      <c r="G7507" s="128">
        <v>7067125.2599999998</v>
      </c>
      <c r="H7507" s="128">
        <v>2335458.2200000002</v>
      </c>
      <c r="I7507" s="128">
        <v>63474</v>
      </c>
    </row>
    <row r="7508" spans="1:9" ht="13.5">
      <c r="A7508" s="128">
        <v>2012</v>
      </c>
      <c r="B7508" s="128" t="s">
        <v>139</v>
      </c>
      <c r="C7508" s="128" t="s">
        <v>22</v>
      </c>
      <c r="D7508" s="128" t="s">
        <v>79</v>
      </c>
      <c r="E7508" s="128" t="s">
        <v>132</v>
      </c>
      <c r="F7508" s="128">
        <v>1728265.35</v>
      </c>
      <c r="G7508" s="128">
        <v>1149279.98</v>
      </c>
      <c r="H7508" s="128">
        <v>410977.65</v>
      </c>
      <c r="I7508" s="128">
        <v>10765</v>
      </c>
    </row>
    <row r="7509" spans="1:9" ht="13.5">
      <c r="A7509" s="128">
        <v>2012</v>
      </c>
      <c r="B7509" s="128" t="s">
        <v>139</v>
      </c>
      <c r="C7509" s="128" t="s">
        <v>22</v>
      </c>
      <c r="D7509" s="128" t="s">
        <v>79</v>
      </c>
      <c r="E7509" s="128" t="s">
        <v>133</v>
      </c>
      <c r="F7509" s="128">
        <v>3013937.73</v>
      </c>
      <c r="G7509" s="128">
        <v>1644875.42</v>
      </c>
      <c r="H7509" s="128">
        <v>664040.81000000006</v>
      </c>
      <c r="I7509" s="128">
        <v>16900</v>
      </c>
    </row>
    <row r="7510" spans="1:9" ht="13.5">
      <c r="A7510" s="128">
        <v>2012</v>
      </c>
      <c r="B7510" s="128" t="s">
        <v>139</v>
      </c>
      <c r="C7510" s="128" t="s">
        <v>22</v>
      </c>
      <c r="D7510" s="128" t="s">
        <v>79</v>
      </c>
      <c r="E7510" s="128" t="s">
        <v>134</v>
      </c>
      <c r="F7510" s="128">
        <v>8686401.7300000004</v>
      </c>
      <c r="G7510" s="128">
        <v>3688231.13</v>
      </c>
      <c r="H7510" s="128">
        <v>1398936.15</v>
      </c>
      <c r="I7510" s="128">
        <v>27828</v>
      </c>
    </row>
    <row r="7511" spans="1:9" ht="13.5">
      <c r="A7511" s="128">
        <v>2012</v>
      </c>
      <c r="B7511" s="128" t="s">
        <v>139</v>
      </c>
      <c r="C7511" s="128" t="s">
        <v>22</v>
      </c>
      <c r="D7511" s="128" t="s">
        <v>79</v>
      </c>
      <c r="E7511" s="128" t="s">
        <v>135</v>
      </c>
      <c r="F7511" s="128">
        <v>44119216.109999999</v>
      </c>
      <c r="G7511" s="128">
        <v>11837723.93</v>
      </c>
      <c r="H7511" s="128">
        <v>3979785.97</v>
      </c>
      <c r="I7511" s="128">
        <v>83245</v>
      </c>
    </row>
    <row r="7512" spans="1:9" ht="13.5">
      <c r="A7512" s="128">
        <v>2012</v>
      </c>
      <c r="B7512" s="128" t="s">
        <v>139</v>
      </c>
      <c r="C7512" s="128" t="s">
        <v>22</v>
      </c>
      <c r="D7512" s="128" t="s">
        <v>77</v>
      </c>
      <c r="E7512" s="128" t="s">
        <v>132</v>
      </c>
      <c r="F7512" s="128">
        <v>859281.52</v>
      </c>
      <c r="G7512" s="128">
        <v>565379.76</v>
      </c>
      <c r="H7512" s="128">
        <v>242349.51</v>
      </c>
      <c r="I7512" s="128">
        <v>4035</v>
      </c>
    </row>
    <row r="7513" spans="1:9" ht="13.5">
      <c r="A7513" s="128">
        <v>2012</v>
      </c>
      <c r="B7513" s="128" t="s">
        <v>139</v>
      </c>
      <c r="C7513" s="128" t="s">
        <v>22</v>
      </c>
      <c r="D7513" s="128" t="s">
        <v>77</v>
      </c>
      <c r="E7513" s="128" t="s">
        <v>133</v>
      </c>
      <c r="F7513" s="128">
        <v>2344254.61</v>
      </c>
      <c r="G7513" s="128">
        <v>1271255.99</v>
      </c>
      <c r="H7513" s="128">
        <v>878194.19</v>
      </c>
      <c r="I7513" s="128">
        <v>8836</v>
      </c>
    </row>
    <row r="7514" spans="1:9" ht="13.5">
      <c r="A7514" s="128">
        <v>2012</v>
      </c>
      <c r="B7514" s="128" t="s">
        <v>139</v>
      </c>
      <c r="C7514" s="128" t="s">
        <v>22</v>
      </c>
      <c r="D7514" s="128" t="s">
        <v>77</v>
      </c>
      <c r="E7514" s="128" t="s">
        <v>134</v>
      </c>
      <c r="F7514" s="128">
        <v>4786386.3099999996</v>
      </c>
      <c r="G7514" s="128">
        <v>2062507.63</v>
      </c>
      <c r="H7514" s="128">
        <v>1959316.69</v>
      </c>
      <c r="I7514" s="128">
        <v>10756</v>
      </c>
    </row>
    <row r="7515" spans="1:9" ht="13.5">
      <c r="A7515" s="128">
        <v>2012</v>
      </c>
      <c r="B7515" s="128" t="s">
        <v>139</v>
      </c>
      <c r="C7515" s="128" t="s">
        <v>22</v>
      </c>
      <c r="D7515" s="128" t="s">
        <v>77</v>
      </c>
      <c r="E7515" s="128" t="s">
        <v>135</v>
      </c>
      <c r="F7515" s="128">
        <v>7597424.2599999998</v>
      </c>
      <c r="G7515" s="128">
        <v>2266252.79</v>
      </c>
      <c r="H7515" s="128">
        <v>2410418.0299999998</v>
      </c>
      <c r="I7515" s="128">
        <v>20001</v>
      </c>
    </row>
    <row r="7516" spans="1:9" ht="13.5">
      <c r="A7516" s="128">
        <v>2012</v>
      </c>
      <c r="B7516" s="128" t="s">
        <v>139</v>
      </c>
      <c r="C7516" s="128" t="s">
        <v>22</v>
      </c>
      <c r="D7516" s="128" t="s">
        <v>76</v>
      </c>
      <c r="E7516" s="128" t="s">
        <v>136</v>
      </c>
      <c r="F7516" s="128">
        <v>6862687.6600000001</v>
      </c>
      <c r="G7516" s="128">
        <v>5164830.0599999996</v>
      </c>
      <c r="H7516" s="128">
        <v>1697857.23</v>
      </c>
      <c r="I7516" s="128">
        <v>96485</v>
      </c>
    </row>
    <row r="7517" spans="1:9" ht="13.5">
      <c r="A7517" s="128">
        <v>2012</v>
      </c>
      <c r="B7517" s="128" t="s">
        <v>139</v>
      </c>
      <c r="C7517" s="128" t="s">
        <v>22</v>
      </c>
      <c r="D7517" s="128" t="s">
        <v>76</v>
      </c>
      <c r="E7517" s="128" t="s">
        <v>132</v>
      </c>
      <c r="F7517" s="128">
        <v>30056068.219999999</v>
      </c>
      <c r="G7517" s="128">
        <v>19271300.77</v>
      </c>
      <c r="H7517" s="128">
        <v>10784617.76</v>
      </c>
      <c r="I7517" s="128">
        <v>305151</v>
      </c>
    </row>
    <row r="7518" spans="1:9" ht="13.5">
      <c r="A7518" s="128">
        <v>2012</v>
      </c>
      <c r="B7518" s="128" t="s">
        <v>139</v>
      </c>
      <c r="C7518" s="128" t="s">
        <v>22</v>
      </c>
      <c r="D7518" s="128" t="s">
        <v>76</v>
      </c>
      <c r="E7518" s="128" t="s">
        <v>133</v>
      </c>
      <c r="F7518" s="128">
        <v>64513639.170000002</v>
      </c>
      <c r="G7518" s="128">
        <v>35820928.789999999</v>
      </c>
      <c r="H7518" s="128">
        <v>28692453.530000001</v>
      </c>
      <c r="I7518" s="128">
        <v>572756</v>
      </c>
    </row>
    <row r="7519" spans="1:9" ht="13.5">
      <c r="A7519" s="128">
        <v>2012</v>
      </c>
      <c r="B7519" s="128" t="s">
        <v>139</v>
      </c>
      <c r="C7519" s="128" t="s">
        <v>22</v>
      </c>
      <c r="D7519" s="128" t="s">
        <v>76</v>
      </c>
      <c r="E7519" s="128" t="s">
        <v>134</v>
      </c>
      <c r="F7519" s="128">
        <v>47943399.549999997</v>
      </c>
      <c r="G7519" s="128">
        <v>22152421.870000001</v>
      </c>
      <c r="H7519" s="128">
        <v>25790917.59</v>
      </c>
      <c r="I7519" s="128">
        <v>282909</v>
      </c>
    </row>
    <row r="7520" spans="1:9" ht="13.5">
      <c r="A7520" s="128">
        <v>2012</v>
      </c>
      <c r="B7520" s="128" t="s">
        <v>139</v>
      </c>
      <c r="C7520" s="128" t="s">
        <v>22</v>
      </c>
      <c r="D7520" s="128" t="s">
        <v>76</v>
      </c>
      <c r="E7520" s="128" t="s">
        <v>135</v>
      </c>
      <c r="F7520" s="128">
        <v>6288185.2400000002</v>
      </c>
      <c r="G7520" s="128">
        <v>1827709.52</v>
      </c>
      <c r="H7520" s="128">
        <v>4460475.82</v>
      </c>
      <c r="I7520" s="128">
        <v>10497</v>
      </c>
    </row>
    <row r="7521" spans="1:9" ht="13.5">
      <c r="A7521" s="128">
        <v>2012</v>
      </c>
      <c r="B7521" s="128" t="s">
        <v>139</v>
      </c>
      <c r="C7521" s="128" t="s">
        <v>23</v>
      </c>
      <c r="D7521" s="128" t="s">
        <v>79</v>
      </c>
      <c r="E7521" s="128" t="s">
        <v>136</v>
      </c>
      <c r="F7521" s="128">
        <v>2772540.61</v>
      </c>
      <c r="G7521" s="128">
        <v>2081733.62</v>
      </c>
      <c r="H7521" s="128">
        <v>690806.98</v>
      </c>
      <c r="I7521" s="128">
        <v>30401</v>
      </c>
    </row>
    <row r="7522" spans="1:9" ht="13.5">
      <c r="A7522" s="128">
        <v>2012</v>
      </c>
      <c r="B7522" s="128" t="s">
        <v>139</v>
      </c>
      <c r="C7522" s="128" t="s">
        <v>23</v>
      </c>
      <c r="D7522" s="128" t="s">
        <v>79</v>
      </c>
      <c r="E7522" s="128" t="s">
        <v>132</v>
      </c>
      <c r="F7522" s="128">
        <v>340262.42</v>
      </c>
      <c r="G7522" s="128">
        <v>221835.22</v>
      </c>
      <c r="H7522" s="128">
        <v>87963.54</v>
      </c>
      <c r="I7522" s="128">
        <v>2412</v>
      </c>
    </row>
    <row r="7523" spans="1:9" ht="13.5">
      <c r="A7523" s="128">
        <v>2012</v>
      </c>
      <c r="B7523" s="128" t="s">
        <v>139</v>
      </c>
      <c r="C7523" s="128" t="s">
        <v>23</v>
      </c>
      <c r="D7523" s="128" t="s">
        <v>79</v>
      </c>
      <c r="E7523" s="128" t="s">
        <v>133</v>
      </c>
      <c r="F7523" s="128">
        <v>793851.27</v>
      </c>
      <c r="G7523" s="128">
        <v>425410.32</v>
      </c>
      <c r="H7523" s="128">
        <v>189560.08</v>
      </c>
      <c r="I7523" s="128">
        <v>4620</v>
      </c>
    </row>
    <row r="7524" spans="1:9" ht="13.5">
      <c r="A7524" s="128">
        <v>2012</v>
      </c>
      <c r="B7524" s="128" t="s">
        <v>139</v>
      </c>
      <c r="C7524" s="128" t="s">
        <v>23</v>
      </c>
      <c r="D7524" s="128" t="s">
        <v>79</v>
      </c>
      <c r="E7524" s="128" t="s">
        <v>134</v>
      </c>
      <c r="F7524" s="128">
        <v>1299954.6100000001</v>
      </c>
      <c r="G7524" s="128">
        <v>570568.95999999996</v>
      </c>
      <c r="H7524" s="128">
        <v>503537.67</v>
      </c>
      <c r="I7524" s="128">
        <v>6321</v>
      </c>
    </row>
    <row r="7525" spans="1:9" ht="13.5">
      <c r="A7525" s="128">
        <v>2012</v>
      </c>
      <c r="B7525" s="128" t="s">
        <v>139</v>
      </c>
      <c r="C7525" s="128" t="s">
        <v>23</v>
      </c>
      <c r="D7525" s="128" t="s">
        <v>79</v>
      </c>
      <c r="E7525" s="128" t="s">
        <v>135</v>
      </c>
      <c r="F7525" s="128">
        <v>2294519.5099999998</v>
      </c>
      <c r="G7525" s="128">
        <v>607992.24</v>
      </c>
      <c r="H7525" s="128">
        <v>218506.35</v>
      </c>
      <c r="I7525" s="128">
        <v>6907</v>
      </c>
    </row>
    <row r="7526" spans="1:9" ht="13.5">
      <c r="A7526" s="128">
        <v>2012</v>
      </c>
      <c r="B7526" s="128" t="s">
        <v>139</v>
      </c>
      <c r="C7526" s="128" t="s">
        <v>23</v>
      </c>
      <c r="D7526" s="128" t="s">
        <v>77</v>
      </c>
      <c r="E7526" s="128" t="s">
        <v>132</v>
      </c>
      <c r="F7526" s="128">
        <v>591610.59</v>
      </c>
      <c r="G7526" s="128">
        <v>397306.9</v>
      </c>
      <c r="H7526" s="128">
        <v>173799.23</v>
      </c>
      <c r="I7526" s="128">
        <v>2842</v>
      </c>
    </row>
    <row r="7527" spans="1:9" ht="13.5">
      <c r="A7527" s="128">
        <v>2012</v>
      </c>
      <c r="B7527" s="128" t="s">
        <v>139</v>
      </c>
      <c r="C7527" s="128" t="s">
        <v>23</v>
      </c>
      <c r="D7527" s="128" t="s">
        <v>77</v>
      </c>
      <c r="E7527" s="128" t="s">
        <v>133</v>
      </c>
      <c r="F7527" s="128">
        <v>822962.07</v>
      </c>
      <c r="G7527" s="128">
        <v>447800.07</v>
      </c>
      <c r="H7527" s="128">
        <v>288651.90999999997</v>
      </c>
      <c r="I7527" s="128">
        <v>3881</v>
      </c>
    </row>
    <row r="7528" spans="1:9" ht="13.5">
      <c r="A7528" s="128">
        <v>2012</v>
      </c>
      <c r="B7528" s="128" t="s">
        <v>139</v>
      </c>
      <c r="C7528" s="128" t="s">
        <v>23</v>
      </c>
      <c r="D7528" s="128" t="s">
        <v>77</v>
      </c>
      <c r="E7528" s="128" t="s">
        <v>134</v>
      </c>
      <c r="F7528" s="128">
        <v>2480516.84</v>
      </c>
      <c r="G7528" s="128">
        <v>1062195.3</v>
      </c>
      <c r="H7528" s="128">
        <v>1080918.72</v>
      </c>
      <c r="I7528" s="128">
        <v>3989</v>
      </c>
    </row>
    <row r="7529" spans="1:9" ht="13.5">
      <c r="A7529" s="128">
        <v>2012</v>
      </c>
      <c r="B7529" s="128" t="s">
        <v>139</v>
      </c>
      <c r="C7529" s="128" t="s">
        <v>23</v>
      </c>
      <c r="D7529" s="128" t="s">
        <v>77</v>
      </c>
      <c r="E7529" s="128" t="s">
        <v>135</v>
      </c>
      <c r="F7529" s="128">
        <v>1359237.47</v>
      </c>
      <c r="G7529" s="128">
        <v>385107.51</v>
      </c>
      <c r="H7529" s="128">
        <v>438639.2</v>
      </c>
      <c r="I7529" s="128">
        <v>3026</v>
      </c>
    </row>
    <row r="7530" spans="1:9" ht="13.5">
      <c r="A7530" s="128">
        <v>2012</v>
      </c>
      <c r="B7530" s="128" t="s">
        <v>139</v>
      </c>
      <c r="C7530" s="128" t="s">
        <v>23</v>
      </c>
      <c r="D7530" s="128" t="s">
        <v>76</v>
      </c>
      <c r="E7530" s="128" t="s">
        <v>136</v>
      </c>
      <c r="F7530" s="128">
        <v>3509444.56</v>
      </c>
      <c r="G7530" s="128">
        <v>2638466.09</v>
      </c>
      <c r="H7530" s="128">
        <v>870993.67</v>
      </c>
      <c r="I7530" s="128">
        <v>38030</v>
      </c>
    </row>
    <row r="7531" spans="1:9" ht="13.5">
      <c r="A7531" s="128">
        <v>2012</v>
      </c>
      <c r="B7531" s="128" t="s">
        <v>139</v>
      </c>
      <c r="C7531" s="128" t="s">
        <v>23</v>
      </c>
      <c r="D7531" s="128" t="s">
        <v>76</v>
      </c>
      <c r="E7531" s="128" t="s">
        <v>132</v>
      </c>
      <c r="F7531" s="128">
        <v>8696041.7699999996</v>
      </c>
      <c r="G7531" s="128">
        <v>5593299.29</v>
      </c>
      <c r="H7531" s="128">
        <v>3102679.82</v>
      </c>
      <c r="I7531" s="128">
        <v>106571</v>
      </c>
    </row>
    <row r="7532" spans="1:9" ht="13.5">
      <c r="A7532" s="128">
        <v>2012</v>
      </c>
      <c r="B7532" s="128" t="s">
        <v>139</v>
      </c>
      <c r="C7532" s="128" t="s">
        <v>23</v>
      </c>
      <c r="D7532" s="128" t="s">
        <v>76</v>
      </c>
      <c r="E7532" s="128" t="s">
        <v>133</v>
      </c>
      <c r="F7532" s="128">
        <v>18882896.600000001</v>
      </c>
      <c r="G7532" s="128">
        <v>10314102.439999999</v>
      </c>
      <c r="H7532" s="128">
        <v>8568782.4299999997</v>
      </c>
      <c r="I7532" s="128">
        <v>147572</v>
      </c>
    </row>
    <row r="7533" spans="1:9" ht="13.5">
      <c r="A7533" s="128">
        <v>2012</v>
      </c>
      <c r="B7533" s="128" t="s">
        <v>139</v>
      </c>
      <c r="C7533" s="128" t="s">
        <v>23</v>
      </c>
      <c r="D7533" s="128" t="s">
        <v>76</v>
      </c>
      <c r="E7533" s="128" t="s">
        <v>134</v>
      </c>
      <c r="F7533" s="128">
        <v>32928411.48</v>
      </c>
      <c r="G7533" s="128">
        <v>14822759.029999999</v>
      </c>
      <c r="H7533" s="128">
        <v>18105602.600000001</v>
      </c>
      <c r="I7533" s="128">
        <v>139142</v>
      </c>
    </row>
    <row r="7534" spans="1:9" ht="13.5">
      <c r="A7534" s="128">
        <v>2012</v>
      </c>
      <c r="B7534" s="128" t="s">
        <v>139</v>
      </c>
      <c r="C7534" s="128" t="s">
        <v>23</v>
      </c>
      <c r="D7534" s="128" t="s">
        <v>76</v>
      </c>
      <c r="E7534" s="128" t="s">
        <v>135</v>
      </c>
      <c r="F7534" s="128">
        <v>1860659.74</v>
      </c>
      <c r="G7534" s="128">
        <v>505458.89</v>
      </c>
      <c r="H7534" s="128">
        <v>1355200.85</v>
      </c>
      <c r="I7534" s="128">
        <v>3055</v>
      </c>
    </row>
    <row r="7535" spans="1:9" ht="13.5">
      <c r="A7535" s="128">
        <v>2012</v>
      </c>
      <c r="B7535" s="128" t="s">
        <v>139</v>
      </c>
      <c r="C7535" s="128" t="s">
        <v>24</v>
      </c>
      <c r="D7535" s="128" t="s">
        <v>79</v>
      </c>
      <c r="E7535" s="128" t="s">
        <v>136</v>
      </c>
      <c r="F7535" s="128">
        <v>2421592.87</v>
      </c>
      <c r="G7535" s="128">
        <v>1819666.02</v>
      </c>
      <c r="H7535" s="128">
        <v>601663.56999999995</v>
      </c>
      <c r="I7535" s="128">
        <v>39868</v>
      </c>
    </row>
    <row r="7536" spans="1:9" ht="13.5">
      <c r="A7536" s="128">
        <v>2012</v>
      </c>
      <c r="B7536" s="128" t="s">
        <v>139</v>
      </c>
      <c r="C7536" s="128" t="s">
        <v>24</v>
      </c>
      <c r="D7536" s="128" t="s">
        <v>79</v>
      </c>
      <c r="E7536" s="128" t="s">
        <v>132</v>
      </c>
      <c r="F7536" s="128">
        <v>341311.17</v>
      </c>
      <c r="G7536" s="128">
        <v>225444.91</v>
      </c>
      <c r="H7536" s="128">
        <v>77029.23</v>
      </c>
      <c r="I7536" s="128">
        <v>2275</v>
      </c>
    </row>
    <row r="7537" spans="1:9" ht="13.5">
      <c r="A7537" s="128">
        <v>2012</v>
      </c>
      <c r="B7537" s="128" t="s">
        <v>139</v>
      </c>
      <c r="C7537" s="128" t="s">
        <v>24</v>
      </c>
      <c r="D7537" s="128" t="s">
        <v>79</v>
      </c>
      <c r="E7537" s="128" t="s">
        <v>133</v>
      </c>
      <c r="F7537" s="128">
        <v>1106018.44</v>
      </c>
      <c r="G7537" s="128">
        <v>604910.91</v>
      </c>
      <c r="H7537" s="128">
        <v>211467.15</v>
      </c>
      <c r="I7537" s="128">
        <v>6989</v>
      </c>
    </row>
    <row r="7538" spans="1:9" ht="13.5">
      <c r="A7538" s="128">
        <v>2012</v>
      </c>
      <c r="B7538" s="128" t="s">
        <v>139</v>
      </c>
      <c r="C7538" s="128" t="s">
        <v>24</v>
      </c>
      <c r="D7538" s="128" t="s">
        <v>79</v>
      </c>
      <c r="E7538" s="128" t="s">
        <v>134</v>
      </c>
      <c r="F7538" s="128">
        <v>2475114.1800000002</v>
      </c>
      <c r="G7538" s="128">
        <v>1069282.79</v>
      </c>
      <c r="H7538" s="128">
        <v>369688.11</v>
      </c>
      <c r="I7538" s="128">
        <v>8351</v>
      </c>
    </row>
    <row r="7539" spans="1:9" ht="13.5">
      <c r="A7539" s="128">
        <v>2012</v>
      </c>
      <c r="B7539" s="128" t="s">
        <v>139</v>
      </c>
      <c r="C7539" s="128" t="s">
        <v>24</v>
      </c>
      <c r="D7539" s="128" t="s">
        <v>79</v>
      </c>
      <c r="E7539" s="128" t="s">
        <v>135</v>
      </c>
      <c r="F7539" s="128">
        <v>7345147.5999999996</v>
      </c>
      <c r="G7539" s="128">
        <v>1897421.72</v>
      </c>
      <c r="H7539" s="128">
        <v>647988.17000000004</v>
      </c>
      <c r="I7539" s="128">
        <v>21287</v>
      </c>
    </row>
    <row r="7540" spans="1:9" ht="13.5">
      <c r="A7540" s="128">
        <v>2012</v>
      </c>
      <c r="B7540" s="128" t="s">
        <v>139</v>
      </c>
      <c r="C7540" s="128" t="s">
        <v>24</v>
      </c>
      <c r="D7540" s="128" t="s">
        <v>77</v>
      </c>
      <c r="E7540" s="128" t="s">
        <v>132</v>
      </c>
      <c r="F7540" s="128">
        <v>1970829.98</v>
      </c>
      <c r="G7540" s="128">
        <v>1350671.97</v>
      </c>
      <c r="H7540" s="128">
        <v>587474.12</v>
      </c>
      <c r="I7540" s="128">
        <v>11938</v>
      </c>
    </row>
    <row r="7541" spans="1:9" ht="13.5">
      <c r="A7541" s="128">
        <v>2012</v>
      </c>
      <c r="B7541" s="128" t="s">
        <v>139</v>
      </c>
      <c r="C7541" s="128" t="s">
        <v>24</v>
      </c>
      <c r="D7541" s="128" t="s">
        <v>77</v>
      </c>
      <c r="E7541" s="128" t="s">
        <v>133</v>
      </c>
      <c r="F7541" s="128">
        <v>3870545.01</v>
      </c>
      <c r="G7541" s="128">
        <v>2091491.65</v>
      </c>
      <c r="H7541" s="128">
        <v>1532452.34</v>
      </c>
      <c r="I7541" s="128">
        <v>38409</v>
      </c>
    </row>
    <row r="7542" spans="1:9" ht="13.5">
      <c r="A7542" s="128">
        <v>2012</v>
      </c>
      <c r="B7542" s="128" t="s">
        <v>139</v>
      </c>
      <c r="C7542" s="128" t="s">
        <v>24</v>
      </c>
      <c r="D7542" s="128" t="s">
        <v>77</v>
      </c>
      <c r="E7542" s="128" t="s">
        <v>134</v>
      </c>
      <c r="F7542" s="128">
        <v>7277116.2000000002</v>
      </c>
      <c r="G7542" s="128">
        <v>3205444.17</v>
      </c>
      <c r="H7542" s="128">
        <v>2415679.02</v>
      </c>
      <c r="I7542" s="128">
        <v>19538</v>
      </c>
    </row>
    <row r="7543" spans="1:9" ht="13.5">
      <c r="A7543" s="128">
        <v>2012</v>
      </c>
      <c r="B7543" s="128" t="s">
        <v>139</v>
      </c>
      <c r="C7543" s="128" t="s">
        <v>24</v>
      </c>
      <c r="D7543" s="128" t="s">
        <v>77</v>
      </c>
      <c r="E7543" s="128" t="s">
        <v>135</v>
      </c>
      <c r="F7543" s="128">
        <v>10667977.67</v>
      </c>
      <c r="G7543" s="128">
        <v>2958118.15</v>
      </c>
      <c r="H7543" s="128">
        <v>1958063.17</v>
      </c>
      <c r="I7543" s="128">
        <v>20614</v>
      </c>
    </row>
    <row r="7544" spans="1:9" ht="13.5">
      <c r="A7544" s="128">
        <v>2012</v>
      </c>
      <c r="B7544" s="128" t="s">
        <v>139</v>
      </c>
      <c r="C7544" s="128" t="s">
        <v>24</v>
      </c>
      <c r="D7544" s="128" t="s">
        <v>76</v>
      </c>
      <c r="E7544" s="128" t="s">
        <v>136</v>
      </c>
      <c r="F7544" s="128">
        <v>1271453.52</v>
      </c>
      <c r="G7544" s="128">
        <v>960842.79</v>
      </c>
      <c r="H7544" s="128">
        <v>310610.71000000002</v>
      </c>
      <c r="I7544" s="128">
        <v>13068</v>
      </c>
    </row>
    <row r="7545" spans="1:9" ht="13.5">
      <c r="A7545" s="128">
        <v>2012</v>
      </c>
      <c r="B7545" s="128" t="s">
        <v>139</v>
      </c>
      <c r="C7545" s="128" t="s">
        <v>24</v>
      </c>
      <c r="D7545" s="128" t="s">
        <v>76</v>
      </c>
      <c r="E7545" s="128" t="s">
        <v>132</v>
      </c>
      <c r="F7545" s="128">
        <v>6902995.4900000002</v>
      </c>
      <c r="G7545" s="128">
        <v>4425863.8499999996</v>
      </c>
      <c r="H7545" s="128">
        <v>2477126.02</v>
      </c>
      <c r="I7545" s="128">
        <v>69149</v>
      </c>
    </row>
    <row r="7546" spans="1:9" ht="13.5">
      <c r="A7546" s="128">
        <v>2012</v>
      </c>
      <c r="B7546" s="128" t="s">
        <v>139</v>
      </c>
      <c r="C7546" s="128" t="s">
        <v>24</v>
      </c>
      <c r="D7546" s="128" t="s">
        <v>76</v>
      </c>
      <c r="E7546" s="128" t="s">
        <v>133</v>
      </c>
      <c r="F7546" s="128">
        <v>29788128.530000001</v>
      </c>
      <c r="G7546" s="128">
        <v>16480488.960000001</v>
      </c>
      <c r="H7546" s="128">
        <v>13307635.529999999</v>
      </c>
      <c r="I7546" s="128">
        <v>218347</v>
      </c>
    </row>
    <row r="7547" spans="1:9" ht="13.5">
      <c r="A7547" s="128">
        <v>2012</v>
      </c>
      <c r="B7547" s="128" t="s">
        <v>139</v>
      </c>
      <c r="C7547" s="128" t="s">
        <v>24</v>
      </c>
      <c r="D7547" s="128" t="s">
        <v>76</v>
      </c>
      <c r="E7547" s="128" t="s">
        <v>134</v>
      </c>
      <c r="F7547" s="128">
        <v>34357105.259999998</v>
      </c>
      <c r="G7547" s="128">
        <v>15189826.77</v>
      </c>
      <c r="H7547" s="128">
        <v>19167269.109999999</v>
      </c>
      <c r="I7547" s="128">
        <v>159809</v>
      </c>
    </row>
    <row r="7548" spans="1:9" ht="13.5">
      <c r="A7548" s="128">
        <v>2012</v>
      </c>
      <c r="B7548" s="128" t="s">
        <v>139</v>
      </c>
      <c r="C7548" s="128" t="s">
        <v>24</v>
      </c>
      <c r="D7548" s="128" t="s">
        <v>76</v>
      </c>
      <c r="E7548" s="128" t="s">
        <v>135</v>
      </c>
      <c r="F7548" s="128">
        <v>3571750.65</v>
      </c>
      <c r="G7548" s="128">
        <v>934746.35</v>
      </c>
      <c r="H7548" s="128">
        <v>2637004.2999999998</v>
      </c>
      <c r="I7548" s="128">
        <v>2484</v>
      </c>
    </row>
    <row r="7549" spans="1:9" ht="13.5">
      <c r="A7549" s="128">
        <v>2012</v>
      </c>
      <c r="B7549" s="128" t="s">
        <v>139</v>
      </c>
      <c r="C7549" s="128" t="s">
        <v>25</v>
      </c>
      <c r="D7549" s="128" t="s">
        <v>79</v>
      </c>
      <c r="E7549" s="128" t="s">
        <v>136</v>
      </c>
      <c r="F7549" s="128">
        <v>1161812.26</v>
      </c>
      <c r="G7549" s="128">
        <v>873124.12</v>
      </c>
      <c r="H7549" s="128">
        <v>288688.69</v>
      </c>
      <c r="I7549" s="128">
        <v>15225</v>
      </c>
    </row>
    <row r="7550" spans="1:9" ht="13.5">
      <c r="A7550" s="128">
        <v>2012</v>
      </c>
      <c r="B7550" s="128" t="s">
        <v>139</v>
      </c>
      <c r="C7550" s="128" t="s">
        <v>25</v>
      </c>
      <c r="D7550" s="128" t="s">
        <v>79</v>
      </c>
      <c r="E7550" s="128" t="s">
        <v>132</v>
      </c>
      <c r="F7550" s="128">
        <v>139664.68</v>
      </c>
      <c r="G7550" s="128">
        <v>94204.53</v>
      </c>
      <c r="H7550" s="128">
        <v>33414.78</v>
      </c>
      <c r="I7550" s="128">
        <v>820</v>
      </c>
    </row>
    <row r="7551" spans="1:9" ht="13.5">
      <c r="A7551" s="128">
        <v>2012</v>
      </c>
      <c r="B7551" s="128" t="s">
        <v>139</v>
      </c>
      <c r="C7551" s="128" t="s">
        <v>25</v>
      </c>
      <c r="D7551" s="128" t="s">
        <v>79</v>
      </c>
      <c r="E7551" s="128" t="s">
        <v>133</v>
      </c>
      <c r="F7551" s="128">
        <v>154067.62</v>
      </c>
      <c r="G7551" s="128">
        <v>83143.94</v>
      </c>
      <c r="H7551" s="128">
        <v>35403.300000000003</v>
      </c>
      <c r="I7551" s="128">
        <v>466</v>
      </c>
    </row>
    <row r="7552" spans="1:9" ht="13.5">
      <c r="A7552" s="128">
        <v>2012</v>
      </c>
      <c r="B7552" s="128" t="s">
        <v>139</v>
      </c>
      <c r="C7552" s="128" t="s">
        <v>25</v>
      </c>
      <c r="D7552" s="128" t="s">
        <v>79</v>
      </c>
      <c r="E7552" s="128" t="s">
        <v>134</v>
      </c>
      <c r="F7552" s="128">
        <v>609371.24</v>
      </c>
      <c r="G7552" s="128">
        <v>265069.94</v>
      </c>
      <c r="H7552" s="128">
        <v>101217.15</v>
      </c>
      <c r="I7552" s="128">
        <v>1566</v>
      </c>
    </row>
    <row r="7553" spans="1:9" ht="13.5">
      <c r="A7553" s="128">
        <v>2012</v>
      </c>
      <c r="B7553" s="128" t="s">
        <v>139</v>
      </c>
      <c r="C7553" s="128" t="s">
        <v>25</v>
      </c>
      <c r="D7553" s="128" t="s">
        <v>79</v>
      </c>
      <c r="E7553" s="128" t="s">
        <v>135</v>
      </c>
      <c r="F7553" s="128">
        <v>2085139.09</v>
      </c>
      <c r="G7553" s="128">
        <v>531031.81000000006</v>
      </c>
      <c r="H7553" s="128">
        <v>178009.81</v>
      </c>
      <c r="I7553" s="128">
        <v>3679</v>
      </c>
    </row>
    <row r="7554" spans="1:9" ht="13.5">
      <c r="A7554" s="128">
        <v>2012</v>
      </c>
      <c r="B7554" s="128" t="s">
        <v>139</v>
      </c>
      <c r="C7554" s="128" t="s">
        <v>25</v>
      </c>
      <c r="D7554" s="128" t="s">
        <v>77</v>
      </c>
      <c r="E7554" s="128" t="s">
        <v>132</v>
      </c>
      <c r="F7554" s="128">
        <v>168142.64</v>
      </c>
      <c r="G7554" s="128">
        <v>110947.28</v>
      </c>
      <c r="H7554" s="128">
        <v>49049.98</v>
      </c>
      <c r="I7554" s="128">
        <v>576</v>
      </c>
    </row>
    <row r="7555" spans="1:9" ht="13.5">
      <c r="A7555" s="128">
        <v>2012</v>
      </c>
      <c r="B7555" s="128" t="s">
        <v>139</v>
      </c>
      <c r="C7555" s="128" t="s">
        <v>25</v>
      </c>
      <c r="D7555" s="128" t="s">
        <v>77</v>
      </c>
      <c r="E7555" s="128" t="s">
        <v>133</v>
      </c>
      <c r="F7555" s="128">
        <v>208394</v>
      </c>
      <c r="G7555" s="128">
        <v>113261.56</v>
      </c>
      <c r="H7555" s="128">
        <v>85469.72</v>
      </c>
      <c r="I7555" s="128">
        <v>926</v>
      </c>
    </row>
    <row r="7556" spans="1:9" ht="13.5">
      <c r="A7556" s="128">
        <v>2012</v>
      </c>
      <c r="B7556" s="128" t="s">
        <v>139</v>
      </c>
      <c r="C7556" s="128" t="s">
        <v>25</v>
      </c>
      <c r="D7556" s="128" t="s">
        <v>77</v>
      </c>
      <c r="E7556" s="128" t="s">
        <v>134</v>
      </c>
      <c r="F7556" s="128">
        <v>798964.87</v>
      </c>
      <c r="G7556" s="128">
        <v>346654.81</v>
      </c>
      <c r="H7556" s="128">
        <v>351375.44</v>
      </c>
      <c r="I7556" s="128">
        <v>1777</v>
      </c>
    </row>
    <row r="7557" spans="1:9" ht="13.5">
      <c r="A7557" s="128">
        <v>2012</v>
      </c>
      <c r="B7557" s="128" t="s">
        <v>139</v>
      </c>
      <c r="C7557" s="128" t="s">
        <v>25</v>
      </c>
      <c r="D7557" s="128" t="s">
        <v>77</v>
      </c>
      <c r="E7557" s="128" t="s">
        <v>135</v>
      </c>
      <c r="F7557" s="128">
        <v>1152507.1399999999</v>
      </c>
      <c r="G7557" s="128">
        <v>337041.54</v>
      </c>
      <c r="H7557" s="128">
        <v>392354.94</v>
      </c>
      <c r="I7557" s="128">
        <v>4378</v>
      </c>
    </row>
    <row r="7558" spans="1:9" ht="13.5">
      <c r="A7558" s="128">
        <v>2012</v>
      </c>
      <c r="B7558" s="128" t="s">
        <v>139</v>
      </c>
      <c r="C7558" s="128" t="s">
        <v>25</v>
      </c>
      <c r="D7558" s="128" t="s">
        <v>76</v>
      </c>
      <c r="E7558" s="128" t="s">
        <v>136</v>
      </c>
      <c r="F7558" s="128">
        <v>1049745.8899999999</v>
      </c>
      <c r="G7558" s="128">
        <v>788701.8</v>
      </c>
      <c r="H7558" s="128">
        <v>261044.09</v>
      </c>
      <c r="I7558" s="128">
        <v>10411</v>
      </c>
    </row>
    <row r="7559" spans="1:9" ht="13.5">
      <c r="A7559" s="128">
        <v>2012</v>
      </c>
      <c r="B7559" s="128" t="s">
        <v>139</v>
      </c>
      <c r="C7559" s="128" t="s">
        <v>25</v>
      </c>
      <c r="D7559" s="128" t="s">
        <v>76</v>
      </c>
      <c r="E7559" s="128" t="s">
        <v>132</v>
      </c>
      <c r="F7559" s="128">
        <v>2758901.97</v>
      </c>
      <c r="G7559" s="128">
        <v>1755135.8</v>
      </c>
      <c r="H7559" s="128">
        <v>1003751.91</v>
      </c>
      <c r="I7559" s="128">
        <v>20648</v>
      </c>
    </row>
    <row r="7560" spans="1:9" ht="13.5">
      <c r="A7560" s="128">
        <v>2012</v>
      </c>
      <c r="B7560" s="128" t="s">
        <v>139</v>
      </c>
      <c r="C7560" s="128" t="s">
        <v>25</v>
      </c>
      <c r="D7560" s="128" t="s">
        <v>76</v>
      </c>
      <c r="E7560" s="128" t="s">
        <v>133</v>
      </c>
      <c r="F7560" s="128">
        <v>6633659.4400000004</v>
      </c>
      <c r="G7560" s="128">
        <v>3628144.91</v>
      </c>
      <c r="H7560" s="128">
        <v>3005509.82</v>
      </c>
      <c r="I7560" s="128">
        <v>39489</v>
      </c>
    </row>
    <row r="7561" spans="1:9" ht="13.5">
      <c r="A7561" s="128">
        <v>2012</v>
      </c>
      <c r="B7561" s="128" t="s">
        <v>139</v>
      </c>
      <c r="C7561" s="128" t="s">
        <v>25</v>
      </c>
      <c r="D7561" s="128" t="s">
        <v>76</v>
      </c>
      <c r="E7561" s="128" t="s">
        <v>134</v>
      </c>
      <c r="F7561" s="128">
        <v>5877009.2300000004</v>
      </c>
      <c r="G7561" s="128">
        <v>2689493.11</v>
      </c>
      <c r="H7561" s="128">
        <v>3187514.79</v>
      </c>
      <c r="I7561" s="128">
        <v>34017</v>
      </c>
    </row>
    <row r="7562" spans="1:9" ht="13.5">
      <c r="A7562" s="128">
        <v>2012</v>
      </c>
      <c r="B7562" s="128" t="s">
        <v>139</v>
      </c>
      <c r="C7562" s="128" t="s">
        <v>25</v>
      </c>
      <c r="D7562" s="128" t="s">
        <v>76</v>
      </c>
      <c r="E7562" s="128" t="s">
        <v>135</v>
      </c>
      <c r="F7562" s="128">
        <v>631795.5</v>
      </c>
      <c r="G7562" s="128">
        <v>178449.65</v>
      </c>
      <c r="H7562" s="128">
        <v>453345.85</v>
      </c>
      <c r="I7562" s="128">
        <v>507</v>
      </c>
    </row>
    <row r="7563" spans="1:9" ht="13.5">
      <c r="A7563" s="128">
        <v>2012</v>
      </c>
      <c r="B7563" s="128" t="s">
        <v>139</v>
      </c>
      <c r="C7563" s="128" t="s">
        <v>26</v>
      </c>
      <c r="D7563" s="128" t="s">
        <v>79</v>
      </c>
      <c r="E7563" s="128" t="s">
        <v>136</v>
      </c>
      <c r="F7563" s="128">
        <v>1078533.58</v>
      </c>
      <c r="G7563" s="128">
        <v>812362.12</v>
      </c>
      <c r="H7563" s="128">
        <v>265446.55</v>
      </c>
      <c r="I7563" s="128">
        <v>10241</v>
      </c>
    </row>
    <row r="7564" spans="1:9" ht="13.5">
      <c r="A7564" s="128">
        <v>2012</v>
      </c>
      <c r="B7564" s="128" t="s">
        <v>139</v>
      </c>
      <c r="C7564" s="128" t="s">
        <v>26</v>
      </c>
      <c r="D7564" s="128" t="s">
        <v>79</v>
      </c>
      <c r="E7564" s="128" t="s">
        <v>132</v>
      </c>
      <c r="F7564" s="128">
        <v>94669.39</v>
      </c>
      <c r="G7564" s="128">
        <v>61271.92</v>
      </c>
      <c r="H7564" s="128">
        <v>20438.75</v>
      </c>
      <c r="I7564" s="128">
        <v>537</v>
      </c>
    </row>
    <row r="7565" spans="1:9" ht="13.5">
      <c r="A7565" s="128">
        <v>2012</v>
      </c>
      <c r="B7565" s="128" t="s">
        <v>139</v>
      </c>
      <c r="C7565" s="128" t="s">
        <v>26</v>
      </c>
      <c r="D7565" s="128" t="s">
        <v>79</v>
      </c>
      <c r="E7565" s="128" t="s">
        <v>133</v>
      </c>
      <c r="F7565" s="128">
        <v>128085.77</v>
      </c>
      <c r="G7565" s="128">
        <v>70159.45</v>
      </c>
      <c r="H7565" s="128">
        <v>23835.32</v>
      </c>
      <c r="I7565" s="128">
        <v>458</v>
      </c>
    </row>
    <row r="7566" spans="1:9" ht="13.5">
      <c r="A7566" s="128">
        <v>2012</v>
      </c>
      <c r="B7566" s="128" t="s">
        <v>139</v>
      </c>
      <c r="C7566" s="128" t="s">
        <v>26</v>
      </c>
      <c r="D7566" s="128" t="s">
        <v>79</v>
      </c>
      <c r="E7566" s="128" t="s">
        <v>134</v>
      </c>
      <c r="F7566" s="128">
        <v>869786.28</v>
      </c>
      <c r="G7566" s="128">
        <v>360833.1</v>
      </c>
      <c r="H7566" s="128">
        <v>122826.94</v>
      </c>
      <c r="I7566" s="128">
        <v>3175</v>
      </c>
    </row>
    <row r="7567" spans="1:9" ht="13.5">
      <c r="A7567" s="128">
        <v>2012</v>
      </c>
      <c r="B7567" s="128" t="s">
        <v>139</v>
      </c>
      <c r="C7567" s="128" t="s">
        <v>26</v>
      </c>
      <c r="D7567" s="128" t="s">
        <v>79</v>
      </c>
      <c r="E7567" s="128" t="s">
        <v>135</v>
      </c>
      <c r="F7567" s="128">
        <v>6557795.1100000003</v>
      </c>
      <c r="G7567" s="128">
        <v>1661190.72</v>
      </c>
      <c r="H7567" s="128">
        <v>560339.01</v>
      </c>
      <c r="I7567" s="128">
        <v>10707</v>
      </c>
    </row>
    <row r="7568" spans="1:9" ht="13.5">
      <c r="A7568" s="128">
        <v>2012</v>
      </c>
      <c r="B7568" s="128" t="s">
        <v>139</v>
      </c>
      <c r="C7568" s="128" t="s">
        <v>26</v>
      </c>
      <c r="D7568" s="128" t="s">
        <v>77</v>
      </c>
      <c r="E7568" s="128" t="s">
        <v>132</v>
      </c>
      <c r="F7568" s="128">
        <v>76414.97</v>
      </c>
      <c r="G7568" s="128">
        <v>47423.7</v>
      </c>
      <c r="H7568" s="128">
        <v>21140.2</v>
      </c>
      <c r="I7568" s="128">
        <v>269</v>
      </c>
    </row>
    <row r="7569" spans="1:9" ht="13.5">
      <c r="A7569" s="128">
        <v>2012</v>
      </c>
      <c r="B7569" s="128" t="s">
        <v>139</v>
      </c>
      <c r="C7569" s="128" t="s">
        <v>26</v>
      </c>
      <c r="D7569" s="128" t="s">
        <v>77</v>
      </c>
      <c r="E7569" s="128" t="s">
        <v>133</v>
      </c>
      <c r="F7569" s="128">
        <v>173377.45</v>
      </c>
      <c r="G7569" s="128">
        <v>95052.33</v>
      </c>
      <c r="H7569" s="128">
        <v>65201.03</v>
      </c>
      <c r="I7569" s="128">
        <v>711</v>
      </c>
    </row>
    <row r="7570" spans="1:9" ht="13.5">
      <c r="A7570" s="128">
        <v>2012</v>
      </c>
      <c r="B7570" s="128" t="s">
        <v>139</v>
      </c>
      <c r="C7570" s="128" t="s">
        <v>26</v>
      </c>
      <c r="D7570" s="128" t="s">
        <v>77</v>
      </c>
      <c r="E7570" s="128" t="s">
        <v>134</v>
      </c>
      <c r="F7570" s="128">
        <v>201966.02</v>
      </c>
      <c r="G7570" s="128">
        <v>85381.89</v>
      </c>
      <c r="H7570" s="128">
        <v>81558.25</v>
      </c>
      <c r="I7570" s="128">
        <v>613</v>
      </c>
    </row>
    <row r="7571" spans="1:9" ht="13.5">
      <c r="A7571" s="128">
        <v>2012</v>
      </c>
      <c r="B7571" s="128" t="s">
        <v>139</v>
      </c>
      <c r="C7571" s="128" t="s">
        <v>26</v>
      </c>
      <c r="D7571" s="128" t="s">
        <v>77</v>
      </c>
      <c r="E7571" s="128" t="s">
        <v>135</v>
      </c>
      <c r="F7571" s="128">
        <v>539156.42000000004</v>
      </c>
      <c r="G7571" s="128">
        <v>145990.20000000001</v>
      </c>
      <c r="H7571" s="128">
        <v>161675.21</v>
      </c>
      <c r="I7571" s="128">
        <v>1843</v>
      </c>
    </row>
    <row r="7572" spans="1:9" ht="13.5">
      <c r="A7572" s="128">
        <v>2012</v>
      </c>
      <c r="B7572" s="128" t="s">
        <v>139</v>
      </c>
      <c r="C7572" s="128" t="s">
        <v>26</v>
      </c>
      <c r="D7572" s="128" t="s">
        <v>76</v>
      </c>
      <c r="E7572" s="128" t="s">
        <v>136</v>
      </c>
      <c r="F7572" s="128">
        <v>392387.93</v>
      </c>
      <c r="G7572" s="128">
        <v>295078.46000000002</v>
      </c>
      <c r="H7572" s="128">
        <v>97309.17</v>
      </c>
      <c r="I7572" s="128">
        <v>13204</v>
      </c>
    </row>
    <row r="7573" spans="1:9" ht="13.5">
      <c r="A7573" s="128">
        <v>2012</v>
      </c>
      <c r="B7573" s="128" t="s">
        <v>139</v>
      </c>
      <c r="C7573" s="128" t="s">
        <v>26</v>
      </c>
      <c r="D7573" s="128" t="s">
        <v>76</v>
      </c>
      <c r="E7573" s="128" t="s">
        <v>132</v>
      </c>
      <c r="F7573" s="128">
        <v>1067933.21</v>
      </c>
      <c r="G7573" s="128">
        <v>688364.03</v>
      </c>
      <c r="H7573" s="128">
        <v>379485.23</v>
      </c>
      <c r="I7573" s="128">
        <v>12480</v>
      </c>
    </row>
    <row r="7574" spans="1:9" ht="13.5">
      <c r="A7574" s="128">
        <v>2012</v>
      </c>
      <c r="B7574" s="128" t="s">
        <v>139</v>
      </c>
      <c r="C7574" s="128" t="s">
        <v>26</v>
      </c>
      <c r="D7574" s="128" t="s">
        <v>76</v>
      </c>
      <c r="E7574" s="128" t="s">
        <v>133</v>
      </c>
      <c r="F7574" s="128">
        <v>2397743.2999999998</v>
      </c>
      <c r="G7574" s="128">
        <v>1321734.04</v>
      </c>
      <c r="H7574" s="128">
        <v>1076003.42</v>
      </c>
      <c r="I7574" s="128">
        <v>13852</v>
      </c>
    </row>
    <row r="7575" spans="1:9" ht="13.5">
      <c r="A7575" s="128">
        <v>2012</v>
      </c>
      <c r="B7575" s="128" t="s">
        <v>139</v>
      </c>
      <c r="C7575" s="128" t="s">
        <v>26</v>
      </c>
      <c r="D7575" s="128" t="s">
        <v>76</v>
      </c>
      <c r="E7575" s="128" t="s">
        <v>134</v>
      </c>
      <c r="F7575" s="128">
        <v>1794847.46</v>
      </c>
      <c r="G7575" s="128">
        <v>820240.26</v>
      </c>
      <c r="H7575" s="128">
        <v>974601.38</v>
      </c>
      <c r="I7575" s="128">
        <v>11581</v>
      </c>
    </row>
    <row r="7576" spans="1:9" ht="13.5">
      <c r="A7576" s="128">
        <v>2012</v>
      </c>
      <c r="B7576" s="128" t="s">
        <v>139</v>
      </c>
      <c r="C7576" s="128" t="s">
        <v>26</v>
      </c>
      <c r="D7576" s="128" t="s">
        <v>76</v>
      </c>
      <c r="E7576" s="128" t="s">
        <v>135</v>
      </c>
      <c r="F7576" s="128">
        <v>340333.39</v>
      </c>
      <c r="G7576" s="128">
        <v>105901.49</v>
      </c>
      <c r="H7576" s="128">
        <v>234429.96</v>
      </c>
      <c r="I7576" s="128">
        <v>806</v>
      </c>
    </row>
    <row r="7577" spans="1:9" ht="13.5">
      <c r="A7577" s="128">
        <v>2012</v>
      </c>
      <c r="B7577" s="128" t="s">
        <v>139</v>
      </c>
      <c r="C7577" s="128" t="s">
        <v>27</v>
      </c>
      <c r="D7577" s="128" t="s">
        <v>79</v>
      </c>
      <c r="E7577" s="128" t="s">
        <v>136</v>
      </c>
      <c r="F7577" s="128">
        <v>355542.43</v>
      </c>
      <c r="G7577" s="128">
        <v>266777.09000000003</v>
      </c>
      <c r="H7577" s="128">
        <v>88765.34</v>
      </c>
      <c r="I7577" s="128">
        <v>2018</v>
      </c>
    </row>
    <row r="7578" spans="1:9" ht="13.5">
      <c r="A7578" s="128">
        <v>2012</v>
      </c>
      <c r="B7578" s="128" t="s">
        <v>139</v>
      </c>
      <c r="C7578" s="128" t="s">
        <v>27</v>
      </c>
      <c r="D7578" s="128" t="s">
        <v>79</v>
      </c>
      <c r="E7578" s="128" t="s">
        <v>132</v>
      </c>
      <c r="F7578" s="128">
        <v>28733.15</v>
      </c>
      <c r="G7578" s="128">
        <v>19048.599999999999</v>
      </c>
      <c r="H7578" s="128">
        <v>6535.2</v>
      </c>
      <c r="I7578" s="128">
        <v>159</v>
      </c>
    </row>
    <row r="7579" spans="1:9" ht="13.5">
      <c r="A7579" s="128">
        <v>2012</v>
      </c>
      <c r="B7579" s="128" t="s">
        <v>139</v>
      </c>
      <c r="C7579" s="128" t="s">
        <v>27</v>
      </c>
      <c r="D7579" s="128" t="s">
        <v>79</v>
      </c>
      <c r="E7579" s="128" t="s">
        <v>133</v>
      </c>
      <c r="F7579" s="128">
        <v>72942.02</v>
      </c>
      <c r="G7579" s="128">
        <v>39110.410000000003</v>
      </c>
      <c r="H7579" s="128">
        <v>13291.15</v>
      </c>
      <c r="I7579" s="128">
        <v>221</v>
      </c>
    </row>
    <row r="7580" spans="1:9" ht="13.5">
      <c r="A7580" s="128">
        <v>2012</v>
      </c>
      <c r="B7580" s="128" t="s">
        <v>139</v>
      </c>
      <c r="C7580" s="128" t="s">
        <v>27</v>
      </c>
      <c r="D7580" s="128" t="s">
        <v>79</v>
      </c>
      <c r="E7580" s="128" t="s">
        <v>134</v>
      </c>
      <c r="F7580" s="128">
        <v>148383.97</v>
      </c>
      <c r="G7580" s="128">
        <v>63202.69</v>
      </c>
      <c r="H7580" s="128">
        <v>22701.9</v>
      </c>
      <c r="I7580" s="128">
        <v>553</v>
      </c>
    </row>
    <row r="7581" spans="1:9" ht="13.5">
      <c r="A7581" s="128">
        <v>2012</v>
      </c>
      <c r="B7581" s="128" t="s">
        <v>139</v>
      </c>
      <c r="C7581" s="128" t="s">
        <v>27</v>
      </c>
      <c r="D7581" s="128" t="s">
        <v>79</v>
      </c>
      <c r="E7581" s="128" t="s">
        <v>135</v>
      </c>
      <c r="F7581" s="128">
        <v>1258282.74</v>
      </c>
      <c r="G7581" s="128">
        <v>331785.39</v>
      </c>
      <c r="H7581" s="128">
        <v>110577.74</v>
      </c>
      <c r="I7581" s="128">
        <v>2046</v>
      </c>
    </row>
    <row r="7582" spans="1:9" ht="13.5">
      <c r="A7582" s="128">
        <v>2012</v>
      </c>
      <c r="B7582" s="128" t="s">
        <v>139</v>
      </c>
      <c r="C7582" s="128" t="s">
        <v>27</v>
      </c>
      <c r="D7582" s="128" t="s">
        <v>77</v>
      </c>
      <c r="E7582" s="128" t="s">
        <v>132</v>
      </c>
      <c r="F7582" s="128">
        <v>13018.95</v>
      </c>
      <c r="G7582" s="128">
        <v>8813.65</v>
      </c>
      <c r="H7582" s="128">
        <v>3680.53</v>
      </c>
      <c r="I7582" s="128">
        <v>92</v>
      </c>
    </row>
    <row r="7583" spans="1:9" ht="13.5">
      <c r="A7583" s="128">
        <v>2012</v>
      </c>
      <c r="B7583" s="128" t="s">
        <v>139</v>
      </c>
      <c r="C7583" s="128" t="s">
        <v>27</v>
      </c>
      <c r="D7583" s="128" t="s">
        <v>77</v>
      </c>
      <c r="E7583" s="128" t="s">
        <v>133</v>
      </c>
      <c r="F7583" s="128">
        <v>44506.58</v>
      </c>
      <c r="G7583" s="128">
        <v>23885.93</v>
      </c>
      <c r="H7583" s="128">
        <v>16216.76</v>
      </c>
      <c r="I7583" s="128">
        <v>197</v>
      </c>
    </row>
    <row r="7584" spans="1:9" ht="13.5">
      <c r="A7584" s="128">
        <v>2012</v>
      </c>
      <c r="B7584" s="128" t="s">
        <v>139</v>
      </c>
      <c r="C7584" s="128" t="s">
        <v>27</v>
      </c>
      <c r="D7584" s="128" t="s">
        <v>77</v>
      </c>
      <c r="E7584" s="128" t="s">
        <v>134</v>
      </c>
      <c r="F7584" s="128">
        <v>127993.44</v>
      </c>
      <c r="G7584" s="128">
        <v>56722.2</v>
      </c>
      <c r="H7584" s="128">
        <v>54203.03</v>
      </c>
      <c r="I7584" s="128">
        <v>268</v>
      </c>
    </row>
    <row r="7585" spans="1:9" ht="13.5">
      <c r="A7585" s="128">
        <v>2012</v>
      </c>
      <c r="B7585" s="128" t="s">
        <v>139</v>
      </c>
      <c r="C7585" s="128" t="s">
        <v>27</v>
      </c>
      <c r="D7585" s="128" t="s">
        <v>77</v>
      </c>
      <c r="E7585" s="128" t="s">
        <v>135</v>
      </c>
      <c r="F7585" s="128">
        <v>293953.24</v>
      </c>
      <c r="G7585" s="128">
        <v>77993.600000000006</v>
      </c>
      <c r="H7585" s="128">
        <v>87806.75</v>
      </c>
      <c r="I7585" s="128">
        <v>952</v>
      </c>
    </row>
    <row r="7586" spans="1:9" ht="13.5">
      <c r="A7586" s="128">
        <v>2012</v>
      </c>
      <c r="B7586" s="128" t="s">
        <v>139</v>
      </c>
      <c r="C7586" s="128" t="s">
        <v>27</v>
      </c>
      <c r="D7586" s="128" t="s">
        <v>76</v>
      </c>
      <c r="E7586" s="128" t="s">
        <v>136</v>
      </c>
      <c r="F7586" s="128">
        <v>145500.26</v>
      </c>
      <c r="G7586" s="128">
        <v>109644.12</v>
      </c>
      <c r="H7586" s="128">
        <v>36007.74</v>
      </c>
      <c r="I7586" s="128">
        <v>1500</v>
      </c>
    </row>
    <row r="7587" spans="1:9" ht="13.5">
      <c r="A7587" s="128">
        <v>2012</v>
      </c>
      <c r="B7587" s="128" t="s">
        <v>139</v>
      </c>
      <c r="C7587" s="128" t="s">
        <v>27</v>
      </c>
      <c r="D7587" s="128" t="s">
        <v>76</v>
      </c>
      <c r="E7587" s="128" t="s">
        <v>132</v>
      </c>
      <c r="F7587" s="128">
        <v>394166.45</v>
      </c>
      <c r="G7587" s="128">
        <v>250860.48</v>
      </c>
      <c r="H7587" s="128">
        <v>143305.76</v>
      </c>
      <c r="I7587" s="128">
        <v>5239</v>
      </c>
    </row>
    <row r="7588" spans="1:9" ht="13.5">
      <c r="A7588" s="128">
        <v>2012</v>
      </c>
      <c r="B7588" s="128" t="s">
        <v>139</v>
      </c>
      <c r="C7588" s="128" t="s">
        <v>27</v>
      </c>
      <c r="D7588" s="128" t="s">
        <v>76</v>
      </c>
      <c r="E7588" s="128" t="s">
        <v>133</v>
      </c>
      <c r="F7588" s="128">
        <v>952557.1</v>
      </c>
      <c r="G7588" s="128">
        <v>520761.29</v>
      </c>
      <c r="H7588" s="128">
        <v>431793.6</v>
      </c>
      <c r="I7588" s="128">
        <v>4913</v>
      </c>
    </row>
    <row r="7589" spans="1:9" ht="13.5">
      <c r="A7589" s="128">
        <v>2012</v>
      </c>
      <c r="B7589" s="128" t="s">
        <v>139</v>
      </c>
      <c r="C7589" s="128" t="s">
        <v>27</v>
      </c>
      <c r="D7589" s="128" t="s">
        <v>76</v>
      </c>
      <c r="E7589" s="128" t="s">
        <v>134</v>
      </c>
      <c r="F7589" s="128">
        <v>1333074.06</v>
      </c>
      <c r="G7589" s="128">
        <v>611391.9</v>
      </c>
      <c r="H7589" s="128">
        <v>721682.51</v>
      </c>
      <c r="I7589" s="128">
        <v>6448</v>
      </c>
    </row>
    <row r="7590" spans="1:9" ht="13.5">
      <c r="A7590" s="128">
        <v>2012</v>
      </c>
      <c r="B7590" s="128" t="s">
        <v>139</v>
      </c>
      <c r="C7590" s="128" t="s">
        <v>27</v>
      </c>
      <c r="D7590" s="128" t="s">
        <v>76</v>
      </c>
      <c r="E7590" s="128" t="s">
        <v>135</v>
      </c>
      <c r="F7590" s="128">
        <v>35916.35</v>
      </c>
      <c r="G7590" s="128">
        <v>11276.7</v>
      </c>
      <c r="H7590" s="128">
        <v>24639.35</v>
      </c>
      <c r="I7590" s="128">
        <v>78</v>
      </c>
    </row>
    <row r="7591" spans="1:9" ht="13.5">
      <c r="A7591" s="128">
        <v>2012</v>
      </c>
      <c r="B7591" s="128" t="s">
        <v>137</v>
      </c>
      <c r="C7591" s="128" t="s">
        <v>20</v>
      </c>
      <c r="D7591" s="128" t="s">
        <v>79</v>
      </c>
      <c r="E7591" s="128" t="s">
        <v>136</v>
      </c>
      <c r="F7591" s="128">
        <v>36063679.57</v>
      </c>
      <c r="G7591" s="128">
        <v>27076407.379999999</v>
      </c>
      <c r="H7591" s="128">
        <v>8973096.6199999992</v>
      </c>
      <c r="I7591" s="128">
        <v>591440</v>
      </c>
    </row>
    <row r="7592" spans="1:9" ht="13.5">
      <c r="A7592" s="128">
        <v>2012</v>
      </c>
      <c r="B7592" s="128" t="s">
        <v>137</v>
      </c>
      <c r="C7592" s="128" t="s">
        <v>20</v>
      </c>
      <c r="D7592" s="128" t="s">
        <v>79</v>
      </c>
      <c r="E7592" s="128" t="s">
        <v>132</v>
      </c>
      <c r="F7592" s="128">
        <v>2322476.19</v>
      </c>
      <c r="G7592" s="128">
        <v>1544014.93</v>
      </c>
      <c r="H7592" s="128">
        <v>543283.26</v>
      </c>
      <c r="I7592" s="128">
        <v>12631</v>
      </c>
    </row>
    <row r="7593" spans="1:9" ht="13.5">
      <c r="A7593" s="128">
        <v>2012</v>
      </c>
      <c r="B7593" s="128" t="s">
        <v>137</v>
      </c>
      <c r="C7593" s="128" t="s">
        <v>20</v>
      </c>
      <c r="D7593" s="128" t="s">
        <v>79</v>
      </c>
      <c r="E7593" s="128" t="s">
        <v>133</v>
      </c>
      <c r="F7593" s="128">
        <v>3194673.71</v>
      </c>
      <c r="G7593" s="128">
        <v>1723837.81</v>
      </c>
      <c r="H7593" s="128">
        <v>664569.57999999996</v>
      </c>
      <c r="I7593" s="128">
        <v>13205</v>
      </c>
    </row>
    <row r="7594" spans="1:9" ht="13.5">
      <c r="A7594" s="128">
        <v>2012</v>
      </c>
      <c r="B7594" s="128" t="s">
        <v>137</v>
      </c>
      <c r="C7594" s="128" t="s">
        <v>20</v>
      </c>
      <c r="D7594" s="128" t="s">
        <v>79</v>
      </c>
      <c r="E7594" s="128" t="s">
        <v>134</v>
      </c>
      <c r="F7594" s="128">
        <v>14749149.99</v>
      </c>
      <c r="G7594" s="128">
        <v>6296086.3200000003</v>
      </c>
      <c r="H7594" s="128">
        <v>2311747.88</v>
      </c>
      <c r="I7594" s="128">
        <v>80472</v>
      </c>
    </row>
    <row r="7595" spans="1:9" ht="13.5">
      <c r="A7595" s="128">
        <v>2012</v>
      </c>
      <c r="B7595" s="128" t="s">
        <v>137</v>
      </c>
      <c r="C7595" s="128" t="s">
        <v>20</v>
      </c>
      <c r="D7595" s="128" t="s">
        <v>79</v>
      </c>
      <c r="E7595" s="128" t="s">
        <v>135</v>
      </c>
      <c r="F7595" s="128">
        <v>94893208.099999994</v>
      </c>
      <c r="G7595" s="128">
        <v>24005585.34</v>
      </c>
      <c r="H7595" s="128">
        <v>8059182.21</v>
      </c>
      <c r="I7595" s="128">
        <v>158577</v>
      </c>
    </row>
    <row r="7596" spans="1:9" ht="13.5">
      <c r="A7596" s="128">
        <v>2012</v>
      </c>
      <c r="B7596" s="128" t="s">
        <v>137</v>
      </c>
      <c r="C7596" s="128" t="s">
        <v>20</v>
      </c>
      <c r="D7596" s="128" t="s">
        <v>77</v>
      </c>
      <c r="E7596" s="128" t="s">
        <v>132</v>
      </c>
      <c r="F7596" s="128">
        <v>1445474.43</v>
      </c>
      <c r="G7596" s="128">
        <v>969266.32</v>
      </c>
      <c r="H7596" s="128">
        <v>408329.62</v>
      </c>
      <c r="I7596" s="128">
        <v>7553</v>
      </c>
    </row>
    <row r="7597" spans="1:9" ht="13.5">
      <c r="A7597" s="128">
        <v>2012</v>
      </c>
      <c r="B7597" s="128" t="s">
        <v>137</v>
      </c>
      <c r="C7597" s="128" t="s">
        <v>20</v>
      </c>
      <c r="D7597" s="128" t="s">
        <v>77</v>
      </c>
      <c r="E7597" s="128" t="s">
        <v>133</v>
      </c>
      <c r="F7597" s="128">
        <v>2231790.14</v>
      </c>
      <c r="G7597" s="128">
        <v>1194352.52</v>
      </c>
      <c r="H7597" s="128">
        <v>818235.56</v>
      </c>
      <c r="I7597" s="128">
        <v>8231</v>
      </c>
    </row>
    <row r="7598" spans="1:9" ht="13.5">
      <c r="A7598" s="128">
        <v>2012</v>
      </c>
      <c r="B7598" s="128" t="s">
        <v>137</v>
      </c>
      <c r="C7598" s="128" t="s">
        <v>20</v>
      </c>
      <c r="D7598" s="128" t="s">
        <v>77</v>
      </c>
      <c r="E7598" s="128" t="s">
        <v>134</v>
      </c>
      <c r="F7598" s="128">
        <v>5019456.3499999996</v>
      </c>
      <c r="G7598" s="128">
        <v>2186756.23</v>
      </c>
      <c r="H7598" s="128">
        <v>2094201.86</v>
      </c>
      <c r="I7598" s="128">
        <v>14412</v>
      </c>
    </row>
    <row r="7599" spans="1:9" ht="13.5">
      <c r="A7599" s="128">
        <v>2012</v>
      </c>
      <c r="B7599" s="128" t="s">
        <v>137</v>
      </c>
      <c r="C7599" s="128" t="s">
        <v>20</v>
      </c>
      <c r="D7599" s="128" t="s">
        <v>77</v>
      </c>
      <c r="E7599" s="128" t="s">
        <v>135</v>
      </c>
      <c r="F7599" s="128">
        <v>6851268.3899999997</v>
      </c>
      <c r="G7599" s="128">
        <v>1892500.55</v>
      </c>
      <c r="H7599" s="128">
        <v>1786283.98</v>
      </c>
      <c r="I7599" s="128">
        <v>17210</v>
      </c>
    </row>
    <row r="7600" spans="1:9" ht="13.5">
      <c r="A7600" s="128">
        <v>2012</v>
      </c>
      <c r="B7600" s="128" t="s">
        <v>137</v>
      </c>
      <c r="C7600" s="128" t="s">
        <v>20</v>
      </c>
      <c r="D7600" s="128" t="s">
        <v>76</v>
      </c>
      <c r="E7600" s="128" t="s">
        <v>136</v>
      </c>
      <c r="F7600" s="128">
        <v>14624611.939999999</v>
      </c>
      <c r="G7600" s="128">
        <v>10992511.949999999</v>
      </c>
      <c r="H7600" s="128">
        <v>3632244.33</v>
      </c>
      <c r="I7600" s="128">
        <v>392244</v>
      </c>
    </row>
    <row r="7601" spans="1:9" ht="13.5">
      <c r="A7601" s="128">
        <v>2012</v>
      </c>
      <c r="B7601" s="128" t="s">
        <v>137</v>
      </c>
      <c r="C7601" s="128" t="s">
        <v>20</v>
      </c>
      <c r="D7601" s="128" t="s">
        <v>76</v>
      </c>
      <c r="E7601" s="128" t="s">
        <v>132</v>
      </c>
      <c r="F7601" s="128">
        <v>38573660.18</v>
      </c>
      <c r="G7601" s="128">
        <v>24704064.449999999</v>
      </c>
      <c r="H7601" s="128">
        <v>13869439.640000001</v>
      </c>
      <c r="I7601" s="128">
        <v>402985</v>
      </c>
    </row>
    <row r="7602" spans="1:9" ht="13.5">
      <c r="A7602" s="128">
        <v>2012</v>
      </c>
      <c r="B7602" s="128" t="s">
        <v>137</v>
      </c>
      <c r="C7602" s="128" t="s">
        <v>20</v>
      </c>
      <c r="D7602" s="128" t="s">
        <v>76</v>
      </c>
      <c r="E7602" s="128" t="s">
        <v>133</v>
      </c>
      <c r="F7602" s="128">
        <v>86431153.790000007</v>
      </c>
      <c r="G7602" s="128">
        <v>47508609.68</v>
      </c>
      <c r="H7602" s="128">
        <v>38922359.369999997</v>
      </c>
      <c r="I7602" s="128">
        <v>481652</v>
      </c>
    </row>
    <row r="7603" spans="1:9" ht="13.5">
      <c r="A7603" s="128">
        <v>2012</v>
      </c>
      <c r="B7603" s="128" t="s">
        <v>137</v>
      </c>
      <c r="C7603" s="128" t="s">
        <v>20</v>
      </c>
      <c r="D7603" s="128" t="s">
        <v>76</v>
      </c>
      <c r="E7603" s="128" t="s">
        <v>134</v>
      </c>
      <c r="F7603" s="128">
        <v>82459864.109999999</v>
      </c>
      <c r="G7603" s="128">
        <v>37684021.670000002</v>
      </c>
      <c r="H7603" s="128">
        <v>44775566.920000002</v>
      </c>
      <c r="I7603" s="128">
        <v>479632</v>
      </c>
    </row>
    <row r="7604" spans="1:9" ht="13.5">
      <c r="A7604" s="128">
        <v>2012</v>
      </c>
      <c r="B7604" s="128" t="s">
        <v>137</v>
      </c>
      <c r="C7604" s="128" t="s">
        <v>20</v>
      </c>
      <c r="D7604" s="128" t="s">
        <v>76</v>
      </c>
      <c r="E7604" s="128" t="s">
        <v>135</v>
      </c>
      <c r="F7604" s="128">
        <v>10627122.119999999</v>
      </c>
      <c r="G7604" s="128">
        <v>3280381.36</v>
      </c>
      <c r="H7604" s="128">
        <v>7346734.8700000001</v>
      </c>
      <c r="I7604" s="128">
        <v>41720</v>
      </c>
    </row>
    <row r="7605" spans="1:9" ht="13.5">
      <c r="A7605" s="128">
        <v>2012</v>
      </c>
      <c r="B7605" s="128" t="s">
        <v>137</v>
      </c>
      <c r="C7605" s="128" t="s">
        <v>21</v>
      </c>
      <c r="D7605" s="128" t="s">
        <v>79</v>
      </c>
      <c r="E7605" s="128" t="s">
        <v>136</v>
      </c>
      <c r="F7605" s="128">
        <v>9784206.6699999999</v>
      </c>
      <c r="G7605" s="128">
        <v>7374181.9199999999</v>
      </c>
      <c r="H7605" s="128">
        <v>2407728.9700000002</v>
      </c>
      <c r="I7605" s="128">
        <v>88072</v>
      </c>
    </row>
    <row r="7606" spans="1:9" ht="13.5">
      <c r="A7606" s="128">
        <v>2012</v>
      </c>
      <c r="B7606" s="128" t="s">
        <v>137</v>
      </c>
      <c r="C7606" s="128" t="s">
        <v>21</v>
      </c>
      <c r="D7606" s="128" t="s">
        <v>79</v>
      </c>
      <c r="E7606" s="128" t="s">
        <v>132</v>
      </c>
      <c r="F7606" s="128">
        <v>1851896.26</v>
      </c>
      <c r="G7606" s="128">
        <v>1215045.6499999999</v>
      </c>
      <c r="H7606" s="128">
        <v>436429.8</v>
      </c>
      <c r="I7606" s="128">
        <v>10524</v>
      </c>
    </row>
    <row r="7607" spans="1:9" ht="13.5">
      <c r="A7607" s="128">
        <v>2012</v>
      </c>
      <c r="B7607" s="128" t="s">
        <v>137</v>
      </c>
      <c r="C7607" s="128" t="s">
        <v>21</v>
      </c>
      <c r="D7607" s="128" t="s">
        <v>79</v>
      </c>
      <c r="E7607" s="128" t="s">
        <v>133</v>
      </c>
      <c r="F7607" s="128">
        <v>2194837.75</v>
      </c>
      <c r="G7607" s="128">
        <v>1203161.32</v>
      </c>
      <c r="H7607" s="128">
        <v>544991.56000000006</v>
      </c>
      <c r="I7607" s="128">
        <v>20474</v>
      </c>
    </row>
    <row r="7608" spans="1:9" ht="13.5">
      <c r="A7608" s="128">
        <v>2012</v>
      </c>
      <c r="B7608" s="128" t="s">
        <v>137</v>
      </c>
      <c r="C7608" s="128" t="s">
        <v>21</v>
      </c>
      <c r="D7608" s="128" t="s">
        <v>79</v>
      </c>
      <c r="E7608" s="128" t="s">
        <v>134</v>
      </c>
      <c r="F7608" s="128">
        <v>4571056.72</v>
      </c>
      <c r="G7608" s="128">
        <v>1956553.67</v>
      </c>
      <c r="H7608" s="128">
        <v>995288.27</v>
      </c>
      <c r="I7608" s="128">
        <v>20382</v>
      </c>
    </row>
    <row r="7609" spans="1:9" ht="13.5">
      <c r="A7609" s="128">
        <v>2012</v>
      </c>
      <c r="B7609" s="128" t="s">
        <v>137</v>
      </c>
      <c r="C7609" s="128" t="s">
        <v>21</v>
      </c>
      <c r="D7609" s="128" t="s">
        <v>79</v>
      </c>
      <c r="E7609" s="128" t="s">
        <v>135</v>
      </c>
      <c r="F7609" s="128">
        <v>22297691.940000001</v>
      </c>
      <c r="G7609" s="128">
        <v>5844036.96</v>
      </c>
      <c r="H7609" s="128">
        <v>1977500.28</v>
      </c>
      <c r="I7609" s="128">
        <v>48014</v>
      </c>
    </row>
    <row r="7610" spans="1:9" ht="13.5">
      <c r="A7610" s="128">
        <v>2012</v>
      </c>
      <c r="B7610" s="128" t="s">
        <v>137</v>
      </c>
      <c r="C7610" s="128" t="s">
        <v>21</v>
      </c>
      <c r="D7610" s="128" t="s">
        <v>77</v>
      </c>
      <c r="E7610" s="128" t="s">
        <v>132</v>
      </c>
      <c r="F7610" s="128">
        <v>2622320.61</v>
      </c>
      <c r="G7610" s="128">
        <v>1735536.99</v>
      </c>
      <c r="H7610" s="128">
        <v>754855.84</v>
      </c>
      <c r="I7610" s="128">
        <v>15457</v>
      </c>
    </row>
    <row r="7611" spans="1:9" ht="13.5">
      <c r="A7611" s="128">
        <v>2012</v>
      </c>
      <c r="B7611" s="128" t="s">
        <v>137</v>
      </c>
      <c r="C7611" s="128" t="s">
        <v>21</v>
      </c>
      <c r="D7611" s="128" t="s">
        <v>77</v>
      </c>
      <c r="E7611" s="128" t="s">
        <v>133</v>
      </c>
      <c r="F7611" s="128">
        <v>4562725.18</v>
      </c>
      <c r="G7611" s="128">
        <v>2484983.65</v>
      </c>
      <c r="H7611" s="128">
        <v>1645367.39</v>
      </c>
      <c r="I7611" s="128">
        <v>19316</v>
      </c>
    </row>
    <row r="7612" spans="1:9" ht="13.5">
      <c r="A7612" s="128">
        <v>2012</v>
      </c>
      <c r="B7612" s="128" t="s">
        <v>137</v>
      </c>
      <c r="C7612" s="128" t="s">
        <v>21</v>
      </c>
      <c r="D7612" s="128" t="s">
        <v>77</v>
      </c>
      <c r="E7612" s="128" t="s">
        <v>134</v>
      </c>
      <c r="F7612" s="128">
        <v>7368915.7400000002</v>
      </c>
      <c r="G7612" s="128">
        <v>3197186.95</v>
      </c>
      <c r="H7612" s="128">
        <v>2858773.7</v>
      </c>
      <c r="I7612" s="128">
        <v>21042</v>
      </c>
    </row>
    <row r="7613" spans="1:9" ht="13.5">
      <c r="A7613" s="128">
        <v>2012</v>
      </c>
      <c r="B7613" s="128" t="s">
        <v>137</v>
      </c>
      <c r="C7613" s="128" t="s">
        <v>21</v>
      </c>
      <c r="D7613" s="128" t="s">
        <v>77</v>
      </c>
      <c r="E7613" s="128" t="s">
        <v>135</v>
      </c>
      <c r="F7613" s="128">
        <v>8610783.8100000005</v>
      </c>
      <c r="G7613" s="128">
        <v>2511791.56</v>
      </c>
      <c r="H7613" s="128">
        <v>2442182.81</v>
      </c>
      <c r="I7613" s="128">
        <v>22597</v>
      </c>
    </row>
    <row r="7614" spans="1:9" ht="13.5">
      <c r="A7614" s="128">
        <v>2012</v>
      </c>
      <c r="B7614" s="128" t="s">
        <v>137</v>
      </c>
      <c r="C7614" s="128" t="s">
        <v>21</v>
      </c>
      <c r="D7614" s="128" t="s">
        <v>76</v>
      </c>
      <c r="E7614" s="128" t="s">
        <v>136</v>
      </c>
      <c r="F7614" s="128">
        <v>14373460.810000001</v>
      </c>
      <c r="G7614" s="128">
        <v>10817360.720000001</v>
      </c>
      <c r="H7614" s="128">
        <v>3556322.46</v>
      </c>
      <c r="I7614" s="128">
        <v>285727</v>
      </c>
    </row>
    <row r="7615" spans="1:9" ht="13.5">
      <c r="A7615" s="128">
        <v>2012</v>
      </c>
      <c r="B7615" s="128" t="s">
        <v>137</v>
      </c>
      <c r="C7615" s="128" t="s">
        <v>21</v>
      </c>
      <c r="D7615" s="128" t="s">
        <v>76</v>
      </c>
      <c r="E7615" s="128" t="s">
        <v>132</v>
      </c>
      <c r="F7615" s="128">
        <v>41218393.439999998</v>
      </c>
      <c r="G7615" s="128">
        <v>26353116.379999999</v>
      </c>
      <c r="H7615" s="128">
        <v>14865217.33</v>
      </c>
      <c r="I7615" s="128">
        <v>400913</v>
      </c>
    </row>
    <row r="7616" spans="1:9" ht="13.5">
      <c r="A7616" s="128">
        <v>2012</v>
      </c>
      <c r="B7616" s="128" t="s">
        <v>137</v>
      </c>
      <c r="C7616" s="128" t="s">
        <v>21</v>
      </c>
      <c r="D7616" s="128" t="s">
        <v>76</v>
      </c>
      <c r="E7616" s="128" t="s">
        <v>133</v>
      </c>
      <c r="F7616" s="128">
        <v>92714798.969999999</v>
      </c>
      <c r="G7616" s="128">
        <v>51208622.600000001</v>
      </c>
      <c r="H7616" s="128">
        <v>41506116.770000003</v>
      </c>
      <c r="I7616" s="128">
        <v>724471</v>
      </c>
    </row>
    <row r="7617" spans="1:9" ht="13.5">
      <c r="A7617" s="128">
        <v>2012</v>
      </c>
      <c r="B7617" s="128" t="s">
        <v>137</v>
      </c>
      <c r="C7617" s="128" t="s">
        <v>21</v>
      </c>
      <c r="D7617" s="128" t="s">
        <v>76</v>
      </c>
      <c r="E7617" s="128" t="s">
        <v>134</v>
      </c>
      <c r="F7617" s="128">
        <v>91096820.390000001</v>
      </c>
      <c r="G7617" s="128">
        <v>41240288.93</v>
      </c>
      <c r="H7617" s="128">
        <v>49856431.18</v>
      </c>
      <c r="I7617" s="128">
        <v>481936</v>
      </c>
    </row>
    <row r="7618" spans="1:9" ht="13.5">
      <c r="A7618" s="128">
        <v>2012</v>
      </c>
      <c r="B7618" s="128" t="s">
        <v>137</v>
      </c>
      <c r="C7618" s="128" t="s">
        <v>21</v>
      </c>
      <c r="D7618" s="128" t="s">
        <v>76</v>
      </c>
      <c r="E7618" s="128" t="s">
        <v>135</v>
      </c>
      <c r="F7618" s="128">
        <v>5093876.28</v>
      </c>
      <c r="G7618" s="128">
        <v>1437852.09</v>
      </c>
      <c r="H7618" s="128">
        <v>3656024.16</v>
      </c>
      <c r="I7618" s="128">
        <v>12109</v>
      </c>
    </row>
    <row r="7619" spans="1:9" ht="13.5">
      <c r="A7619" s="128">
        <v>2012</v>
      </c>
      <c r="B7619" s="128" t="s">
        <v>137</v>
      </c>
      <c r="C7619" s="128" t="s">
        <v>22</v>
      </c>
      <c r="D7619" s="128" t="s">
        <v>79</v>
      </c>
      <c r="E7619" s="128" t="s">
        <v>136</v>
      </c>
      <c r="F7619" s="128">
        <v>8720313.8499999996</v>
      </c>
      <c r="G7619" s="128">
        <v>6545205.8600000003</v>
      </c>
      <c r="H7619" s="128">
        <v>2168747.6800000002</v>
      </c>
      <c r="I7619" s="128">
        <v>72254</v>
      </c>
    </row>
    <row r="7620" spans="1:9" ht="13.5">
      <c r="A7620" s="128">
        <v>2012</v>
      </c>
      <c r="B7620" s="128" t="s">
        <v>137</v>
      </c>
      <c r="C7620" s="128" t="s">
        <v>22</v>
      </c>
      <c r="D7620" s="128" t="s">
        <v>79</v>
      </c>
      <c r="E7620" s="128" t="s">
        <v>132</v>
      </c>
      <c r="F7620" s="128">
        <v>1834475.38</v>
      </c>
      <c r="G7620" s="128">
        <v>1217579.5</v>
      </c>
      <c r="H7620" s="128">
        <v>449727.86</v>
      </c>
      <c r="I7620" s="128">
        <v>11022</v>
      </c>
    </row>
    <row r="7621" spans="1:9" ht="13.5">
      <c r="A7621" s="128">
        <v>2012</v>
      </c>
      <c r="B7621" s="128" t="s">
        <v>137</v>
      </c>
      <c r="C7621" s="128" t="s">
        <v>22</v>
      </c>
      <c r="D7621" s="128" t="s">
        <v>79</v>
      </c>
      <c r="E7621" s="128" t="s">
        <v>133</v>
      </c>
      <c r="F7621" s="128">
        <v>3468261.35</v>
      </c>
      <c r="G7621" s="128">
        <v>1888195.79</v>
      </c>
      <c r="H7621" s="128">
        <v>849578.81</v>
      </c>
      <c r="I7621" s="128">
        <v>24597</v>
      </c>
    </row>
    <row r="7622" spans="1:9" ht="13.5">
      <c r="A7622" s="128">
        <v>2012</v>
      </c>
      <c r="B7622" s="128" t="s">
        <v>137</v>
      </c>
      <c r="C7622" s="128" t="s">
        <v>22</v>
      </c>
      <c r="D7622" s="128" t="s">
        <v>79</v>
      </c>
      <c r="E7622" s="128" t="s">
        <v>134</v>
      </c>
      <c r="F7622" s="128">
        <v>9177171.0800000001</v>
      </c>
      <c r="G7622" s="128">
        <v>3894643.97</v>
      </c>
      <c r="H7622" s="128">
        <v>1479470.24</v>
      </c>
      <c r="I7622" s="128">
        <v>29500</v>
      </c>
    </row>
    <row r="7623" spans="1:9" ht="13.5">
      <c r="A7623" s="128">
        <v>2012</v>
      </c>
      <c r="B7623" s="128" t="s">
        <v>137</v>
      </c>
      <c r="C7623" s="128" t="s">
        <v>22</v>
      </c>
      <c r="D7623" s="128" t="s">
        <v>79</v>
      </c>
      <c r="E7623" s="128" t="s">
        <v>135</v>
      </c>
      <c r="F7623" s="128">
        <v>47159652.909999996</v>
      </c>
      <c r="G7623" s="128">
        <v>12674826.890000001</v>
      </c>
      <c r="H7623" s="128">
        <v>4278927.04</v>
      </c>
      <c r="I7623" s="128">
        <v>89985</v>
      </c>
    </row>
    <row r="7624" spans="1:9" ht="13.5">
      <c r="A7624" s="128">
        <v>2012</v>
      </c>
      <c r="B7624" s="128" t="s">
        <v>137</v>
      </c>
      <c r="C7624" s="128" t="s">
        <v>22</v>
      </c>
      <c r="D7624" s="128" t="s">
        <v>77</v>
      </c>
      <c r="E7624" s="128" t="s">
        <v>132</v>
      </c>
      <c r="F7624" s="128">
        <v>912027.6</v>
      </c>
      <c r="G7624" s="128">
        <v>595633.38</v>
      </c>
      <c r="H7624" s="128">
        <v>257909.41</v>
      </c>
      <c r="I7624" s="128">
        <v>5328</v>
      </c>
    </row>
    <row r="7625" spans="1:9" ht="13.5">
      <c r="A7625" s="128">
        <v>2012</v>
      </c>
      <c r="B7625" s="128" t="s">
        <v>137</v>
      </c>
      <c r="C7625" s="128" t="s">
        <v>22</v>
      </c>
      <c r="D7625" s="128" t="s">
        <v>77</v>
      </c>
      <c r="E7625" s="128" t="s">
        <v>133</v>
      </c>
      <c r="F7625" s="128">
        <v>2144892.14</v>
      </c>
      <c r="G7625" s="128">
        <v>1156127.01</v>
      </c>
      <c r="H7625" s="128">
        <v>771215.1</v>
      </c>
      <c r="I7625" s="128">
        <v>8396</v>
      </c>
    </row>
    <row r="7626" spans="1:9" ht="13.5">
      <c r="A7626" s="128">
        <v>2012</v>
      </c>
      <c r="B7626" s="128" t="s">
        <v>137</v>
      </c>
      <c r="C7626" s="128" t="s">
        <v>22</v>
      </c>
      <c r="D7626" s="128" t="s">
        <v>77</v>
      </c>
      <c r="E7626" s="128" t="s">
        <v>134</v>
      </c>
      <c r="F7626" s="128">
        <v>4932515.91</v>
      </c>
      <c r="G7626" s="128">
        <v>2123768.17</v>
      </c>
      <c r="H7626" s="128">
        <v>1964165.7</v>
      </c>
      <c r="I7626" s="128">
        <v>11051</v>
      </c>
    </row>
    <row r="7627" spans="1:9" ht="13.5">
      <c r="A7627" s="128">
        <v>2012</v>
      </c>
      <c r="B7627" s="128" t="s">
        <v>137</v>
      </c>
      <c r="C7627" s="128" t="s">
        <v>22</v>
      </c>
      <c r="D7627" s="128" t="s">
        <v>77</v>
      </c>
      <c r="E7627" s="128" t="s">
        <v>135</v>
      </c>
      <c r="F7627" s="128">
        <v>7969554.6200000001</v>
      </c>
      <c r="G7627" s="128">
        <v>2331687.19</v>
      </c>
      <c r="H7627" s="128">
        <v>2404032.34</v>
      </c>
      <c r="I7627" s="128">
        <v>19309</v>
      </c>
    </row>
    <row r="7628" spans="1:9" ht="13.5">
      <c r="A7628" s="128">
        <v>2012</v>
      </c>
      <c r="B7628" s="128" t="s">
        <v>137</v>
      </c>
      <c r="C7628" s="128" t="s">
        <v>22</v>
      </c>
      <c r="D7628" s="128" t="s">
        <v>76</v>
      </c>
      <c r="E7628" s="128" t="s">
        <v>136</v>
      </c>
      <c r="F7628" s="128">
        <v>8592950.0099999998</v>
      </c>
      <c r="G7628" s="128">
        <v>6455140.8799999999</v>
      </c>
      <c r="H7628" s="128">
        <v>2137817</v>
      </c>
      <c r="I7628" s="128">
        <v>161536</v>
      </c>
    </row>
    <row r="7629" spans="1:9" ht="13.5">
      <c r="A7629" s="128">
        <v>2012</v>
      </c>
      <c r="B7629" s="128" t="s">
        <v>137</v>
      </c>
      <c r="C7629" s="128" t="s">
        <v>22</v>
      </c>
      <c r="D7629" s="128" t="s">
        <v>76</v>
      </c>
      <c r="E7629" s="128" t="s">
        <v>132</v>
      </c>
      <c r="F7629" s="128">
        <v>32353755.100000001</v>
      </c>
      <c r="G7629" s="128">
        <v>20748203.039999999</v>
      </c>
      <c r="H7629" s="128">
        <v>11605418.41</v>
      </c>
      <c r="I7629" s="128">
        <v>338426</v>
      </c>
    </row>
    <row r="7630" spans="1:9" ht="13.5">
      <c r="A7630" s="128">
        <v>2012</v>
      </c>
      <c r="B7630" s="128" t="s">
        <v>137</v>
      </c>
      <c r="C7630" s="128" t="s">
        <v>22</v>
      </c>
      <c r="D7630" s="128" t="s">
        <v>76</v>
      </c>
      <c r="E7630" s="128" t="s">
        <v>133</v>
      </c>
      <c r="F7630" s="128">
        <v>70001837.859999999</v>
      </c>
      <c r="G7630" s="128">
        <v>38828462.259999998</v>
      </c>
      <c r="H7630" s="128">
        <v>31173144.050000001</v>
      </c>
      <c r="I7630" s="128">
        <v>627939</v>
      </c>
    </row>
    <row r="7631" spans="1:9" ht="13.5">
      <c r="A7631" s="128">
        <v>2012</v>
      </c>
      <c r="B7631" s="128" t="s">
        <v>137</v>
      </c>
      <c r="C7631" s="128" t="s">
        <v>22</v>
      </c>
      <c r="D7631" s="128" t="s">
        <v>76</v>
      </c>
      <c r="E7631" s="128" t="s">
        <v>134</v>
      </c>
      <c r="F7631" s="128">
        <v>53577252.689999998</v>
      </c>
      <c r="G7631" s="128">
        <v>24737711.27</v>
      </c>
      <c r="H7631" s="128">
        <v>28839518.710000001</v>
      </c>
      <c r="I7631" s="128">
        <v>313683</v>
      </c>
    </row>
    <row r="7632" spans="1:9" ht="13.5">
      <c r="A7632" s="128">
        <v>2012</v>
      </c>
      <c r="B7632" s="128" t="s">
        <v>137</v>
      </c>
      <c r="C7632" s="128" t="s">
        <v>22</v>
      </c>
      <c r="D7632" s="128" t="s">
        <v>76</v>
      </c>
      <c r="E7632" s="128" t="s">
        <v>135</v>
      </c>
      <c r="F7632" s="128">
        <v>6321335.6600000001</v>
      </c>
      <c r="G7632" s="128">
        <v>1847542.71</v>
      </c>
      <c r="H7632" s="128">
        <v>4473792.17</v>
      </c>
      <c r="I7632" s="128">
        <v>11676</v>
      </c>
    </row>
    <row r="7633" spans="1:9" ht="13.5">
      <c r="A7633" s="128">
        <v>2012</v>
      </c>
      <c r="B7633" s="128" t="s">
        <v>137</v>
      </c>
      <c r="C7633" s="128" t="s">
        <v>23</v>
      </c>
      <c r="D7633" s="128" t="s">
        <v>79</v>
      </c>
      <c r="E7633" s="128" t="s">
        <v>136</v>
      </c>
      <c r="F7633" s="128">
        <v>1739227.2</v>
      </c>
      <c r="G7633" s="128">
        <v>1305593.01</v>
      </c>
      <c r="H7633" s="128">
        <v>431167.94</v>
      </c>
      <c r="I7633" s="128">
        <v>18016</v>
      </c>
    </row>
    <row r="7634" spans="1:9" ht="13.5">
      <c r="A7634" s="128">
        <v>2012</v>
      </c>
      <c r="B7634" s="128" t="s">
        <v>137</v>
      </c>
      <c r="C7634" s="128" t="s">
        <v>23</v>
      </c>
      <c r="D7634" s="128" t="s">
        <v>79</v>
      </c>
      <c r="E7634" s="128" t="s">
        <v>132</v>
      </c>
      <c r="F7634" s="128">
        <v>299580.27</v>
      </c>
      <c r="G7634" s="128">
        <v>193529.47</v>
      </c>
      <c r="H7634" s="128">
        <v>85445.9</v>
      </c>
      <c r="I7634" s="128">
        <v>2409</v>
      </c>
    </row>
    <row r="7635" spans="1:9" ht="13.5">
      <c r="A7635" s="128">
        <v>2012</v>
      </c>
      <c r="B7635" s="128" t="s">
        <v>137</v>
      </c>
      <c r="C7635" s="128" t="s">
        <v>23</v>
      </c>
      <c r="D7635" s="128" t="s">
        <v>79</v>
      </c>
      <c r="E7635" s="128" t="s">
        <v>133</v>
      </c>
      <c r="F7635" s="128">
        <v>726661.41</v>
      </c>
      <c r="G7635" s="128">
        <v>388498.22</v>
      </c>
      <c r="H7635" s="128">
        <v>187387.51999999999</v>
      </c>
      <c r="I7635" s="128">
        <v>4321</v>
      </c>
    </row>
    <row r="7636" spans="1:9" ht="13.5">
      <c r="A7636" s="128">
        <v>2012</v>
      </c>
      <c r="B7636" s="128" t="s">
        <v>137</v>
      </c>
      <c r="C7636" s="128" t="s">
        <v>23</v>
      </c>
      <c r="D7636" s="128" t="s">
        <v>79</v>
      </c>
      <c r="E7636" s="128" t="s">
        <v>134</v>
      </c>
      <c r="F7636" s="128">
        <v>1345748.98</v>
      </c>
      <c r="G7636" s="128">
        <v>590475.84</v>
      </c>
      <c r="H7636" s="128">
        <v>563535.5</v>
      </c>
      <c r="I7636" s="128">
        <v>6360</v>
      </c>
    </row>
    <row r="7637" spans="1:9" ht="13.5">
      <c r="A7637" s="128">
        <v>2012</v>
      </c>
      <c r="B7637" s="128" t="s">
        <v>137</v>
      </c>
      <c r="C7637" s="128" t="s">
        <v>23</v>
      </c>
      <c r="D7637" s="128" t="s">
        <v>79</v>
      </c>
      <c r="E7637" s="128" t="s">
        <v>135</v>
      </c>
      <c r="F7637" s="128">
        <v>2220232.91</v>
      </c>
      <c r="G7637" s="128">
        <v>589116.35</v>
      </c>
      <c r="H7637" s="128">
        <v>217261.1</v>
      </c>
      <c r="I7637" s="128">
        <v>6591</v>
      </c>
    </row>
    <row r="7638" spans="1:9" ht="13.5">
      <c r="A7638" s="128">
        <v>2012</v>
      </c>
      <c r="B7638" s="128" t="s">
        <v>137</v>
      </c>
      <c r="C7638" s="128" t="s">
        <v>23</v>
      </c>
      <c r="D7638" s="128" t="s">
        <v>77</v>
      </c>
      <c r="E7638" s="128" t="s">
        <v>132</v>
      </c>
      <c r="F7638" s="128">
        <v>511790.42</v>
      </c>
      <c r="G7638" s="128">
        <v>352302.45</v>
      </c>
      <c r="H7638" s="128">
        <v>141596.43</v>
      </c>
      <c r="I7638" s="128">
        <v>2845</v>
      </c>
    </row>
    <row r="7639" spans="1:9" ht="13.5">
      <c r="A7639" s="128">
        <v>2012</v>
      </c>
      <c r="B7639" s="128" t="s">
        <v>137</v>
      </c>
      <c r="C7639" s="128" t="s">
        <v>23</v>
      </c>
      <c r="D7639" s="128" t="s">
        <v>77</v>
      </c>
      <c r="E7639" s="128" t="s">
        <v>133</v>
      </c>
      <c r="F7639" s="128">
        <v>767896.42</v>
      </c>
      <c r="G7639" s="128">
        <v>415005.41</v>
      </c>
      <c r="H7639" s="128">
        <v>265971.88</v>
      </c>
      <c r="I7639" s="128">
        <v>3225</v>
      </c>
    </row>
    <row r="7640" spans="1:9" ht="13.5">
      <c r="A7640" s="128">
        <v>2012</v>
      </c>
      <c r="B7640" s="128" t="s">
        <v>137</v>
      </c>
      <c r="C7640" s="128" t="s">
        <v>23</v>
      </c>
      <c r="D7640" s="128" t="s">
        <v>77</v>
      </c>
      <c r="E7640" s="128" t="s">
        <v>134</v>
      </c>
      <c r="F7640" s="128">
        <v>2343232.98</v>
      </c>
      <c r="G7640" s="128">
        <v>1002343.35</v>
      </c>
      <c r="H7640" s="128">
        <v>974817.15</v>
      </c>
      <c r="I7640" s="128">
        <v>3839</v>
      </c>
    </row>
    <row r="7641" spans="1:9" ht="13.5">
      <c r="A7641" s="128">
        <v>2012</v>
      </c>
      <c r="B7641" s="128" t="s">
        <v>137</v>
      </c>
      <c r="C7641" s="128" t="s">
        <v>23</v>
      </c>
      <c r="D7641" s="128" t="s">
        <v>77</v>
      </c>
      <c r="E7641" s="128" t="s">
        <v>135</v>
      </c>
      <c r="F7641" s="128">
        <v>1345593.37</v>
      </c>
      <c r="G7641" s="128">
        <v>398151.47</v>
      </c>
      <c r="H7641" s="128">
        <v>424600.99</v>
      </c>
      <c r="I7641" s="128">
        <v>3410</v>
      </c>
    </row>
    <row r="7642" spans="1:9" ht="13.5">
      <c r="A7642" s="128">
        <v>2012</v>
      </c>
      <c r="B7642" s="128" t="s">
        <v>137</v>
      </c>
      <c r="C7642" s="128" t="s">
        <v>23</v>
      </c>
      <c r="D7642" s="128" t="s">
        <v>76</v>
      </c>
      <c r="E7642" s="128" t="s">
        <v>136</v>
      </c>
      <c r="F7642" s="128">
        <v>4308415.74</v>
      </c>
      <c r="G7642" s="128">
        <v>3236886.31</v>
      </c>
      <c r="H7642" s="128">
        <v>1071540.74</v>
      </c>
      <c r="I7642" s="128">
        <v>67550</v>
      </c>
    </row>
    <row r="7643" spans="1:9" ht="13.5">
      <c r="A7643" s="128">
        <v>2012</v>
      </c>
      <c r="B7643" s="128" t="s">
        <v>137</v>
      </c>
      <c r="C7643" s="128" t="s">
        <v>23</v>
      </c>
      <c r="D7643" s="128" t="s">
        <v>76</v>
      </c>
      <c r="E7643" s="128" t="s">
        <v>132</v>
      </c>
      <c r="F7643" s="128">
        <v>9871294.4900000002</v>
      </c>
      <c r="G7643" s="128">
        <v>6355131.0300000003</v>
      </c>
      <c r="H7643" s="128">
        <v>3516134.99</v>
      </c>
      <c r="I7643" s="128">
        <v>117552</v>
      </c>
    </row>
    <row r="7644" spans="1:9" ht="13.5">
      <c r="A7644" s="128">
        <v>2012</v>
      </c>
      <c r="B7644" s="128" t="s">
        <v>137</v>
      </c>
      <c r="C7644" s="128" t="s">
        <v>23</v>
      </c>
      <c r="D7644" s="128" t="s">
        <v>76</v>
      </c>
      <c r="E7644" s="128" t="s">
        <v>133</v>
      </c>
      <c r="F7644" s="128">
        <v>21267708.010000002</v>
      </c>
      <c r="G7644" s="128">
        <v>11618169.66</v>
      </c>
      <c r="H7644" s="128">
        <v>9649517.3399999999</v>
      </c>
      <c r="I7644" s="128">
        <v>167639</v>
      </c>
    </row>
    <row r="7645" spans="1:9" ht="13.5">
      <c r="A7645" s="128">
        <v>2012</v>
      </c>
      <c r="B7645" s="128" t="s">
        <v>137</v>
      </c>
      <c r="C7645" s="128" t="s">
        <v>23</v>
      </c>
      <c r="D7645" s="128" t="s">
        <v>76</v>
      </c>
      <c r="E7645" s="128" t="s">
        <v>134</v>
      </c>
      <c r="F7645" s="128">
        <v>38367129.460000001</v>
      </c>
      <c r="G7645" s="128">
        <v>17254268.48</v>
      </c>
      <c r="H7645" s="128">
        <v>21112818.41</v>
      </c>
      <c r="I7645" s="128">
        <v>164621</v>
      </c>
    </row>
    <row r="7646" spans="1:9" ht="13.5">
      <c r="A7646" s="128">
        <v>2012</v>
      </c>
      <c r="B7646" s="128" t="s">
        <v>137</v>
      </c>
      <c r="C7646" s="128" t="s">
        <v>23</v>
      </c>
      <c r="D7646" s="128" t="s">
        <v>76</v>
      </c>
      <c r="E7646" s="128" t="s">
        <v>135</v>
      </c>
      <c r="F7646" s="128">
        <v>2047002.72</v>
      </c>
      <c r="G7646" s="128">
        <v>564415.6</v>
      </c>
      <c r="H7646" s="128">
        <v>1482587.12</v>
      </c>
      <c r="I7646" s="128">
        <v>3610</v>
      </c>
    </row>
    <row r="7647" spans="1:9" ht="13.5">
      <c r="A7647" s="128">
        <v>2012</v>
      </c>
      <c r="B7647" s="128" t="s">
        <v>137</v>
      </c>
      <c r="C7647" s="128" t="s">
        <v>24</v>
      </c>
      <c r="D7647" s="128" t="s">
        <v>79</v>
      </c>
      <c r="E7647" s="128" t="s">
        <v>136</v>
      </c>
      <c r="F7647" s="128">
        <v>2254953.23</v>
      </c>
      <c r="G7647" s="128">
        <v>1694165.54</v>
      </c>
      <c r="H7647" s="128">
        <v>560754.79</v>
      </c>
      <c r="I7647" s="128">
        <v>39122</v>
      </c>
    </row>
    <row r="7648" spans="1:9" ht="13.5">
      <c r="A7648" s="128">
        <v>2012</v>
      </c>
      <c r="B7648" s="128" t="s">
        <v>137</v>
      </c>
      <c r="C7648" s="128" t="s">
        <v>24</v>
      </c>
      <c r="D7648" s="128" t="s">
        <v>79</v>
      </c>
      <c r="E7648" s="128" t="s">
        <v>132</v>
      </c>
      <c r="F7648" s="128">
        <v>377659.23</v>
      </c>
      <c r="G7648" s="128">
        <v>254295.08</v>
      </c>
      <c r="H7648" s="128">
        <v>86182.17</v>
      </c>
      <c r="I7648" s="128">
        <v>2289</v>
      </c>
    </row>
    <row r="7649" spans="1:9" ht="13.5">
      <c r="A7649" s="128">
        <v>2012</v>
      </c>
      <c r="B7649" s="128" t="s">
        <v>137</v>
      </c>
      <c r="C7649" s="128" t="s">
        <v>24</v>
      </c>
      <c r="D7649" s="128" t="s">
        <v>79</v>
      </c>
      <c r="E7649" s="128" t="s">
        <v>133</v>
      </c>
      <c r="F7649" s="128">
        <v>967457.98</v>
      </c>
      <c r="G7649" s="128">
        <v>529763.81000000006</v>
      </c>
      <c r="H7649" s="128">
        <v>189311.12</v>
      </c>
      <c r="I7649" s="128">
        <v>4491</v>
      </c>
    </row>
    <row r="7650" spans="1:9" ht="13.5">
      <c r="A7650" s="128">
        <v>2012</v>
      </c>
      <c r="B7650" s="128" t="s">
        <v>137</v>
      </c>
      <c r="C7650" s="128" t="s">
        <v>24</v>
      </c>
      <c r="D7650" s="128" t="s">
        <v>79</v>
      </c>
      <c r="E7650" s="128" t="s">
        <v>134</v>
      </c>
      <c r="F7650" s="128">
        <v>2569390.63</v>
      </c>
      <c r="G7650" s="128">
        <v>1110473.25</v>
      </c>
      <c r="H7650" s="128">
        <v>385686.54</v>
      </c>
      <c r="I7650" s="128">
        <v>9345</v>
      </c>
    </row>
    <row r="7651" spans="1:9" ht="13.5">
      <c r="A7651" s="128">
        <v>2012</v>
      </c>
      <c r="B7651" s="128" t="s">
        <v>137</v>
      </c>
      <c r="C7651" s="128" t="s">
        <v>24</v>
      </c>
      <c r="D7651" s="128" t="s">
        <v>79</v>
      </c>
      <c r="E7651" s="128" t="s">
        <v>135</v>
      </c>
      <c r="F7651" s="128">
        <v>7648832.3499999996</v>
      </c>
      <c r="G7651" s="128">
        <v>1990904.02</v>
      </c>
      <c r="H7651" s="128">
        <v>680522.44</v>
      </c>
      <c r="I7651" s="128">
        <v>20795</v>
      </c>
    </row>
    <row r="7652" spans="1:9" ht="13.5">
      <c r="A7652" s="128">
        <v>2012</v>
      </c>
      <c r="B7652" s="128" t="s">
        <v>137</v>
      </c>
      <c r="C7652" s="128" t="s">
        <v>24</v>
      </c>
      <c r="D7652" s="128" t="s">
        <v>77</v>
      </c>
      <c r="E7652" s="128" t="s">
        <v>132</v>
      </c>
      <c r="F7652" s="128">
        <v>2222187.7999999998</v>
      </c>
      <c r="G7652" s="128">
        <v>1518271.27</v>
      </c>
      <c r="H7652" s="128">
        <v>674685.82</v>
      </c>
      <c r="I7652" s="128">
        <v>11477</v>
      </c>
    </row>
    <row r="7653" spans="1:9" ht="13.5">
      <c r="A7653" s="128">
        <v>2012</v>
      </c>
      <c r="B7653" s="128" t="s">
        <v>137</v>
      </c>
      <c r="C7653" s="128" t="s">
        <v>24</v>
      </c>
      <c r="D7653" s="128" t="s">
        <v>77</v>
      </c>
      <c r="E7653" s="128" t="s">
        <v>133</v>
      </c>
      <c r="F7653" s="128">
        <v>3905907.74</v>
      </c>
      <c r="G7653" s="128">
        <v>2107020.7000000002</v>
      </c>
      <c r="H7653" s="128">
        <v>1550186.41</v>
      </c>
      <c r="I7653" s="128">
        <v>41290</v>
      </c>
    </row>
    <row r="7654" spans="1:9" ht="13.5">
      <c r="A7654" s="128">
        <v>2012</v>
      </c>
      <c r="B7654" s="128" t="s">
        <v>137</v>
      </c>
      <c r="C7654" s="128" t="s">
        <v>24</v>
      </c>
      <c r="D7654" s="128" t="s">
        <v>77</v>
      </c>
      <c r="E7654" s="128" t="s">
        <v>134</v>
      </c>
      <c r="F7654" s="128">
        <v>7599697.6600000001</v>
      </c>
      <c r="G7654" s="128">
        <v>3340603.2</v>
      </c>
      <c r="H7654" s="128">
        <v>2454020.06</v>
      </c>
      <c r="I7654" s="128">
        <v>18496</v>
      </c>
    </row>
    <row r="7655" spans="1:9" ht="13.5">
      <c r="A7655" s="128">
        <v>2012</v>
      </c>
      <c r="B7655" s="128" t="s">
        <v>137</v>
      </c>
      <c r="C7655" s="128" t="s">
        <v>24</v>
      </c>
      <c r="D7655" s="128" t="s">
        <v>77</v>
      </c>
      <c r="E7655" s="128" t="s">
        <v>135</v>
      </c>
      <c r="F7655" s="128">
        <v>11303510.640000001</v>
      </c>
      <c r="G7655" s="128">
        <v>3111871.84</v>
      </c>
      <c r="H7655" s="128">
        <v>1978353.09</v>
      </c>
      <c r="I7655" s="128">
        <v>23632</v>
      </c>
    </row>
    <row r="7656" spans="1:9" ht="13.5">
      <c r="A7656" s="128">
        <v>2012</v>
      </c>
      <c r="B7656" s="128" t="s">
        <v>137</v>
      </c>
      <c r="C7656" s="128" t="s">
        <v>24</v>
      </c>
      <c r="D7656" s="128" t="s">
        <v>76</v>
      </c>
      <c r="E7656" s="128" t="s">
        <v>136</v>
      </c>
      <c r="F7656" s="128">
        <v>1406793.57</v>
      </c>
      <c r="G7656" s="128">
        <v>1062461.69</v>
      </c>
      <c r="H7656" s="128">
        <v>344357.24</v>
      </c>
      <c r="I7656" s="128">
        <v>15741</v>
      </c>
    </row>
    <row r="7657" spans="1:9" ht="13.5">
      <c r="A7657" s="128">
        <v>2012</v>
      </c>
      <c r="B7657" s="128" t="s">
        <v>137</v>
      </c>
      <c r="C7657" s="128" t="s">
        <v>24</v>
      </c>
      <c r="D7657" s="128" t="s">
        <v>76</v>
      </c>
      <c r="E7657" s="128" t="s">
        <v>132</v>
      </c>
      <c r="F7657" s="128">
        <v>6753443.0499999998</v>
      </c>
      <c r="G7657" s="128">
        <v>4335735.22</v>
      </c>
      <c r="H7657" s="128">
        <v>2417700.2000000002</v>
      </c>
      <c r="I7657" s="128">
        <v>48941</v>
      </c>
    </row>
    <row r="7658" spans="1:9" ht="13.5">
      <c r="A7658" s="128">
        <v>2012</v>
      </c>
      <c r="B7658" s="128" t="s">
        <v>137</v>
      </c>
      <c r="C7658" s="128" t="s">
        <v>24</v>
      </c>
      <c r="D7658" s="128" t="s">
        <v>76</v>
      </c>
      <c r="E7658" s="128" t="s">
        <v>133</v>
      </c>
      <c r="F7658" s="128">
        <v>33800423.619999997</v>
      </c>
      <c r="G7658" s="128">
        <v>18687972.91</v>
      </c>
      <c r="H7658" s="128">
        <v>15112448.220000001</v>
      </c>
      <c r="I7658" s="128">
        <v>235672</v>
      </c>
    </row>
    <row r="7659" spans="1:9" ht="13.5">
      <c r="A7659" s="128">
        <v>2012</v>
      </c>
      <c r="B7659" s="128" t="s">
        <v>137</v>
      </c>
      <c r="C7659" s="128" t="s">
        <v>24</v>
      </c>
      <c r="D7659" s="128" t="s">
        <v>76</v>
      </c>
      <c r="E7659" s="128" t="s">
        <v>134</v>
      </c>
      <c r="F7659" s="128">
        <v>39066095.299999997</v>
      </c>
      <c r="G7659" s="128">
        <v>17225883.530000001</v>
      </c>
      <c r="H7659" s="128">
        <v>21840208.210000001</v>
      </c>
      <c r="I7659" s="128">
        <v>186099</v>
      </c>
    </row>
    <row r="7660" spans="1:9" ht="13.5">
      <c r="A7660" s="128">
        <v>2012</v>
      </c>
      <c r="B7660" s="128" t="s">
        <v>137</v>
      </c>
      <c r="C7660" s="128" t="s">
        <v>24</v>
      </c>
      <c r="D7660" s="128" t="s">
        <v>76</v>
      </c>
      <c r="E7660" s="128" t="s">
        <v>135</v>
      </c>
      <c r="F7660" s="128">
        <v>3425885.47</v>
      </c>
      <c r="G7660" s="128">
        <v>901874.85</v>
      </c>
      <c r="H7660" s="128">
        <v>2524010.62</v>
      </c>
      <c r="I7660" s="128">
        <v>2508</v>
      </c>
    </row>
    <row r="7661" spans="1:9" ht="13.5">
      <c r="A7661" s="128">
        <v>2012</v>
      </c>
      <c r="B7661" s="128" t="s">
        <v>137</v>
      </c>
      <c r="C7661" s="128" t="s">
        <v>25</v>
      </c>
      <c r="D7661" s="128" t="s">
        <v>79</v>
      </c>
      <c r="E7661" s="128" t="s">
        <v>136</v>
      </c>
      <c r="F7661" s="128">
        <v>827359.65</v>
      </c>
      <c r="G7661" s="128">
        <v>621510.38</v>
      </c>
      <c r="H7661" s="128">
        <v>205848.79</v>
      </c>
      <c r="I7661" s="128">
        <v>11951</v>
      </c>
    </row>
    <row r="7662" spans="1:9" ht="13.5">
      <c r="A7662" s="128">
        <v>2012</v>
      </c>
      <c r="B7662" s="128" t="s">
        <v>137</v>
      </c>
      <c r="C7662" s="128" t="s">
        <v>25</v>
      </c>
      <c r="D7662" s="128" t="s">
        <v>79</v>
      </c>
      <c r="E7662" s="128" t="s">
        <v>132</v>
      </c>
      <c r="F7662" s="128">
        <v>91382.88</v>
      </c>
      <c r="G7662" s="128">
        <v>59916.79</v>
      </c>
      <c r="H7662" s="128">
        <v>22376.87</v>
      </c>
      <c r="I7662" s="128">
        <v>625</v>
      </c>
    </row>
    <row r="7663" spans="1:9" ht="13.5">
      <c r="A7663" s="128">
        <v>2012</v>
      </c>
      <c r="B7663" s="128" t="s">
        <v>137</v>
      </c>
      <c r="C7663" s="128" t="s">
        <v>25</v>
      </c>
      <c r="D7663" s="128" t="s">
        <v>79</v>
      </c>
      <c r="E7663" s="128" t="s">
        <v>133</v>
      </c>
      <c r="F7663" s="128">
        <v>125485.54</v>
      </c>
      <c r="G7663" s="128">
        <v>67818.94</v>
      </c>
      <c r="H7663" s="128">
        <v>31570.85</v>
      </c>
      <c r="I7663" s="128">
        <v>442</v>
      </c>
    </row>
    <row r="7664" spans="1:9" ht="13.5">
      <c r="A7664" s="128">
        <v>2012</v>
      </c>
      <c r="B7664" s="128" t="s">
        <v>137</v>
      </c>
      <c r="C7664" s="128" t="s">
        <v>25</v>
      </c>
      <c r="D7664" s="128" t="s">
        <v>79</v>
      </c>
      <c r="E7664" s="128" t="s">
        <v>134</v>
      </c>
      <c r="F7664" s="128">
        <v>586562.91</v>
      </c>
      <c r="G7664" s="128">
        <v>254119.6</v>
      </c>
      <c r="H7664" s="128">
        <v>121711.8</v>
      </c>
      <c r="I7664" s="128">
        <v>1901</v>
      </c>
    </row>
    <row r="7665" spans="1:9" ht="13.5">
      <c r="A7665" s="128">
        <v>2012</v>
      </c>
      <c r="B7665" s="128" t="s">
        <v>137</v>
      </c>
      <c r="C7665" s="128" t="s">
        <v>25</v>
      </c>
      <c r="D7665" s="128" t="s">
        <v>79</v>
      </c>
      <c r="E7665" s="128" t="s">
        <v>135</v>
      </c>
      <c r="F7665" s="128">
        <v>2414896.5699999998</v>
      </c>
      <c r="G7665" s="128">
        <v>596240.66</v>
      </c>
      <c r="H7665" s="128">
        <v>204624.95</v>
      </c>
      <c r="I7665" s="128">
        <v>3956</v>
      </c>
    </row>
    <row r="7666" spans="1:9" ht="13.5">
      <c r="A7666" s="128">
        <v>2012</v>
      </c>
      <c r="B7666" s="128" t="s">
        <v>137</v>
      </c>
      <c r="C7666" s="128" t="s">
        <v>25</v>
      </c>
      <c r="D7666" s="128" t="s">
        <v>77</v>
      </c>
      <c r="E7666" s="128" t="s">
        <v>132</v>
      </c>
      <c r="F7666" s="128">
        <v>212253.52</v>
      </c>
      <c r="G7666" s="128">
        <v>141756.98000000001</v>
      </c>
      <c r="H7666" s="128">
        <v>57592.15</v>
      </c>
      <c r="I7666" s="128">
        <v>906</v>
      </c>
    </row>
    <row r="7667" spans="1:9" ht="13.5">
      <c r="A7667" s="128">
        <v>2012</v>
      </c>
      <c r="B7667" s="128" t="s">
        <v>137</v>
      </c>
      <c r="C7667" s="128" t="s">
        <v>25</v>
      </c>
      <c r="D7667" s="128" t="s">
        <v>77</v>
      </c>
      <c r="E7667" s="128" t="s">
        <v>133</v>
      </c>
      <c r="F7667" s="128">
        <v>202818.64</v>
      </c>
      <c r="G7667" s="128">
        <v>110068.7</v>
      </c>
      <c r="H7667" s="128">
        <v>77499.649999999994</v>
      </c>
      <c r="I7667" s="128">
        <v>927</v>
      </c>
    </row>
    <row r="7668" spans="1:9" ht="13.5">
      <c r="A7668" s="128">
        <v>2012</v>
      </c>
      <c r="B7668" s="128" t="s">
        <v>137</v>
      </c>
      <c r="C7668" s="128" t="s">
        <v>25</v>
      </c>
      <c r="D7668" s="128" t="s">
        <v>77</v>
      </c>
      <c r="E7668" s="128" t="s">
        <v>134</v>
      </c>
      <c r="F7668" s="128">
        <v>802407.94</v>
      </c>
      <c r="G7668" s="128">
        <v>345135.47</v>
      </c>
      <c r="H7668" s="128">
        <v>347375</v>
      </c>
      <c r="I7668" s="128">
        <v>1704</v>
      </c>
    </row>
    <row r="7669" spans="1:9" ht="13.5">
      <c r="A7669" s="128">
        <v>2012</v>
      </c>
      <c r="B7669" s="128" t="s">
        <v>137</v>
      </c>
      <c r="C7669" s="128" t="s">
        <v>25</v>
      </c>
      <c r="D7669" s="128" t="s">
        <v>77</v>
      </c>
      <c r="E7669" s="128" t="s">
        <v>135</v>
      </c>
      <c r="F7669" s="128">
        <v>1187060.1499999999</v>
      </c>
      <c r="G7669" s="128">
        <v>366542.41</v>
      </c>
      <c r="H7669" s="128">
        <v>423149.14</v>
      </c>
      <c r="I7669" s="128">
        <v>4596</v>
      </c>
    </row>
    <row r="7670" spans="1:9" ht="13.5">
      <c r="A7670" s="128">
        <v>2012</v>
      </c>
      <c r="B7670" s="128" t="s">
        <v>137</v>
      </c>
      <c r="C7670" s="128" t="s">
        <v>25</v>
      </c>
      <c r="D7670" s="128" t="s">
        <v>76</v>
      </c>
      <c r="E7670" s="128" t="s">
        <v>136</v>
      </c>
      <c r="F7670" s="128">
        <v>1493081.64</v>
      </c>
      <c r="G7670" s="128">
        <v>1121051.17</v>
      </c>
      <c r="H7670" s="128">
        <v>372030.92</v>
      </c>
      <c r="I7670" s="128">
        <v>20443</v>
      </c>
    </row>
    <row r="7671" spans="1:9" ht="13.5">
      <c r="A7671" s="128">
        <v>2012</v>
      </c>
      <c r="B7671" s="128" t="s">
        <v>137</v>
      </c>
      <c r="C7671" s="128" t="s">
        <v>25</v>
      </c>
      <c r="D7671" s="128" t="s">
        <v>76</v>
      </c>
      <c r="E7671" s="128" t="s">
        <v>132</v>
      </c>
      <c r="F7671" s="128">
        <v>3263112.54</v>
      </c>
      <c r="G7671" s="128">
        <v>2068733.75</v>
      </c>
      <c r="H7671" s="128">
        <v>1194369.3799999999</v>
      </c>
      <c r="I7671" s="128">
        <v>24531</v>
      </c>
    </row>
    <row r="7672" spans="1:9" ht="13.5">
      <c r="A7672" s="128">
        <v>2012</v>
      </c>
      <c r="B7672" s="128" t="s">
        <v>137</v>
      </c>
      <c r="C7672" s="128" t="s">
        <v>25</v>
      </c>
      <c r="D7672" s="128" t="s">
        <v>76</v>
      </c>
      <c r="E7672" s="128" t="s">
        <v>133</v>
      </c>
      <c r="F7672" s="128">
        <v>7748256.79</v>
      </c>
      <c r="G7672" s="128">
        <v>4250316.46</v>
      </c>
      <c r="H7672" s="128">
        <v>3497936.73</v>
      </c>
      <c r="I7672" s="128">
        <v>47233</v>
      </c>
    </row>
    <row r="7673" spans="1:9" ht="13.5">
      <c r="A7673" s="128">
        <v>2012</v>
      </c>
      <c r="B7673" s="128" t="s">
        <v>137</v>
      </c>
      <c r="C7673" s="128" t="s">
        <v>25</v>
      </c>
      <c r="D7673" s="128" t="s">
        <v>76</v>
      </c>
      <c r="E7673" s="128" t="s">
        <v>134</v>
      </c>
      <c r="F7673" s="128">
        <v>6902391.7300000004</v>
      </c>
      <c r="G7673" s="128">
        <v>3152283.23</v>
      </c>
      <c r="H7673" s="128">
        <v>3750107.31</v>
      </c>
      <c r="I7673" s="128">
        <v>38358</v>
      </c>
    </row>
    <row r="7674" spans="1:9" ht="13.5">
      <c r="A7674" s="128">
        <v>2012</v>
      </c>
      <c r="B7674" s="128" t="s">
        <v>137</v>
      </c>
      <c r="C7674" s="128" t="s">
        <v>25</v>
      </c>
      <c r="D7674" s="128" t="s">
        <v>76</v>
      </c>
      <c r="E7674" s="128" t="s">
        <v>135</v>
      </c>
      <c r="F7674" s="128">
        <v>577592.92000000004</v>
      </c>
      <c r="G7674" s="128">
        <v>165214.69</v>
      </c>
      <c r="H7674" s="128">
        <v>412377.83</v>
      </c>
      <c r="I7674" s="128">
        <v>583</v>
      </c>
    </row>
    <row r="7675" spans="1:9" ht="13.5">
      <c r="A7675" s="128">
        <v>2012</v>
      </c>
      <c r="B7675" s="128" t="s">
        <v>137</v>
      </c>
      <c r="C7675" s="128" t="s">
        <v>26</v>
      </c>
      <c r="D7675" s="128" t="s">
        <v>79</v>
      </c>
      <c r="E7675" s="128" t="s">
        <v>136</v>
      </c>
      <c r="F7675" s="128">
        <v>889827.38</v>
      </c>
      <c r="G7675" s="128">
        <v>669750.97</v>
      </c>
      <c r="H7675" s="128">
        <v>219836.97</v>
      </c>
      <c r="I7675" s="128">
        <v>9314</v>
      </c>
    </row>
    <row r="7676" spans="1:9" ht="13.5">
      <c r="A7676" s="128">
        <v>2012</v>
      </c>
      <c r="B7676" s="128" t="s">
        <v>137</v>
      </c>
      <c r="C7676" s="128" t="s">
        <v>26</v>
      </c>
      <c r="D7676" s="128" t="s">
        <v>79</v>
      </c>
      <c r="E7676" s="128" t="s">
        <v>132</v>
      </c>
      <c r="F7676" s="128">
        <v>80256.320000000007</v>
      </c>
      <c r="G7676" s="128">
        <v>52277.4</v>
      </c>
      <c r="H7676" s="128">
        <v>18008.650000000001</v>
      </c>
      <c r="I7676" s="128">
        <v>514</v>
      </c>
    </row>
    <row r="7677" spans="1:9" ht="13.5">
      <c r="A7677" s="128">
        <v>2012</v>
      </c>
      <c r="B7677" s="128" t="s">
        <v>137</v>
      </c>
      <c r="C7677" s="128" t="s">
        <v>26</v>
      </c>
      <c r="D7677" s="128" t="s">
        <v>79</v>
      </c>
      <c r="E7677" s="128" t="s">
        <v>133</v>
      </c>
      <c r="F7677" s="128">
        <v>157291.79</v>
      </c>
      <c r="G7677" s="128">
        <v>86607.48</v>
      </c>
      <c r="H7677" s="128">
        <v>31016.02</v>
      </c>
      <c r="I7677" s="128">
        <v>737</v>
      </c>
    </row>
    <row r="7678" spans="1:9" ht="13.5">
      <c r="A7678" s="128">
        <v>2012</v>
      </c>
      <c r="B7678" s="128" t="s">
        <v>137</v>
      </c>
      <c r="C7678" s="128" t="s">
        <v>26</v>
      </c>
      <c r="D7678" s="128" t="s">
        <v>79</v>
      </c>
      <c r="E7678" s="128" t="s">
        <v>134</v>
      </c>
      <c r="F7678" s="128">
        <v>912223.84</v>
      </c>
      <c r="G7678" s="128">
        <v>379788.51</v>
      </c>
      <c r="H7678" s="128">
        <v>128167.3</v>
      </c>
      <c r="I7678" s="128">
        <v>2758</v>
      </c>
    </row>
    <row r="7679" spans="1:9" ht="13.5">
      <c r="A7679" s="128">
        <v>2012</v>
      </c>
      <c r="B7679" s="128" t="s">
        <v>137</v>
      </c>
      <c r="C7679" s="128" t="s">
        <v>26</v>
      </c>
      <c r="D7679" s="128" t="s">
        <v>79</v>
      </c>
      <c r="E7679" s="128" t="s">
        <v>135</v>
      </c>
      <c r="F7679" s="128">
        <v>7482381.4199999999</v>
      </c>
      <c r="G7679" s="128">
        <v>1899346.35</v>
      </c>
      <c r="H7679" s="128">
        <v>638285.06000000006</v>
      </c>
      <c r="I7679" s="128">
        <v>11945</v>
      </c>
    </row>
    <row r="7680" spans="1:9" ht="13.5">
      <c r="A7680" s="128">
        <v>2012</v>
      </c>
      <c r="B7680" s="128" t="s">
        <v>137</v>
      </c>
      <c r="C7680" s="128" t="s">
        <v>26</v>
      </c>
      <c r="D7680" s="128" t="s">
        <v>77</v>
      </c>
      <c r="E7680" s="128" t="s">
        <v>132</v>
      </c>
      <c r="F7680" s="128">
        <v>69774.02</v>
      </c>
      <c r="G7680" s="128">
        <v>46216</v>
      </c>
      <c r="H7680" s="128">
        <v>20855.86</v>
      </c>
      <c r="I7680" s="128">
        <v>242</v>
      </c>
    </row>
    <row r="7681" spans="1:9" ht="13.5">
      <c r="A7681" s="128">
        <v>2012</v>
      </c>
      <c r="B7681" s="128" t="s">
        <v>137</v>
      </c>
      <c r="C7681" s="128" t="s">
        <v>26</v>
      </c>
      <c r="D7681" s="128" t="s">
        <v>77</v>
      </c>
      <c r="E7681" s="128" t="s">
        <v>133</v>
      </c>
      <c r="F7681" s="128">
        <v>140226.26999999999</v>
      </c>
      <c r="G7681" s="128">
        <v>76586.820000000007</v>
      </c>
      <c r="H7681" s="128">
        <v>56163.78</v>
      </c>
      <c r="I7681" s="128">
        <v>499</v>
      </c>
    </row>
    <row r="7682" spans="1:9" ht="13.5">
      <c r="A7682" s="128">
        <v>2012</v>
      </c>
      <c r="B7682" s="128" t="s">
        <v>137</v>
      </c>
      <c r="C7682" s="128" t="s">
        <v>26</v>
      </c>
      <c r="D7682" s="128" t="s">
        <v>77</v>
      </c>
      <c r="E7682" s="128" t="s">
        <v>134</v>
      </c>
      <c r="F7682" s="128">
        <v>185916.37</v>
      </c>
      <c r="G7682" s="128">
        <v>79335.75</v>
      </c>
      <c r="H7682" s="128">
        <v>74822.59</v>
      </c>
      <c r="I7682" s="128">
        <v>705</v>
      </c>
    </row>
    <row r="7683" spans="1:9" ht="13.5">
      <c r="A7683" s="128">
        <v>2012</v>
      </c>
      <c r="B7683" s="128" t="s">
        <v>137</v>
      </c>
      <c r="C7683" s="128" t="s">
        <v>26</v>
      </c>
      <c r="D7683" s="128" t="s">
        <v>77</v>
      </c>
      <c r="E7683" s="128" t="s">
        <v>135</v>
      </c>
      <c r="F7683" s="128">
        <v>651487.68999999994</v>
      </c>
      <c r="G7683" s="128">
        <v>180560.85</v>
      </c>
      <c r="H7683" s="128">
        <v>191018.91</v>
      </c>
      <c r="I7683" s="128">
        <v>2158</v>
      </c>
    </row>
    <row r="7684" spans="1:9" ht="13.5">
      <c r="A7684" s="128">
        <v>2012</v>
      </c>
      <c r="B7684" s="128" t="s">
        <v>137</v>
      </c>
      <c r="C7684" s="128" t="s">
        <v>26</v>
      </c>
      <c r="D7684" s="128" t="s">
        <v>76</v>
      </c>
      <c r="E7684" s="128" t="s">
        <v>136</v>
      </c>
      <c r="F7684" s="128">
        <v>426739.33</v>
      </c>
      <c r="G7684" s="128">
        <v>320344</v>
      </c>
      <c r="H7684" s="128">
        <v>106395.12</v>
      </c>
      <c r="I7684" s="128">
        <v>15394</v>
      </c>
    </row>
    <row r="7685" spans="1:9" ht="13.5">
      <c r="A7685" s="128">
        <v>2012</v>
      </c>
      <c r="B7685" s="128" t="s">
        <v>137</v>
      </c>
      <c r="C7685" s="128" t="s">
        <v>26</v>
      </c>
      <c r="D7685" s="128" t="s">
        <v>76</v>
      </c>
      <c r="E7685" s="128" t="s">
        <v>132</v>
      </c>
      <c r="F7685" s="128">
        <v>1101231.55</v>
      </c>
      <c r="G7685" s="128">
        <v>709630.1</v>
      </c>
      <c r="H7685" s="128">
        <v>391569.35</v>
      </c>
      <c r="I7685" s="128">
        <v>12361</v>
      </c>
    </row>
    <row r="7686" spans="1:9" ht="13.5">
      <c r="A7686" s="128">
        <v>2012</v>
      </c>
      <c r="B7686" s="128" t="s">
        <v>137</v>
      </c>
      <c r="C7686" s="128" t="s">
        <v>26</v>
      </c>
      <c r="D7686" s="128" t="s">
        <v>76</v>
      </c>
      <c r="E7686" s="128" t="s">
        <v>133</v>
      </c>
      <c r="F7686" s="128">
        <v>2951930.28</v>
      </c>
      <c r="G7686" s="128">
        <v>1623116.01</v>
      </c>
      <c r="H7686" s="128">
        <v>1328807.3899999999</v>
      </c>
      <c r="I7686" s="128">
        <v>18117</v>
      </c>
    </row>
    <row r="7687" spans="1:9" ht="13.5">
      <c r="A7687" s="128">
        <v>2012</v>
      </c>
      <c r="B7687" s="128" t="s">
        <v>137</v>
      </c>
      <c r="C7687" s="128" t="s">
        <v>26</v>
      </c>
      <c r="D7687" s="128" t="s">
        <v>76</v>
      </c>
      <c r="E7687" s="128" t="s">
        <v>134</v>
      </c>
      <c r="F7687" s="128">
        <v>2076702.44</v>
      </c>
      <c r="G7687" s="128">
        <v>950439.28</v>
      </c>
      <c r="H7687" s="128">
        <v>1126248.27</v>
      </c>
      <c r="I7687" s="128">
        <v>13399</v>
      </c>
    </row>
    <row r="7688" spans="1:9" ht="13.5">
      <c r="A7688" s="128">
        <v>2012</v>
      </c>
      <c r="B7688" s="128" t="s">
        <v>137</v>
      </c>
      <c r="C7688" s="128" t="s">
        <v>26</v>
      </c>
      <c r="D7688" s="128" t="s">
        <v>76</v>
      </c>
      <c r="E7688" s="128" t="s">
        <v>135</v>
      </c>
      <c r="F7688" s="128">
        <v>416318.99</v>
      </c>
      <c r="G7688" s="128">
        <v>128148.24</v>
      </c>
      <c r="H7688" s="128">
        <v>288170.75</v>
      </c>
      <c r="I7688" s="128">
        <v>1112</v>
      </c>
    </row>
    <row r="7689" spans="1:9" ht="13.5">
      <c r="A7689" s="128">
        <v>2012</v>
      </c>
      <c r="B7689" s="128" t="s">
        <v>137</v>
      </c>
      <c r="C7689" s="128" t="s">
        <v>27</v>
      </c>
      <c r="D7689" s="128" t="s">
        <v>79</v>
      </c>
      <c r="E7689" s="128" t="s">
        <v>136</v>
      </c>
      <c r="F7689" s="128">
        <v>293529.62</v>
      </c>
      <c r="G7689" s="128">
        <v>220777.72</v>
      </c>
      <c r="H7689" s="128">
        <v>72717.95</v>
      </c>
      <c r="I7689" s="128">
        <v>1194</v>
      </c>
    </row>
    <row r="7690" spans="1:9" ht="13.5">
      <c r="A7690" s="128">
        <v>2012</v>
      </c>
      <c r="B7690" s="128" t="s">
        <v>137</v>
      </c>
      <c r="C7690" s="128" t="s">
        <v>27</v>
      </c>
      <c r="D7690" s="128" t="s">
        <v>79</v>
      </c>
      <c r="E7690" s="128" t="s">
        <v>132</v>
      </c>
      <c r="F7690" s="128">
        <v>31924.400000000001</v>
      </c>
      <c r="G7690" s="128">
        <v>20483.59</v>
      </c>
      <c r="H7690" s="128">
        <v>8264.9</v>
      </c>
      <c r="I7690" s="128">
        <v>265</v>
      </c>
    </row>
    <row r="7691" spans="1:9" ht="13.5">
      <c r="A7691" s="128">
        <v>2012</v>
      </c>
      <c r="B7691" s="128" t="s">
        <v>137</v>
      </c>
      <c r="C7691" s="128" t="s">
        <v>27</v>
      </c>
      <c r="D7691" s="128" t="s">
        <v>79</v>
      </c>
      <c r="E7691" s="128" t="s">
        <v>133</v>
      </c>
      <c r="F7691" s="128">
        <v>66804.53</v>
      </c>
      <c r="G7691" s="128">
        <v>36911.21</v>
      </c>
      <c r="H7691" s="128">
        <v>12754.84</v>
      </c>
      <c r="I7691" s="128">
        <v>210</v>
      </c>
    </row>
    <row r="7692" spans="1:9" ht="13.5">
      <c r="A7692" s="128">
        <v>2012</v>
      </c>
      <c r="B7692" s="128" t="s">
        <v>137</v>
      </c>
      <c r="C7692" s="128" t="s">
        <v>27</v>
      </c>
      <c r="D7692" s="128" t="s">
        <v>79</v>
      </c>
      <c r="E7692" s="128" t="s">
        <v>134</v>
      </c>
      <c r="F7692" s="128">
        <v>174922.03</v>
      </c>
      <c r="G7692" s="128">
        <v>76386.69</v>
      </c>
      <c r="H7692" s="128">
        <v>31823.15</v>
      </c>
      <c r="I7692" s="128">
        <v>698</v>
      </c>
    </row>
    <row r="7693" spans="1:9" ht="13.5">
      <c r="A7693" s="128">
        <v>2012</v>
      </c>
      <c r="B7693" s="128" t="s">
        <v>137</v>
      </c>
      <c r="C7693" s="128" t="s">
        <v>27</v>
      </c>
      <c r="D7693" s="128" t="s">
        <v>79</v>
      </c>
      <c r="E7693" s="128" t="s">
        <v>135</v>
      </c>
      <c r="F7693" s="128">
        <v>1119503.06</v>
      </c>
      <c r="G7693" s="128">
        <v>288676.87</v>
      </c>
      <c r="H7693" s="128">
        <v>97527.3</v>
      </c>
      <c r="I7693" s="128">
        <v>1899</v>
      </c>
    </row>
    <row r="7694" spans="1:9" ht="13.5">
      <c r="A7694" s="128">
        <v>2012</v>
      </c>
      <c r="B7694" s="128" t="s">
        <v>137</v>
      </c>
      <c r="C7694" s="128" t="s">
        <v>27</v>
      </c>
      <c r="D7694" s="128" t="s">
        <v>77</v>
      </c>
      <c r="E7694" s="128" t="s">
        <v>132</v>
      </c>
      <c r="F7694" s="128">
        <v>19527.71</v>
      </c>
      <c r="G7694" s="128">
        <v>13380.85</v>
      </c>
      <c r="H7694" s="128">
        <v>5486.61</v>
      </c>
      <c r="I7694" s="128">
        <v>134</v>
      </c>
    </row>
    <row r="7695" spans="1:9" ht="13.5">
      <c r="A7695" s="128">
        <v>2012</v>
      </c>
      <c r="B7695" s="128" t="s">
        <v>137</v>
      </c>
      <c r="C7695" s="128" t="s">
        <v>27</v>
      </c>
      <c r="D7695" s="128" t="s">
        <v>77</v>
      </c>
      <c r="E7695" s="128" t="s">
        <v>133</v>
      </c>
      <c r="F7695" s="128">
        <v>50364.77</v>
      </c>
      <c r="G7695" s="128">
        <v>27003.8</v>
      </c>
      <c r="H7695" s="128">
        <v>17488.330000000002</v>
      </c>
      <c r="I7695" s="128">
        <v>211</v>
      </c>
    </row>
    <row r="7696" spans="1:9" ht="13.5">
      <c r="A7696" s="128">
        <v>2012</v>
      </c>
      <c r="B7696" s="128" t="s">
        <v>137</v>
      </c>
      <c r="C7696" s="128" t="s">
        <v>27</v>
      </c>
      <c r="D7696" s="128" t="s">
        <v>77</v>
      </c>
      <c r="E7696" s="128" t="s">
        <v>134</v>
      </c>
      <c r="F7696" s="128">
        <v>142457.57999999999</v>
      </c>
      <c r="G7696" s="128">
        <v>63152.85</v>
      </c>
      <c r="H7696" s="128">
        <v>57843.4</v>
      </c>
      <c r="I7696" s="128">
        <v>268</v>
      </c>
    </row>
    <row r="7697" spans="1:9" ht="13.5">
      <c r="A7697" s="128">
        <v>2012</v>
      </c>
      <c r="B7697" s="128" t="s">
        <v>137</v>
      </c>
      <c r="C7697" s="128" t="s">
        <v>27</v>
      </c>
      <c r="D7697" s="128" t="s">
        <v>77</v>
      </c>
      <c r="E7697" s="128" t="s">
        <v>135</v>
      </c>
      <c r="F7697" s="128">
        <v>311035.34000000003</v>
      </c>
      <c r="G7697" s="128">
        <v>85354.5</v>
      </c>
      <c r="H7697" s="128">
        <v>91322.36</v>
      </c>
      <c r="I7697" s="128">
        <v>983</v>
      </c>
    </row>
    <row r="7698" spans="1:9" ht="13.5">
      <c r="A7698" s="128">
        <v>2012</v>
      </c>
      <c r="B7698" s="128" t="s">
        <v>137</v>
      </c>
      <c r="C7698" s="128" t="s">
        <v>27</v>
      </c>
      <c r="D7698" s="128" t="s">
        <v>76</v>
      </c>
      <c r="E7698" s="128" t="s">
        <v>136</v>
      </c>
      <c r="F7698" s="128">
        <v>158294.79999999999</v>
      </c>
      <c r="G7698" s="128">
        <v>118793.54</v>
      </c>
      <c r="H7698" s="128">
        <v>39501.26</v>
      </c>
      <c r="I7698" s="128">
        <v>2384</v>
      </c>
    </row>
    <row r="7699" spans="1:9" ht="13.5">
      <c r="A7699" s="128">
        <v>2012</v>
      </c>
      <c r="B7699" s="128" t="s">
        <v>137</v>
      </c>
      <c r="C7699" s="128" t="s">
        <v>27</v>
      </c>
      <c r="D7699" s="128" t="s">
        <v>76</v>
      </c>
      <c r="E7699" s="128" t="s">
        <v>132</v>
      </c>
      <c r="F7699" s="128">
        <v>394334.99</v>
      </c>
      <c r="G7699" s="128">
        <v>249432.11</v>
      </c>
      <c r="H7699" s="128">
        <v>144902.22</v>
      </c>
      <c r="I7699" s="128">
        <v>5502</v>
      </c>
    </row>
    <row r="7700" spans="1:9" ht="13.5">
      <c r="A7700" s="128">
        <v>2012</v>
      </c>
      <c r="B7700" s="128" t="s">
        <v>137</v>
      </c>
      <c r="C7700" s="128" t="s">
        <v>27</v>
      </c>
      <c r="D7700" s="128" t="s">
        <v>76</v>
      </c>
      <c r="E7700" s="128" t="s">
        <v>133</v>
      </c>
      <c r="F7700" s="128">
        <v>998751.41</v>
      </c>
      <c r="G7700" s="128">
        <v>543713.94999999995</v>
      </c>
      <c r="H7700" s="128">
        <v>455036.42</v>
      </c>
      <c r="I7700" s="128">
        <v>5218</v>
      </c>
    </row>
    <row r="7701" spans="1:9" ht="13.5">
      <c r="A7701" s="128">
        <v>2012</v>
      </c>
      <c r="B7701" s="128" t="s">
        <v>137</v>
      </c>
      <c r="C7701" s="128" t="s">
        <v>27</v>
      </c>
      <c r="D7701" s="128" t="s">
        <v>76</v>
      </c>
      <c r="E7701" s="128" t="s">
        <v>134</v>
      </c>
      <c r="F7701" s="128">
        <v>1175888.49</v>
      </c>
      <c r="G7701" s="128">
        <v>541277.71</v>
      </c>
      <c r="H7701" s="128">
        <v>634598.93000000005</v>
      </c>
      <c r="I7701" s="128">
        <v>5618</v>
      </c>
    </row>
    <row r="7702" spans="1:9" ht="13.5">
      <c r="A7702" s="128">
        <v>2012</v>
      </c>
      <c r="B7702" s="128" t="s">
        <v>137</v>
      </c>
      <c r="C7702" s="128" t="s">
        <v>27</v>
      </c>
      <c r="D7702" s="128" t="s">
        <v>76</v>
      </c>
      <c r="E7702" s="128" t="s">
        <v>135</v>
      </c>
      <c r="F7702" s="128">
        <v>62205.9</v>
      </c>
      <c r="G7702" s="128">
        <v>18669.5</v>
      </c>
      <c r="H7702" s="128">
        <v>43536.4</v>
      </c>
      <c r="I7702" s="128">
        <v>84</v>
      </c>
    </row>
    <row r="7703" spans="1:9" ht="13.5">
      <c r="A7703" s="128">
        <v>2013</v>
      </c>
      <c r="B7703" s="128" t="s">
        <v>131</v>
      </c>
      <c r="C7703" s="128" t="s">
        <v>20</v>
      </c>
      <c r="D7703" s="128" t="s">
        <v>79</v>
      </c>
      <c r="E7703" s="128" t="s">
        <v>136</v>
      </c>
      <c r="F7703" s="128">
        <v>37004997.600000001</v>
      </c>
      <c r="G7703" s="128">
        <v>27787294.379999999</v>
      </c>
      <c r="H7703" s="128">
        <v>9207404.2899999991</v>
      </c>
      <c r="I7703" s="128">
        <v>602359</v>
      </c>
    </row>
    <row r="7704" spans="1:9" ht="13.5">
      <c r="A7704" s="128">
        <v>2013</v>
      </c>
      <c r="B7704" s="128" t="s">
        <v>131</v>
      </c>
      <c r="C7704" s="128" t="s">
        <v>20</v>
      </c>
      <c r="D7704" s="128" t="s">
        <v>79</v>
      </c>
      <c r="E7704" s="128" t="s">
        <v>132</v>
      </c>
      <c r="F7704" s="128">
        <v>2584952.06</v>
      </c>
      <c r="G7704" s="128">
        <v>1716573.04</v>
      </c>
      <c r="H7704" s="128">
        <v>659801.64</v>
      </c>
      <c r="I7704" s="128">
        <v>15485</v>
      </c>
    </row>
    <row r="7705" spans="1:9" ht="13.5">
      <c r="A7705" s="128">
        <v>2013</v>
      </c>
      <c r="B7705" s="128" t="s">
        <v>131</v>
      </c>
      <c r="C7705" s="128" t="s">
        <v>20</v>
      </c>
      <c r="D7705" s="128" t="s">
        <v>79</v>
      </c>
      <c r="E7705" s="128" t="s">
        <v>133</v>
      </c>
      <c r="F7705" s="128">
        <v>3413030.04</v>
      </c>
      <c r="G7705" s="128">
        <v>1841847.27</v>
      </c>
      <c r="H7705" s="128">
        <v>842429.63</v>
      </c>
      <c r="I7705" s="128">
        <v>14428</v>
      </c>
    </row>
    <row r="7706" spans="1:9" ht="13.5">
      <c r="A7706" s="128">
        <v>2013</v>
      </c>
      <c r="B7706" s="128" t="s">
        <v>131</v>
      </c>
      <c r="C7706" s="128" t="s">
        <v>20</v>
      </c>
      <c r="D7706" s="128" t="s">
        <v>79</v>
      </c>
      <c r="E7706" s="128" t="s">
        <v>134</v>
      </c>
      <c r="F7706" s="128">
        <v>13843067.57</v>
      </c>
      <c r="G7706" s="128">
        <v>5922587.1399999997</v>
      </c>
      <c r="H7706" s="128">
        <v>2383084.9</v>
      </c>
      <c r="I7706" s="128">
        <v>74026</v>
      </c>
    </row>
    <row r="7707" spans="1:9" ht="13.5">
      <c r="A7707" s="128">
        <v>2013</v>
      </c>
      <c r="B7707" s="128" t="s">
        <v>131</v>
      </c>
      <c r="C7707" s="128" t="s">
        <v>20</v>
      </c>
      <c r="D7707" s="128" t="s">
        <v>79</v>
      </c>
      <c r="E7707" s="128" t="s">
        <v>135</v>
      </c>
      <c r="F7707" s="128">
        <v>101396556.5</v>
      </c>
      <c r="G7707" s="128">
        <v>25111650.710000001</v>
      </c>
      <c r="H7707" s="128">
        <v>8424931.0099999998</v>
      </c>
      <c r="I7707" s="128">
        <v>155439</v>
      </c>
    </row>
    <row r="7708" spans="1:9" ht="13.5">
      <c r="A7708" s="128">
        <v>2013</v>
      </c>
      <c r="B7708" s="128" t="s">
        <v>131</v>
      </c>
      <c r="C7708" s="128" t="s">
        <v>20</v>
      </c>
      <c r="D7708" s="128" t="s">
        <v>77</v>
      </c>
      <c r="E7708" s="128" t="s">
        <v>132</v>
      </c>
      <c r="F7708" s="128">
        <v>1529276.45</v>
      </c>
      <c r="G7708" s="128">
        <v>1018503.95</v>
      </c>
      <c r="H7708" s="128">
        <v>442889.85</v>
      </c>
      <c r="I7708" s="128">
        <v>6832</v>
      </c>
    </row>
    <row r="7709" spans="1:9" ht="13.5">
      <c r="A7709" s="128">
        <v>2013</v>
      </c>
      <c r="B7709" s="128" t="s">
        <v>131</v>
      </c>
      <c r="C7709" s="128" t="s">
        <v>20</v>
      </c>
      <c r="D7709" s="128" t="s">
        <v>77</v>
      </c>
      <c r="E7709" s="128" t="s">
        <v>133</v>
      </c>
      <c r="F7709" s="128">
        <v>2104414.63</v>
      </c>
      <c r="G7709" s="128">
        <v>1139765.5900000001</v>
      </c>
      <c r="H7709" s="128">
        <v>781887.47</v>
      </c>
      <c r="I7709" s="128">
        <v>7604</v>
      </c>
    </row>
    <row r="7710" spans="1:9" ht="13.5">
      <c r="A7710" s="128">
        <v>2013</v>
      </c>
      <c r="B7710" s="128" t="s">
        <v>131</v>
      </c>
      <c r="C7710" s="128" t="s">
        <v>20</v>
      </c>
      <c r="D7710" s="128" t="s">
        <v>77</v>
      </c>
      <c r="E7710" s="128" t="s">
        <v>134</v>
      </c>
      <c r="F7710" s="128">
        <v>5357586.91</v>
      </c>
      <c r="G7710" s="128">
        <v>2358350.3199999998</v>
      </c>
      <c r="H7710" s="128">
        <v>2247693.96</v>
      </c>
      <c r="I7710" s="128">
        <v>14097</v>
      </c>
    </row>
    <row r="7711" spans="1:9" ht="13.5">
      <c r="A7711" s="128">
        <v>2013</v>
      </c>
      <c r="B7711" s="128" t="s">
        <v>131</v>
      </c>
      <c r="C7711" s="128" t="s">
        <v>20</v>
      </c>
      <c r="D7711" s="128" t="s">
        <v>77</v>
      </c>
      <c r="E7711" s="128" t="s">
        <v>135</v>
      </c>
      <c r="F7711" s="128">
        <v>6095539.4100000001</v>
      </c>
      <c r="G7711" s="128">
        <v>1708889.02</v>
      </c>
      <c r="H7711" s="128">
        <v>1801546.23</v>
      </c>
      <c r="I7711" s="128">
        <v>16367</v>
      </c>
    </row>
    <row r="7712" spans="1:9" ht="13.5">
      <c r="A7712" s="128">
        <v>2013</v>
      </c>
      <c r="B7712" s="128" t="s">
        <v>131</v>
      </c>
      <c r="C7712" s="128" t="s">
        <v>20</v>
      </c>
      <c r="D7712" s="128" t="s">
        <v>76</v>
      </c>
      <c r="E7712" s="128" t="s">
        <v>136</v>
      </c>
      <c r="F7712" s="128">
        <v>14560086.890000001</v>
      </c>
      <c r="G7712" s="128">
        <v>10955747.619999999</v>
      </c>
      <c r="H7712" s="128">
        <v>3605011.78</v>
      </c>
      <c r="I7712" s="128">
        <v>382319</v>
      </c>
    </row>
    <row r="7713" spans="1:9" ht="13.5">
      <c r="A7713" s="128">
        <v>2013</v>
      </c>
      <c r="B7713" s="128" t="s">
        <v>131</v>
      </c>
      <c r="C7713" s="128" t="s">
        <v>20</v>
      </c>
      <c r="D7713" s="128" t="s">
        <v>76</v>
      </c>
      <c r="E7713" s="128" t="s">
        <v>132</v>
      </c>
      <c r="F7713" s="128">
        <v>38604600</v>
      </c>
      <c r="G7713" s="128">
        <v>24740762.109999999</v>
      </c>
      <c r="H7713" s="128">
        <v>13863560.91</v>
      </c>
      <c r="I7713" s="128">
        <v>377648</v>
      </c>
    </row>
    <row r="7714" spans="1:9" ht="13.5">
      <c r="A7714" s="128">
        <v>2013</v>
      </c>
      <c r="B7714" s="128" t="s">
        <v>131</v>
      </c>
      <c r="C7714" s="128" t="s">
        <v>20</v>
      </c>
      <c r="D7714" s="128" t="s">
        <v>76</v>
      </c>
      <c r="E7714" s="128" t="s">
        <v>133</v>
      </c>
      <c r="F7714" s="128">
        <v>90162283.920000002</v>
      </c>
      <c r="G7714" s="128">
        <v>49814722.07</v>
      </c>
      <c r="H7714" s="128">
        <v>40347389.780000001</v>
      </c>
      <c r="I7714" s="128">
        <v>508793</v>
      </c>
    </row>
    <row r="7715" spans="1:9" ht="13.5">
      <c r="A7715" s="128">
        <v>2013</v>
      </c>
      <c r="B7715" s="128" t="s">
        <v>131</v>
      </c>
      <c r="C7715" s="128" t="s">
        <v>20</v>
      </c>
      <c r="D7715" s="128" t="s">
        <v>76</v>
      </c>
      <c r="E7715" s="128" t="s">
        <v>134</v>
      </c>
      <c r="F7715" s="128">
        <v>95914367.980000004</v>
      </c>
      <c r="G7715" s="128">
        <v>43915424.399999999</v>
      </c>
      <c r="H7715" s="128">
        <v>51998554.469999999</v>
      </c>
      <c r="I7715" s="128">
        <v>539183</v>
      </c>
    </row>
    <row r="7716" spans="1:9" ht="13.5">
      <c r="A7716" s="128">
        <v>2013</v>
      </c>
      <c r="B7716" s="128" t="s">
        <v>131</v>
      </c>
      <c r="C7716" s="128" t="s">
        <v>20</v>
      </c>
      <c r="D7716" s="128" t="s">
        <v>76</v>
      </c>
      <c r="E7716" s="128" t="s">
        <v>135</v>
      </c>
      <c r="F7716" s="128">
        <v>10644581.869999999</v>
      </c>
      <c r="G7716" s="128">
        <v>3298958.73</v>
      </c>
      <c r="H7716" s="128">
        <v>7345612.9500000002</v>
      </c>
      <c r="I7716" s="128">
        <v>44257</v>
      </c>
    </row>
    <row r="7717" spans="1:9" ht="13.5">
      <c r="A7717" s="128">
        <v>2013</v>
      </c>
      <c r="B7717" s="128" t="s">
        <v>131</v>
      </c>
      <c r="C7717" s="128" t="s">
        <v>21</v>
      </c>
      <c r="D7717" s="128" t="s">
        <v>79</v>
      </c>
      <c r="E7717" s="128" t="s">
        <v>136</v>
      </c>
      <c r="F7717" s="128">
        <v>9042053.4399999995</v>
      </c>
      <c r="G7717" s="128">
        <v>6797343.6399999997</v>
      </c>
      <c r="H7717" s="128">
        <v>2241666.89</v>
      </c>
      <c r="I7717" s="128">
        <v>87019</v>
      </c>
    </row>
    <row r="7718" spans="1:9" ht="13.5">
      <c r="A7718" s="128">
        <v>2013</v>
      </c>
      <c r="B7718" s="128" t="s">
        <v>131</v>
      </c>
      <c r="C7718" s="128" t="s">
        <v>21</v>
      </c>
      <c r="D7718" s="128" t="s">
        <v>79</v>
      </c>
      <c r="E7718" s="128" t="s">
        <v>132</v>
      </c>
      <c r="F7718" s="128">
        <v>1441315.66</v>
      </c>
      <c r="G7718" s="128">
        <v>942224.06</v>
      </c>
      <c r="H7718" s="128">
        <v>354007.33</v>
      </c>
      <c r="I7718" s="128">
        <v>8873</v>
      </c>
    </row>
    <row r="7719" spans="1:9" ht="13.5">
      <c r="A7719" s="128">
        <v>2013</v>
      </c>
      <c r="B7719" s="128" t="s">
        <v>131</v>
      </c>
      <c r="C7719" s="128" t="s">
        <v>21</v>
      </c>
      <c r="D7719" s="128" t="s">
        <v>79</v>
      </c>
      <c r="E7719" s="128" t="s">
        <v>133</v>
      </c>
      <c r="F7719" s="128">
        <v>2482215.2000000002</v>
      </c>
      <c r="G7719" s="128">
        <v>1360914.33</v>
      </c>
      <c r="H7719" s="128">
        <v>769667.22</v>
      </c>
      <c r="I7719" s="128">
        <v>22420</v>
      </c>
    </row>
    <row r="7720" spans="1:9" ht="13.5">
      <c r="A7720" s="128">
        <v>2013</v>
      </c>
      <c r="B7720" s="128" t="s">
        <v>131</v>
      </c>
      <c r="C7720" s="128" t="s">
        <v>21</v>
      </c>
      <c r="D7720" s="128" t="s">
        <v>79</v>
      </c>
      <c r="E7720" s="128" t="s">
        <v>134</v>
      </c>
      <c r="F7720" s="128">
        <v>4927933.2</v>
      </c>
      <c r="G7720" s="128">
        <v>2104163.58</v>
      </c>
      <c r="H7720" s="128">
        <v>1446136.61</v>
      </c>
      <c r="I7720" s="128">
        <v>20998</v>
      </c>
    </row>
    <row r="7721" spans="1:9" ht="13.5">
      <c r="A7721" s="128">
        <v>2013</v>
      </c>
      <c r="B7721" s="128" t="s">
        <v>131</v>
      </c>
      <c r="C7721" s="128" t="s">
        <v>21</v>
      </c>
      <c r="D7721" s="128" t="s">
        <v>79</v>
      </c>
      <c r="E7721" s="128" t="s">
        <v>135</v>
      </c>
      <c r="F7721" s="128">
        <v>23230976.809999999</v>
      </c>
      <c r="G7721" s="128">
        <v>5936835.9900000002</v>
      </c>
      <c r="H7721" s="128">
        <v>2072808.63</v>
      </c>
      <c r="I7721" s="128">
        <v>43399</v>
      </c>
    </row>
    <row r="7722" spans="1:9" ht="13.5">
      <c r="A7722" s="128">
        <v>2013</v>
      </c>
      <c r="B7722" s="128" t="s">
        <v>131</v>
      </c>
      <c r="C7722" s="128" t="s">
        <v>21</v>
      </c>
      <c r="D7722" s="128" t="s">
        <v>77</v>
      </c>
      <c r="E7722" s="128" t="s">
        <v>132</v>
      </c>
      <c r="F7722" s="128">
        <v>2392154.35</v>
      </c>
      <c r="G7722" s="128">
        <v>1600731.86</v>
      </c>
      <c r="H7722" s="128">
        <v>668970.18999999994</v>
      </c>
      <c r="I7722" s="128">
        <v>16928</v>
      </c>
    </row>
    <row r="7723" spans="1:9" ht="13.5">
      <c r="A7723" s="128">
        <v>2013</v>
      </c>
      <c r="B7723" s="128" t="s">
        <v>131</v>
      </c>
      <c r="C7723" s="128" t="s">
        <v>21</v>
      </c>
      <c r="D7723" s="128" t="s">
        <v>77</v>
      </c>
      <c r="E7723" s="128" t="s">
        <v>133</v>
      </c>
      <c r="F7723" s="128">
        <v>4746198.51</v>
      </c>
      <c r="G7723" s="128">
        <v>2588389.34</v>
      </c>
      <c r="H7723" s="128">
        <v>1718717.16</v>
      </c>
      <c r="I7723" s="128">
        <v>18580</v>
      </c>
    </row>
    <row r="7724" spans="1:9" ht="13.5">
      <c r="A7724" s="128">
        <v>2013</v>
      </c>
      <c r="B7724" s="128" t="s">
        <v>131</v>
      </c>
      <c r="C7724" s="128" t="s">
        <v>21</v>
      </c>
      <c r="D7724" s="128" t="s">
        <v>77</v>
      </c>
      <c r="E7724" s="128" t="s">
        <v>134</v>
      </c>
      <c r="F7724" s="128">
        <v>7778032.7000000002</v>
      </c>
      <c r="G7724" s="128">
        <v>3367420.46</v>
      </c>
      <c r="H7724" s="128">
        <v>3068112.3</v>
      </c>
      <c r="I7724" s="128">
        <v>18720</v>
      </c>
    </row>
    <row r="7725" spans="1:9" ht="13.5">
      <c r="A7725" s="128">
        <v>2013</v>
      </c>
      <c r="B7725" s="128" t="s">
        <v>131</v>
      </c>
      <c r="C7725" s="128" t="s">
        <v>21</v>
      </c>
      <c r="D7725" s="128" t="s">
        <v>77</v>
      </c>
      <c r="E7725" s="128" t="s">
        <v>135</v>
      </c>
      <c r="F7725" s="128">
        <v>8112283.1600000001</v>
      </c>
      <c r="G7725" s="128">
        <v>2399751.44</v>
      </c>
      <c r="H7725" s="128">
        <v>2382581.5699999998</v>
      </c>
      <c r="I7725" s="128">
        <v>20261</v>
      </c>
    </row>
    <row r="7726" spans="1:9" ht="13.5">
      <c r="A7726" s="128">
        <v>2013</v>
      </c>
      <c r="B7726" s="128" t="s">
        <v>131</v>
      </c>
      <c r="C7726" s="128" t="s">
        <v>21</v>
      </c>
      <c r="D7726" s="128" t="s">
        <v>76</v>
      </c>
      <c r="E7726" s="128" t="s">
        <v>136</v>
      </c>
      <c r="F7726" s="128">
        <v>14203993.32</v>
      </c>
      <c r="G7726" s="128">
        <v>10708724.32</v>
      </c>
      <c r="H7726" s="128">
        <v>3495292.77</v>
      </c>
      <c r="I7726" s="128">
        <v>250007</v>
      </c>
    </row>
    <row r="7727" spans="1:9" ht="13.5">
      <c r="A7727" s="128">
        <v>2013</v>
      </c>
      <c r="B7727" s="128" t="s">
        <v>131</v>
      </c>
      <c r="C7727" s="128" t="s">
        <v>21</v>
      </c>
      <c r="D7727" s="128" t="s">
        <v>76</v>
      </c>
      <c r="E7727" s="128" t="s">
        <v>132</v>
      </c>
      <c r="F7727" s="128">
        <v>41572543.109999999</v>
      </c>
      <c r="G7727" s="128">
        <v>26554211.109999999</v>
      </c>
      <c r="H7727" s="128">
        <v>15018234.07</v>
      </c>
      <c r="I7727" s="128">
        <v>362566</v>
      </c>
    </row>
    <row r="7728" spans="1:9" ht="13.5">
      <c r="A7728" s="128">
        <v>2013</v>
      </c>
      <c r="B7728" s="128" t="s">
        <v>131</v>
      </c>
      <c r="C7728" s="128" t="s">
        <v>21</v>
      </c>
      <c r="D7728" s="128" t="s">
        <v>76</v>
      </c>
      <c r="E7728" s="128" t="s">
        <v>133</v>
      </c>
      <c r="F7728" s="128">
        <v>102160954.5</v>
      </c>
      <c r="G7728" s="128">
        <v>56486764.729999997</v>
      </c>
      <c r="H7728" s="128">
        <v>45674079.270000003</v>
      </c>
      <c r="I7728" s="128">
        <v>842005</v>
      </c>
    </row>
    <row r="7729" spans="1:9" ht="13.5">
      <c r="A7729" s="128">
        <v>2013</v>
      </c>
      <c r="B7729" s="128" t="s">
        <v>131</v>
      </c>
      <c r="C7729" s="128" t="s">
        <v>21</v>
      </c>
      <c r="D7729" s="128" t="s">
        <v>76</v>
      </c>
      <c r="E7729" s="128" t="s">
        <v>134</v>
      </c>
      <c r="F7729" s="128">
        <v>98446719.629999995</v>
      </c>
      <c r="G7729" s="128">
        <v>44462466.460000001</v>
      </c>
      <c r="H7729" s="128">
        <v>53984176.509999998</v>
      </c>
      <c r="I7729" s="128">
        <v>505960</v>
      </c>
    </row>
    <row r="7730" spans="1:9" ht="13.5">
      <c r="A7730" s="128">
        <v>2013</v>
      </c>
      <c r="B7730" s="128" t="s">
        <v>131</v>
      </c>
      <c r="C7730" s="128" t="s">
        <v>21</v>
      </c>
      <c r="D7730" s="128" t="s">
        <v>76</v>
      </c>
      <c r="E7730" s="128" t="s">
        <v>135</v>
      </c>
      <c r="F7730" s="128">
        <v>5161852.6100000003</v>
      </c>
      <c r="G7730" s="128">
        <v>1481190.81</v>
      </c>
      <c r="H7730" s="128">
        <v>3680661.8</v>
      </c>
      <c r="I7730" s="128">
        <v>13298</v>
      </c>
    </row>
    <row r="7731" spans="1:9" ht="13.5">
      <c r="A7731" s="128">
        <v>2013</v>
      </c>
      <c r="B7731" s="128" t="s">
        <v>131</v>
      </c>
      <c r="C7731" s="128" t="s">
        <v>22</v>
      </c>
      <c r="D7731" s="128" t="s">
        <v>79</v>
      </c>
      <c r="E7731" s="128" t="s">
        <v>136</v>
      </c>
      <c r="F7731" s="128">
        <v>8875218</v>
      </c>
      <c r="G7731" s="128">
        <v>6674533.7999999998</v>
      </c>
      <c r="H7731" s="128">
        <v>2197313.13</v>
      </c>
      <c r="I7731" s="128">
        <v>69237</v>
      </c>
    </row>
    <row r="7732" spans="1:9" ht="13.5">
      <c r="A7732" s="128">
        <v>2013</v>
      </c>
      <c r="B7732" s="128" t="s">
        <v>131</v>
      </c>
      <c r="C7732" s="128" t="s">
        <v>22</v>
      </c>
      <c r="D7732" s="128" t="s">
        <v>79</v>
      </c>
      <c r="E7732" s="128" t="s">
        <v>132</v>
      </c>
      <c r="F7732" s="128">
        <v>2443014.7999999998</v>
      </c>
      <c r="G7732" s="128">
        <v>1607773.83</v>
      </c>
      <c r="H7732" s="128">
        <v>666205.80000000005</v>
      </c>
      <c r="I7732" s="128">
        <v>17010</v>
      </c>
    </row>
    <row r="7733" spans="1:9" ht="13.5">
      <c r="A7733" s="128">
        <v>2013</v>
      </c>
      <c r="B7733" s="128" t="s">
        <v>131</v>
      </c>
      <c r="C7733" s="128" t="s">
        <v>22</v>
      </c>
      <c r="D7733" s="128" t="s">
        <v>79</v>
      </c>
      <c r="E7733" s="128" t="s">
        <v>133</v>
      </c>
      <c r="F7733" s="128">
        <v>3155433.02</v>
      </c>
      <c r="G7733" s="128">
        <v>1713937.46</v>
      </c>
      <c r="H7733" s="128">
        <v>865760.15</v>
      </c>
      <c r="I7733" s="128">
        <v>15877</v>
      </c>
    </row>
    <row r="7734" spans="1:9" ht="13.5">
      <c r="A7734" s="128">
        <v>2013</v>
      </c>
      <c r="B7734" s="128" t="s">
        <v>131</v>
      </c>
      <c r="C7734" s="128" t="s">
        <v>22</v>
      </c>
      <c r="D7734" s="128" t="s">
        <v>79</v>
      </c>
      <c r="E7734" s="128" t="s">
        <v>134</v>
      </c>
      <c r="F7734" s="128">
        <v>9078296.5899999999</v>
      </c>
      <c r="G7734" s="128">
        <v>3857246.14</v>
      </c>
      <c r="H7734" s="128">
        <v>1671958.4</v>
      </c>
      <c r="I7734" s="128">
        <v>28416</v>
      </c>
    </row>
    <row r="7735" spans="1:9" ht="13.5">
      <c r="A7735" s="128">
        <v>2013</v>
      </c>
      <c r="B7735" s="128" t="s">
        <v>131</v>
      </c>
      <c r="C7735" s="128" t="s">
        <v>22</v>
      </c>
      <c r="D7735" s="128" t="s">
        <v>79</v>
      </c>
      <c r="E7735" s="128" t="s">
        <v>135</v>
      </c>
      <c r="F7735" s="128">
        <v>53011227.630000003</v>
      </c>
      <c r="G7735" s="128">
        <v>13891748.73</v>
      </c>
      <c r="H7735" s="128">
        <v>4727915.43</v>
      </c>
      <c r="I7735" s="128">
        <v>92996</v>
      </c>
    </row>
    <row r="7736" spans="1:9" ht="13.5">
      <c r="A7736" s="128">
        <v>2013</v>
      </c>
      <c r="B7736" s="128" t="s">
        <v>131</v>
      </c>
      <c r="C7736" s="128" t="s">
        <v>22</v>
      </c>
      <c r="D7736" s="128" t="s">
        <v>77</v>
      </c>
      <c r="E7736" s="128" t="s">
        <v>132</v>
      </c>
      <c r="F7736" s="128">
        <v>877428.85</v>
      </c>
      <c r="G7736" s="128">
        <v>577430.93999999994</v>
      </c>
      <c r="H7736" s="128">
        <v>251183.67</v>
      </c>
      <c r="I7736" s="128">
        <v>3371</v>
      </c>
    </row>
    <row r="7737" spans="1:9" ht="13.5">
      <c r="A7737" s="128">
        <v>2013</v>
      </c>
      <c r="B7737" s="128" t="s">
        <v>131</v>
      </c>
      <c r="C7737" s="128" t="s">
        <v>22</v>
      </c>
      <c r="D7737" s="128" t="s">
        <v>77</v>
      </c>
      <c r="E7737" s="128" t="s">
        <v>133</v>
      </c>
      <c r="F7737" s="128">
        <v>2190237.7799999998</v>
      </c>
      <c r="G7737" s="128">
        <v>1179209.46</v>
      </c>
      <c r="H7737" s="128">
        <v>808286.2</v>
      </c>
      <c r="I7737" s="128">
        <v>7549</v>
      </c>
    </row>
    <row r="7738" spans="1:9" ht="13.5">
      <c r="A7738" s="128">
        <v>2013</v>
      </c>
      <c r="B7738" s="128" t="s">
        <v>131</v>
      </c>
      <c r="C7738" s="128" t="s">
        <v>22</v>
      </c>
      <c r="D7738" s="128" t="s">
        <v>77</v>
      </c>
      <c r="E7738" s="128" t="s">
        <v>134</v>
      </c>
      <c r="F7738" s="128">
        <v>4996450.4800000004</v>
      </c>
      <c r="G7738" s="128">
        <v>2152372.92</v>
      </c>
      <c r="H7738" s="128">
        <v>2066170.35</v>
      </c>
      <c r="I7738" s="128">
        <v>9446</v>
      </c>
    </row>
    <row r="7739" spans="1:9" ht="13.5">
      <c r="A7739" s="128">
        <v>2013</v>
      </c>
      <c r="B7739" s="128" t="s">
        <v>131</v>
      </c>
      <c r="C7739" s="128" t="s">
        <v>22</v>
      </c>
      <c r="D7739" s="128" t="s">
        <v>77</v>
      </c>
      <c r="E7739" s="128" t="s">
        <v>135</v>
      </c>
      <c r="F7739" s="128">
        <v>7688493.8899999997</v>
      </c>
      <c r="G7739" s="128">
        <v>2280136.2400000002</v>
      </c>
      <c r="H7739" s="128">
        <v>2462204.56</v>
      </c>
      <c r="I7739" s="128">
        <v>19534</v>
      </c>
    </row>
    <row r="7740" spans="1:9" ht="13.5">
      <c r="A7740" s="128">
        <v>2013</v>
      </c>
      <c r="B7740" s="128" t="s">
        <v>131</v>
      </c>
      <c r="C7740" s="128" t="s">
        <v>22</v>
      </c>
      <c r="D7740" s="128" t="s">
        <v>76</v>
      </c>
      <c r="E7740" s="128" t="s">
        <v>136</v>
      </c>
      <c r="F7740" s="128">
        <v>8893343.8399999999</v>
      </c>
      <c r="G7740" s="128">
        <v>6680852.5499999998</v>
      </c>
      <c r="H7740" s="128">
        <v>2212544.14</v>
      </c>
      <c r="I7740" s="128">
        <v>156571</v>
      </c>
    </row>
    <row r="7741" spans="1:9" ht="13.5">
      <c r="A7741" s="128">
        <v>2013</v>
      </c>
      <c r="B7741" s="128" t="s">
        <v>131</v>
      </c>
      <c r="C7741" s="128" t="s">
        <v>22</v>
      </c>
      <c r="D7741" s="128" t="s">
        <v>76</v>
      </c>
      <c r="E7741" s="128" t="s">
        <v>132</v>
      </c>
      <c r="F7741" s="128">
        <v>35842112.270000003</v>
      </c>
      <c r="G7741" s="128">
        <v>22958617.66</v>
      </c>
      <c r="H7741" s="128">
        <v>12883289.199999999</v>
      </c>
      <c r="I7741" s="128">
        <v>365832</v>
      </c>
    </row>
    <row r="7742" spans="1:9" ht="13.5">
      <c r="A7742" s="128">
        <v>2013</v>
      </c>
      <c r="B7742" s="128" t="s">
        <v>131</v>
      </c>
      <c r="C7742" s="128" t="s">
        <v>22</v>
      </c>
      <c r="D7742" s="128" t="s">
        <v>76</v>
      </c>
      <c r="E7742" s="128" t="s">
        <v>133</v>
      </c>
      <c r="F7742" s="128">
        <v>73736366.579999998</v>
      </c>
      <c r="G7742" s="128">
        <v>41007542.869999997</v>
      </c>
      <c r="H7742" s="128">
        <v>32728729.359999999</v>
      </c>
      <c r="I7742" s="128">
        <v>609527</v>
      </c>
    </row>
    <row r="7743" spans="1:9" ht="13.5">
      <c r="A7743" s="128">
        <v>2013</v>
      </c>
      <c r="B7743" s="128" t="s">
        <v>131</v>
      </c>
      <c r="C7743" s="128" t="s">
        <v>22</v>
      </c>
      <c r="D7743" s="128" t="s">
        <v>76</v>
      </c>
      <c r="E7743" s="128" t="s">
        <v>134</v>
      </c>
      <c r="F7743" s="128">
        <v>60650897.82</v>
      </c>
      <c r="G7743" s="128">
        <v>27981604.18</v>
      </c>
      <c r="H7743" s="128">
        <v>32669106.879999999</v>
      </c>
      <c r="I7743" s="128">
        <v>383139</v>
      </c>
    </row>
    <row r="7744" spans="1:9" ht="13.5">
      <c r="A7744" s="128">
        <v>2013</v>
      </c>
      <c r="B7744" s="128" t="s">
        <v>131</v>
      </c>
      <c r="C7744" s="128" t="s">
        <v>22</v>
      </c>
      <c r="D7744" s="128" t="s">
        <v>76</v>
      </c>
      <c r="E7744" s="128" t="s">
        <v>135</v>
      </c>
      <c r="F7744" s="128">
        <v>6732891.8399999999</v>
      </c>
      <c r="G7744" s="128">
        <v>1970883.31</v>
      </c>
      <c r="H7744" s="128">
        <v>4762006.25</v>
      </c>
      <c r="I7744" s="128">
        <v>14713</v>
      </c>
    </row>
    <row r="7745" spans="1:9" ht="13.5">
      <c r="A7745" s="128">
        <v>2013</v>
      </c>
      <c r="B7745" s="128" t="s">
        <v>131</v>
      </c>
      <c r="C7745" s="128" t="s">
        <v>23</v>
      </c>
      <c r="D7745" s="128" t="s">
        <v>79</v>
      </c>
      <c r="E7745" s="128" t="s">
        <v>136</v>
      </c>
      <c r="F7745" s="128">
        <v>2024396.19</v>
      </c>
      <c r="G7745" s="128">
        <v>1523421.02</v>
      </c>
      <c r="H7745" s="128">
        <v>500745.3</v>
      </c>
      <c r="I7745" s="128">
        <v>19345</v>
      </c>
    </row>
    <row r="7746" spans="1:9" ht="13.5">
      <c r="A7746" s="128">
        <v>2013</v>
      </c>
      <c r="B7746" s="128" t="s">
        <v>131</v>
      </c>
      <c r="C7746" s="128" t="s">
        <v>23</v>
      </c>
      <c r="D7746" s="128" t="s">
        <v>79</v>
      </c>
      <c r="E7746" s="128" t="s">
        <v>132</v>
      </c>
      <c r="F7746" s="128">
        <v>412493.28</v>
      </c>
      <c r="G7746" s="128">
        <v>266789.36</v>
      </c>
      <c r="H7746" s="128">
        <v>122874.04</v>
      </c>
      <c r="I7746" s="128">
        <v>2583</v>
      </c>
    </row>
    <row r="7747" spans="1:9" ht="13.5">
      <c r="A7747" s="128">
        <v>2013</v>
      </c>
      <c r="B7747" s="128" t="s">
        <v>131</v>
      </c>
      <c r="C7747" s="128" t="s">
        <v>23</v>
      </c>
      <c r="D7747" s="128" t="s">
        <v>79</v>
      </c>
      <c r="E7747" s="128" t="s">
        <v>133</v>
      </c>
      <c r="F7747" s="128">
        <v>1063795.8</v>
      </c>
      <c r="G7747" s="128">
        <v>575853.18999999994</v>
      </c>
      <c r="H7747" s="128">
        <v>389249.65</v>
      </c>
      <c r="I7747" s="128">
        <v>7840</v>
      </c>
    </row>
    <row r="7748" spans="1:9" ht="13.5">
      <c r="A7748" s="128">
        <v>2013</v>
      </c>
      <c r="B7748" s="128" t="s">
        <v>131</v>
      </c>
      <c r="C7748" s="128" t="s">
        <v>23</v>
      </c>
      <c r="D7748" s="128" t="s">
        <v>79</v>
      </c>
      <c r="E7748" s="128" t="s">
        <v>134</v>
      </c>
      <c r="F7748" s="128">
        <v>1772036.51</v>
      </c>
      <c r="G7748" s="128">
        <v>779811.81</v>
      </c>
      <c r="H7748" s="128">
        <v>786655.07</v>
      </c>
      <c r="I7748" s="128">
        <v>6783</v>
      </c>
    </row>
    <row r="7749" spans="1:9" ht="13.5">
      <c r="A7749" s="128">
        <v>2013</v>
      </c>
      <c r="B7749" s="128" t="s">
        <v>131</v>
      </c>
      <c r="C7749" s="128" t="s">
        <v>23</v>
      </c>
      <c r="D7749" s="128" t="s">
        <v>79</v>
      </c>
      <c r="E7749" s="128" t="s">
        <v>135</v>
      </c>
      <c r="F7749" s="128">
        <v>2164638.65</v>
      </c>
      <c r="G7749" s="128">
        <v>564391.56000000006</v>
      </c>
      <c r="H7749" s="128">
        <v>215494.18</v>
      </c>
      <c r="I7749" s="128">
        <v>5266</v>
      </c>
    </row>
    <row r="7750" spans="1:9" ht="13.5">
      <c r="A7750" s="128">
        <v>2013</v>
      </c>
      <c r="B7750" s="128" t="s">
        <v>131</v>
      </c>
      <c r="C7750" s="128" t="s">
        <v>23</v>
      </c>
      <c r="D7750" s="128" t="s">
        <v>77</v>
      </c>
      <c r="E7750" s="128" t="s">
        <v>132</v>
      </c>
      <c r="F7750" s="128">
        <v>432747.58</v>
      </c>
      <c r="G7750" s="128">
        <v>291511.75</v>
      </c>
      <c r="H7750" s="128">
        <v>123007.99</v>
      </c>
      <c r="I7750" s="128">
        <v>2132</v>
      </c>
    </row>
    <row r="7751" spans="1:9" ht="13.5">
      <c r="A7751" s="128">
        <v>2013</v>
      </c>
      <c r="B7751" s="128" t="s">
        <v>131</v>
      </c>
      <c r="C7751" s="128" t="s">
        <v>23</v>
      </c>
      <c r="D7751" s="128" t="s">
        <v>77</v>
      </c>
      <c r="E7751" s="128" t="s">
        <v>133</v>
      </c>
      <c r="F7751" s="128">
        <v>703186.7</v>
      </c>
      <c r="G7751" s="128">
        <v>381974.05</v>
      </c>
      <c r="H7751" s="128">
        <v>252527.49</v>
      </c>
      <c r="I7751" s="128">
        <v>3094</v>
      </c>
    </row>
    <row r="7752" spans="1:9" ht="13.5">
      <c r="A7752" s="128">
        <v>2013</v>
      </c>
      <c r="B7752" s="128" t="s">
        <v>131</v>
      </c>
      <c r="C7752" s="128" t="s">
        <v>23</v>
      </c>
      <c r="D7752" s="128" t="s">
        <v>77</v>
      </c>
      <c r="E7752" s="128" t="s">
        <v>134</v>
      </c>
      <c r="F7752" s="128">
        <v>2767929.62</v>
      </c>
      <c r="G7752" s="128">
        <v>1168995.25</v>
      </c>
      <c r="H7752" s="128">
        <v>1170118.98</v>
      </c>
      <c r="I7752" s="128">
        <v>4056</v>
      </c>
    </row>
    <row r="7753" spans="1:9" ht="13.5">
      <c r="A7753" s="128">
        <v>2013</v>
      </c>
      <c r="B7753" s="128" t="s">
        <v>131</v>
      </c>
      <c r="C7753" s="128" t="s">
        <v>23</v>
      </c>
      <c r="D7753" s="128" t="s">
        <v>77</v>
      </c>
      <c r="E7753" s="128" t="s">
        <v>135</v>
      </c>
      <c r="F7753" s="128">
        <v>1478938.44</v>
      </c>
      <c r="G7753" s="128">
        <v>435752.95</v>
      </c>
      <c r="H7753" s="128">
        <v>479742.2</v>
      </c>
      <c r="I7753" s="128">
        <v>3957</v>
      </c>
    </row>
    <row r="7754" spans="1:9" ht="13.5">
      <c r="A7754" s="128">
        <v>2013</v>
      </c>
      <c r="B7754" s="128" t="s">
        <v>131</v>
      </c>
      <c r="C7754" s="128" t="s">
        <v>23</v>
      </c>
      <c r="D7754" s="128" t="s">
        <v>76</v>
      </c>
      <c r="E7754" s="128" t="s">
        <v>136</v>
      </c>
      <c r="F7754" s="128">
        <v>4702068.6500000004</v>
      </c>
      <c r="G7754" s="128">
        <v>3532076.97</v>
      </c>
      <c r="H7754" s="128">
        <v>1170030.6100000001</v>
      </c>
      <c r="I7754" s="128">
        <v>65965</v>
      </c>
    </row>
    <row r="7755" spans="1:9" ht="13.5">
      <c r="A7755" s="128">
        <v>2013</v>
      </c>
      <c r="B7755" s="128" t="s">
        <v>131</v>
      </c>
      <c r="C7755" s="128" t="s">
        <v>23</v>
      </c>
      <c r="D7755" s="128" t="s">
        <v>76</v>
      </c>
      <c r="E7755" s="128" t="s">
        <v>132</v>
      </c>
      <c r="F7755" s="128">
        <v>9338637.6899999995</v>
      </c>
      <c r="G7755" s="128">
        <v>6013521.9100000001</v>
      </c>
      <c r="H7755" s="128">
        <v>3325085.03</v>
      </c>
      <c r="I7755" s="128">
        <v>86450</v>
      </c>
    </row>
    <row r="7756" spans="1:9" ht="13.5">
      <c r="A7756" s="128">
        <v>2013</v>
      </c>
      <c r="B7756" s="128" t="s">
        <v>131</v>
      </c>
      <c r="C7756" s="128" t="s">
        <v>23</v>
      </c>
      <c r="D7756" s="128" t="s">
        <v>76</v>
      </c>
      <c r="E7756" s="128" t="s">
        <v>133</v>
      </c>
      <c r="F7756" s="128">
        <v>22173895.850000001</v>
      </c>
      <c r="G7756" s="128">
        <v>12170266.449999999</v>
      </c>
      <c r="H7756" s="128">
        <v>10003606.59</v>
      </c>
      <c r="I7756" s="128">
        <v>193831</v>
      </c>
    </row>
    <row r="7757" spans="1:9" ht="13.5">
      <c r="A7757" s="128">
        <v>2013</v>
      </c>
      <c r="B7757" s="128" t="s">
        <v>131</v>
      </c>
      <c r="C7757" s="128" t="s">
        <v>23</v>
      </c>
      <c r="D7757" s="128" t="s">
        <v>76</v>
      </c>
      <c r="E7757" s="128" t="s">
        <v>134</v>
      </c>
      <c r="F7757" s="128">
        <v>41247362.219999999</v>
      </c>
      <c r="G7757" s="128">
        <v>18507095.949999999</v>
      </c>
      <c r="H7757" s="128">
        <v>22740249.789999999</v>
      </c>
      <c r="I7757" s="128">
        <v>165825</v>
      </c>
    </row>
    <row r="7758" spans="1:9" ht="13.5">
      <c r="A7758" s="128">
        <v>2013</v>
      </c>
      <c r="B7758" s="128" t="s">
        <v>131</v>
      </c>
      <c r="C7758" s="128" t="s">
        <v>23</v>
      </c>
      <c r="D7758" s="128" t="s">
        <v>76</v>
      </c>
      <c r="E7758" s="128" t="s">
        <v>135</v>
      </c>
      <c r="F7758" s="128">
        <v>2041742.74</v>
      </c>
      <c r="G7758" s="128">
        <v>577830</v>
      </c>
      <c r="H7758" s="128">
        <v>1463912.74</v>
      </c>
      <c r="I7758" s="128">
        <v>4120</v>
      </c>
    </row>
    <row r="7759" spans="1:9" ht="13.5">
      <c r="A7759" s="128">
        <v>2013</v>
      </c>
      <c r="B7759" s="128" t="s">
        <v>131</v>
      </c>
      <c r="C7759" s="128" t="s">
        <v>24</v>
      </c>
      <c r="D7759" s="128" t="s">
        <v>79</v>
      </c>
      <c r="E7759" s="128" t="s">
        <v>136</v>
      </c>
      <c r="F7759" s="128">
        <v>1992592.83</v>
      </c>
      <c r="G7759" s="128">
        <v>1503576.17</v>
      </c>
      <c r="H7759" s="128">
        <v>488732.91</v>
      </c>
      <c r="I7759" s="128">
        <v>33868</v>
      </c>
    </row>
    <row r="7760" spans="1:9" ht="13.5">
      <c r="A7760" s="128">
        <v>2013</v>
      </c>
      <c r="B7760" s="128" t="s">
        <v>131</v>
      </c>
      <c r="C7760" s="128" t="s">
        <v>24</v>
      </c>
      <c r="D7760" s="128" t="s">
        <v>79</v>
      </c>
      <c r="E7760" s="128" t="s">
        <v>132</v>
      </c>
      <c r="F7760" s="128">
        <v>333532.44</v>
      </c>
      <c r="G7760" s="128">
        <v>220763.99</v>
      </c>
      <c r="H7760" s="128">
        <v>78799.42</v>
      </c>
      <c r="I7760" s="128">
        <v>2061</v>
      </c>
    </row>
    <row r="7761" spans="1:9" ht="13.5">
      <c r="A7761" s="128">
        <v>2013</v>
      </c>
      <c r="B7761" s="128" t="s">
        <v>131</v>
      </c>
      <c r="C7761" s="128" t="s">
        <v>24</v>
      </c>
      <c r="D7761" s="128" t="s">
        <v>79</v>
      </c>
      <c r="E7761" s="128" t="s">
        <v>133</v>
      </c>
      <c r="F7761" s="128">
        <v>982985.23</v>
      </c>
      <c r="G7761" s="128">
        <v>542257.52</v>
      </c>
      <c r="H7761" s="128">
        <v>210766.32</v>
      </c>
      <c r="I7761" s="128">
        <v>3774</v>
      </c>
    </row>
    <row r="7762" spans="1:9" ht="13.5">
      <c r="A7762" s="128">
        <v>2013</v>
      </c>
      <c r="B7762" s="128" t="s">
        <v>131</v>
      </c>
      <c r="C7762" s="128" t="s">
        <v>24</v>
      </c>
      <c r="D7762" s="128" t="s">
        <v>79</v>
      </c>
      <c r="E7762" s="128" t="s">
        <v>134</v>
      </c>
      <c r="F7762" s="128">
        <v>2598096.6800000002</v>
      </c>
      <c r="G7762" s="128">
        <v>1129209</v>
      </c>
      <c r="H7762" s="128">
        <v>423122.92</v>
      </c>
      <c r="I7762" s="128">
        <v>7790</v>
      </c>
    </row>
    <row r="7763" spans="1:9" ht="13.5">
      <c r="A7763" s="128">
        <v>2013</v>
      </c>
      <c r="B7763" s="128" t="s">
        <v>131</v>
      </c>
      <c r="C7763" s="128" t="s">
        <v>24</v>
      </c>
      <c r="D7763" s="128" t="s">
        <v>79</v>
      </c>
      <c r="E7763" s="128" t="s">
        <v>135</v>
      </c>
      <c r="F7763" s="128">
        <v>9094476.8900000006</v>
      </c>
      <c r="G7763" s="128">
        <v>2226487.79</v>
      </c>
      <c r="H7763" s="128">
        <v>767466.45</v>
      </c>
      <c r="I7763" s="128">
        <v>22338</v>
      </c>
    </row>
    <row r="7764" spans="1:9" ht="13.5">
      <c r="A7764" s="128">
        <v>2013</v>
      </c>
      <c r="B7764" s="128" t="s">
        <v>131</v>
      </c>
      <c r="C7764" s="128" t="s">
        <v>24</v>
      </c>
      <c r="D7764" s="128" t="s">
        <v>77</v>
      </c>
      <c r="E7764" s="128" t="s">
        <v>132</v>
      </c>
      <c r="F7764" s="128">
        <v>2460047.35</v>
      </c>
      <c r="G7764" s="128">
        <v>1706636.55</v>
      </c>
      <c r="H7764" s="128">
        <v>724155.64</v>
      </c>
      <c r="I7764" s="128">
        <v>14347</v>
      </c>
    </row>
    <row r="7765" spans="1:9" ht="13.5">
      <c r="A7765" s="128">
        <v>2013</v>
      </c>
      <c r="B7765" s="128" t="s">
        <v>131</v>
      </c>
      <c r="C7765" s="128" t="s">
        <v>24</v>
      </c>
      <c r="D7765" s="128" t="s">
        <v>77</v>
      </c>
      <c r="E7765" s="128" t="s">
        <v>133</v>
      </c>
      <c r="F7765" s="128">
        <v>3745257.07</v>
      </c>
      <c r="G7765" s="128">
        <v>2014026.55</v>
      </c>
      <c r="H7765" s="128">
        <v>1486586.71</v>
      </c>
      <c r="I7765" s="128">
        <v>29176</v>
      </c>
    </row>
    <row r="7766" spans="1:9" ht="13.5">
      <c r="A7766" s="128">
        <v>2013</v>
      </c>
      <c r="B7766" s="128" t="s">
        <v>131</v>
      </c>
      <c r="C7766" s="128" t="s">
        <v>24</v>
      </c>
      <c r="D7766" s="128" t="s">
        <v>77</v>
      </c>
      <c r="E7766" s="128" t="s">
        <v>134</v>
      </c>
      <c r="F7766" s="128">
        <v>8054676.9500000002</v>
      </c>
      <c r="G7766" s="128">
        <v>3556454.64</v>
      </c>
      <c r="H7766" s="128">
        <v>2715170.18</v>
      </c>
      <c r="I7766" s="128">
        <v>17493</v>
      </c>
    </row>
    <row r="7767" spans="1:9" ht="13.5">
      <c r="A7767" s="128">
        <v>2013</v>
      </c>
      <c r="B7767" s="128" t="s">
        <v>131</v>
      </c>
      <c r="C7767" s="128" t="s">
        <v>24</v>
      </c>
      <c r="D7767" s="128" t="s">
        <v>77</v>
      </c>
      <c r="E7767" s="128" t="s">
        <v>135</v>
      </c>
      <c r="F7767" s="128">
        <v>12372317.779999999</v>
      </c>
      <c r="G7767" s="128">
        <v>3272122.53</v>
      </c>
      <c r="H7767" s="128">
        <v>2060683.46</v>
      </c>
      <c r="I7767" s="128">
        <v>25385</v>
      </c>
    </row>
    <row r="7768" spans="1:9" ht="13.5">
      <c r="A7768" s="128">
        <v>2013</v>
      </c>
      <c r="B7768" s="128" t="s">
        <v>131</v>
      </c>
      <c r="C7768" s="128" t="s">
        <v>24</v>
      </c>
      <c r="D7768" s="128" t="s">
        <v>76</v>
      </c>
      <c r="E7768" s="128" t="s">
        <v>136</v>
      </c>
      <c r="F7768" s="128">
        <v>1683175.71</v>
      </c>
      <c r="G7768" s="128">
        <v>1342096.2</v>
      </c>
      <c r="H7768" s="128">
        <v>341116.06</v>
      </c>
      <c r="I7768" s="128">
        <v>13147</v>
      </c>
    </row>
    <row r="7769" spans="1:9" ht="13.5">
      <c r="A7769" s="128">
        <v>2013</v>
      </c>
      <c r="B7769" s="128" t="s">
        <v>131</v>
      </c>
      <c r="C7769" s="128" t="s">
        <v>24</v>
      </c>
      <c r="D7769" s="128" t="s">
        <v>76</v>
      </c>
      <c r="E7769" s="128" t="s">
        <v>132</v>
      </c>
      <c r="F7769" s="128">
        <v>8167967.4900000002</v>
      </c>
      <c r="G7769" s="128">
        <v>5230686.7699999996</v>
      </c>
      <c r="H7769" s="128">
        <v>2937269.19</v>
      </c>
      <c r="I7769" s="128">
        <v>86549</v>
      </c>
    </row>
    <row r="7770" spans="1:9" ht="13.5">
      <c r="A7770" s="128">
        <v>2013</v>
      </c>
      <c r="B7770" s="128" t="s">
        <v>131</v>
      </c>
      <c r="C7770" s="128" t="s">
        <v>24</v>
      </c>
      <c r="D7770" s="128" t="s">
        <v>76</v>
      </c>
      <c r="E7770" s="128" t="s">
        <v>133</v>
      </c>
      <c r="F7770" s="128">
        <v>35929659.119999997</v>
      </c>
      <c r="G7770" s="128">
        <v>19892189.140000001</v>
      </c>
      <c r="H7770" s="128">
        <v>16037462.73</v>
      </c>
      <c r="I7770" s="128">
        <v>277716</v>
      </c>
    </row>
    <row r="7771" spans="1:9" ht="13.5">
      <c r="A7771" s="128">
        <v>2013</v>
      </c>
      <c r="B7771" s="128" t="s">
        <v>131</v>
      </c>
      <c r="C7771" s="128" t="s">
        <v>24</v>
      </c>
      <c r="D7771" s="128" t="s">
        <v>76</v>
      </c>
      <c r="E7771" s="128" t="s">
        <v>134</v>
      </c>
      <c r="F7771" s="128">
        <v>43785516.479999997</v>
      </c>
      <c r="G7771" s="128">
        <v>19415781.039999999</v>
      </c>
      <c r="H7771" s="128">
        <v>24369716.899999999</v>
      </c>
      <c r="I7771" s="128">
        <v>206161</v>
      </c>
    </row>
    <row r="7772" spans="1:9" ht="13.5">
      <c r="A7772" s="128">
        <v>2013</v>
      </c>
      <c r="B7772" s="128" t="s">
        <v>131</v>
      </c>
      <c r="C7772" s="128" t="s">
        <v>24</v>
      </c>
      <c r="D7772" s="128" t="s">
        <v>76</v>
      </c>
      <c r="E7772" s="128" t="s">
        <v>135</v>
      </c>
      <c r="F7772" s="128">
        <v>3643544.72</v>
      </c>
      <c r="G7772" s="128">
        <v>963140.02</v>
      </c>
      <c r="H7772" s="128">
        <v>2680404.7000000002</v>
      </c>
      <c r="I7772" s="128">
        <v>2787</v>
      </c>
    </row>
    <row r="7773" spans="1:9" ht="13.5">
      <c r="A7773" s="128">
        <v>2013</v>
      </c>
      <c r="B7773" s="128" t="s">
        <v>131</v>
      </c>
      <c r="C7773" s="128" t="s">
        <v>25</v>
      </c>
      <c r="D7773" s="128" t="s">
        <v>79</v>
      </c>
      <c r="E7773" s="128" t="s">
        <v>136</v>
      </c>
      <c r="F7773" s="128">
        <v>531207.42000000004</v>
      </c>
      <c r="G7773" s="128">
        <v>399104.89</v>
      </c>
      <c r="H7773" s="128">
        <v>132070.82999999999</v>
      </c>
      <c r="I7773" s="128">
        <v>7894</v>
      </c>
    </row>
    <row r="7774" spans="1:9" ht="13.5">
      <c r="A7774" s="128">
        <v>2013</v>
      </c>
      <c r="B7774" s="128" t="s">
        <v>131</v>
      </c>
      <c r="C7774" s="128" t="s">
        <v>25</v>
      </c>
      <c r="D7774" s="128" t="s">
        <v>79</v>
      </c>
      <c r="E7774" s="128" t="s">
        <v>132</v>
      </c>
      <c r="F7774" s="128">
        <v>87915.02</v>
      </c>
      <c r="G7774" s="128">
        <v>58859.91</v>
      </c>
      <c r="H7774" s="128">
        <v>24808.29</v>
      </c>
      <c r="I7774" s="128">
        <v>783</v>
      </c>
    </row>
    <row r="7775" spans="1:9" ht="13.5">
      <c r="A7775" s="128">
        <v>2013</v>
      </c>
      <c r="B7775" s="128" t="s">
        <v>131</v>
      </c>
      <c r="C7775" s="128" t="s">
        <v>25</v>
      </c>
      <c r="D7775" s="128" t="s">
        <v>79</v>
      </c>
      <c r="E7775" s="128" t="s">
        <v>133</v>
      </c>
      <c r="F7775" s="128">
        <v>125323.46</v>
      </c>
      <c r="G7775" s="128">
        <v>67396.960000000006</v>
      </c>
      <c r="H7775" s="128">
        <v>34809.26</v>
      </c>
      <c r="I7775" s="128">
        <v>320</v>
      </c>
    </row>
    <row r="7776" spans="1:9" ht="13.5">
      <c r="A7776" s="128">
        <v>2013</v>
      </c>
      <c r="B7776" s="128" t="s">
        <v>131</v>
      </c>
      <c r="C7776" s="128" t="s">
        <v>25</v>
      </c>
      <c r="D7776" s="128" t="s">
        <v>79</v>
      </c>
      <c r="E7776" s="128" t="s">
        <v>134</v>
      </c>
      <c r="F7776" s="128">
        <v>558136.96</v>
      </c>
      <c r="G7776" s="128">
        <v>243449.28</v>
      </c>
      <c r="H7776" s="128">
        <v>119486.84</v>
      </c>
      <c r="I7776" s="128">
        <v>1551</v>
      </c>
    </row>
    <row r="7777" spans="1:9" ht="13.5">
      <c r="A7777" s="128">
        <v>2013</v>
      </c>
      <c r="B7777" s="128" t="s">
        <v>131</v>
      </c>
      <c r="C7777" s="128" t="s">
        <v>25</v>
      </c>
      <c r="D7777" s="128" t="s">
        <v>79</v>
      </c>
      <c r="E7777" s="128" t="s">
        <v>135</v>
      </c>
      <c r="F7777" s="128">
        <v>2157221.63</v>
      </c>
      <c r="G7777" s="128">
        <v>537671.17000000004</v>
      </c>
      <c r="H7777" s="128">
        <v>186202.05</v>
      </c>
      <c r="I7777" s="128">
        <v>3258</v>
      </c>
    </row>
    <row r="7778" spans="1:9" ht="13.5">
      <c r="A7778" s="128">
        <v>2013</v>
      </c>
      <c r="B7778" s="128" t="s">
        <v>131</v>
      </c>
      <c r="C7778" s="128" t="s">
        <v>25</v>
      </c>
      <c r="D7778" s="128" t="s">
        <v>77</v>
      </c>
      <c r="E7778" s="128" t="s">
        <v>132</v>
      </c>
      <c r="F7778" s="128">
        <v>220641.57</v>
      </c>
      <c r="G7778" s="128">
        <v>149383.41</v>
      </c>
      <c r="H7778" s="128">
        <v>62055.06</v>
      </c>
      <c r="I7778" s="128">
        <v>1259</v>
      </c>
    </row>
    <row r="7779" spans="1:9" ht="13.5">
      <c r="A7779" s="128">
        <v>2013</v>
      </c>
      <c r="B7779" s="128" t="s">
        <v>131</v>
      </c>
      <c r="C7779" s="128" t="s">
        <v>25</v>
      </c>
      <c r="D7779" s="128" t="s">
        <v>77</v>
      </c>
      <c r="E7779" s="128" t="s">
        <v>133</v>
      </c>
      <c r="F7779" s="128">
        <v>233524.76</v>
      </c>
      <c r="G7779" s="128">
        <v>125454</v>
      </c>
      <c r="H7779" s="128">
        <v>91089.7</v>
      </c>
      <c r="I7779" s="128">
        <v>781</v>
      </c>
    </row>
    <row r="7780" spans="1:9" ht="13.5">
      <c r="A7780" s="128">
        <v>2013</v>
      </c>
      <c r="B7780" s="128" t="s">
        <v>131</v>
      </c>
      <c r="C7780" s="128" t="s">
        <v>25</v>
      </c>
      <c r="D7780" s="128" t="s">
        <v>77</v>
      </c>
      <c r="E7780" s="128" t="s">
        <v>134</v>
      </c>
      <c r="F7780" s="128">
        <v>792067.94</v>
      </c>
      <c r="G7780" s="128">
        <v>342751.2</v>
      </c>
      <c r="H7780" s="128">
        <v>344843.33</v>
      </c>
      <c r="I7780" s="128">
        <v>1672</v>
      </c>
    </row>
    <row r="7781" spans="1:9" ht="13.5">
      <c r="A7781" s="128">
        <v>2013</v>
      </c>
      <c r="B7781" s="128" t="s">
        <v>131</v>
      </c>
      <c r="C7781" s="128" t="s">
        <v>25</v>
      </c>
      <c r="D7781" s="128" t="s">
        <v>77</v>
      </c>
      <c r="E7781" s="128" t="s">
        <v>135</v>
      </c>
      <c r="F7781" s="128">
        <v>1052513.6499999999</v>
      </c>
      <c r="G7781" s="128">
        <v>323072.55</v>
      </c>
      <c r="H7781" s="128">
        <v>377301.54</v>
      </c>
      <c r="I7781" s="128">
        <v>3994</v>
      </c>
    </row>
    <row r="7782" spans="1:9" ht="13.5">
      <c r="A7782" s="128">
        <v>2013</v>
      </c>
      <c r="B7782" s="128" t="s">
        <v>131</v>
      </c>
      <c r="C7782" s="128" t="s">
        <v>25</v>
      </c>
      <c r="D7782" s="128" t="s">
        <v>76</v>
      </c>
      <c r="E7782" s="128" t="s">
        <v>136</v>
      </c>
      <c r="F7782" s="128">
        <v>1892614.87</v>
      </c>
      <c r="G7782" s="128">
        <v>1422582.43</v>
      </c>
      <c r="H7782" s="128">
        <v>470031.89</v>
      </c>
      <c r="I7782" s="128">
        <v>27852</v>
      </c>
    </row>
    <row r="7783" spans="1:9" ht="13.5">
      <c r="A7783" s="128">
        <v>2013</v>
      </c>
      <c r="B7783" s="128" t="s">
        <v>131</v>
      </c>
      <c r="C7783" s="128" t="s">
        <v>25</v>
      </c>
      <c r="D7783" s="128" t="s">
        <v>76</v>
      </c>
      <c r="E7783" s="128" t="s">
        <v>132</v>
      </c>
      <c r="F7783" s="128">
        <v>3524793.29</v>
      </c>
      <c r="G7783" s="128">
        <v>2232035.73</v>
      </c>
      <c r="H7783" s="128">
        <v>1292755.7</v>
      </c>
      <c r="I7783" s="128">
        <v>24989</v>
      </c>
    </row>
    <row r="7784" spans="1:9" ht="13.5">
      <c r="A7784" s="128">
        <v>2013</v>
      </c>
      <c r="B7784" s="128" t="s">
        <v>131</v>
      </c>
      <c r="C7784" s="128" t="s">
        <v>25</v>
      </c>
      <c r="D7784" s="128" t="s">
        <v>76</v>
      </c>
      <c r="E7784" s="128" t="s">
        <v>133</v>
      </c>
      <c r="F7784" s="128">
        <v>8356249.29</v>
      </c>
      <c r="G7784" s="128">
        <v>4568677.9800000004</v>
      </c>
      <c r="H7784" s="128">
        <v>3787548.65</v>
      </c>
      <c r="I7784" s="128">
        <v>48882</v>
      </c>
    </row>
    <row r="7785" spans="1:9" ht="13.5">
      <c r="A7785" s="128">
        <v>2013</v>
      </c>
      <c r="B7785" s="128" t="s">
        <v>131</v>
      </c>
      <c r="C7785" s="128" t="s">
        <v>25</v>
      </c>
      <c r="D7785" s="128" t="s">
        <v>76</v>
      </c>
      <c r="E7785" s="128" t="s">
        <v>134</v>
      </c>
      <c r="F7785" s="128">
        <v>7446738.8200000003</v>
      </c>
      <c r="G7785" s="128">
        <v>3399232.2</v>
      </c>
      <c r="H7785" s="128">
        <v>4047472.22</v>
      </c>
      <c r="I7785" s="128">
        <v>39844</v>
      </c>
    </row>
    <row r="7786" spans="1:9" ht="13.5">
      <c r="A7786" s="128">
        <v>2013</v>
      </c>
      <c r="B7786" s="128" t="s">
        <v>131</v>
      </c>
      <c r="C7786" s="128" t="s">
        <v>25</v>
      </c>
      <c r="D7786" s="128" t="s">
        <v>76</v>
      </c>
      <c r="E7786" s="128" t="s">
        <v>135</v>
      </c>
      <c r="F7786" s="128">
        <v>579247.4</v>
      </c>
      <c r="G7786" s="128">
        <v>166394</v>
      </c>
      <c r="H7786" s="128">
        <v>412853.1</v>
      </c>
      <c r="I7786" s="128">
        <v>644</v>
      </c>
    </row>
    <row r="7787" spans="1:9" ht="13.5">
      <c r="A7787" s="128">
        <v>2013</v>
      </c>
      <c r="B7787" s="128" t="s">
        <v>131</v>
      </c>
      <c r="C7787" s="128" t="s">
        <v>26</v>
      </c>
      <c r="D7787" s="128" t="s">
        <v>79</v>
      </c>
      <c r="E7787" s="128" t="s">
        <v>136</v>
      </c>
      <c r="F7787" s="128">
        <v>852453.98</v>
      </c>
      <c r="G7787" s="128">
        <v>641498.52</v>
      </c>
      <c r="H7787" s="128">
        <v>210953.36</v>
      </c>
      <c r="I7787" s="128">
        <v>8296</v>
      </c>
    </row>
    <row r="7788" spans="1:9" ht="13.5">
      <c r="A7788" s="128">
        <v>2013</v>
      </c>
      <c r="B7788" s="128" t="s">
        <v>131</v>
      </c>
      <c r="C7788" s="128" t="s">
        <v>26</v>
      </c>
      <c r="D7788" s="128" t="s">
        <v>79</v>
      </c>
      <c r="E7788" s="128" t="s">
        <v>132</v>
      </c>
      <c r="F7788" s="128">
        <v>73909.7</v>
      </c>
      <c r="G7788" s="128">
        <v>48271.02</v>
      </c>
      <c r="H7788" s="128">
        <v>21194.75</v>
      </c>
      <c r="I7788" s="128">
        <v>562</v>
      </c>
    </row>
    <row r="7789" spans="1:9" ht="13.5">
      <c r="A7789" s="128">
        <v>2013</v>
      </c>
      <c r="B7789" s="128" t="s">
        <v>131</v>
      </c>
      <c r="C7789" s="128" t="s">
        <v>26</v>
      </c>
      <c r="D7789" s="128" t="s">
        <v>79</v>
      </c>
      <c r="E7789" s="128" t="s">
        <v>133</v>
      </c>
      <c r="F7789" s="128">
        <v>137834.57999999999</v>
      </c>
      <c r="G7789" s="128">
        <v>74898.720000000001</v>
      </c>
      <c r="H7789" s="128">
        <v>28457.5</v>
      </c>
      <c r="I7789" s="128">
        <v>533</v>
      </c>
    </row>
    <row r="7790" spans="1:9" ht="13.5">
      <c r="A7790" s="128">
        <v>2013</v>
      </c>
      <c r="B7790" s="128" t="s">
        <v>131</v>
      </c>
      <c r="C7790" s="128" t="s">
        <v>26</v>
      </c>
      <c r="D7790" s="128" t="s">
        <v>79</v>
      </c>
      <c r="E7790" s="128" t="s">
        <v>134</v>
      </c>
      <c r="F7790" s="128">
        <v>738739.14</v>
      </c>
      <c r="G7790" s="128">
        <v>309616.71000000002</v>
      </c>
      <c r="H7790" s="128">
        <v>110109.37</v>
      </c>
      <c r="I7790" s="128">
        <v>2711</v>
      </c>
    </row>
    <row r="7791" spans="1:9" ht="13.5">
      <c r="A7791" s="128">
        <v>2013</v>
      </c>
      <c r="B7791" s="128" t="s">
        <v>131</v>
      </c>
      <c r="C7791" s="128" t="s">
        <v>26</v>
      </c>
      <c r="D7791" s="128" t="s">
        <v>79</v>
      </c>
      <c r="E7791" s="128" t="s">
        <v>135</v>
      </c>
      <c r="F7791" s="128">
        <v>8177792.7000000002</v>
      </c>
      <c r="G7791" s="128">
        <v>2001269.07</v>
      </c>
      <c r="H7791" s="128">
        <v>672261.99</v>
      </c>
      <c r="I7791" s="128">
        <v>11895</v>
      </c>
    </row>
    <row r="7792" spans="1:9" ht="13.5">
      <c r="A7792" s="128">
        <v>2013</v>
      </c>
      <c r="B7792" s="128" t="s">
        <v>131</v>
      </c>
      <c r="C7792" s="128" t="s">
        <v>26</v>
      </c>
      <c r="D7792" s="128" t="s">
        <v>77</v>
      </c>
      <c r="E7792" s="128" t="s">
        <v>132</v>
      </c>
      <c r="F7792" s="128">
        <v>77370.3</v>
      </c>
      <c r="G7792" s="128">
        <v>52017.67</v>
      </c>
      <c r="H7792" s="128">
        <v>23507.45</v>
      </c>
      <c r="I7792" s="128">
        <v>192</v>
      </c>
    </row>
    <row r="7793" spans="1:9" ht="13.5">
      <c r="A7793" s="128">
        <v>2013</v>
      </c>
      <c r="B7793" s="128" t="s">
        <v>131</v>
      </c>
      <c r="C7793" s="128" t="s">
        <v>26</v>
      </c>
      <c r="D7793" s="128" t="s">
        <v>77</v>
      </c>
      <c r="E7793" s="128" t="s">
        <v>133</v>
      </c>
      <c r="F7793" s="128">
        <v>89017.24</v>
      </c>
      <c r="G7793" s="128">
        <v>49452.5</v>
      </c>
      <c r="H7793" s="128">
        <v>35061.769999999997</v>
      </c>
      <c r="I7793" s="128">
        <v>312</v>
      </c>
    </row>
    <row r="7794" spans="1:9" ht="13.5">
      <c r="A7794" s="128">
        <v>2013</v>
      </c>
      <c r="B7794" s="128" t="s">
        <v>131</v>
      </c>
      <c r="C7794" s="128" t="s">
        <v>26</v>
      </c>
      <c r="D7794" s="128" t="s">
        <v>77</v>
      </c>
      <c r="E7794" s="128" t="s">
        <v>134</v>
      </c>
      <c r="F7794" s="128">
        <v>241176.41</v>
      </c>
      <c r="G7794" s="128">
        <v>104560.61</v>
      </c>
      <c r="H7794" s="128">
        <v>101215.69</v>
      </c>
      <c r="I7794" s="128">
        <v>732</v>
      </c>
    </row>
    <row r="7795" spans="1:9" ht="13.5">
      <c r="A7795" s="128">
        <v>2013</v>
      </c>
      <c r="B7795" s="128" t="s">
        <v>131</v>
      </c>
      <c r="C7795" s="128" t="s">
        <v>26</v>
      </c>
      <c r="D7795" s="128" t="s">
        <v>77</v>
      </c>
      <c r="E7795" s="128" t="s">
        <v>135</v>
      </c>
      <c r="F7795" s="128">
        <v>955645.96</v>
      </c>
      <c r="G7795" s="128">
        <v>267791.95</v>
      </c>
      <c r="H7795" s="128">
        <v>282524.13</v>
      </c>
      <c r="I7795" s="128">
        <v>3091</v>
      </c>
    </row>
    <row r="7796" spans="1:9" ht="13.5">
      <c r="A7796" s="128">
        <v>2013</v>
      </c>
      <c r="B7796" s="128" t="s">
        <v>131</v>
      </c>
      <c r="C7796" s="128" t="s">
        <v>26</v>
      </c>
      <c r="D7796" s="128" t="s">
        <v>76</v>
      </c>
      <c r="E7796" s="128" t="s">
        <v>136</v>
      </c>
      <c r="F7796" s="128">
        <v>419369.24</v>
      </c>
      <c r="G7796" s="128">
        <v>316208.87</v>
      </c>
      <c r="H7796" s="128">
        <v>103160.36</v>
      </c>
      <c r="I7796" s="128">
        <v>13456</v>
      </c>
    </row>
    <row r="7797" spans="1:9" ht="13.5">
      <c r="A7797" s="128">
        <v>2013</v>
      </c>
      <c r="B7797" s="128" t="s">
        <v>131</v>
      </c>
      <c r="C7797" s="128" t="s">
        <v>26</v>
      </c>
      <c r="D7797" s="128" t="s">
        <v>76</v>
      </c>
      <c r="E7797" s="128" t="s">
        <v>132</v>
      </c>
      <c r="F7797" s="128">
        <v>1101455.8600000001</v>
      </c>
      <c r="G7797" s="128">
        <v>711774.77</v>
      </c>
      <c r="H7797" s="128">
        <v>389627.68</v>
      </c>
      <c r="I7797" s="128">
        <v>11778</v>
      </c>
    </row>
    <row r="7798" spans="1:9" ht="13.5">
      <c r="A7798" s="128">
        <v>2013</v>
      </c>
      <c r="B7798" s="128" t="s">
        <v>131</v>
      </c>
      <c r="C7798" s="128" t="s">
        <v>26</v>
      </c>
      <c r="D7798" s="128" t="s">
        <v>76</v>
      </c>
      <c r="E7798" s="128" t="s">
        <v>133</v>
      </c>
      <c r="F7798" s="128">
        <v>2888018.48</v>
      </c>
      <c r="G7798" s="128">
        <v>1595150.81</v>
      </c>
      <c r="H7798" s="128">
        <v>1292854.48</v>
      </c>
      <c r="I7798" s="128">
        <v>18052</v>
      </c>
    </row>
    <row r="7799" spans="1:9" ht="13.5">
      <c r="A7799" s="128">
        <v>2013</v>
      </c>
      <c r="B7799" s="128" t="s">
        <v>131</v>
      </c>
      <c r="C7799" s="128" t="s">
        <v>26</v>
      </c>
      <c r="D7799" s="128" t="s">
        <v>76</v>
      </c>
      <c r="E7799" s="128" t="s">
        <v>134</v>
      </c>
      <c r="F7799" s="128">
        <v>2318978.15</v>
      </c>
      <c r="G7799" s="128">
        <v>1059978.5900000001</v>
      </c>
      <c r="H7799" s="128">
        <v>1258957.3</v>
      </c>
      <c r="I7799" s="128">
        <v>15220</v>
      </c>
    </row>
    <row r="7800" spans="1:9" ht="13.5">
      <c r="A7800" s="128">
        <v>2013</v>
      </c>
      <c r="B7800" s="128" t="s">
        <v>131</v>
      </c>
      <c r="C7800" s="128" t="s">
        <v>26</v>
      </c>
      <c r="D7800" s="128" t="s">
        <v>76</v>
      </c>
      <c r="E7800" s="128" t="s">
        <v>135</v>
      </c>
      <c r="F7800" s="128">
        <v>373554.08</v>
      </c>
      <c r="G7800" s="128">
        <v>118220.46</v>
      </c>
      <c r="H7800" s="128">
        <v>255333.02</v>
      </c>
      <c r="I7800" s="128">
        <v>1183</v>
      </c>
    </row>
    <row r="7801" spans="1:9" ht="13.5">
      <c r="A7801" s="128">
        <v>2013</v>
      </c>
      <c r="B7801" s="128" t="s">
        <v>131</v>
      </c>
      <c r="C7801" s="128" t="s">
        <v>27</v>
      </c>
      <c r="D7801" s="128" t="s">
        <v>79</v>
      </c>
      <c r="E7801" s="128" t="s">
        <v>136</v>
      </c>
      <c r="F7801" s="128">
        <v>309951.31</v>
      </c>
      <c r="G7801" s="128">
        <v>233087.86</v>
      </c>
      <c r="H7801" s="128">
        <v>76863.45</v>
      </c>
      <c r="I7801" s="128">
        <v>1064</v>
      </c>
    </row>
    <row r="7802" spans="1:9" ht="13.5">
      <c r="A7802" s="128">
        <v>2013</v>
      </c>
      <c r="B7802" s="128" t="s">
        <v>131</v>
      </c>
      <c r="C7802" s="128" t="s">
        <v>27</v>
      </c>
      <c r="D7802" s="128" t="s">
        <v>79</v>
      </c>
      <c r="E7802" s="128" t="s">
        <v>132</v>
      </c>
      <c r="F7802" s="128">
        <v>51593.41</v>
      </c>
      <c r="G7802" s="128">
        <v>34679.31</v>
      </c>
      <c r="H7802" s="128">
        <v>14211</v>
      </c>
      <c r="I7802" s="128">
        <v>192</v>
      </c>
    </row>
    <row r="7803" spans="1:9" ht="13.5">
      <c r="A7803" s="128">
        <v>2013</v>
      </c>
      <c r="B7803" s="128" t="s">
        <v>131</v>
      </c>
      <c r="C7803" s="128" t="s">
        <v>27</v>
      </c>
      <c r="D7803" s="128" t="s">
        <v>79</v>
      </c>
      <c r="E7803" s="128" t="s">
        <v>133</v>
      </c>
      <c r="F7803" s="128">
        <v>68603.09</v>
      </c>
      <c r="G7803" s="128">
        <v>36959.65</v>
      </c>
      <c r="H7803" s="128">
        <v>15643.45</v>
      </c>
      <c r="I7803" s="128">
        <v>333</v>
      </c>
    </row>
    <row r="7804" spans="1:9" ht="13.5">
      <c r="A7804" s="128">
        <v>2013</v>
      </c>
      <c r="B7804" s="128" t="s">
        <v>131</v>
      </c>
      <c r="C7804" s="128" t="s">
        <v>27</v>
      </c>
      <c r="D7804" s="128" t="s">
        <v>79</v>
      </c>
      <c r="E7804" s="128" t="s">
        <v>134</v>
      </c>
      <c r="F7804" s="128">
        <v>139179.85</v>
      </c>
      <c r="G7804" s="128">
        <v>59068.76</v>
      </c>
      <c r="H7804" s="128">
        <v>29305.200000000001</v>
      </c>
      <c r="I7804" s="128">
        <v>543</v>
      </c>
    </row>
    <row r="7805" spans="1:9" ht="13.5">
      <c r="A7805" s="128">
        <v>2013</v>
      </c>
      <c r="B7805" s="128" t="s">
        <v>131</v>
      </c>
      <c r="C7805" s="128" t="s">
        <v>27</v>
      </c>
      <c r="D7805" s="128" t="s">
        <v>79</v>
      </c>
      <c r="E7805" s="128" t="s">
        <v>135</v>
      </c>
      <c r="F7805" s="128">
        <v>1579071.38</v>
      </c>
      <c r="G7805" s="128">
        <v>409943.45</v>
      </c>
      <c r="H7805" s="128">
        <v>137034.6</v>
      </c>
      <c r="I7805" s="128">
        <v>2176</v>
      </c>
    </row>
    <row r="7806" spans="1:9" ht="13.5">
      <c r="A7806" s="128">
        <v>2013</v>
      </c>
      <c r="B7806" s="128" t="s">
        <v>131</v>
      </c>
      <c r="C7806" s="128" t="s">
        <v>27</v>
      </c>
      <c r="D7806" s="128" t="s">
        <v>77</v>
      </c>
      <c r="E7806" s="128" t="s">
        <v>132</v>
      </c>
      <c r="F7806" s="128">
        <v>15188.62</v>
      </c>
      <c r="G7806" s="128">
        <v>10134.6</v>
      </c>
      <c r="H7806" s="128">
        <v>4569.7</v>
      </c>
      <c r="I7806" s="128">
        <v>71</v>
      </c>
    </row>
    <row r="7807" spans="1:9" ht="13.5">
      <c r="A7807" s="128">
        <v>2013</v>
      </c>
      <c r="B7807" s="128" t="s">
        <v>131</v>
      </c>
      <c r="C7807" s="128" t="s">
        <v>27</v>
      </c>
      <c r="D7807" s="128" t="s">
        <v>77</v>
      </c>
      <c r="E7807" s="128" t="s">
        <v>133</v>
      </c>
      <c r="F7807" s="128">
        <v>42888.53</v>
      </c>
      <c r="G7807" s="128">
        <v>22996.55</v>
      </c>
      <c r="H7807" s="128">
        <v>17685.05</v>
      </c>
      <c r="I7807" s="128">
        <v>138</v>
      </c>
    </row>
    <row r="7808" spans="1:9" ht="13.5">
      <c r="A7808" s="128">
        <v>2013</v>
      </c>
      <c r="B7808" s="128" t="s">
        <v>131</v>
      </c>
      <c r="C7808" s="128" t="s">
        <v>27</v>
      </c>
      <c r="D7808" s="128" t="s">
        <v>77</v>
      </c>
      <c r="E7808" s="128" t="s">
        <v>134</v>
      </c>
      <c r="F7808" s="128">
        <v>229439.09</v>
      </c>
      <c r="G7808" s="128">
        <v>99247.05</v>
      </c>
      <c r="H7808" s="128">
        <v>93176.83</v>
      </c>
      <c r="I7808" s="128">
        <v>403</v>
      </c>
    </row>
    <row r="7809" spans="1:9" ht="13.5">
      <c r="A7809" s="128">
        <v>2013</v>
      </c>
      <c r="B7809" s="128" t="s">
        <v>131</v>
      </c>
      <c r="C7809" s="128" t="s">
        <v>27</v>
      </c>
      <c r="D7809" s="128" t="s">
        <v>77</v>
      </c>
      <c r="E7809" s="128" t="s">
        <v>135</v>
      </c>
      <c r="F7809" s="128">
        <v>330788.07</v>
      </c>
      <c r="G7809" s="128">
        <v>86652.9</v>
      </c>
      <c r="H7809" s="128">
        <v>96499.75</v>
      </c>
      <c r="I7809" s="128">
        <v>1087</v>
      </c>
    </row>
    <row r="7810" spans="1:9" ht="13.5">
      <c r="A7810" s="128">
        <v>2013</v>
      </c>
      <c r="B7810" s="128" t="s">
        <v>131</v>
      </c>
      <c r="C7810" s="128" t="s">
        <v>27</v>
      </c>
      <c r="D7810" s="128" t="s">
        <v>76</v>
      </c>
      <c r="E7810" s="128" t="s">
        <v>136</v>
      </c>
      <c r="F7810" s="128">
        <v>191688.69</v>
      </c>
      <c r="G7810" s="128">
        <v>143962.67000000001</v>
      </c>
      <c r="H7810" s="128">
        <v>47726.02</v>
      </c>
      <c r="I7810" s="128">
        <v>1992</v>
      </c>
    </row>
    <row r="7811" spans="1:9" ht="13.5">
      <c r="A7811" s="128">
        <v>2013</v>
      </c>
      <c r="B7811" s="128" t="s">
        <v>131</v>
      </c>
      <c r="C7811" s="128" t="s">
        <v>27</v>
      </c>
      <c r="D7811" s="128" t="s">
        <v>76</v>
      </c>
      <c r="E7811" s="128" t="s">
        <v>132</v>
      </c>
      <c r="F7811" s="128">
        <v>490761.35</v>
      </c>
      <c r="G7811" s="128">
        <v>314878.2</v>
      </c>
      <c r="H7811" s="128">
        <v>175880.08</v>
      </c>
      <c r="I7811" s="128">
        <v>3470</v>
      </c>
    </row>
    <row r="7812" spans="1:9" ht="13.5">
      <c r="A7812" s="128">
        <v>2013</v>
      </c>
      <c r="B7812" s="128" t="s">
        <v>131</v>
      </c>
      <c r="C7812" s="128" t="s">
        <v>27</v>
      </c>
      <c r="D7812" s="128" t="s">
        <v>76</v>
      </c>
      <c r="E7812" s="128" t="s">
        <v>133</v>
      </c>
      <c r="F7812" s="128">
        <v>1142254.19</v>
      </c>
      <c r="G7812" s="128">
        <v>630313.61</v>
      </c>
      <c r="H7812" s="128">
        <v>511936.77</v>
      </c>
      <c r="I7812" s="128">
        <v>8583</v>
      </c>
    </row>
    <row r="7813" spans="1:9" ht="13.5">
      <c r="A7813" s="128">
        <v>2013</v>
      </c>
      <c r="B7813" s="128" t="s">
        <v>131</v>
      </c>
      <c r="C7813" s="128" t="s">
        <v>27</v>
      </c>
      <c r="D7813" s="128" t="s">
        <v>76</v>
      </c>
      <c r="E7813" s="128" t="s">
        <v>134</v>
      </c>
      <c r="F7813" s="128">
        <v>1509870.86</v>
      </c>
      <c r="G7813" s="128">
        <v>693307.4</v>
      </c>
      <c r="H7813" s="128">
        <v>816554.92</v>
      </c>
      <c r="I7813" s="128">
        <v>7024</v>
      </c>
    </row>
    <row r="7814" spans="1:9" ht="13.5">
      <c r="A7814" s="128">
        <v>2013</v>
      </c>
      <c r="B7814" s="128" t="s">
        <v>131</v>
      </c>
      <c r="C7814" s="128" t="s">
        <v>27</v>
      </c>
      <c r="D7814" s="128" t="s">
        <v>76</v>
      </c>
      <c r="E7814" s="128" t="s">
        <v>135</v>
      </c>
      <c r="F7814" s="128">
        <v>64237.35</v>
      </c>
      <c r="G7814" s="128">
        <v>18431.849999999999</v>
      </c>
      <c r="H7814" s="128">
        <v>45805.5</v>
      </c>
      <c r="I7814" s="128">
        <v>113</v>
      </c>
    </row>
    <row r="7815" spans="1:9" ht="13.5">
      <c r="A7815" s="128">
        <v>2013</v>
      </c>
      <c r="B7815" s="128" t="s">
        <v>138</v>
      </c>
      <c r="C7815" s="128" t="s">
        <v>20</v>
      </c>
      <c r="D7815" s="128" t="s">
        <v>79</v>
      </c>
      <c r="E7815" s="128" t="s">
        <v>136</v>
      </c>
      <c r="F7815" s="128">
        <v>37071658.579999998</v>
      </c>
      <c r="G7815" s="128">
        <v>27835041.800000001</v>
      </c>
      <c r="H7815" s="128">
        <v>9229526.0399999991</v>
      </c>
      <c r="I7815" s="128">
        <v>606337</v>
      </c>
    </row>
    <row r="7816" spans="1:9" ht="13.5">
      <c r="A7816" s="128">
        <v>2013</v>
      </c>
      <c r="B7816" s="128" t="s">
        <v>138</v>
      </c>
      <c r="C7816" s="128" t="s">
        <v>20</v>
      </c>
      <c r="D7816" s="128" t="s">
        <v>79</v>
      </c>
      <c r="E7816" s="128" t="s">
        <v>132</v>
      </c>
      <c r="F7816" s="128">
        <v>2954468.64</v>
      </c>
      <c r="G7816" s="128">
        <v>1998516</v>
      </c>
      <c r="H7816" s="128">
        <v>748483.98</v>
      </c>
      <c r="I7816" s="128">
        <v>36004</v>
      </c>
    </row>
    <row r="7817" spans="1:9" ht="13.5">
      <c r="A7817" s="128">
        <v>2013</v>
      </c>
      <c r="B7817" s="128" t="s">
        <v>138</v>
      </c>
      <c r="C7817" s="128" t="s">
        <v>20</v>
      </c>
      <c r="D7817" s="128" t="s">
        <v>79</v>
      </c>
      <c r="E7817" s="128" t="s">
        <v>133</v>
      </c>
      <c r="F7817" s="128">
        <v>3462275.2</v>
      </c>
      <c r="G7817" s="128">
        <v>1873256.83</v>
      </c>
      <c r="H7817" s="128">
        <v>839953.31</v>
      </c>
      <c r="I7817" s="128">
        <v>15918</v>
      </c>
    </row>
    <row r="7818" spans="1:9" ht="13.5">
      <c r="A7818" s="128">
        <v>2013</v>
      </c>
      <c r="B7818" s="128" t="s">
        <v>138</v>
      </c>
      <c r="C7818" s="128" t="s">
        <v>20</v>
      </c>
      <c r="D7818" s="128" t="s">
        <v>79</v>
      </c>
      <c r="E7818" s="128" t="s">
        <v>134</v>
      </c>
      <c r="F7818" s="128">
        <v>14629590.83</v>
      </c>
      <c r="G7818" s="128">
        <v>6242611.5099999998</v>
      </c>
      <c r="H7818" s="128">
        <v>2438990.8199999998</v>
      </c>
      <c r="I7818" s="128">
        <v>75245</v>
      </c>
    </row>
    <row r="7819" spans="1:9" ht="13.5">
      <c r="A7819" s="128">
        <v>2013</v>
      </c>
      <c r="B7819" s="128" t="s">
        <v>138</v>
      </c>
      <c r="C7819" s="128" t="s">
        <v>20</v>
      </c>
      <c r="D7819" s="128" t="s">
        <v>79</v>
      </c>
      <c r="E7819" s="128" t="s">
        <v>135</v>
      </c>
      <c r="F7819" s="128">
        <v>98551454.599999994</v>
      </c>
      <c r="G7819" s="128">
        <v>24791887.41</v>
      </c>
      <c r="H7819" s="128">
        <v>8310106.4400000004</v>
      </c>
      <c r="I7819" s="128">
        <v>155121</v>
      </c>
    </row>
    <row r="7820" spans="1:9" ht="13.5">
      <c r="A7820" s="128">
        <v>2013</v>
      </c>
      <c r="B7820" s="128" t="s">
        <v>138</v>
      </c>
      <c r="C7820" s="128" t="s">
        <v>20</v>
      </c>
      <c r="D7820" s="128" t="s">
        <v>77</v>
      </c>
      <c r="E7820" s="128" t="s">
        <v>132</v>
      </c>
      <c r="F7820" s="128">
        <v>1471034.31</v>
      </c>
      <c r="G7820" s="128">
        <v>990244.49</v>
      </c>
      <c r="H7820" s="128">
        <v>421026.58</v>
      </c>
      <c r="I7820" s="128">
        <v>6820</v>
      </c>
    </row>
    <row r="7821" spans="1:9" ht="13.5">
      <c r="A7821" s="128">
        <v>2013</v>
      </c>
      <c r="B7821" s="128" t="s">
        <v>138</v>
      </c>
      <c r="C7821" s="128" t="s">
        <v>20</v>
      </c>
      <c r="D7821" s="128" t="s">
        <v>77</v>
      </c>
      <c r="E7821" s="128" t="s">
        <v>133</v>
      </c>
      <c r="F7821" s="128">
        <v>1999622.06</v>
      </c>
      <c r="G7821" s="128">
        <v>1082585.1100000001</v>
      </c>
      <c r="H7821" s="128">
        <v>733820.43</v>
      </c>
      <c r="I7821" s="128">
        <v>8298</v>
      </c>
    </row>
    <row r="7822" spans="1:9" ht="13.5">
      <c r="A7822" s="128">
        <v>2013</v>
      </c>
      <c r="B7822" s="128" t="s">
        <v>138</v>
      </c>
      <c r="C7822" s="128" t="s">
        <v>20</v>
      </c>
      <c r="D7822" s="128" t="s">
        <v>77</v>
      </c>
      <c r="E7822" s="128" t="s">
        <v>134</v>
      </c>
      <c r="F7822" s="128">
        <v>5508825.9299999997</v>
      </c>
      <c r="G7822" s="128">
        <v>2424388.87</v>
      </c>
      <c r="H7822" s="128">
        <v>2281571.5299999998</v>
      </c>
      <c r="I7822" s="128">
        <v>14629</v>
      </c>
    </row>
    <row r="7823" spans="1:9" ht="13.5">
      <c r="A7823" s="128">
        <v>2013</v>
      </c>
      <c r="B7823" s="128" t="s">
        <v>138</v>
      </c>
      <c r="C7823" s="128" t="s">
        <v>20</v>
      </c>
      <c r="D7823" s="128" t="s">
        <v>77</v>
      </c>
      <c r="E7823" s="128" t="s">
        <v>135</v>
      </c>
      <c r="F7823" s="128">
        <v>6992546.9500000002</v>
      </c>
      <c r="G7823" s="128">
        <v>1881786.65</v>
      </c>
      <c r="H7823" s="128">
        <v>1822250.12</v>
      </c>
      <c r="I7823" s="128">
        <v>17491</v>
      </c>
    </row>
    <row r="7824" spans="1:9" ht="13.5">
      <c r="A7824" s="128">
        <v>2013</v>
      </c>
      <c r="B7824" s="128" t="s">
        <v>138</v>
      </c>
      <c r="C7824" s="128" t="s">
        <v>20</v>
      </c>
      <c r="D7824" s="128" t="s">
        <v>76</v>
      </c>
      <c r="E7824" s="128" t="s">
        <v>136</v>
      </c>
      <c r="F7824" s="128">
        <v>13902720.84</v>
      </c>
      <c r="G7824" s="128">
        <v>10452404.640000001</v>
      </c>
      <c r="H7824" s="128">
        <v>3450809.57</v>
      </c>
      <c r="I7824" s="128">
        <v>363265</v>
      </c>
    </row>
    <row r="7825" spans="1:9" ht="13.5">
      <c r="A7825" s="128">
        <v>2013</v>
      </c>
      <c r="B7825" s="128" t="s">
        <v>138</v>
      </c>
      <c r="C7825" s="128" t="s">
        <v>20</v>
      </c>
      <c r="D7825" s="128" t="s">
        <v>76</v>
      </c>
      <c r="E7825" s="128" t="s">
        <v>132</v>
      </c>
      <c r="F7825" s="128">
        <v>37013816.310000002</v>
      </c>
      <c r="G7825" s="128">
        <v>23722682.899999999</v>
      </c>
      <c r="H7825" s="128">
        <v>13290855.57</v>
      </c>
      <c r="I7825" s="128">
        <v>376556</v>
      </c>
    </row>
    <row r="7826" spans="1:9" ht="13.5">
      <c r="A7826" s="128">
        <v>2013</v>
      </c>
      <c r="B7826" s="128" t="s">
        <v>138</v>
      </c>
      <c r="C7826" s="128" t="s">
        <v>20</v>
      </c>
      <c r="D7826" s="128" t="s">
        <v>76</v>
      </c>
      <c r="E7826" s="128" t="s">
        <v>133</v>
      </c>
      <c r="F7826" s="128">
        <v>85697659.840000004</v>
      </c>
      <c r="G7826" s="128">
        <v>47292812.82</v>
      </c>
      <c r="H7826" s="128">
        <v>38404776.899999999</v>
      </c>
      <c r="I7826" s="128">
        <v>475655</v>
      </c>
    </row>
    <row r="7827" spans="1:9" ht="13.5">
      <c r="A7827" s="128">
        <v>2013</v>
      </c>
      <c r="B7827" s="128" t="s">
        <v>138</v>
      </c>
      <c r="C7827" s="128" t="s">
        <v>20</v>
      </c>
      <c r="D7827" s="128" t="s">
        <v>76</v>
      </c>
      <c r="E7827" s="128" t="s">
        <v>134</v>
      </c>
      <c r="F7827" s="128">
        <v>89913680.159999996</v>
      </c>
      <c r="G7827" s="128">
        <v>41208235.439999998</v>
      </c>
      <c r="H7827" s="128">
        <v>48705240.079999998</v>
      </c>
      <c r="I7827" s="128">
        <v>508047</v>
      </c>
    </row>
    <row r="7828" spans="1:9" ht="13.5">
      <c r="A7828" s="128">
        <v>2013</v>
      </c>
      <c r="B7828" s="128" t="s">
        <v>138</v>
      </c>
      <c r="C7828" s="128" t="s">
        <v>20</v>
      </c>
      <c r="D7828" s="128" t="s">
        <v>76</v>
      </c>
      <c r="E7828" s="128" t="s">
        <v>135</v>
      </c>
      <c r="F7828" s="128">
        <v>10350571.310000001</v>
      </c>
      <c r="G7828" s="128">
        <v>3200072.28</v>
      </c>
      <c r="H7828" s="128">
        <v>7150497.2800000003</v>
      </c>
      <c r="I7828" s="128">
        <v>42281</v>
      </c>
    </row>
    <row r="7829" spans="1:9" ht="13.5">
      <c r="A7829" s="128">
        <v>2013</v>
      </c>
      <c r="B7829" s="128" t="s">
        <v>138</v>
      </c>
      <c r="C7829" s="128" t="s">
        <v>21</v>
      </c>
      <c r="D7829" s="128" t="s">
        <v>79</v>
      </c>
      <c r="E7829" s="128" t="s">
        <v>136</v>
      </c>
      <c r="F7829" s="128">
        <v>10723869.619999999</v>
      </c>
      <c r="G7829" s="128">
        <v>8059007.1200000001</v>
      </c>
      <c r="H7829" s="128">
        <v>2663876.94</v>
      </c>
      <c r="I7829" s="128">
        <v>96779</v>
      </c>
    </row>
    <row r="7830" spans="1:9" ht="13.5">
      <c r="A7830" s="128">
        <v>2013</v>
      </c>
      <c r="B7830" s="128" t="s">
        <v>138</v>
      </c>
      <c r="C7830" s="128" t="s">
        <v>21</v>
      </c>
      <c r="D7830" s="128" t="s">
        <v>79</v>
      </c>
      <c r="E7830" s="128" t="s">
        <v>132</v>
      </c>
      <c r="F7830" s="128">
        <v>1933042.07</v>
      </c>
      <c r="G7830" s="128">
        <v>1271974.3</v>
      </c>
      <c r="H7830" s="128">
        <v>467182.88</v>
      </c>
      <c r="I7830" s="128">
        <v>12435</v>
      </c>
    </row>
    <row r="7831" spans="1:9" ht="13.5">
      <c r="A7831" s="128">
        <v>2013</v>
      </c>
      <c r="B7831" s="128" t="s">
        <v>138</v>
      </c>
      <c r="C7831" s="128" t="s">
        <v>21</v>
      </c>
      <c r="D7831" s="128" t="s">
        <v>79</v>
      </c>
      <c r="E7831" s="128" t="s">
        <v>133</v>
      </c>
      <c r="F7831" s="128">
        <v>2643159.7999999998</v>
      </c>
      <c r="G7831" s="128">
        <v>1450395.76</v>
      </c>
      <c r="H7831" s="128">
        <v>757808.69</v>
      </c>
      <c r="I7831" s="128">
        <v>23238</v>
      </c>
    </row>
    <row r="7832" spans="1:9" ht="13.5">
      <c r="A7832" s="128">
        <v>2013</v>
      </c>
      <c r="B7832" s="128" t="s">
        <v>138</v>
      </c>
      <c r="C7832" s="128" t="s">
        <v>21</v>
      </c>
      <c r="D7832" s="128" t="s">
        <v>79</v>
      </c>
      <c r="E7832" s="128" t="s">
        <v>134</v>
      </c>
      <c r="F7832" s="128">
        <v>5337141.6100000003</v>
      </c>
      <c r="G7832" s="128">
        <v>2283810.9700000002</v>
      </c>
      <c r="H7832" s="128">
        <v>1404762.21</v>
      </c>
      <c r="I7832" s="128">
        <v>22440</v>
      </c>
    </row>
    <row r="7833" spans="1:9" ht="13.5">
      <c r="A7833" s="128">
        <v>2013</v>
      </c>
      <c r="B7833" s="128" t="s">
        <v>138</v>
      </c>
      <c r="C7833" s="128" t="s">
        <v>21</v>
      </c>
      <c r="D7833" s="128" t="s">
        <v>79</v>
      </c>
      <c r="E7833" s="128" t="s">
        <v>135</v>
      </c>
      <c r="F7833" s="128">
        <v>23806271.050000001</v>
      </c>
      <c r="G7833" s="128">
        <v>6269526.4100000001</v>
      </c>
      <c r="H7833" s="128">
        <v>2139040.4900000002</v>
      </c>
      <c r="I7833" s="128">
        <v>46940</v>
      </c>
    </row>
    <row r="7834" spans="1:9" ht="13.5">
      <c r="A7834" s="128">
        <v>2013</v>
      </c>
      <c r="B7834" s="128" t="s">
        <v>138</v>
      </c>
      <c r="C7834" s="128" t="s">
        <v>21</v>
      </c>
      <c r="D7834" s="128" t="s">
        <v>77</v>
      </c>
      <c r="E7834" s="128" t="s">
        <v>132</v>
      </c>
      <c r="F7834" s="128">
        <v>2599602.48</v>
      </c>
      <c r="G7834" s="128">
        <v>1751286.93</v>
      </c>
      <c r="H7834" s="128">
        <v>723404.2</v>
      </c>
      <c r="I7834" s="128">
        <v>15638</v>
      </c>
    </row>
    <row r="7835" spans="1:9" ht="13.5">
      <c r="A7835" s="128">
        <v>2013</v>
      </c>
      <c r="B7835" s="128" t="s">
        <v>138</v>
      </c>
      <c r="C7835" s="128" t="s">
        <v>21</v>
      </c>
      <c r="D7835" s="128" t="s">
        <v>77</v>
      </c>
      <c r="E7835" s="128" t="s">
        <v>133</v>
      </c>
      <c r="F7835" s="128">
        <v>4823364.18</v>
      </c>
      <c r="G7835" s="128">
        <v>2626977.08</v>
      </c>
      <c r="H7835" s="128">
        <v>1754698.02</v>
      </c>
      <c r="I7835" s="128">
        <v>18678</v>
      </c>
    </row>
    <row r="7836" spans="1:9" ht="13.5">
      <c r="A7836" s="128">
        <v>2013</v>
      </c>
      <c r="B7836" s="128" t="s">
        <v>138</v>
      </c>
      <c r="C7836" s="128" t="s">
        <v>21</v>
      </c>
      <c r="D7836" s="128" t="s">
        <v>77</v>
      </c>
      <c r="E7836" s="128" t="s">
        <v>134</v>
      </c>
      <c r="F7836" s="128">
        <v>7686002.7000000002</v>
      </c>
      <c r="G7836" s="128">
        <v>3342329.47</v>
      </c>
      <c r="H7836" s="128">
        <v>3006549.54</v>
      </c>
      <c r="I7836" s="128">
        <v>18846</v>
      </c>
    </row>
    <row r="7837" spans="1:9" ht="13.5">
      <c r="A7837" s="128">
        <v>2013</v>
      </c>
      <c r="B7837" s="128" t="s">
        <v>138</v>
      </c>
      <c r="C7837" s="128" t="s">
        <v>21</v>
      </c>
      <c r="D7837" s="128" t="s">
        <v>77</v>
      </c>
      <c r="E7837" s="128" t="s">
        <v>135</v>
      </c>
      <c r="F7837" s="128">
        <v>8174402.46</v>
      </c>
      <c r="G7837" s="128">
        <v>2408569.34</v>
      </c>
      <c r="H7837" s="128">
        <v>2309588.5299999998</v>
      </c>
      <c r="I7837" s="128">
        <v>20494</v>
      </c>
    </row>
    <row r="7838" spans="1:9" ht="13.5">
      <c r="A7838" s="128">
        <v>2013</v>
      </c>
      <c r="B7838" s="128" t="s">
        <v>138</v>
      </c>
      <c r="C7838" s="128" t="s">
        <v>21</v>
      </c>
      <c r="D7838" s="128" t="s">
        <v>76</v>
      </c>
      <c r="E7838" s="128" t="s">
        <v>136</v>
      </c>
      <c r="F7838" s="128">
        <v>13290696.060000001</v>
      </c>
      <c r="G7838" s="128">
        <v>10010754.52</v>
      </c>
      <c r="H7838" s="128">
        <v>3279975.53</v>
      </c>
      <c r="I7838" s="128">
        <v>252022</v>
      </c>
    </row>
    <row r="7839" spans="1:9" ht="13.5">
      <c r="A7839" s="128">
        <v>2013</v>
      </c>
      <c r="B7839" s="128" t="s">
        <v>138</v>
      </c>
      <c r="C7839" s="128" t="s">
        <v>21</v>
      </c>
      <c r="D7839" s="128" t="s">
        <v>76</v>
      </c>
      <c r="E7839" s="128" t="s">
        <v>132</v>
      </c>
      <c r="F7839" s="128">
        <v>41586998.25</v>
      </c>
      <c r="G7839" s="128">
        <v>26544243.34</v>
      </c>
      <c r="H7839" s="128">
        <v>15042558.92</v>
      </c>
      <c r="I7839" s="128">
        <v>402276</v>
      </c>
    </row>
    <row r="7840" spans="1:9" ht="13.5">
      <c r="A7840" s="128">
        <v>2013</v>
      </c>
      <c r="B7840" s="128" t="s">
        <v>138</v>
      </c>
      <c r="C7840" s="128" t="s">
        <v>21</v>
      </c>
      <c r="D7840" s="128" t="s">
        <v>76</v>
      </c>
      <c r="E7840" s="128" t="s">
        <v>133</v>
      </c>
      <c r="F7840" s="128">
        <v>99014426.579999998</v>
      </c>
      <c r="G7840" s="128">
        <v>54658453.240000002</v>
      </c>
      <c r="H7840" s="128">
        <v>44355900.689999998</v>
      </c>
      <c r="I7840" s="128">
        <v>768947</v>
      </c>
    </row>
    <row r="7841" spans="1:9" ht="13.5">
      <c r="A7841" s="128">
        <v>2013</v>
      </c>
      <c r="B7841" s="128" t="s">
        <v>138</v>
      </c>
      <c r="C7841" s="128" t="s">
        <v>21</v>
      </c>
      <c r="D7841" s="128" t="s">
        <v>76</v>
      </c>
      <c r="E7841" s="128" t="s">
        <v>134</v>
      </c>
      <c r="F7841" s="128">
        <v>92392268.409999996</v>
      </c>
      <c r="G7841" s="128">
        <v>41853264.689999998</v>
      </c>
      <c r="H7841" s="128">
        <v>50538959.619999997</v>
      </c>
      <c r="I7841" s="128">
        <v>471595</v>
      </c>
    </row>
    <row r="7842" spans="1:9" ht="13.5">
      <c r="A7842" s="128">
        <v>2013</v>
      </c>
      <c r="B7842" s="128" t="s">
        <v>138</v>
      </c>
      <c r="C7842" s="128" t="s">
        <v>21</v>
      </c>
      <c r="D7842" s="128" t="s">
        <v>76</v>
      </c>
      <c r="E7842" s="128" t="s">
        <v>135</v>
      </c>
      <c r="F7842" s="128">
        <v>5571177.21</v>
      </c>
      <c r="G7842" s="128">
        <v>1583804.6</v>
      </c>
      <c r="H7842" s="128">
        <v>3987372.61</v>
      </c>
      <c r="I7842" s="128">
        <v>12628</v>
      </c>
    </row>
    <row r="7843" spans="1:9" ht="13.5">
      <c r="A7843" s="128">
        <v>2013</v>
      </c>
      <c r="B7843" s="128" t="s">
        <v>138</v>
      </c>
      <c r="C7843" s="128" t="s">
        <v>22</v>
      </c>
      <c r="D7843" s="128" t="s">
        <v>79</v>
      </c>
      <c r="E7843" s="128" t="s">
        <v>136</v>
      </c>
      <c r="F7843" s="128">
        <v>8692641.0399999991</v>
      </c>
      <c r="G7843" s="128">
        <v>6525000.3700000001</v>
      </c>
      <c r="H7843" s="128">
        <v>2161902.19</v>
      </c>
      <c r="I7843" s="128">
        <v>63946</v>
      </c>
    </row>
    <row r="7844" spans="1:9" ht="13.5">
      <c r="A7844" s="128">
        <v>2013</v>
      </c>
      <c r="B7844" s="128" t="s">
        <v>138</v>
      </c>
      <c r="C7844" s="128" t="s">
        <v>22</v>
      </c>
      <c r="D7844" s="128" t="s">
        <v>79</v>
      </c>
      <c r="E7844" s="128" t="s">
        <v>132</v>
      </c>
      <c r="F7844" s="128">
        <v>2262571.85</v>
      </c>
      <c r="G7844" s="128">
        <v>1489555.56</v>
      </c>
      <c r="H7844" s="128">
        <v>606845.52</v>
      </c>
      <c r="I7844" s="128">
        <v>14676</v>
      </c>
    </row>
    <row r="7845" spans="1:9" ht="13.5">
      <c r="A7845" s="128">
        <v>2013</v>
      </c>
      <c r="B7845" s="128" t="s">
        <v>138</v>
      </c>
      <c r="C7845" s="128" t="s">
        <v>22</v>
      </c>
      <c r="D7845" s="128" t="s">
        <v>79</v>
      </c>
      <c r="E7845" s="128" t="s">
        <v>133</v>
      </c>
      <c r="F7845" s="128">
        <v>3054312.82</v>
      </c>
      <c r="G7845" s="128">
        <v>1661143.61</v>
      </c>
      <c r="H7845" s="128">
        <v>781736.5</v>
      </c>
      <c r="I7845" s="128">
        <v>17094</v>
      </c>
    </row>
    <row r="7846" spans="1:9" ht="13.5">
      <c r="A7846" s="128">
        <v>2013</v>
      </c>
      <c r="B7846" s="128" t="s">
        <v>138</v>
      </c>
      <c r="C7846" s="128" t="s">
        <v>22</v>
      </c>
      <c r="D7846" s="128" t="s">
        <v>79</v>
      </c>
      <c r="E7846" s="128" t="s">
        <v>134</v>
      </c>
      <c r="F7846" s="128">
        <v>9029628.8000000007</v>
      </c>
      <c r="G7846" s="128">
        <v>3817810.32</v>
      </c>
      <c r="H7846" s="128">
        <v>1477275.86</v>
      </c>
      <c r="I7846" s="128">
        <v>27955</v>
      </c>
    </row>
    <row r="7847" spans="1:9" ht="13.5">
      <c r="A7847" s="128">
        <v>2013</v>
      </c>
      <c r="B7847" s="128" t="s">
        <v>138</v>
      </c>
      <c r="C7847" s="128" t="s">
        <v>22</v>
      </c>
      <c r="D7847" s="128" t="s">
        <v>79</v>
      </c>
      <c r="E7847" s="128" t="s">
        <v>135</v>
      </c>
      <c r="F7847" s="128">
        <v>50375655.649999999</v>
      </c>
      <c r="G7847" s="128">
        <v>13313640.060000001</v>
      </c>
      <c r="H7847" s="128">
        <v>4498228.12</v>
      </c>
      <c r="I7847" s="128">
        <v>88690</v>
      </c>
    </row>
    <row r="7848" spans="1:9" ht="13.5">
      <c r="A7848" s="128">
        <v>2013</v>
      </c>
      <c r="B7848" s="128" t="s">
        <v>138</v>
      </c>
      <c r="C7848" s="128" t="s">
        <v>22</v>
      </c>
      <c r="D7848" s="128" t="s">
        <v>77</v>
      </c>
      <c r="E7848" s="128" t="s">
        <v>132</v>
      </c>
      <c r="F7848" s="128">
        <v>988698.26</v>
      </c>
      <c r="G7848" s="128">
        <v>645904.12</v>
      </c>
      <c r="H7848" s="128">
        <v>278250.46999999997</v>
      </c>
      <c r="I7848" s="128">
        <v>4800</v>
      </c>
    </row>
    <row r="7849" spans="1:9" ht="13.5">
      <c r="A7849" s="128">
        <v>2013</v>
      </c>
      <c r="B7849" s="128" t="s">
        <v>138</v>
      </c>
      <c r="C7849" s="128" t="s">
        <v>22</v>
      </c>
      <c r="D7849" s="128" t="s">
        <v>77</v>
      </c>
      <c r="E7849" s="128" t="s">
        <v>133</v>
      </c>
      <c r="F7849" s="128">
        <v>2252331.02</v>
      </c>
      <c r="G7849" s="128">
        <v>1216299.69</v>
      </c>
      <c r="H7849" s="128">
        <v>820455.7</v>
      </c>
      <c r="I7849" s="128">
        <v>9624</v>
      </c>
    </row>
    <row r="7850" spans="1:9" ht="13.5">
      <c r="A7850" s="128">
        <v>2013</v>
      </c>
      <c r="B7850" s="128" t="s">
        <v>138</v>
      </c>
      <c r="C7850" s="128" t="s">
        <v>22</v>
      </c>
      <c r="D7850" s="128" t="s">
        <v>77</v>
      </c>
      <c r="E7850" s="128" t="s">
        <v>134</v>
      </c>
      <c r="F7850" s="128">
        <v>5230370.25</v>
      </c>
      <c r="G7850" s="128">
        <v>2253569.39</v>
      </c>
      <c r="H7850" s="128">
        <v>2121338.08</v>
      </c>
      <c r="I7850" s="128">
        <v>10515</v>
      </c>
    </row>
    <row r="7851" spans="1:9" ht="13.5">
      <c r="A7851" s="128">
        <v>2013</v>
      </c>
      <c r="B7851" s="128" t="s">
        <v>138</v>
      </c>
      <c r="C7851" s="128" t="s">
        <v>22</v>
      </c>
      <c r="D7851" s="128" t="s">
        <v>77</v>
      </c>
      <c r="E7851" s="128" t="s">
        <v>135</v>
      </c>
      <c r="F7851" s="128">
        <v>8633392.1899999995</v>
      </c>
      <c r="G7851" s="128">
        <v>2538005.73</v>
      </c>
      <c r="H7851" s="128">
        <v>2503959.7400000002</v>
      </c>
      <c r="I7851" s="128">
        <v>19686</v>
      </c>
    </row>
    <row r="7852" spans="1:9" ht="13.5">
      <c r="A7852" s="128">
        <v>2013</v>
      </c>
      <c r="B7852" s="128" t="s">
        <v>138</v>
      </c>
      <c r="C7852" s="128" t="s">
        <v>22</v>
      </c>
      <c r="D7852" s="128" t="s">
        <v>76</v>
      </c>
      <c r="E7852" s="128" t="s">
        <v>136</v>
      </c>
      <c r="F7852" s="128">
        <v>8740985.1899999995</v>
      </c>
      <c r="G7852" s="128">
        <v>6564457.6600000001</v>
      </c>
      <c r="H7852" s="128">
        <v>2176523.37</v>
      </c>
      <c r="I7852" s="128">
        <v>153854</v>
      </c>
    </row>
    <row r="7853" spans="1:9" ht="13.5">
      <c r="A7853" s="128">
        <v>2013</v>
      </c>
      <c r="B7853" s="128" t="s">
        <v>138</v>
      </c>
      <c r="C7853" s="128" t="s">
        <v>22</v>
      </c>
      <c r="D7853" s="128" t="s">
        <v>76</v>
      </c>
      <c r="E7853" s="128" t="s">
        <v>132</v>
      </c>
      <c r="F7853" s="128">
        <v>34166810.840000004</v>
      </c>
      <c r="G7853" s="128">
        <v>21928717.510000002</v>
      </c>
      <c r="H7853" s="128">
        <v>12237891.15</v>
      </c>
      <c r="I7853" s="128">
        <v>353352</v>
      </c>
    </row>
    <row r="7854" spans="1:9" ht="13.5">
      <c r="A7854" s="128">
        <v>2013</v>
      </c>
      <c r="B7854" s="128" t="s">
        <v>138</v>
      </c>
      <c r="C7854" s="128" t="s">
        <v>22</v>
      </c>
      <c r="D7854" s="128" t="s">
        <v>76</v>
      </c>
      <c r="E7854" s="128" t="s">
        <v>133</v>
      </c>
      <c r="F7854" s="128">
        <v>71286540.780000001</v>
      </c>
      <c r="G7854" s="128">
        <v>39626970.560000002</v>
      </c>
      <c r="H7854" s="128">
        <v>31659530.73</v>
      </c>
      <c r="I7854" s="128">
        <v>609982</v>
      </c>
    </row>
    <row r="7855" spans="1:9" ht="13.5">
      <c r="A7855" s="128">
        <v>2013</v>
      </c>
      <c r="B7855" s="128" t="s">
        <v>138</v>
      </c>
      <c r="C7855" s="128" t="s">
        <v>22</v>
      </c>
      <c r="D7855" s="128" t="s">
        <v>76</v>
      </c>
      <c r="E7855" s="128" t="s">
        <v>134</v>
      </c>
      <c r="F7855" s="128">
        <v>56708719.57</v>
      </c>
      <c r="G7855" s="128">
        <v>26217747.98</v>
      </c>
      <c r="H7855" s="128">
        <v>30490696.649999999</v>
      </c>
      <c r="I7855" s="128">
        <v>363409</v>
      </c>
    </row>
    <row r="7856" spans="1:9" ht="13.5">
      <c r="A7856" s="128">
        <v>2013</v>
      </c>
      <c r="B7856" s="128" t="s">
        <v>138</v>
      </c>
      <c r="C7856" s="128" t="s">
        <v>22</v>
      </c>
      <c r="D7856" s="128" t="s">
        <v>76</v>
      </c>
      <c r="E7856" s="128" t="s">
        <v>135</v>
      </c>
      <c r="F7856" s="128">
        <v>6426751.7599999998</v>
      </c>
      <c r="G7856" s="128">
        <v>1892141.54</v>
      </c>
      <c r="H7856" s="128">
        <v>4534606.8600000003</v>
      </c>
      <c r="I7856" s="128">
        <v>12891</v>
      </c>
    </row>
    <row r="7857" spans="1:9" ht="13.5">
      <c r="A7857" s="128">
        <v>2013</v>
      </c>
      <c r="B7857" s="128" t="s">
        <v>138</v>
      </c>
      <c r="C7857" s="128" t="s">
        <v>23</v>
      </c>
      <c r="D7857" s="128" t="s">
        <v>79</v>
      </c>
      <c r="E7857" s="128" t="s">
        <v>136</v>
      </c>
      <c r="F7857" s="128">
        <v>2196022.5499999998</v>
      </c>
      <c r="G7857" s="128">
        <v>1651452.99</v>
      </c>
      <c r="H7857" s="128">
        <v>544569.26</v>
      </c>
      <c r="I7857" s="128">
        <v>18014</v>
      </c>
    </row>
    <row r="7858" spans="1:9" ht="13.5">
      <c r="A7858" s="128">
        <v>2013</v>
      </c>
      <c r="B7858" s="128" t="s">
        <v>138</v>
      </c>
      <c r="C7858" s="128" t="s">
        <v>23</v>
      </c>
      <c r="D7858" s="128" t="s">
        <v>79</v>
      </c>
      <c r="E7858" s="128" t="s">
        <v>132</v>
      </c>
      <c r="F7858" s="128">
        <v>336010.66</v>
      </c>
      <c r="G7858" s="128">
        <v>215949.12</v>
      </c>
      <c r="H7858" s="128">
        <v>98764.1</v>
      </c>
      <c r="I7858" s="128">
        <v>2171</v>
      </c>
    </row>
    <row r="7859" spans="1:9" ht="13.5">
      <c r="A7859" s="128">
        <v>2013</v>
      </c>
      <c r="B7859" s="128" t="s">
        <v>138</v>
      </c>
      <c r="C7859" s="128" t="s">
        <v>23</v>
      </c>
      <c r="D7859" s="128" t="s">
        <v>79</v>
      </c>
      <c r="E7859" s="128" t="s">
        <v>133</v>
      </c>
      <c r="F7859" s="128">
        <v>879272.38</v>
      </c>
      <c r="G7859" s="128">
        <v>470132.6</v>
      </c>
      <c r="H7859" s="128">
        <v>301863.84000000003</v>
      </c>
      <c r="I7859" s="128">
        <v>5244</v>
      </c>
    </row>
    <row r="7860" spans="1:9" ht="13.5">
      <c r="A7860" s="128">
        <v>2013</v>
      </c>
      <c r="B7860" s="128" t="s">
        <v>138</v>
      </c>
      <c r="C7860" s="128" t="s">
        <v>23</v>
      </c>
      <c r="D7860" s="128" t="s">
        <v>79</v>
      </c>
      <c r="E7860" s="128" t="s">
        <v>134</v>
      </c>
      <c r="F7860" s="128">
        <v>1636349.98</v>
      </c>
      <c r="G7860" s="128">
        <v>721324.27</v>
      </c>
      <c r="H7860" s="128">
        <v>710026.97</v>
      </c>
      <c r="I7860" s="128">
        <v>5917</v>
      </c>
    </row>
    <row r="7861" spans="1:9" ht="13.5">
      <c r="A7861" s="128">
        <v>2013</v>
      </c>
      <c r="B7861" s="128" t="s">
        <v>138</v>
      </c>
      <c r="C7861" s="128" t="s">
        <v>23</v>
      </c>
      <c r="D7861" s="128" t="s">
        <v>79</v>
      </c>
      <c r="E7861" s="128" t="s">
        <v>135</v>
      </c>
      <c r="F7861" s="128">
        <v>2741309.96</v>
      </c>
      <c r="G7861" s="128">
        <v>651731.18000000005</v>
      </c>
      <c r="H7861" s="128">
        <v>260065.83</v>
      </c>
      <c r="I7861" s="128">
        <v>6359</v>
      </c>
    </row>
    <row r="7862" spans="1:9" ht="13.5">
      <c r="A7862" s="128">
        <v>2013</v>
      </c>
      <c r="B7862" s="128" t="s">
        <v>138</v>
      </c>
      <c r="C7862" s="128" t="s">
        <v>23</v>
      </c>
      <c r="D7862" s="128" t="s">
        <v>77</v>
      </c>
      <c r="E7862" s="128" t="s">
        <v>132</v>
      </c>
      <c r="F7862" s="128">
        <v>432536.46</v>
      </c>
      <c r="G7862" s="128">
        <v>291666.96000000002</v>
      </c>
      <c r="H7862" s="128">
        <v>120189.94</v>
      </c>
      <c r="I7862" s="128">
        <v>2368</v>
      </c>
    </row>
    <row r="7863" spans="1:9" ht="13.5">
      <c r="A7863" s="128">
        <v>2013</v>
      </c>
      <c r="B7863" s="128" t="s">
        <v>138</v>
      </c>
      <c r="C7863" s="128" t="s">
        <v>23</v>
      </c>
      <c r="D7863" s="128" t="s">
        <v>77</v>
      </c>
      <c r="E7863" s="128" t="s">
        <v>133</v>
      </c>
      <c r="F7863" s="128">
        <v>736547.08</v>
      </c>
      <c r="G7863" s="128">
        <v>400695.6</v>
      </c>
      <c r="H7863" s="128">
        <v>257850.55</v>
      </c>
      <c r="I7863" s="128">
        <v>3197</v>
      </c>
    </row>
    <row r="7864" spans="1:9" ht="13.5">
      <c r="A7864" s="128">
        <v>2013</v>
      </c>
      <c r="B7864" s="128" t="s">
        <v>138</v>
      </c>
      <c r="C7864" s="128" t="s">
        <v>23</v>
      </c>
      <c r="D7864" s="128" t="s">
        <v>77</v>
      </c>
      <c r="E7864" s="128" t="s">
        <v>134</v>
      </c>
      <c r="F7864" s="128">
        <v>2634895.4500000002</v>
      </c>
      <c r="G7864" s="128">
        <v>1118935.96</v>
      </c>
      <c r="H7864" s="128">
        <v>1086847.83</v>
      </c>
      <c r="I7864" s="128">
        <v>4047</v>
      </c>
    </row>
    <row r="7865" spans="1:9" ht="13.5">
      <c r="A7865" s="128">
        <v>2013</v>
      </c>
      <c r="B7865" s="128" t="s">
        <v>138</v>
      </c>
      <c r="C7865" s="128" t="s">
        <v>23</v>
      </c>
      <c r="D7865" s="128" t="s">
        <v>77</v>
      </c>
      <c r="E7865" s="128" t="s">
        <v>135</v>
      </c>
      <c r="F7865" s="128">
        <v>1328827.43</v>
      </c>
      <c r="G7865" s="128">
        <v>385011.99</v>
      </c>
      <c r="H7865" s="128">
        <v>410116.21</v>
      </c>
      <c r="I7865" s="128">
        <v>4111</v>
      </c>
    </row>
    <row r="7866" spans="1:9" ht="13.5">
      <c r="A7866" s="128">
        <v>2013</v>
      </c>
      <c r="B7866" s="128" t="s">
        <v>138</v>
      </c>
      <c r="C7866" s="128" t="s">
        <v>23</v>
      </c>
      <c r="D7866" s="128" t="s">
        <v>76</v>
      </c>
      <c r="E7866" s="128" t="s">
        <v>136</v>
      </c>
      <c r="F7866" s="128">
        <v>4122096.95</v>
      </c>
      <c r="G7866" s="128">
        <v>3098517.67</v>
      </c>
      <c r="H7866" s="128">
        <v>1023755.56</v>
      </c>
      <c r="I7866" s="128">
        <v>60917</v>
      </c>
    </row>
    <row r="7867" spans="1:9" ht="13.5">
      <c r="A7867" s="128">
        <v>2013</v>
      </c>
      <c r="B7867" s="128" t="s">
        <v>138</v>
      </c>
      <c r="C7867" s="128" t="s">
        <v>23</v>
      </c>
      <c r="D7867" s="128" t="s">
        <v>76</v>
      </c>
      <c r="E7867" s="128" t="s">
        <v>132</v>
      </c>
      <c r="F7867" s="128">
        <v>10186573.199999999</v>
      </c>
      <c r="G7867" s="128">
        <v>6525779.7300000004</v>
      </c>
      <c r="H7867" s="128">
        <v>3660745.59</v>
      </c>
      <c r="I7867" s="128">
        <v>116535</v>
      </c>
    </row>
    <row r="7868" spans="1:9" ht="13.5">
      <c r="A7868" s="128">
        <v>2013</v>
      </c>
      <c r="B7868" s="128" t="s">
        <v>138</v>
      </c>
      <c r="C7868" s="128" t="s">
        <v>23</v>
      </c>
      <c r="D7868" s="128" t="s">
        <v>76</v>
      </c>
      <c r="E7868" s="128" t="s">
        <v>133</v>
      </c>
      <c r="F7868" s="128">
        <v>21832105.510000002</v>
      </c>
      <c r="G7868" s="128">
        <v>11951923.16</v>
      </c>
      <c r="H7868" s="128">
        <v>9880168.8100000005</v>
      </c>
      <c r="I7868" s="128">
        <v>173722</v>
      </c>
    </row>
    <row r="7869" spans="1:9" ht="13.5">
      <c r="A7869" s="128">
        <v>2013</v>
      </c>
      <c r="B7869" s="128" t="s">
        <v>138</v>
      </c>
      <c r="C7869" s="128" t="s">
        <v>23</v>
      </c>
      <c r="D7869" s="128" t="s">
        <v>76</v>
      </c>
      <c r="E7869" s="128" t="s">
        <v>134</v>
      </c>
      <c r="F7869" s="128">
        <v>38447097.920000002</v>
      </c>
      <c r="G7869" s="128">
        <v>17289027</v>
      </c>
      <c r="H7869" s="128">
        <v>21158059.530000001</v>
      </c>
      <c r="I7869" s="128">
        <v>158529</v>
      </c>
    </row>
    <row r="7870" spans="1:9" ht="13.5">
      <c r="A7870" s="128">
        <v>2013</v>
      </c>
      <c r="B7870" s="128" t="s">
        <v>138</v>
      </c>
      <c r="C7870" s="128" t="s">
        <v>23</v>
      </c>
      <c r="D7870" s="128" t="s">
        <v>76</v>
      </c>
      <c r="E7870" s="128" t="s">
        <v>135</v>
      </c>
      <c r="F7870" s="128">
        <v>1958396.3</v>
      </c>
      <c r="G7870" s="128">
        <v>557098.9</v>
      </c>
      <c r="H7870" s="128">
        <v>1401297.4</v>
      </c>
      <c r="I7870" s="128">
        <v>3700</v>
      </c>
    </row>
    <row r="7871" spans="1:9" ht="13.5">
      <c r="A7871" s="128">
        <v>2013</v>
      </c>
      <c r="B7871" s="128" t="s">
        <v>138</v>
      </c>
      <c r="C7871" s="128" t="s">
        <v>24</v>
      </c>
      <c r="D7871" s="128" t="s">
        <v>79</v>
      </c>
      <c r="E7871" s="128" t="s">
        <v>136</v>
      </c>
      <c r="F7871" s="128">
        <v>2142223.35</v>
      </c>
      <c r="G7871" s="128">
        <v>1610723.24</v>
      </c>
      <c r="H7871" s="128">
        <v>531126.19999999995</v>
      </c>
      <c r="I7871" s="128">
        <v>35505</v>
      </c>
    </row>
    <row r="7872" spans="1:9" ht="13.5">
      <c r="A7872" s="128">
        <v>2013</v>
      </c>
      <c r="B7872" s="128" t="s">
        <v>138</v>
      </c>
      <c r="C7872" s="128" t="s">
        <v>24</v>
      </c>
      <c r="D7872" s="128" t="s">
        <v>79</v>
      </c>
      <c r="E7872" s="128" t="s">
        <v>132</v>
      </c>
      <c r="F7872" s="128">
        <v>347006.84</v>
      </c>
      <c r="G7872" s="128">
        <v>232972.5</v>
      </c>
      <c r="H7872" s="128">
        <v>81366.320000000007</v>
      </c>
      <c r="I7872" s="128">
        <v>2586</v>
      </c>
    </row>
    <row r="7873" spans="1:9" ht="13.5">
      <c r="A7873" s="128">
        <v>2013</v>
      </c>
      <c r="B7873" s="128" t="s">
        <v>138</v>
      </c>
      <c r="C7873" s="128" t="s">
        <v>24</v>
      </c>
      <c r="D7873" s="128" t="s">
        <v>79</v>
      </c>
      <c r="E7873" s="128" t="s">
        <v>133</v>
      </c>
      <c r="F7873" s="128">
        <v>995604.49</v>
      </c>
      <c r="G7873" s="128">
        <v>550159.77</v>
      </c>
      <c r="H7873" s="128">
        <v>211812.18</v>
      </c>
      <c r="I7873" s="128">
        <v>4068</v>
      </c>
    </row>
    <row r="7874" spans="1:9" ht="13.5">
      <c r="A7874" s="128">
        <v>2013</v>
      </c>
      <c r="B7874" s="128" t="s">
        <v>138</v>
      </c>
      <c r="C7874" s="128" t="s">
        <v>24</v>
      </c>
      <c r="D7874" s="128" t="s">
        <v>79</v>
      </c>
      <c r="E7874" s="128" t="s">
        <v>134</v>
      </c>
      <c r="F7874" s="128">
        <v>2568896.8199999998</v>
      </c>
      <c r="G7874" s="128">
        <v>1118494.97</v>
      </c>
      <c r="H7874" s="128">
        <v>394493.4</v>
      </c>
      <c r="I7874" s="128">
        <v>7565</v>
      </c>
    </row>
    <row r="7875" spans="1:9" ht="13.5">
      <c r="A7875" s="128">
        <v>2013</v>
      </c>
      <c r="B7875" s="128" t="s">
        <v>138</v>
      </c>
      <c r="C7875" s="128" t="s">
        <v>24</v>
      </c>
      <c r="D7875" s="128" t="s">
        <v>79</v>
      </c>
      <c r="E7875" s="128" t="s">
        <v>135</v>
      </c>
      <c r="F7875" s="128">
        <v>8516527.3499999996</v>
      </c>
      <c r="G7875" s="128">
        <v>2162569.02</v>
      </c>
      <c r="H7875" s="128">
        <v>738342.22</v>
      </c>
      <c r="I7875" s="128">
        <v>22947</v>
      </c>
    </row>
    <row r="7876" spans="1:9" ht="13.5">
      <c r="A7876" s="128">
        <v>2013</v>
      </c>
      <c r="B7876" s="128" t="s">
        <v>138</v>
      </c>
      <c r="C7876" s="128" t="s">
        <v>24</v>
      </c>
      <c r="D7876" s="128" t="s">
        <v>77</v>
      </c>
      <c r="E7876" s="128" t="s">
        <v>132</v>
      </c>
      <c r="F7876" s="128">
        <v>2702038.28</v>
      </c>
      <c r="G7876" s="128">
        <v>1876072.9</v>
      </c>
      <c r="H7876" s="128">
        <v>790625.58</v>
      </c>
      <c r="I7876" s="128">
        <v>16458</v>
      </c>
    </row>
    <row r="7877" spans="1:9" ht="13.5">
      <c r="A7877" s="128">
        <v>2013</v>
      </c>
      <c r="B7877" s="128" t="s">
        <v>138</v>
      </c>
      <c r="C7877" s="128" t="s">
        <v>24</v>
      </c>
      <c r="D7877" s="128" t="s">
        <v>77</v>
      </c>
      <c r="E7877" s="128" t="s">
        <v>133</v>
      </c>
      <c r="F7877" s="128">
        <v>4038246.53</v>
      </c>
      <c r="G7877" s="128">
        <v>2160887.7000000002</v>
      </c>
      <c r="H7877" s="128">
        <v>1598763.75</v>
      </c>
      <c r="I7877" s="128">
        <v>29875</v>
      </c>
    </row>
    <row r="7878" spans="1:9" ht="13.5">
      <c r="A7878" s="128">
        <v>2013</v>
      </c>
      <c r="B7878" s="128" t="s">
        <v>138</v>
      </c>
      <c r="C7878" s="128" t="s">
        <v>24</v>
      </c>
      <c r="D7878" s="128" t="s">
        <v>77</v>
      </c>
      <c r="E7878" s="128" t="s">
        <v>134</v>
      </c>
      <c r="F7878" s="128">
        <v>7937825.2999999998</v>
      </c>
      <c r="G7878" s="128">
        <v>3497659.69</v>
      </c>
      <c r="H7878" s="128">
        <v>2598821.88</v>
      </c>
      <c r="I7878" s="128">
        <v>17046</v>
      </c>
    </row>
    <row r="7879" spans="1:9" ht="13.5">
      <c r="A7879" s="128">
        <v>2013</v>
      </c>
      <c r="B7879" s="128" t="s">
        <v>138</v>
      </c>
      <c r="C7879" s="128" t="s">
        <v>24</v>
      </c>
      <c r="D7879" s="128" t="s">
        <v>77</v>
      </c>
      <c r="E7879" s="128" t="s">
        <v>135</v>
      </c>
      <c r="F7879" s="128">
        <v>12440175.609999999</v>
      </c>
      <c r="G7879" s="128">
        <v>3252091.76</v>
      </c>
      <c r="H7879" s="128">
        <v>2083306.19</v>
      </c>
      <c r="I7879" s="128">
        <v>23975</v>
      </c>
    </row>
    <row r="7880" spans="1:9" ht="13.5">
      <c r="A7880" s="128">
        <v>2013</v>
      </c>
      <c r="B7880" s="128" t="s">
        <v>138</v>
      </c>
      <c r="C7880" s="128" t="s">
        <v>24</v>
      </c>
      <c r="D7880" s="128" t="s">
        <v>76</v>
      </c>
      <c r="E7880" s="128" t="s">
        <v>136</v>
      </c>
      <c r="F7880" s="128">
        <v>1405814.21</v>
      </c>
      <c r="G7880" s="128">
        <v>1063151.76</v>
      </c>
      <c r="H7880" s="128">
        <v>342680.66</v>
      </c>
      <c r="I7880" s="128">
        <v>13029</v>
      </c>
    </row>
    <row r="7881" spans="1:9" ht="13.5">
      <c r="A7881" s="128">
        <v>2013</v>
      </c>
      <c r="B7881" s="128" t="s">
        <v>138</v>
      </c>
      <c r="C7881" s="128" t="s">
        <v>24</v>
      </c>
      <c r="D7881" s="128" t="s">
        <v>76</v>
      </c>
      <c r="E7881" s="128" t="s">
        <v>132</v>
      </c>
      <c r="F7881" s="128">
        <v>8700428.4199999999</v>
      </c>
      <c r="G7881" s="128">
        <v>5564511.5</v>
      </c>
      <c r="H7881" s="128">
        <v>3135895.56</v>
      </c>
      <c r="I7881" s="128">
        <v>102871</v>
      </c>
    </row>
    <row r="7882" spans="1:9" ht="13.5">
      <c r="A7882" s="128">
        <v>2013</v>
      </c>
      <c r="B7882" s="128" t="s">
        <v>138</v>
      </c>
      <c r="C7882" s="128" t="s">
        <v>24</v>
      </c>
      <c r="D7882" s="128" t="s">
        <v>76</v>
      </c>
      <c r="E7882" s="128" t="s">
        <v>133</v>
      </c>
      <c r="F7882" s="128">
        <v>33748903.890000001</v>
      </c>
      <c r="G7882" s="128">
        <v>18690038.850000001</v>
      </c>
      <c r="H7882" s="128">
        <v>15058860.23</v>
      </c>
      <c r="I7882" s="128">
        <v>268651</v>
      </c>
    </row>
    <row r="7883" spans="1:9" ht="13.5">
      <c r="A7883" s="128">
        <v>2013</v>
      </c>
      <c r="B7883" s="128" t="s">
        <v>138</v>
      </c>
      <c r="C7883" s="128" t="s">
        <v>24</v>
      </c>
      <c r="D7883" s="128" t="s">
        <v>76</v>
      </c>
      <c r="E7883" s="128" t="s">
        <v>134</v>
      </c>
      <c r="F7883" s="128">
        <v>41455110.109999999</v>
      </c>
      <c r="G7883" s="128">
        <v>18374985.09</v>
      </c>
      <c r="H7883" s="128">
        <v>23080115.829999998</v>
      </c>
      <c r="I7883" s="128">
        <v>195089</v>
      </c>
    </row>
    <row r="7884" spans="1:9" ht="13.5">
      <c r="A7884" s="128">
        <v>2013</v>
      </c>
      <c r="B7884" s="128" t="s">
        <v>138</v>
      </c>
      <c r="C7884" s="128" t="s">
        <v>24</v>
      </c>
      <c r="D7884" s="128" t="s">
        <v>76</v>
      </c>
      <c r="E7884" s="128" t="s">
        <v>135</v>
      </c>
      <c r="F7884" s="128">
        <v>3840421.44</v>
      </c>
      <c r="G7884" s="128">
        <v>1003468.45</v>
      </c>
      <c r="H7884" s="128">
        <v>2836952.89</v>
      </c>
      <c r="I7884" s="128">
        <v>2634</v>
      </c>
    </row>
    <row r="7885" spans="1:9" ht="13.5">
      <c r="A7885" s="128">
        <v>2013</v>
      </c>
      <c r="B7885" s="128" t="s">
        <v>138</v>
      </c>
      <c r="C7885" s="128" t="s">
        <v>25</v>
      </c>
      <c r="D7885" s="128" t="s">
        <v>79</v>
      </c>
      <c r="E7885" s="128" t="s">
        <v>136</v>
      </c>
      <c r="F7885" s="128">
        <v>624201.66</v>
      </c>
      <c r="G7885" s="128">
        <v>469062.71</v>
      </c>
      <c r="H7885" s="128">
        <v>155136.49</v>
      </c>
      <c r="I7885" s="128">
        <v>8418</v>
      </c>
    </row>
    <row r="7886" spans="1:9" ht="13.5">
      <c r="A7886" s="128">
        <v>2013</v>
      </c>
      <c r="B7886" s="128" t="s">
        <v>138</v>
      </c>
      <c r="C7886" s="128" t="s">
        <v>25</v>
      </c>
      <c r="D7886" s="128" t="s">
        <v>79</v>
      </c>
      <c r="E7886" s="128" t="s">
        <v>132</v>
      </c>
      <c r="F7886" s="128">
        <v>124839.46</v>
      </c>
      <c r="G7886" s="128">
        <v>82525.36</v>
      </c>
      <c r="H7886" s="128">
        <v>34853.300000000003</v>
      </c>
      <c r="I7886" s="128">
        <v>1008</v>
      </c>
    </row>
    <row r="7887" spans="1:9" ht="13.5">
      <c r="A7887" s="128">
        <v>2013</v>
      </c>
      <c r="B7887" s="128" t="s">
        <v>138</v>
      </c>
      <c r="C7887" s="128" t="s">
        <v>25</v>
      </c>
      <c r="D7887" s="128" t="s">
        <v>79</v>
      </c>
      <c r="E7887" s="128" t="s">
        <v>133</v>
      </c>
      <c r="F7887" s="128">
        <v>174945.32</v>
      </c>
      <c r="G7887" s="128">
        <v>93920.78</v>
      </c>
      <c r="H7887" s="128">
        <v>52829.82</v>
      </c>
      <c r="I7887" s="128">
        <v>518</v>
      </c>
    </row>
    <row r="7888" spans="1:9" ht="13.5">
      <c r="A7888" s="128">
        <v>2013</v>
      </c>
      <c r="B7888" s="128" t="s">
        <v>138</v>
      </c>
      <c r="C7888" s="128" t="s">
        <v>25</v>
      </c>
      <c r="D7888" s="128" t="s">
        <v>79</v>
      </c>
      <c r="E7888" s="128" t="s">
        <v>134</v>
      </c>
      <c r="F7888" s="128">
        <v>639984.68000000005</v>
      </c>
      <c r="G7888" s="128">
        <v>278519.49</v>
      </c>
      <c r="H7888" s="128">
        <v>146774.95000000001</v>
      </c>
      <c r="I7888" s="128">
        <v>2305</v>
      </c>
    </row>
    <row r="7889" spans="1:9" ht="13.5">
      <c r="A7889" s="128">
        <v>2013</v>
      </c>
      <c r="B7889" s="128" t="s">
        <v>138</v>
      </c>
      <c r="C7889" s="128" t="s">
        <v>25</v>
      </c>
      <c r="D7889" s="128" t="s">
        <v>79</v>
      </c>
      <c r="E7889" s="128" t="s">
        <v>135</v>
      </c>
      <c r="F7889" s="128">
        <v>2280107.86</v>
      </c>
      <c r="G7889" s="128">
        <v>570977.63</v>
      </c>
      <c r="H7889" s="128">
        <v>195742.16</v>
      </c>
      <c r="I7889" s="128">
        <v>3736</v>
      </c>
    </row>
    <row r="7890" spans="1:9" ht="13.5">
      <c r="A7890" s="128">
        <v>2013</v>
      </c>
      <c r="B7890" s="128" t="s">
        <v>138</v>
      </c>
      <c r="C7890" s="128" t="s">
        <v>25</v>
      </c>
      <c r="D7890" s="128" t="s">
        <v>77</v>
      </c>
      <c r="E7890" s="128" t="s">
        <v>132</v>
      </c>
      <c r="F7890" s="128">
        <v>230406.09</v>
      </c>
      <c r="G7890" s="128">
        <v>156317.35</v>
      </c>
      <c r="H7890" s="128">
        <v>65710.960000000006</v>
      </c>
      <c r="I7890" s="128">
        <v>1122</v>
      </c>
    </row>
    <row r="7891" spans="1:9" ht="13.5">
      <c r="A7891" s="128">
        <v>2013</v>
      </c>
      <c r="B7891" s="128" t="s">
        <v>138</v>
      </c>
      <c r="C7891" s="128" t="s">
        <v>25</v>
      </c>
      <c r="D7891" s="128" t="s">
        <v>77</v>
      </c>
      <c r="E7891" s="128" t="s">
        <v>133</v>
      </c>
      <c r="F7891" s="128">
        <v>587598.66</v>
      </c>
      <c r="G7891" s="128">
        <v>331818.84999999998</v>
      </c>
      <c r="H7891" s="128">
        <v>158469.62</v>
      </c>
      <c r="I7891" s="128">
        <v>8563</v>
      </c>
    </row>
    <row r="7892" spans="1:9" ht="13.5">
      <c r="A7892" s="128">
        <v>2013</v>
      </c>
      <c r="B7892" s="128" t="s">
        <v>138</v>
      </c>
      <c r="C7892" s="128" t="s">
        <v>25</v>
      </c>
      <c r="D7892" s="128" t="s">
        <v>77</v>
      </c>
      <c r="E7892" s="128" t="s">
        <v>134</v>
      </c>
      <c r="F7892" s="128">
        <v>858365.83</v>
      </c>
      <c r="G7892" s="128">
        <v>373843.4</v>
      </c>
      <c r="H7892" s="128">
        <v>370582.6</v>
      </c>
      <c r="I7892" s="128">
        <v>1872</v>
      </c>
    </row>
    <row r="7893" spans="1:9" ht="13.5">
      <c r="A7893" s="128">
        <v>2013</v>
      </c>
      <c r="B7893" s="128" t="s">
        <v>138</v>
      </c>
      <c r="C7893" s="128" t="s">
        <v>25</v>
      </c>
      <c r="D7893" s="128" t="s">
        <v>77</v>
      </c>
      <c r="E7893" s="128" t="s">
        <v>135</v>
      </c>
      <c r="F7893" s="128">
        <v>1165772.8700000001</v>
      </c>
      <c r="G7893" s="128">
        <v>353485.55</v>
      </c>
      <c r="H7893" s="128">
        <v>395307.63</v>
      </c>
      <c r="I7893" s="128">
        <v>4207</v>
      </c>
    </row>
    <row r="7894" spans="1:9" ht="13.5">
      <c r="A7894" s="128">
        <v>2013</v>
      </c>
      <c r="B7894" s="128" t="s">
        <v>138</v>
      </c>
      <c r="C7894" s="128" t="s">
        <v>25</v>
      </c>
      <c r="D7894" s="128" t="s">
        <v>76</v>
      </c>
      <c r="E7894" s="128" t="s">
        <v>136</v>
      </c>
      <c r="F7894" s="128">
        <v>1817923.72</v>
      </c>
      <c r="G7894" s="128">
        <v>1366442.11</v>
      </c>
      <c r="H7894" s="128">
        <v>451486.71</v>
      </c>
      <c r="I7894" s="128">
        <v>29198</v>
      </c>
    </row>
    <row r="7895" spans="1:9" ht="13.5">
      <c r="A7895" s="128">
        <v>2013</v>
      </c>
      <c r="B7895" s="128" t="s">
        <v>138</v>
      </c>
      <c r="C7895" s="128" t="s">
        <v>25</v>
      </c>
      <c r="D7895" s="128" t="s">
        <v>76</v>
      </c>
      <c r="E7895" s="128" t="s">
        <v>132</v>
      </c>
      <c r="F7895" s="128">
        <v>3635674.9</v>
      </c>
      <c r="G7895" s="128">
        <v>2305590.35</v>
      </c>
      <c r="H7895" s="128">
        <v>1330080.58</v>
      </c>
      <c r="I7895" s="128">
        <v>25678</v>
      </c>
    </row>
    <row r="7896" spans="1:9" ht="13.5">
      <c r="A7896" s="128">
        <v>2013</v>
      </c>
      <c r="B7896" s="128" t="s">
        <v>138</v>
      </c>
      <c r="C7896" s="128" t="s">
        <v>25</v>
      </c>
      <c r="D7896" s="128" t="s">
        <v>76</v>
      </c>
      <c r="E7896" s="128" t="s">
        <v>133</v>
      </c>
      <c r="F7896" s="128">
        <v>8328041.8899999997</v>
      </c>
      <c r="G7896" s="128">
        <v>4535107.4800000004</v>
      </c>
      <c r="H7896" s="128">
        <v>3792926.82</v>
      </c>
      <c r="I7896" s="128">
        <v>42920</v>
      </c>
    </row>
    <row r="7897" spans="1:9" ht="13.5">
      <c r="A7897" s="128">
        <v>2013</v>
      </c>
      <c r="B7897" s="128" t="s">
        <v>138</v>
      </c>
      <c r="C7897" s="128" t="s">
        <v>25</v>
      </c>
      <c r="D7897" s="128" t="s">
        <v>76</v>
      </c>
      <c r="E7897" s="128" t="s">
        <v>134</v>
      </c>
      <c r="F7897" s="128">
        <v>7380016.4400000004</v>
      </c>
      <c r="G7897" s="128">
        <v>3376403.29</v>
      </c>
      <c r="H7897" s="128">
        <v>4003610.27</v>
      </c>
      <c r="I7897" s="128">
        <v>39751</v>
      </c>
    </row>
    <row r="7898" spans="1:9" ht="13.5">
      <c r="A7898" s="128">
        <v>2013</v>
      </c>
      <c r="B7898" s="128" t="s">
        <v>138</v>
      </c>
      <c r="C7898" s="128" t="s">
        <v>25</v>
      </c>
      <c r="D7898" s="128" t="s">
        <v>76</v>
      </c>
      <c r="E7898" s="128" t="s">
        <v>135</v>
      </c>
      <c r="F7898" s="128">
        <v>593692.42000000004</v>
      </c>
      <c r="G7898" s="128">
        <v>169238.95</v>
      </c>
      <c r="H7898" s="128">
        <v>424453.39</v>
      </c>
      <c r="I7898" s="128">
        <v>627</v>
      </c>
    </row>
    <row r="7899" spans="1:9" ht="13.5">
      <c r="A7899" s="128">
        <v>2013</v>
      </c>
      <c r="B7899" s="128" t="s">
        <v>138</v>
      </c>
      <c r="C7899" s="128" t="s">
        <v>26</v>
      </c>
      <c r="D7899" s="128" t="s">
        <v>79</v>
      </c>
      <c r="E7899" s="128" t="s">
        <v>136</v>
      </c>
      <c r="F7899" s="128">
        <v>1120576.25</v>
      </c>
      <c r="G7899" s="128">
        <v>848779.13</v>
      </c>
      <c r="H7899" s="128">
        <v>270911.57</v>
      </c>
      <c r="I7899" s="128">
        <v>9923</v>
      </c>
    </row>
    <row r="7900" spans="1:9" ht="13.5">
      <c r="A7900" s="128">
        <v>2013</v>
      </c>
      <c r="B7900" s="128" t="s">
        <v>138</v>
      </c>
      <c r="C7900" s="128" t="s">
        <v>26</v>
      </c>
      <c r="D7900" s="128" t="s">
        <v>79</v>
      </c>
      <c r="E7900" s="128" t="s">
        <v>132</v>
      </c>
      <c r="F7900" s="128">
        <v>94914.559999999998</v>
      </c>
      <c r="G7900" s="128">
        <v>61978.14</v>
      </c>
      <c r="H7900" s="128">
        <v>23218.15</v>
      </c>
      <c r="I7900" s="128">
        <v>539</v>
      </c>
    </row>
    <row r="7901" spans="1:9" ht="13.5">
      <c r="A7901" s="128">
        <v>2013</v>
      </c>
      <c r="B7901" s="128" t="s">
        <v>138</v>
      </c>
      <c r="C7901" s="128" t="s">
        <v>26</v>
      </c>
      <c r="D7901" s="128" t="s">
        <v>79</v>
      </c>
      <c r="E7901" s="128" t="s">
        <v>133</v>
      </c>
      <c r="F7901" s="128">
        <v>168401.66</v>
      </c>
      <c r="G7901" s="128">
        <v>91455.26</v>
      </c>
      <c r="H7901" s="128">
        <v>36810.75</v>
      </c>
      <c r="I7901" s="128">
        <v>619</v>
      </c>
    </row>
    <row r="7902" spans="1:9" ht="13.5">
      <c r="A7902" s="128">
        <v>2013</v>
      </c>
      <c r="B7902" s="128" t="s">
        <v>138</v>
      </c>
      <c r="C7902" s="128" t="s">
        <v>26</v>
      </c>
      <c r="D7902" s="128" t="s">
        <v>79</v>
      </c>
      <c r="E7902" s="128" t="s">
        <v>134</v>
      </c>
      <c r="F7902" s="128">
        <v>774519.28</v>
      </c>
      <c r="G7902" s="128">
        <v>322833.03000000003</v>
      </c>
      <c r="H7902" s="128">
        <v>110572.75</v>
      </c>
      <c r="I7902" s="128">
        <v>2724</v>
      </c>
    </row>
    <row r="7903" spans="1:9" ht="13.5">
      <c r="A7903" s="128">
        <v>2013</v>
      </c>
      <c r="B7903" s="128" t="s">
        <v>138</v>
      </c>
      <c r="C7903" s="128" t="s">
        <v>26</v>
      </c>
      <c r="D7903" s="128" t="s">
        <v>79</v>
      </c>
      <c r="E7903" s="128" t="s">
        <v>135</v>
      </c>
      <c r="F7903" s="128">
        <v>8143626.9400000004</v>
      </c>
      <c r="G7903" s="128">
        <v>2028985.78</v>
      </c>
      <c r="H7903" s="128">
        <v>675331.5</v>
      </c>
      <c r="I7903" s="128">
        <v>11990</v>
      </c>
    </row>
    <row r="7904" spans="1:9" ht="13.5">
      <c r="A7904" s="128">
        <v>2013</v>
      </c>
      <c r="B7904" s="128" t="s">
        <v>138</v>
      </c>
      <c r="C7904" s="128" t="s">
        <v>26</v>
      </c>
      <c r="D7904" s="128" t="s">
        <v>77</v>
      </c>
      <c r="E7904" s="128" t="s">
        <v>132</v>
      </c>
      <c r="F7904" s="128">
        <v>85216.34</v>
      </c>
      <c r="G7904" s="128">
        <v>56445.35</v>
      </c>
      <c r="H7904" s="128">
        <v>26336.5</v>
      </c>
      <c r="I7904" s="128">
        <v>285</v>
      </c>
    </row>
    <row r="7905" spans="1:9" ht="13.5">
      <c r="A7905" s="128">
        <v>2013</v>
      </c>
      <c r="B7905" s="128" t="s">
        <v>138</v>
      </c>
      <c r="C7905" s="128" t="s">
        <v>26</v>
      </c>
      <c r="D7905" s="128" t="s">
        <v>77</v>
      </c>
      <c r="E7905" s="128" t="s">
        <v>133</v>
      </c>
      <c r="F7905" s="128">
        <v>128274.6</v>
      </c>
      <c r="G7905" s="128">
        <v>70550.7</v>
      </c>
      <c r="H7905" s="128">
        <v>47610.55</v>
      </c>
      <c r="I7905" s="128">
        <v>455</v>
      </c>
    </row>
    <row r="7906" spans="1:9" ht="13.5">
      <c r="A7906" s="128">
        <v>2013</v>
      </c>
      <c r="B7906" s="128" t="s">
        <v>138</v>
      </c>
      <c r="C7906" s="128" t="s">
        <v>26</v>
      </c>
      <c r="D7906" s="128" t="s">
        <v>77</v>
      </c>
      <c r="E7906" s="128" t="s">
        <v>134</v>
      </c>
      <c r="F7906" s="128">
        <v>233115.83</v>
      </c>
      <c r="G7906" s="128">
        <v>99632.75</v>
      </c>
      <c r="H7906" s="128">
        <v>98372.29</v>
      </c>
      <c r="I7906" s="128">
        <v>793</v>
      </c>
    </row>
    <row r="7907" spans="1:9" ht="13.5">
      <c r="A7907" s="128">
        <v>2013</v>
      </c>
      <c r="B7907" s="128" t="s">
        <v>138</v>
      </c>
      <c r="C7907" s="128" t="s">
        <v>26</v>
      </c>
      <c r="D7907" s="128" t="s">
        <v>77</v>
      </c>
      <c r="E7907" s="128" t="s">
        <v>135</v>
      </c>
      <c r="F7907" s="128">
        <v>906979.77</v>
      </c>
      <c r="G7907" s="128">
        <v>252213.75</v>
      </c>
      <c r="H7907" s="128">
        <v>267392.19</v>
      </c>
      <c r="I7907" s="128">
        <v>2911</v>
      </c>
    </row>
    <row r="7908" spans="1:9" ht="13.5">
      <c r="A7908" s="128">
        <v>2013</v>
      </c>
      <c r="B7908" s="128" t="s">
        <v>138</v>
      </c>
      <c r="C7908" s="128" t="s">
        <v>26</v>
      </c>
      <c r="D7908" s="128" t="s">
        <v>76</v>
      </c>
      <c r="E7908" s="128" t="s">
        <v>136</v>
      </c>
      <c r="F7908" s="128">
        <v>437570.97</v>
      </c>
      <c r="G7908" s="128">
        <v>329206.65999999997</v>
      </c>
      <c r="H7908" s="128">
        <v>108505.9</v>
      </c>
      <c r="I7908" s="128">
        <v>14141</v>
      </c>
    </row>
    <row r="7909" spans="1:9" ht="13.5">
      <c r="A7909" s="128">
        <v>2013</v>
      </c>
      <c r="B7909" s="128" t="s">
        <v>138</v>
      </c>
      <c r="C7909" s="128" t="s">
        <v>26</v>
      </c>
      <c r="D7909" s="128" t="s">
        <v>76</v>
      </c>
      <c r="E7909" s="128" t="s">
        <v>132</v>
      </c>
      <c r="F7909" s="128">
        <v>1183294.6399999999</v>
      </c>
      <c r="G7909" s="128">
        <v>766050.54</v>
      </c>
      <c r="H7909" s="128">
        <v>417220.6</v>
      </c>
      <c r="I7909" s="128">
        <v>13111</v>
      </c>
    </row>
    <row r="7910" spans="1:9" ht="13.5">
      <c r="A7910" s="128">
        <v>2013</v>
      </c>
      <c r="B7910" s="128" t="s">
        <v>138</v>
      </c>
      <c r="C7910" s="128" t="s">
        <v>26</v>
      </c>
      <c r="D7910" s="128" t="s">
        <v>76</v>
      </c>
      <c r="E7910" s="128" t="s">
        <v>133</v>
      </c>
      <c r="F7910" s="128">
        <v>3016750.4</v>
      </c>
      <c r="G7910" s="128">
        <v>1667073.21</v>
      </c>
      <c r="H7910" s="128">
        <v>1349659.74</v>
      </c>
      <c r="I7910" s="128">
        <v>18314</v>
      </c>
    </row>
    <row r="7911" spans="1:9" ht="13.5">
      <c r="A7911" s="128">
        <v>2013</v>
      </c>
      <c r="B7911" s="128" t="s">
        <v>138</v>
      </c>
      <c r="C7911" s="128" t="s">
        <v>26</v>
      </c>
      <c r="D7911" s="128" t="s">
        <v>76</v>
      </c>
      <c r="E7911" s="128" t="s">
        <v>134</v>
      </c>
      <c r="F7911" s="128">
        <v>2311370.9300000002</v>
      </c>
      <c r="G7911" s="128">
        <v>1057648.83</v>
      </c>
      <c r="H7911" s="128">
        <v>1253713.73</v>
      </c>
      <c r="I7911" s="128">
        <v>15380</v>
      </c>
    </row>
    <row r="7912" spans="1:9" ht="13.5">
      <c r="A7912" s="128">
        <v>2013</v>
      </c>
      <c r="B7912" s="128" t="s">
        <v>138</v>
      </c>
      <c r="C7912" s="128" t="s">
        <v>26</v>
      </c>
      <c r="D7912" s="128" t="s">
        <v>76</v>
      </c>
      <c r="E7912" s="128" t="s">
        <v>135</v>
      </c>
      <c r="F7912" s="128">
        <v>361409.97</v>
      </c>
      <c r="G7912" s="128">
        <v>112064.1</v>
      </c>
      <c r="H7912" s="128">
        <v>249345.87</v>
      </c>
      <c r="I7912" s="128">
        <v>1156</v>
      </c>
    </row>
    <row r="7913" spans="1:9" ht="13.5">
      <c r="A7913" s="128">
        <v>2013</v>
      </c>
      <c r="B7913" s="128" t="s">
        <v>138</v>
      </c>
      <c r="C7913" s="128" t="s">
        <v>27</v>
      </c>
      <c r="D7913" s="128" t="s">
        <v>79</v>
      </c>
      <c r="E7913" s="128" t="s">
        <v>136</v>
      </c>
      <c r="F7913" s="128">
        <v>346119.83</v>
      </c>
      <c r="G7913" s="128">
        <v>259461.78</v>
      </c>
      <c r="H7913" s="128">
        <v>86223.05</v>
      </c>
      <c r="I7913" s="128">
        <v>1402</v>
      </c>
    </row>
    <row r="7914" spans="1:9" ht="13.5">
      <c r="A7914" s="128">
        <v>2013</v>
      </c>
      <c r="B7914" s="128" t="s">
        <v>138</v>
      </c>
      <c r="C7914" s="128" t="s">
        <v>27</v>
      </c>
      <c r="D7914" s="128" t="s">
        <v>79</v>
      </c>
      <c r="E7914" s="128" t="s">
        <v>132</v>
      </c>
      <c r="F7914" s="128">
        <v>35647.1</v>
      </c>
      <c r="G7914" s="128">
        <v>22990.33</v>
      </c>
      <c r="H7914" s="128">
        <v>8698.7000000000007</v>
      </c>
      <c r="I7914" s="128">
        <v>152</v>
      </c>
    </row>
    <row r="7915" spans="1:9" ht="13.5">
      <c r="A7915" s="128">
        <v>2013</v>
      </c>
      <c r="B7915" s="128" t="s">
        <v>138</v>
      </c>
      <c r="C7915" s="128" t="s">
        <v>27</v>
      </c>
      <c r="D7915" s="128" t="s">
        <v>79</v>
      </c>
      <c r="E7915" s="128" t="s">
        <v>133</v>
      </c>
      <c r="F7915" s="128">
        <v>48738.67</v>
      </c>
      <c r="G7915" s="128">
        <v>26641.65</v>
      </c>
      <c r="H7915" s="128">
        <v>11711.08</v>
      </c>
      <c r="I7915" s="128">
        <v>239</v>
      </c>
    </row>
    <row r="7916" spans="1:9" ht="13.5">
      <c r="A7916" s="128">
        <v>2013</v>
      </c>
      <c r="B7916" s="128" t="s">
        <v>138</v>
      </c>
      <c r="C7916" s="128" t="s">
        <v>27</v>
      </c>
      <c r="D7916" s="128" t="s">
        <v>79</v>
      </c>
      <c r="E7916" s="128" t="s">
        <v>134</v>
      </c>
      <c r="F7916" s="128">
        <v>178386.07</v>
      </c>
      <c r="G7916" s="128">
        <v>78451.67</v>
      </c>
      <c r="H7916" s="128">
        <v>29080.3</v>
      </c>
      <c r="I7916" s="128">
        <v>598</v>
      </c>
    </row>
    <row r="7917" spans="1:9" ht="13.5">
      <c r="A7917" s="128">
        <v>2013</v>
      </c>
      <c r="B7917" s="128" t="s">
        <v>138</v>
      </c>
      <c r="C7917" s="128" t="s">
        <v>27</v>
      </c>
      <c r="D7917" s="128" t="s">
        <v>79</v>
      </c>
      <c r="E7917" s="128" t="s">
        <v>135</v>
      </c>
      <c r="F7917" s="128">
        <v>1367404.02</v>
      </c>
      <c r="G7917" s="128">
        <v>350907.69</v>
      </c>
      <c r="H7917" s="128">
        <v>117578.65</v>
      </c>
      <c r="I7917" s="128">
        <v>1993</v>
      </c>
    </row>
    <row r="7918" spans="1:9" ht="13.5">
      <c r="A7918" s="128">
        <v>2013</v>
      </c>
      <c r="B7918" s="128" t="s">
        <v>138</v>
      </c>
      <c r="C7918" s="128" t="s">
        <v>27</v>
      </c>
      <c r="D7918" s="128" t="s">
        <v>77</v>
      </c>
      <c r="E7918" s="128" t="s">
        <v>132</v>
      </c>
      <c r="F7918" s="128">
        <v>22251.69</v>
      </c>
      <c r="G7918" s="128">
        <v>15153.85</v>
      </c>
      <c r="H7918" s="128">
        <v>6391.88</v>
      </c>
      <c r="I7918" s="128">
        <v>164</v>
      </c>
    </row>
    <row r="7919" spans="1:9" ht="13.5">
      <c r="A7919" s="128">
        <v>2013</v>
      </c>
      <c r="B7919" s="128" t="s">
        <v>138</v>
      </c>
      <c r="C7919" s="128" t="s">
        <v>27</v>
      </c>
      <c r="D7919" s="128" t="s">
        <v>77</v>
      </c>
      <c r="E7919" s="128" t="s">
        <v>133</v>
      </c>
      <c r="F7919" s="128">
        <v>36379.800000000003</v>
      </c>
      <c r="G7919" s="128">
        <v>19507.2</v>
      </c>
      <c r="H7919" s="128">
        <v>13248.48</v>
      </c>
      <c r="I7919" s="128">
        <v>153</v>
      </c>
    </row>
    <row r="7920" spans="1:9" ht="13.5">
      <c r="A7920" s="128">
        <v>2013</v>
      </c>
      <c r="B7920" s="128" t="s">
        <v>138</v>
      </c>
      <c r="C7920" s="128" t="s">
        <v>27</v>
      </c>
      <c r="D7920" s="128" t="s">
        <v>77</v>
      </c>
      <c r="E7920" s="128" t="s">
        <v>134</v>
      </c>
      <c r="F7920" s="128">
        <v>137360.12</v>
      </c>
      <c r="G7920" s="128">
        <v>60935</v>
      </c>
      <c r="H7920" s="128">
        <v>58973.279999999999</v>
      </c>
      <c r="I7920" s="128">
        <v>315</v>
      </c>
    </row>
    <row r="7921" spans="1:9" ht="13.5">
      <c r="A7921" s="128">
        <v>2013</v>
      </c>
      <c r="B7921" s="128" t="s">
        <v>138</v>
      </c>
      <c r="C7921" s="128" t="s">
        <v>27</v>
      </c>
      <c r="D7921" s="128" t="s">
        <v>77</v>
      </c>
      <c r="E7921" s="128" t="s">
        <v>135</v>
      </c>
      <c r="F7921" s="128">
        <v>327703.62</v>
      </c>
      <c r="G7921" s="128">
        <v>87924.6</v>
      </c>
      <c r="H7921" s="128">
        <v>99179.06</v>
      </c>
      <c r="I7921" s="128">
        <v>1114</v>
      </c>
    </row>
    <row r="7922" spans="1:9" ht="13.5">
      <c r="A7922" s="128">
        <v>2013</v>
      </c>
      <c r="B7922" s="128" t="s">
        <v>138</v>
      </c>
      <c r="C7922" s="128" t="s">
        <v>27</v>
      </c>
      <c r="D7922" s="128" t="s">
        <v>76</v>
      </c>
      <c r="E7922" s="128" t="s">
        <v>136</v>
      </c>
      <c r="F7922" s="128">
        <v>151849.62</v>
      </c>
      <c r="G7922" s="128">
        <v>114029.14</v>
      </c>
      <c r="H7922" s="128">
        <v>37820.480000000003</v>
      </c>
      <c r="I7922" s="128">
        <v>2183</v>
      </c>
    </row>
    <row r="7923" spans="1:9" ht="13.5">
      <c r="A7923" s="128">
        <v>2013</v>
      </c>
      <c r="B7923" s="128" t="s">
        <v>138</v>
      </c>
      <c r="C7923" s="128" t="s">
        <v>27</v>
      </c>
      <c r="D7923" s="128" t="s">
        <v>76</v>
      </c>
      <c r="E7923" s="128" t="s">
        <v>132</v>
      </c>
      <c r="F7923" s="128">
        <v>444864.11</v>
      </c>
      <c r="G7923" s="128">
        <v>284083.61</v>
      </c>
      <c r="H7923" s="128">
        <v>160778.48000000001</v>
      </c>
      <c r="I7923" s="128">
        <v>5454</v>
      </c>
    </row>
    <row r="7924" spans="1:9" ht="13.5">
      <c r="A7924" s="128">
        <v>2013</v>
      </c>
      <c r="B7924" s="128" t="s">
        <v>138</v>
      </c>
      <c r="C7924" s="128" t="s">
        <v>27</v>
      </c>
      <c r="D7924" s="128" t="s">
        <v>76</v>
      </c>
      <c r="E7924" s="128" t="s">
        <v>133</v>
      </c>
      <c r="F7924" s="128">
        <v>1142030.21</v>
      </c>
      <c r="G7924" s="128">
        <v>626266.69999999995</v>
      </c>
      <c r="H7924" s="128">
        <v>515763.04</v>
      </c>
      <c r="I7924" s="128">
        <v>6819</v>
      </c>
    </row>
    <row r="7925" spans="1:9" ht="13.5">
      <c r="A7925" s="128">
        <v>2013</v>
      </c>
      <c r="B7925" s="128" t="s">
        <v>138</v>
      </c>
      <c r="C7925" s="128" t="s">
        <v>27</v>
      </c>
      <c r="D7925" s="128" t="s">
        <v>76</v>
      </c>
      <c r="E7925" s="128" t="s">
        <v>134</v>
      </c>
      <c r="F7925" s="128">
        <v>1336808.1499999999</v>
      </c>
      <c r="G7925" s="128">
        <v>614601.31000000006</v>
      </c>
      <c r="H7925" s="128">
        <v>722201.71</v>
      </c>
      <c r="I7925" s="128">
        <v>6412</v>
      </c>
    </row>
    <row r="7926" spans="1:9" ht="13.5">
      <c r="A7926" s="128">
        <v>2013</v>
      </c>
      <c r="B7926" s="128" t="s">
        <v>138</v>
      </c>
      <c r="C7926" s="128" t="s">
        <v>27</v>
      </c>
      <c r="D7926" s="128" t="s">
        <v>76</v>
      </c>
      <c r="E7926" s="128" t="s">
        <v>135</v>
      </c>
      <c r="F7926" s="128">
        <v>65057.75</v>
      </c>
      <c r="G7926" s="128">
        <v>19598.7</v>
      </c>
      <c r="H7926" s="128">
        <v>45459.05</v>
      </c>
      <c r="I7926" s="128">
        <v>98</v>
      </c>
    </row>
    <row r="7927" spans="1:9" ht="13.5">
      <c r="A7927" s="128">
        <v>2013</v>
      </c>
      <c r="B7927" s="128" t="s">
        <v>139</v>
      </c>
      <c r="C7927" s="128" t="s">
        <v>20</v>
      </c>
      <c r="D7927" s="128" t="s">
        <v>79</v>
      </c>
      <c r="E7927" s="128" t="s">
        <v>136</v>
      </c>
      <c r="F7927" s="128">
        <v>35269514.780000001</v>
      </c>
      <c r="G7927" s="128">
        <v>26483206.469999999</v>
      </c>
      <c r="H7927" s="128">
        <v>8770644.4000000004</v>
      </c>
      <c r="I7927" s="128">
        <v>565833</v>
      </c>
    </row>
    <row r="7928" spans="1:9" ht="13.5">
      <c r="A7928" s="128">
        <v>2013</v>
      </c>
      <c r="B7928" s="128" t="s">
        <v>139</v>
      </c>
      <c r="C7928" s="128" t="s">
        <v>20</v>
      </c>
      <c r="D7928" s="128" t="s">
        <v>79</v>
      </c>
      <c r="E7928" s="128" t="s">
        <v>132</v>
      </c>
      <c r="F7928" s="128">
        <v>2647073.39</v>
      </c>
      <c r="G7928" s="128">
        <v>1774461.37</v>
      </c>
      <c r="H7928" s="128">
        <v>655432.23</v>
      </c>
      <c r="I7928" s="128">
        <v>19543</v>
      </c>
    </row>
    <row r="7929" spans="1:9" ht="13.5">
      <c r="A7929" s="128">
        <v>2013</v>
      </c>
      <c r="B7929" s="128" t="s">
        <v>139</v>
      </c>
      <c r="C7929" s="128" t="s">
        <v>20</v>
      </c>
      <c r="D7929" s="128" t="s">
        <v>79</v>
      </c>
      <c r="E7929" s="128" t="s">
        <v>133</v>
      </c>
      <c r="F7929" s="128">
        <v>3130798.33</v>
      </c>
      <c r="G7929" s="128">
        <v>1694499.57</v>
      </c>
      <c r="H7929" s="128">
        <v>779710.99</v>
      </c>
      <c r="I7929" s="128">
        <v>15141</v>
      </c>
    </row>
    <row r="7930" spans="1:9" ht="13.5">
      <c r="A7930" s="128">
        <v>2013</v>
      </c>
      <c r="B7930" s="128" t="s">
        <v>139</v>
      </c>
      <c r="C7930" s="128" t="s">
        <v>20</v>
      </c>
      <c r="D7930" s="128" t="s">
        <v>79</v>
      </c>
      <c r="E7930" s="128" t="s">
        <v>134</v>
      </c>
      <c r="F7930" s="128">
        <v>13760801.140000001</v>
      </c>
      <c r="G7930" s="128">
        <v>5895534.7400000002</v>
      </c>
      <c r="H7930" s="128">
        <v>2337986.66</v>
      </c>
      <c r="I7930" s="128">
        <v>73406</v>
      </c>
    </row>
    <row r="7931" spans="1:9" ht="13.5">
      <c r="A7931" s="128">
        <v>2013</v>
      </c>
      <c r="B7931" s="128" t="s">
        <v>139</v>
      </c>
      <c r="C7931" s="128" t="s">
        <v>20</v>
      </c>
      <c r="D7931" s="128" t="s">
        <v>79</v>
      </c>
      <c r="E7931" s="128" t="s">
        <v>135</v>
      </c>
      <c r="F7931" s="128">
        <v>87227342.159999996</v>
      </c>
      <c r="G7931" s="128">
        <v>21933276.27</v>
      </c>
      <c r="H7931" s="128">
        <v>7270972.6100000003</v>
      </c>
      <c r="I7931" s="128">
        <v>138983</v>
      </c>
    </row>
    <row r="7932" spans="1:9" ht="13.5">
      <c r="A7932" s="128">
        <v>2013</v>
      </c>
      <c r="B7932" s="128" t="s">
        <v>139</v>
      </c>
      <c r="C7932" s="128" t="s">
        <v>20</v>
      </c>
      <c r="D7932" s="128" t="s">
        <v>77</v>
      </c>
      <c r="E7932" s="128" t="s">
        <v>132</v>
      </c>
      <c r="F7932" s="128">
        <v>1410751</v>
      </c>
      <c r="G7932" s="128">
        <v>942320.47</v>
      </c>
      <c r="H7932" s="128">
        <v>397070.91</v>
      </c>
      <c r="I7932" s="128">
        <v>8096</v>
      </c>
    </row>
    <row r="7933" spans="1:9" ht="13.5">
      <c r="A7933" s="128">
        <v>2013</v>
      </c>
      <c r="B7933" s="128" t="s">
        <v>139</v>
      </c>
      <c r="C7933" s="128" t="s">
        <v>20</v>
      </c>
      <c r="D7933" s="128" t="s">
        <v>77</v>
      </c>
      <c r="E7933" s="128" t="s">
        <v>133</v>
      </c>
      <c r="F7933" s="128">
        <v>2295560.96</v>
      </c>
      <c r="G7933" s="128">
        <v>1246474.57</v>
      </c>
      <c r="H7933" s="128">
        <v>854845.83</v>
      </c>
      <c r="I7933" s="128">
        <v>11115</v>
      </c>
    </row>
    <row r="7934" spans="1:9" ht="13.5">
      <c r="A7934" s="128">
        <v>2013</v>
      </c>
      <c r="B7934" s="128" t="s">
        <v>139</v>
      </c>
      <c r="C7934" s="128" t="s">
        <v>20</v>
      </c>
      <c r="D7934" s="128" t="s">
        <v>77</v>
      </c>
      <c r="E7934" s="128" t="s">
        <v>134</v>
      </c>
      <c r="F7934" s="128">
        <v>5321856.0999999996</v>
      </c>
      <c r="G7934" s="128">
        <v>2349879.08</v>
      </c>
      <c r="H7934" s="128">
        <v>2224136.7599999998</v>
      </c>
      <c r="I7934" s="128">
        <v>14340</v>
      </c>
    </row>
    <row r="7935" spans="1:9" ht="13.5">
      <c r="A7935" s="128">
        <v>2013</v>
      </c>
      <c r="B7935" s="128" t="s">
        <v>139</v>
      </c>
      <c r="C7935" s="128" t="s">
        <v>20</v>
      </c>
      <c r="D7935" s="128" t="s">
        <v>77</v>
      </c>
      <c r="E7935" s="128" t="s">
        <v>135</v>
      </c>
      <c r="F7935" s="128">
        <v>6261845.3499999996</v>
      </c>
      <c r="G7935" s="128">
        <v>1742805.7</v>
      </c>
      <c r="H7935" s="128">
        <v>1708008.35</v>
      </c>
      <c r="I7935" s="128">
        <v>16981</v>
      </c>
    </row>
    <row r="7936" spans="1:9" ht="13.5">
      <c r="A7936" s="128">
        <v>2013</v>
      </c>
      <c r="B7936" s="128" t="s">
        <v>139</v>
      </c>
      <c r="C7936" s="128" t="s">
        <v>20</v>
      </c>
      <c r="D7936" s="128" t="s">
        <v>76</v>
      </c>
      <c r="E7936" s="128" t="s">
        <v>136</v>
      </c>
      <c r="F7936" s="128">
        <v>12804466.289999999</v>
      </c>
      <c r="G7936" s="128">
        <v>9622552.5700000003</v>
      </c>
      <c r="H7936" s="128">
        <v>3182850.69</v>
      </c>
      <c r="I7936" s="128">
        <v>333613</v>
      </c>
    </row>
    <row r="7937" spans="1:9" ht="13.5">
      <c r="A7937" s="128">
        <v>2013</v>
      </c>
      <c r="B7937" s="128" t="s">
        <v>139</v>
      </c>
      <c r="C7937" s="128" t="s">
        <v>20</v>
      </c>
      <c r="D7937" s="128" t="s">
        <v>76</v>
      </c>
      <c r="E7937" s="128" t="s">
        <v>132</v>
      </c>
      <c r="F7937" s="128">
        <v>35381462.619999997</v>
      </c>
      <c r="G7937" s="128">
        <v>22684854.09</v>
      </c>
      <c r="H7937" s="128">
        <v>12695959.16</v>
      </c>
      <c r="I7937" s="128">
        <v>361055</v>
      </c>
    </row>
    <row r="7938" spans="1:9" ht="13.5">
      <c r="A7938" s="128">
        <v>2013</v>
      </c>
      <c r="B7938" s="128" t="s">
        <v>139</v>
      </c>
      <c r="C7938" s="128" t="s">
        <v>20</v>
      </c>
      <c r="D7938" s="128" t="s">
        <v>76</v>
      </c>
      <c r="E7938" s="128" t="s">
        <v>133</v>
      </c>
      <c r="F7938" s="128">
        <v>76758275.329999998</v>
      </c>
      <c r="G7938" s="128">
        <v>42349136.43</v>
      </c>
      <c r="H7938" s="128">
        <v>34409057.200000003</v>
      </c>
      <c r="I7938" s="128">
        <v>409281</v>
      </c>
    </row>
    <row r="7939" spans="1:9" ht="13.5">
      <c r="A7939" s="128">
        <v>2013</v>
      </c>
      <c r="B7939" s="128" t="s">
        <v>139</v>
      </c>
      <c r="C7939" s="128" t="s">
        <v>20</v>
      </c>
      <c r="D7939" s="128" t="s">
        <v>76</v>
      </c>
      <c r="E7939" s="128" t="s">
        <v>134</v>
      </c>
      <c r="F7939" s="128">
        <v>79559836.120000005</v>
      </c>
      <c r="G7939" s="128">
        <v>36481109.990000002</v>
      </c>
      <c r="H7939" s="128">
        <v>43079129.369999997</v>
      </c>
      <c r="I7939" s="128">
        <v>447119</v>
      </c>
    </row>
    <row r="7940" spans="1:9" ht="13.5">
      <c r="A7940" s="128">
        <v>2013</v>
      </c>
      <c r="B7940" s="128" t="s">
        <v>139</v>
      </c>
      <c r="C7940" s="128" t="s">
        <v>20</v>
      </c>
      <c r="D7940" s="128" t="s">
        <v>76</v>
      </c>
      <c r="E7940" s="128" t="s">
        <v>135</v>
      </c>
      <c r="F7940" s="128">
        <v>10126982.42</v>
      </c>
      <c r="G7940" s="128">
        <v>3123660.49</v>
      </c>
      <c r="H7940" s="128">
        <v>7003458.4800000004</v>
      </c>
      <c r="I7940" s="128">
        <v>37979</v>
      </c>
    </row>
    <row r="7941" spans="1:9" ht="13.5">
      <c r="A7941" s="128">
        <v>2013</v>
      </c>
      <c r="B7941" s="128" t="s">
        <v>139</v>
      </c>
      <c r="C7941" s="128" t="s">
        <v>21</v>
      </c>
      <c r="D7941" s="128" t="s">
        <v>79</v>
      </c>
      <c r="E7941" s="128" t="s">
        <v>136</v>
      </c>
      <c r="F7941" s="128">
        <v>10170578.789999999</v>
      </c>
      <c r="G7941" s="128">
        <v>7646035.46</v>
      </c>
      <c r="H7941" s="128">
        <v>2522886.77</v>
      </c>
      <c r="I7941" s="128">
        <v>87049</v>
      </c>
    </row>
    <row r="7942" spans="1:9" ht="13.5">
      <c r="A7942" s="128">
        <v>2013</v>
      </c>
      <c r="B7942" s="128" t="s">
        <v>139</v>
      </c>
      <c r="C7942" s="128" t="s">
        <v>21</v>
      </c>
      <c r="D7942" s="128" t="s">
        <v>79</v>
      </c>
      <c r="E7942" s="128" t="s">
        <v>132</v>
      </c>
      <c r="F7942" s="128">
        <v>1741086.92</v>
      </c>
      <c r="G7942" s="128">
        <v>1150898.42</v>
      </c>
      <c r="H7942" s="128">
        <v>418657.55</v>
      </c>
      <c r="I7942" s="128">
        <v>10599</v>
      </c>
    </row>
    <row r="7943" spans="1:9" ht="13.5">
      <c r="A7943" s="128">
        <v>2013</v>
      </c>
      <c r="B7943" s="128" t="s">
        <v>139</v>
      </c>
      <c r="C7943" s="128" t="s">
        <v>21</v>
      </c>
      <c r="D7943" s="128" t="s">
        <v>79</v>
      </c>
      <c r="E7943" s="128" t="s">
        <v>133</v>
      </c>
      <c r="F7943" s="128">
        <v>2480651.67</v>
      </c>
      <c r="G7943" s="128">
        <v>1357054.31</v>
      </c>
      <c r="H7943" s="128">
        <v>732158.49</v>
      </c>
      <c r="I7943" s="128">
        <v>22760</v>
      </c>
    </row>
    <row r="7944" spans="1:9" ht="13.5">
      <c r="A7944" s="128">
        <v>2013</v>
      </c>
      <c r="B7944" s="128" t="s">
        <v>139</v>
      </c>
      <c r="C7944" s="128" t="s">
        <v>21</v>
      </c>
      <c r="D7944" s="128" t="s">
        <v>79</v>
      </c>
      <c r="E7944" s="128" t="s">
        <v>134</v>
      </c>
      <c r="F7944" s="128">
        <v>4958464.67</v>
      </c>
      <c r="G7944" s="128">
        <v>2126554.64</v>
      </c>
      <c r="H7944" s="128">
        <v>1346869.13</v>
      </c>
      <c r="I7944" s="128">
        <v>21627</v>
      </c>
    </row>
    <row r="7945" spans="1:9" ht="13.5">
      <c r="A7945" s="128">
        <v>2013</v>
      </c>
      <c r="B7945" s="128" t="s">
        <v>139</v>
      </c>
      <c r="C7945" s="128" t="s">
        <v>21</v>
      </c>
      <c r="D7945" s="128" t="s">
        <v>79</v>
      </c>
      <c r="E7945" s="128" t="s">
        <v>135</v>
      </c>
      <c r="F7945" s="128">
        <v>21378767.469999999</v>
      </c>
      <c r="G7945" s="128">
        <v>5626399.5300000003</v>
      </c>
      <c r="H7945" s="128">
        <v>1915685.64</v>
      </c>
      <c r="I7945" s="128">
        <v>41888</v>
      </c>
    </row>
    <row r="7946" spans="1:9" ht="13.5">
      <c r="A7946" s="128">
        <v>2013</v>
      </c>
      <c r="B7946" s="128" t="s">
        <v>139</v>
      </c>
      <c r="C7946" s="128" t="s">
        <v>21</v>
      </c>
      <c r="D7946" s="128" t="s">
        <v>77</v>
      </c>
      <c r="E7946" s="128" t="s">
        <v>132</v>
      </c>
      <c r="F7946" s="128">
        <v>2423827.11</v>
      </c>
      <c r="G7946" s="128">
        <v>1625544.74</v>
      </c>
      <c r="H7946" s="128">
        <v>678301.7</v>
      </c>
      <c r="I7946" s="128">
        <v>16398</v>
      </c>
    </row>
    <row r="7947" spans="1:9" ht="13.5">
      <c r="A7947" s="128">
        <v>2013</v>
      </c>
      <c r="B7947" s="128" t="s">
        <v>139</v>
      </c>
      <c r="C7947" s="128" t="s">
        <v>21</v>
      </c>
      <c r="D7947" s="128" t="s">
        <v>77</v>
      </c>
      <c r="E7947" s="128" t="s">
        <v>133</v>
      </c>
      <c r="F7947" s="128">
        <v>5067504.88</v>
      </c>
      <c r="G7947" s="128">
        <v>2763489.4</v>
      </c>
      <c r="H7947" s="128">
        <v>1861340.03</v>
      </c>
      <c r="I7947" s="128">
        <v>24297</v>
      </c>
    </row>
    <row r="7948" spans="1:9" ht="13.5">
      <c r="A7948" s="128">
        <v>2013</v>
      </c>
      <c r="B7948" s="128" t="s">
        <v>139</v>
      </c>
      <c r="C7948" s="128" t="s">
        <v>21</v>
      </c>
      <c r="D7948" s="128" t="s">
        <v>77</v>
      </c>
      <c r="E7948" s="128" t="s">
        <v>134</v>
      </c>
      <c r="F7948" s="128">
        <v>7359552.6399999997</v>
      </c>
      <c r="G7948" s="128">
        <v>3214375.39</v>
      </c>
      <c r="H7948" s="128">
        <v>2931120.53</v>
      </c>
      <c r="I7948" s="128">
        <v>19219</v>
      </c>
    </row>
    <row r="7949" spans="1:9" ht="13.5">
      <c r="A7949" s="128">
        <v>2013</v>
      </c>
      <c r="B7949" s="128" t="s">
        <v>139</v>
      </c>
      <c r="C7949" s="128" t="s">
        <v>21</v>
      </c>
      <c r="D7949" s="128" t="s">
        <v>77</v>
      </c>
      <c r="E7949" s="128" t="s">
        <v>135</v>
      </c>
      <c r="F7949" s="128">
        <v>7096240.8799999999</v>
      </c>
      <c r="G7949" s="128">
        <v>2102725.85</v>
      </c>
      <c r="H7949" s="128">
        <v>2054741.57</v>
      </c>
      <c r="I7949" s="128">
        <v>18423</v>
      </c>
    </row>
    <row r="7950" spans="1:9" ht="13.5">
      <c r="A7950" s="128">
        <v>2013</v>
      </c>
      <c r="B7950" s="128" t="s">
        <v>139</v>
      </c>
      <c r="C7950" s="128" t="s">
        <v>21</v>
      </c>
      <c r="D7950" s="128" t="s">
        <v>76</v>
      </c>
      <c r="E7950" s="128" t="s">
        <v>136</v>
      </c>
      <c r="F7950" s="128">
        <v>11351108.15</v>
      </c>
      <c r="G7950" s="128">
        <v>8550037.9600000009</v>
      </c>
      <c r="H7950" s="128">
        <v>2801080.11</v>
      </c>
      <c r="I7950" s="128">
        <v>208414</v>
      </c>
    </row>
    <row r="7951" spans="1:9" ht="13.5">
      <c r="A7951" s="128">
        <v>2013</v>
      </c>
      <c r="B7951" s="128" t="s">
        <v>139</v>
      </c>
      <c r="C7951" s="128" t="s">
        <v>21</v>
      </c>
      <c r="D7951" s="128" t="s">
        <v>76</v>
      </c>
      <c r="E7951" s="128" t="s">
        <v>132</v>
      </c>
      <c r="F7951" s="128">
        <v>39401687.810000002</v>
      </c>
      <c r="G7951" s="128">
        <v>25155114.239999998</v>
      </c>
      <c r="H7951" s="128">
        <v>14246317.279999999</v>
      </c>
      <c r="I7951" s="128">
        <v>408234</v>
      </c>
    </row>
    <row r="7952" spans="1:9" ht="13.5">
      <c r="A7952" s="128">
        <v>2013</v>
      </c>
      <c r="B7952" s="128" t="s">
        <v>139</v>
      </c>
      <c r="C7952" s="128" t="s">
        <v>21</v>
      </c>
      <c r="D7952" s="128" t="s">
        <v>76</v>
      </c>
      <c r="E7952" s="128" t="s">
        <v>133</v>
      </c>
      <c r="F7952" s="128">
        <v>89295497.390000001</v>
      </c>
      <c r="G7952" s="128">
        <v>49268265.859999999</v>
      </c>
      <c r="H7952" s="128">
        <v>40027136.729999997</v>
      </c>
      <c r="I7952" s="128">
        <v>676211</v>
      </c>
    </row>
    <row r="7953" spans="1:9" ht="13.5">
      <c r="A7953" s="128">
        <v>2013</v>
      </c>
      <c r="B7953" s="128" t="s">
        <v>139</v>
      </c>
      <c r="C7953" s="128" t="s">
        <v>21</v>
      </c>
      <c r="D7953" s="128" t="s">
        <v>76</v>
      </c>
      <c r="E7953" s="128" t="s">
        <v>134</v>
      </c>
      <c r="F7953" s="128">
        <v>83735998.200000003</v>
      </c>
      <c r="G7953" s="128">
        <v>37902330.439999998</v>
      </c>
      <c r="H7953" s="128">
        <v>45833567.799999997</v>
      </c>
      <c r="I7953" s="128">
        <v>429118</v>
      </c>
    </row>
    <row r="7954" spans="1:9" ht="13.5">
      <c r="A7954" s="128">
        <v>2013</v>
      </c>
      <c r="B7954" s="128" t="s">
        <v>139</v>
      </c>
      <c r="C7954" s="128" t="s">
        <v>21</v>
      </c>
      <c r="D7954" s="128" t="s">
        <v>76</v>
      </c>
      <c r="E7954" s="128" t="s">
        <v>135</v>
      </c>
      <c r="F7954" s="128">
        <v>4735282.93</v>
      </c>
      <c r="G7954" s="128">
        <v>1351409.9</v>
      </c>
      <c r="H7954" s="128">
        <v>3383873.03</v>
      </c>
      <c r="I7954" s="128">
        <v>11556</v>
      </c>
    </row>
    <row r="7955" spans="1:9" ht="13.5">
      <c r="A7955" s="128">
        <v>2013</v>
      </c>
      <c r="B7955" s="128" t="s">
        <v>139</v>
      </c>
      <c r="C7955" s="128" t="s">
        <v>22</v>
      </c>
      <c r="D7955" s="128" t="s">
        <v>79</v>
      </c>
      <c r="E7955" s="128" t="s">
        <v>136</v>
      </c>
      <c r="F7955" s="128">
        <v>8573673.6899999995</v>
      </c>
      <c r="G7955" s="128">
        <v>6460713.0300000003</v>
      </c>
      <c r="H7955" s="128">
        <v>2110340.5099999998</v>
      </c>
      <c r="I7955" s="128">
        <v>60005</v>
      </c>
    </row>
    <row r="7956" spans="1:9" ht="13.5">
      <c r="A7956" s="128">
        <v>2013</v>
      </c>
      <c r="B7956" s="128" t="s">
        <v>139</v>
      </c>
      <c r="C7956" s="128" t="s">
        <v>22</v>
      </c>
      <c r="D7956" s="128" t="s">
        <v>79</v>
      </c>
      <c r="E7956" s="128" t="s">
        <v>132</v>
      </c>
      <c r="F7956" s="128">
        <v>2232107.7599999998</v>
      </c>
      <c r="G7956" s="128">
        <v>1470753.01</v>
      </c>
      <c r="H7956" s="128">
        <v>592026.82999999996</v>
      </c>
      <c r="I7956" s="128">
        <v>14256</v>
      </c>
    </row>
    <row r="7957" spans="1:9" ht="13.5">
      <c r="A7957" s="128">
        <v>2013</v>
      </c>
      <c r="B7957" s="128" t="s">
        <v>139</v>
      </c>
      <c r="C7957" s="128" t="s">
        <v>22</v>
      </c>
      <c r="D7957" s="128" t="s">
        <v>79</v>
      </c>
      <c r="E7957" s="128" t="s">
        <v>133</v>
      </c>
      <c r="F7957" s="128">
        <v>3529624.93</v>
      </c>
      <c r="G7957" s="128">
        <v>1928029.13</v>
      </c>
      <c r="H7957" s="128">
        <v>993161.06</v>
      </c>
      <c r="I7957" s="128">
        <v>28270</v>
      </c>
    </row>
    <row r="7958" spans="1:9" ht="13.5">
      <c r="A7958" s="128">
        <v>2013</v>
      </c>
      <c r="B7958" s="128" t="s">
        <v>139</v>
      </c>
      <c r="C7958" s="128" t="s">
        <v>22</v>
      </c>
      <c r="D7958" s="128" t="s">
        <v>79</v>
      </c>
      <c r="E7958" s="128" t="s">
        <v>134</v>
      </c>
      <c r="F7958" s="128">
        <v>8881829.1199999992</v>
      </c>
      <c r="G7958" s="128">
        <v>3782753.98</v>
      </c>
      <c r="H7958" s="128">
        <v>1618034.73</v>
      </c>
      <c r="I7958" s="128">
        <v>29030</v>
      </c>
    </row>
    <row r="7959" spans="1:9" ht="13.5">
      <c r="A7959" s="128">
        <v>2013</v>
      </c>
      <c r="B7959" s="128" t="s">
        <v>139</v>
      </c>
      <c r="C7959" s="128" t="s">
        <v>22</v>
      </c>
      <c r="D7959" s="128" t="s">
        <v>79</v>
      </c>
      <c r="E7959" s="128" t="s">
        <v>135</v>
      </c>
      <c r="F7959" s="128">
        <v>44100988.57</v>
      </c>
      <c r="G7959" s="128">
        <v>11754361.24</v>
      </c>
      <c r="H7959" s="128">
        <v>3910366.87</v>
      </c>
      <c r="I7959" s="128">
        <v>79663</v>
      </c>
    </row>
    <row r="7960" spans="1:9" ht="13.5">
      <c r="A7960" s="128">
        <v>2013</v>
      </c>
      <c r="B7960" s="128" t="s">
        <v>139</v>
      </c>
      <c r="C7960" s="128" t="s">
        <v>22</v>
      </c>
      <c r="D7960" s="128" t="s">
        <v>77</v>
      </c>
      <c r="E7960" s="128" t="s">
        <v>132</v>
      </c>
      <c r="F7960" s="128">
        <v>984493.18</v>
      </c>
      <c r="G7960" s="128">
        <v>652900.06000000006</v>
      </c>
      <c r="H7960" s="128">
        <v>281514.48</v>
      </c>
      <c r="I7960" s="128">
        <v>4444</v>
      </c>
    </row>
    <row r="7961" spans="1:9" ht="13.5">
      <c r="A7961" s="128">
        <v>2013</v>
      </c>
      <c r="B7961" s="128" t="s">
        <v>139</v>
      </c>
      <c r="C7961" s="128" t="s">
        <v>22</v>
      </c>
      <c r="D7961" s="128" t="s">
        <v>77</v>
      </c>
      <c r="E7961" s="128" t="s">
        <v>133</v>
      </c>
      <c r="F7961" s="128">
        <v>2595918.23</v>
      </c>
      <c r="G7961" s="128">
        <v>1411598.77</v>
      </c>
      <c r="H7961" s="128">
        <v>984270.36</v>
      </c>
      <c r="I7961" s="128">
        <v>17260</v>
      </c>
    </row>
    <row r="7962" spans="1:9" ht="13.5">
      <c r="A7962" s="128">
        <v>2013</v>
      </c>
      <c r="B7962" s="128" t="s">
        <v>139</v>
      </c>
      <c r="C7962" s="128" t="s">
        <v>22</v>
      </c>
      <c r="D7962" s="128" t="s">
        <v>77</v>
      </c>
      <c r="E7962" s="128" t="s">
        <v>134</v>
      </c>
      <c r="F7962" s="128">
        <v>5141906.05</v>
      </c>
      <c r="G7962" s="128">
        <v>2227533.75</v>
      </c>
      <c r="H7962" s="128">
        <v>2105232.91</v>
      </c>
      <c r="I7962" s="128">
        <v>10606</v>
      </c>
    </row>
    <row r="7963" spans="1:9" ht="13.5">
      <c r="A7963" s="128">
        <v>2013</v>
      </c>
      <c r="B7963" s="128" t="s">
        <v>139</v>
      </c>
      <c r="C7963" s="128" t="s">
        <v>22</v>
      </c>
      <c r="D7963" s="128" t="s">
        <v>77</v>
      </c>
      <c r="E7963" s="128" t="s">
        <v>135</v>
      </c>
      <c r="F7963" s="128">
        <v>7627817.2699999996</v>
      </c>
      <c r="G7963" s="128">
        <v>2270907.13</v>
      </c>
      <c r="H7963" s="128">
        <v>2289443.4700000002</v>
      </c>
      <c r="I7963" s="128">
        <v>17401</v>
      </c>
    </row>
    <row r="7964" spans="1:9" ht="13.5">
      <c r="A7964" s="128">
        <v>2013</v>
      </c>
      <c r="B7964" s="128" t="s">
        <v>139</v>
      </c>
      <c r="C7964" s="128" t="s">
        <v>22</v>
      </c>
      <c r="D7964" s="128" t="s">
        <v>76</v>
      </c>
      <c r="E7964" s="128" t="s">
        <v>136</v>
      </c>
      <c r="F7964" s="128">
        <v>7950690.2999999998</v>
      </c>
      <c r="G7964" s="128">
        <v>5971303.1100000003</v>
      </c>
      <c r="H7964" s="128">
        <v>1979449.78</v>
      </c>
      <c r="I7964" s="128">
        <v>111771</v>
      </c>
    </row>
    <row r="7965" spans="1:9" ht="13.5">
      <c r="A7965" s="128">
        <v>2013</v>
      </c>
      <c r="B7965" s="128" t="s">
        <v>139</v>
      </c>
      <c r="C7965" s="128" t="s">
        <v>22</v>
      </c>
      <c r="D7965" s="128" t="s">
        <v>76</v>
      </c>
      <c r="E7965" s="128" t="s">
        <v>132</v>
      </c>
      <c r="F7965" s="128">
        <v>32105461.77</v>
      </c>
      <c r="G7965" s="128">
        <v>20604964.420000002</v>
      </c>
      <c r="H7965" s="128">
        <v>11500117.49</v>
      </c>
      <c r="I7965" s="128">
        <v>323088</v>
      </c>
    </row>
    <row r="7966" spans="1:9" ht="13.5">
      <c r="A7966" s="128">
        <v>2013</v>
      </c>
      <c r="B7966" s="128" t="s">
        <v>139</v>
      </c>
      <c r="C7966" s="128" t="s">
        <v>22</v>
      </c>
      <c r="D7966" s="128" t="s">
        <v>76</v>
      </c>
      <c r="E7966" s="128" t="s">
        <v>133</v>
      </c>
      <c r="F7966" s="128">
        <v>65639469.340000004</v>
      </c>
      <c r="G7966" s="128">
        <v>36464138.649999999</v>
      </c>
      <c r="H7966" s="128">
        <v>29175299.75</v>
      </c>
      <c r="I7966" s="128">
        <v>527204</v>
      </c>
    </row>
    <row r="7967" spans="1:9" ht="13.5">
      <c r="A7967" s="128">
        <v>2013</v>
      </c>
      <c r="B7967" s="128" t="s">
        <v>139</v>
      </c>
      <c r="C7967" s="128" t="s">
        <v>22</v>
      </c>
      <c r="D7967" s="128" t="s">
        <v>76</v>
      </c>
      <c r="E7967" s="128" t="s">
        <v>134</v>
      </c>
      <c r="F7967" s="128">
        <v>53553667.329999998</v>
      </c>
      <c r="G7967" s="128">
        <v>24794204.940000001</v>
      </c>
      <c r="H7967" s="128">
        <v>28758498.600000001</v>
      </c>
      <c r="I7967" s="128">
        <v>338883</v>
      </c>
    </row>
    <row r="7968" spans="1:9" ht="13.5">
      <c r="A7968" s="128">
        <v>2013</v>
      </c>
      <c r="B7968" s="128" t="s">
        <v>139</v>
      </c>
      <c r="C7968" s="128" t="s">
        <v>22</v>
      </c>
      <c r="D7968" s="128" t="s">
        <v>76</v>
      </c>
      <c r="E7968" s="128" t="s">
        <v>135</v>
      </c>
      <c r="F7968" s="128">
        <v>6373145.6500000004</v>
      </c>
      <c r="G7968" s="128">
        <v>1862760.8</v>
      </c>
      <c r="H7968" s="128">
        <v>4510381.7300000004</v>
      </c>
      <c r="I7968" s="128">
        <v>11783</v>
      </c>
    </row>
    <row r="7969" spans="1:9" ht="13.5">
      <c r="A7969" s="128">
        <v>2013</v>
      </c>
      <c r="B7969" s="128" t="s">
        <v>139</v>
      </c>
      <c r="C7969" s="128" t="s">
        <v>23</v>
      </c>
      <c r="D7969" s="128" t="s">
        <v>79</v>
      </c>
      <c r="E7969" s="128" t="s">
        <v>136</v>
      </c>
      <c r="F7969" s="128">
        <v>2176899.29</v>
      </c>
      <c r="G7969" s="128">
        <v>1635134.22</v>
      </c>
      <c r="H7969" s="128">
        <v>541765.06999999995</v>
      </c>
      <c r="I7969" s="128">
        <v>20597</v>
      </c>
    </row>
    <row r="7970" spans="1:9" ht="13.5">
      <c r="A7970" s="128">
        <v>2013</v>
      </c>
      <c r="B7970" s="128" t="s">
        <v>139</v>
      </c>
      <c r="C7970" s="128" t="s">
        <v>23</v>
      </c>
      <c r="D7970" s="128" t="s">
        <v>79</v>
      </c>
      <c r="E7970" s="128" t="s">
        <v>132</v>
      </c>
      <c r="F7970" s="128">
        <v>370081.46</v>
      </c>
      <c r="G7970" s="128">
        <v>241241.09</v>
      </c>
      <c r="H7970" s="128">
        <v>109564.15</v>
      </c>
      <c r="I7970" s="128">
        <v>2310</v>
      </c>
    </row>
    <row r="7971" spans="1:9" ht="13.5">
      <c r="A7971" s="128">
        <v>2013</v>
      </c>
      <c r="B7971" s="128" t="s">
        <v>139</v>
      </c>
      <c r="C7971" s="128" t="s">
        <v>23</v>
      </c>
      <c r="D7971" s="128" t="s">
        <v>79</v>
      </c>
      <c r="E7971" s="128" t="s">
        <v>133</v>
      </c>
      <c r="F7971" s="128">
        <v>1064946.79</v>
      </c>
      <c r="G7971" s="128">
        <v>572017.22</v>
      </c>
      <c r="H7971" s="128">
        <v>381965.8</v>
      </c>
      <c r="I7971" s="128">
        <v>7003</v>
      </c>
    </row>
    <row r="7972" spans="1:9" ht="13.5">
      <c r="A7972" s="128">
        <v>2013</v>
      </c>
      <c r="B7972" s="128" t="s">
        <v>139</v>
      </c>
      <c r="C7972" s="128" t="s">
        <v>23</v>
      </c>
      <c r="D7972" s="128" t="s">
        <v>79</v>
      </c>
      <c r="E7972" s="128" t="s">
        <v>134</v>
      </c>
      <c r="F7972" s="128">
        <v>2044093.71</v>
      </c>
      <c r="G7972" s="128">
        <v>890415.16</v>
      </c>
      <c r="H7972" s="128">
        <v>961042.48</v>
      </c>
      <c r="I7972" s="128">
        <v>8260</v>
      </c>
    </row>
    <row r="7973" spans="1:9" ht="13.5">
      <c r="A7973" s="128">
        <v>2013</v>
      </c>
      <c r="B7973" s="128" t="s">
        <v>139</v>
      </c>
      <c r="C7973" s="128" t="s">
        <v>23</v>
      </c>
      <c r="D7973" s="128" t="s">
        <v>79</v>
      </c>
      <c r="E7973" s="128" t="s">
        <v>135</v>
      </c>
      <c r="F7973" s="128">
        <v>2351708.37</v>
      </c>
      <c r="G7973" s="128">
        <v>622045.06000000006</v>
      </c>
      <c r="H7973" s="128">
        <v>247577.64</v>
      </c>
      <c r="I7973" s="128">
        <v>5490</v>
      </c>
    </row>
    <row r="7974" spans="1:9" ht="13.5">
      <c r="A7974" s="128">
        <v>2013</v>
      </c>
      <c r="B7974" s="128" t="s">
        <v>139</v>
      </c>
      <c r="C7974" s="128" t="s">
        <v>23</v>
      </c>
      <c r="D7974" s="128" t="s">
        <v>77</v>
      </c>
      <c r="E7974" s="128" t="s">
        <v>132</v>
      </c>
      <c r="F7974" s="128">
        <v>417459.55</v>
      </c>
      <c r="G7974" s="128">
        <v>282924.84999999998</v>
      </c>
      <c r="H7974" s="128">
        <v>119188.61</v>
      </c>
      <c r="I7974" s="128">
        <v>2203</v>
      </c>
    </row>
    <row r="7975" spans="1:9" ht="13.5">
      <c r="A7975" s="128">
        <v>2013</v>
      </c>
      <c r="B7975" s="128" t="s">
        <v>139</v>
      </c>
      <c r="C7975" s="128" t="s">
        <v>23</v>
      </c>
      <c r="D7975" s="128" t="s">
        <v>77</v>
      </c>
      <c r="E7975" s="128" t="s">
        <v>133</v>
      </c>
      <c r="F7975" s="128">
        <v>708094.1</v>
      </c>
      <c r="G7975" s="128">
        <v>385064.16</v>
      </c>
      <c r="H7975" s="128">
        <v>248795.49</v>
      </c>
      <c r="I7975" s="128">
        <v>3716</v>
      </c>
    </row>
    <row r="7976" spans="1:9" ht="13.5">
      <c r="A7976" s="128">
        <v>2013</v>
      </c>
      <c r="B7976" s="128" t="s">
        <v>139</v>
      </c>
      <c r="C7976" s="128" t="s">
        <v>23</v>
      </c>
      <c r="D7976" s="128" t="s">
        <v>77</v>
      </c>
      <c r="E7976" s="128" t="s">
        <v>134</v>
      </c>
      <c r="F7976" s="128">
        <v>2436496.59</v>
      </c>
      <c r="G7976" s="128">
        <v>1037938.6</v>
      </c>
      <c r="H7976" s="128">
        <v>994980.55</v>
      </c>
      <c r="I7976" s="128">
        <v>3765</v>
      </c>
    </row>
    <row r="7977" spans="1:9" ht="13.5">
      <c r="A7977" s="128">
        <v>2013</v>
      </c>
      <c r="B7977" s="128" t="s">
        <v>139</v>
      </c>
      <c r="C7977" s="128" t="s">
        <v>23</v>
      </c>
      <c r="D7977" s="128" t="s">
        <v>77</v>
      </c>
      <c r="E7977" s="128" t="s">
        <v>135</v>
      </c>
      <c r="F7977" s="128">
        <v>1298902.8600000001</v>
      </c>
      <c r="G7977" s="128">
        <v>382009.7</v>
      </c>
      <c r="H7977" s="128">
        <v>405250.32</v>
      </c>
      <c r="I7977" s="128">
        <v>3235</v>
      </c>
    </row>
    <row r="7978" spans="1:9" ht="13.5">
      <c r="A7978" s="128">
        <v>2013</v>
      </c>
      <c r="B7978" s="128" t="s">
        <v>139</v>
      </c>
      <c r="C7978" s="128" t="s">
        <v>23</v>
      </c>
      <c r="D7978" s="128" t="s">
        <v>76</v>
      </c>
      <c r="E7978" s="128" t="s">
        <v>136</v>
      </c>
      <c r="F7978" s="128">
        <v>4131129.93</v>
      </c>
      <c r="G7978" s="128">
        <v>3101053.49</v>
      </c>
      <c r="H7978" s="128">
        <v>1030076.26</v>
      </c>
      <c r="I7978" s="128">
        <v>62586</v>
      </c>
    </row>
    <row r="7979" spans="1:9" ht="13.5">
      <c r="A7979" s="128">
        <v>2013</v>
      </c>
      <c r="B7979" s="128" t="s">
        <v>139</v>
      </c>
      <c r="C7979" s="128" t="s">
        <v>23</v>
      </c>
      <c r="D7979" s="128" t="s">
        <v>76</v>
      </c>
      <c r="E7979" s="128" t="s">
        <v>132</v>
      </c>
      <c r="F7979" s="128">
        <v>9048895.2599999998</v>
      </c>
      <c r="G7979" s="128">
        <v>5810205.8099999996</v>
      </c>
      <c r="H7979" s="128">
        <v>3238656.75</v>
      </c>
      <c r="I7979" s="128">
        <v>94999</v>
      </c>
    </row>
    <row r="7980" spans="1:9" ht="13.5">
      <c r="A7980" s="128">
        <v>2013</v>
      </c>
      <c r="B7980" s="128" t="s">
        <v>139</v>
      </c>
      <c r="C7980" s="128" t="s">
        <v>23</v>
      </c>
      <c r="D7980" s="128" t="s">
        <v>76</v>
      </c>
      <c r="E7980" s="128" t="s">
        <v>133</v>
      </c>
      <c r="F7980" s="128">
        <v>19936738.260000002</v>
      </c>
      <c r="G7980" s="128">
        <v>10885715.09</v>
      </c>
      <c r="H7980" s="128">
        <v>9050949.7899999991</v>
      </c>
      <c r="I7980" s="128">
        <v>148610</v>
      </c>
    </row>
    <row r="7981" spans="1:9" ht="13.5">
      <c r="A7981" s="128">
        <v>2013</v>
      </c>
      <c r="B7981" s="128" t="s">
        <v>139</v>
      </c>
      <c r="C7981" s="128" t="s">
        <v>23</v>
      </c>
      <c r="D7981" s="128" t="s">
        <v>76</v>
      </c>
      <c r="E7981" s="128" t="s">
        <v>134</v>
      </c>
      <c r="F7981" s="128">
        <v>34362542.759999998</v>
      </c>
      <c r="G7981" s="128">
        <v>15468769.529999999</v>
      </c>
      <c r="H7981" s="128">
        <v>18893764.48</v>
      </c>
      <c r="I7981" s="128">
        <v>142321</v>
      </c>
    </row>
    <row r="7982" spans="1:9" ht="13.5">
      <c r="A7982" s="128">
        <v>2013</v>
      </c>
      <c r="B7982" s="128" t="s">
        <v>139</v>
      </c>
      <c r="C7982" s="128" t="s">
        <v>23</v>
      </c>
      <c r="D7982" s="128" t="s">
        <v>76</v>
      </c>
      <c r="E7982" s="128" t="s">
        <v>135</v>
      </c>
      <c r="F7982" s="128">
        <v>2035943.95</v>
      </c>
      <c r="G7982" s="128">
        <v>567981.12</v>
      </c>
      <c r="H7982" s="128">
        <v>1467962.83</v>
      </c>
      <c r="I7982" s="128">
        <v>3286</v>
      </c>
    </row>
    <row r="7983" spans="1:9" ht="13.5">
      <c r="A7983" s="128">
        <v>2013</v>
      </c>
      <c r="B7983" s="128" t="s">
        <v>139</v>
      </c>
      <c r="C7983" s="128" t="s">
        <v>24</v>
      </c>
      <c r="D7983" s="128" t="s">
        <v>79</v>
      </c>
      <c r="E7983" s="128" t="s">
        <v>136</v>
      </c>
      <c r="F7983" s="128">
        <v>1961153.2</v>
      </c>
      <c r="G7983" s="128">
        <v>1473941.3</v>
      </c>
      <c r="H7983" s="128">
        <v>486525.05</v>
      </c>
      <c r="I7983" s="128">
        <v>33487</v>
      </c>
    </row>
    <row r="7984" spans="1:9" ht="13.5">
      <c r="A7984" s="128">
        <v>2013</v>
      </c>
      <c r="B7984" s="128" t="s">
        <v>139</v>
      </c>
      <c r="C7984" s="128" t="s">
        <v>24</v>
      </c>
      <c r="D7984" s="128" t="s">
        <v>79</v>
      </c>
      <c r="E7984" s="128" t="s">
        <v>132</v>
      </c>
      <c r="F7984" s="128">
        <v>358656.17</v>
      </c>
      <c r="G7984" s="128">
        <v>241095.99</v>
      </c>
      <c r="H7984" s="128">
        <v>84416.33</v>
      </c>
      <c r="I7984" s="128">
        <v>2849</v>
      </c>
    </row>
    <row r="7985" spans="1:9" ht="13.5">
      <c r="A7985" s="128">
        <v>2013</v>
      </c>
      <c r="B7985" s="128" t="s">
        <v>139</v>
      </c>
      <c r="C7985" s="128" t="s">
        <v>24</v>
      </c>
      <c r="D7985" s="128" t="s">
        <v>79</v>
      </c>
      <c r="E7985" s="128" t="s">
        <v>133</v>
      </c>
      <c r="F7985" s="128">
        <v>845095.24</v>
      </c>
      <c r="G7985" s="128">
        <v>464596.57</v>
      </c>
      <c r="H7985" s="128">
        <v>174229.49</v>
      </c>
      <c r="I7985" s="128">
        <v>3507</v>
      </c>
    </row>
    <row r="7986" spans="1:9" ht="13.5">
      <c r="A7986" s="128">
        <v>2013</v>
      </c>
      <c r="B7986" s="128" t="s">
        <v>139</v>
      </c>
      <c r="C7986" s="128" t="s">
        <v>24</v>
      </c>
      <c r="D7986" s="128" t="s">
        <v>79</v>
      </c>
      <c r="E7986" s="128" t="s">
        <v>134</v>
      </c>
      <c r="F7986" s="128">
        <v>2337386.0299999998</v>
      </c>
      <c r="G7986" s="128">
        <v>1013241.31</v>
      </c>
      <c r="H7986" s="128">
        <v>365829.4</v>
      </c>
      <c r="I7986" s="128">
        <v>7194</v>
      </c>
    </row>
    <row r="7987" spans="1:9" ht="13.5">
      <c r="A7987" s="128">
        <v>2013</v>
      </c>
      <c r="B7987" s="128" t="s">
        <v>139</v>
      </c>
      <c r="C7987" s="128" t="s">
        <v>24</v>
      </c>
      <c r="D7987" s="128" t="s">
        <v>79</v>
      </c>
      <c r="E7987" s="128" t="s">
        <v>135</v>
      </c>
      <c r="F7987" s="128">
        <v>7003259.1100000003</v>
      </c>
      <c r="G7987" s="128">
        <v>1826696.36</v>
      </c>
      <c r="H7987" s="128">
        <v>590532.37</v>
      </c>
      <c r="I7987" s="128">
        <v>19828</v>
      </c>
    </row>
    <row r="7988" spans="1:9" ht="13.5">
      <c r="A7988" s="128">
        <v>2013</v>
      </c>
      <c r="B7988" s="128" t="s">
        <v>139</v>
      </c>
      <c r="C7988" s="128" t="s">
        <v>24</v>
      </c>
      <c r="D7988" s="128" t="s">
        <v>77</v>
      </c>
      <c r="E7988" s="128" t="s">
        <v>132</v>
      </c>
      <c r="F7988" s="128">
        <v>2382932.14</v>
      </c>
      <c r="G7988" s="128">
        <v>1648055.45</v>
      </c>
      <c r="H7988" s="128">
        <v>702111.21</v>
      </c>
      <c r="I7988" s="128">
        <v>13034</v>
      </c>
    </row>
    <row r="7989" spans="1:9" ht="13.5">
      <c r="A7989" s="128">
        <v>2013</v>
      </c>
      <c r="B7989" s="128" t="s">
        <v>139</v>
      </c>
      <c r="C7989" s="128" t="s">
        <v>24</v>
      </c>
      <c r="D7989" s="128" t="s">
        <v>77</v>
      </c>
      <c r="E7989" s="128" t="s">
        <v>133</v>
      </c>
      <c r="F7989" s="128">
        <v>3551209.65</v>
      </c>
      <c r="G7989" s="128">
        <v>1899117.23</v>
      </c>
      <c r="H7989" s="128">
        <v>1406667.01</v>
      </c>
      <c r="I7989" s="128">
        <v>27855</v>
      </c>
    </row>
    <row r="7990" spans="1:9" ht="13.5">
      <c r="A7990" s="128">
        <v>2013</v>
      </c>
      <c r="B7990" s="128" t="s">
        <v>139</v>
      </c>
      <c r="C7990" s="128" t="s">
        <v>24</v>
      </c>
      <c r="D7990" s="128" t="s">
        <v>77</v>
      </c>
      <c r="E7990" s="128" t="s">
        <v>134</v>
      </c>
      <c r="F7990" s="128">
        <v>7193294.9299999997</v>
      </c>
      <c r="G7990" s="128">
        <v>3168606.06</v>
      </c>
      <c r="H7990" s="128">
        <v>2385584.7000000002</v>
      </c>
      <c r="I7990" s="128">
        <v>14942</v>
      </c>
    </row>
    <row r="7991" spans="1:9" ht="13.5">
      <c r="A7991" s="128">
        <v>2013</v>
      </c>
      <c r="B7991" s="128" t="s">
        <v>139</v>
      </c>
      <c r="C7991" s="128" t="s">
        <v>24</v>
      </c>
      <c r="D7991" s="128" t="s">
        <v>77</v>
      </c>
      <c r="E7991" s="128" t="s">
        <v>135</v>
      </c>
      <c r="F7991" s="128">
        <v>11491872.390000001</v>
      </c>
      <c r="G7991" s="128">
        <v>2957204.6</v>
      </c>
      <c r="H7991" s="128">
        <v>1931108.7</v>
      </c>
      <c r="I7991" s="128">
        <v>21805</v>
      </c>
    </row>
    <row r="7992" spans="1:9" ht="13.5">
      <c r="A7992" s="128">
        <v>2013</v>
      </c>
      <c r="B7992" s="128" t="s">
        <v>139</v>
      </c>
      <c r="C7992" s="128" t="s">
        <v>24</v>
      </c>
      <c r="D7992" s="128" t="s">
        <v>76</v>
      </c>
      <c r="E7992" s="128" t="s">
        <v>136</v>
      </c>
      <c r="F7992" s="128">
        <v>1365589.73</v>
      </c>
      <c r="G7992" s="128">
        <v>1032189.39</v>
      </c>
      <c r="H7992" s="128">
        <v>333400.28000000003</v>
      </c>
      <c r="I7992" s="128">
        <v>12424</v>
      </c>
    </row>
    <row r="7993" spans="1:9" ht="13.5">
      <c r="A7993" s="128">
        <v>2013</v>
      </c>
      <c r="B7993" s="128" t="s">
        <v>139</v>
      </c>
      <c r="C7993" s="128" t="s">
        <v>24</v>
      </c>
      <c r="D7993" s="128" t="s">
        <v>76</v>
      </c>
      <c r="E7993" s="128" t="s">
        <v>132</v>
      </c>
      <c r="F7993" s="128">
        <v>7070543.7599999998</v>
      </c>
      <c r="G7993" s="128">
        <v>4544750.42</v>
      </c>
      <c r="H7993" s="128">
        <v>2525782.16</v>
      </c>
      <c r="I7993" s="128">
        <v>63546</v>
      </c>
    </row>
    <row r="7994" spans="1:9" ht="13.5">
      <c r="A7994" s="128">
        <v>2013</v>
      </c>
      <c r="B7994" s="128" t="s">
        <v>139</v>
      </c>
      <c r="C7994" s="128" t="s">
        <v>24</v>
      </c>
      <c r="D7994" s="128" t="s">
        <v>76</v>
      </c>
      <c r="E7994" s="128" t="s">
        <v>133</v>
      </c>
      <c r="F7994" s="128">
        <v>30906806.640000001</v>
      </c>
      <c r="G7994" s="128">
        <v>17113870.940000001</v>
      </c>
      <c r="H7994" s="128">
        <v>13792929.640000001</v>
      </c>
      <c r="I7994" s="128">
        <v>231811</v>
      </c>
    </row>
    <row r="7995" spans="1:9" ht="13.5">
      <c r="A7995" s="128">
        <v>2013</v>
      </c>
      <c r="B7995" s="128" t="s">
        <v>139</v>
      </c>
      <c r="C7995" s="128" t="s">
        <v>24</v>
      </c>
      <c r="D7995" s="128" t="s">
        <v>76</v>
      </c>
      <c r="E7995" s="128" t="s">
        <v>134</v>
      </c>
      <c r="F7995" s="128">
        <v>36924184.420000002</v>
      </c>
      <c r="G7995" s="128">
        <v>16391989.310000001</v>
      </c>
      <c r="H7995" s="128">
        <v>20532189.350000001</v>
      </c>
      <c r="I7995" s="128">
        <v>172650</v>
      </c>
    </row>
    <row r="7996" spans="1:9" ht="13.5">
      <c r="A7996" s="128">
        <v>2013</v>
      </c>
      <c r="B7996" s="128" t="s">
        <v>139</v>
      </c>
      <c r="C7996" s="128" t="s">
        <v>24</v>
      </c>
      <c r="D7996" s="128" t="s">
        <v>76</v>
      </c>
      <c r="E7996" s="128" t="s">
        <v>135</v>
      </c>
      <c r="F7996" s="128">
        <v>3377177.83</v>
      </c>
      <c r="G7996" s="128">
        <v>885249.18</v>
      </c>
      <c r="H7996" s="128">
        <v>2491928.65</v>
      </c>
      <c r="I7996" s="128">
        <v>2441</v>
      </c>
    </row>
    <row r="7997" spans="1:9" ht="13.5">
      <c r="A7997" s="128">
        <v>2013</v>
      </c>
      <c r="B7997" s="128" t="s">
        <v>139</v>
      </c>
      <c r="C7997" s="128" t="s">
        <v>25</v>
      </c>
      <c r="D7997" s="128" t="s">
        <v>79</v>
      </c>
      <c r="E7997" s="128" t="s">
        <v>136</v>
      </c>
      <c r="F7997" s="128">
        <v>718033.45</v>
      </c>
      <c r="G7997" s="128">
        <v>539746.46</v>
      </c>
      <c r="H7997" s="128">
        <v>178286.84</v>
      </c>
      <c r="I7997" s="128">
        <v>7428</v>
      </c>
    </row>
    <row r="7998" spans="1:9" ht="13.5">
      <c r="A7998" s="128">
        <v>2013</v>
      </c>
      <c r="B7998" s="128" t="s">
        <v>139</v>
      </c>
      <c r="C7998" s="128" t="s">
        <v>25</v>
      </c>
      <c r="D7998" s="128" t="s">
        <v>79</v>
      </c>
      <c r="E7998" s="128" t="s">
        <v>132</v>
      </c>
      <c r="F7998" s="128">
        <v>121475.43</v>
      </c>
      <c r="G7998" s="128">
        <v>79949.399999999994</v>
      </c>
      <c r="H7998" s="128">
        <v>34685.300000000003</v>
      </c>
      <c r="I7998" s="128">
        <v>979</v>
      </c>
    </row>
    <row r="7999" spans="1:9" ht="13.5">
      <c r="A7999" s="128">
        <v>2013</v>
      </c>
      <c r="B7999" s="128" t="s">
        <v>139</v>
      </c>
      <c r="C7999" s="128" t="s">
        <v>25</v>
      </c>
      <c r="D7999" s="128" t="s">
        <v>79</v>
      </c>
      <c r="E7999" s="128" t="s">
        <v>133</v>
      </c>
      <c r="F7999" s="128">
        <v>136911.4</v>
      </c>
      <c r="G7999" s="128">
        <v>73405.08</v>
      </c>
      <c r="H7999" s="128">
        <v>47091.05</v>
      </c>
      <c r="I7999" s="128">
        <v>458</v>
      </c>
    </row>
    <row r="8000" spans="1:9" ht="13.5">
      <c r="A8000" s="128">
        <v>2013</v>
      </c>
      <c r="B8000" s="128" t="s">
        <v>139</v>
      </c>
      <c r="C8000" s="128" t="s">
        <v>25</v>
      </c>
      <c r="D8000" s="128" t="s">
        <v>79</v>
      </c>
      <c r="E8000" s="128" t="s">
        <v>134</v>
      </c>
      <c r="F8000" s="128">
        <v>573178.27</v>
      </c>
      <c r="G8000" s="128">
        <v>251678.55</v>
      </c>
      <c r="H8000" s="128">
        <v>136556.04999999999</v>
      </c>
      <c r="I8000" s="128">
        <v>1986</v>
      </c>
    </row>
    <row r="8001" spans="1:9" ht="13.5">
      <c r="A8001" s="128">
        <v>2013</v>
      </c>
      <c r="B8001" s="128" t="s">
        <v>139</v>
      </c>
      <c r="C8001" s="128" t="s">
        <v>25</v>
      </c>
      <c r="D8001" s="128" t="s">
        <v>79</v>
      </c>
      <c r="E8001" s="128" t="s">
        <v>135</v>
      </c>
      <c r="F8001" s="128">
        <v>2082067.2</v>
      </c>
      <c r="G8001" s="128">
        <v>516588.39</v>
      </c>
      <c r="H8001" s="128">
        <v>175459.15</v>
      </c>
      <c r="I8001" s="128">
        <v>3302</v>
      </c>
    </row>
    <row r="8002" spans="1:9" ht="13.5">
      <c r="A8002" s="128">
        <v>2013</v>
      </c>
      <c r="B8002" s="128" t="s">
        <v>139</v>
      </c>
      <c r="C8002" s="128" t="s">
        <v>25</v>
      </c>
      <c r="D8002" s="128" t="s">
        <v>77</v>
      </c>
      <c r="E8002" s="128" t="s">
        <v>132</v>
      </c>
      <c r="F8002" s="128">
        <v>171691.9</v>
      </c>
      <c r="G8002" s="128">
        <v>115344.9</v>
      </c>
      <c r="H8002" s="128">
        <v>49854.239999999998</v>
      </c>
      <c r="I8002" s="128">
        <v>1162</v>
      </c>
    </row>
    <row r="8003" spans="1:9" ht="13.5">
      <c r="A8003" s="128">
        <v>2013</v>
      </c>
      <c r="B8003" s="128" t="s">
        <v>139</v>
      </c>
      <c r="C8003" s="128" t="s">
        <v>25</v>
      </c>
      <c r="D8003" s="128" t="s">
        <v>77</v>
      </c>
      <c r="E8003" s="128" t="s">
        <v>133</v>
      </c>
      <c r="F8003" s="128">
        <v>229944.19</v>
      </c>
      <c r="G8003" s="128">
        <v>125295.7</v>
      </c>
      <c r="H8003" s="128">
        <v>90351.95</v>
      </c>
      <c r="I8003" s="128">
        <v>1088</v>
      </c>
    </row>
    <row r="8004" spans="1:9" ht="13.5">
      <c r="A8004" s="128">
        <v>2013</v>
      </c>
      <c r="B8004" s="128" t="s">
        <v>139</v>
      </c>
      <c r="C8004" s="128" t="s">
        <v>25</v>
      </c>
      <c r="D8004" s="128" t="s">
        <v>77</v>
      </c>
      <c r="E8004" s="128" t="s">
        <v>134</v>
      </c>
      <c r="F8004" s="128">
        <v>701986.4</v>
      </c>
      <c r="G8004" s="128">
        <v>304412.2</v>
      </c>
      <c r="H8004" s="128">
        <v>303957.46000000002</v>
      </c>
      <c r="I8004" s="128">
        <v>1510</v>
      </c>
    </row>
    <row r="8005" spans="1:9" ht="13.5">
      <c r="A8005" s="128">
        <v>2013</v>
      </c>
      <c r="B8005" s="128" t="s">
        <v>139</v>
      </c>
      <c r="C8005" s="128" t="s">
        <v>25</v>
      </c>
      <c r="D8005" s="128" t="s">
        <v>77</v>
      </c>
      <c r="E8005" s="128" t="s">
        <v>135</v>
      </c>
      <c r="F8005" s="128">
        <v>917089.45</v>
      </c>
      <c r="G8005" s="128">
        <v>275544.59999999998</v>
      </c>
      <c r="H8005" s="128">
        <v>320406.61</v>
      </c>
      <c r="I8005" s="128">
        <v>3430</v>
      </c>
    </row>
    <row r="8006" spans="1:9" ht="13.5">
      <c r="A8006" s="128">
        <v>2013</v>
      </c>
      <c r="B8006" s="128" t="s">
        <v>139</v>
      </c>
      <c r="C8006" s="128" t="s">
        <v>25</v>
      </c>
      <c r="D8006" s="128" t="s">
        <v>76</v>
      </c>
      <c r="E8006" s="128" t="s">
        <v>136</v>
      </c>
      <c r="F8006" s="128">
        <v>1602498.99</v>
      </c>
      <c r="G8006" s="128">
        <v>1203321.06</v>
      </c>
      <c r="H8006" s="128">
        <v>399177.53</v>
      </c>
      <c r="I8006" s="128">
        <v>26153</v>
      </c>
    </row>
    <row r="8007" spans="1:9" ht="13.5">
      <c r="A8007" s="128">
        <v>2013</v>
      </c>
      <c r="B8007" s="128" t="s">
        <v>139</v>
      </c>
      <c r="C8007" s="128" t="s">
        <v>25</v>
      </c>
      <c r="D8007" s="128" t="s">
        <v>76</v>
      </c>
      <c r="E8007" s="128" t="s">
        <v>132</v>
      </c>
      <c r="F8007" s="128">
        <v>2928039.78</v>
      </c>
      <c r="G8007" s="128">
        <v>1855877.75</v>
      </c>
      <c r="H8007" s="128">
        <v>1072138.18</v>
      </c>
      <c r="I8007" s="128">
        <v>21462</v>
      </c>
    </row>
    <row r="8008" spans="1:9" ht="13.5">
      <c r="A8008" s="128">
        <v>2013</v>
      </c>
      <c r="B8008" s="128" t="s">
        <v>139</v>
      </c>
      <c r="C8008" s="128" t="s">
        <v>25</v>
      </c>
      <c r="D8008" s="128" t="s">
        <v>76</v>
      </c>
      <c r="E8008" s="128" t="s">
        <v>133</v>
      </c>
      <c r="F8008" s="128">
        <v>7415398.9900000002</v>
      </c>
      <c r="G8008" s="128">
        <v>4057187.27</v>
      </c>
      <c r="H8008" s="128">
        <v>3358211.24</v>
      </c>
      <c r="I8008" s="128">
        <v>43556</v>
      </c>
    </row>
    <row r="8009" spans="1:9" ht="13.5">
      <c r="A8009" s="128">
        <v>2013</v>
      </c>
      <c r="B8009" s="128" t="s">
        <v>139</v>
      </c>
      <c r="C8009" s="128" t="s">
        <v>25</v>
      </c>
      <c r="D8009" s="128" t="s">
        <v>76</v>
      </c>
      <c r="E8009" s="128" t="s">
        <v>134</v>
      </c>
      <c r="F8009" s="128">
        <v>6263800.3600000003</v>
      </c>
      <c r="G8009" s="128">
        <v>2864409.35</v>
      </c>
      <c r="H8009" s="128">
        <v>3399374.46</v>
      </c>
      <c r="I8009" s="128">
        <v>35749</v>
      </c>
    </row>
    <row r="8010" spans="1:9" ht="13.5">
      <c r="A8010" s="128">
        <v>2013</v>
      </c>
      <c r="B8010" s="128" t="s">
        <v>139</v>
      </c>
      <c r="C8010" s="128" t="s">
        <v>25</v>
      </c>
      <c r="D8010" s="128" t="s">
        <v>76</v>
      </c>
      <c r="E8010" s="128" t="s">
        <v>135</v>
      </c>
      <c r="F8010" s="128">
        <v>532152.82999999996</v>
      </c>
      <c r="G8010" s="128">
        <v>149748.9</v>
      </c>
      <c r="H8010" s="128">
        <v>382403.93</v>
      </c>
      <c r="I8010" s="128">
        <v>511</v>
      </c>
    </row>
    <row r="8011" spans="1:9" ht="13.5">
      <c r="A8011" s="128">
        <v>2013</v>
      </c>
      <c r="B8011" s="128" t="s">
        <v>139</v>
      </c>
      <c r="C8011" s="128" t="s">
        <v>26</v>
      </c>
      <c r="D8011" s="128" t="s">
        <v>79</v>
      </c>
      <c r="E8011" s="128" t="s">
        <v>136</v>
      </c>
      <c r="F8011" s="128">
        <v>940163.73</v>
      </c>
      <c r="G8011" s="128">
        <v>707942.71</v>
      </c>
      <c r="H8011" s="128">
        <v>231575.45</v>
      </c>
      <c r="I8011" s="128">
        <v>9202</v>
      </c>
    </row>
    <row r="8012" spans="1:9" ht="13.5">
      <c r="A8012" s="128">
        <v>2013</v>
      </c>
      <c r="B8012" s="128" t="s">
        <v>139</v>
      </c>
      <c r="C8012" s="128" t="s">
        <v>26</v>
      </c>
      <c r="D8012" s="128" t="s">
        <v>79</v>
      </c>
      <c r="E8012" s="128" t="s">
        <v>132</v>
      </c>
      <c r="F8012" s="128">
        <v>83517.73</v>
      </c>
      <c r="G8012" s="128">
        <v>55150.85</v>
      </c>
      <c r="H8012" s="128">
        <v>19123.5</v>
      </c>
      <c r="I8012" s="128">
        <v>471</v>
      </c>
    </row>
    <row r="8013" spans="1:9" ht="13.5">
      <c r="A8013" s="128">
        <v>2013</v>
      </c>
      <c r="B8013" s="128" t="s">
        <v>139</v>
      </c>
      <c r="C8013" s="128" t="s">
        <v>26</v>
      </c>
      <c r="D8013" s="128" t="s">
        <v>79</v>
      </c>
      <c r="E8013" s="128" t="s">
        <v>133</v>
      </c>
      <c r="F8013" s="128">
        <v>138208.44</v>
      </c>
      <c r="G8013" s="128">
        <v>76283.179999999993</v>
      </c>
      <c r="H8013" s="128">
        <v>31653.71</v>
      </c>
      <c r="I8013" s="128">
        <v>572</v>
      </c>
    </row>
    <row r="8014" spans="1:9" ht="13.5">
      <c r="A8014" s="128">
        <v>2013</v>
      </c>
      <c r="B8014" s="128" t="s">
        <v>139</v>
      </c>
      <c r="C8014" s="128" t="s">
        <v>26</v>
      </c>
      <c r="D8014" s="128" t="s">
        <v>79</v>
      </c>
      <c r="E8014" s="128" t="s">
        <v>134</v>
      </c>
      <c r="F8014" s="128">
        <v>734652.54</v>
      </c>
      <c r="G8014" s="128">
        <v>305327.2</v>
      </c>
      <c r="H8014" s="128">
        <v>106554.6</v>
      </c>
      <c r="I8014" s="128">
        <v>2473</v>
      </c>
    </row>
    <row r="8015" spans="1:9" ht="13.5">
      <c r="A8015" s="128">
        <v>2013</v>
      </c>
      <c r="B8015" s="128" t="s">
        <v>139</v>
      </c>
      <c r="C8015" s="128" t="s">
        <v>26</v>
      </c>
      <c r="D8015" s="128" t="s">
        <v>79</v>
      </c>
      <c r="E8015" s="128" t="s">
        <v>135</v>
      </c>
      <c r="F8015" s="128">
        <v>7024058.9100000001</v>
      </c>
      <c r="G8015" s="128">
        <v>1752876.8</v>
      </c>
      <c r="H8015" s="128">
        <v>567717.80000000005</v>
      </c>
      <c r="I8015" s="128">
        <v>10352</v>
      </c>
    </row>
    <row r="8016" spans="1:9" ht="13.5">
      <c r="A8016" s="128">
        <v>2013</v>
      </c>
      <c r="B8016" s="128" t="s">
        <v>139</v>
      </c>
      <c r="C8016" s="128" t="s">
        <v>26</v>
      </c>
      <c r="D8016" s="128" t="s">
        <v>77</v>
      </c>
      <c r="E8016" s="128" t="s">
        <v>132</v>
      </c>
      <c r="F8016" s="128">
        <v>43957.49</v>
      </c>
      <c r="G8016" s="128">
        <v>28848.7</v>
      </c>
      <c r="H8016" s="128">
        <v>13363.04</v>
      </c>
      <c r="I8016" s="128">
        <v>194</v>
      </c>
    </row>
    <row r="8017" spans="1:9" ht="13.5">
      <c r="A8017" s="128">
        <v>2013</v>
      </c>
      <c r="B8017" s="128" t="s">
        <v>139</v>
      </c>
      <c r="C8017" s="128" t="s">
        <v>26</v>
      </c>
      <c r="D8017" s="128" t="s">
        <v>77</v>
      </c>
      <c r="E8017" s="128" t="s">
        <v>133</v>
      </c>
      <c r="F8017" s="128">
        <v>93710.09</v>
      </c>
      <c r="G8017" s="128">
        <v>51981.75</v>
      </c>
      <c r="H8017" s="128">
        <v>35428.57</v>
      </c>
      <c r="I8017" s="128">
        <v>405</v>
      </c>
    </row>
    <row r="8018" spans="1:9" ht="13.5">
      <c r="A8018" s="128">
        <v>2013</v>
      </c>
      <c r="B8018" s="128" t="s">
        <v>139</v>
      </c>
      <c r="C8018" s="128" t="s">
        <v>26</v>
      </c>
      <c r="D8018" s="128" t="s">
        <v>77</v>
      </c>
      <c r="E8018" s="128" t="s">
        <v>134</v>
      </c>
      <c r="F8018" s="128">
        <v>209602.6</v>
      </c>
      <c r="G8018" s="128">
        <v>90521.7</v>
      </c>
      <c r="H8018" s="128">
        <v>90755.88</v>
      </c>
      <c r="I8018" s="128">
        <v>557</v>
      </c>
    </row>
    <row r="8019" spans="1:9" ht="13.5">
      <c r="A8019" s="128">
        <v>2013</v>
      </c>
      <c r="B8019" s="128" t="s">
        <v>139</v>
      </c>
      <c r="C8019" s="128" t="s">
        <v>26</v>
      </c>
      <c r="D8019" s="128" t="s">
        <v>77</v>
      </c>
      <c r="E8019" s="128" t="s">
        <v>135</v>
      </c>
      <c r="F8019" s="128">
        <v>760131.6</v>
      </c>
      <c r="G8019" s="128">
        <v>214517.67</v>
      </c>
      <c r="H8019" s="128">
        <v>230548.95</v>
      </c>
      <c r="I8019" s="128">
        <v>2508</v>
      </c>
    </row>
    <row r="8020" spans="1:9" ht="13.5">
      <c r="A8020" s="128">
        <v>2013</v>
      </c>
      <c r="B8020" s="128" t="s">
        <v>139</v>
      </c>
      <c r="C8020" s="128" t="s">
        <v>26</v>
      </c>
      <c r="D8020" s="128" t="s">
        <v>76</v>
      </c>
      <c r="E8020" s="128" t="s">
        <v>136</v>
      </c>
      <c r="F8020" s="128">
        <v>390836.43</v>
      </c>
      <c r="G8020" s="128">
        <v>293563.5</v>
      </c>
      <c r="H8020" s="128">
        <v>97272.88</v>
      </c>
      <c r="I8020" s="128">
        <v>12796</v>
      </c>
    </row>
    <row r="8021" spans="1:9" ht="13.5">
      <c r="A8021" s="128">
        <v>2013</v>
      </c>
      <c r="B8021" s="128" t="s">
        <v>139</v>
      </c>
      <c r="C8021" s="128" t="s">
        <v>26</v>
      </c>
      <c r="D8021" s="128" t="s">
        <v>76</v>
      </c>
      <c r="E8021" s="128" t="s">
        <v>132</v>
      </c>
      <c r="F8021" s="128">
        <v>1013199.2</v>
      </c>
      <c r="G8021" s="128">
        <v>654409.73</v>
      </c>
      <c r="H8021" s="128">
        <v>358760.78</v>
      </c>
      <c r="I8021" s="128">
        <v>11738</v>
      </c>
    </row>
    <row r="8022" spans="1:9" ht="13.5">
      <c r="A8022" s="128">
        <v>2013</v>
      </c>
      <c r="B8022" s="128" t="s">
        <v>139</v>
      </c>
      <c r="C8022" s="128" t="s">
        <v>26</v>
      </c>
      <c r="D8022" s="128" t="s">
        <v>76</v>
      </c>
      <c r="E8022" s="128" t="s">
        <v>133</v>
      </c>
      <c r="F8022" s="128">
        <v>2602936.04</v>
      </c>
      <c r="G8022" s="128">
        <v>1435898.14</v>
      </c>
      <c r="H8022" s="128">
        <v>1167011.96</v>
      </c>
      <c r="I8022" s="128">
        <v>14003</v>
      </c>
    </row>
    <row r="8023" spans="1:9" ht="13.5">
      <c r="A8023" s="128">
        <v>2013</v>
      </c>
      <c r="B8023" s="128" t="s">
        <v>139</v>
      </c>
      <c r="C8023" s="128" t="s">
        <v>26</v>
      </c>
      <c r="D8023" s="128" t="s">
        <v>76</v>
      </c>
      <c r="E8023" s="128" t="s">
        <v>134</v>
      </c>
      <c r="F8023" s="128">
        <v>1897089.75</v>
      </c>
      <c r="G8023" s="128">
        <v>866454.71</v>
      </c>
      <c r="H8023" s="128">
        <v>1030609.74</v>
      </c>
      <c r="I8023" s="128">
        <v>12438</v>
      </c>
    </row>
    <row r="8024" spans="1:9" ht="13.5">
      <c r="A8024" s="128">
        <v>2013</v>
      </c>
      <c r="B8024" s="128" t="s">
        <v>139</v>
      </c>
      <c r="C8024" s="128" t="s">
        <v>26</v>
      </c>
      <c r="D8024" s="128" t="s">
        <v>76</v>
      </c>
      <c r="E8024" s="128" t="s">
        <v>135</v>
      </c>
      <c r="F8024" s="128">
        <v>434537.78</v>
      </c>
      <c r="G8024" s="128">
        <v>133004.45000000001</v>
      </c>
      <c r="H8024" s="128">
        <v>301531.43</v>
      </c>
      <c r="I8024" s="128">
        <v>1106</v>
      </c>
    </row>
    <row r="8025" spans="1:9" ht="13.5">
      <c r="A8025" s="128">
        <v>2013</v>
      </c>
      <c r="B8025" s="128" t="s">
        <v>139</v>
      </c>
      <c r="C8025" s="128" t="s">
        <v>27</v>
      </c>
      <c r="D8025" s="128" t="s">
        <v>79</v>
      </c>
      <c r="E8025" s="128" t="s">
        <v>136</v>
      </c>
      <c r="F8025" s="128">
        <v>322328.32000000001</v>
      </c>
      <c r="G8025" s="128">
        <v>242458.03</v>
      </c>
      <c r="H8025" s="128">
        <v>79870.289999999994</v>
      </c>
      <c r="I8025" s="128">
        <v>1401</v>
      </c>
    </row>
    <row r="8026" spans="1:9" ht="13.5">
      <c r="A8026" s="128">
        <v>2013</v>
      </c>
      <c r="B8026" s="128" t="s">
        <v>139</v>
      </c>
      <c r="C8026" s="128" t="s">
        <v>27</v>
      </c>
      <c r="D8026" s="128" t="s">
        <v>79</v>
      </c>
      <c r="E8026" s="128" t="s">
        <v>132</v>
      </c>
      <c r="F8026" s="128">
        <v>61296.26</v>
      </c>
      <c r="G8026" s="128">
        <v>39459.43</v>
      </c>
      <c r="H8026" s="128">
        <v>14905.3</v>
      </c>
      <c r="I8026" s="128">
        <v>224</v>
      </c>
    </row>
    <row r="8027" spans="1:9" ht="13.5">
      <c r="A8027" s="128">
        <v>2013</v>
      </c>
      <c r="B8027" s="128" t="s">
        <v>139</v>
      </c>
      <c r="C8027" s="128" t="s">
        <v>27</v>
      </c>
      <c r="D8027" s="128" t="s">
        <v>79</v>
      </c>
      <c r="E8027" s="128" t="s">
        <v>133</v>
      </c>
      <c r="F8027" s="128">
        <v>52938.64</v>
      </c>
      <c r="G8027" s="128">
        <v>28653.59</v>
      </c>
      <c r="H8027" s="128">
        <v>11980.3</v>
      </c>
      <c r="I8027" s="128">
        <v>260</v>
      </c>
    </row>
    <row r="8028" spans="1:9" ht="13.5">
      <c r="A8028" s="128">
        <v>2013</v>
      </c>
      <c r="B8028" s="128" t="s">
        <v>139</v>
      </c>
      <c r="C8028" s="128" t="s">
        <v>27</v>
      </c>
      <c r="D8028" s="128" t="s">
        <v>79</v>
      </c>
      <c r="E8028" s="128" t="s">
        <v>134</v>
      </c>
      <c r="F8028" s="128">
        <v>200274.32</v>
      </c>
      <c r="G8028" s="128">
        <v>87498.15</v>
      </c>
      <c r="H8028" s="128">
        <v>34891.75</v>
      </c>
      <c r="I8028" s="128">
        <v>626</v>
      </c>
    </row>
    <row r="8029" spans="1:9" ht="13.5">
      <c r="A8029" s="128">
        <v>2013</v>
      </c>
      <c r="B8029" s="128" t="s">
        <v>139</v>
      </c>
      <c r="C8029" s="128" t="s">
        <v>27</v>
      </c>
      <c r="D8029" s="128" t="s">
        <v>79</v>
      </c>
      <c r="E8029" s="128" t="s">
        <v>135</v>
      </c>
      <c r="F8029" s="128">
        <v>1270493.25</v>
      </c>
      <c r="G8029" s="128">
        <v>335130.33</v>
      </c>
      <c r="H8029" s="128">
        <v>109626.05</v>
      </c>
      <c r="I8029" s="128">
        <v>2039</v>
      </c>
    </row>
    <row r="8030" spans="1:9" ht="13.5">
      <c r="A8030" s="128">
        <v>2013</v>
      </c>
      <c r="B8030" s="128" t="s">
        <v>139</v>
      </c>
      <c r="C8030" s="128" t="s">
        <v>27</v>
      </c>
      <c r="D8030" s="128" t="s">
        <v>77</v>
      </c>
      <c r="E8030" s="128" t="s">
        <v>132</v>
      </c>
      <c r="F8030" s="128">
        <v>14418.71</v>
      </c>
      <c r="G8030" s="128">
        <v>9532.7999999999993</v>
      </c>
      <c r="H8030" s="128">
        <v>4281.8</v>
      </c>
      <c r="I8030" s="128">
        <v>81</v>
      </c>
    </row>
    <row r="8031" spans="1:9" ht="13.5">
      <c r="A8031" s="128">
        <v>2013</v>
      </c>
      <c r="B8031" s="128" t="s">
        <v>139</v>
      </c>
      <c r="C8031" s="128" t="s">
        <v>27</v>
      </c>
      <c r="D8031" s="128" t="s">
        <v>77</v>
      </c>
      <c r="E8031" s="128" t="s">
        <v>133</v>
      </c>
      <c r="F8031" s="128">
        <v>58893.41</v>
      </c>
      <c r="G8031" s="128">
        <v>31276.55</v>
      </c>
      <c r="H8031" s="128">
        <v>23275.51</v>
      </c>
      <c r="I8031" s="128">
        <v>242</v>
      </c>
    </row>
    <row r="8032" spans="1:9" ht="13.5">
      <c r="A8032" s="128">
        <v>2013</v>
      </c>
      <c r="B8032" s="128" t="s">
        <v>139</v>
      </c>
      <c r="C8032" s="128" t="s">
        <v>27</v>
      </c>
      <c r="D8032" s="128" t="s">
        <v>77</v>
      </c>
      <c r="E8032" s="128" t="s">
        <v>134</v>
      </c>
      <c r="F8032" s="128">
        <v>152804.64000000001</v>
      </c>
      <c r="G8032" s="128">
        <v>68821</v>
      </c>
      <c r="H8032" s="128">
        <v>65833.45</v>
      </c>
      <c r="I8032" s="128">
        <v>291</v>
      </c>
    </row>
    <row r="8033" spans="1:9" ht="13.5">
      <c r="A8033" s="128">
        <v>2013</v>
      </c>
      <c r="B8033" s="128" t="s">
        <v>139</v>
      </c>
      <c r="C8033" s="128" t="s">
        <v>27</v>
      </c>
      <c r="D8033" s="128" t="s">
        <v>77</v>
      </c>
      <c r="E8033" s="128" t="s">
        <v>135</v>
      </c>
      <c r="F8033" s="128">
        <v>319969.43</v>
      </c>
      <c r="G8033" s="128">
        <v>90092.35</v>
      </c>
      <c r="H8033" s="128">
        <v>100597.51</v>
      </c>
      <c r="I8033" s="128">
        <v>1010</v>
      </c>
    </row>
    <row r="8034" spans="1:9" ht="13.5">
      <c r="A8034" s="128">
        <v>2013</v>
      </c>
      <c r="B8034" s="128" t="s">
        <v>139</v>
      </c>
      <c r="C8034" s="128" t="s">
        <v>27</v>
      </c>
      <c r="D8034" s="128" t="s">
        <v>76</v>
      </c>
      <c r="E8034" s="128" t="s">
        <v>136</v>
      </c>
      <c r="F8034" s="128">
        <v>133280.87</v>
      </c>
      <c r="G8034" s="128">
        <v>100090.69</v>
      </c>
      <c r="H8034" s="128">
        <v>33190.18</v>
      </c>
      <c r="I8034" s="128">
        <v>1765</v>
      </c>
    </row>
    <row r="8035" spans="1:9" ht="13.5">
      <c r="A8035" s="128">
        <v>2013</v>
      </c>
      <c r="B8035" s="128" t="s">
        <v>139</v>
      </c>
      <c r="C8035" s="128" t="s">
        <v>27</v>
      </c>
      <c r="D8035" s="128" t="s">
        <v>76</v>
      </c>
      <c r="E8035" s="128" t="s">
        <v>132</v>
      </c>
      <c r="F8035" s="128">
        <v>490809.44</v>
      </c>
      <c r="G8035" s="128">
        <v>314016.55</v>
      </c>
      <c r="H8035" s="128">
        <v>176788.15</v>
      </c>
      <c r="I8035" s="128">
        <v>5711</v>
      </c>
    </row>
    <row r="8036" spans="1:9" ht="13.5">
      <c r="A8036" s="128">
        <v>2013</v>
      </c>
      <c r="B8036" s="128" t="s">
        <v>139</v>
      </c>
      <c r="C8036" s="128" t="s">
        <v>27</v>
      </c>
      <c r="D8036" s="128" t="s">
        <v>76</v>
      </c>
      <c r="E8036" s="128" t="s">
        <v>133</v>
      </c>
      <c r="F8036" s="128">
        <v>1044137.23</v>
      </c>
      <c r="G8036" s="128">
        <v>570427.35</v>
      </c>
      <c r="H8036" s="128">
        <v>473709.82</v>
      </c>
      <c r="I8036" s="128">
        <v>5481</v>
      </c>
    </row>
    <row r="8037" spans="1:9" ht="13.5">
      <c r="A8037" s="128">
        <v>2013</v>
      </c>
      <c r="B8037" s="128" t="s">
        <v>139</v>
      </c>
      <c r="C8037" s="128" t="s">
        <v>27</v>
      </c>
      <c r="D8037" s="128" t="s">
        <v>76</v>
      </c>
      <c r="E8037" s="128" t="s">
        <v>134</v>
      </c>
      <c r="F8037" s="128">
        <v>1298703.1499999999</v>
      </c>
      <c r="G8037" s="128">
        <v>596229.19999999995</v>
      </c>
      <c r="H8037" s="128">
        <v>702462.68</v>
      </c>
      <c r="I8037" s="128">
        <v>6457</v>
      </c>
    </row>
    <row r="8038" spans="1:9" ht="13.5">
      <c r="A8038" s="128">
        <v>2013</v>
      </c>
      <c r="B8038" s="128" t="s">
        <v>139</v>
      </c>
      <c r="C8038" s="128" t="s">
        <v>27</v>
      </c>
      <c r="D8038" s="128" t="s">
        <v>76</v>
      </c>
      <c r="E8038" s="128" t="s">
        <v>135</v>
      </c>
      <c r="F8038" s="128">
        <v>50476.25</v>
      </c>
      <c r="G8038" s="128">
        <v>15580.1</v>
      </c>
      <c r="H8038" s="128">
        <v>34896.15</v>
      </c>
      <c r="I8038" s="128">
        <v>68</v>
      </c>
    </row>
    <row r="8039" spans="1:9" ht="13.5">
      <c r="A8039" s="128">
        <v>2013</v>
      </c>
      <c r="B8039" s="128" t="s">
        <v>137</v>
      </c>
      <c r="C8039" s="128" t="s">
        <v>20</v>
      </c>
      <c r="D8039" s="128" t="s">
        <v>79</v>
      </c>
      <c r="E8039" s="128" t="s">
        <v>136</v>
      </c>
      <c r="F8039" s="128">
        <v>40335021.490000002</v>
      </c>
      <c r="G8039" s="128">
        <v>30267098.760000002</v>
      </c>
      <c r="H8039" s="128">
        <v>10043646.779999999</v>
      </c>
      <c r="I8039" s="128">
        <v>603603</v>
      </c>
    </row>
    <row r="8040" spans="1:9" ht="13.5">
      <c r="A8040" s="128">
        <v>2013</v>
      </c>
      <c r="B8040" s="128" t="s">
        <v>137</v>
      </c>
      <c r="C8040" s="128" t="s">
        <v>20</v>
      </c>
      <c r="D8040" s="128" t="s">
        <v>79</v>
      </c>
      <c r="E8040" s="128" t="s">
        <v>132</v>
      </c>
      <c r="F8040" s="128">
        <v>2774498.64</v>
      </c>
      <c r="G8040" s="128">
        <v>1869401.09</v>
      </c>
      <c r="H8040" s="128">
        <v>700224.22</v>
      </c>
      <c r="I8040" s="128">
        <v>25852</v>
      </c>
    </row>
    <row r="8041" spans="1:9" ht="13.5">
      <c r="A8041" s="128">
        <v>2013</v>
      </c>
      <c r="B8041" s="128" t="s">
        <v>137</v>
      </c>
      <c r="C8041" s="128" t="s">
        <v>20</v>
      </c>
      <c r="D8041" s="128" t="s">
        <v>79</v>
      </c>
      <c r="E8041" s="128" t="s">
        <v>133</v>
      </c>
      <c r="F8041" s="128">
        <v>3531814.17</v>
      </c>
      <c r="G8041" s="128">
        <v>1909522.5</v>
      </c>
      <c r="H8041" s="128">
        <v>864801.62</v>
      </c>
      <c r="I8041" s="128">
        <v>14831</v>
      </c>
    </row>
    <row r="8042" spans="1:9" ht="13.5">
      <c r="A8042" s="128">
        <v>2013</v>
      </c>
      <c r="B8042" s="128" t="s">
        <v>137</v>
      </c>
      <c r="C8042" s="128" t="s">
        <v>20</v>
      </c>
      <c r="D8042" s="128" t="s">
        <v>79</v>
      </c>
      <c r="E8042" s="128" t="s">
        <v>134</v>
      </c>
      <c r="F8042" s="128">
        <v>14561175.609999999</v>
      </c>
      <c r="G8042" s="128">
        <v>6226078.5300000003</v>
      </c>
      <c r="H8042" s="128">
        <v>2453878.19</v>
      </c>
      <c r="I8042" s="128">
        <v>77621</v>
      </c>
    </row>
    <row r="8043" spans="1:9" ht="13.5">
      <c r="A8043" s="128">
        <v>2013</v>
      </c>
      <c r="B8043" s="128" t="s">
        <v>137</v>
      </c>
      <c r="C8043" s="128" t="s">
        <v>20</v>
      </c>
      <c r="D8043" s="128" t="s">
        <v>79</v>
      </c>
      <c r="E8043" s="128" t="s">
        <v>135</v>
      </c>
      <c r="F8043" s="128">
        <v>100383740.15000001</v>
      </c>
      <c r="G8043" s="128">
        <v>25319376.739999998</v>
      </c>
      <c r="H8043" s="128">
        <v>8475651.8100000005</v>
      </c>
      <c r="I8043" s="128">
        <v>158932</v>
      </c>
    </row>
    <row r="8044" spans="1:9" ht="13.5">
      <c r="A8044" s="128">
        <v>2013</v>
      </c>
      <c r="B8044" s="128" t="s">
        <v>137</v>
      </c>
      <c r="C8044" s="128" t="s">
        <v>20</v>
      </c>
      <c r="D8044" s="128" t="s">
        <v>77</v>
      </c>
      <c r="E8044" s="128" t="s">
        <v>132</v>
      </c>
      <c r="F8044" s="128">
        <v>1328880.49</v>
      </c>
      <c r="G8044" s="128">
        <v>881597.7</v>
      </c>
      <c r="H8044" s="128">
        <v>395380.92</v>
      </c>
      <c r="I8044" s="128">
        <v>5833</v>
      </c>
    </row>
    <row r="8045" spans="1:9" ht="13.5">
      <c r="A8045" s="128">
        <v>2013</v>
      </c>
      <c r="B8045" s="128" t="s">
        <v>137</v>
      </c>
      <c r="C8045" s="128" t="s">
        <v>20</v>
      </c>
      <c r="D8045" s="128" t="s">
        <v>77</v>
      </c>
      <c r="E8045" s="128" t="s">
        <v>133</v>
      </c>
      <c r="F8045" s="128">
        <v>1878735.08</v>
      </c>
      <c r="G8045" s="128">
        <v>1021403.65</v>
      </c>
      <c r="H8045" s="128">
        <v>686238.15</v>
      </c>
      <c r="I8045" s="128">
        <v>7651</v>
      </c>
    </row>
    <row r="8046" spans="1:9" ht="13.5">
      <c r="A8046" s="128">
        <v>2013</v>
      </c>
      <c r="B8046" s="128" t="s">
        <v>137</v>
      </c>
      <c r="C8046" s="128" t="s">
        <v>20</v>
      </c>
      <c r="D8046" s="128" t="s">
        <v>77</v>
      </c>
      <c r="E8046" s="128" t="s">
        <v>134</v>
      </c>
      <c r="F8046" s="128">
        <v>5008876.17</v>
      </c>
      <c r="G8046" s="128">
        <v>2210851.9500000002</v>
      </c>
      <c r="H8046" s="128">
        <v>2107665.6800000002</v>
      </c>
      <c r="I8046" s="128">
        <v>13415</v>
      </c>
    </row>
    <row r="8047" spans="1:9" ht="13.5">
      <c r="A8047" s="128">
        <v>2013</v>
      </c>
      <c r="B8047" s="128" t="s">
        <v>137</v>
      </c>
      <c r="C8047" s="128" t="s">
        <v>20</v>
      </c>
      <c r="D8047" s="128" t="s">
        <v>77</v>
      </c>
      <c r="E8047" s="128" t="s">
        <v>135</v>
      </c>
      <c r="F8047" s="128">
        <v>5673756.7400000002</v>
      </c>
      <c r="G8047" s="128">
        <v>1602253.6</v>
      </c>
      <c r="H8047" s="128">
        <v>1723599.99</v>
      </c>
      <c r="I8047" s="128">
        <v>16231</v>
      </c>
    </row>
    <row r="8048" spans="1:9" ht="13.5">
      <c r="A8048" s="128">
        <v>2013</v>
      </c>
      <c r="B8048" s="128" t="s">
        <v>137</v>
      </c>
      <c r="C8048" s="128" t="s">
        <v>20</v>
      </c>
      <c r="D8048" s="128" t="s">
        <v>76</v>
      </c>
      <c r="E8048" s="128" t="s">
        <v>136</v>
      </c>
      <c r="F8048" s="128">
        <v>14437750.17</v>
      </c>
      <c r="G8048" s="128">
        <v>10857070.33</v>
      </c>
      <c r="H8048" s="128">
        <v>3581598.87</v>
      </c>
      <c r="I8048" s="128">
        <v>373995</v>
      </c>
    </row>
    <row r="8049" spans="1:9" ht="13.5">
      <c r="A8049" s="128">
        <v>2013</v>
      </c>
      <c r="B8049" s="128" t="s">
        <v>137</v>
      </c>
      <c r="C8049" s="128" t="s">
        <v>20</v>
      </c>
      <c r="D8049" s="128" t="s">
        <v>76</v>
      </c>
      <c r="E8049" s="128" t="s">
        <v>132</v>
      </c>
      <c r="F8049" s="128">
        <v>39936739.990000002</v>
      </c>
      <c r="G8049" s="128">
        <v>25609683.030000001</v>
      </c>
      <c r="H8049" s="128">
        <v>14326851.33</v>
      </c>
      <c r="I8049" s="128">
        <v>400570</v>
      </c>
    </row>
    <row r="8050" spans="1:9" ht="13.5">
      <c r="A8050" s="128">
        <v>2013</v>
      </c>
      <c r="B8050" s="128" t="s">
        <v>137</v>
      </c>
      <c r="C8050" s="128" t="s">
        <v>20</v>
      </c>
      <c r="D8050" s="128" t="s">
        <v>76</v>
      </c>
      <c r="E8050" s="128" t="s">
        <v>133</v>
      </c>
      <c r="F8050" s="128">
        <v>91204172.129999995</v>
      </c>
      <c r="G8050" s="128">
        <v>50433508.060000002</v>
      </c>
      <c r="H8050" s="128">
        <v>40770580.310000002</v>
      </c>
      <c r="I8050" s="128">
        <v>520788</v>
      </c>
    </row>
    <row r="8051" spans="1:9" ht="13.5">
      <c r="A8051" s="128">
        <v>2013</v>
      </c>
      <c r="B8051" s="128" t="s">
        <v>137</v>
      </c>
      <c r="C8051" s="128" t="s">
        <v>20</v>
      </c>
      <c r="D8051" s="128" t="s">
        <v>76</v>
      </c>
      <c r="E8051" s="128" t="s">
        <v>134</v>
      </c>
      <c r="F8051" s="128">
        <v>95120883.409999996</v>
      </c>
      <c r="G8051" s="128">
        <v>43535652.609999999</v>
      </c>
      <c r="H8051" s="128">
        <v>51584905.829999998</v>
      </c>
      <c r="I8051" s="128">
        <v>549357</v>
      </c>
    </row>
    <row r="8052" spans="1:9" ht="13.5">
      <c r="A8052" s="128">
        <v>2013</v>
      </c>
      <c r="B8052" s="128" t="s">
        <v>137</v>
      </c>
      <c r="C8052" s="128" t="s">
        <v>20</v>
      </c>
      <c r="D8052" s="128" t="s">
        <v>76</v>
      </c>
      <c r="E8052" s="128" t="s">
        <v>135</v>
      </c>
      <c r="F8052" s="128">
        <v>10998011.560000001</v>
      </c>
      <c r="G8052" s="128">
        <v>3409729.14</v>
      </c>
      <c r="H8052" s="128">
        <v>7588280.2699999996</v>
      </c>
      <c r="I8052" s="128">
        <v>46630</v>
      </c>
    </row>
    <row r="8053" spans="1:9" ht="13.5">
      <c r="A8053" s="128">
        <v>2013</v>
      </c>
      <c r="B8053" s="128" t="s">
        <v>137</v>
      </c>
      <c r="C8053" s="128" t="s">
        <v>21</v>
      </c>
      <c r="D8053" s="128" t="s">
        <v>79</v>
      </c>
      <c r="E8053" s="128" t="s">
        <v>136</v>
      </c>
      <c r="F8053" s="128">
        <v>10403543.640000001</v>
      </c>
      <c r="G8053" s="128">
        <v>7817596.5199999996</v>
      </c>
      <c r="H8053" s="128">
        <v>2584159.89</v>
      </c>
      <c r="I8053" s="128">
        <v>104737</v>
      </c>
    </row>
    <row r="8054" spans="1:9" ht="13.5">
      <c r="A8054" s="128">
        <v>2013</v>
      </c>
      <c r="B8054" s="128" t="s">
        <v>137</v>
      </c>
      <c r="C8054" s="128" t="s">
        <v>21</v>
      </c>
      <c r="D8054" s="128" t="s">
        <v>79</v>
      </c>
      <c r="E8054" s="128" t="s">
        <v>132</v>
      </c>
      <c r="F8054" s="128">
        <v>1706199.29</v>
      </c>
      <c r="G8054" s="128">
        <v>1121611.53</v>
      </c>
      <c r="H8054" s="128">
        <v>409702.14</v>
      </c>
      <c r="I8054" s="128">
        <v>10693</v>
      </c>
    </row>
    <row r="8055" spans="1:9" ht="13.5">
      <c r="A8055" s="128">
        <v>2013</v>
      </c>
      <c r="B8055" s="128" t="s">
        <v>137</v>
      </c>
      <c r="C8055" s="128" t="s">
        <v>21</v>
      </c>
      <c r="D8055" s="128" t="s">
        <v>79</v>
      </c>
      <c r="E8055" s="128" t="s">
        <v>133</v>
      </c>
      <c r="F8055" s="128">
        <v>2894091.73</v>
      </c>
      <c r="G8055" s="128">
        <v>1591136.82</v>
      </c>
      <c r="H8055" s="128">
        <v>904901.76</v>
      </c>
      <c r="I8055" s="128">
        <v>26433</v>
      </c>
    </row>
    <row r="8056" spans="1:9" ht="13.5">
      <c r="A8056" s="128">
        <v>2013</v>
      </c>
      <c r="B8056" s="128" t="s">
        <v>137</v>
      </c>
      <c r="C8056" s="128" t="s">
        <v>21</v>
      </c>
      <c r="D8056" s="128" t="s">
        <v>79</v>
      </c>
      <c r="E8056" s="128" t="s">
        <v>134</v>
      </c>
      <c r="F8056" s="128">
        <v>5215234.7699999996</v>
      </c>
      <c r="G8056" s="128">
        <v>2235697.67</v>
      </c>
      <c r="H8056" s="128">
        <v>1424448.53</v>
      </c>
      <c r="I8056" s="128">
        <v>22168</v>
      </c>
    </row>
    <row r="8057" spans="1:9" ht="13.5">
      <c r="A8057" s="128">
        <v>2013</v>
      </c>
      <c r="B8057" s="128" t="s">
        <v>137</v>
      </c>
      <c r="C8057" s="128" t="s">
        <v>21</v>
      </c>
      <c r="D8057" s="128" t="s">
        <v>79</v>
      </c>
      <c r="E8057" s="128" t="s">
        <v>135</v>
      </c>
      <c r="F8057" s="128">
        <v>23455818.989999998</v>
      </c>
      <c r="G8057" s="128">
        <v>6154990.6299999999</v>
      </c>
      <c r="H8057" s="128">
        <v>2135202.59</v>
      </c>
      <c r="I8057" s="128">
        <v>46998</v>
      </c>
    </row>
    <row r="8058" spans="1:9" ht="13.5">
      <c r="A8058" s="128">
        <v>2013</v>
      </c>
      <c r="B8058" s="128" t="s">
        <v>137</v>
      </c>
      <c r="C8058" s="128" t="s">
        <v>21</v>
      </c>
      <c r="D8058" s="128" t="s">
        <v>77</v>
      </c>
      <c r="E8058" s="128" t="s">
        <v>132</v>
      </c>
      <c r="F8058" s="128">
        <v>2514061.96</v>
      </c>
      <c r="G8058" s="128">
        <v>1687809.99</v>
      </c>
      <c r="H8058" s="128">
        <v>706307.71</v>
      </c>
      <c r="I8058" s="128">
        <v>12342</v>
      </c>
    </row>
    <row r="8059" spans="1:9" ht="13.5">
      <c r="A8059" s="128">
        <v>2013</v>
      </c>
      <c r="B8059" s="128" t="s">
        <v>137</v>
      </c>
      <c r="C8059" s="128" t="s">
        <v>21</v>
      </c>
      <c r="D8059" s="128" t="s">
        <v>77</v>
      </c>
      <c r="E8059" s="128" t="s">
        <v>133</v>
      </c>
      <c r="F8059" s="128">
        <v>5219716.91</v>
      </c>
      <c r="G8059" s="128">
        <v>2847701.5</v>
      </c>
      <c r="H8059" s="128">
        <v>1887774.89</v>
      </c>
      <c r="I8059" s="128">
        <v>20655</v>
      </c>
    </row>
    <row r="8060" spans="1:9" ht="13.5">
      <c r="A8060" s="128">
        <v>2013</v>
      </c>
      <c r="B8060" s="128" t="s">
        <v>137</v>
      </c>
      <c r="C8060" s="128" t="s">
        <v>21</v>
      </c>
      <c r="D8060" s="128" t="s">
        <v>77</v>
      </c>
      <c r="E8060" s="128" t="s">
        <v>134</v>
      </c>
      <c r="F8060" s="128">
        <v>7497901.1399999997</v>
      </c>
      <c r="G8060" s="128">
        <v>3249712.37</v>
      </c>
      <c r="H8060" s="128">
        <v>2923945.05</v>
      </c>
      <c r="I8060" s="128">
        <v>20031</v>
      </c>
    </row>
    <row r="8061" spans="1:9" ht="13.5">
      <c r="A8061" s="128">
        <v>2013</v>
      </c>
      <c r="B8061" s="128" t="s">
        <v>137</v>
      </c>
      <c r="C8061" s="128" t="s">
        <v>21</v>
      </c>
      <c r="D8061" s="128" t="s">
        <v>77</v>
      </c>
      <c r="E8061" s="128" t="s">
        <v>135</v>
      </c>
      <c r="F8061" s="128">
        <v>7777196.5599999996</v>
      </c>
      <c r="G8061" s="128">
        <v>2278768.87</v>
      </c>
      <c r="H8061" s="128">
        <v>2214708.66</v>
      </c>
      <c r="I8061" s="128">
        <v>20524</v>
      </c>
    </row>
    <row r="8062" spans="1:9" ht="13.5">
      <c r="A8062" s="128">
        <v>2013</v>
      </c>
      <c r="B8062" s="128" t="s">
        <v>137</v>
      </c>
      <c r="C8062" s="128" t="s">
        <v>21</v>
      </c>
      <c r="D8062" s="128" t="s">
        <v>76</v>
      </c>
      <c r="E8062" s="128" t="s">
        <v>136</v>
      </c>
      <c r="F8062" s="128">
        <v>13701655.189999999</v>
      </c>
      <c r="G8062" s="128">
        <v>10317836.66</v>
      </c>
      <c r="H8062" s="128">
        <v>3384079.38</v>
      </c>
      <c r="I8062" s="128">
        <v>242923</v>
      </c>
    </row>
    <row r="8063" spans="1:9" ht="13.5">
      <c r="A8063" s="128">
        <v>2013</v>
      </c>
      <c r="B8063" s="128" t="s">
        <v>137</v>
      </c>
      <c r="C8063" s="128" t="s">
        <v>21</v>
      </c>
      <c r="D8063" s="128" t="s">
        <v>76</v>
      </c>
      <c r="E8063" s="128" t="s">
        <v>132</v>
      </c>
      <c r="F8063" s="128">
        <v>43445034.850000001</v>
      </c>
      <c r="G8063" s="128">
        <v>27748354.440000001</v>
      </c>
      <c r="H8063" s="128">
        <v>15696534.140000001</v>
      </c>
      <c r="I8063" s="128">
        <v>394583</v>
      </c>
    </row>
    <row r="8064" spans="1:9" ht="13.5">
      <c r="A8064" s="128">
        <v>2013</v>
      </c>
      <c r="B8064" s="128" t="s">
        <v>137</v>
      </c>
      <c r="C8064" s="128" t="s">
        <v>21</v>
      </c>
      <c r="D8064" s="128" t="s">
        <v>76</v>
      </c>
      <c r="E8064" s="128" t="s">
        <v>133</v>
      </c>
      <c r="F8064" s="128">
        <v>101998303.08</v>
      </c>
      <c r="G8064" s="128">
        <v>56451834.829999998</v>
      </c>
      <c r="H8064" s="128">
        <v>45546393.130000003</v>
      </c>
      <c r="I8064" s="128">
        <v>849140</v>
      </c>
    </row>
    <row r="8065" spans="1:9" ht="13.5">
      <c r="A8065" s="128">
        <v>2013</v>
      </c>
      <c r="B8065" s="128" t="s">
        <v>137</v>
      </c>
      <c r="C8065" s="128" t="s">
        <v>21</v>
      </c>
      <c r="D8065" s="128" t="s">
        <v>76</v>
      </c>
      <c r="E8065" s="128" t="s">
        <v>134</v>
      </c>
      <c r="F8065" s="128">
        <v>96848660.019999996</v>
      </c>
      <c r="G8065" s="128">
        <v>43782313.490000002</v>
      </c>
      <c r="H8065" s="128">
        <v>53066270.93</v>
      </c>
      <c r="I8065" s="128">
        <v>509265</v>
      </c>
    </row>
    <row r="8066" spans="1:9" ht="13.5">
      <c r="A8066" s="128">
        <v>2013</v>
      </c>
      <c r="B8066" s="128" t="s">
        <v>137</v>
      </c>
      <c r="C8066" s="128" t="s">
        <v>21</v>
      </c>
      <c r="D8066" s="128" t="s">
        <v>76</v>
      </c>
      <c r="E8066" s="128" t="s">
        <v>135</v>
      </c>
      <c r="F8066" s="128">
        <v>5313953.7699999996</v>
      </c>
      <c r="G8066" s="128">
        <v>1528058.39</v>
      </c>
      <c r="H8066" s="128">
        <v>3785893.72</v>
      </c>
      <c r="I8066" s="128">
        <v>14352</v>
      </c>
    </row>
    <row r="8067" spans="1:9" ht="13.5">
      <c r="A8067" s="128">
        <v>2013</v>
      </c>
      <c r="B8067" s="128" t="s">
        <v>137</v>
      </c>
      <c r="C8067" s="128" t="s">
        <v>22</v>
      </c>
      <c r="D8067" s="128" t="s">
        <v>79</v>
      </c>
      <c r="E8067" s="128" t="s">
        <v>136</v>
      </c>
      <c r="F8067" s="128">
        <v>9100070.4900000002</v>
      </c>
      <c r="G8067" s="128">
        <v>6831977.0499999998</v>
      </c>
      <c r="H8067" s="128">
        <v>2265026.7999999998</v>
      </c>
      <c r="I8067" s="128">
        <v>75356</v>
      </c>
    </row>
    <row r="8068" spans="1:9" ht="13.5">
      <c r="A8068" s="128">
        <v>2013</v>
      </c>
      <c r="B8068" s="128" t="s">
        <v>137</v>
      </c>
      <c r="C8068" s="128" t="s">
        <v>22</v>
      </c>
      <c r="D8068" s="128" t="s">
        <v>79</v>
      </c>
      <c r="E8068" s="128" t="s">
        <v>132</v>
      </c>
      <c r="F8068" s="128">
        <v>2312321.8199999998</v>
      </c>
      <c r="G8068" s="128">
        <v>1526581.75</v>
      </c>
      <c r="H8068" s="128">
        <v>617030</v>
      </c>
      <c r="I8068" s="128">
        <v>15444</v>
      </c>
    </row>
    <row r="8069" spans="1:9" ht="13.5">
      <c r="A8069" s="128">
        <v>2013</v>
      </c>
      <c r="B8069" s="128" t="s">
        <v>137</v>
      </c>
      <c r="C8069" s="128" t="s">
        <v>22</v>
      </c>
      <c r="D8069" s="128" t="s">
        <v>79</v>
      </c>
      <c r="E8069" s="128" t="s">
        <v>133</v>
      </c>
      <c r="F8069" s="128">
        <v>3254457.68</v>
      </c>
      <c r="G8069" s="128">
        <v>1771392.59</v>
      </c>
      <c r="H8069" s="128">
        <v>869821.4</v>
      </c>
      <c r="I8069" s="128">
        <v>18534</v>
      </c>
    </row>
    <row r="8070" spans="1:9" ht="13.5">
      <c r="A8070" s="128">
        <v>2013</v>
      </c>
      <c r="B8070" s="128" t="s">
        <v>137</v>
      </c>
      <c r="C8070" s="128" t="s">
        <v>22</v>
      </c>
      <c r="D8070" s="128" t="s">
        <v>79</v>
      </c>
      <c r="E8070" s="128" t="s">
        <v>134</v>
      </c>
      <c r="F8070" s="128">
        <v>8866723.7400000002</v>
      </c>
      <c r="G8070" s="128">
        <v>3763306.57</v>
      </c>
      <c r="H8070" s="128">
        <v>1552724.31</v>
      </c>
      <c r="I8070" s="128">
        <v>28971</v>
      </c>
    </row>
    <row r="8071" spans="1:9" ht="13.5">
      <c r="A8071" s="128">
        <v>2013</v>
      </c>
      <c r="B8071" s="128" t="s">
        <v>137</v>
      </c>
      <c r="C8071" s="128" t="s">
        <v>22</v>
      </c>
      <c r="D8071" s="128" t="s">
        <v>79</v>
      </c>
      <c r="E8071" s="128" t="s">
        <v>135</v>
      </c>
      <c r="F8071" s="128">
        <v>50933734.890000001</v>
      </c>
      <c r="G8071" s="128">
        <v>13428028.99</v>
      </c>
      <c r="H8071" s="128">
        <v>4547222.91</v>
      </c>
      <c r="I8071" s="128">
        <v>91493</v>
      </c>
    </row>
    <row r="8072" spans="1:9" ht="13.5">
      <c r="A8072" s="128">
        <v>2013</v>
      </c>
      <c r="B8072" s="128" t="s">
        <v>137</v>
      </c>
      <c r="C8072" s="128" t="s">
        <v>22</v>
      </c>
      <c r="D8072" s="128" t="s">
        <v>77</v>
      </c>
      <c r="E8072" s="128" t="s">
        <v>132</v>
      </c>
      <c r="F8072" s="128">
        <v>902332.15</v>
      </c>
      <c r="G8072" s="128">
        <v>594028.75</v>
      </c>
      <c r="H8072" s="128">
        <v>254674.87</v>
      </c>
      <c r="I8072" s="128">
        <v>3933</v>
      </c>
    </row>
    <row r="8073" spans="1:9" ht="13.5">
      <c r="A8073" s="128">
        <v>2013</v>
      </c>
      <c r="B8073" s="128" t="s">
        <v>137</v>
      </c>
      <c r="C8073" s="128" t="s">
        <v>22</v>
      </c>
      <c r="D8073" s="128" t="s">
        <v>77</v>
      </c>
      <c r="E8073" s="128" t="s">
        <v>133</v>
      </c>
      <c r="F8073" s="128">
        <v>1970747.05</v>
      </c>
      <c r="G8073" s="128">
        <v>1062662.98</v>
      </c>
      <c r="H8073" s="128">
        <v>736521.69</v>
      </c>
      <c r="I8073" s="128">
        <v>6929</v>
      </c>
    </row>
    <row r="8074" spans="1:9" ht="13.5">
      <c r="A8074" s="128">
        <v>2013</v>
      </c>
      <c r="B8074" s="128" t="s">
        <v>137</v>
      </c>
      <c r="C8074" s="128" t="s">
        <v>22</v>
      </c>
      <c r="D8074" s="128" t="s">
        <v>77</v>
      </c>
      <c r="E8074" s="128" t="s">
        <v>134</v>
      </c>
      <c r="F8074" s="128">
        <v>4632405</v>
      </c>
      <c r="G8074" s="128">
        <v>1997523.01</v>
      </c>
      <c r="H8074" s="128">
        <v>1893143.95</v>
      </c>
      <c r="I8074" s="128">
        <v>9346</v>
      </c>
    </row>
    <row r="8075" spans="1:9" ht="13.5">
      <c r="A8075" s="128">
        <v>2013</v>
      </c>
      <c r="B8075" s="128" t="s">
        <v>137</v>
      </c>
      <c r="C8075" s="128" t="s">
        <v>22</v>
      </c>
      <c r="D8075" s="128" t="s">
        <v>77</v>
      </c>
      <c r="E8075" s="128" t="s">
        <v>135</v>
      </c>
      <c r="F8075" s="128">
        <v>7589050.75</v>
      </c>
      <c r="G8075" s="128">
        <v>2235124.39</v>
      </c>
      <c r="H8075" s="128">
        <v>2414220.66</v>
      </c>
      <c r="I8075" s="128">
        <v>19403</v>
      </c>
    </row>
    <row r="8076" spans="1:9" ht="13.5">
      <c r="A8076" s="128">
        <v>2013</v>
      </c>
      <c r="B8076" s="128" t="s">
        <v>137</v>
      </c>
      <c r="C8076" s="128" t="s">
        <v>22</v>
      </c>
      <c r="D8076" s="128" t="s">
        <v>76</v>
      </c>
      <c r="E8076" s="128" t="s">
        <v>136</v>
      </c>
      <c r="F8076" s="128">
        <v>9263509.0099999998</v>
      </c>
      <c r="G8076" s="128">
        <v>6957473.7800000003</v>
      </c>
      <c r="H8076" s="128">
        <v>2306083.7000000002</v>
      </c>
      <c r="I8076" s="128">
        <v>168683</v>
      </c>
    </row>
    <row r="8077" spans="1:9" ht="13.5">
      <c r="A8077" s="128">
        <v>2013</v>
      </c>
      <c r="B8077" s="128" t="s">
        <v>137</v>
      </c>
      <c r="C8077" s="128" t="s">
        <v>22</v>
      </c>
      <c r="D8077" s="128" t="s">
        <v>76</v>
      </c>
      <c r="E8077" s="128" t="s">
        <v>132</v>
      </c>
      <c r="F8077" s="128">
        <v>35275711.380000003</v>
      </c>
      <c r="G8077" s="128">
        <v>22619315.510000002</v>
      </c>
      <c r="H8077" s="128">
        <v>12656133.26</v>
      </c>
      <c r="I8077" s="128">
        <v>356933</v>
      </c>
    </row>
    <row r="8078" spans="1:9" ht="13.5">
      <c r="A8078" s="128">
        <v>2013</v>
      </c>
      <c r="B8078" s="128" t="s">
        <v>137</v>
      </c>
      <c r="C8078" s="128" t="s">
        <v>22</v>
      </c>
      <c r="D8078" s="128" t="s">
        <v>76</v>
      </c>
      <c r="E8078" s="128" t="s">
        <v>133</v>
      </c>
      <c r="F8078" s="128">
        <v>72054074.489999995</v>
      </c>
      <c r="G8078" s="128">
        <v>40124993.82</v>
      </c>
      <c r="H8078" s="128">
        <v>31929045.620000001</v>
      </c>
      <c r="I8078" s="128">
        <v>620866</v>
      </c>
    </row>
    <row r="8079" spans="1:9" ht="13.5">
      <c r="A8079" s="128">
        <v>2013</v>
      </c>
      <c r="B8079" s="128" t="s">
        <v>137</v>
      </c>
      <c r="C8079" s="128" t="s">
        <v>22</v>
      </c>
      <c r="D8079" s="128" t="s">
        <v>76</v>
      </c>
      <c r="E8079" s="128" t="s">
        <v>134</v>
      </c>
      <c r="F8079" s="128">
        <v>59279970.530000001</v>
      </c>
      <c r="G8079" s="128">
        <v>27374481.370000001</v>
      </c>
      <c r="H8079" s="128">
        <v>31905271.050000001</v>
      </c>
      <c r="I8079" s="128">
        <v>381825</v>
      </c>
    </row>
    <row r="8080" spans="1:9" ht="13.5">
      <c r="A8080" s="128">
        <v>2013</v>
      </c>
      <c r="B8080" s="128" t="s">
        <v>137</v>
      </c>
      <c r="C8080" s="128" t="s">
        <v>22</v>
      </c>
      <c r="D8080" s="128" t="s">
        <v>76</v>
      </c>
      <c r="E8080" s="128" t="s">
        <v>135</v>
      </c>
      <c r="F8080" s="128">
        <v>6680492.9699999997</v>
      </c>
      <c r="G8080" s="128">
        <v>1966729.02</v>
      </c>
      <c r="H8080" s="128">
        <v>4713763.63</v>
      </c>
      <c r="I8080" s="128">
        <v>13947</v>
      </c>
    </row>
    <row r="8081" spans="1:9" ht="13.5">
      <c r="A8081" s="128">
        <v>2013</v>
      </c>
      <c r="B8081" s="128" t="s">
        <v>137</v>
      </c>
      <c r="C8081" s="128" t="s">
        <v>23</v>
      </c>
      <c r="D8081" s="128" t="s">
        <v>79</v>
      </c>
      <c r="E8081" s="128" t="s">
        <v>136</v>
      </c>
      <c r="F8081" s="128">
        <v>1758733.51</v>
      </c>
      <c r="G8081" s="128">
        <v>1321342.6200000001</v>
      </c>
      <c r="H8081" s="128">
        <v>437208.34</v>
      </c>
      <c r="I8081" s="128">
        <v>19115</v>
      </c>
    </row>
    <row r="8082" spans="1:9" ht="13.5">
      <c r="A8082" s="128">
        <v>2013</v>
      </c>
      <c r="B8082" s="128" t="s">
        <v>137</v>
      </c>
      <c r="C8082" s="128" t="s">
        <v>23</v>
      </c>
      <c r="D8082" s="128" t="s">
        <v>79</v>
      </c>
      <c r="E8082" s="128" t="s">
        <v>132</v>
      </c>
      <c r="F8082" s="128">
        <v>392343.43</v>
      </c>
      <c r="G8082" s="128">
        <v>252464.57</v>
      </c>
      <c r="H8082" s="128">
        <v>120905.3</v>
      </c>
      <c r="I8082" s="128">
        <v>2383</v>
      </c>
    </row>
    <row r="8083" spans="1:9" ht="13.5">
      <c r="A8083" s="128">
        <v>2013</v>
      </c>
      <c r="B8083" s="128" t="s">
        <v>137</v>
      </c>
      <c r="C8083" s="128" t="s">
        <v>23</v>
      </c>
      <c r="D8083" s="128" t="s">
        <v>79</v>
      </c>
      <c r="E8083" s="128" t="s">
        <v>133</v>
      </c>
      <c r="F8083" s="128">
        <v>904895.76</v>
      </c>
      <c r="G8083" s="128">
        <v>488207.33</v>
      </c>
      <c r="H8083" s="128">
        <v>307860.01</v>
      </c>
      <c r="I8083" s="128">
        <v>5576</v>
      </c>
    </row>
    <row r="8084" spans="1:9" ht="13.5">
      <c r="A8084" s="128">
        <v>2013</v>
      </c>
      <c r="B8084" s="128" t="s">
        <v>137</v>
      </c>
      <c r="C8084" s="128" t="s">
        <v>23</v>
      </c>
      <c r="D8084" s="128" t="s">
        <v>79</v>
      </c>
      <c r="E8084" s="128" t="s">
        <v>134</v>
      </c>
      <c r="F8084" s="128">
        <v>1977561.59</v>
      </c>
      <c r="G8084" s="128">
        <v>883518.59</v>
      </c>
      <c r="H8084" s="128">
        <v>830253.12</v>
      </c>
      <c r="I8084" s="128">
        <v>6794</v>
      </c>
    </row>
    <row r="8085" spans="1:9" ht="13.5">
      <c r="A8085" s="128">
        <v>2013</v>
      </c>
      <c r="B8085" s="128" t="s">
        <v>137</v>
      </c>
      <c r="C8085" s="128" t="s">
        <v>23</v>
      </c>
      <c r="D8085" s="128" t="s">
        <v>79</v>
      </c>
      <c r="E8085" s="128" t="s">
        <v>135</v>
      </c>
      <c r="F8085" s="128">
        <v>2166230.34</v>
      </c>
      <c r="G8085" s="128">
        <v>577845.54</v>
      </c>
      <c r="H8085" s="128">
        <v>231067.6</v>
      </c>
      <c r="I8085" s="128">
        <v>6245</v>
      </c>
    </row>
    <row r="8086" spans="1:9" ht="13.5">
      <c r="A8086" s="128">
        <v>2013</v>
      </c>
      <c r="B8086" s="128" t="s">
        <v>137</v>
      </c>
      <c r="C8086" s="128" t="s">
        <v>23</v>
      </c>
      <c r="D8086" s="128" t="s">
        <v>77</v>
      </c>
      <c r="E8086" s="128" t="s">
        <v>132</v>
      </c>
      <c r="F8086" s="128">
        <v>420123.75</v>
      </c>
      <c r="G8086" s="128">
        <v>282239.01</v>
      </c>
      <c r="H8086" s="128">
        <v>119086.63</v>
      </c>
      <c r="I8086" s="128">
        <v>2059</v>
      </c>
    </row>
    <row r="8087" spans="1:9" ht="13.5">
      <c r="A8087" s="128">
        <v>2013</v>
      </c>
      <c r="B8087" s="128" t="s">
        <v>137</v>
      </c>
      <c r="C8087" s="128" t="s">
        <v>23</v>
      </c>
      <c r="D8087" s="128" t="s">
        <v>77</v>
      </c>
      <c r="E8087" s="128" t="s">
        <v>133</v>
      </c>
      <c r="F8087" s="128">
        <v>655807.09</v>
      </c>
      <c r="G8087" s="128">
        <v>357249.07</v>
      </c>
      <c r="H8087" s="128">
        <v>235099.01</v>
      </c>
      <c r="I8087" s="128">
        <v>2993</v>
      </c>
    </row>
    <row r="8088" spans="1:9" ht="13.5">
      <c r="A8088" s="128">
        <v>2013</v>
      </c>
      <c r="B8088" s="128" t="s">
        <v>137</v>
      </c>
      <c r="C8088" s="128" t="s">
        <v>23</v>
      </c>
      <c r="D8088" s="128" t="s">
        <v>77</v>
      </c>
      <c r="E8088" s="128" t="s">
        <v>134</v>
      </c>
      <c r="F8088" s="128">
        <v>2684890.89</v>
      </c>
      <c r="G8088" s="128">
        <v>1132223.6000000001</v>
      </c>
      <c r="H8088" s="128">
        <v>1114403.1299999999</v>
      </c>
      <c r="I8088" s="128">
        <v>4073</v>
      </c>
    </row>
    <row r="8089" spans="1:9" ht="13.5">
      <c r="A8089" s="128">
        <v>2013</v>
      </c>
      <c r="B8089" s="128" t="s">
        <v>137</v>
      </c>
      <c r="C8089" s="128" t="s">
        <v>23</v>
      </c>
      <c r="D8089" s="128" t="s">
        <v>77</v>
      </c>
      <c r="E8089" s="128" t="s">
        <v>135</v>
      </c>
      <c r="F8089" s="128">
        <v>1271994.99</v>
      </c>
      <c r="G8089" s="128">
        <v>371796.7</v>
      </c>
      <c r="H8089" s="128">
        <v>417024.4</v>
      </c>
      <c r="I8089" s="128">
        <v>3608</v>
      </c>
    </row>
    <row r="8090" spans="1:9" ht="13.5">
      <c r="A8090" s="128">
        <v>2013</v>
      </c>
      <c r="B8090" s="128" t="s">
        <v>137</v>
      </c>
      <c r="C8090" s="128" t="s">
        <v>23</v>
      </c>
      <c r="D8090" s="128" t="s">
        <v>76</v>
      </c>
      <c r="E8090" s="128" t="s">
        <v>136</v>
      </c>
      <c r="F8090" s="128">
        <v>4298533.46</v>
      </c>
      <c r="G8090" s="128">
        <v>3230213.21</v>
      </c>
      <c r="H8090" s="128">
        <v>1068357.79</v>
      </c>
      <c r="I8090" s="128">
        <v>62686</v>
      </c>
    </row>
    <row r="8091" spans="1:9" ht="13.5">
      <c r="A8091" s="128">
        <v>2013</v>
      </c>
      <c r="B8091" s="128" t="s">
        <v>137</v>
      </c>
      <c r="C8091" s="128" t="s">
        <v>23</v>
      </c>
      <c r="D8091" s="128" t="s">
        <v>76</v>
      </c>
      <c r="E8091" s="128" t="s">
        <v>132</v>
      </c>
      <c r="F8091" s="128">
        <v>9668890.8000000007</v>
      </c>
      <c r="G8091" s="128">
        <v>6229811.0700000003</v>
      </c>
      <c r="H8091" s="128">
        <v>3439056.5</v>
      </c>
      <c r="I8091" s="128">
        <v>92989</v>
      </c>
    </row>
    <row r="8092" spans="1:9" ht="13.5">
      <c r="A8092" s="128">
        <v>2013</v>
      </c>
      <c r="B8092" s="128" t="s">
        <v>137</v>
      </c>
      <c r="C8092" s="128" t="s">
        <v>23</v>
      </c>
      <c r="D8092" s="128" t="s">
        <v>76</v>
      </c>
      <c r="E8092" s="128" t="s">
        <v>133</v>
      </c>
      <c r="F8092" s="128">
        <v>22170550.359999999</v>
      </c>
      <c r="G8092" s="128">
        <v>12172266.35</v>
      </c>
      <c r="H8092" s="128">
        <v>9998230.5</v>
      </c>
      <c r="I8092" s="128">
        <v>189146</v>
      </c>
    </row>
    <row r="8093" spans="1:9" ht="13.5">
      <c r="A8093" s="128">
        <v>2013</v>
      </c>
      <c r="B8093" s="128" t="s">
        <v>137</v>
      </c>
      <c r="C8093" s="128" t="s">
        <v>23</v>
      </c>
      <c r="D8093" s="128" t="s">
        <v>76</v>
      </c>
      <c r="E8093" s="128" t="s">
        <v>134</v>
      </c>
      <c r="F8093" s="128">
        <v>39485536.75</v>
      </c>
      <c r="G8093" s="128">
        <v>17752223.609999999</v>
      </c>
      <c r="H8093" s="128">
        <v>21733295.100000001</v>
      </c>
      <c r="I8093" s="128">
        <v>166566</v>
      </c>
    </row>
    <row r="8094" spans="1:9" ht="13.5">
      <c r="A8094" s="128">
        <v>2013</v>
      </c>
      <c r="B8094" s="128" t="s">
        <v>137</v>
      </c>
      <c r="C8094" s="128" t="s">
        <v>23</v>
      </c>
      <c r="D8094" s="128" t="s">
        <v>76</v>
      </c>
      <c r="E8094" s="128" t="s">
        <v>135</v>
      </c>
      <c r="F8094" s="128">
        <v>2044464.53</v>
      </c>
      <c r="G8094" s="128">
        <v>580993.38</v>
      </c>
      <c r="H8094" s="128">
        <v>1463471.15</v>
      </c>
      <c r="I8094" s="128">
        <v>4071</v>
      </c>
    </row>
    <row r="8095" spans="1:9" ht="13.5">
      <c r="A8095" s="128">
        <v>2013</v>
      </c>
      <c r="B8095" s="128" t="s">
        <v>137</v>
      </c>
      <c r="C8095" s="128" t="s">
        <v>24</v>
      </c>
      <c r="D8095" s="128" t="s">
        <v>79</v>
      </c>
      <c r="E8095" s="128" t="s">
        <v>136</v>
      </c>
      <c r="F8095" s="128">
        <v>2501549.38</v>
      </c>
      <c r="G8095" s="128">
        <v>1879361.35</v>
      </c>
      <c r="H8095" s="128">
        <v>621022.04</v>
      </c>
      <c r="I8095" s="128">
        <v>46311</v>
      </c>
    </row>
    <row r="8096" spans="1:9" ht="13.5">
      <c r="A8096" s="128">
        <v>2013</v>
      </c>
      <c r="B8096" s="128" t="s">
        <v>137</v>
      </c>
      <c r="C8096" s="128" t="s">
        <v>24</v>
      </c>
      <c r="D8096" s="128" t="s">
        <v>79</v>
      </c>
      <c r="E8096" s="128" t="s">
        <v>132</v>
      </c>
      <c r="F8096" s="128">
        <v>319585.5</v>
      </c>
      <c r="G8096" s="128">
        <v>214852.66</v>
      </c>
      <c r="H8096" s="128">
        <v>74915.17</v>
      </c>
      <c r="I8096" s="128">
        <v>2192</v>
      </c>
    </row>
    <row r="8097" spans="1:9" ht="13.5">
      <c r="A8097" s="128">
        <v>2013</v>
      </c>
      <c r="B8097" s="128" t="s">
        <v>137</v>
      </c>
      <c r="C8097" s="128" t="s">
        <v>24</v>
      </c>
      <c r="D8097" s="128" t="s">
        <v>79</v>
      </c>
      <c r="E8097" s="128" t="s">
        <v>133</v>
      </c>
      <c r="F8097" s="128">
        <v>1019785.87</v>
      </c>
      <c r="G8097" s="128">
        <v>561995.07999999996</v>
      </c>
      <c r="H8097" s="128">
        <v>215950.72</v>
      </c>
      <c r="I8097" s="128">
        <v>4032</v>
      </c>
    </row>
    <row r="8098" spans="1:9" ht="13.5">
      <c r="A8098" s="128">
        <v>2013</v>
      </c>
      <c r="B8098" s="128" t="s">
        <v>137</v>
      </c>
      <c r="C8098" s="128" t="s">
        <v>24</v>
      </c>
      <c r="D8098" s="128" t="s">
        <v>79</v>
      </c>
      <c r="E8098" s="128" t="s">
        <v>134</v>
      </c>
      <c r="F8098" s="128">
        <v>2705466.79</v>
      </c>
      <c r="G8098" s="128">
        <v>1174787.3500000001</v>
      </c>
      <c r="H8098" s="128">
        <v>437717.72</v>
      </c>
      <c r="I8098" s="128">
        <v>8102</v>
      </c>
    </row>
    <row r="8099" spans="1:9" ht="13.5">
      <c r="A8099" s="128">
        <v>2013</v>
      </c>
      <c r="B8099" s="128" t="s">
        <v>137</v>
      </c>
      <c r="C8099" s="128" t="s">
        <v>24</v>
      </c>
      <c r="D8099" s="128" t="s">
        <v>79</v>
      </c>
      <c r="E8099" s="128" t="s">
        <v>135</v>
      </c>
      <c r="F8099" s="128">
        <v>9015583.8000000007</v>
      </c>
      <c r="G8099" s="128">
        <v>2278440.1</v>
      </c>
      <c r="H8099" s="128">
        <v>771621.3</v>
      </c>
      <c r="I8099" s="128">
        <v>22807</v>
      </c>
    </row>
    <row r="8100" spans="1:9" ht="13.5">
      <c r="A8100" s="128">
        <v>2013</v>
      </c>
      <c r="B8100" s="128" t="s">
        <v>137</v>
      </c>
      <c r="C8100" s="128" t="s">
        <v>24</v>
      </c>
      <c r="D8100" s="128" t="s">
        <v>77</v>
      </c>
      <c r="E8100" s="128" t="s">
        <v>132</v>
      </c>
      <c r="F8100" s="128">
        <v>2666177.2999999998</v>
      </c>
      <c r="G8100" s="128">
        <v>1843266.3</v>
      </c>
      <c r="H8100" s="128">
        <v>789003.46</v>
      </c>
      <c r="I8100" s="128">
        <v>14951</v>
      </c>
    </row>
    <row r="8101" spans="1:9" ht="13.5">
      <c r="A8101" s="128">
        <v>2013</v>
      </c>
      <c r="B8101" s="128" t="s">
        <v>137</v>
      </c>
      <c r="C8101" s="128" t="s">
        <v>24</v>
      </c>
      <c r="D8101" s="128" t="s">
        <v>77</v>
      </c>
      <c r="E8101" s="128" t="s">
        <v>133</v>
      </c>
      <c r="F8101" s="128">
        <v>3920264.54</v>
      </c>
      <c r="G8101" s="128">
        <v>2090876.53</v>
      </c>
      <c r="H8101" s="128">
        <v>1588539.64</v>
      </c>
      <c r="I8101" s="128">
        <v>29584</v>
      </c>
    </row>
    <row r="8102" spans="1:9" ht="13.5">
      <c r="A8102" s="128">
        <v>2013</v>
      </c>
      <c r="B8102" s="128" t="s">
        <v>137</v>
      </c>
      <c r="C8102" s="128" t="s">
        <v>24</v>
      </c>
      <c r="D8102" s="128" t="s">
        <v>77</v>
      </c>
      <c r="E8102" s="128" t="s">
        <v>134</v>
      </c>
      <c r="F8102" s="128">
        <v>7571117.1600000001</v>
      </c>
      <c r="G8102" s="128">
        <v>3339831.93</v>
      </c>
      <c r="H8102" s="128">
        <v>2514757.4700000002</v>
      </c>
      <c r="I8102" s="128">
        <v>15566</v>
      </c>
    </row>
    <row r="8103" spans="1:9" ht="13.5">
      <c r="A8103" s="128">
        <v>2013</v>
      </c>
      <c r="B8103" s="128" t="s">
        <v>137</v>
      </c>
      <c r="C8103" s="128" t="s">
        <v>24</v>
      </c>
      <c r="D8103" s="128" t="s">
        <v>77</v>
      </c>
      <c r="E8103" s="128" t="s">
        <v>135</v>
      </c>
      <c r="F8103" s="128">
        <v>11629708.140000001</v>
      </c>
      <c r="G8103" s="128">
        <v>3139554.2</v>
      </c>
      <c r="H8103" s="128">
        <v>1996387.4</v>
      </c>
      <c r="I8103" s="128">
        <v>23144</v>
      </c>
    </row>
    <row r="8104" spans="1:9" ht="13.5">
      <c r="A8104" s="128">
        <v>2013</v>
      </c>
      <c r="B8104" s="128" t="s">
        <v>137</v>
      </c>
      <c r="C8104" s="128" t="s">
        <v>24</v>
      </c>
      <c r="D8104" s="128" t="s">
        <v>76</v>
      </c>
      <c r="E8104" s="128" t="s">
        <v>136</v>
      </c>
      <c r="F8104" s="128">
        <v>1424717.79</v>
      </c>
      <c r="G8104" s="128">
        <v>1079610.6399999999</v>
      </c>
      <c r="H8104" s="128">
        <v>345107.04</v>
      </c>
      <c r="I8104" s="128">
        <v>13779</v>
      </c>
    </row>
    <row r="8105" spans="1:9" ht="13.5">
      <c r="A8105" s="128">
        <v>2013</v>
      </c>
      <c r="B8105" s="128" t="s">
        <v>137</v>
      </c>
      <c r="C8105" s="128" t="s">
        <v>24</v>
      </c>
      <c r="D8105" s="128" t="s">
        <v>76</v>
      </c>
      <c r="E8105" s="128" t="s">
        <v>132</v>
      </c>
      <c r="F8105" s="128">
        <v>7599409.25</v>
      </c>
      <c r="G8105" s="128">
        <v>4884556.91</v>
      </c>
      <c r="H8105" s="128">
        <v>2714842.73</v>
      </c>
      <c r="I8105" s="128">
        <v>64101</v>
      </c>
    </row>
    <row r="8106" spans="1:9" ht="13.5">
      <c r="A8106" s="128">
        <v>2013</v>
      </c>
      <c r="B8106" s="128" t="s">
        <v>137</v>
      </c>
      <c r="C8106" s="128" t="s">
        <v>24</v>
      </c>
      <c r="D8106" s="128" t="s">
        <v>76</v>
      </c>
      <c r="E8106" s="128" t="s">
        <v>133</v>
      </c>
      <c r="F8106" s="128">
        <v>35876034.759999998</v>
      </c>
      <c r="G8106" s="128">
        <v>19840666.719999999</v>
      </c>
      <c r="H8106" s="128">
        <v>16035359.050000001</v>
      </c>
      <c r="I8106" s="128">
        <v>263272</v>
      </c>
    </row>
    <row r="8107" spans="1:9" ht="13.5">
      <c r="A8107" s="128">
        <v>2013</v>
      </c>
      <c r="B8107" s="128" t="s">
        <v>137</v>
      </c>
      <c r="C8107" s="128" t="s">
        <v>24</v>
      </c>
      <c r="D8107" s="128" t="s">
        <v>76</v>
      </c>
      <c r="E8107" s="128" t="s">
        <v>134</v>
      </c>
      <c r="F8107" s="128">
        <v>42674598.939999998</v>
      </c>
      <c r="G8107" s="128">
        <v>18920094.690000001</v>
      </c>
      <c r="H8107" s="128">
        <v>23754492.23</v>
      </c>
      <c r="I8107" s="128">
        <v>199908</v>
      </c>
    </row>
    <row r="8108" spans="1:9" ht="13.5">
      <c r="A8108" s="128">
        <v>2013</v>
      </c>
      <c r="B8108" s="128" t="s">
        <v>137</v>
      </c>
      <c r="C8108" s="128" t="s">
        <v>24</v>
      </c>
      <c r="D8108" s="128" t="s">
        <v>76</v>
      </c>
      <c r="E8108" s="128" t="s">
        <v>135</v>
      </c>
      <c r="F8108" s="128">
        <v>3643052.34</v>
      </c>
      <c r="G8108" s="128">
        <v>959931.12</v>
      </c>
      <c r="H8108" s="128">
        <v>2683121.02</v>
      </c>
      <c r="I8108" s="128">
        <v>2823</v>
      </c>
    </row>
    <row r="8109" spans="1:9" ht="13.5">
      <c r="A8109" s="128">
        <v>2013</v>
      </c>
      <c r="B8109" s="128" t="s">
        <v>137</v>
      </c>
      <c r="C8109" s="128" t="s">
        <v>25</v>
      </c>
      <c r="D8109" s="128" t="s">
        <v>79</v>
      </c>
      <c r="E8109" s="128" t="s">
        <v>136</v>
      </c>
      <c r="F8109" s="128">
        <v>588715.87</v>
      </c>
      <c r="G8109" s="128">
        <v>443237.12</v>
      </c>
      <c r="H8109" s="128">
        <v>145456.75</v>
      </c>
      <c r="I8109" s="128">
        <v>8309</v>
      </c>
    </row>
    <row r="8110" spans="1:9" ht="13.5">
      <c r="A8110" s="128">
        <v>2013</v>
      </c>
      <c r="B8110" s="128" t="s">
        <v>137</v>
      </c>
      <c r="C8110" s="128" t="s">
        <v>25</v>
      </c>
      <c r="D8110" s="128" t="s">
        <v>79</v>
      </c>
      <c r="E8110" s="128" t="s">
        <v>132</v>
      </c>
      <c r="F8110" s="128">
        <v>117202.94</v>
      </c>
      <c r="G8110" s="128">
        <v>77963.600000000006</v>
      </c>
      <c r="H8110" s="128">
        <v>32107.65</v>
      </c>
      <c r="I8110" s="128">
        <v>1042</v>
      </c>
    </row>
    <row r="8111" spans="1:9" ht="13.5">
      <c r="A8111" s="128">
        <v>2013</v>
      </c>
      <c r="B8111" s="128" t="s">
        <v>137</v>
      </c>
      <c r="C8111" s="128" t="s">
        <v>25</v>
      </c>
      <c r="D8111" s="128" t="s">
        <v>79</v>
      </c>
      <c r="E8111" s="128" t="s">
        <v>133</v>
      </c>
      <c r="F8111" s="128">
        <v>169163.67</v>
      </c>
      <c r="G8111" s="128">
        <v>90547.94</v>
      </c>
      <c r="H8111" s="128">
        <v>51605.7</v>
      </c>
      <c r="I8111" s="128">
        <v>480</v>
      </c>
    </row>
    <row r="8112" spans="1:9" ht="13.5">
      <c r="A8112" s="128">
        <v>2013</v>
      </c>
      <c r="B8112" s="128" t="s">
        <v>137</v>
      </c>
      <c r="C8112" s="128" t="s">
        <v>25</v>
      </c>
      <c r="D8112" s="128" t="s">
        <v>79</v>
      </c>
      <c r="E8112" s="128" t="s">
        <v>134</v>
      </c>
      <c r="F8112" s="128">
        <v>720193.28</v>
      </c>
      <c r="G8112" s="128">
        <v>315220.62</v>
      </c>
      <c r="H8112" s="128">
        <v>174096.44</v>
      </c>
      <c r="I8112" s="128">
        <v>2843</v>
      </c>
    </row>
    <row r="8113" spans="1:9" ht="13.5">
      <c r="A8113" s="128">
        <v>2013</v>
      </c>
      <c r="B8113" s="128" t="s">
        <v>137</v>
      </c>
      <c r="C8113" s="128" t="s">
        <v>25</v>
      </c>
      <c r="D8113" s="128" t="s">
        <v>79</v>
      </c>
      <c r="E8113" s="128" t="s">
        <v>135</v>
      </c>
      <c r="F8113" s="128">
        <v>2064983.59</v>
      </c>
      <c r="G8113" s="128">
        <v>492719.69</v>
      </c>
      <c r="H8113" s="128">
        <v>170051.3</v>
      </c>
      <c r="I8113" s="128">
        <v>3458</v>
      </c>
    </row>
    <row r="8114" spans="1:9" ht="13.5">
      <c r="A8114" s="128">
        <v>2013</v>
      </c>
      <c r="B8114" s="128" t="s">
        <v>137</v>
      </c>
      <c r="C8114" s="128" t="s">
        <v>25</v>
      </c>
      <c r="D8114" s="128" t="s">
        <v>77</v>
      </c>
      <c r="E8114" s="128" t="s">
        <v>132</v>
      </c>
      <c r="F8114" s="128">
        <v>226823.2</v>
      </c>
      <c r="G8114" s="128">
        <v>153338.71</v>
      </c>
      <c r="H8114" s="128">
        <v>63560.58</v>
      </c>
      <c r="I8114" s="128">
        <v>1198</v>
      </c>
    </row>
    <row r="8115" spans="1:9" ht="13.5">
      <c r="A8115" s="128">
        <v>2013</v>
      </c>
      <c r="B8115" s="128" t="s">
        <v>137</v>
      </c>
      <c r="C8115" s="128" t="s">
        <v>25</v>
      </c>
      <c r="D8115" s="128" t="s">
        <v>77</v>
      </c>
      <c r="E8115" s="128" t="s">
        <v>133</v>
      </c>
      <c r="F8115" s="128">
        <v>-116592.59</v>
      </c>
      <c r="G8115" s="128">
        <v>-76615.929999999993</v>
      </c>
      <c r="H8115" s="128">
        <v>17122.91</v>
      </c>
      <c r="I8115" s="128">
        <v>-6606</v>
      </c>
    </row>
    <row r="8116" spans="1:9" ht="13.5">
      <c r="A8116" s="128">
        <v>2013</v>
      </c>
      <c r="B8116" s="128" t="s">
        <v>137</v>
      </c>
      <c r="C8116" s="128" t="s">
        <v>25</v>
      </c>
      <c r="D8116" s="128" t="s">
        <v>77</v>
      </c>
      <c r="E8116" s="128" t="s">
        <v>134</v>
      </c>
      <c r="F8116" s="128">
        <v>692748.54</v>
      </c>
      <c r="G8116" s="128">
        <v>298304.15999999997</v>
      </c>
      <c r="H8116" s="128">
        <v>300895.34000000003</v>
      </c>
      <c r="I8116" s="128">
        <v>1752</v>
      </c>
    </row>
    <row r="8117" spans="1:9" ht="13.5">
      <c r="A8117" s="128">
        <v>2013</v>
      </c>
      <c r="B8117" s="128" t="s">
        <v>137</v>
      </c>
      <c r="C8117" s="128" t="s">
        <v>25</v>
      </c>
      <c r="D8117" s="128" t="s">
        <v>77</v>
      </c>
      <c r="E8117" s="128" t="s">
        <v>135</v>
      </c>
      <c r="F8117" s="128">
        <v>1124886.67</v>
      </c>
      <c r="G8117" s="128">
        <v>333248.57</v>
      </c>
      <c r="H8117" s="128">
        <v>390835.95</v>
      </c>
      <c r="I8117" s="128">
        <v>4144</v>
      </c>
    </row>
    <row r="8118" spans="1:9" ht="13.5">
      <c r="A8118" s="128">
        <v>2013</v>
      </c>
      <c r="B8118" s="128" t="s">
        <v>137</v>
      </c>
      <c r="C8118" s="128" t="s">
        <v>25</v>
      </c>
      <c r="D8118" s="128" t="s">
        <v>76</v>
      </c>
      <c r="E8118" s="128" t="s">
        <v>136</v>
      </c>
      <c r="F8118" s="128">
        <v>1804192.4</v>
      </c>
      <c r="G8118" s="128">
        <v>1355158.42</v>
      </c>
      <c r="H8118" s="128">
        <v>449034.42</v>
      </c>
      <c r="I8118" s="128">
        <v>28852</v>
      </c>
    </row>
    <row r="8119" spans="1:9" ht="13.5">
      <c r="A8119" s="128">
        <v>2013</v>
      </c>
      <c r="B8119" s="128" t="s">
        <v>137</v>
      </c>
      <c r="C8119" s="128" t="s">
        <v>25</v>
      </c>
      <c r="D8119" s="128" t="s">
        <v>76</v>
      </c>
      <c r="E8119" s="128" t="s">
        <v>132</v>
      </c>
      <c r="F8119" s="128">
        <v>3528269.78</v>
      </c>
      <c r="G8119" s="128">
        <v>2232724.02</v>
      </c>
      <c r="H8119" s="128">
        <v>1295545.24</v>
      </c>
      <c r="I8119" s="128">
        <v>24613</v>
      </c>
    </row>
    <row r="8120" spans="1:9" ht="13.5">
      <c r="A8120" s="128">
        <v>2013</v>
      </c>
      <c r="B8120" s="128" t="s">
        <v>137</v>
      </c>
      <c r="C8120" s="128" t="s">
        <v>25</v>
      </c>
      <c r="D8120" s="128" t="s">
        <v>76</v>
      </c>
      <c r="E8120" s="128" t="s">
        <v>133</v>
      </c>
      <c r="F8120" s="128">
        <v>8847682.0199999996</v>
      </c>
      <c r="G8120" s="128">
        <v>4853258.1399999997</v>
      </c>
      <c r="H8120" s="128">
        <v>3994421.1</v>
      </c>
      <c r="I8120" s="128">
        <v>59439</v>
      </c>
    </row>
    <row r="8121" spans="1:9" ht="13.5">
      <c r="A8121" s="128">
        <v>2013</v>
      </c>
      <c r="B8121" s="128" t="s">
        <v>137</v>
      </c>
      <c r="C8121" s="128" t="s">
        <v>25</v>
      </c>
      <c r="D8121" s="128" t="s">
        <v>76</v>
      </c>
      <c r="E8121" s="128" t="s">
        <v>134</v>
      </c>
      <c r="F8121" s="128">
        <v>7494162.6799999997</v>
      </c>
      <c r="G8121" s="128">
        <v>3423783.12</v>
      </c>
      <c r="H8121" s="128">
        <v>4070378.23</v>
      </c>
      <c r="I8121" s="128">
        <v>40803</v>
      </c>
    </row>
    <row r="8122" spans="1:9" ht="13.5">
      <c r="A8122" s="128">
        <v>2013</v>
      </c>
      <c r="B8122" s="128" t="s">
        <v>137</v>
      </c>
      <c r="C8122" s="128" t="s">
        <v>25</v>
      </c>
      <c r="D8122" s="128" t="s">
        <v>76</v>
      </c>
      <c r="E8122" s="128" t="s">
        <v>135</v>
      </c>
      <c r="F8122" s="128">
        <v>561006.32999999996</v>
      </c>
      <c r="G8122" s="128">
        <v>161809.70000000001</v>
      </c>
      <c r="H8122" s="128">
        <v>399196.63</v>
      </c>
      <c r="I8122" s="128">
        <v>638</v>
      </c>
    </row>
    <row r="8123" spans="1:9" ht="13.5">
      <c r="A8123" s="128">
        <v>2013</v>
      </c>
      <c r="B8123" s="128" t="s">
        <v>137</v>
      </c>
      <c r="C8123" s="128" t="s">
        <v>26</v>
      </c>
      <c r="D8123" s="128" t="s">
        <v>79</v>
      </c>
      <c r="E8123" s="128" t="s">
        <v>136</v>
      </c>
      <c r="F8123" s="128">
        <v>948398.78</v>
      </c>
      <c r="G8123" s="128">
        <v>713273.23</v>
      </c>
      <c r="H8123" s="128">
        <v>234868.44</v>
      </c>
      <c r="I8123" s="128">
        <v>9268</v>
      </c>
    </row>
    <row r="8124" spans="1:9" ht="13.5">
      <c r="A8124" s="128">
        <v>2013</v>
      </c>
      <c r="B8124" s="128" t="s">
        <v>137</v>
      </c>
      <c r="C8124" s="128" t="s">
        <v>26</v>
      </c>
      <c r="D8124" s="128" t="s">
        <v>79</v>
      </c>
      <c r="E8124" s="128" t="s">
        <v>132</v>
      </c>
      <c r="F8124" s="128">
        <v>76580.179999999993</v>
      </c>
      <c r="G8124" s="128">
        <v>49410.5</v>
      </c>
      <c r="H8124" s="128">
        <v>18107.599999999999</v>
      </c>
      <c r="I8124" s="128">
        <v>604</v>
      </c>
    </row>
    <row r="8125" spans="1:9" ht="13.5">
      <c r="A8125" s="128">
        <v>2013</v>
      </c>
      <c r="B8125" s="128" t="s">
        <v>137</v>
      </c>
      <c r="C8125" s="128" t="s">
        <v>26</v>
      </c>
      <c r="D8125" s="128" t="s">
        <v>79</v>
      </c>
      <c r="E8125" s="128" t="s">
        <v>133</v>
      </c>
      <c r="F8125" s="128">
        <v>153941.66</v>
      </c>
      <c r="G8125" s="128">
        <v>84088.63</v>
      </c>
      <c r="H8125" s="128">
        <v>31946.5</v>
      </c>
      <c r="I8125" s="128">
        <v>631</v>
      </c>
    </row>
    <row r="8126" spans="1:9" ht="13.5">
      <c r="A8126" s="128">
        <v>2013</v>
      </c>
      <c r="B8126" s="128" t="s">
        <v>137</v>
      </c>
      <c r="C8126" s="128" t="s">
        <v>26</v>
      </c>
      <c r="D8126" s="128" t="s">
        <v>79</v>
      </c>
      <c r="E8126" s="128" t="s">
        <v>134</v>
      </c>
      <c r="F8126" s="128">
        <v>791618.61</v>
      </c>
      <c r="G8126" s="128">
        <v>331453.42</v>
      </c>
      <c r="H8126" s="128">
        <v>119218.55</v>
      </c>
      <c r="I8126" s="128">
        <v>2938</v>
      </c>
    </row>
    <row r="8127" spans="1:9" ht="13.5">
      <c r="A8127" s="128">
        <v>2013</v>
      </c>
      <c r="B8127" s="128" t="s">
        <v>137</v>
      </c>
      <c r="C8127" s="128" t="s">
        <v>26</v>
      </c>
      <c r="D8127" s="128" t="s">
        <v>79</v>
      </c>
      <c r="E8127" s="128" t="s">
        <v>135</v>
      </c>
      <c r="F8127" s="128">
        <v>7963133.7199999997</v>
      </c>
      <c r="G8127" s="128">
        <v>1953597.99</v>
      </c>
      <c r="H8127" s="128">
        <v>652257.9</v>
      </c>
      <c r="I8127" s="128">
        <v>11715</v>
      </c>
    </row>
    <row r="8128" spans="1:9" ht="13.5">
      <c r="A8128" s="128">
        <v>2013</v>
      </c>
      <c r="B8128" s="128" t="s">
        <v>137</v>
      </c>
      <c r="C8128" s="128" t="s">
        <v>26</v>
      </c>
      <c r="D8128" s="128" t="s">
        <v>77</v>
      </c>
      <c r="E8128" s="128" t="s">
        <v>132</v>
      </c>
      <c r="F8128" s="128">
        <v>39926.93</v>
      </c>
      <c r="G8128" s="128">
        <v>25584.880000000001</v>
      </c>
      <c r="H8128" s="128">
        <v>12767.46</v>
      </c>
      <c r="I8128" s="128">
        <v>142</v>
      </c>
    </row>
    <row r="8129" spans="1:9" ht="13.5">
      <c r="A8129" s="128">
        <v>2013</v>
      </c>
      <c r="B8129" s="128" t="s">
        <v>137</v>
      </c>
      <c r="C8129" s="128" t="s">
        <v>26</v>
      </c>
      <c r="D8129" s="128" t="s">
        <v>77</v>
      </c>
      <c r="E8129" s="128" t="s">
        <v>133</v>
      </c>
      <c r="F8129" s="128">
        <v>94327.31</v>
      </c>
      <c r="G8129" s="128">
        <v>52045.45</v>
      </c>
      <c r="H8129" s="128">
        <v>35622.370000000003</v>
      </c>
      <c r="I8129" s="128">
        <v>323</v>
      </c>
    </row>
    <row r="8130" spans="1:9" ht="13.5">
      <c r="A8130" s="128">
        <v>2013</v>
      </c>
      <c r="B8130" s="128" t="s">
        <v>137</v>
      </c>
      <c r="C8130" s="128" t="s">
        <v>26</v>
      </c>
      <c r="D8130" s="128" t="s">
        <v>77</v>
      </c>
      <c r="E8130" s="128" t="s">
        <v>134</v>
      </c>
      <c r="F8130" s="128">
        <v>208463.75</v>
      </c>
      <c r="G8130" s="128">
        <v>91912.09</v>
      </c>
      <c r="H8130" s="128">
        <v>92423.86</v>
      </c>
      <c r="I8130" s="128">
        <v>875</v>
      </c>
    </row>
    <row r="8131" spans="1:9" ht="13.5">
      <c r="A8131" s="128">
        <v>2013</v>
      </c>
      <c r="B8131" s="128" t="s">
        <v>137</v>
      </c>
      <c r="C8131" s="128" t="s">
        <v>26</v>
      </c>
      <c r="D8131" s="128" t="s">
        <v>77</v>
      </c>
      <c r="E8131" s="128" t="s">
        <v>135</v>
      </c>
      <c r="F8131" s="128">
        <v>927334.27</v>
      </c>
      <c r="G8131" s="128">
        <v>265128.8</v>
      </c>
      <c r="H8131" s="128">
        <v>280019.15999999997</v>
      </c>
      <c r="I8131" s="128">
        <v>2873</v>
      </c>
    </row>
    <row r="8132" spans="1:9" ht="13.5">
      <c r="A8132" s="128">
        <v>2013</v>
      </c>
      <c r="B8132" s="128" t="s">
        <v>137</v>
      </c>
      <c r="C8132" s="128" t="s">
        <v>26</v>
      </c>
      <c r="D8132" s="128" t="s">
        <v>76</v>
      </c>
      <c r="E8132" s="128" t="s">
        <v>136</v>
      </c>
      <c r="F8132" s="128">
        <v>386109.61</v>
      </c>
      <c r="G8132" s="128">
        <v>290388.15000000002</v>
      </c>
      <c r="H8132" s="128">
        <v>95721.34</v>
      </c>
      <c r="I8132" s="128">
        <v>13513</v>
      </c>
    </row>
    <row r="8133" spans="1:9" ht="13.5">
      <c r="A8133" s="128">
        <v>2013</v>
      </c>
      <c r="B8133" s="128" t="s">
        <v>137</v>
      </c>
      <c r="C8133" s="128" t="s">
        <v>26</v>
      </c>
      <c r="D8133" s="128" t="s">
        <v>76</v>
      </c>
      <c r="E8133" s="128" t="s">
        <v>132</v>
      </c>
      <c r="F8133" s="128">
        <v>1104412.42</v>
      </c>
      <c r="G8133" s="128">
        <v>712389.51</v>
      </c>
      <c r="H8133" s="128">
        <v>392009.94</v>
      </c>
      <c r="I8133" s="128">
        <v>13606</v>
      </c>
    </row>
    <row r="8134" spans="1:9" ht="13.5">
      <c r="A8134" s="128">
        <v>2013</v>
      </c>
      <c r="B8134" s="128" t="s">
        <v>137</v>
      </c>
      <c r="C8134" s="128" t="s">
        <v>26</v>
      </c>
      <c r="D8134" s="128" t="s">
        <v>76</v>
      </c>
      <c r="E8134" s="128" t="s">
        <v>133</v>
      </c>
      <c r="F8134" s="128">
        <v>3047597.62</v>
      </c>
      <c r="G8134" s="128">
        <v>1685696.36</v>
      </c>
      <c r="H8134" s="128">
        <v>1361886.04</v>
      </c>
      <c r="I8134" s="128">
        <v>18479</v>
      </c>
    </row>
    <row r="8135" spans="1:9" ht="13.5">
      <c r="A8135" s="128">
        <v>2013</v>
      </c>
      <c r="B8135" s="128" t="s">
        <v>137</v>
      </c>
      <c r="C8135" s="128" t="s">
        <v>26</v>
      </c>
      <c r="D8135" s="128" t="s">
        <v>76</v>
      </c>
      <c r="E8135" s="128" t="s">
        <v>134</v>
      </c>
      <c r="F8135" s="128">
        <v>2278418.12</v>
      </c>
      <c r="G8135" s="128">
        <v>1041162.79</v>
      </c>
      <c r="H8135" s="128">
        <v>1237193.78</v>
      </c>
      <c r="I8135" s="128">
        <v>15093</v>
      </c>
    </row>
    <row r="8136" spans="1:9" ht="13.5">
      <c r="A8136" s="128">
        <v>2013</v>
      </c>
      <c r="B8136" s="128" t="s">
        <v>137</v>
      </c>
      <c r="C8136" s="128" t="s">
        <v>26</v>
      </c>
      <c r="D8136" s="128" t="s">
        <v>76</v>
      </c>
      <c r="E8136" s="128" t="s">
        <v>135</v>
      </c>
      <c r="F8136" s="128">
        <v>413066.01</v>
      </c>
      <c r="G8136" s="128">
        <v>126208.51</v>
      </c>
      <c r="H8136" s="128">
        <v>286857.5</v>
      </c>
      <c r="I8136" s="128">
        <v>1217</v>
      </c>
    </row>
    <row r="8137" spans="1:9" ht="13.5">
      <c r="A8137" s="128">
        <v>2013</v>
      </c>
      <c r="B8137" s="128" t="s">
        <v>137</v>
      </c>
      <c r="C8137" s="128" t="s">
        <v>27</v>
      </c>
      <c r="D8137" s="128" t="s">
        <v>79</v>
      </c>
      <c r="E8137" s="128" t="s">
        <v>136</v>
      </c>
      <c r="F8137" s="128">
        <v>347975.33</v>
      </c>
      <c r="G8137" s="128">
        <v>261444.51</v>
      </c>
      <c r="H8137" s="128">
        <v>86530.82</v>
      </c>
      <c r="I8137" s="128">
        <v>1345</v>
      </c>
    </row>
    <row r="8138" spans="1:9" ht="13.5">
      <c r="A8138" s="128">
        <v>2013</v>
      </c>
      <c r="B8138" s="128" t="s">
        <v>137</v>
      </c>
      <c r="C8138" s="128" t="s">
        <v>27</v>
      </c>
      <c r="D8138" s="128" t="s">
        <v>79</v>
      </c>
      <c r="E8138" s="128" t="s">
        <v>132</v>
      </c>
      <c r="F8138" s="128">
        <v>42158.26</v>
      </c>
      <c r="G8138" s="128">
        <v>26862.14</v>
      </c>
      <c r="H8138" s="128">
        <v>9760.0499999999993</v>
      </c>
      <c r="I8138" s="128">
        <v>223</v>
      </c>
    </row>
    <row r="8139" spans="1:9" ht="13.5">
      <c r="A8139" s="128">
        <v>2013</v>
      </c>
      <c r="B8139" s="128" t="s">
        <v>137</v>
      </c>
      <c r="C8139" s="128" t="s">
        <v>27</v>
      </c>
      <c r="D8139" s="128" t="s">
        <v>79</v>
      </c>
      <c r="E8139" s="128" t="s">
        <v>133</v>
      </c>
      <c r="F8139" s="128">
        <v>66934.929999999993</v>
      </c>
      <c r="G8139" s="128">
        <v>36688.699999999997</v>
      </c>
      <c r="H8139" s="128">
        <v>18528.2</v>
      </c>
      <c r="I8139" s="128">
        <v>517</v>
      </c>
    </row>
    <row r="8140" spans="1:9" ht="13.5">
      <c r="A8140" s="128">
        <v>2013</v>
      </c>
      <c r="B8140" s="128" t="s">
        <v>137</v>
      </c>
      <c r="C8140" s="128" t="s">
        <v>27</v>
      </c>
      <c r="D8140" s="128" t="s">
        <v>79</v>
      </c>
      <c r="E8140" s="128" t="s">
        <v>134</v>
      </c>
      <c r="F8140" s="128">
        <v>169903.4</v>
      </c>
      <c r="G8140" s="128">
        <v>72991.89</v>
      </c>
      <c r="H8140" s="128">
        <v>32603.25</v>
      </c>
      <c r="I8140" s="128">
        <v>575</v>
      </c>
    </row>
    <row r="8141" spans="1:9" ht="13.5">
      <c r="A8141" s="128">
        <v>2013</v>
      </c>
      <c r="B8141" s="128" t="s">
        <v>137</v>
      </c>
      <c r="C8141" s="128" t="s">
        <v>27</v>
      </c>
      <c r="D8141" s="128" t="s">
        <v>79</v>
      </c>
      <c r="E8141" s="128" t="s">
        <v>135</v>
      </c>
      <c r="F8141" s="128">
        <v>1372848.67</v>
      </c>
      <c r="G8141" s="128">
        <v>358116.92</v>
      </c>
      <c r="H8141" s="128">
        <v>121556.7</v>
      </c>
      <c r="I8141" s="128">
        <v>2048</v>
      </c>
    </row>
    <row r="8142" spans="1:9" ht="13.5">
      <c r="A8142" s="128">
        <v>2013</v>
      </c>
      <c r="B8142" s="128" t="s">
        <v>137</v>
      </c>
      <c r="C8142" s="128" t="s">
        <v>27</v>
      </c>
      <c r="D8142" s="128" t="s">
        <v>77</v>
      </c>
      <c r="E8142" s="128" t="s">
        <v>132</v>
      </c>
      <c r="F8142" s="128">
        <v>21007.07</v>
      </c>
      <c r="G8142" s="128">
        <v>14332.35</v>
      </c>
      <c r="H8142" s="128">
        <v>5781.05</v>
      </c>
      <c r="I8142" s="128">
        <v>93</v>
      </c>
    </row>
    <row r="8143" spans="1:9" ht="13.5">
      <c r="A8143" s="128">
        <v>2013</v>
      </c>
      <c r="B8143" s="128" t="s">
        <v>137</v>
      </c>
      <c r="C8143" s="128" t="s">
        <v>27</v>
      </c>
      <c r="D8143" s="128" t="s">
        <v>77</v>
      </c>
      <c r="E8143" s="128" t="s">
        <v>133</v>
      </c>
      <c r="F8143" s="128">
        <v>54025.9</v>
      </c>
      <c r="G8143" s="128">
        <v>29124.85</v>
      </c>
      <c r="H8143" s="128">
        <v>20537.82</v>
      </c>
      <c r="I8143" s="128">
        <v>182</v>
      </c>
    </row>
    <row r="8144" spans="1:9" ht="13.5">
      <c r="A8144" s="128">
        <v>2013</v>
      </c>
      <c r="B8144" s="128" t="s">
        <v>137</v>
      </c>
      <c r="C8144" s="128" t="s">
        <v>27</v>
      </c>
      <c r="D8144" s="128" t="s">
        <v>77</v>
      </c>
      <c r="E8144" s="128" t="s">
        <v>134</v>
      </c>
      <c r="F8144" s="128">
        <v>176938.56</v>
      </c>
      <c r="G8144" s="128">
        <v>79327.8</v>
      </c>
      <c r="H8144" s="128">
        <v>74014.27</v>
      </c>
      <c r="I8144" s="128">
        <v>345</v>
      </c>
    </row>
    <row r="8145" spans="1:9" ht="13.5">
      <c r="A8145" s="128">
        <v>2013</v>
      </c>
      <c r="B8145" s="128" t="s">
        <v>137</v>
      </c>
      <c r="C8145" s="128" t="s">
        <v>27</v>
      </c>
      <c r="D8145" s="128" t="s">
        <v>77</v>
      </c>
      <c r="E8145" s="128" t="s">
        <v>135</v>
      </c>
      <c r="F8145" s="128">
        <v>311828.36</v>
      </c>
      <c r="G8145" s="128">
        <v>84634.2</v>
      </c>
      <c r="H8145" s="128">
        <v>96125.63</v>
      </c>
      <c r="I8145" s="128">
        <v>981</v>
      </c>
    </row>
    <row r="8146" spans="1:9" ht="13.5">
      <c r="A8146" s="128">
        <v>2013</v>
      </c>
      <c r="B8146" s="128" t="s">
        <v>137</v>
      </c>
      <c r="C8146" s="128" t="s">
        <v>27</v>
      </c>
      <c r="D8146" s="128" t="s">
        <v>76</v>
      </c>
      <c r="E8146" s="128" t="s">
        <v>136</v>
      </c>
      <c r="F8146" s="128">
        <v>144981.99</v>
      </c>
      <c r="G8146" s="128">
        <v>109357.29</v>
      </c>
      <c r="H8146" s="128">
        <v>35630.120000000003</v>
      </c>
      <c r="I8146" s="128">
        <v>2024</v>
      </c>
    </row>
    <row r="8147" spans="1:9" ht="13.5">
      <c r="A8147" s="128">
        <v>2013</v>
      </c>
      <c r="B8147" s="128" t="s">
        <v>137</v>
      </c>
      <c r="C8147" s="128" t="s">
        <v>27</v>
      </c>
      <c r="D8147" s="128" t="s">
        <v>76</v>
      </c>
      <c r="E8147" s="128" t="s">
        <v>132</v>
      </c>
      <c r="F8147" s="128">
        <v>386904.78</v>
      </c>
      <c r="G8147" s="128">
        <v>246940.73</v>
      </c>
      <c r="H8147" s="128">
        <v>139963.94</v>
      </c>
      <c r="I8147" s="128">
        <v>3518</v>
      </c>
    </row>
    <row r="8148" spans="1:9" ht="13.5">
      <c r="A8148" s="128">
        <v>2013</v>
      </c>
      <c r="B8148" s="128" t="s">
        <v>137</v>
      </c>
      <c r="C8148" s="128" t="s">
        <v>27</v>
      </c>
      <c r="D8148" s="128" t="s">
        <v>76</v>
      </c>
      <c r="E8148" s="128" t="s">
        <v>133</v>
      </c>
      <c r="F8148" s="128">
        <v>1161948.28</v>
      </c>
      <c r="G8148" s="128">
        <v>638053.27</v>
      </c>
      <c r="H8148" s="128">
        <v>523894.52</v>
      </c>
      <c r="I8148" s="128">
        <v>8175</v>
      </c>
    </row>
    <row r="8149" spans="1:9" ht="13.5">
      <c r="A8149" s="128">
        <v>2013</v>
      </c>
      <c r="B8149" s="128" t="s">
        <v>137</v>
      </c>
      <c r="C8149" s="128" t="s">
        <v>27</v>
      </c>
      <c r="D8149" s="128" t="s">
        <v>76</v>
      </c>
      <c r="E8149" s="128" t="s">
        <v>134</v>
      </c>
      <c r="F8149" s="128">
        <v>1362988.69</v>
      </c>
      <c r="G8149" s="128">
        <v>626222.31999999995</v>
      </c>
      <c r="H8149" s="128">
        <v>736763.75</v>
      </c>
      <c r="I8149" s="128">
        <v>6528</v>
      </c>
    </row>
    <row r="8150" spans="1:9" ht="13.5">
      <c r="A8150" s="128">
        <v>2013</v>
      </c>
      <c r="B8150" s="128" t="s">
        <v>137</v>
      </c>
      <c r="C8150" s="128" t="s">
        <v>27</v>
      </c>
      <c r="D8150" s="128" t="s">
        <v>76</v>
      </c>
      <c r="E8150" s="128" t="s">
        <v>135</v>
      </c>
      <c r="F8150" s="128">
        <v>26600.6</v>
      </c>
      <c r="G8150" s="128">
        <v>8445.0499999999993</v>
      </c>
      <c r="H8150" s="128">
        <v>18155.55</v>
      </c>
      <c r="I8150" s="128">
        <v>64</v>
      </c>
    </row>
    <row r="8151" spans="1:9" ht="13.5">
      <c r="A8151" s="128">
        <v>2014</v>
      </c>
      <c r="B8151" s="128" t="s">
        <v>131</v>
      </c>
      <c r="C8151" s="128" t="s">
        <v>20</v>
      </c>
      <c r="D8151" s="128" t="s">
        <v>79</v>
      </c>
      <c r="E8151" s="128" t="s">
        <v>136</v>
      </c>
      <c r="F8151" s="128">
        <v>40368817.899999999</v>
      </c>
      <c r="G8151" s="128">
        <v>30304182.899999999</v>
      </c>
      <c r="H8151" s="128">
        <v>10045263.84</v>
      </c>
      <c r="I8151" s="128">
        <v>675026</v>
      </c>
    </row>
    <row r="8152" spans="1:9" ht="13.5">
      <c r="A8152" s="128">
        <v>2014</v>
      </c>
      <c r="B8152" s="128" t="s">
        <v>131</v>
      </c>
      <c r="C8152" s="128" t="s">
        <v>20</v>
      </c>
      <c r="D8152" s="128" t="s">
        <v>79</v>
      </c>
      <c r="E8152" s="128" t="s">
        <v>132</v>
      </c>
      <c r="F8152" s="128">
        <v>2975286.18</v>
      </c>
      <c r="G8152" s="128">
        <v>1963629.32</v>
      </c>
      <c r="H8152" s="128">
        <v>831704.38</v>
      </c>
      <c r="I8152" s="128">
        <v>19184</v>
      </c>
    </row>
    <row r="8153" spans="1:9" ht="13.5">
      <c r="A8153" s="128">
        <v>2014</v>
      </c>
      <c r="B8153" s="128" t="s">
        <v>131</v>
      </c>
      <c r="C8153" s="128" t="s">
        <v>20</v>
      </c>
      <c r="D8153" s="128" t="s">
        <v>79</v>
      </c>
      <c r="E8153" s="128" t="s">
        <v>133</v>
      </c>
      <c r="F8153" s="128">
        <v>3900835.38</v>
      </c>
      <c r="G8153" s="128">
        <v>2101364.73</v>
      </c>
      <c r="H8153" s="128">
        <v>1197926.24</v>
      </c>
      <c r="I8153" s="128">
        <v>19529</v>
      </c>
    </row>
    <row r="8154" spans="1:9" ht="13.5">
      <c r="A8154" s="128">
        <v>2014</v>
      </c>
      <c r="B8154" s="128" t="s">
        <v>131</v>
      </c>
      <c r="C8154" s="128" t="s">
        <v>20</v>
      </c>
      <c r="D8154" s="128" t="s">
        <v>79</v>
      </c>
      <c r="E8154" s="128" t="s">
        <v>134</v>
      </c>
      <c r="F8154" s="128">
        <v>13622961.17</v>
      </c>
      <c r="G8154" s="128">
        <v>5893054.1699999999</v>
      </c>
      <c r="H8154" s="128">
        <v>2930118.85</v>
      </c>
      <c r="I8154" s="128">
        <v>78277</v>
      </c>
    </row>
    <row r="8155" spans="1:9" ht="13.5">
      <c r="A8155" s="128">
        <v>2014</v>
      </c>
      <c r="B8155" s="128" t="s">
        <v>131</v>
      </c>
      <c r="C8155" s="128" t="s">
        <v>20</v>
      </c>
      <c r="D8155" s="128" t="s">
        <v>79</v>
      </c>
      <c r="E8155" s="128" t="s">
        <v>135</v>
      </c>
      <c r="F8155" s="128">
        <v>99006623.900000006</v>
      </c>
      <c r="G8155" s="128">
        <v>23821358.219999999</v>
      </c>
      <c r="H8155" s="128">
        <v>8102843.3499999996</v>
      </c>
      <c r="I8155" s="128">
        <v>128909</v>
      </c>
    </row>
    <row r="8156" spans="1:9" ht="13.5">
      <c r="A8156" s="128">
        <v>2014</v>
      </c>
      <c r="B8156" s="128" t="s">
        <v>131</v>
      </c>
      <c r="C8156" s="128" t="s">
        <v>20</v>
      </c>
      <c r="D8156" s="128" t="s">
        <v>77</v>
      </c>
      <c r="E8156" s="128" t="s">
        <v>132</v>
      </c>
      <c r="F8156" s="128">
        <v>1840544.99</v>
      </c>
      <c r="G8156" s="128">
        <v>1237901.8500000001</v>
      </c>
      <c r="H8156" s="128">
        <v>531613.24</v>
      </c>
      <c r="I8156" s="128">
        <v>7588</v>
      </c>
    </row>
    <row r="8157" spans="1:9" ht="13.5">
      <c r="A8157" s="128">
        <v>2014</v>
      </c>
      <c r="B8157" s="128" t="s">
        <v>131</v>
      </c>
      <c r="C8157" s="128" t="s">
        <v>20</v>
      </c>
      <c r="D8157" s="128" t="s">
        <v>77</v>
      </c>
      <c r="E8157" s="128" t="s">
        <v>133</v>
      </c>
      <c r="F8157" s="128">
        <v>2637871.85</v>
      </c>
      <c r="G8157" s="128">
        <v>1412819.63</v>
      </c>
      <c r="H8157" s="128">
        <v>916492.61</v>
      </c>
      <c r="I8157" s="128">
        <v>13452</v>
      </c>
    </row>
    <row r="8158" spans="1:9" ht="13.5">
      <c r="A8158" s="128">
        <v>2014</v>
      </c>
      <c r="B8158" s="128" t="s">
        <v>131</v>
      </c>
      <c r="C8158" s="128" t="s">
        <v>20</v>
      </c>
      <c r="D8158" s="128" t="s">
        <v>77</v>
      </c>
      <c r="E8158" s="128" t="s">
        <v>134</v>
      </c>
      <c r="F8158" s="128">
        <v>6568612.7599999998</v>
      </c>
      <c r="G8158" s="128">
        <v>2858519.37</v>
      </c>
      <c r="H8158" s="128">
        <v>2748368.21</v>
      </c>
      <c r="I8158" s="128">
        <v>17351</v>
      </c>
    </row>
    <row r="8159" spans="1:9" ht="13.5">
      <c r="A8159" s="128">
        <v>2014</v>
      </c>
      <c r="B8159" s="128" t="s">
        <v>131</v>
      </c>
      <c r="C8159" s="128" t="s">
        <v>20</v>
      </c>
      <c r="D8159" s="128" t="s">
        <v>77</v>
      </c>
      <c r="E8159" s="128" t="s">
        <v>135</v>
      </c>
      <c r="F8159" s="128">
        <v>8954711.1699999999</v>
      </c>
      <c r="G8159" s="128">
        <v>2480245.66</v>
      </c>
      <c r="H8159" s="128">
        <v>2667835.75</v>
      </c>
      <c r="I8159" s="128">
        <v>33893</v>
      </c>
    </row>
    <row r="8160" spans="1:9" ht="13.5">
      <c r="A8160" s="128">
        <v>2014</v>
      </c>
      <c r="B8160" s="128" t="s">
        <v>131</v>
      </c>
      <c r="C8160" s="128" t="s">
        <v>20</v>
      </c>
      <c r="D8160" s="128" t="s">
        <v>76</v>
      </c>
      <c r="E8160" s="128" t="s">
        <v>136</v>
      </c>
      <c r="F8160" s="128">
        <v>16458415.9</v>
      </c>
      <c r="G8160" s="128">
        <v>12370891.380000001</v>
      </c>
      <c r="H8160" s="128">
        <v>4087538.87</v>
      </c>
      <c r="I8160" s="128">
        <v>428399</v>
      </c>
    </row>
    <row r="8161" spans="1:9" ht="13.5">
      <c r="A8161" s="128">
        <v>2014</v>
      </c>
      <c r="B8161" s="128" t="s">
        <v>131</v>
      </c>
      <c r="C8161" s="128" t="s">
        <v>20</v>
      </c>
      <c r="D8161" s="128" t="s">
        <v>76</v>
      </c>
      <c r="E8161" s="128" t="s">
        <v>132</v>
      </c>
      <c r="F8161" s="128">
        <v>40531406.439999998</v>
      </c>
      <c r="G8161" s="128">
        <v>25882086.48</v>
      </c>
      <c r="H8161" s="128">
        <v>14649261.41</v>
      </c>
      <c r="I8161" s="128">
        <v>383758</v>
      </c>
    </row>
    <row r="8162" spans="1:9" ht="13.5">
      <c r="A8162" s="128">
        <v>2014</v>
      </c>
      <c r="B8162" s="128" t="s">
        <v>131</v>
      </c>
      <c r="C8162" s="128" t="s">
        <v>20</v>
      </c>
      <c r="D8162" s="128" t="s">
        <v>76</v>
      </c>
      <c r="E8162" s="128" t="s">
        <v>133</v>
      </c>
      <c r="F8162" s="128">
        <v>93198331.390000001</v>
      </c>
      <c r="G8162" s="128">
        <v>51329537.299999997</v>
      </c>
      <c r="H8162" s="128">
        <v>41868772.890000001</v>
      </c>
      <c r="I8162" s="128">
        <v>512103</v>
      </c>
    </row>
    <row r="8163" spans="1:9" ht="13.5">
      <c r="A8163" s="128">
        <v>2014</v>
      </c>
      <c r="B8163" s="128" t="s">
        <v>131</v>
      </c>
      <c r="C8163" s="128" t="s">
        <v>20</v>
      </c>
      <c r="D8163" s="128" t="s">
        <v>76</v>
      </c>
      <c r="E8163" s="128" t="s">
        <v>134</v>
      </c>
      <c r="F8163" s="128">
        <v>113388207.77</v>
      </c>
      <c r="G8163" s="128">
        <v>51627045.229999997</v>
      </c>
      <c r="H8163" s="128">
        <v>61760903.390000001</v>
      </c>
      <c r="I8163" s="128">
        <v>620288</v>
      </c>
    </row>
    <row r="8164" spans="1:9" ht="13.5">
      <c r="A8164" s="128">
        <v>2014</v>
      </c>
      <c r="B8164" s="128" t="s">
        <v>131</v>
      </c>
      <c r="C8164" s="128" t="s">
        <v>20</v>
      </c>
      <c r="D8164" s="128" t="s">
        <v>76</v>
      </c>
      <c r="E8164" s="128" t="s">
        <v>135</v>
      </c>
      <c r="F8164" s="128">
        <v>10708265.42</v>
      </c>
      <c r="G8164" s="128">
        <v>3299989.72</v>
      </c>
      <c r="H8164" s="128">
        <v>7408275.7000000002</v>
      </c>
      <c r="I8164" s="128">
        <v>45990</v>
      </c>
    </row>
    <row r="8165" spans="1:9" ht="13.5">
      <c r="A8165" s="128">
        <v>2014</v>
      </c>
      <c r="B8165" s="128" t="s">
        <v>131</v>
      </c>
      <c r="C8165" s="128" t="s">
        <v>21</v>
      </c>
      <c r="D8165" s="128" t="s">
        <v>79</v>
      </c>
      <c r="E8165" s="128" t="s">
        <v>136</v>
      </c>
      <c r="F8165" s="128">
        <v>8368534.9100000001</v>
      </c>
      <c r="G8165" s="128">
        <v>6289503.1399999997</v>
      </c>
      <c r="H8165" s="128">
        <v>2075069.13</v>
      </c>
      <c r="I8165" s="128">
        <v>83921</v>
      </c>
    </row>
    <row r="8166" spans="1:9" ht="13.5">
      <c r="A8166" s="128">
        <v>2014</v>
      </c>
      <c r="B8166" s="128" t="s">
        <v>131</v>
      </c>
      <c r="C8166" s="128" t="s">
        <v>21</v>
      </c>
      <c r="D8166" s="128" t="s">
        <v>79</v>
      </c>
      <c r="E8166" s="128" t="s">
        <v>132</v>
      </c>
      <c r="F8166" s="128">
        <v>1595634.7</v>
      </c>
      <c r="G8166" s="128">
        <v>1036076.6</v>
      </c>
      <c r="H8166" s="128">
        <v>410269.45</v>
      </c>
      <c r="I8166" s="128">
        <v>8118</v>
      </c>
    </row>
    <row r="8167" spans="1:9" ht="13.5">
      <c r="A8167" s="128">
        <v>2014</v>
      </c>
      <c r="B8167" s="128" t="s">
        <v>131</v>
      </c>
      <c r="C8167" s="128" t="s">
        <v>21</v>
      </c>
      <c r="D8167" s="128" t="s">
        <v>79</v>
      </c>
      <c r="E8167" s="128" t="s">
        <v>133</v>
      </c>
      <c r="F8167" s="128">
        <v>3669573.87</v>
      </c>
      <c r="G8167" s="128">
        <v>2002758.32</v>
      </c>
      <c r="H8167" s="128">
        <v>1309413.44</v>
      </c>
      <c r="I8167" s="128">
        <v>34346</v>
      </c>
    </row>
    <row r="8168" spans="1:9" ht="13.5">
      <c r="A8168" s="128">
        <v>2014</v>
      </c>
      <c r="B8168" s="128" t="s">
        <v>131</v>
      </c>
      <c r="C8168" s="128" t="s">
        <v>21</v>
      </c>
      <c r="D8168" s="128" t="s">
        <v>79</v>
      </c>
      <c r="E8168" s="128" t="s">
        <v>134</v>
      </c>
      <c r="F8168" s="128">
        <v>6788846.0999999996</v>
      </c>
      <c r="G8168" s="128">
        <v>2927501.89</v>
      </c>
      <c r="H8168" s="128">
        <v>2490169.7000000002</v>
      </c>
      <c r="I8168" s="128">
        <v>27687</v>
      </c>
    </row>
    <row r="8169" spans="1:9" ht="13.5">
      <c r="A8169" s="128">
        <v>2014</v>
      </c>
      <c r="B8169" s="128" t="s">
        <v>131</v>
      </c>
      <c r="C8169" s="128" t="s">
        <v>21</v>
      </c>
      <c r="D8169" s="128" t="s">
        <v>79</v>
      </c>
      <c r="E8169" s="128" t="s">
        <v>135</v>
      </c>
      <c r="F8169" s="128">
        <v>23152671.440000001</v>
      </c>
      <c r="G8169" s="128">
        <v>5763974.1100000003</v>
      </c>
      <c r="H8169" s="128">
        <v>2129574.59</v>
      </c>
      <c r="I8169" s="128">
        <v>31395</v>
      </c>
    </row>
    <row r="8170" spans="1:9" ht="13.5">
      <c r="A8170" s="128">
        <v>2014</v>
      </c>
      <c r="B8170" s="128" t="s">
        <v>131</v>
      </c>
      <c r="C8170" s="128" t="s">
        <v>21</v>
      </c>
      <c r="D8170" s="128" t="s">
        <v>77</v>
      </c>
      <c r="E8170" s="128" t="s">
        <v>132</v>
      </c>
      <c r="F8170" s="128">
        <v>2536088.06</v>
      </c>
      <c r="G8170" s="128">
        <v>1697268.39</v>
      </c>
      <c r="H8170" s="128">
        <v>727915</v>
      </c>
      <c r="I8170" s="128">
        <v>13247</v>
      </c>
    </row>
    <row r="8171" spans="1:9" ht="13.5">
      <c r="A8171" s="128">
        <v>2014</v>
      </c>
      <c r="B8171" s="128" t="s">
        <v>131</v>
      </c>
      <c r="C8171" s="128" t="s">
        <v>21</v>
      </c>
      <c r="D8171" s="128" t="s">
        <v>77</v>
      </c>
      <c r="E8171" s="128" t="s">
        <v>133</v>
      </c>
      <c r="F8171" s="128">
        <v>5421973.6100000003</v>
      </c>
      <c r="G8171" s="128">
        <v>2910882.74</v>
      </c>
      <c r="H8171" s="128">
        <v>1776806.29</v>
      </c>
      <c r="I8171" s="128">
        <v>39495</v>
      </c>
    </row>
    <row r="8172" spans="1:9" ht="13.5">
      <c r="A8172" s="128">
        <v>2014</v>
      </c>
      <c r="B8172" s="128" t="s">
        <v>131</v>
      </c>
      <c r="C8172" s="128" t="s">
        <v>21</v>
      </c>
      <c r="D8172" s="128" t="s">
        <v>77</v>
      </c>
      <c r="E8172" s="128" t="s">
        <v>134</v>
      </c>
      <c r="F8172" s="128">
        <v>10036403.189999999</v>
      </c>
      <c r="G8172" s="128">
        <v>4312580.3899999997</v>
      </c>
      <c r="H8172" s="128">
        <v>3520036.16</v>
      </c>
      <c r="I8172" s="128">
        <v>28047</v>
      </c>
    </row>
    <row r="8173" spans="1:9" ht="13.5">
      <c r="A8173" s="128">
        <v>2014</v>
      </c>
      <c r="B8173" s="128" t="s">
        <v>131</v>
      </c>
      <c r="C8173" s="128" t="s">
        <v>21</v>
      </c>
      <c r="D8173" s="128" t="s">
        <v>77</v>
      </c>
      <c r="E8173" s="128" t="s">
        <v>135</v>
      </c>
      <c r="F8173" s="128">
        <v>11624680.82</v>
      </c>
      <c r="G8173" s="128">
        <v>3367110.38</v>
      </c>
      <c r="H8173" s="128">
        <v>3392355.09</v>
      </c>
      <c r="I8173" s="128">
        <v>51404</v>
      </c>
    </row>
    <row r="8174" spans="1:9" ht="13.5">
      <c r="A8174" s="128">
        <v>2014</v>
      </c>
      <c r="B8174" s="128" t="s">
        <v>131</v>
      </c>
      <c r="C8174" s="128" t="s">
        <v>21</v>
      </c>
      <c r="D8174" s="128" t="s">
        <v>76</v>
      </c>
      <c r="E8174" s="128" t="s">
        <v>136</v>
      </c>
      <c r="F8174" s="128">
        <v>18441994.73</v>
      </c>
      <c r="G8174" s="128">
        <v>13867905.84</v>
      </c>
      <c r="H8174" s="128">
        <v>4574089.9400000004</v>
      </c>
      <c r="I8174" s="128">
        <v>365273</v>
      </c>
    </row>
    <row r="8175" spans="1:9" ht="13.5">
      <c r="A8175" s="128">
        <v>2014</v>
      </c>
      <c r="B8175" s="128" t="s">
        <v>131</v>
      </c>
      <c r="C8175" s="128" t="s">
        <v>21</v>
      </c>
      <c r="D8175" s="128" t="s">
        <v>76</v>
      </c>
      <c r="E8175" s="128" t="s">
        <v>132</v>
      </c>
      <c r="F8175" s="128">
        <v>40348492.82</v>
      </c>
      <c r="G8175" s="128">
        <v>25730835.300000001</v>
      </c>
      <c r="H8175" s="128">
        <v>14617540.43</v>
      </c>
      <c r="I8175" s="128">
        <v>340004</v>
      </c>
    </row>
    <row r="8176" spans="1:9" ht="13.5">
      <c r="A8176" s="128">
        <v>2014</v>
      </c>
      <c r="B8176" s="128" t="s">
        <v>131</v>
      </c>
      <c r="C8176" s="128" t="s">
        <v>21</v>
      </c>
      <c r="D8176" s="128" t="s">
        <v>76</v>
      </c>
      <c r="E8176" s="128" t="s">
        <v>133</v>
      </c>
      <c r="F8176" s="128">
        <v>102781642.03</v>
      </c>
      <c r="G8176" s="128">
        <v>56538390.100000001</v>
      </c>
      <c r="H8176" s="128">
        <v>46243199.170000002</v>
      </c>
      <c r="I8176" s="128">
        <v>710687</v>
      </c>
    </row>
    <row r="8177" spans="1:9" ht="13.5">
      <c r="A8177" s="128">
        <v>2014</v>
      </c>
      <c r="B8177" s="128" t="s">
        <v>131</v>
      </c>
      <c r="C8177" s="128" t="s">
        <v>21</v>
      </c>
      <c r="D8177" s="128" t="s">
        <v>76</v>
      </c>
      <c r="E8177" s="128" t="s">
        <v>134</v>
      </c>
      <c r="F8177" s="128">
        <v>106632361.98999999</v>
      </c>
      <c r="G8177" s="128">
        <v>47735754.689999998</v>
      </c>
      <c r="H8177" s="128">
        <v>58896535.119999997</v>
      </c>
      <c r="I8177" s="128">
        <v>560222</v>
      </c>
    </row>
    <row r="8178" spans="1:9" ht="13.5">
      <c r="A8178" s="128">
        <v>2014</v>
      </c>
      <c r="B8178" s="128" t="s">
        <v>131</v>
      </c>
      <c r="C8178" s="128" t="s">
        <v>21</v>
      </c>
      <c r="D8178" s="128" t="s">
        <v>76</v>
      </c>
      <c r="E8178" s="128" t="s">
        <v>135</v>
      </c>
      <c r="F8178" s="128">
        <v>5081730.51</v>
      </c>
      <c r="G8178" s="128">
        <v>1438349.7</v>
      </c>
      <c r="H8178" s="128">
        <v>3643380.33</v>
      </c>
      <c r="I8178" s="128">
        <v>13866</v>
      </c>
    </row>
    <row r="8179" spans="1:9" ht="13.5">
      <c r="A8179" s="128">
        <v>2014</v>
      </c>
      <c r="B8179" s="128" t="s">
        <v>131</v>
      </c>
      <c r="C8179" s="128" t="s">
        <v>22</v>
      </c>
      <c r="D8179" s="128" t="s">
        <v>79</v>
      </c>
      <c r="E8179" s="128" t="s">
        <v>136</v>
      </c>
      <c r="F8179" s="128">
        <v>8195256.9800000004</v>
      </c>
      <c r="G8179" s="128">
        <v>6144141.9100000001</v>
      </c>
      <c r="H8179" s="128">
        <v>2027341.07</v>
      </c>
      <c r="I8179" s="128">
        <v>57113</v>
      </c>
    </row>
    <row r="8180" spans="1:9" ht="13.5">
      <c r="A8180" s="128">
        <v>2014</v>
      </c>
      <c r="B8180" s="128" t="s">
        <v>131</v>
      </c>
      <c r="C8180" s="128" t="s">
        <v>22</v>
      </c>
      <c r="D8180" s="128" t="s">
        <v>79</v>
      </c>
      <c r="E8180" s="128" t="s">
        <v>132</v>
      </c>
      <c r="F8180" s="128">
        <v>3543999.41</v>
      </c>
      <c r="G8180" s="128">
        <v>2299169.98</v>
      </c>
      <c r="H8180" s="128">
        <v>1079972.28</v>
      </c>
      <c r="I8180" s="128">
        <v>31603</v>
      </c>
    </row>
    <row r="8181" spans="1:9" ht="13.5">
      <c r="A8181" s="128">
        <v>2014</v>
      </c>
      <c r="B8181" s="128" t="s">
        <v>131</v>
      </c>
      <c r="C8181" s="128" t="s">
        <v>22</v>
      </c>
      <c r="D8181" s="128" t="s">
        <v>79</v>
      </c>
      <c r="E8181" s="128" t="s">
        <v>133</v>
      </c>
      <c r="F8181" s="128">
        <v>3967474.91</v>
      </c>
      <c r="G8181" s="128">
        <v>2158360.2599999998</v>
      </c>
      <c r="H8181" s="128">
        <v>1349597.99</v>
      </c>
      <c r="I8181" s="128">
        <v>28915</v>
      </c>
    </row>
    <row r="8182" spans="1:9" ht="13.5">
      <c r="A8182" s="128">
        <v>2014</v>
      </c>
      <c r="B8182" s="128" t="s">
        <v>131</v>
      </c>
      <c r="C8182" s="128" t="s">
        <v>22</v>
      </c>
      <c r="D8182" s="128" t="s">
        <v>79</v>
      </c>
      <c r="E8182" s="128" t="s">
        <v>134</v>
      </c>
      <c r="F8182" s="128">
        <v>7608087.9299999997</v>
      </c>
      <c r="G8182" s="128">
        <v>3272584.76</v>
      </c>
      <c r="H8182" s="128">
        <v>1778022.99</v>
      </c>
      <c r="I8182" s="128">
        <v>27653</v>
      </c>
    </row>
    <row r="8183" spans="1:9" ht="13.5">
      <c r="A8183" s="128">
        <v>2014</v>
      </c>
      <c r="B8183" s="128" t="s">
        <v>131</v>
      </c>
      <c r="C8183" s="128" t="s">
        <v>22</v>
      </c>
      <c r="D8183" s="128" t="s">
        <v>79</v>
      </c>
      <c r="E8183" s="128" t="s">
        <v>135</v>
      </c>
      <c r="F8183" s="128">
        <v>44553271.200000003</v>
      </c>
      <c r="G8183" s="128">
        <v>11194322.51</v>
      </c>
      <c r="H8183" s="128">
        <v>3947983.28</v>
      </c>
      <c r="I8183" s="128">
        <v>60304</v>
      </c>
    </row>
    <row r="8184" spans="1:9" ht="13.5">
      <c r="A8184" s="128">
        <v>2014</v>
      </c>
      <c r="B8184" s="128" t="s">
        <v>131</v>
      </c>
      <c r="C8184" s="128" t="s">
        <v>22</v>
      </c>
      <c r="D8184" s="128" t="s">
        <v>77</v>
      </c>
      <c r="E8184" s="128" t="s">
        <v>132</v>
      </c>
      <c r="F8184" s="128">
        <v>1046526.91</v>
      </c>
      <c r="G8184" s="128">
        <v>691559.65</v>
      </c>
      <c r="H8184" s="128">
        <v>316124.17</v>
      </c>
      <c r="I8184" s="128">
        <v>4250</v>
      </c>
    </row>
    <row r="8185" spans="1:9" ht="13.5">
      <c r="A8185" s="128">
        <v>2014</v>
      </c>
      <c r="B8185" s="128" t="s">
        <v>131</v>
      </c>
      <c r="C8185" s="128" t="s">
        <v>22</v>
      </c>
      <c r="D8185" s="128" t="s">
        <v>77</v>
      </c>
      <c r="E8185" s="128" t="s">
        <v>133</v>
      </c>
      <c r="F8185" s="128">
        <v>3115837.87</v>
      </c>
      <c r="G8185" s="128">
        <v>1648744.46</v>
      </c>
      <c r="H8185" s="128">
        <v>968080.7</v>
      </c>
      <c r="I8185" s="128">
        <v>31696</v>
      </c>
    </row>
    <row r="8186" spans="1:9" ht="13.5">
      <c r="A8186" s="128">
        <v>2014</v>
      </c>
      <c r="B8186" s="128" t="s">
        <v>131</v>
      </c>
      <c r="C8186" s="128" t="s">
        <v>22</v>
      </c>
      <c r="D8186" s="128" t="s">
        <v>77</v>
      </c>
      <c r="E8186" s="128" t="s">
        <v>134</v>
      </c>
      <c r="F8186" s="128">
        <v>7105941.8300000001</v>
      </c>
      <c r="G8186" s="128">
        <v>3036599.46</v>
      </c>
      <c r="H8186" s="128">
        <v>2834413.01</v>
      </c>
      <c r="I8186" s="128">
        <v>15015</v>
      </c>
    </row>
    <row r="8187" spans="1:9" ht="13.5">
      <c r="A8187" s="128">
        <v>2014</v>
      </c>
      <c r="B8187" s="128" t="s">
        <v>131</v>
      </c>
      <c r="C8187" s="128" t="s">
        <v>22</v>
      </c>
      <c r="D8187" s="128" t="s">
        <v>77</v>
      </c>
      <c r="E8187" s="128" t="s">
        <v>135</v>
      </c>
      <c r="F8187" s="128">
        <v>13888597.65</v>
      </c>
      <c r="G8187" s="128">
        <v>3969034.15</v>
      </c>
      <c r="H8187" s="128">
        <v>4447653.62</v>
      </c>
      <c r="I8187" s="128">
        <v>37638</v>
      </c>
    </row>
    <row r="8188" spans="1:9" ht="13.5">
      <c r="A8188" s="128">
        <v>2014</v>
      </c>
      <c r="B8188" s="128" t="s">
        <v>131</v>
      </c>
      <c r="C8188" s="128" t="s">
        <v>22</v>
      </c>
      <c r="D8188" s="128" t="s">
        <v>76</v>
      </c>
      <c r="E8188" s="128" t="s">
        <v>136</v>
      </c>
      <c r="F8188" s="128">
        <v>13265829.32</v>
      </c>
      <c r="G8188" s="128">
        <v>9960699.6799999997</v>
      </c>
      <c r="H8188" s="128">
        <v>3305157.6</v>
      </c>
      <c r="I8188" s="128">
        <v>268557</v>
      </c>
    </row>
    <row r="8189" spans="1:9" ht="13.5">
      <c r="A8189" s="128">
        <v>2014</v>
      </c>
      <c r="B8189" s="128" t="s">
        <v>131</v>
      </c>
      <c r="C8189" s="128" t="s">
        <v>22</v>
      </c>
      <c r="D8189" s="128" t="s">
        <v>76</v>
      </c>
      <c r="E8189" s="128" t="s">
        <v>132</v>
      </c>
      <c r="F8189" s="128">
        <v>36005322.390000001</v>
      </c>
      <c r="G8189" s="128">
        <v>22968159.16</v>
      </c>
      <c r="H8189" s="128">
        <v>13037030.5</v>
      </c>
      <c r="I8189" s="128">
        <v>357691</v>
      </c>
    </row>
    <row r="8190" spans="1:9" ht="13.5">
      <c r="A8190" s="128">
        <v>2014</v>
      </c>
      <c r="B8190" s="128" t="s">
        <v>131</v>
      </c>
      <c r="C8190" s="128" t="s">
        <v>22</v>
      </c>
      <c r="D8190" s="128" t="s">
        <v>76</v>
      </c>
      <c r="E8190" s="128" t="s">
        <v>133</v>
      </c>
      <c r="F8190" s="128">
        <v>74699459.200000003</v>
      </c>
      <c r="G8190" s="128">
        <v>41266337.700000003</v>
      </c>
      <c r="H8190" s="128">
        <v>33432529.920000002</v>
      </c>
      <c r="I8190" s="128">
        <v>560701</v>
      </c>
    </row>
    <row r="8191" spans="1:9" ht="13.5">
      <c r="A8191" s="128">
        <v>2014</v>
      </c>
      <c r="B8191" s="128" t="s">
        <v>131</v>
      </c>
      <c r="C8191" s="128" t="s">
        <v>22</v>
      </c>
      <c r="D8191" s="128" t="s">
        <v>76</v>
      </c>
      <c r="E8191" s="128" t="s">
        <v>134</v>
      </c>
      <c r="F8191" s="128">
        <v>71541440.060000002</v>
      </c>
      <c r="G8191" s="128">
        <v>32767998.41</v>
      </c>
      <c r="H8191" s="128">
        <v>38773201.420000002</v>
      </c>
      <c r="I8191" s="128">
        <v>455294</v>
      </c>
    </row>
    <row r="8192" spans="1:9" ht="13.5">
      <c r="A8192" s="128">
        <v>2014</v>
      </c>
      <c r="B8192" s="128" t="s">
        <v>131</v>
      </c>
      <c r="C8192" s="128" t="s">
        <v>22</v>
      </c>
      <c r="D8192" s="128" t="s">
        <v>76</v>
      </c>
      <c r="E8192" s="128" t="s">
        <v>135</v>
      </c>
      <c r="F8192" s="128">
        <v>6386567.1299999999</v>
      </c>
      <c r="G8192" s="128">
        <v>1884549.4</v>
      </c>
      <c r="H8192" s="128">
        <v>4502016.29</v>
      </c>
      <c r="I8192" s="128">
        <v>16014</v>
      </c>
    </row>
    <row r="8193" spans="1:9" ht="13.5">
      <c r="A8193" s="128">
        <v>2014</v>
      </c>
      <c r="B8193" s="128" t="s">
        <v>131</v>
      </c>
      <c r="C8193" s="128" t="s">
        <v>23</v>
      </c>
      <c r="D8193" s="128" t="s">
        <v>79</v>
      </c>
      <c r="E8193" s="128" t="s">
        <v>136</v>
      </c>
      <c r="F8193" s="128">
        <v>1778904.65</v>
      </c>
      <c r="G8193" s="128">
        <v>1337210.68</v>
      </c>
      <c r="H8193" s="128">
        <v>440996.67</v>
      </c>
      <c r="I8193" s="128">
        <v>12743</v>
      </c>
    </row>
    <row r="8194" spans="1:9" ht="13.5">
      <c r="A8194" s="128">
        <v>2014</v>
      </c>
      <c r="B8194" s="128" t="s">
        <v>131</v>
      </c>
      <c r="C8194" s="128" t="s">
        <v>23</v>
      </c>
      <c r="D8194" s="128" t="s">
        <v>79</v>
      </c>
      <c r="E8194" s="128" t="s">
        <v>132</v>
      </c>
      <c r="F8194" s="128">
        <v>406068.72</v>
      </c>
      <c r="G8194" s="128">
        <v>259987.31</v>
      </c>
      <c r="H8194" s="128">
        <v>122468.79</v>
      </c>
      <c r="I8194" s="128">
        <v>1955</v>
      </c>
    </row>
    <row r="8195" spans="1:9" ht="13.5">
      <c r="A8195" s="128">
        <v>2014</v>
      </c>
      <c r="B8195" s="128" t="s">
        <v>131</v>
      </c>
      <c r="C8195" s="128" t="s">
        <v>23</v>
      </c>
      <c r="D8195" s="128" t="s">
        <v>79</v>
      </c>
      <c r="E8195" s="128" t="s">
        <v>133</v>
      </c>
      <c r="F8195" s="128">
        <v>1250360.98</v>
      </c>
      <c r="G8195" s="128">
        <v>679838.69</v>
      </c>
      <c r="H8195" s="128">
        <v>493934.07</v>
      </c>
      <c r="I8195" s="128">
        <v>12981</v>
      </c>
    </row>
    <row r="8196" spans="1:9" ht="13.5">
      <c r="A8196" s="128">
        <v>2014</v>
      </c>
      <c r="B8196" s="128" t="s">
        <v>131</v>
      </c>
      <c r="C8196" s="128" t="s">
        <v>23</v>
      </c>
      <c r="D8196" s="128" t="s">
        <v>79</v>
      </c>
      <c r="E8196" s="128" t="s">
        <v>134</v>
      </c>
      <c r="F8196" s="128">
        <v>2565355.21</v>
      </c>
      <c r="G8196" s="128">
        <v>1119489.0900000001</v>
      </c>
      <c r="H8196" s="128">
        <v>1268576.07</v>
      </c>
      <c r="I8196" s="128">
        <v>7371</v>
      </c>
    </row>
    <row r="8197" spans="1:9" ht="13.5">
      <c r="A8197" s="128">
        <v>2014</v>
      </c>
      <c r="B8197" s="128" t="s">
        <v>131</v>
      </c>
      <c r="C8197" s="128" t="s">
        <v>23</v>
      </c>
      <c r="D8197" s="128" t="s">
        <v>79</v>
      </c>
      <c r="E8197" s="128" t="s">
        <v>135</v>
      </c>
      <c r="F8197" s="128">
        <v>2302335.7000000002</v>
      </c>
      <c r="G8197" s="128">
        <v>546030.61</v>
      </c>
      <c r="H8197" s="128">
        <v>293640.89</v>
      </c>
      <c r="I8197" s="128">
        <v>3583</v>
      </c>
    </row>
    <row r="8198" spans="1:9" ht="13.5">
      <c r="A8198" s="128">
        <v>2014</v>
      </c>
      <c r="B8198" s="128" t="s">
        <v>131</v>
      </c>
      <c r="C8198" s="128" t="s">
        <v>23</v>
      </c>
      <c r="D8198" s="128" t="s">
        <v>77</v>
      </c>
      <c r="E8198" s="128" t="s">
        <v>132</v>
      </c>
      <c r="F8198" s="128">
        <v>454905.84</v>
      </c>
      <c r="G8198" s="128">
        <v>307857.21999999997</v>
      </c>
      <c r="H8198" s="128">
        <v>126372.96</v>
      </c>
      <c r="I8198" s="128">
        <v>2925</v>
      </c>
    </row>
    <row r="8199" spans="1:9" ht="13.5">
      <c r="A8199" s="128">
        <v>2014</v>
      </c>
      <c r="B8199" s="128" t="s">
        <v>131</v>
      </c>
      <c r="C8199" s="128" t="s">
        <v>23</v>
      </c>
      <c r="D8199" s="128" t="s">
        <v>77</v>
      </c>
      <c r="E8199" s="128" t="s">
        <v>133</v>
      </c>
      <c r="F8199" s="128">
        <v>619878.86</v>
      </c>
      <c r="G8199" s="128">
        <v>334089.59999999998</v>
      </c>
      <c r="H8199" s="128">
        <v>226005.54</v>
      </c>
      <c r="I8199" s="128">
        <v>2383</v>
      </c>
    </row>
    <row r="8200" spans="1:9" ht="13.5">
      <c r="A8200" s="128">
        <v>2014</v>
      </c>
      <c r="B8200" s="128" t="s">
        <v>131</v>
      </c>
      <c r="C8200" s="128" t="s">
        <v>23</v>
      </c>
      <c r="D8200" s="128" t="s">
        <v>77</v>
      </c>
      <c r="E8200" s="128" t="s">
        <v>134</v>
      </c>
      <c r="F8200" s="128">
        <v>3458076.01</v>
      </c>
      <c r="G8200" s="128">
        <v>1458548.48</v>
      </c>
      <c r="H8200" s="128">
        <v>1500383.48</v>
      </c>
      <c r="I8200" s="128">
        <v>7839</v>
      </c>
    </row>
    <row r="8201" spans="1:9" ht="13.5">
      <c r="A8201" s="128">
        <v>2014</v>
      </c>
      <c r="B8201" s="128" t="s">
        <v>131</v>
      </c>
      <c r="C8201" s="128" t="s">
        <v>23</v>
      </c>
      <c r="D8201" s="128" t="s">
        <v>77</v>
      </c>
      <c r="E8201" s="128" t="s">
        <v>135</v>
      </c>
      <c r="F8201" s="128">
        <v>4554751.3099999996</v>
      </c>
      <c r="G8201" s="128">
        <v>1402867.49</v>
      </c>
      <c r="H8201" s="128">
        <v>1737065.05</v>
      </c>
      <c r="I8201" s="128">
        <v>23837</v>
      </c>
    </row>
    <row r="8202" spans="1:9" ht="13.5">
      <c r="A8202" s="128">
        <v>2014</v>
      </c>
      <c r="B8202" s="128" t="s">
        <v>131</v>
      </c>
      <c r="C8202" s="128" t="s">
        <v>23</v>
      </c>
      <c r="D8202" s="128" t="s">
        <v>76</v>
      </c>
      <c r="E8202" s="128" t="s">
        <v>136</v>
      </c>
      <c r="F8202" s="128">
        <v>5095540.87</v>
      </c>
      <c r="G8202" s="128">
        <v>3827723.69</v>
      </c>
      <c r="H8202" s="128">
        <v>1267820.93</v>
      </c>
      <c r="I8202" s="128">
        <v>77522</v>
      </c>
    </row>
    <row r="8203" spans="1:9" ht="13.5">
      <c r="A8203" s="128">
        <v>2014</v>
      </c>
      <c r="B8203" s="128" t="s">
        <v>131</v>
      </c>
      <c r="C8203" s="128" t="s">
        <v>23</v>
      </c>
      <c r="D8203" s="128" t="s">
        <v>76</v>
      </c>
      <c r="E8203" s="128" t="s">
        <v>132</v>
      </c>
      <c r="F8203" s="128">
        <v>8768212.5500000007</v>
      </c>
      <c r="G8203" s="128">
        <v>5591858.9100000001</v>
      </c>
      <c r="H8203" s="128">
        <v>3176337.13</v>
      </c>
      <c r="I8203" s="128">
        <v>78143</v>
      </c>
    </row>
    <row r="8204" spans="1:9" ht="13.5">
      <c r="A8204" s="128">
        <v>2014</v>
      </c>
      <c r="B8204" s="128" t="s">
        <v>131</v>
      </c>
      <c r="C8204" s="128" t="s">
        <v>23</v>
      </c>
      <c r="D8204" s="128" t="s">
        <v>76</v>
      </c>
      <c r="E8204" s="128" t="s">
        <v>133</v>
      </c>
      <c r="F8204" s="128">
        <v>23747904.32</v>
      </c>
      <c r="G8204" s="128">
        <v>12982649.720000001</v>
      </c>
      <c r="H8204" s="128">
        <v>10765241.300000001</v>
      </c>
      <c r="I8204" s="128">
        <v>198796</v>
      </c>
    </row>
    <row r="8205" spans="1:9" ht="13.5">
      <c r="A8205" s="128">
        <v>2014</v>
      </c>
      <c r="B8205" s="128" t="s">
        <v>131</v>
      </c>
      <c r="C8205" s="128" t="s">
        <v>23</v>
      </c>
      <c r="D8205" s="128" t="s">
        <v>76</v>
      </c>
      <c r="E8205" s="128" t="s">
        <v>134</v>
      </c>
      <c r="F8205" s="128">
        <v>43675536.079999998</v>
      </c>
      <c r="G8205" s="128">
        <v>19449355.25</v>
      </c>
      <c r="H8205" s="128">
        <v>24226159.760000002</v>
      </c>
      <c r="I8205" s="128">
        <v>173941</v>
      </c>
    </row>
    <row r="8206" spans="1:9" ht="13.5">
      <c r="A8206" s="128">
        <v>2014</v>
      </c>
      <c r="B8206" s="128" t="s">
        <v>131</v>
      </c>
      <c r="C8206" s="128" t="s">
        <v>23</v>
      </c>
      <c r="D8206" s="128" t="s">
        <v>76</v>
      </c>
      <c r="E8206" s="128" t="s">
        <v>135</v>
      </c>
      <c r="F8206" s="128">
        <v>2164239.38</v>
      </c>
      <c r="G8206" s="128">
        <v>610976.51</v>
      </c>
      <c r="H8206" s="128">
        <v>1553262.87</v>
      </c>
      <c r="I8206" s="128">
        <v>5016</v>
      </c>
    </row>
    <row r="8207" spans="1:9" ht="13.5">
      <c r="A8207" s="128">
        <v>2014</v>
      </c>
      <c r="B8207" s="128" t="s">
        <v>131</v>
      </c>
      <c r="C8207" s="128" t="s">
        <v>24</v>
      </c>
      <c r="D8207" s="128" t="s">
        <v>79</v>
      </c>
      <c r="E8207" s="128" t="s">
        <v>136</v>
      </c>
      <c r="F8207" s="128">
        <v>2687439.77</v>
      </c>
      <c r="G8207" s="128">
        <v>2016074.13</v>
      </c>
      <c r="H8207" s="128">
        <v>667578.86</v>
      </c>
      <c r="I8207" s="128">
        <v>43813</v>
      </c>
    </row>
    <row r="8208" spans="1:9" ht="13.5">
      <c r="A8208" s="128">
        <v>2014</v>
      </c>
      <c r="B8208" s="128" t="s">
        <v>131</v>
      </c>
      <c r="C8208" s="128" t="s">
        <v>24</v>
      </c>
      <c r="D8208" s="128" t="s">
        <v>79</v>
      </c>
      <c r="E8208" s="128" t="s">
        <v>132</v>
      </c>
      <c r="F8208" s="128">
        <v>413945.28</v>
      </c>
      <c r="G8208" s="128">
        <v>278608.68</v>
      </c>
      <c r="H8208" s="128">
        <v>103222.81</v>
      </c>
      <c r="I8208" s="128">
        <v>2261</v>
      </c>
    </row>
    <row r="8209" spans="1:9" ht="13.5">
      <c r="A8209" s="128">
        <v>2014</v>
      </c>
      <c r="B8209" s="128" t="s">
        <v>131</v>
      </c>
      <c r="C8209" s="128" t="s">
        <v>24</v>
      </c>
      <c r="D8209" s="128" t="s">
        <v>79</v>
      </c>
      <c r="E8209" s="128" t="s">
        <v>133</v>
      </c>
      <c r="F8209" s="128">
        <v>1073191.3899999999</v>
      </c>
      <c r="G8209" s="128">
        <v>585613.15</v>
      </c>
      <c r="H8209" s="128">
        <v>289879.99</v>
      </c>
      <c r="I8209" s="128">
        <v>5207</v>
      </c>
    </row>
    <row r="8210" spans="1:9" ht="13.5">
      <c r="A8210" s="128">
        <v>2014</v>
      </c>
      <c r="B8210" s="128" t="s">
        <v>131</v>
      </c>
      <c r="C8210" s="128" t="s">
        <v>24</v>
      </c>
      <c r="D8210" s="128" t="s">
        <v>79</v>
      </c>
      <c r="E8210" s="128" t="s">
        <v>134</v>
      </c>
      <c r="F8210" s="128">
        <v>2544353</v>
      </c>
      <c r="G8210" s="128">
        <v>1113594.6299999999</v>
      </c>
      <c r="H8210" s="128">
        <v>507063.39</v>
      </c>
      <c r="I8210" s="128">
        <v>8604</v>
      </c>
    </row>
    <row r="8211" spans="1:9" ht="13.5">
      <c r="A8211" s="128">
        <v>2014</v>
      </c>
      <c r="B8211" s="128" t="s">
        <v>131</v>
      </c>
      <c r="C8211" s="128" t="s">
        <v>24</v>
      </c>
      <c r="D8211" s="128" t="s">
        <v>79</v>
      </c>
      <c r="E8211" s="128" t="s">
        <v>135</v>
      </c>
      <c r="F8211" s="128">
        <v>9146937.5700000003</v>
      </c>
      <c r="G8211" s="128">
        <v>2237116.9500000002</v>
      </c>
      <c r="H8211" s="128">
        <v>794350.29</v>
      </c>
      <c r="I8211" s="128">
        <v>20476</v>
      </c>
    </row>
    <row r="8212" spans="1:9" ht="13.5">
      <c r="A8212" s="128">
        <v>2014</v>
      </c>
      <c r="B8212" s="128" t="s">
        <v>131</v>
      </c>
      <c r="C8212" s="128" t="s">
        <v>24</v>
      </c>
      <c r="D8212" s="128" t="s">
        <v>77</v>
      </c>
      <c r="E8212" s="128" t="s">
        <v>132</v>
      </c>
      <c r="F8212" s="128">
        <v>2392308.04</v>
      </c>
      <c r="G8212" s="128">
        <v>1662851.45</v>
      </c>
      <c r="H8212" s="128">
        <v>694854.26</v>
      </c>
      <c r="I8212" s="128">
        <v>13653</v>
      </c>
    </row>
    <row r="8213" spans="1:9" ht="13.5">
      <c r="A8213" s="128">
        <v>2014</v>
      </c>
      <c r="B8213" s="128" t="s">
        <v>131</v>
      </c>
      <c r="C8213" s="128" t="s">
        <v>24</v>
      </c>
      <c r="D8213" s="128" t="s">
        <v>77</v>
      </c>
      <c r="E8213" s="128" t="s">
        <v>133</v>
      </c>
      <c r="F8213" s="128">
        <v>4243348.8099999996</v>
      </c>
      <c r="G8213" s="128">
        <v>2262303.35</v>
      </c>
      <c r="H8213" s="128">
        <v>1523405.33</v>
      </c>
      <c r="I8213" s="128">
        <v>47740</v>
      </c>
    </row>
    <row r="8214" spans="1:9" ht="13.5">
      <c r="A8214" s="128">
        <v>2014</v>
      </c>
      <c r="B8214" s="128" t="s">
        <v>131</v>
      </c>
      <c r="C8214" s="128" t="s">
        <v>24</v>
      </c>
      <c r="D8214" s="128" t="s">
        <v>77</v>
      </c>
      <c r="E8214" s="128" t="s">
        <v>134</v>
      </c>
      <c r="F8214" s="128">
        <v>8066299.46</v>
      </c>
      <c r="G8214" s="128">
        <v>3581135.15</v>
      </c>
      <c r="H8214" s="128">
        <v>3075589.7</v>
      </c>
      <c r="I8214" s="128">
        <v>19213</v>
      </c>
    </row>
    <row r="8215" spans="1:9" ht="13.5">
      <c r="A8215" s="128">
        <v>2014</v>
      </c>
      <c r="B8215" s="128" t="s">
        <v>131</v>
      </c>
      <c r="C8215" s="128" t="s">
        <v>24</v>
      </c>
      <c r="D8215" s="128" t="s">
        <v>77</v>
      </c>
      <c r="E8215" s="128" t="s">
        <v>135</v>
      </c>
      <c r="F8215" s="128">
        <v>12287425.789999999</v>
      </c>
      <c r="G8215" s="128">
        <v>3219746.15</v>
      </c>
      <c r="H8215" s="128">
        <v>2039836.69</v>
      </c>
      <c r="I8215" s="128">
        <v>19528</v>
      </c>
    </row>
    <row r="8216" spans="1:9" ht="13.5">
      <c r="A8216" s="128">
        <v>2014</v>
      </c>
      <c r="B8216" s="128" t="s">
        <v>131</v>
      </c>
      <c r="C8216" s="128" t="s">
        <v>24</v>
      </c>
      <c r="D8216" s="128" t="s">
        <v>76</v>
      </c>
      <c r="E8216" s="128" t="s">
        <v>136</v>
      </c>
      <c r="F8216" s="128">
        <v>4345296.5199999996</v>
      </c>
      <c r="G8216" s="128">
        <v>3266586.59</v>
      </c>
      <c r="H8216" s="128">
        <v>1078709.96</v>
      </c>
      <c r="I8216" s="128">
        <v>48019</v>
      </c>
    </row>
    <row r="8217" spans="1:9" ht="13.5">
      <c r="A8217" s="128">
        <v>2014</v>
      </c>
      <c r="B8217" s="128" t="s">
        <v>131</v>
      </c>
      <c r="C8217" s="128" t="s">
        <v>24</v>
      </c>
      <c r="D8217" s="128" t="s">
        <v>76</v>
      </c>
      <c r="E8217" s="128" t="s">
        <v>132</v>
      </c>
      <c r="F8217" s="128">
        <v>7976112.1500000004</v>
      </c>
      <c r="G8217" s="128">
        <v>5153164.26</v>
      </c>
      <c r="H8217" s="128">
        <v>2822942.42</v>
      </c>
      <c r="I8217" s="128">
        <v>67098</v>
      </c>
    </row>
    <row r="8218" spans="1:9" ht="13.5">
      <c r="A8218" s="128">
        <v>2014</v>
      </c>
      <c r="B8218" s="128" t="s">
        <v>131</v>
      </c>
      <c r="C8218" s="128" t="s">
        <v>24</v>
      </c>
      <c r="D8218" s="128" t="s">
        <v>76</v>
      </c>
      <c r="E8218" s="128" t="s">
        <v>133</v>
      </c>
      <c r="F8218" s="128">
        <v>36559580.939999998</v>
      </c>
      <c r="G8218" s="128">
        <v>20272425.649999999</v>
      </c>
      <c r="H8218" s="128">
        <v>16287152.800000001</v>
      </c>
      <c r="I8218" s="128">
        <v>269134</v>
      </c>
    </row>
    <row r="8219" spans="1:9" ht="13.5">
      <c r="A8219" s="128">
        <v>2014</v>
      </c>
      <c r="B8219" s="128" t="s">
        <v>131</v>
      </c>
      <c r="C8219" s="128" t="s">
        <v>24</v>
      </c>
      <c r="D8219" s="128" t="s">
        <v>76</v>
      </c>
      <c r="E8219" s="128" t="s">
        <v>134</v>
      </c>
      <c r="F8219" s="128">
        <v>51372589.640000001</v>
      </c>
      <c r="G8219" s="128">
        <v>22765413.879999999</v>
      </c>
      <c r="H8219" s="128">
        <v>28607158.420000002</v>
      </c>
      <c r="I8219" s="128">
        <v>242106</v>
      </c>
    </row>
    <row r="8220" spans="1:9" ht="13.5">
      <c r="A8220" s="128">
        <v>2014</v>
      </c>
      <c r="B8220" s="128" t="s">
        <v>131</v>
      </c>
      <c r="C8220" s="128" t="s">
        <v>24</v>
      </c>
      <c r="D8220" s="128" t="s">
        <v>76</v>
      </c>
      <c r="E8220" s="128" t="s">
        <v>135</v>
      </c>
      <c r="F8220" s="128">
        <v>3493465.45</v>
      </c>
      <c r="G8220" s="128">
        <v>934641.19</v>
      </c>
      <c r="H8220" s="128">
        <v>2558824.2599999998</v>
      </c>
      <c r="I8220" s="128">
        <v>2881</v>
      </c>
    </row>
    <row r="8221" spans="1:9" ht="13.5">
      <c r="A8221" s="128">
        <v>2014</v>
      </c>
      <c r="B8221" s="128" t="s">
        <v>131</v>
      </c>
      <c r="C8221" s="128" t="s">
        <v>25</v>
      </c>
      <c r="D8221" s="128" t="s">
        <v>79</v>
      </c>
      <c r="E8221" s="128" t="s">
        <v>136</v>
      </c>
      <c r="F8221" s="128">
        <v>601360.34</v>
      </c>
      <c r="G8221" s="128">
        <v>452158.85</v>
      </c>
      <c r="H8221" s="128">
        <v>149077.79</v>
      </c>
      <c r="I8221" s="128">
        <v>9104</v>
      </c>
    </row>
    <row r="8222" spans="1:9" ht="13.5">
      <c r="A8222" s="128">
        <v>2014</v>
      </c>
      <c r="B8222" s="128" t="s">
        <v>131</v>
      </c>
      <c r="C8222" s="128" t="s">
        <v>25</v>
      </c>
      <c r="D8222" s="128" t="s">
        <v>79</v>
      </c>
      <c r="E8222" s="128" t="s">
        <v>132</v>
      </c>
      <c r="F8222" s="128">
        <v>154396.82999999999</v>
      </c>
      <c r="G8222" s="128">
        <v>100470.13</v>
      </c>
      <c r="H8222" s="128">
        <v>46581.38</v>
      </c>
      <c r="I8222" s="128">
        <v>1241</v>
      </c>
    </row>
    <row r="8223" spans="1:9" ht="13.5">
      <c r="A8223" s="128">
        <v>2014</v>
      </c>
      <c r="B8223" s="128" t="s">
        <v>131</v>
      </c>
      <c r="C8223" s="128" t="s">
        <v>25</v>
      </c>
      <c r="D8223" s="128" t="s">
        <v>79</v>
      </c>
      <c r="E8223" s="128" t="s">
        <v>133</v>
      </c>
      <c r="F8223" s="128">
        <v>283967.58</v>
      </c>
      <c r="G8223" s="128">
        <v>156029.87</v>
      </c>
      <c r="H8223" s="128">
        <v>87749.6</v>
      </c>
      <c r="I8223" s="128">
        <v>2093</v>
      </c>
    </row>
    <row r="8224" spans="1:9" ht="13.5">
      <c r="A8224" s="128">
        <v>2014</v>
      </c>
      <c r="B8224" s="128" t="s">
        <v>131</v>
      </c>
      <c r="C8224" s="128" t="s">
        <v>25</v>
      </c>
      <c r="D8224" s="128" t="s">
        <v>79</v>
      </c>
      <c r="E8224" s="128" t="s">
        <v>134</v>
      </c>
      <c r="F8224" s="128">
        <v>744093.08</v>
      </c>
      <c r="G8224" s="128">
        <v>327773.78999999998</v>
      </c>
      <c r="H8224" s="128">
        <v>271109.78000000003</v>
      </c>
      <c r="I8224" s="128">
        <v>3731</v>
      </c>
    </row>
    <row r="8225" spans="1:9" ht="13.5">
      <c r="A8225" s="128">
        <v>2014</v>
      </c>
      <c r="B8225" s="128" t="s">
        <v>131</v>
      </c>
      <c r="C8225" s="128" t="s">
        <v>25</v>
      </c>
      <c r="D8225" s="128" t="s">
        <v>79</v>
      </c>
      <c r="E8225" s="128" t="s">
        <v>135</v>
      </c>
      <c r="F8225" s="128">
        <v>1993880.57</v>
      </c>
      <c r="G8225" s="128">
        <v>479966.73</v>
      </c>
      <c r="H8225" s="128">
        <v>205651.64</v>
      </c>
      <c r="I8225" s="128">
        <v>2189</v>
      </c>
    </row>
    <row r="8226" spans="1:9" ht="13.5">
      <c r="A8226" s="128">
        <v>2014</v>
      </c>
      <c r="B8226" s="128" t="s">
        <v>131</v>
      </c>
      <c r="C8226" s="128" t="s">
        <v>25</v>
      </c>
      <c r="D8226" s="128" t="s">
        <v>77</v>
      </c>
      <c r="E8226" s="128" t="s">
        <v>132</v>
      </c>
      <c r="F8226" s="128">
        <v>265227.44</v>
      </c>
      <c r="G8226" s="128">
        <v>181060.6</v>
      </c>
      <c r="H8226" s="128">
        <v>69628.55</v>
      </c>
      <c r="I8226" s="128">
        <v>1463</v>
      </c>
    </row>
    <row r="8227" spans="1:9" ht="13.5">
      <c r="A8227" s="128">
        <v>2014</v>
      </c>
      <c r="B8227" s="128" t="s">
        <v>131</v>
      </c>
      <c r="C8227" s="128" t="s">
        <v>25</v>
      </c>
      <c r="D8227" s="128" t="s">
        <v>77</v>
      </c>
      <c r="E8227" s="128" t="s">
        <v>133</v>
      </c>
      <c r="F8227" s="128">
        <v>326458.18</v>
      </c>
      <c r="G8227" s="128">
        <v>178222.35</v>
      </c>
      <c r="H8227" s="128">
        <v>130728.2</v>
      </c>
      <c r="I8227" s="128">
        <v>1353</v>
      </c>
    </row>
    <row r="8228" spans="1:9" ht="13.5">
      <c r="A8228" s="128">
        <v>2014</v>
      </c>
      <c r="B8228" s="128" t="s">
        <v>131</v>
      </c>
      <c r="C8228" s="128" t="s">
        <v>25</v>
      </c>
      <c r="D8228" s="128" t="s">
        <v>77</v>
      </c>
      <c r="E8228" s="128" t="s">
        <v>134</v>
      </c>
      <c r="F8228" s="128">
        <v>1069489.8899999999</v>
      </c>
      <c r="G8228" s="128">
        <v>457857.05</v>
      </c>
      <c r="H8228" s="128">
        <v>464657.27</v>
      </c>
      <c r="I8228" s="128">
        <v>2299</v>
      </c>
    </row>
    <row r="8229" spans="1:9" ht="13.5">
      <c r="A8229" s="128">
        <v>2014</v>
      </c>
      <c r="B8229" s="128" t="s">
        <v>131</v>
      </c>
      <c r="C8229" s="128" t="s">
        <v>25</v>
      </c>
      <c r="D8229" s="128" t="s">
        <v>77</v>
      </c>
      <c r="E8229" s="128" t="s">
        <v>135</v>
      </c>
      <c r="F8229" s="128">
        <v>1691577.18</v>
      </c>
      <c r="G8229" s="128">
        <v>501824.3</v>
      </c>
      <c r="H8229" s="128">
        <v>598608.96</v>
      </c>
      <c r="I8229" s="128">
        <v>5226</v>
      </c>
    </row>
    <row r="8230" spans="1:9" ht="13.5">
      <c r="A8230" s="128">
        <v>2014</v>
      </c>
      <c r="B8230" s="128" t="s">
        <v>131</v>
      </c>
      <c r="C8230" s="128" t="s">
        <v>25</v>
      </c>
      <c r="D8230" s="128" t="s">
        <v>76</v>
      </c>
      <c r="E8230" s="128" t="s">
        <v>136</v>
      </c>
      <c r="F8230" s="128">
        <v>1648893.17</v>
      </c>
      <c r="G8230" s="128">
        <v>1237952.6599999999</v>
      </c>
      <c r="H8230" s="128">
        <v>410940.96</v>
      </c>
      <c r="I8230" s="128">
        <v>29274</v>
      </c>
    </row>
    <row r="8231" spans="1:9" ht="13.5">
      <c r="A8231" s="128">
        <v>2014</v>
      </c>
      <c r="B8231" s="128" t="s">
        <v>131</v>
      </c>
      <c r="C8231" s="128" t="s">
        <v>25</v>
      </c>
      <c r="D8231" s="128" t="s">
        <v>76</v>
      </c>
      <c r="E8231" s="128" t="s">
        <v>132</v>
      </c>
      <c r="F8231" s="128">
        <v>2763607.26</v>
      </c>
      <c r="G8231" s="128">
        <v>1752901.18</v>
      </c>
      <c r="H8231" s="128">
        <v>1010705.88</v>
      </c>
      <c r="I8231" s="128">
        <v>21567</v>
      </c>
    </row>
    <row r="8232" spans="1:9" ht="13.5">
      <c r="A8232" s="128">
        <v>2014</v>
      </c>
      <c r="B8232" s="128" t="s">
        <v>131</v>
      </c>
      <c r="C8232" s="128" t="s">
        <v>25</v>
      </c>
      <c r="D8232" s="128" t="s">
        <v>76</v>
      </c>
      <c r="E8232" s="128" t="s">
        <v>133</v>
      </c>
      <c r="F8232" s="128">
        <v>7906217.2300000004</v>
      </c>
      <c r="G8232" s="128">
        <v>4334454.62</v>
      </c>
      <c r="H8232" s="128">
        <v>3571759.59</v>
      </c>
      <c r="I8232" s="128">
        <v>49716</v>
      </c>
    </row>
    <row r="8233" spans="1:9" ht="13.5">
      <c r="A8233" s="128">
        <v>2014</v>
      </c>
      <c r="B8233" s="128" t="s">
        <v>131</v>
      </c>
      <c r="C8233" s="128" t="s">
        <v>25</v>
      </c>
      <c r="D8233" s="128" t="s">
        <v>76</v>
      </c>
      <c r="E8233" s="128" t="s">
        <v>134</v>
      </c>
      <c r="F8233" s="128">
        <v>9756264.4600000009</v>
      </c>
      <c r="G8233" s="128">
        <v>4471110.66</v>
      </c>
      <c r="H8233" s="128">
        <v>5285153.2</v>
      </c>
      <c r="I8233" s="128">
        <v>44886</v>
      </c>
    </row>
    <row r="8234" spans="1:9" ht="13.5">
      <c r="A8234" s="128">
        <v>2014</v>
      </c>
      <c r="B8234" s="128" t="s">
        <v>131</v>
      </c>
      <c r="C8234" s="128" t="s">
        <v>25</v>
      </c>
      <c r="D8234" s="128" t="s">
        <v>76</v>
      </c>
      <c r="E8234" s="128" t="s">
        <v>135</v>
      </c>
      <c r="F8234" s="128">
        <v>601306.02</v>
      </c>
      <c r="G8234" s="128">
        <v>169574.9</v>
      </c>
      <c r="H8234" s="128">
        <v>431731.12</v>
      </c>
      <c r="I8234" s="128">
        <v>741</v>
      </c>
    </row>
    <row r="8235" spans="1:9" ht="13.5">
      <c r="A8235" s="128">
        <v>2014</v>
      </c>
      <c r="B8235" s="128" t="s">
        <v>131</v>
      </c>
      <c r="C8235" s="128" t="s">
        <v>26</v>
      </c>
      <c r="D8235" s="128" t="s">
        <v>79</v>
      </c>
      <c r="E8235" s="128" t="s">
        <v>136</v>
      </c>
      <c r="F8235" s="128">
        <v>985709.46</v>
      </c>
      <c r="G8235" s="128">
        <v>735657.35</v>
      </c>
      <c r="H8235" s="128">
        <v>242121.16</v>
      </c>
      <c r="I8235" s="128">
        <v>8698</v>
      </c>
    </row>
    <row r="8236" spans="1:9" ht="13.5">
      <c r="A8236" s="128">
        <v>2014</v>
      </c>
      <c r="B8236" s="128" t="s">
        <v>131</v>
      </c>
      <c r="C8236" s="128" t="s">
        <v>26</v>
      </c>
      <c r="D8236" s="128" t="s">
        <v>79</v>
      </c>
      <c r="E8236" s="128" t="s">
        <v>132</v>
      </c>
      <c r="F8236" s="128">
        <v>123111.38</v>
      </c>
      <c r="G8236" s="128">
        <v>80299.16</v>
      </c>
      <c r="H8236" s="128">
        <v>31605.15</v>
      </c>
      <c r="I8236" s="128">
        <v>672</v>
      </c>
    </row>
    <row r="8237" spans="1:9" ht="13.5">
      <c r="A8237" s="128">
        <v>2014</v>
      </c>
      <c r="B8237" s="128" t="s">
        <v>131</v>
      </c>
      <c r="C8237" s="128" t="s">
        <v>26</v>
      </c>
      <c r="D8237" s="128" t="s">
        <v>79</v>
      </c>
      <c r="E8237" s="128" t="s">
        <v>133</v>
      </c>
      <c r="F8237" s="128">
        <v>179824.92</v>
      </c>
      <c r="G8237" s="128">
        <v>98859.96</v>
      </c>
      <c r="H8237" s="128">
        <v>43179.3</v>
      </c>
      <c r="I8237" s="128">
        <v>983</v>
      </c>
    </row>
    <row r="8238" spans="1:9" ht="13.5">
      <c r="A8238" s="128">
        <v>2014</v>
      </c>
      <c r="B8238" s="128" t="s">
        <v>131</v>
      </c>
      <c r="C8238" s="128" t="s">
        <v>26</v>
      </c>
      <c r="D8238" s="128" t="s">
        <v>79</v>
      </c>
      <c r="E8238" s="128" t="s">
        <v>134</v>
      </c>
      <c r="F8238" s="128">
        <v>659142.94999999995</v>
      </c>
      <c r="G8238" s="128">
        <v>278875.95</v>
      </c>
      <c r="H8238" s="128">
        <v>111415.7</v>
      </c>
      <c r="I8238" s="128">
        <v>2348</v>
      </c>
    </row>
    <row r="8239" spans="1:9" ht="13.5">
      <c r="A8239" s="128">
        <v>2014</v>
      </c>
      <c r="B8239" s="128" t="s">
        <v>131</v>
      </c>
      <c r="C8239" s="128" t="s">
        <v>26</v>
      </c>
      <c r="D8239" s="128" t="s">
        <v>79</v>
      </c>
      <c r="E8239" s="128" t="s">
        <v>135</v>
      </c>
      <c r="F8239" s="128">
        <v>7980453.0899999999</v>
      </c>
      <c r="G8239" s="128">
        <v>1911494.08</v>
      </c>
      <c r="H8239" s="128">
        <v>648402.52</v>
      </c>
      <c r="I8239" s="128">
        <v>10022</v>
      </c>
    </row>
    <row r="8240" spans="1:9" ht="13.5">
      <c r="A8240" s="128">
        <v>2014</v>
      </c>
      <c r="B8240" s="128" t="s">
        <v>131</v>
      </c>
      <c r="C8240" s="128" t="s">
        <v>26</v>
      </c>
      <c r="D8240" s="128" t="s">
        <v>77</v>
      </c>
      <c r="E8240" s="128" t="s">
        <v>132</v>
      </c>
      <c r="F8240" s="128">
        <v>20707.099999999999</v>
      </c>
      <c r="G8240" s="128">
        <v>13866.8</v>
      </c>
      <c r="H8240" s="128">
        <v>5668.33</v>
      </c>
      <c r="I8240" s="128">
        <v>115</v>
      </c>
    </row>
    <row r="8241" spans="1:9" ht="13.5">
      <c r="A8241" s="128">
        <v>2014</v>
      </c>
      <c r="B8241" s="128" t="s">
        <v>131</v>
      </c>
      <c r="C8241" s="128" t="s">
        <v>26</v>
      </c>
      <c r="D8241" s="128" t="s">
        <v>77</v>
      </c>
      <c r="E8241" s="128" t="s">
        <v>133</v>
      </c>
      <c r="F8241" s="128">
        <v>85148.93</v>
      </c>
      <c r="G8241" s="128">
        <v>45989.36</v>
      </c>
      <c r="H8241" s="128">
        <v>32764.37</v>
      </c>
      <c r="I8241" s="128">
        <v>428</v>
      </c>
    </row>
    <row r="8242" spans="1:9" ht="13.5">
      <c r="A8242" s="128">
        <v>2014</v>
      </c>
      <c r="B8242" s="128" t="s">
        <v>131</v>
      </c>
      <c r="C8242" s="128" t="s">
        <v>26</v>
      </c>
      <c r="D8242" s="128" t="s">
        <v>77</v>
      </c>
      <c r="E8242" s="128" t="s">
        <v>134</v>
      </c>
      <c r="F8242" s="128">
        <v>242215.02</v>
      </c>
      <c r="G8242" s="128">
        <v>104062.39999999999</v>
      </c>
      <c r="H8242" s="128">
        <v>102844.83</v>
      </c>
      <c r="I8242" s="128">
        <v>676</v>
      </c>
    </row>
    <row r="8243" spans="1:9" ht="13.5">
      <c r="A8243" s="128">
        <v>2014</v>
      </c>
      <c r="B8243" s="128" t="s">
        <v>131</v>
      </c>
      <c r="C8243" s="128" t="s">
        <v>26</v>
      </c>
      <c r="D8243" s="128" t="s">
        <v>77</v>
      </c>
      <c r="E8243" s="128" t="s">
        <v>135</v>
      </c>
      <c r="F8243" s="128">
        <v>1700848.46</v>
      </c>
      <c r="G8243" s="128">
        <v>459113.4</v>
      </c>
      <c r="H8243" s="128">
        <v>500407.62</v>
      </c>
      <c r="I8243" s="128">
        <v>6080</v>
      </c>
    </row>
    <row r="8244" spans="1:9" ht="13.5">
      <c r="A8244" s="128">
        <v>2014</v>
      </c>
      <c r="B8244" s="128" t="s">
        <v>131</v>
      </c>
      <c r="C8244" s="128" t="s">
        <v>26</v>
      </c>
      <c r="D8244" s="128" t="s">
        <v>76</v>
      </c>
      <c r="E8244" s="128" t="s">
        <v>136</v>
      </c>
      <c r="F8244" s="128">
        <v>464049.73</v>
      </c>
      <c r="G8244" s="128">
        <v>348398.12</v>
      </c>
      <c r="H8244" s="128">
        <v>115651.44</v>
      </c>
      <c r="I8244" s="128">
        <v>16314</v>
      </c>
    </row>
    <row r="8245" spans="1:9" ht="13.5">
      <c r="A8245" s="128">
        <v>2014</v>
      </c>
      <c r="B8245" s="128" t="s">
        <v>131</v>
      </c>
      <c r="C8245" s="128" t="s">
        <v>26</v>
      </c>
      <c r="D8245" s="128" t="s">
        <v>76</v>
      </c>
      <c r="E8245" s="128" t="s">
        <v>132</v>
      </c>
      <c r="F8245" s="128">
        <v>1164794.25</v>
      </c>
      <c r="G8245" s="128">
        <v>746827.53</v>
      </c>
      <c r="H8245" s="128">
        <v>418095.51</v>
      </c>
      <c r="I8245" s="128">
        <v>12515</v>
      </c>
    </row>
    <row r="8246" spans="1:9" ht="13.5">
      <c r="A8246" s="128">
        <v>2014</v>
      </c>
      <c r="B8246" s="128" t="s">
        <v>131</v>
      </c>
      <c r="C8246" s="128" t="s">
        <v>26</v>
      </c>
      <c r="D8246" s="128" t="s">
        <v>76</v>
      </c>
      <c r="E8246" s="128" t="s">
        <v>133</v>
      </c>
      <c r="F8246" s="128">
        <v>3120699</v>
      </c>
      <c r="G8246" s="128">
        <v>1714076.37</v>
      </c>
      <c r="H8246" s="128">
        <v>1406606.63</v>
      </c>
      <c r="I8246" s="128">
        <v>19426</v>
      </c>
    </row>
    <row r="8247" spans="1:9" ht="13.5">
      <c r="A8247" s="128">
        <v>2014</v>
      </c>
      <c r="B8247" s="128" t="s">
        <v>131</v>
      </c>
      <c r="C8247" s="128" t="s">
        <v>26</v>
      </c>
      <c r="D8247" s="128" t="s">
        <v>76</v>
      </c>
      <c r="E8247" s="128" t="s">
        <v>134</v>
      </c>
      <c r="F8247" s="128">
        <v>2753151.25</v>
      </c>
      <c r="G8247" s="128">
        <v>1250610.3400000001</v>
      </c>
      <c r="H8247" s="128">
        <v>1502517.41</v>
      </c>
      <c r="I8247" s="128">
        <v>17409</v>
      </c>
    </row>
    <row r="8248" spans="1:9" ht="13.5">
      <c r="A8248" s="128">
        <v>2014</v>
      </c>
      <c r="B8248" s="128" t="s">
        <v>131</v>
      </c>
      <c r="C8248" s="128" t="s">
        <v>26</v>
      </c>
      <c r="D8248" s="128" t="s">
        <v>76</v>
      </c>
      <c r="E8248" s="128" t="s">
        <v>135</v>
      </c>
      <c r="F8248" s="128">
        <v>439642.85</v>
      </c>
      <c r="G8248" s="128">
        <v>134012.54999999999</v>
      </c>
      <c r="H8248" s="128">
        <v>305630.28000000003</v>
      </c>
      <c r="I8248" s="128">
        <v>1552</v>
      </c>
    </row>
    <row r="8249" spans="1:9" ht="13.5">
      <c r="A8249" s="128">
        <v>2014</v>
      </c>
      <c r="B8249" s="128" t="s">
        <v>131</v>
      </c>
      <c r="C8249" s="128" t="s">
        <v>27</v>
      </c>
      <c r="D8249" s="128" t="s">
        <v>79</v>
      </c>
      <c r="E8249" s="128" t="s">
        <v>136</v>
      </c>
      <c r="F8249" s="128">
        <v>298661.90000000002</v>
      </c>
      <c r="G8249" s="128">
        <v>223995.08</v>
      </c>
      <c r="H8249" s="128">
        <v>74544.52</v>
      </c>
      <c r="I8249" s="128">
        <v>1012</v>
      </c>
    </row>
    <row r="8250" spans="1:9" ht="13.5">
      <c r="A8250" s="128">
        <v>2014</v>
      </c>
      <c r="B8250" s="128" t="s">
        <v>131</v>
      </c>
      <c r="C8250" s="128" t="s">
        <v>27</v>
      </c>
      <c r="D8250" s="128" t="s">
        <v>79</v>
      </c>
      <c r="E8250" s="128" t="s">
        <v>132</v>
      </c>
      <c r="F8250" s="128">
        <v>51731.43</v>
      </c>
      <c r="G8250" s="128">
        <v>33249</v>
      </c>
      <c r="H8250" s="128">
        <v>14140.38</v>
      </c>
      <c r="I8250" s="128">
        <v>303</v>
      </c>
    </row>
    <row r="8251" spans="1:9" ht="13.5">
      <c r="A8251" s="128">
        <v>2014</v>
      </c>
      <c r="B8251" s="128" t="s">
        <v>131</v>
      </c>
      <c r="C8251" s="128" t="s">
        <v>27</v>
      </c>
      <c r="D8251" s="128" t="s">
        <v>79</v>
      </c>
      <c r="E8251" s="128" t="s">
        <v>133</v>
      </c>
      <c r="F8251" s="128">
        <v>71271.98</v>
      </c>
      <c r="G8251" s="128">
        <v>38897.65</v>
      </c>
      <c r="H8251" s="128">
        <v>22778.3</v>
      </c>
      <c r="I8251" s="128">
        <v>552</v>
      </c>
    </row>
    <row r="8252" spans="1:9" ht="13.5">
      <c r="A8252" s="128">
        <v>2014</v>
      </c>
      <c r="B8252" s="128" t="s">
        <v>131</v>
      </c>
      <c r="C8252" s="128" t="s">
        <v>27</v>
      </c>
      <c r="D8252" s="128" t="s">
        <v>79</v>
      </c>
      <c r="E8252" s="128" t="s">
        <v>134</v>
      </c>
      <c r="F8252" s="128">
        <v>142906.62</v>
      </c>
      <c r="G8252" s="128">
        <v>61914.33</v>
      </c>
      <c r="H8252" s="128">
        <v>38616.15</v>
      </c>
      <c r="I8252" s="128">
        <v>544</v>
      </c>
    </row>
    <row r="8253" spans="1:9" ht="13.5">
      <c r="A8253" s="128">
        <v>2014</v>
      </c>
      <c r="B8253" s="128" t="s">
        <v>131</v>
      </c>
      <c r="C8253" s="128" t="s">
        <v>27</v>
      </c>
      <c r="D8253" s="128" t="s">
        <v>79</v>
      </c>
      <c r="E8253" s="128" t="s">
        <v>135</v>
      </c>
      <c r="F8253" s="128">
        <v>1497487.4</v>
      </c>
      <c r="G8253" s="128">
        <v>381703.33</v>
      </c>
      <c r="H8253" s="128">
        <v>133270.70000000001</v>
      </c>
      <c r="I8253" s="128">
        <v>1923</v>
      </c>
    </row>
    <row r="8254" spans="1:9" ht="13.5">
      <c r="A8254" s="128">
        <v>2014</v>
      </c>
      <c r="B8254" s="128" t="s">
        <v>131</v>
      </c>
      <c r="C8254" s="128" t="s">
        <v>27</v>
      </c>
      <c r="D8254" s="128" t="s">
        <v>77</v>
      </c>
      <c r="E8254" s="128" t="s">
        <v>132</v>
      </c>
      <c r="F8254" s="128">
        <v>27359.35</v>
      </c>
      <c r="G8254" s="128">
        <v>18233.75</v>
      </c>
      <c r="H8254" s="128">
        <v>7762.7</v>
      </c>
      <c r="I8254" s="128">
        <v>189</v>
      </c>
    </row>
    <row r="8255" spans="1:9" ht="13.5">
      <c r="A8255" s="128">
        <v>2014</v>
      </c>
      <c r="B8255" s="128" t="s">
        <v>131</v>
      </c>
      <c r="C8255" s="128" t="s">
        <v>27</v>
      </c>
      <c r="D8255" s="128" t="s">
        <v>77</v>
      </c>
      <c r="E8255" s="128" t="s">
        <v>133</v>
      </c>
      <c r="F8255" s="128">
        <v>72397.77</v>
      </c>
      <c r="G8255" s="128">
        <v>37269.65</v>
      </c>
      <c r="H8255" s="128">
        <v>17112.060000000001</v>
      </c>
      <c r="I8255" s="128">
        <v>605</v>
      </c>
    </row>
    <row r="8256" spans="1:9" ht="13.5">
      <c r="A8256" s="128">
        <v>2014</v>
      </c>
      <c r="B8256" s="128" t="s">
        <v>131</v>
      </c>
      <c r="C8256" s="128" t="s">
        <v>27</v>
      </c>
      <c r="D8256" s="128" t="s">
        <v>77</v>
      </c>
      <c r="E8256" s="128" t="s">
        <v>134</v>
      </c>
      <c r="F8256" s="128">
        <v>221137.06</v>
      </c>
      <c r="G8256" s="128">
        <v>92947.55</v>
      </c>
      <c r="H8256" s="128">
        <v>89830.54</v>
      </c>
      <c r="I8256" s="128">
        <v>423</v>
      </c>
    </row>
    <row r="8257" spans="1:9" ht="13.5">
      <c r="A8257" s="128">
        <v>2014</v>
      </c>
      <c r="B8257" s="128" t="s">
        <v>131</v>
      </c>
      <c r="C8257" s="128" t="s">
        <v>27</v>
      </c>
      <c r="D8257" s="128" t="s">
        <v>77</v>
      </c>
      <c r="E8257" s="128" t="s">
        <v>135</v>
      </c>
      <c r="F8257" s="128">
        <v>595081.98</v>
      </c>
      <c r="G8257" s="128">
        <v>161922.75</v>
      </c>
      <c r="H8257" s="128">
        <v>164451.59</v>
      </c>
      <c r="I8257" s="128">
        <v>2864</v>
      </c>
    </row>
    <row r="8258" spans="1:9" ht="13.5">
      <c r="A8258" s="128">
        <v>2014</v>
      </c>
      <c r="B8258" s="128" t="s">
        <v>131</v>
      </c>
      <c r="C8258" s="128" t="s">
        <v>27</v>
      </c>
      <c r="D8258" s="128" t="s">
        <v>76</v>
      </c>
      <c r="E8258" s="128" t="s">
        <v>136</v>
      </c>
      <c r="F8258" s="128">
        <v>220450.68</v>
      </c>
      <c r="G8258" s="128">
        <v>165667.09</v>
      </c>
      <c r="H8258" s="128">
        <v>54783.59</v>
      </c>
      <c r="I8258" s="128">
        <v>2913</v>
      </c>
    </row>
    <row r="8259" spans="1:9" ht="13.5">
      <c r="A8259" s="128">
        <v>2014</v>
      </c>
      <c r="B8259" s="128" t="s">
        <v>131</v>
      </c>
      <c r="C8259" s="128" t="s">
        <v>27</v>
      </c>
      <c r="D8259" s="128" t="s">
        <v>76</v>
      </c>
      <c r="E8259" s="128" t="s">
        <v>132</v>
      </c>
      <c r="F8259" s="128">
        <v>486407.96</v>
      </c>
      <c r="G8259" s="128">
        <v>312423.94</v>
      </c>
      <c r="H8259" s="128">
        <v>173978.98</v>
      </c>
      <c r="I8259" s="128">
        <v>3254</v>
      </c>
    </row>
    <row r="8260" spans="1:9" ht="13.5">
      <c r="A8260" s="128">
        <v>2014</v>
      </c>
      <c r="B8260" s="128" t="s">
        <v>131</v>
      </c>
      <c r="C8260" s="128" t="s">
        <v>27</v>
      </c>
      <c r="D8260" s="128" t="s">
        <v>76</v>
      </c>
      <c r="E8260" s="128" t="s">
        <v>133</v>
      </c>
      <c r="F8260" s="128">
        <v>1119601.55</v>
      </c>
      <c r="G8260" s="128">
        <v>615717.91</v>
      </c>
      <c r="H8260" s="128">
        <v>503881.33</v>
      </c>
      <c r="I8260" s="128">
        <v>7550</v>
      </c>
    </row>
    <row r="8261" spans="1:9" ht="13.5">
      <c r="A8261" s="128">
        <v>2014</v>
      </c>
      <c r="B8261" s="128" t="s">
        <v>131</v>
      </c>
      <c r="C8261" s="128" t="s">
        <v>27</v>
      </c>
      <c r="D8261" s="128" t="s">
        <v>76</v>
      </c>
      <c r="E8261" s="128" t="s">
        <v>134</v>
      </c>
      <c r="F8261" s="128">
        <v>1781223.77</v>
      </c>
      <c r="G8261" s="128">
        <v>819593.95</v>
      </c>
      <c r="H8261" s="128">
        <v>961625.88</v>
      </c>
      <c r="I8261" s="128">
        <v>8045</v>
      </c>
    </row>
    <row r="8262" spans="1:9" ht="13.5">
      <c r="A8262" s="128">
        <v>2014</v>
      </c>
      <c r="B8262" s="128" t="s">
        <v>131</v>
      </c>
      <c r="C8262" s="128" t="s">
        <v>27</v>
      </c>
      <c r="D8262" s="128" t="s">
        <v>76</v>
      </c>
      <c r="E8262" s="128" t="s">
        <v>135</v>
      </c>
      <c r="F8262" s="128">
        <v>59486.46</v>
      </c>
      <c r="G8262" s="128">
        <v>17813.7</v>
      </c>
      <c r="H8262" s="128">
        <v>41672.76</v>
      </c>
      <c r="I8262" s="128">
        <v>136</v>
      </c>
    </row>
    <row r="8263" spans="1:9" ht="13.5">
      <c r="A8263" s="128">
        <v>2014</v>
      </c>
      <c r="B8263" s="128" t="s">
        <v>138</v>
      </c>
      <c r="C8263" s="128" t="s">
        <v>20</v>
      </c>
      <c r="D8263" s="128" t="s">
        <v>79</v>
      </c>
      <c r="E8263" s="128" t="s">
        <v>136</v>
      </c>
      <c r="F8263" s="128">
        <v>41547915.899999999</v>
      </c>
      <c r="G8263" s="128">
        <v>31241411.329999998</v>
      </c>
      <c r="H8263" s="128">
        <v>10302004.83</v>
      </c>
      <c r="I8263" s="128">
        <v>632187</v>
      </c>
    </row>
    <row r="8264" spans="1:9" ht="13.5">
      <c r="A8264" s="128">
        <v>2014</v>
      </c>
      <c r="B8264" s="128" t="s">
        <v>138</v>
      </c>
      <c r="C8264" s="128" t="s">
        <v>20</v>
      </c>
      <c r="D8264" s="128" t="s">
        <v>79</v>
      </c>
      <c r="E8264" s="128" t="s">
        <v>132</v>
      </c>
      <c r="F8264" s="128">
        <v>2765897.14</v>
      </c>
      <c r="G8264" s="128">
        <v>1837160.96</v>
      </c>
      <c r="H8264" s="128">
        <v>737228.65</v>
      </c>
      <c r="I8264" s="128">
        <v>17380</v>
      </c>
    </row>
    <row r="8265" spans="1:9" ht="13.5">
      <c r="A8265" s="128">
        <v>2014</v>
      </c>
      <c r="B8265" s="128" t="s">
        <v>138</v>
      </c>
      <c r="C8265" s="128" t="s">
        <v>20</v>
      </c>
      <c r="D8265" s="128" t="s">
        <v>79</v>
      </c>
      <c r="E8265" s="128" t="s">
        <v>133</v>
      </c>
      <c r="F8265" s="128">
        <v>3454912.15</v>
      </c>
      <c r="G8265" s="128">
        <v>1866883.61</v>
      </c>
      <c r="H8265" s="128">
        <v>891726.67</v>
      </c>
      <c r="I8265" s="128">
        <v>13480</v>
      </c>
    </row>
    <row r="8266" spans="1:9" ht="13.5">
      <c r="A8266" s="128">
        <v>2014</v>
      </c>
      <c r="B8266" s="128" t="s">
        <v>138</v>
      </c>
      <c r="C8266" s="128" t="s">
        <v>20</v>
      </c>
      <c r="D8266" s="128" t="s">
        <v>79</v>
      </c>
      <c r="E8266" s="128" t="s">
        <v>134</v>
      </c>
      <c r="F8266" s="128">
        <v>14138509.07</v>
      </c>
      <c r="G8266" s="128">
        <v>6054691.9900000002</v>
      </c>
      <c r="H8266" s="128">
        <v>2614752.5</v>
      </c>
      <c r="I8266" s="128">
        <v>73720</v>
      </c>
    </row>
    <row r="8267" spans="1:9" ht="13.5">
      <c r="A8267" s="128">
        <v>2014</v>
      </c>
      <c r="B8267" s="128" t="s">
        <v>138</v>
      </c>
      <c r="C8267" s="128" t="s">
        <v>20</v>
      </c>
      <c r="D8267" s="128" t="s">
        <v>79</v>
      </c>
      <c r="E8267" s="128" t="s">
        <v>135</v>
      </c>
      <c r="F8267" s="128">
        <v>103478887.51000001</v>
      </c>
      <c r="G8267" s="128">
        <v>25457950.02</v>
      </c>
      <c r="H8267" s="128">
        <v>8557897.9299999997</v>
      </c>
      <c r="I8267" s="128">
        <v>156240</v>
      </c>
    </row>
    <row r="8268" spans="1:9" ht="13.5">
      <c r="A8268" s="128">
        <v>2014</v>
      </c>
      <c r="B8268" s="128" t="s">
        <v>138</v>
      </c>
      <c r="C8268" s="128" t="s">
        <v>20</v>
      </c>
      <c r="D8268" s="128" t="s">
        <v>77</v>
      </c>
      <c r="E8268" s="128" t="s">
        <v>132</v>
      </c>
      <c r="F8268" s="128">
        <v>1366605.13</v>
      </c>
      <c r="G8268" s="128">
        <v>916963.86</v>
      </c>
      <c r="H8268" s="128">
        <v>404666.64</v>
      </c>
      <c r="I8268" s="128">
        <v>6283</v>
      </c>
    </row>
    <row r="8269" spans="1:9" ht="13.5">
      <c r="A8269" s="128">
        <v>2014</v>
      </c>
      <c r="B8269" s="128" t="s">
        <v>138</v>
      </c>
      <c r="C8269" s="128" t="s">
        <v>20</v>
      </c>
      <c r="D8269" s="128" t="s">
        <v>77</v>
      </c>
      <c r="E8269" s="128" t="s">
        <v>133</v>
      </c>
      <c r="F8269" s="128">
        <v>1868287.25</v>
      </c>
      <c r="G8269" s="128">
        <v>1010740.84</v>
      </c>
      <c r="H8269" s="128">
        <v>700872.56</v>
      </c>
      <c r="I8269" s="128">
        <v>6402</v>
      </c>
    </row>
    <row r="8270" spans="1:9" ht="13.5">
      <c r="A8270" s="128">
        <v>2014</v>
      </c>
      <c r="B8270" s="128" t="s">
        <v>138</v>
      </c>
      <c r="C8270" s="128" t="s">
        <v>20</v>
      </c>
      <c r="D8270" s="128" t="s">
        <v>77</v>
      </c>
      <c r="E8270" s="128" t="s">
        <v>134</v>
      </c>
      <c r="F8270" s="128">
        <v>5097669.8899999997</v>
      </c>
      <c r="G8270" s="128">
        <v>2238882.2200000002</v>
      </c>
      <c r="H8270" s="128">
        <v>2136469.19</v>
      </c>
      <c r="I8270" s="128">
        <v>13466</v>
      </c>
    </row>
    <row r="8271" spans="1:9" ht="13.5">
      <c r="A8271" s="128">
        <v>2014</v>
      </c>
      <c r="B8271" s="128" t="s">
        <v>138</v>
      </c>
      <c r="C8271" s="128" t="s">
        <v>20</v>
      </c>
      <c r="D8271" s="128" t="s">
        <v>77</v>
      </c>
      <c r="E8271" s="128" t="s">
        <v>135</v>
      </c>
      <c r="F8271" s="128">
        <v>5883918.5999999996</v>
      </c>
      <c r="G8271" s="128">
        <v>1642707.89</v>
      </c>
      <c r="H8271" s="128">
        <v>1797807.91</v>
      </c>
      <c r="I8271" s="128">
        <v>16938</v>
      </c>
    </row>
    <row r="8272" spans="1:9" ht="13.5">
      <c r="A8272" s="128">
        <v>2014</v>
      </c>
      <c r="B8272" s="128" t="s">
        <v>138</v>
      </c>
      <c r="C8272" s="128" t="s">
        <v>20</v>
      </c>
      <c r="D8272" s="128" t="s">
        <v>76</v>
      </c>
      <c r="E8272" s="128" t="s">
        <v>136</v>
      </c>
      <c r="F8272" s="128">
        <v>13813365.779999999</v>
      </c>
      <c r="G8272" s="128">
        <v>10386880.75</v>
      </c>
      <c r="H8272" s="128">
        <v>3426532.49</v>
      </c>
      <c r="I8272" s="128">
        <v>379883</v>
      </c>
    </row>
    <row r="8273" spans="1:9" ht="13.5">
      <c r="A8273" s="128">
        <v>2014</v>
      </c>
      <c r="B8273" s="128" t="s">
        <v>138</v>
      </c>
      <c r="C8273" s="128" t="s">
        <v>20</v>
      </c>
      <c r="D8273" s="128" t="s">
        <v>76</v>
      </c>
      <c r="E8273" s="128" t="s">
        <v>132</v>
      </c>
      <c r="F8273" s="128">
        <v>40329028.229999997</v>
      </c>
      <c r="G8273" s="128">
        <v>25829847</v>
      </c>
      <c r="H8273" s="128">
        <v>14499140.470000001</v>
      </c>
      <c r="I8273" s="128">
        <v>400903</v>
      </c>
    </row>
    <row r="8274" spans="1:9" ht="13.5">
      <c r="A8274" s="128">
        <v>2014</v>
      </c>
      <c r="B8274" s="128" t="s">
        <v>138</v>
      </c>
      <c r="C8274" s="128" t="s">
        <v>20</v>
      </c>
      <c r="D8274" s="128" t="s">
        <v>76</v>
      </c>
      <c r="E8274" s="128" t="s">
        <v>133</v>
      </c>
      <c r="F8274" s="128">
        <v>90345523.129999995</v>
      </c>
      <c r="G8274" s="128">
        <v>49967103.450000003</v>
      </c>
      <c r="H8274" s="128">
        <v>40378373.579999998</v>
      </c>
      <c r="I8274" s="128">
        <v>528458</v>
      </c>
    </row>
    <row r="8275" spans="1:9" ht="13.5">
      <c r="A8275" s="128">
        <v>2014</v>
      </c>
      <c r="B8275" s="128" t="s">
        <v>138</v>
      </c>
      <c r="C8275" s="128" t="s">
        <v>20</v>
      </c>
      <c r="D8275" s="128" t="s">
        <v>76</v>
      </c>
      <c r="E8275" s="128" t="s">
        <v>134</v>
      </c>
      <c r="F8275" s="128">
        <v>100458693.72</v>
      </c>
      <c r="G8275" s="128">
        <v>45918994.350000001</v>
      </c>
      <c r="H8275" s="128">
        <v>54539616.310000002</v>
      </c>
      <c r="I8275" s="128">
        <v>554931</v>
      </c>
    </row>
    <row r="8276" spans="1:9" ht="13.5">
      <c r="A8276" s="128">
        <v>2014</v>
      </c>
      <c r="B8276" s="128" t="s">
        <v>138</v>
      </c>
      <c r="C8276" s="128" t="s">
        <v>20</v>
      </c>
      <c r="D8276" s="128" t="s">
        <v>76</v>
      </c>
      <c r="E8276" s="128" t="s">
        <v>135</v>
      </c>
      <c r="F8276" s="128">
        <v>10473633.279999999</v>
      </c>
      <c r="G8276" s="128">
        <v>3246599.97</v>
      </c>
      <c r="H8276" s="128">
        <v>7227033.3099999996</v>
      </c>
      <c r="I8276" s="128">
        <v>45550</v>
      </c>
    </row>
    <row r="8277" spans="1:9" ht="13.5">
      <c r="A8277" s="128">
        <v>2014</v>
      </c>
      <c r="B8277" s="128" t="s">
        <v>138</v>
      </c>
      <c r="C8277" s="128" t="s">
        <v>21</v>
      </c>
      <c r="D8277" s="128" t="s">
        <v>79</v>
      </c>
      <c r="E8277" s="128" t="s">
        <v>136</v>
      </c>
      <c r="F8277" s="128">
        <v>9612487.3399999999</v>
      </c>
      <c r="G8277" s="128">
        <v>7232860.4000000004</v>
      </c>
      <c r="H8277" s="128">
        <v>2378696.87</v>
      </c>
      <c r="I8277" s="128">
        <v>90887</v>
      </c>
    </row>
    <row r="8278" spans="1:9" ht="13.5">
      <c r="A8278" s="128">
        <v>2014</v>
      </c>
      <c r="B8278" s="128" t="s">
        <v>138</v>
      </c>
      <c r="C8278" s="128" t="s">
        <v>21</v>
      </c>
      <c r="D8278" s="128" t="s">
        <v>79</v>
      </c>
      <c r="E8278" s="128" t="s">
        <v>132</v>
      </c>
      <c r="F8278" s="128">
        <v>1262076.99</v>
      </c>
      <c r="G8278" s="128">
        <v>827312.15</v>
      </c>
      <c r="H8278" s="128">
        <v>316701.09000000003</v>
      </c>
      <c r="I8278" s="128">
        <v>7144</v>
      </c>
    </row>
    <row r="8279" spans="1:9" ht="13.5">
      <c r="A8279" s="128">
        <v>2014</v>
      </c>
      <c r="B8279" s="128" t="s">
        <v>138</v>
      </c>
      <c r="C8279" s="128" t="s">
        <v>21</v>
      </c>
      <c r="D8279" s="128" t="s">
        <v>79</v>
      </c>
      <c r="E8279" s="128" t="s">
        <v>133</v>
      </c>
      <c r="F8279" s="128">
        <v>2401441.61</v>
      </c>
      <c r="G8279" s="128">
        <v>1309733.32</v>
      </c>
      <c r="H8279" s="128">
        <v>810216.8</v>
      </c>
      <c r="I8279" s="128">
        <v>17249</v>
      </c>
    </row>
    <row r="8280" spans="1:9" ht="13.5">
      <c r="A8280" s="128">
        <v>2014</v>
      </c>
      <c r="B8280" s="128" t="s">
        <v>138</v>
      </c>
      <c r="C8280" s="128" t="s">
        <v>21</v>
      </c>
      <c r="D8280" s="128" t="s">
        <v>79</v>
      </c>
      <c r="E8280" s="128" t="s">
        <v>134</v>
      </c>
      <c r="F8280" s="128">
        <v>5656388.0899999999</v>
      </c>
      <c r="G8280" s="128">
        <v>2423155.5699999998</v>
      </c>
      <c r="H8280" s="128">
        <v>1997892.88</v>
      </c>
      <c r="I8280" s="128">
        <v>23270</v>
      </c>
    </row>
    <row r="8281" spans="1:9" ht="13.5">
      <c r="A8281" s="128">
        <v>2014</v>
      </c>
      <c r="B8281" s="128" t="s">
        <v>138</v>
      </c>
      <c r="C8281" s="128" t="s">
        <v>21</v>
      </c>
      <c r="D8281" s="128" t="s">
        <v>79</v>
      </c>
      <c r="E8281" s="128" t="s">
        <v>135</v>
      </c>
      <c r="F8281" s="128">
        <v>23981776.5</v>
      </c>
      <c r="G8281" s="128">
        <v>6169349.46</v>
      </c>
      <c r="H8281" s="128">
        <v>2164288.39</v>
      </c>
      <c r="I8281" s="128">
        <v>44149</v>
      </c>
    </row>
    <row r="8282" spans="1:9" ht="13.5">
      <c r="A8282" s="128">
        <v>2014</v>
      </c>
      <c r="B8282" s="128" t="s">
        <v>138</v>
      </c>
      <c r="C8282" s="128" t="s">
        <v>21</v>
      </c>
      <c r="D8282" s="128" t="s">
        <v>77</v>
      </c>
      <c r="E8282" s="128" t="s">
        <v>132</v>
      </c>
      <c r="F8282" s="128">
        <v>2185241.0099999998</v>
      </c>
      <c r="G8282" s="128">
        <v>1455498.19</v>
      </c>
      <c r="H8282" s="128">
        <v>616081.77</v>
      </c>
      <c r="I8282" s="128">
        <v>11403</v>
      </c>
    </row>
    <row r="8283" spans="1:9" ht="13.5">
      <c r="A8283" s="128">
        <v>2014</v>
      </c>
      <c r="B8283" s="128" t="s">
        <v>138</v>
      </c>
      <c r="C8283" s="128" t="s">
        <v>21</v>
      </c>
      <c r="D8283" s="128" t="s">
        <v>77</v>
      </c>
      <c r="E8283" s="128" t="s">
        <v>133</v>
      </c>
      <c r="F8283" s="128">
        <v>4353206.8499999996</v>
      </c>
      <c r="G8283" s="128">
        <v>2371786.29</v>
      </c>
      <c r="H8283" s="128">
        <v>1580417.12</v>
      </c>
      <c r="I8283" s="128">
        <v>14767</v>
      </c>
    </row>
    <row r="8284" spans="1:9" ht="13.5">
      <c r="A8284" s="128">
        <v>2014</v>
      </c>
      <c r="B8284" s="128" t="s">
        <v>138</v>
      </c>
      <c r="C8284" s="128" t="s">
        <v>21</v>
      </c>
      <c r="D8284" s="128" t="s">
        <v>77</v>
      </c>
      <c r="E8284" s="128" t="s">
        <v>134</v>
      </c>
      <c r="F8284" s="128">
        <v>7322616.75</v>
      </c>
      <c r="G8284" s="128">
        <v>3170316.2</v>
      </c>
      <c r="H8284" s="128">
        <v>2825144.1</v>
      </c>
      <c r="I8284" s="128">
        <v>18479</v>
      </c>
    </row>
    <row r="8285" spans="1:9" ht="13.5">
      <c r="A8285" s="128">
        <v>2014</v>
      </c>
      <c r="B8285" s="128" t="s">
        <v>138</v>
      </c>
      <c r="C8285" s="128" t="s">
        <v>21</v>
      </c>
      <c r="D8285" s="128" t="s">
        <v>77</v>
      </c>
      <c r="E8285" s="128" t="s">
        <v>135</v>
      </c>
      <c r="F8285" s="128">
        <v>7926368.21</v>
      </c>
      <c r="G8285" s="128">
        <v>2328237.33</v>
      </c>
      <c r="H8285" s="128">
        <v>2352738.02</v>
      </c>
      <c r="I8285" s="128">
        <v>21062</v>
      </c>
    </row>
    <row r="8286" spans="1:9" ht="13.5">
      <c r="A8286" s="128">
        <v>2014</v>
      </c>
      <c r="B8286" s="128" t="s">
        <v>138</v>
      </c>
      <c r="C8286" s="128" t="s">
        <v>21</v>
      </c>
      <c r="D8286" s="128" t="s">
        <v>76</v>
      </c>
      <c r="E8286" s="128" t="s">
        <v>136</v>
      </c>
      <c r="F8286" s="128">
        <v>14962273.140000001</v>
      </c>
      <c r="G8286" s="128">
        <v>11251257.880000001</v>
      </c>
      <c r="H8286" s="128">
        <v>3711270.12</v>
      </c>
      <c r="I8286" s="128">
        <v>252418</v>
      </c>
    </row>
    <row r="8287" spans="1:9" ht="13.5">
      <c r="A8287" s="128">
        <v>2014</v>
      </c>
      <c r="B8287" s="128" t="s">
        <v>138</v>
      </c>
      <c r="C8287" s="128" t="s">
        <v>21</v>
      </c>
      <c r="D8287" s="128" t="s">
        <v>76</v>
      </c>
      <c r="E8287" s="128" t="s">
        <v>132</v>
      </c>
      <c r="F8287" s="128">
        <v>41815648.310000002</v>
      </c>
      <c r="G8287" s="128">
        <v>26723540.289999999</v>
      </c>
      <c r="H8287" s="128">
        <v>15092097.880000001</v>
      </c>
      <c r="I8287" s="128">
        <v>359177</v>
      </c>
    </row>
    <row r="8288" spans="1:9" ht="13.5">
      <c r="A8288" s="128">
        <v>2014</v>
      </c>
      <c r="B8288" s="128" t="s">
        <v>138</v>
      </c>
      <c r="C8288" s="128" t="s">
        <v>21</v>
      </c>
      <c r="D8288" s="128" t="s">
        <v>76</v>
      </c>
      <c r="E8288" s="128" t="s">
        <v>133</v>
      </c>
      <c r="F8288" s="128">
        <v>102685476.45</v>
      </c>
      <c r="G8288" s="128">
        <v>56732248.869999997</v>
      </c>
      <c r="H8288" s="128">
        <v>45953179.640000001</v>
      </c>
      <c r="I8288" s="128">
        <v>829011</v>
      </c>
    </row>
    <row r="8289" spans="1:9" ht="13.5">
      <c r="A8289" s="128">
        <v>2014</v>
      </c>
      <c r="B8289" s="128" t="s">
        <v>138</v>
      </c>
      <c r="C8289" s="128" t="s">
        <v>21</v>
      </c>
      <c r="D8289" s="128" t="s">
        <v>76</v>
      </c>
      <c r="E8289" s="128" t="s">
        <v>134</v>
      </c>
      <c r="F8289" s="128">
        <v>98628088.019999996</v>
      </c>
      <c r="G8289" s="128">
        <v>44412174.280000001</v>
      </c>
      <c r="H8289" s="128">
        <v>54215869.359999999</v>
      </c>
      <c r="I8289" s="128">
        <v>517105</v>
      </c>
    </row>
    <row r="8290" spans="1:9" ht="13.5">
      <c r="A8290" s="128">
        <v>2014</v>
      </c>
      <c r="B8290" s="128" t="s">
        <v>138</v>
      </c>
      <c r="C8290" s="128" t="s">
        <v>21</v>
      </c>
      <c r="D8290" s="128" t="s">
        <v>76</v>
      </c>
      <c r="E8290" s="128" t="s">
        <v>135</v>
      </c>
      <c r="F8290" s="128">
        <v>5360944.6399999997</v>
      </c>
      <c r="G8290" s="128">
        <v>1535607.87</v>
      </c>
      <c r="H8290" s="128">
        <v>3825336.77</v>
      </c>
      <c r="I8290" s="128">
        <v>14782</v>
      </c>
    </row>
    <row r="8291" spans="1:9" ht="13.5">
      <c r="A8291" s="128">
        <v>2014</v>
      </c>
      <c r="B8291" s="128" t="s">
        <v>138</v>
      </c>
      <c r="C8291" s="128" t="s">
        <v>22</v>
      </c>
      <c r="D8291" s="128" t="s">
        <v>79</v>
      </c>
      <c r="E8291" s="128" t="s">
        <v>136</v>
      </c>
      <c r="F8291" s="128">
        <v>9413853.7100000009</v>
      </c>
      <c r="G8291" s="128">
        <v>7081879.5599999996</v>
      </c>
      <c r="H8291" s="128">
        <v>2327447.39</v>
      </c>
      <c r="I8291" s="128">
        <v>65514</v>
      </c>
    </row>
    <row r="8292" spans="1:9" ht="13.5">
      <c r="A8292" s="128">
        <v>2014</v>
      </c>
      <c r="B8292" s="128" t="s">
        <v>138</v>
      </c>
      <c r="C8292" s="128" t="s">
        <v>22</v>
      </c>
      <c r="D8292" s="128" t="s">
        <v>79</v>
      </c>
      <c r="E8292" s="128" t="s">
        <v>132</v>
      </c>
      <c r="F8292" s="128">
        <v>2620210.4900000002</v>
      </c>
      <c r="G8292" s="128">
        <v>1717129.7</v>
      </c>
      <c r="H8292" s="128">
        <v>744080.9</v>
      </c>
      <c r="I8292" s="128">
        <v>18498</v>
      </c>
    </row>
    <row r="8293" spans="1:9" ht="13.5">
      <c r="A8293" s="128">
        <v>2014</v>
      </c>
      <c r="B8293" s="128" t="s">
        <v>138</v>
      </c>
      <c r="C8293" s="128" t="s">
        <v>22</v>
      </c>
      <c r="D8293" s="128" t="s">
        <v>79</v>
      </c>
      <c r="E8293" s="128" t="s">
        <v>133</v>
      </c>
      <c r="F8293" s="128">
        <v>3268944.94</v>
      </c>
      <c r="G8293" s="128">
        <v>1776771.43</v>
      </c>
      <c r="H8293" s="128">
        <v>934659.56</v>
      </c>
      <c r="I8293" s="128">
        <v>19128</v>
      </c>
    </row>
    <row r="8294" spans="1:9" ht="13.5">
      <c r="A8294" s="128">
        <v>2014</v>
      </c>
      <c r="B8294" s="128" t="s">
        <v>138</v>
      </c>
      <c r="C8294" s="128" t="s">
        <v>22</v>
      </c>
      <c r="D8294" s="128" t="s">
        <v>79</v>
      </c>
      <c r="E8294" s="128" t="s">
        <v>134</v>
      </c>
      <c r="F8294" s="128">
        <v>8914775.5399999991</v>
      </c>
      <c r="G8294" s="128">
        <v>3811315.5</v>
      </c>
      <c r="H8294" s="128">
        <v>1790167.69</v>
      </c>
      <c r="I8294" s="128">
        <v>30066</v>
      </c>
    </row>
    <row r="8295" spans="1:9" ht="13.5">
      <c r="A8295" s="128">
        <v>2014</v>
      </c>
      <c r="B8295" s="128" t="s">
        <v>138</v>
      </c>
      <c r="C8295" s="128" t="s">
        <v>22</v>
      </c>
      <c r="D8295" s="128" t="s">
        <v>79</v>
      </c>
      <c r="E8295" s="128" t="s">
        <v>135</v>
      </c>
      <c r="F8295" s="128">
        <v>52178615.149999999</v>
      </c>
      <c r="G8295" s="128">
        <v>13562153.439999999</v>
      </c>
      <c r="H8295" s="128">
        <v>4635906.79</v>
      </c>
      <c r="I8295" s="128">
        <v>89154</v>
      </c>
    </row>
    <row r="8296" spans="1:9" ht="13.5">
      <c r="A8296" s="128">
        <v>2014</v>
      </c>
      <c r="B8296" s="128" t="s">
        <v>138</v>
      </c>
      <c r="C8296" s="128" t="s">
        <v>22</v>
      </c>
      <c r="D8296" s="128" t="s">
        <v>77</v>
      </c>
      <c r="E8296" s="128" t="s">
        <v>132</v>
      </c>
      <c r="F8296" s="128">
        <v>752041.83</v>
      </c>
      <c r="G8296" s="128">
        <v>492216.75</v>
      </c>
      <c r="H8296" s="128">
        <v>227848.3</v>
      </c>
      <c r="I8296" s="128">
        <v>3078</v>
      </c>
    </row>
    <row r="8297" spans="1:9" ht="13.5">
      <c r="A8297" s="128">
        <v>2014</v>
      </c>
      <c r="B8297" s="128" t="s">
        <v>138</v>
      </c>
      <c r="C8297" s="128" t="s">
        <v>22</v>
      </c>
      <c r="D8297" s="128" t="s">
        <v>77</v>
      </c>
      <c r="E8297" s="128" t="s">
        <v>133</v>
      </c>
      <c r="F8297" s="128">
        <v>1973136.64</v>
      </c>
      <c r="G8297" s="128">
        <v>1064555.07</v>
      </c>
      <c r="H8297" s="128">
        <v>718367.49</v>
      </c>
      <c r="I8297" s="128">
        <v>7105</v>
      </c>
    </row>
    <row r="8298" spans="1:9" ht="13.5">
      <c r="A8298" s="128">
        <v>2014</v>
      </c>
      <c r="B8298" s="128" t="s">
        <v>138</v>
      </c>
      <c r="C8298" s="128" t="s">
        <v>22</v>
      </c>
      <c r="D8298" s="128" t="s">
        <v>77</v>
      </c>
      <c r="E8298" s="128" t="s">
        <v>134</v>
      </c>
      <c r="F8298" s="128">
        <v>4525466.1100000003</v>
      </c>
      <c r="G8298" s="128">
        <v>1954487.65</v>
      </c>
      <c r="H8298" s="128">
        <v>1858268.52</v>
      </c>
      <c r="I8298" s="128">
        <v>9408</v>
      </c>
    </row>
    <row r="8299" spans="1:9" ht="13.5">
      <c r="A8299" s="128">
        <v>2014</v>
      </c>
      <c r="B8299" s="128" t="s">
        <v>138</v>
      </c>
      <c r="C8299" s="128" t="s">
        <v>22</v>
      </c>
      <c r="D8299" s="128" t="s">
        <v>77</v>
      </c>
      <c r="E8299" s="128" t="s">
        <v>135</v>
      </c>
      <c r="F8299" s="128">
        <v>8431119.8699999992</v>
      </c>
      <c r="G8299" s="128">
        <v>2480609.9300000002</v>
      </c>
      <c r="H8299" s="128">
        <v>2724129.63</v>
      </c>
      <c r="I8299" s="128">
        <v>22370</v>
      </c>
    </row>
    <row r="8300" spans="1:9" ht="13.5">
      <c r="A8300" s="128">
        <v>2014</v>
      </c>
      <c r="B8300" s="128" t="s">
        <v>138</v>
      </c>
      <c r="C8300" s="128" t="s">
        <v>22</v>
      </c>
      <c r="D8300" s="128" t="s">
        <v>76</v>
      </c>
      <c r="E8300" s="128" t="s">
        <v>136</v>
      </c>
      <c r="F8300" s="128">
        <v>9112995.6400000006</v>
      </c>
      <c r="G8300" s="128">
        <v>6844551.6299999999</v>
      </c>
      <c r="H8300" s="128">
        <v>2268436.89</v>
      </c>
      <c r="I8300" s="128">
        <v>152567</v>
      </c>
    </row>
    <row r="8301" spans="1:9" ht="13.5">
      <c r="A8301" s="128">
        <v>2014</v>
      </c>
      <c r="B8301" s="128" t="s">
        <v>138</v>
      </c>
      <c r="C8301" s="128" t="s">
        <v>22</v>
      </c>
      <c r="D8301" s="128" t="s">
        <v>76</v>
      </c>
      <c r="E8301" s="128" t="s">
        <v>132</v>
      </c>
      <c r="F8301" s="128">
        <v>35784332.899999999</v>
      </c>
      <c r="G8301" s="128">
        <v>22915789.469999999</v>
      </c>
      <c r="H8301" s="128">
        <v>12868431.960000001</v>
      </c>
      <c r="I8301" s="128">
        <v>364199</v>
      </c>
    </row>
    <row r="8302" spans="1:9" ht="13.5">
      <c r="A8302" s="128">
        <v>2014</v>
      </c>
      <c r="B8302" s="128" t="s">
        <v>138</v>
      </c>
      <c r="C8302" s="128" t="s">
        <v>22</v>
      </c>
      <c r="D8302" s="128" t="s">
        <v>76</v>
      </c>
      <c r="E8302" s="128" t="s">
        <v>133</v>
      </c>
      <c r="F8302" s="128">
        <v>72128071.659999996</v>
      </c>
      <c r="G8302" s="128">
        <v>40105838.829999998</v>
      </c>
      <c r="H8302" s="128">
        <v>32021850.52</v>
      </c>
      <c r="I8302" s="128">
        <v>613813</v>
      </c>
    </row>
    <row r="8303" spans="1:9" ht="13.5">
      <c r="A8303" s="128">
        <v>2014</v>
      </c>
      <c r="B8303" s="128" t="s">
        <v>138</v>
      </c>
      <c r="C8303" s="128" t="s">
        <v>22</v>
      </c>
      <c r="D8303" s="128" t="s">
        <v>76</v>
      </c>
      <c r="E8303" s="128" t="s">
        <v>134</v>
      </c>
      <c r="F8303" s="128">
        <v>59321815.020000003</v>
      </c>
      <c r="G8303" s="128">
        <v>27305248.239999998</v>
      </c>
      <c r="H8303" s="128">
        <v>32016381.18</v>
      </c>
      <c r="I8303" s="128">
        <v>373116</v>
      </c>
    </row>
    <row r="8304" spans="1:9" ht="13.5">
      <c r="A8304" s="128">
        <v>2014</v>
      </c>
      <c r="B8304" s="128" t="s">
        <v>138</v>
      </c>
      <c r="C8304" s="128" t="s">
        <v>22</v>
      </c>
      <c r="D8304" s="128" t="s">
        <v>76</v>
      </c>
      <c r="E8304" s="128" t="s">
        <v>135</v>
      </c>
      <c r="F8304" s="128">
        <v>6508453.3700000001</v>
      </c>
      <c r="G8304" s="128">
        <v>1909277.22</v>
      </c>
      <c r="H8304" s="128">
        <v>4599175.8600000003</v>
      </c>
      <c r="I8304" s="128">
        <v>15583</v>
      </c>
    </row>
    <row r="8305" spans="1:9" ht="13.5">
      <c r="A8305" s="128">
        <v>2014</v>
      </c>
      <c r="B8305" s="128" t="s">
        <v>138</v>
      </c>
      <c r="C8305" s="128" t="s">
        <v>23</v>
      </c>
      <c r="D8305" s="128" t="s">
        <v>79</v>
      </c>
      <c r="E8305" s="128" t="s">
        <v>136</v>
      </c>
      <c r="F8305" s="128">
        <v>1937836.32</v>
      </c>
      <c r="G8305" s="128">
        <v>1482203.51</v>
      </c>
      <c r="H8305" s="128">
        <v>456097.76</v>
      </c>
      <c r="I8305" s="128">
        <v>13458</v>
      </c>
    </row>
    <row r="8306" spans="1:9" ht="13.5">
      <c r="A8306" s="128">
        <v>2014</v>
      </c>
      <c r="B8306" s="128" t="s">
        <v>138</v>
      </c>
      <c r="C8306" s="128" t="s">
        <v>23</v>
      </c>
      <c r="D8306" s="128" t="s">
        <v>79</v>
      </c>
      <c r="E8306" s="128" t="s">
        <v>132</v>
      </c>
      <c r="F8306" s="128">
        <v>464781.98</v>
      </c>
      <c r="G8306" s="128">
        <v>302809.15000000002</v>
      </c>
      <c r="H8306" s="128">
        <v>141577</v>
      </c>
      <c r="I8306" s="128">
        <v>2544</v>
      </c>
    </row>
    <row r="8307" spans="1:9" ht="13.5">
      <c r="A8307" s="128">
        <v>2014</v>
      </c>
      <c r="B8307" s="128" t="s">
        <v>138</v>
      </c>
      <c r="C8307" s="128" t="s">
        <v>23</v>
      </c>
      <c r="D8307" s="128" t="s">
        <v>79</v>
      </c>
      <c r="E8307" s="128" t="s">
        <v>133</v>
      </c>
      <c r="F8307" s="128">
        <v>916032.11</v>
      </c>
      <c r="G8307" s="128">
        <v>495624.04</v>
      </c>
      <c r="H8307" s="128">
        <v>322132.25</v>
      </c>
      <c r="I8307" s="128">
        <v>5481</v>
      </c>
    </row>
    <row r="8308" spans="1:9" ht="13.5">
      <c r="A8308" s="128">
        <v>2014</v>
      </c>
      <c r="B8308" s="128" t="s">
        <v>138</v>
      </c>
      <c r="C8308" s="128" t="s">
        <v>23</v>
      </c>
      <c r="D8308" s="128" t="s">
        <v>79</v>
      </c>
      <c r="E8308" s="128" t="s">
        <v>134</v>
      </c>
      <c r="F8308" s="128">
        <v>2794785.91</v>
      </c>
      <c r="G8308" s="128">
        <v>1209091.19</v>
      </c>
      <c r="H8308" s="128">
        <v>1339212.8400000001</v>
      </c>
      <c r="I8308" s="128">
        <v>11374</v>
      </c>
    </row>
    <row r="8309" spans="1:9" ht="13.5">
      <c r="A8309" s="128">
        <v>2014</v>
      </c>
      <c r="B8309" s="128" t="s">
        <v>138</v>
      </c>
      <c r="C8309" s="128" t="s">
        <v>23</v>
      </c>
      <c r="D8309" s="128" t="s">
        <v>79</v>
      </c>
      <c r="E8309" s="128" t="s">
        <v>135</v>
      </c>
      <c r="F8309" s="128">
        <v>2971270.06</v>
      </c>
      <c r="G8309" s="128">
        <v>769829.34</v>
      </c>
      <c r="H8309" s="128">
        <v>311016.90999999997</v>
      </c>
      <c r="I8309" s="128">
        <v>7932</v>
      </c>
    </row>
    <row r="8310" spans="1:9" ht="13.5">
      <c r="A8310" s="128">
        <v>2014</v>
      </c>
      <c r="B8310" s="128" t="s">
        <v>138</v>
      </c>
      <c r="C8310" s="128" t="s">
        <v>23</v>
      </c>
      <c r="D8310" s="128" t="s">
        <v>77</v>
      </c>
      <c r="E8310" s="128" t="s">
        <v>132</v>
      </c>
      <c r="F8310" s="128">
        <v>377077.42</v>
      </c>
      <c r="G8310" s="128">
        <v>256501.65</v>
      </c>
      <c r="H8310" s="128">
        <v>103275.41</v>
      </c>
      <c r="I8310" s="128">
        <v>1945</v>
      </c>
    </row>
    <row r="8311" spans="1:9" ht="13.5">
      <c r="A8311" s="128">
        <v>2014</v>
      </c>
      <c r="B8311" s="128" t="s">
        <v>138</v>
      </c>
      <c r="C8311" s="128" t="s">
        <v>23</v>
      </c>
      <c r="D8311" s="128" t="s">
        <v>77</v>
      </c>
      <c r="E8311" s="128" t="s">
        <v>133</v>
      </c>
      <c r="F8311" s="128">
        <v>526740.75</v>
      </c>
      <c r="G8311" s="128">
        <v>284908.53999999998</v>
      </c>
      <c r="H8311" s="128">
        <v>178845.89</v>
      </c>
      <c r="I8311" s="128">
        <v>1855</v>
      </c>
    </row>
    <row r="8312" spans="1:9" ht="13.5">
      <c r="A8312" s="128">
        <v>2014</v>
      </c>
      <c r="B8312" s="128" t="s">
        <v>138</v>
      </c>
      <c r="C8312" s="128" t="s">
        <v>23</v>
      </c>
      <c r="D8312" s="128" t="s">
        <v>77</v>
      </c>
      <c r="E8312" s="128" t="s">
        <v>134</v>
      </c>
      <c r="F8312" s="128">
        <v>2914993.31</v>
      </c>
      <c r="G8312" s="128">
        <v>1224400.79</v>
      </c>
      <c r="H8312" s="128">
        <v>1227022.8999999999</v>
      </c>
      <c r="I8312" s="128">
        <v>5074</v>
      </c>
    </row>
    <row r="8313" spans="1:9" ht="13.5">
      <c r="A8313" s="128">
        <v>2014</v>
      </c>
      <c r="B8313" s="128" t="s">
        <v>138</v>
      </c>
      <c r="C8313" s="128" t="s">
        <v>23</v>
      </c>
      <c r="D8313" s="128" t="s">
        <v>77</v>
      </c>
      <c r="E8313" s="128" t="s">
        <v>135</v>
      </c>
      <c r="F8313" s="128">
        <v>1924871.5</v>
      </c>
      <c r="G8313" s="128">
        <v>588741.9</v>
      </c>
      <c r="H8313" s="128">
        <v>672189.89</v>
      </c>
      <c r="I8313" s="128">
        <v>6893</v>
      </c>
    </row>
    <row r="8314" spans="1:9" ht="13.5">
      <c r="A8314" s="128">
        <v>2014</v>
      </c>
      <c r="B8314" s="128" t="s">
        <v>138</v>
      </c>
      <c r="C8314" s="128" t="s">
        <v>23</v>
      </c>
      <c r="D8314" s="128" t="s">
        <v>76</v>
      </c>
      <c r="E8314" s="128" t="s">
        <v>136</v>
      </c>
      <c r="F8314" s="128">
        <v>4277332.24</v>
      </c>
      <c r="G8314" s="128">
        <v>3214131.02</v>
      </c>
      <c r="H8314" s="128">
        <v>1063200.93</v>
      </c>
      <c r="I8314" s="128">
        <v>56052</v>
      </c>
    </row>
    <row r="8315" spans="1:9" ht="13.5">
      <c r="A8315" s="128">
        <v>2014</v>
      </c>
      <c r="B8315" s="128" t="s">
        <v>138</v>
      </c>
      <c r="C8315" s="128" t="s">
        <v>23</v>
      </c>
      <c r="D8315" s="128" t="s">
        <v>76</v>
      </c>
      <c r="E8315" s="128" t="s">
        <v>132</v>
      </c>
      <c r="F8315" s="128">
        <v>9557303.1600000001</v>
      </c>
      <c r="G8315" s="128">
        <v>6161353.5099999998</v>
      </c>
      <c r="H8315" s="128">
        <v>3395939.34</v>
      </c>
      <c r="I8315" s="128">
        <v>85491</v>
      </c>
    </row>
    <row r="8316" spans="1:9" ht="13.5">
      <c r="A8316" s="128">
        <v>2014</v>
      </c>
      <c r="B8316" s="128" t="s">
        <v>138</v>
      </c>
      <c r="C8316" s="128" t="s">
        <v>23</v>
      </c>
      <c r="D8316" s="128" t="s">
        <v>76</v>
      </c>
      <c r="E8316" s="128" t="s">
        <v>133</v>
      </c>
      <c r="F8316" s="128">
        <v>22162132.489999998</v>
      </c>
      <c r="G8316" s="128">
        <v>12171663.380000001</v>
      </c>
      <c r="H8316" s="128">
        <v>9990452.2699999996</v>
      </c>
      <c r="I8316" s="128">
        <v>194156</v>
      </c>
    </row>
    <row r="8317" spans="1:9" ht="13.5">
      <c r="A8317" s="128">
        <v>2014</v>
      </c>
      <c r="B8317" s="128" t="s">
        <v>138</v>
      </c>
      <c r="C8317" s="128" t="s">
        <v>23</v>
      </c>
      <c r="D8317" s="128" t="s">
        <v>76</v>
      </c>
      <c r="E8317" s="128" t="s">
        <v>134</v>
      </c>
      <c r="F8317" s="128">
        <v>41247783</v>
      </c>
      <c r="G8317" s="128">
        <v>18419838.02</v>
      </c>
      <c r="H8317" s="128">
        <v>22827941.77</v>
      </c>
      <c r="I8317" s="128">
        <v>163410</v>
      </c>
    </row>
    <row r="8318" spans="1:9" ht="13.5">
      <c r="A8318" s="128">
        <v>2014</v>
      </c>
      <c r="B8318" s="128" t="s">
        <v>138</v>
      </c>
      <c r="C8318" s="128" t="s">
        <v>23</v>
      </c>
      <c r="D8318" s="128" t="s">
        <v>76</v>
      </c>
      <c r="E8318" s="128" t="s">
        <v>135</v>
      </c>
      <c r="F8318" s="128">
        <v>2083802.58</v>
      </c>
      <c r="G8318" s="128">
        <v>591962.9</v>
      </c>
      <c r="H8318" s="128">
        <v>1491839.68</v>
      </c>
      <c r="I8318" s="128">
        <v>4602</v>
      </c>
    </row>
    <row r="8319" spans="1:9" ht="13.5">
      <c r="A8319" s="128">
        <v>2014</v>
      </c>
      <c r="B8319" s="128" t="s">
        <v>138</v>
      </c>
      <c r="C8319" s="128" t="s">
        <v>24</v>
      </c>
      <c r="D8319" s="128" t="s">
        <v>79</v>
      </c>
      <c r="E8319" s="128" t="s">
        <v>136</v>
      </c>
      <c r="F8319" s="128">
        <v>2817025.44</v>
      </c>
      <c r="G8319" s="128">
        <v>2121948.98</v>
      </c>
      <c r="H8319" s="128">
        <v>693795.66</v>
      </c>
      <c r="I8319" s="128">
        <v>43908</v>
      </c>
    </row>
    <row r="8320" spans="1:9" ht="13.5">
      <c r="A8320" s="128">
        <v>2014</v>
      </c>
      <c r="B8320" s="128" t="s">
        <v>138</v>
      </c>
      <c r="C8320" s="128" t="s">
        <v>24</v>
      </c>
      <c r="D8320" s="128" t="s">
        <v>79</v>
      </c>
      <c r="E8320" s="128" t="s">
        <v>132</v>
      </c>
      <c r="F8320" s="128">
        <v>430114.51</v>
      </c>
      <c r="G8320" s="128">
        <v>289478.69</v>
      </c>
      <c r="H8320" s="128">
        <v>103471.2</v>
      </c>
      <c r="I8320" s="128">
        <v>2611</v>
      </c>
    </row>
    <row r="8321" spans="1:9" ht="13.5">
      <c r="A8321" s="128">
        <v>2014</v>
      </c>
      <c r="B8321" s="128" t="s">
        <v>138</v>
      </c>
      <c r="C8321" s="128" t="s">
        <v>24</v>
      </c>
      <c r="D8321" s="128" t="s">
        <v>79</v>
      </c>
      <c r="E8321" s="128" t="s">
        <v>133</v>
      </c>
      <c r="F8321" s="128">
        <v>1063438.79</v>
      </c>
      <c r="G8321" s="128">
        <v>584382.44999999995</v>
      </c>
      <c r="H8321" s="128">
        <v>231272.16</v>
      </c>
      <c r="I8321" s="128">
        <v>3920</v>
      </c>
    </row>
    <row r="8322" spans="1:9" ht="13.5">
      <c r="A8322" s="128">
        <v>2014</v>
      </c>
      <c r="B8322" s="128" t="s">
        <v>138</v>
      </c>
      <c r="C8322" s="128" t="s">
        <v>24</v>
      </c>
      <c r="D8322" s="128" t="s">
        <v>79</v>
      </c>
      <c r="E8322" s="128" t="s">
        <v>134</v>
      </c>
      <c r="F8322" s="128">
        <v>2749366.35</v>
      </c>
      <c r="G8322" s="128">
        <v>1198352.1000000001</v>
      </c>
      <c r="H8322" s="128">
        <v>469884.1</v>
      </c>
      <c r="I8322" s="128">
        <v>8543</v>
      </c>
    </row>
    <row r="8323" spans="1:9" ht="13.5">
      <c r="A8323" s="128">
        <v>2014</v>
      </c>
      <c r="B8323" s="128" t="s">
        <v>138</v>
      </c>
      <c r="C8323" s="128" t="s">
        <v>24</v>
      </c>
      <c r="D8323" s="128" t="s">
        <v>79</v>
      </c>
      <c r="E8323" s="128" t="s">
        <v>135</v>
      </c>
      <c r="F8323" s="128">
        <v>9178009.1999999993</v>
      </c>
      <c r="G8323" s="128">
        <v>2273926.89</v>
      </c>
      <c r="H8323" s="128">
        <v>788456.25</v>
      </c>
      <c r="I8323" s="128">
        <v>22801</v>
      </c>
    </row>
    <row r="8324" spans="1:9" ht="13.5">
      <c r="A8324" s="128">
        <v>2014</v>
      </c>
      <c r="B8324" s="128" t="s">
        <v>138</v>
      </c>
      <c r="C8324" s="128" t="s">
        <v>24</v>
      </c>
      <c r="D8324" s="128" t="s">
        <v>77</v>
      </c>
      <c r="E8324" s="128" t="s">
        <v>132</v>
      </c>
      <c r="F8324" s="128">
        <v>2496250.1800000002</v>
      </c>
      <c r="G8324" s="128">
        <v>1713971.85</v>
      </c>
      <c r="H8324" s="128">
        <v>748970.85</v>
      </c>
      <c r="I8324" s="128">
        <v>13446</v>
      </c>
    </row>
    <row r="8325" spans="1:9" ht="13.5">
      <c r="A8325" s="128">
        <v>2014</v>
      </c>
      <c r="B8325" s="128" t="s">
        <v>138</v>
      </c>
      <c r="C8325" s="128" t="s">
        <v>24</v>
      </c>
      <c r="D8325" s="128" t="s">
        <v>77</v>
      </c>
      <c r="E8325" s="128" t="s">
        <v>133</v>
      </c>
      <c r="F8325" s="128">
        <v>3464094.43</v>
      </c>
      <c r="G8325" s="128">
        <v>1874623.24</v>
      </c>
      <c r="H8325" s="128">
        <v>1378831.44</v>
      </c>
      <c r="I8325" s="128">
        <v>26272</v>
      </c>
    </row>
    <row r="8326" spans="1:9" ht="13.5">
      <c r="A8326" s="128">
        <v>2014</v>
      </c>
      <c r="B8326" s="128" t="s">
        <v>138</v>
      </c>
      <c r="C8326" s="128" t="s">
        <v>24</v>
      </c>
      <c r="D8326" s="128" t="s">
        <v>77</v>
      </c>
      <c r="E8326" s="128" t="s">
        <v>134</v>
      </c>
      <c r="F8326" s="128">
        <v>8689711.7300000004</v>
      </c>
      <c r="G8326" s="128">
        <v>3868289.55</v>
      </c>
      <c r="H8326" s="128">
        <v>3043454.23</v>
      </c>
      <c r="I8326" s="128">
        <v>19709</v>
      </c>
    </row>
    <row r="8327" spans="1:9" ht="13.5">
      <c r="A8327" s="128">
        <v>2014</v>
      </c>
      <c r="B8327" s="128" t="s">
        <v>138</v>
      </c>
      <c r="C8327" s="128" t="s">
        <v>24</v>
      </c>
      <c r="D8327" s="128" t="s">
        <v>77</v>
      </c>
      <c r="E8327" s="128" t="s">
        <v>135</v>
      </c>
      <c r="F8327" s="128">
        <v>12907667.85</v>
      </c>
      <c r="G8327" s="128">
        <v>3426471.36</v>
      </c>
      <c r="H8327" s="128">
        <v>2192178.61</v>
      </c>
      <c r="I8327" s="128">
        <v>26258</v>
      </c>
    </row>
    <row r="8328" spans="1:9" ht="13.5">
      <c r="A8328" s="128">
        <v>2014</v>
      </c>
      <c r="B8328" s="128" t="s">
        <v>138</v>
      </c>
      <c r="C8328" s="128" t="s">
        <v>24</v>
      </c>
      <c r="D8328" s="128" t="s">
        <v>76</v>
      </c>
      <c r="E8328" s="128" t="s">
        <v>136</v>
      </c>
      <c r="F8328" s="128">
        <v>1611120.23</v>
      </c>
      <c r="G8328" s="128">
        <v>1217273.1100000001</v>
      </c>
      <c r="H8328" s="128">
        <v>393846.76</v>
      </c>
      <c r="I8328" s="128">
        <v>14512</v>
      </c>
    </row>
    <row r="8329" spans="1:9" ht="13.5">
      <c r="A8329" s="128">
        <v>2014</v>
      </c>
      <c r="B8329" s="128" t="s">
        <v>138</v>
      </c>
      <c r="C8329" s="128" t="s">
        <v>24</v>
      </c>
      <c r="D8329" s="128" t="s">
        <v>76</v>
      </c>
      <c r="E8329" s="128" t="s">
        <v>132</v>
      </c>
      <c r="F8329" s="128">
        <v>7267448.1699999999</v>
      </c>
      <c r="G8329" s="128">
        <v>4682638.6500000004</v>
      </c>
      <c r="H8329" s="128">
        <v>2584802.92</v>
      </c>
      <c r="I8329" s="128">
        <v>63306</v>
      </c>
    </row>
    <row r="8330" spans="1:9" ht="13.5">
      <c r="A8330" s="128">
        <v>2014</v>
      </c>
      <c r="B8330" s="128" t="s">
        <v>138</v>
      </c>
      <c r="C8330" s="128" t="s">
        <v>24</v>
      </c>
      <c r="D8330" s="128" t="s">
        <v>76</v>
      </c>
      <c r="E8330" s="128" t="s">
        <v>133</v>
      </c>
      <c r="F8330" s="128">
        <v>35812487.049999997</v>
      </c>
      <c r="G8330" s="128">
        <v>19847431.579999998</v>
      </c>
      <c r="H8330" s="128">
        <v>15965047.74</v>
      </c>
      <c r="I8330" s="128">
        <v>267804</v>
      </c>
    </row>
    <row r="8331" spans="1:9" ht="13.5">
      <c r="A8331" s="128">
        <v>2014</v>
      </c>
      <c r="B8331" s="128" t="s">
        <v>138</v>
      </c>
      <c r="C8331" s="128" t="s">
        <v>24</v>
      </c>
      <c r="D8331" s="128" t="s">
        <v>76</v>
      </c>
      <c r="E8331" s="128" t="s">
        <v>134</v>
      </c>
      <c r="F8331" s="128">
        <v>45134763.909999996</v>
      </c>
      <c r="G8331" s="128">
        <v>19963069.510000002</v>
      </c>
      <c r="H8331" s="128">
        <v>25171692.41</v>
      </c>
      <c r="I8331" s="128">
        <v>210630</v>
      </c>
    </row>
    <row r="8332" spans="1:9" ht="13.5">
      <c r="A8332" s="128">
        <v>2014</v>
      </c>
      <c r="B8332" s="128" t="s">
        <v>138</v>
      </c>
      <c r="C8332" s="128" t="s">
        <v>24</v>
      </c>
      <c r="D8332" s="128" t="s">
        <v>76</v>
      </c>
      <c r="E8332" s="128" t="s">
        <v>135</v>
      </c>
      <c r="F8332" s="128">
        <v>3794207.67</v>
      </c>
      <c r="G8332" s="128">
        <v>1002013.34</v>
      </c>
      <c r="H8332" s="128">
        <v>2792194.33</v>
      </c>
      <c r="I8332" s="128">
        <v>3032</v>
      </c>
    </row>
    <row r="8333" spans="1:9" ht="13.5">
      <c r="A8333" s="128">
        <v>2014</v>
      </c>
      <c r="B8333" s="128" t="s">
        <v>138</v>
      </c>
      <c r="C8333" s="128" t="s">
        <v>25</v>
      </c>
      <c r="D8333" s="128" t="s">
        <v>79</v>
      </c>
      <c r="E8333" s="128" t="s">
        <v>136</v>
      </c>
      <c r="F8333" s="128">
        <v>649515.17000000004</v>
      </c>
      <c r="G8333" s="128">
        <v>487653.71</v>
      </c>
      <c r="H8333" s="128">
        <v>161829.31</v>
      </c>
      <c r="I8333" s="128">
        <v>9887</v>
      </c>
    </row>
    <row r="8334" spans="1:9" ht="13.5">
      <c r="A8334" s="128">
        <v>2014</v>
      </c>
      <c r="B8334" s="128" t="s">
        <v>138</v>
      </c>
      <c r="C8334" s="128" t="s">
        <v>25</v>
      </c>
      <c r="D8334" s="128" t="s">
        <v>79</v>
      </c>
      <c r="E8334" s="128" t="s">
        <v>132</v>
      </c>
      <c r="F8334" s="128">
        <v>176915.93</v>
      </c>
      <c r="G8334" s="128">
        <v>113371.44</v>
      </c>
      <c r="H8334" s="128">
        <v>56668.83</v>
      </c>
      <c r="I8334" s="128">
        <v>1314</v>
      </c>
    </row>
    <row r="8335" spans="1:9" ht="13.5">
      <c r="A8335" s="128">
        <v>2014</v>
      </c>
      <c r="B8335" s="128" t="s">
        <v>138</v>
      </c>
      <c r="C8335" s="128" t="s">
        <v>25</v>
      </c>
      <c r="D8335" s="128" t="s">
        <v>79</v>
      </c>
      <c r="E8335" s="128" t="s">
        <v>133</v>
      </c>
      <c r="F8335" s="128">
        <v>207809.71</v>
      </c>
      <c r="G8335" s="128">
        <v>111002.26</v>
      </c>
      <c r="H8335" s="128">
        <v>67878.3</v>
      </c>
      <c r="I8335" s="128">
        <v>601</v>
      </c>
    </row>
    <row r="8336" spans="1:9" ht="13.5">
      <c r="A8336" s="128">
        <v>2014</v>
      </c>
      <c r="B8336" s="128" t="s">
        <v>138</v>
      </c>
      <c r="C8336" s="128" t="s">
        <v>25</v>
      </c>
      <c r="D8336" s="128" t="s">
        <v>79</v>
      </c>
      <c r="E8336" s="128" t="s">
        <v>134</v>
      </c>
      <c r="F8336" s="128">
        <v>669244.80000000005</v>
      </c>
      <c r="G8336" s="128">
        <v>293011.28000000003</v>
      </c>
      <c r="H8336" s="128">
        <v>189011.20000000001</v>
      </c>
      <c r="I8336" s="128">
        <v>2558</v>
      </c>
    </row>
    <row r="8337" spans="1:9" ht="13.5">
      <c r="A8337" s="128">
        <v>2014</v>
      </c>
      <c r="B8337" s="128" t="s">
        <v>138</v>
      </c>
      <c r="C8337" s="128" t="s">
        <v>25</v>
      </c>
      <c r="D8337" s="128" t="s">
        <v>79</v>
      </c>
      <c r="E8337" s="128" t="s">
        <v>135</v>
      </c>
      <c r="F8337" s="128">
        <v>2422706.21</v>
      </c>
      <c r="G8337" s="128">
        <v>576826.93000000005</v>
      </c>
      <c r="H8337" s="128">
        <v>206798.55</v>
      </c>
      <c r="I8337" s="128">
        <v>3334</v>
      </c>
    </row>
    <row r="8338" spans="1:9" ht="13.5">
      <c r="A8338" s="128">
        <v>2014</v>
      </c>
      <c r="B8338" s="128" t="s">
        <v>138</v>
      </c>
      <c r="C8338" s="128" t="s">
        <v>25</v>
      </c>
      <c r="D8338" s="128" t="s">
        <v>77</v>
      </c>
      <c r="E8338" s="128" t="s">
        <v>132</v>
      </c>
      <c r="F8338" s="128">
        <v>233248.22</v>
      </c>
      <c r="G8338" s="128">
        <v>156365.51</v>
      </c>
      <c r="H8338" s="128">
        <v>66932.899999999994</v>
      </c>
      <c r="I8338" s="128">
        <v>1171</v>
      </c>
    </row>
    <row r="8339" spans="1:9" ht="13.5">
      <c r="A8339" s="128">
        <v>2014</v>
      </c>
      <c r="B8339" s="128" t="s">
        <v>138</v>
      </c>
      <c r="C8339" s="128" t="s">
        <v>25</v>
      </c>
      <c r="D8339" s="128" t="s">
        <v>77</v>
      </c>
      <c r="E8339" s="128" t="s">
        <v>133</v>
      </c>
      <c r="F8339" s="128">
        <v>208631.11</v>
      </c>
      <c r="G8339" s="128">
        <v>113079.09</v>
      </c>
      <c r="H8339" s="128">
        <v>81312.02</v>
      </c>
      <c r="I8339" s="128">
        <v>895</v>
      </c>
    </row>
    <row r="8340" spans="1:9" ht="13.5">
      <c r="A8340" s="128">
        <v>2014</v>
      </c>
      <c r="B8340" s="128" t="s">
        <v>138</v>
      </c>
      <c r="C8340" s="128" t="s">
        <v>25</v>
      </c>
      <c r="D8340" s="128" t="s">
        <v>77</v>
      </c>
      <c r="E8340" s="128" t="s">
        <v>134</v>
      </c>
      <c r="F8340" s="128">
        <v>798675.79</v>
      </c>
      <c r="G8340" s="128">
        <v>345245.3</v>
      </c>
      <c r="H8340" s="128">
        <v>350343.28</v>
      </c>
      <c r="I8340" s="128">
        <v>1770</v>
      </c>
    </row>
    <row r="8341" spans="1:9" ht="13.5">
      <c r="A8341" s="128">
        <v>2014</v>
      </c>
      <c r="B8341" s="128" t="s">
        <v>138</v>
      </c>
      <c r="C8341" s="128" t="s">
        <v>25</v>
      </c>
      <c r="D8341" s="128" t="s">
        <v>77</v>
      </c>
      <c r="E8341" s="128" t="s">
        <v>135</v>
      </c>
      <c r="F8341" s="128">
        <v>1005424.76</v>
      </c>
      <c r="G8341" s="128">
        <v>305923.51</v>
      </c>
      <c r="H8341" s="128">
        <v>352002.99</v>
      </c>
      <c r="I8341" s="128">
        <v>3715</v>
      </c>
    </row>
    <row r="8342" spans="1:9" ht="13.5">
      <c r="A8342" s="128">
        <v>2014</v>
      </c>
      <c r="B8342" s="128" t="s">
        <v>138</v>
      </c>
      <c r="C8342" s="128" t="s">
        <v>25</v>
      </c>
      <c r="D8342" s="128" t="s">
        <v>76</v>
      </c>
      <c r="E8342" s="128" t="s">
        <v>136</v>
      </c>
      <c r="F8342" s="128">
        <v>1872218.09</v>
      </c>
      <c r="G8342" s="128">
        <v>1405975.06</v>
      </c>
      <c r="H8342" s="128">
        <v>466243.28</v>
      </c>
      <c r="I8342" s="128">
        <v>30131</v>
      </c>
    </row>
    <row r="8343" spans="1:9" ht="13.5">
      <c r="A8343" s="128">
        <v>2014</v>
      </c>
      <c r="B8343" s="128" t="s">
        <v>138</v>
      </c>
      <c r="C8343" s="128" t="s">
        <v>25</v>
      </c>
      <c r="D8343" s="128" t="s">
        <v>76</v>
      </c>
      <c r="E8343" s="128" t="s">
        <v>132</v>
      </c>
      <c r="F8343" s="128">
        <v>3525170.18</v>
      </c>
      <c r="G8343" s="128">
        <v>2236704.73</v>
      </c>
      <c r="H8343" s="128">
        <v>1288465.1299999999</v>
      </c>
      <c r="I8343" s="128">
        <v>25060</v>
      </c>
    </row>
    <row r="8344" spans="1:9" ht="13.5">
      <c r="A8344" s="128">
        <v>2014</v>
      </c>
      <c r="B8344" s="128" t="s">
        <v>138</v>
      </c>
      <c r="C8344" s="128" t="s">
        <v>25</v>
      </c>
      <c r="D8344" s="128" t="s">
        <v>76</v>
      </c>
      <c r="E8344" s="128" t="s">
        <v>133</v>
      </c>
      <c r="F8344" s="128">
        <v>8524708.0099999998</v>
      </c>
      <c r="G8344" s="128">
        <v>4677238.49</v>
      </c>
      <c r="H8344" s="128">
        <v>3847453.56</v>
      </c>
      <c r="I8344" s="128">
        <v>53432</v>
      </c>
    </row>
    <row r="8345" spans="1:9" ht="13.5">
      <c r="A8345" s="128">
        <v>2014</v>
      </c>
      <c r="B8345" s="128" t="s">
        <v>138</v>
      </c>
      <c r="C8345" s="128" t="s">
        <v>25</v>
      </c>
      <c r="D8345" s="128" t="s">
        <v>76</v>
      </c>
      <c r="E8345" s="128" t="s">
        <v>134</v>
      </c>
      <c r="F8345" s="128">
        <v>8393550.2200000007</v>
      </c>
      <c r="G8345" s="128">
        <v>3831134.5</v>
      </c>
      <c r="H8345" s="128">
        <v>4562415.1399999997</v>
      </c>
      <c r="I8345" s="128">
        <v>43026</v>
      </c>
    </row>
    <row r="8346" spans="1:9" ht="13.5">
      <c r="A8346" s="128">
        <v>2014</v>
      </c>
      <c r="B8346" s="128" t="s">
        <v>138</v>
      </c>
      <c r="C8346" s="128" t="s">
        <v>25</v>
      </c>
      <c r="D8346" s="128" t="s">
        <v>76</v>
      </c>
      <c r="E8346" s="128" t="s">
        <v>135</v>
      </c>
      <c r="F8346" s="128">
        <v>534497.76</v>
      </c>
      <c r="G8346" s="128">
        <v>151531.85</v>
      </c>
      <c r="H8346" s="128">
        <v>382965.91</v>
      </c>
      <c r="I8346" s="128">
        <v>653</v>
      </c>
    </row>
    <row r="8347" spans="1:9" ht="13.5">
      <c r="A8347" s="128">
        <v>2014</v>
      </c>
      <c r="B8347" s="128" t="s">
        <v>138</v>
      </c>
      <c r="C8347" s="128" t="s">
        <v>26</v>
      </c>
      <c r="D8347" s="128" t="s">
        <v>79</v>
      </c>
      <c r="E8347" s="128" t="s">
        <v>136</v>
      </c>
      <c r="F8347" s="128">
        <v>1053763.29</v>
      </c>
      <c r="G8347" s="128">
        <v>777210.68</v>
      </c>
      <c r="H8347" s="128">
        <v>253544.32000000001</v>
      </c>
      <c r="I8347" s="128">
        <v>9746</v>
      </c>
    </row>
    <row r="8348" spans="1:9" ht="13.5">
      <c r="A8348" s="128">
        <v>2014</v>
      </c>
      <c r="B8348" s="128" t="s">
        <v>138</v>
      </c>
      <c r="C8348" s="128" t="s">
        <v>26</v>
      </c>
      <c r="D8348" s="128" t="s">
        <v>79</v>
      </c>
      <c r="E8348" s="128" t="s">
        <v>132</v>
      </c>
      <c r="F8348" s="128">
        <v>115949.71</v>
      </c>
      <c r="G8348" s="128">
        <v>75531.289999999994</v>
      </c>
      <c r="H8348" s="128">
        <v>29092.3</v>
      </c>
      <c r="I8348" s="128">
        <v>649</v>
      </c>
    </row>
    <row r="8349" spans="1:9" ht="13.5">
      <c r="A8349" s="128">
        <v>2014</v>
      </c>
      <c r="B8349" s="128" t="s">
        <v>138</v>
      </c>
      <c r="C8349" s="128" t="s">
        <v>26</v>
      </c>
      <c r="D8349" s="128" t="s">
        <v>79</v>
      </c>
      <c r="E8349" s="128" t="s">
        <v>133</v>
      </c>
      <c r="F8349" s="128">
        <v>181066.31</v>
      </c>
      <c r="G8349" s="128">
        <v>99792.28</v>
      </c>
      <c r="H8349" s="128">
        <v>39822.1</v>
      </c>
      <c r="I8349" s="128">
        <v>556</v>
      </c>
    </row>
    <row r="8350" spans="1:9" ht="13.5">
      <c r="A8350" s="128">
        <v>2014</v>
      </c>
      <c r="B8350" s="128" t="s">
        <v>138</v>
      </c>
      <c r="C8350" s="128" t="s">
        <v>26</v>
      </c>
      <c r="D8350" s="128" t="s">
        <v>79</v>
      </c>
      <c r="E8350" s="128" t="s">
        <v>134</v>
      </c>
      <c r="F8350" s="128">
        <v>708154.61</v>
      </c>
      <c r="G8350" s="128">
        <v>294173.56</v>
      </c>
      <c r="H8350" s="128">
        <v>103150.03</v>
      </c>
      <c r="I8350" s="128">
        <v>2694</v>
      </c>
    </row>
    <row r="8351" spans="1:9" ht="13.5">
      <c r="A8351" s="128">
        <v>2014</v>
      </c>
      <c r="B8351" s="128" t="s">
        <v>138</v>
      </c>
      <c r="C8351" s="128" t="s">
        <v>26</v>
      </c>
      <c r="D8351" s="128" t="s">
        <v>79</v>
      </c>
      <c r="E8351" s="128" t="s">
        <v>135</v>
      </c>
      <c r="F8351" s="128">
        <v>8411312.5899999999</v>
      </c>
      <c r="G8351" s="128">
        <v>2062517.81</v>
      </c>
      <c r="H8351" s="128">
        <v>696424.16</v>
      </c>
      <c r="I8351" s="128">
        <v>11931</v>
      </c>
    </row>
    <row r="8352" spans="1:9" ht="13.5">
      <c r="A8352" s="128">
        <v>2014</v>
      </c>
      <c r="B8352" s="128" t="s">
        <v>138</v>
      </c>
      <c r="C8352" s="128" t="s">
        <v>26</v>
      </c>
      <c r="D8352" s="128" t="s">
        <v>77</v>
      </c>
      <c r="E8352" s="128" t="s">
        <v>132</v>
      </c>
      <c r="F8352" s="128">
        <v>94190.74</v>
      </c>
      <c r="G8352" s="128">
        <v>62001.05</v>
      </c>
      <c r="H8352" s="128">
        <v>29496.57</v>
      </c>
      <c r="I8352" s="128">
        <v>251</v>
      </c>
    </row>
    <row r="8353" spans="1:9" ht="13.5">
      <c r="A8353" s="128">
        <v>2014</v>
      </c>
      <c r="B8353" s="128" t="s">
        <v>138</v>
      </c>
      <c r="C8353" s="128" t="s">
        <v>26</v>
      </c>
      <c r="D8353" s="128" t="s">
        <v>77</v>
      </c>
      <c r="E8353" s="128" t="s">
        <v>133</v>
      </c>
      <c r="F8353" s="128">
        <v>93639.92</v>
      </c>
      <c r="G8353" s="128">
        <v>51690.400000000001</v>
      </c>
      <c r="H8353" s="128">
        <v>36557.949999999997</v>
      </c>
      <c r="I8353" s="128">
        <v>236</v>
      </c>
    </row>
    <row r="8354" spans="1:9" ht="13.5">
      <c r="A8354" s="128">
        <v>2014</v>
      </c>
      <c r="B8354" s="128" t="s">
        <v>138</v>
      </c>
      <c r="C8354" s="128" t="s">
        <v>26</v>
      </c>
      <c r="D8354" s="128" t="s">
        <v>77</v>
      </c>
      <c r="E8354" s="128" t="s">
        <v>134</v>
      </c>
      <c r="F8354" s="128">
        <v>216410.27</v>
      </c>
      <c r="G8354" s="128">
        <v>94242.8</v>
      </c>
      <c r="H8354" s="128">
        <v>89112.4</v>
      </c>
      <c r="I8354" s="128">
        <v>720</v>
      </c>
    </row>
    <row r="8355" spans="1:9" ht="13.5">
      <c r="A8355" s="128">
        <v>2014</v>
      </c>
      <c r="B8355" s="128" t="s">
        <v>138</v>
      </c>
      <c r="C8355" s="128" t="s">
        <v>26</v>
      </c>
      <c r="D8355" s="128" t="s">
        <v>77</v>
      </c>
      <c r="E8355" s="128" t="s">
        <v>135</v>
      </c>
      <c r="F8355" s="128">
        <v>1197436.01</v>
      </c>
      <c r="G8355" s="128">
        <v>328802.3</v>
      </c>
      <c r="H8355" s="128">
        <v>353301.11</v>
      </c>
      <c r="I8355" s="128">
        <v>3900</v>
      </c>
    </row>
    <row r="8356" spans="1:9" ht="13.5">
      <c r="A8356" s="128">
        <v>2014</v>
      </c>
      <c r="B8356" s="128" t="s">
        <v>138</v>
      </c>
      <c r="C8356" s="128" t="s">
        <v>26</v>
      </c>
      <c r="D8356" s="128" t="s">
        <v>76</v>
      </c>
      <c r="E8356" s="128" t="s">
        <v>136</v>
      </c>
      <c r="F8356" s="128">
        <v>454897.91999999998</v>
      </c>
      <c r="G8356" s="128">
        <v>343237.17</v>
      </c>
      <c r="H8356" s="128">
        <v>111660.75</v>
      </c>
      <c r="I8356" s="128">
        <v>14540</v>
      </c>
    </row>
    <row r="8357" spans="1:9" ht="13.5">
      <c r="A8357" s="128">
        <v>2014</v>
      </c>
      <c r="B8357" s="128" t="s">
        <v>138</v>
      </c>
      <c r="C8357" s="128" t="s">
        <v>26</v>
      </c>
      <c r="D8357" s="128" t="s">
        <v>76</v>
      </c>
      <c r="E8357" s="128" t="s">
        <v>132</v>
      </c>
      <c r="F8357" s="128">
        <v>1276402.24</v>
      </c>
      <c r="G8357" s="128">
        <v>823999.4</v>
      </c>
      <c r="H8357" s="128">
        <v>452389.05</v>
      </c>
      <c r="I8357" s="128">
        <v>14218</v>
      </c>
    </row>
    <row r="8358" spans="1:9" ht="13.5">
      <c r="A8358" s="128">
        <v>2014</v>
      </c>
      <c r="B8358" s="128" t="s">
        <v>138</v>
      </c>
      <c r="C8358" s="128" t="s">
        <v>26</v>
      </c>
      <c r="D8358" s="128" t="s">
        <v>76</v>
      </c>
      <c r="E8358" s="128" t="s">
        <v>133</v>
      </c>
      <c r="F8358" s="128">
        <v>2864241.94</v>
      </c>
      <c r="G8358" s="128">
        <v>1586520.59</v>
      </c>
      <c r="H8358" s="128">
        <v>1277717.49</v>
      </c>
      <c r="I8358" s="128">
        <v>19836</v>
      </c>
    </row>
    <row r="8359" spans="1:9" ht="13.5">
      <c r="A8359" s="128">
        <v>2014</v>
      </c>
      <c r="B8359" s="128" t="s">
        <v>138</v>
      </c>
      <c r="C8359" s="128" t="s">
        <v>26</v>
      </c>
      <c r="D8359" s="128" t="s">
        <v>76</v>
      </c>
      <c r="E8359" s="128" t="s">
        <v>134</v>
      </c>
      <c r="F8359" s="128">
        <v>2330826.58</v>
      </c>
      <c r="G8359" s="128">
        <v>1061395.49</v>
      </c>
      <c r="H8359" s="128">
        <v>1269409.3</v>
      </c>
      <c r="I8359" s="128">
        <v>14850</v>
      </c>
    </row>
    <row r="8360" spans="1:9" ht="13.5">
      <c r="A8360" s="128">
        <v>2014</v>
      </c>
      <c r="B8360" s="128" t="s">
        <v>138</v>
      </c>
      <c r="C8360" s="128" t="s">
        <v>26</v>
      </c>
      <c r="D8360" s="128" t="s">
        <v>76</v>
      </c>
      <c r="E8360" s="128" t="s">
        <v>135</v>
      </c>
      <c r="F8360" s="128">
        <v>421660.74</v>
      </c>
      <c r="G8360" s="128">
        <v>129214.5</v>
      </c>
      <c r="H8360" s="128">
        <v>292446.24</v>
      </c>
      <c r="I8360" s="128">
        <v>1492</v>
      </c>
    </row>
    <row r="8361" spans="1:9" ht="13.5">
      <c r="A8361" s="128">
        <v>2014</v>
      </c>
      <c r="B8361" s="128" t="s">
        <v>138</v>
      </c>
      <c r="C8361" s="128" t="s">
        <v>27</v>
      </c>
      <c r="D8361" s="128" t="s">
        <v>79</v>
      </c>
      <c r="E8361" s="128" t="s">
        <v>136</v>
      </c>
      <c r="F8361" s="128">
        <v>292469.46000000002</v>
      </c>
      <c r="G8361" s="128">
        <v>218666.04</v>
      </c>
      <c r="H8361" s="128">
        <v>72553.42</v>
      </c>
      <c r="I8361" s="128">
        <v>1524</v>
      </c>
    </row>
    <row r="8362" spans="1:9" ht="13.5">
      <c r="A8362" s="128">
        <v>2014</v>
      </c>
      <c r="B8362" s="128" t="s">
        <v>138</v>
      </c>
      <c r="C8362" s="128" t="s">
        <v>27</v>
      </c>
      <c r="D8362" s="128" t="s">
        <v>79</v>
      </c>
      <c r="E8362" s="128" t="s">
        <v>132</v>
      </c>
      <c r="F8362" s="128">
        <v>26124.16</v>
      </c>
      <c r="G8362" s="128">
        <v>17447.21</v>
      </c>
      <c r="H8362" s="128">
        <v>7006.45</v>
      </c>
      <c r="I8362" s="128">
        <v>109</v>
      </c>
    </row>
    <row r="8363" spans="1:9" ht="13.5">
      <c r="A8363" s="128">
        <v>2014</v>
      </c>
      <c r="B8363" s="128" t="s">
        <v>138</v>
      </c>
      <c r="C8363" s="128" t="s">
        <v>27</v>
      </c>
      <c r="D8363" s="128" t="s">
        <v>79</v>
      </c>
      <c r="E8363" s="128" t="s">
        <v>133</v>
      </c>
      <c r="F8363" s="128">
        <v>38592.22</v>
      </c>
      <c r="G8363" s="128">
        <v>21162.400000000001</v>
      </c>
      <c r="H8363" s="128">
        <v>9018</v>
      </c>
      <c r="I8363" s="128">
        <v>176</v>
      </c>
    </row>
    <row r="8364" spans="1:9" ht="13.5">
      <c r="A8364" s="128">
        <v>2014</v>
      </c>
      <c r="B8364" s="128" t="s">
        <v>138</v>
      </c>
      <c r="C8364" s="128" t="s">
        <v>27</v>
      </c>
      <c r="D8364" s="128" t="s">
        <v>79</v>
      </c>
      <c r="E8364" s="128" t="s">
        <v>134</v>
      </c>
      <c r="F8364" s="128">
        <v>142264.64000000001</v>
      </c>
      <c r="G8364" s="128">
        <v>61528.75</v>
      </c>
      <c r="H8364" s="128">
        <v>34989.25</v>
      </c>
      <c r="I8364" s="128">
        <v>638</v>
      </c>
    </row>
    <row r="8365" spans="1:9" ht="13.5">
      <c r="A8365" s="128">
        <v>2014</v>
      </c>
      <c r="B8365" s="128" t="s">
        <v>138</v>
      </c>
      <c r="C8365" s="128" t="s">
        <v>27</v>
      </c>
      <c r="D8365" s="128" t="s">
        <v>79</v>
      </c>
      <c r="E8365" s="128" t="s">
        <v>135</v>
      </c>
      <c r="F8365" s="128">
        <v>1528749.77</v>
      </c>
      <c r="G8365" s="128">
        <v>387209.49</v>
      </c>
      <c r="H8365" s="128">
        <v>129655.95</v>
      </c>
      <c r="I8365" s="128">
        <v>2029</v>
      </c>
    </row>
    <row r="8366" spans="1:9" ht="13.5">
      <c r="A8366" s="128">
        <v>2014</v>
      </c>
      <c r="B8366" s="128" t="s">
        <v>138</v>
      </c>
      <c r="C8366" s="128" t="s">
        <v>27</v>
      </c>
      <c r="D8366" s="128" t="s">
        <v>77</v>
      </c>
      <c r="E8366" s="128" t="s">
        <v>132</v>
      </c>
      <c r="F8366" s="128">
        <v>12821.23</v>
      </c>
      <c r="G8366" s="128">
        <v>8457.35</v>
      </c>
      <c r="H8366" s="128">
        <v>3809</v>
      </c>
      <c r="I8366" s="128">
        <v>53</v>
      </c>
    </row>
    <row r="8367" spans="1:9" ht="13.5">
      <c r="A8367" s="128">
        <v>2014</v>
      </c>
      <c r="B8367" s="128" t="s">
        <v>138</v>
      </c>
      <c r="C8367" s="128" t="s">
        <v>27</v>
      </c>
      <c r="D8367" s="128" t="s">
        <v>77</v>
      </c>
      <c r="E8367" s="128" t="s">
        <v>133</v>
      </c>
      <c r="F8367" s="128">
        <v>34070.129999999997</v>
      </c>
      <c r="G8367" s="128">
        <v>18329.650000000001</v>
      </c>
      <c r="H8367" s="128">
        <v>12040.35</v>
      </c>
      <c r="I8367" s="128">
        <v>81</v>
      </c>
    </row>
    <row r="8368" spans="1:9" ht="13.5">
      <c r="A8368" s="128">
        <v>2014</v>
      </c>
      <c r="B8368" s="128" t="s">
        <v>138</v>
      </c>
      <c r="C8368" s="128" t="s">
        <v>27</v>
      </c>
      <c r="D8368" s="128" t="s">
        <v>77</v>
      </c>
      <c r="E8368" s="128" t="s">
        <v>134</v>
      </c>
      <c r="F8368" s="128">
        <v>199240.57</v>
      </c>
      <c r="G8368" s="128">
        <v>87249.85</v>
      </c>
      <c r="H8368" s="128">
        <v>78395.009999999995</v>
      </c>
      <c r="I8368" s="128">
        <v>376</v>
      </c>
    </row>
    <row r="8369" spans="1:9" ht="13.5">
      <c r="A8369" s="128">
        <v>2014</v>
      </c>
      <c r="B8369" s="128" t="s">
        <v>138</v>
      </c>
      <c r="C8369" s="128" t="s">
        <v>27</v>
      </c>
      <c r="D8369" s="128" t="s">
        <v>77</v>
      </c>
      <c r="E8369" s="128" t="s">
        <v>135</v>
      </c>
      <c r="F8369" s="128">
        <v>353387.65</v>
      </c>
      <c r="G8369" s="128">
        <v>92646.85</v>
      </c>
      <c r="H8369" s="128">
        <v>102014.68</v>
      </c>
      <c r="I8369" s="128">
        <v>1229</v>
      </c>
    </row>
    <row r="8370" spans="1:9" ht="13.5">
      <c r="A8370" s="128">
        <v>2014</v>
      </c>
      <c r="B8370" s="128" t="s">
        <v>138</v>
      </c>
      <c r="C8370" s="128" t="s">
        <v>27</v>
      </c>
      <c r="D8370" s="128" t="s">
        <v>76</v>
      </c>
      <c r="E8370" s="128" t="s">
        <v>136</v>
      </c>
      <c r="F8370" s="128">
        <v>168339.7</v>
      </c>
      <c r="G8370" s="128">
        <v>126800.45</v>
      </c>
      <c r="H8370" s="128">
        <v>41539.25</v>
      </c>
      <c r="I8370" s="128">
        <v>1680</v>
      </c>
    </row>
    <row r="8371" spans="1:9" ht="13.5">
      <c r="A8371" s="128">
        <v>2014</v>
      </c>
      <c r="B8371" s="128" t="s">
        <v>138</v>
      </c>
      <c r="C8371" s="128" t="s">
        <v>27</v>
      </c>
      <c r="D8371" s="128" t="s">
        <v>76</v>
      </c>
      <c r="E8371" s="128" t="s">
        <v>132</v>
      </c>
      <c r="F8371" s="128">
        <v>476300.5</v>
      </c>
      <c r="G8371" s="128">
        <v>304549.57</v>
      </c>
      <c r="H8371" s="128">
        <v>171750.88</v>
      </c>
      <c r="I8371" s="128">
        <v>3932</v>
      </c>
    </row>
    <row r="8372" spans="1:9" ht="13.5">
      <c r="A8372" s="128">
        <v>2014</v>
      </c>
      <c r="B8372" s="128" t="s">
        <v>138</v>
      </c>
      <c r="C8372" s="128" t="s">
        <v>27</v>
      </c>
      <c r="D8372" s="128" t="s">
        <v>76</v>
      </c>
      <c r="E8372" s="128" t="s">
        <v>133</v>
      </c>
      <c r="F8372" s="128">
        <v>1164885.6200000001</v>
      </c>
      <c r="G8372" s="128">
        <v>645548.65</v>
      </c>
      <c r="H8372" s="128">
        <v>519331.69</v>
      </c>
      <c r="I8372" s="128">
        <v>9410</v>
      </c>
    </row>
    <row r="8373" spans="1:9" ht="13.5">
      <c r="A8373" s="128">
        <v>2014</v>
      </c>
      <c r="B8373" s="128" t="s">
        <v>138</v>
      </c>
      <c r="C8373" s="128" t="s">
        <v>27</v>
      </c>
      <c r="D8373" s="128" t="s">
        <v>76</v>
      </c>
      <c r="E8373" s="128" t="s">
        <v>134</v>
      </c>
      <c r="F8373" s="128">
        <v>1409954.32</v>
      </c>
      <c r="G8373" s="128">
        <v>647929.59999999998</v>
      </c>
      <c r="H8373" s="128">
        <v>762015.56</v>
      </c>
      <c r="I8373" s="128">
        <v>6663</v>
      </c>
    </row>
    <row r="8374" spans="1:9" ht="13.5">
      <c r="A8374" s="128">
        <v>2014</v>
      </c>
      <c r="B8374" s="128" t="s">
        <v>138</v>
      </c>
      <c r="C8374" s="128" t="s">
        <v>27</v>
      </c>
      <c r="D8374" s="128" t="s">
        <v>76</v>
      </c>
      <c r="E8374" s="128" t="s">
        <v>135</v>
      </c>
      <c r="F8374" s="128">
        <v>55700.35</v>
      </c>
      <c r="G8374" s="128">
        <v>17190.55</v>
      </c>
      <c r="H8374" s="128">
        <v>38509.800000000003</v>
      </c>
      <c r="I8374" s="128">
        <v>106</v>
      </c>
    </row>
    <row r="8375" spans="1:9" ht="13.5">
      <c r="A8375" s="128">
        <v>2014</v>
      </c>
      <c r="B8375" s="128" t="s">
        <v>139</v>
      </c>
      <c r="C8375" s="128" t="s">
        <v>20</v>
      </c>
      <c r="D8375" s="128" t="s">
        <v>79</v>
      </c>
      <c r="E8375" s="128" t="s">
        <v>136</v>
      </c>
      <c r="F8375" s="128">
        <v>39991695.57</v>
      </c>
      <c r="G8375" s="128">
        <v>30053311.5</v>
      </c>
      <c r="H8375" s="128">
        <v>9904754.6400000006</v>
      </c>
      <c r="I8375" s="128">
        <v>625017</v>
      </c>
    </row>
    <row r="8376" spans="1:9" ht="13.5">
      <c r="A8376" s="128">
        <v>2014</v>
      </c>
      <c r="B8376" s="128" t="s">
        <v>139</v>
      </c>
      <c r="C8376" s="128" t="s">
        <v>20</v>
      </c>
      <c r="D8376" s="128" t="s">
        <v>79</v>
      </c>
      <c r="E8376" s="128" t="s">
        <v>132</v>
      </c>
      <c r="F8376" s="128">
        <v>2443977.3199999998</v>
      </c>
      <c r="G8376" s="128">
        <v>1626651.6</v>
      </c>
      <c r="H8376" s="128">
        <v>618517.31000000006</v>
      </c>
      <c r="I8376" s="128">
        <v>14456</v>
      </c>
    </row>
    <row r="8377" spans="1:9" ht="13.5">
      <c r="A8377" s="128">
        <v>2014</v>
      </c>
      <c r="B8377" s="128" t="s">
        <v>139</v>
      </c>
      <c r="C8377" s="128" t="s">
        <v>20</v>
      </c>
      <c r="D8377" s="128" t="s">
        <v>79</v>
      </c>
      <c r="E8377" s="128" t="s">
        <v>133</v>
      </c>
      <c r="F8377" s="128">
        <v>2852444.81</v>
      </c>
      <c r="G8377" s="128">
        <v>1538787.93</v>
      </c>
      <c r="H8377" s="128">
        <v>633742.03</v>
      </c>
      <c r="I8377" s="128">
        <v>10864</v>
      </c>
    </row>
    <row r="8378" spans="1:9" ht="13.5">
      <c r="A8378" s="128">
        <v>2014</v>
      </c>
      <c r="B8378" s="128" t="s">
        <v>139</v>
      </c>
      <c r="C8378" s="128" t="s">
        <v>20</v>
      </c>
      <c r="D8378" s="128" t="s">
        <v>79</v>
      </c>
      <c r="E8378" s="128" t="s">
        <v>134</v>
      </c>
      <c r="F8378" s="128">
        <v>12216119.6</v>
      </c>
      <c r="G8378" s="128">
        <v>5209449.29</v>
      </c>
      <c r="H8378" s="128">
        <v>1975115.08</v>
      </c>
      <c r="I8378" s="128">
        <v>64349</v>
      </c>
    </row>
    <row r="8379" spans="1:9" ht="13.5">
      <c r="A8379" s="128">
        <v>2014</v>
      </c>
      <c r="B8379" s="128" t="s">
        <v>139</v>
      </c>
      <c r="C8379" s="128" t="s">
        <v>20</v>
      </c>
      <c r="D8379" s="128" t="s">
        <v>79</v>
      </c>
      <c r="E8379" s="128" t="s">
        <v>135</v>
      </c>
      <c r="F8379" s="128">
        <v>92191504.150000006</v>
      </c>
      <c r="G8379" s="128">
        <v>22895091.16</v>
      </c>
      <c r="H8379" s="128">
        <v>7692414.4500000002</v>
      </c>
      <c r="I8379" s="128">
        <v>145486</v>
      </c>
    </row>
    <row r="8380" spans="1:9" ht="13.5">
      <c r="A8380" s="128">
        <v>2014</v>
      </c>
      <c r="B8380" s="128" t="s">
        <v>139</v>
      </c>
      <c r="C8380" s="128" t="s">
        <v>20</v>
      </c>
      <c r="D8380" s="128" t="s">
        <v>77</v>
      </c>
      <c r="E8380" s="128" t="s">
        <v>132</v>
      </c>
      <c r="F8380" s="128">
        <v>1440372.76</v>
      </c>
      <c r="G8380" s="128">
        <v>962398.34</v>
      </c>
      <c r="H8380" s="128">
        <v>421906.1</v>
      </c>
      <c r="I8380" s="128">
        <v>6884</v>
      </c>
    </row>
    <row r="8381" spans="1:9" ht="13.5">
      <c r="A8381" s="128">
        <v>2014</v>
      </c>
      <c r="B8381" s="128" t="s">
        <v>139</v>
      </c>
      <c r="C8381" s="128" t="s">
        <v>20</v>
      </c>
      <c r="D8381" s="128" t="s">
        <v>77</v>
      </c>
      <c r="E8381" s="128" t="s">
        <v>133</v>
      </c>
      <c r="F8381" s="128">
        <v>1947757.62</v>
      </c>
      <c r="G8381" s="128">
        <v>1053041.8799999999</v>
      </c>
      <c r="H8381" s="128">
        <v>733102.78</v>
      </c>
      <c r="I8381" s="128">
        <v>7699</v>
      </c>
    </row>
    <row r="8382" spans="1:9" ht="13.5">
      <c r="A8382" s="128">
        <v>2014</v>
      </c>
      <c r="B8382" s="128" t="s">
        <v>139</v>
      </c>
      <c r="C8382" s="128" t="s">
        <v>20</v>
      </c>
      <c r="D8382" s="128" t="s">
        <v>77</v>
      </c>
      <c r="E8382" s="128" t="s">
        <v>134</v>
      </c>
      <c r="F8382" s="128">
        <v>4844082.21</v>
      </c>
      <c r="G8382" s="128">
        <v>2135354.16</v>
      </c>
      <c r="H8382" s="128">
        <v>2039727.67</v>
      </c>
      <c r="I8382" s="128">
        <v>12598</v>
      </c>
    </row>
    <row r="8383" spans="1:9" ht="13.5">
      <c r="A8383" s="128">
        <v>2014</v>
      </c>
      <c r="B8383" s="128" t="s">
        <v>139</v>
      </c>
      <c r="C8383" s="128" t="s">
        <v>20</v>
      </c>
      <c r="D8383" s="128" t="s">
        <v>77</v>
      </c>
      <c r="E8383" s="128" t="s">
        <v>135</v>
      </c>
      <c r="F8383" s="128">
        <v>5244959.42</v>
      </c>
      <c r="G8383" s="128">
        <v>1441467.57</v>
      </c>
      <c r="H8383" s="128">
        <v>1602005.66</v>
      </c>
      <c r="I8383" s="128">
        <v>14933</v>
      </c>
    </row>
    <row r="8384" spans="1:9" ht="13.5">
      <c r="A8384" s="128">
        <v>2014</v>
      </c>
      <c r="B8384" s="128" t="s">
        <v>139</v>
      </c>
      <c r="C8384" s="128" t="s">
        <v>20</v>
      </c>
      <c r="D8384" s="128" t="s">
        <v>76</v>
      </c>
      <c r="E8384" s="128" t="s">
        <v>136</v>
      </c>
      <c r="F8384" s="128">
        <v>13513468.82</v>
      </c>
      <c r="G8384" s="128">
        <v>10163265.789999999</v>
      </c>
      <c r="H8384" s="128">
        <v>3351240.08</v>
      </c>
      <c r="I8384" s="128">
        <v>356420</v>
      </c>
    </row>
    <row r="8385" spans="1:9" ht="13.5">
      <c r="A8385" s="128">
        <v>2014</v>
      </c>
      <c r="B8385" s="128" t="s">
        <v>139</v>
      </c>
      <c r="C8385" s="128" t="s">
        <v>20</v>
      </c>
      <c r="D8385" s="128" t="s">
        <v>76</v>
      </c>
      <c r="E8385" s="128" t="s">
        <v>132</v>
      </c>
      <c r="F8385" s="128">
        <v>36692475.439999998</v>
      </c>
      <c r="G8385" s="128">
        <v>23492061.25</v>
      </c>
      <c r="H8385" s="128">
        <v>13200125.35</v>
      </c>
      <c r="I8385" s="128">
        <v>362407</v>
      </c>
    </row>
    <row r="8386" spans="1:9" ht="13.5">
      <c r="A8386" s="128">
        <v>2014</v>
      </c>
      <c r="B8386" s="128" t="s">
        <v>139</v>
      </c>
      <c r="C8386" s="128" t="s">
        <v>20</v>
      </c>
      <c r="D8386" s="128" t="s">
        <v>76</v>
      </c>
      <c r="E8386" s="128" t="s">
        <v>133</v>
      </c>
      <c r="F8386" s="128">
        <v>81411154.849999994</v>
      </c>
      <c r="G8386" s="128">
        <v>44981601.850000001</v>
      </c>
      <c r="H8386" s="128">
        <v>36429296.18</v>
      </c>
      <c r="I8386" s="128">
        <v>465086</v>
      </c>
    </row>
    <row r="8387" spans="1:9" ht="13.5">
      <c r="A8387" s="128">
        <v>2014</v>
      </c>
      <c r="B8387" s="128" t="s">
        <v>139</v>
      </c>
      <c r="C8387" s="128" t="s">
        <v>20</v>
      </c>
      <c r="D8387" s="128" t="s">
        <v>76</v>
      </c>
      <c r="E8387" s="128" t="s">
        <v>134</v>
      </c>
      <c r="F8387" s="128">
        <v>89606183.459999993</v>
      </c>
      <c r="G8387" s="128">
        <v>40968722.289999999</v>
      </c>
      <c r="H8387" s="128">
        <v>48637256.390000001</v>
      </c>
      <c r="I8387" s="128">
        <v>501062</v>
      </c>
    </row>
    <row r="8388" spans="1:9" ht="13.5">
      <c r="A8388" s="128">
        <v>2014</v>
      </c>
      <c r="B8388" s="128" t="s">
        <v>139</v>
      </c>
      <c r="C8388" s="128" t="s">
        <v>20</v>
      </c>
      <c r="D8388" s="128" t="s">
        <v>76</v>
      </c>
      <c r="E8388" s="128" t="s">
        <v>135</v>
      </c>
      <c r="F8388" s="128">
        <v>9839946.9800000004</v>
      </c>
      <c r="G8388" s="128">
        <v>3039205.57</v>
      </c>
      <c r="H8388" s="128">
        <v>6800737.6200000001</v>
      </c>
      <c r="I8388" s="128">
        <v>41524</v>
      </c>
    </row>
    <row r="8389" spans="1:9" ht="13.5">
      <c r="A8389" s="128">
        <v>2014</v>
      </c>
      <c r="B8389" s="128" t="s">
        <v>139</v>
      </c>
      <c r="C8389" s="128" t="s">
        <v>21</v>
      </c>
      <c r="D8389" s="128" t="s">
        <v>79</v>
      </c>
      <c r="E8389" s="128" t="s">
        <v>136</v>
      </c>
      <c r="F8389" s="128">
        <v>8949618.0299999993</v>
      </c>
      <c r="G8389" s="128">
        <v>6727520.4500000002</v>
      </c>
      <c r="H8389" s="128">
        <v>2220014.7999999998</v>
      </c>
      <c r="I8389" s="128">
        <v>79283</v>
      </c>
    </row>
    <row r="8390" spans="1:9" ht="13.5">
      <c r="A8390" s="128">
        <v>2014</v>
      </c>
      <c r="B8390" s="128" t="s">
        <v>139</v>
      </c>
      <c r="C8390" s="128" t="s">
        <v>21</v>
      </c>
      <c r="D8390" s="128" t="s">
        <v>79</v>
      </c>
      <c r="E8390" s="128" t="s">
        <v>132</v>
      </c>
      <c r="F8390" s="128">
        <v>1135307.07</v>
      </c>
      <c r="G8390" s="128">
        <v>745701.02</v>
      </c>
      <c r="H8390" s="128">
        <v>270371.40000000002</v>
      </c>
      <c r="I8390" s="128">
        <v>7333</v>
      </c>
    </row>
    <row r="8391" spans="1:9" ht="13.5">
      <c r="A8391" s="128">
        <v>2014</v>
      </c>
      <c r="B8391" s="128" t="s">
        <v>139</v>
      </c>
      <c r="C8391" s="128" t="s">
        <v>21</v>
      </c>
      <c r="D8391" s="128" t="s">
        <v>79</v>
      </c>
      <c r="E8391" s="128" t="s">
        <v>133</v>
      </c>
      <c r="F8391" s="128">
        <v>1982576.6399999999</v>
      </c>
      <c r="G8391" s="128">
        <v>1079363.97</v>
      </c>
      <c r="H8391" s="128">
        <v>584579.03</v>
      </c>
      <c r="I8391" s="128">
        <v>14118</v>
      </c>
    </row>
    <row r="8392" spans="1:9" ht="13.5">
      <c r="A8392" s="128">
        <v>2014</v>
      </c>
      <c r="B8392" s="128" t="s">
        <v>139</v>
      </c>
      <c r="C8392" s="128" t="s">
        <v>21</v>
      </c>
      <c r="D8392" s="128" t="s">
        <v>79</v>
      </c>
      <c r="E8392" s="128" t="s">
        <v>134</v>
      </c>
      <c r="F8392" s="128">
        <v>3813919.02</v>
      </c>
      <c r="G8392" s="128">
        <v>1622673.67</v>
      </c>
      <c r="H8392" s="128">
        <v>937377.72</v>
      </c>
      <c r="I8392" s="128">
        <v>15714</v>
      </c>
    </row>
    <row r="8393" spans="1:9" ht="13.5">
      <c r="A8393" s="128">
        <v>2014</v>
      </c>
      <c r="B8393" s="128" t="s">
        <v>139</v>
      </c>
      <c r="C8393" s="128" t="s">
        <v>21</v>
      </c>
      <c r="D8393" s="128" t="s">
        <v>79</v>
      </c>
      <c r="E8393" s="128" t="s">
        <v>135</v>
      </c>
      <c r="F8393" s="128">
        <v>22796607.379999999</v>
      </c>
      <c r="G8393" s="128">
        <v>5852876.0199999996</v>
      </c>
      <c r="H8393" s="128">
        <v>2012736.16</v>
      </c>
      <c r="I8393" s="128">
        <v>42773</v>
      </c>
    </row>
    <row r="8394" spans="1:9" ht="13.5">
      <c r="A8394" s="128">
        <v>2014</v>
      </c>
      <c r="B8394" s="128" t="s">
        <v>139</v>
      </c>
      <c r="C8394" s="128" t="s">
        <v>21</v>
      </c>
      <c r="D8394" s="128" t="s">
        <v>77</v>
      </c>
      <c r="E8394" s="128" t="s">
        <v>132</v>
      </c>
      <c r="F8394" s="128">
        <v>2187860.37</v>
      </c>
      <c r="G8394" s="128">
        <v>1457770.24</v>
      </c>
      <c r="H8394" s="128">
        <v>612453.74</v>
      </c>
      <c r="I8394" s="128">
        <v>11843</v>
      </c>
    </row>
    <row r="8395" spans="1:9" ht="13.5">
      <c r="A8395" s="128">
        <v>2014</v>
      </c>
      <c r="B8395" s="128" t="s">
        <v>139</v>
      </c>
      <c r="C8395" s="128" t="s">
        <v>21</v>
      </c>
      <c r="D8395" s="128" t="s">
        <v>77</v>
      </c>
      <c r="E8395" s="128" t="s">
        <v>133</v>
      </c>
      <c r="F8395" s="128">
        <v>4236743.97</v>
      </c>
      <c r="G8395" s="128">
        <v>2310739.35</v>
      </c>
      <c r="H8395" s="128">
        <v>1519792.64</v>
      </c>
      <c r="I8395" s="128">
        <v>18907</v>
      </c>
    </row>
    <row r="8396" spans="1:9" ht="13.5">
      <c r="A8396" s="128">
        <v>2014</v>
      </c>
      <c r="B8396" s="128" t="s">
        <v>139</v>
      </c>
      <c r="C8396" s="128" t="s">
        <v>21</v>
      </c>
      <c r="D8396" s="128" t="s">
        <v>77</v>
      </c>
      <c r="E8396" s="128" t="s">
        <v>134</v>
      </c>
      <c r="F8396" s="128">
        <v>6961814.2699999996</v>
      </c>
      <c r="G8396" s="128">
        <v>3018348.66</v>
      </c>
      <c r="H8396" s="128">
        <v>2750419.07</v>
      </c>
      <c r="I8396" s="128">
        <v>16578</v>
      </c>
    </row>
    <row r="8397" spans="1:9" ht="13.5">
      <c r="A8397" s="128">
        <v>2014</v>
      </c>
      <c r="B8397" s="128" t="s">
        <v>139</v>
      </c>
      <c r="C8397" s="128" t="s">
        <v>21</v>
      </c>
      <c r="D8397" s="128" t="s">
        <v>77</v>
      </c>
      <c r="E8397" s="128" t="s">
        <v>135</v>
      </c>
      <c r="F8397" s="128">
        <v>7186112.2699999996</v>
      </c>
      <c r="G8397" s="128">
        <v>2127282.6800000002</v>
      </c>
      <c r="H8397" s="128">
        <v>2074691.86</v>
      </c>
      <c r="I8397" s="128">
        <v>18885</v>
      </c>
    </row>
    <row r="8398" spans="1:9" ht="13.5">
      <c r="A8398" s="128">
        <v>2014</v>
      </c>
      <c r="B8398" s="128" t="s">
        <v>139</v>
      </c>
      <c r="C8398" s="128" t="s">
        <v>21</v>
      </c>
      <c r="D8398" s="128" t="s">
        <v>76</v>
      </c>
      <c r="E8398" s="128" t="s">
        <v>136</v>
      </c>
      <c r="F8398" s="128">
        <v>14021135.18</v>
      </c>
      <c r="G8398" s="128">
        <v>10550237.949999999</v>
      </c>
      <c r="H8398" s="128">
        <v>3470897.31</v>
      </c>
      <c r="I8398" s="128">
        <v>244911</v>
      </c>
    </row>
    <row r="8399" spans="1:9" ht="13.5">
      <c r="A8399" s="128">
        <v>2014</v>
      </c>
      <c r="B8399" s="128" t="s">
        <v>139</v>
      </c>
      <c r="C8399" s="128" t="s">
        <v>21</v>
      </c>
      <c r="D8399" s="128" t="s">
        <v>76</v>
      </c>
      <c r="E8399" s="128" t="s">
        <v>132</v>
      </c>
      <c r="F8399" s="128">
        <v>39124589.100000001</v>
      </c>
      <c r="G8399" s="128">
        <v>25029587.760000002</v>
      </c>
      <c r="H8399" s="128">
        <v>14094903.98</v>
      </c>
      <c r="I8399" s="128">
        <v>343920</v>
      </c>
    </row>
    <row r="8400" spans="1:9" ht="13.5">
      <c r="A8400" s="128">
        <v>2014</v>
      </c>
      <c r="B8400" s="128" t="s">
        <v>139</v>
      </c>
      <c r="C8400" s="128" t="s">
        <v>21</v>
      </c>
      <c r="D8400" s="128" t="s">
        <v>76</v>
      </c>
      <c r="E8400" s="128" t="s">
        <v>133</v>
      </c>
      <c r="F8400" s="128">
        <v>96749087.090000004</v>
      </c>
      <c r="G8400" s="128">
        <v>53448712.93</v>
      </c>
      <c r="H8400" s="128">
        <v>43300246.32</v>
      </c>
      <c r="I8400" s="128">
        <v>787136</v>
      </c>
    </row>
    <row r="8401" spans="1:9" ht="13.5">
      <c r="A8401" s="128">
        <v>2014</v>
      </c>
      <c r="B8401" s="128" t="s">
        <v>139</v>
      </c>
      <c r="C8401" s="128" t="s">
        <v>21</v>
      </c>
      <c r="D8401" s="128" t="s">
        <v>76</v>
      </c>
      <c r="E8401" s="128" t="s">
        <v>134</v>
      </c>
      <c r="F8401" s="128">
        <v>90328045.569999993</v>
      </c>
      <c r="G8401" s="128">
        <v>40721871.079999998</v>
      </c>
      <c r="H8401" s="128">
        <v>49606079.380000003</v>
      </c>
      <c r="I8401" s="128">
        <v>473654</v>
      </c>
    </row>
    <row r="8402" spans="1:9" ht="13.5">
      <c r="A8402" s="128">
        <v>2014</v>
      </c>
      <c r="B8402" s="128" t="s">
        <v>139</v>
      </c>
      <c r="C8402" s="128" t="s">
        <v>21</v>
      </c>
      <c r="D8402" s="128" t="s">
        <v>76</v>
      </c>
      <c r="E8402" s="128" t="s">
        <v>135</v>
      </c>
      <c r="F8402" s="128">
        <v>4875707.66</v>
      </c>
      <c r="G8402" s="128">
        <v>1390878.41</v>
      </c>
      <c r="H8402" s="128">
        <v>3484828.95</v>
      </c>
      <c r="I8402" s="128">
        <v>12907</v>
      </c>
    </row>
    <row r="8403" spans="1:9" ht="13.5">
      <c r="A8403" s="128">
        <v>2014</v>
      </c>
      <c r="B8403" s="128" t="s">
        <v>139</v>
      </c>
      <c r="C8403" s="128" t="s">
        <v>22</v>
      </c>
      <c r="D8403" s="128" t="s">
        <v>79</v>
      </c>
      <c r="E8403" s="128" t="s">
        <v>136</v>
      </c>
      <c r="F8403" s="128">
        <v>8626703.5</v>
      </c>
      <c r="G8403" s="128">
        <v>6487276.2699999996</v>
      </c>
      <c r="H8403" s="128">
        <v>2138488.4300000002</v>
      </c>
      <c r="I8403" s="128">
        <v>58614</v>
      </c>
    </row>
    <row r="8404" spans="1:9" ht="13.5">
      <c r="A8404" s="128">
        <v>2014</v>
      </c>
      <c r="B8404" s="128" t="s">
        <v>139</v>
      </c>
      <c r="C8404" s="128" t="s">
        <v>22</v>
      </c>
      <c r="D8404" s="128" t="s">
        <v>79</v>
      </c>
      <c r="E8404" s="128" t="s">
        <v>132</v>
      </c>
      <c r="F8404" s="128">
        <v>2217740.4</v>
      </c>
      <c r="G8404" s="128">
        <v>1454924.76</v>
      </c>
      <c r="H8404" s="128">
        <v>583424.41</v>
      </c>
      <c r="I8404" s="128">
        <v>14490</v>
      </c>
    </row>
    <row r="8405" spans="1:9" ht="13.5">
      <c r="A8405" s="128">
        <v>2014</v>
      </c>
      <c r="B8405" s="128" t="s">
        <v>139</v>
      </c>
      <c r="C8405" s="128" t="s">
        <v>22</v>
      </c>
      <c r="D8405" s="128" t="s">
        <v>79</v>
      </c>
      <c r="E8405" s="128" t="s">
        <v>133</v>
      </c>
      <c r="F8405" s="128">
        <v>2802015.39</v>
      </c>
      <c r="G8405" s="128">
        <v>1526599.07</v>
      </c>
      <c r="H8405" s="128">
        <v>727674.18</v>
      </c>
      <c r="I8405" s="128">
        <v>14280</v>
      </c>
    </row>
    <row r="8406" spans="1:9" ht="13.5">
      <c r="A8406" s="128">
        <v>2014</v>
      </c>
      <c r="B8406" s="128" t="s">
        <v>139</v>
      </c>
      <c r="C8406" s="128" t="s">
        <v>22</v>
      </c>
      <c r="D8406" s="128" t="s">
        <v>79</v>
      </c>
      <c r="E8406" s="128" t="s">
        <v>134</v>
      </c>
      <c r="F8406" s="128">
        <v>7715053.6100000003</v>
      </c>
      <c r="G8406" s="128">
        <v>3273156.22</v>
      </c>
      <c r="H8406" s="128">
        <v>1237080.03</v>
      </c>
      <c r="I8406" s="128">
        <v>23279</v>
      </c>
    </row>
    <row r="8407" spans="1:9" ht="13.5">
      <c r="A8407" s="128">
        <v>2014</v>
      </c>
      <c r="B8407" s="128" t="s">
        <v>139</v>
      </c>
      <c r="C8407" s="128" t="s">
        <v>22</v>
      </c>
      <c r="D8407" s="128" t="s">
        <v>79</v>
      </c>
      <c r="E8407" s="128" t="s">
        <v>135</v>
      </c>
      <c r="F8407" s="128">
        <v>50223166.729999997</v>
      </c>
      <c r="G8407" s="128">
        <v>13029012.189999999</v>
      </c>
      <c r="H8407" s="128">
        <v>4404656.58</v>
      </c>
      <c r="I8407" s="128">
        <v>87825</v>
      </c>
    </row>
    <row r="8408" spans="1:9" ht="13.5">
      <c r="A8408" s="128">
        <v>2014</v>
      </c>
      <c r="B8408" s="128" t="s">
        <v>139</v>
      </c>
      <c r="C8408" s="128" t="s">
        <v>22</v>
      </c>
      <c r="D8408" s="128" t="s">
        <v>77</v>
      </c>
      <c r="E8408" s="128" t="s">
        <v>132</v>
      </c>
      <c r="F8408" s="128">
        <v>802135.11</v>
      </c>
      <c r="G8408" s="128">
        <v>529591.35</v>
      </c>
      <c r="H8408" s="128">
        <v>234624.92</v>
      </c>
      <c r="I8408" s="128">
        <v>3196</v>
      </c>
    </row>
    <row r="8409" spans="1:9" ht="13.5">
      <c r="A8409" s="128">
        <v>2014</v>
      </c>
      <c r="B8409" s="128" t="s">
        <v>139</v>
      </c>
      <c r="C8409" s="128" t="s">
        <v>22</v>
      </c>
      <c r="D8409" s="128" t="s">
        <v>77</v>
      </c>
      <c r="E8409" s="128" t="s">
        <v>133</v>
      </c>
      <c r="F8409" s="128">
        <v>1937991.97</v>
      </c>
      <c r="G8409" s="128">
        <v>1045193.7</v>
      </c>
      <c r="H8409" s="128">
        <v>718609.49</v>
      </c>
      <c r="I8409" s="128">
        <v>6772</v>
      </c>
    </row>
    <row r="8410" spans="1:9" ht="13.5">
      <c r="A8410" s="128">
        <v>2014</v>
      </c>
      <c r="B8410" s="128" t="s">
        <v>139</v>
      </c>
      <c r="C8410" s="128" t="s">
        <v>22</v>
      </c>
      <c r="D8410" s="128" t="s">
        <v>77</v>
      </c>
      <c r="E8410" s="128" t="s">
        <v>134</v>
      </c>
      <c r="F8410" s="128">
        <v>4697743.91</v>
      </c>
      <c r="G8410" s="128">
        <v>2022572.63</v>
      </c>
      <c r="H8410" s="128">
        <v>1948095</v>
      </c>
      <c r="I8410" s="128">
        <v>9015</v>
      </c>
    </row>
    <row r="8411" spans="1:9" ht="13.5">
      <c r="A8411" s="128">
        <v>2014</v>
      </c>
      <c r="B8411" s="128" t="s">
        <v>139</v>
      </c>
      <c r="C8411" s="128" t="s">
        <v>22</v>
      </c>
      <c r="D8411" s="128" t="s">
        <v>77</v>
      </c>
      <c r="E8411" s="128" t="s">
        <v>135</v>
      </c>
      <c r="F8411" s="128">
        <v>7413921.3200000003</v>
      </c>
      <c r="G8411" s="128">
        <v>2189942.84</v>
      </c>
      <c r="H8411" s="128">
        <v>2370632.7599999998</v>
      </c>
      <c r="I8411" s="128">
        <v>18788</v>
      </c>
    </row>
    <row r="8412" spans="1:9" ht="13.5">
      <c r="A8412" s="128">
        <v>2014</v>
      </c>
      <c r="B8412" s="128" t="s">
        <v>139</v>
      </c>
      <c r="C8412" s="128" t="s">
        <v>22</v>
      </c>
      <c r="D8412" s="128" t="s">
        <v>76</v>
      </c>
      <c r="E8412" s="128" t="s">
        <v>136</v>
      </c>
      <c r="F8412" s="128">
        <v>9233928.6500000004</v>
      </c>
      <c r="G8412" s="128">
        <v>6936806.0999999996</v>
      </c>
      <c r="H8412" s="128">
        <v>2297690.7599999998</v>
      </c>
      <c r="I8412" s="128">
        <v>160511</v>
      </c>
    </row>
    <row r="8413" spans="1:9" ht="13.5">
      <c r="A8413" s="128">
        <v>2014</v>
      </c>
      <c r="B8413" s="128" t="s">
        <v>139</v>
      </c>
      <c r="C8413" s="128" t="s">
        <v>22</v>
      </c>
      <c r="D8413" s="128" t="s">
        <v>76</v>
      </c>
      <c r="E8413" s="128" t="s">
        <v>132</v>
      </c>
      <c r="F8413" s="128">
        <v>33352029.350000001</v>
      </c>
      <c r="G8413" s="128">
        <v>21378251.670000002</v>
      </c>
      <c r="H8413" s="128">
        <v>11973664.460000001</v>
      </c>
      <c r="I8413" s="128">
        <v>340653</v>
      </c>
    </row>
    <row r="8414" spans="1:9" ht="13.5">
      <c r="A8414" s="128">
        <v>2014</v>
      </c>
      <c r="B8414" s="128" t="s">
        <v>139</v>
      </c>
      <c r="C8414" s="128" t="s">
        <v>22</v>
      </c>
      <c r="D8414" s="128" t="s">
        <v>76</v>
      </c>
      <c r="E8414" s="128" t="s">
        <v>133</v>
      </c>
      <c r="F8414" s="128">
        <v>68704930.540000007</v>
      </c>
      <c r="G8414" s="128">
        <v>38178389.18</v>
      </c>
      <c r="H8414" s="128">
        <v>30526315.170000002</v>
      </c>
      <c r="I8414" s="128">
        <v>574911</v>
      </c>
    </row>
    <row r="8415" spans="1:9" ht="13.5">
      <c r="A8415" s="128">
        <v>2014</v>
      </c>
      <c r="B8415" s="128" t="s">
        <v>139</v>
      </c>
      <c r="C8415" s="128" t="s">
        <v>22</v>
      </c>
      <c r="D8415" s="128" t="s">
        <v>76</v>
      </c>
      <c r="E8415" s="128" t="s">
        <v>134</v>
      </c>
      <c r="F8415" s="128">
        <v>57923146.090000004</v>
      </c>
      <c r="G8415" s="128">
        <v>26653665.219999999</v>
      </c>
      <c r="H8415" s="128">
        <v>31269291.469999999</v>
      </c>
      <c r="I8415" s="128">
        <v>367758</v>
      </c>
    </row>
    <row r="8416" spans="1:9" ht="13.5">
      <c r="A8416" s="128">
        <v>2014</v>
      </c>
      <c r="B8416" s="128" t="s">
        <v>139</v>
      </c>
      <c r="C8416" s="128" t="s">
        <v>22</v>
      </c>
      <c r="D8416" s="128" t="s">
        <v>76</v>
      </c>
      <c r="E8416" s="128" t="s">
        <v>135</v>
      </c>
      <c r="F8416" s="128">
        <v>6273599.7800000003</v>
      </c>
      <c r="G8416" s="128">
        <v>1844038.13</v>
      </c>
      <c r="H8416" s="128">
        <v>4429560.83</v>
      </c>
      <c r="I8416" s="128">
        <v>15031</v>
      </c>
    </row>
    <row r="8417" spans="1:9" ht="13.5">
      <c r="A8417" s="128">
        <v>2014</v>
      </c>
      <c r="B8417" s="128" t="s">
        <v>139</v>
      </c>
      <c r="C8417" s="128" t="s">
        <v>23</v>
      </c>
      <c r="D8417" s="128" t="s">
        <v>79</v>
      </c>
      <c r="E8417" s="128" t="s">
        <v>136</v>
      </c>
      <c r="F8417" s="128">
        <v>1836925.36</v>
      </c>
      <c r="G8417" s="128">
        <v>1379219.95</v>
      </c>
      <c r="H8417" s="128">
        <v>455432.26</v>
      </c>
      <c r="I8417" s="128">
        <v>12067</v>
      </c>
    </row>
    <row r="8418" spans="1:9" ht="13.5">
      <c r="A8418" s="128">
        <v>2014</v>
      </c>
      <c r="B8418" s="128" t="s">
        <v>139</v>
      </c>
      <c r="C8418" s="128" t="s">
        <v>23</v>
      </c>
      <c r="D8418" s="128" t="s">
        <v>79</v>
      </c>
      <c r="E8418" s="128" t="s">
        <v>132</v>
      </c>
      <c r="F8418" s="128">
        <v>289378.74</v>
      </c>
      <c r="G8418" s="128">
        <v>186703.41</v>
      </c>
      <c r="H8418" s="128">
        <v>83428.95</v>
      </c>
      <c r="I8418" s="128">
        <v>1455</v>
      </c>
    </row>
    <row r="8419" spans="1:9" ht="13.5">
      <c r="A8419" s="128">
        <v>2014</v>
      </c>
      <c r="B8419" s="128" t="s">
        <v>139</v>
      </c>
      <c r="C8419" s="128" t="s">
        <v>23</v>
      </c>
      <c r="D8419" s="128" t="s">
        <v>79</v>
      </c>
      <c r="E8419" s="128" t="s">
        <v>133</v>
      </c>
      <c r="F8419" s="128">
        <v>819186.54</v>
      </c>
      <c r="G8419" s="128">
        <v>442625.94</v>
      </c>
      <c r="H8419" s="128">
        <v>274622.53000000003</v>
      </c>
      <c r="I8419" s="128">
        <v>5526</v>
      </c>
    </row>
    <row r="8420" spans="1:9" ht="13.5">
      <c r="A8420" s="128">
        <v>2014</v>
      </c>
      <c r="B8420" s="128" t="s">
        <v>139</v>
      </c>
      <c r="C8420" s="128" t="s">
        <v>23</v>
      </c>
      <c r="D8420" s="128" t="s">
        <v>79</v>
      </c>
      <c r="E8420" s="128" t="s">
        <v>134</v>
      </c>
      <c r="F8420" s="128">
        <v>1145217.74</v>
      </c>
      <c r="G8420" s="128">
        <v>503982.41</v>
      </c>
      <c r="H8420" s="128">
        <v>404505.69</v>
      </c>
      <c r="I8420" s="128">
        <v>3849</v>
      </c>
    </row>
    <row r="8421" spans="1:9" ht="13.5">
      <c r="A8421" s="128">
        <v>2014</v>
      </c>
      <c r="B8421" s="128" t="s">
        <v>139</v>
      </c>
      <c r="C8421" s="128" t="s">
        <v>23</v>
      </c>
      <c r="D8421" s="128" t="s">
        <v>79</v>
      </c>
      <c r="E8421" s="128" t="s">
        <v>135</v>
      </c>
      <c r="F8421" s="128">
        <v>2514591.2999999998</v>
      </c>
      <c r="G8421" s="128">
        <v>646011.06999999995</v>
      </c>
      <c r="H8421" s="128">
        <v>263839.3</v>
      </c>
      <c r="I8421" s="128">
        <v>6660</v>
      </c>
    </row>
    <row r="8422" spans="1:9" ht="13.5">
      <c r="A8422" s="128">
        <v>2014</v>
      </c>
      <c r="B8422" s="128" t="s">
        <v>139</v>
      </c>
      <c r="C8422" s="128" t="s">
        <v>23</v>
      </c>
      <c r="D8422" s="128" t="s">
        <v>77</v>
      </c>
      <c r="E8422" s="128" t="s">
        <v>132</v>
      </c>
      <c r="F8422" s="128">
        <v>357011.65</v>
      </c>
      <c r="G8422" s="128">
        <v>241958.5</v>
      </c>
      <c r="H8422" s="128">
        <v>100683.64</v>
      </c>
      <c r="I8422" s="128">
        <v>1683</v>
      </c>
    </row>
    <row r="8423" spans="1:9" ht="13.5">
      <c r="A8423" s="128">
        <v>2014</v>
      </c>
      <c r="B8423" s="128" t="s">
        <v>139</v>
      </c>
      <c r="C8423" s="128" t="s">
        <v>23</v>
      </c>
      <c r="D8423" s="128" t="s">
        <v>77</v>
      </c>
      <c r="E8423" s="128" t="s">
        <v>133</v>
      </c>
      <c r="F8423" s="128">
        <v>627299.26</v>
      </c>
      <c r="G8423" s="128">
        <v>340841.61</v>
      </c>
      <c r="H8423" s="128">
        <v>216263.88</v>
      </c>
      <c r="I8423" s="128">
        <v>3095</v>
      </c>
    </row>
    <row r="8424" spans="1:9" ht="13.5">
      <c r="A8424" s="128">
        <v>2014</v>
      </c>
      <c r="B8424" s="128" t="s">
        <v>139</v>
      </c>
      <c r="C8424" s="128" t="s">
        <v>23</v>
      </c>
      <c r="D8424" s="128" t="s">
        <v>77</v>
      </c>
      <c r="E8424" s="128" t="s">
        <v>134</v>
      </c>
      <c r="F8424" s="128">
        <v>2620776.15</v>
      </c>
      <c r="G8424" s="128">
        <v>1101818.95</v>
      </c>
      <c r="H8424" s="128">
        <v>1097768.46</v>
      </c>
      <c r="I8424" s="128">
        <v>4373</v>
      </c>
    </row>
    <row r="8425" spans="1:9" ht="13.5">
      <c r="A8425" s="128">
        <v>2014</v>
      </c>
      <c r="B8425" s="128" t="s">
        <v>139</v>
      </c>
      <c r="C8425" s="128" t="s">
        <v>23</v>
      </c>
      <c r="D8425" s="128" t="s">
        <v>77</v>
      </c>
      <c r="E8425" s="128" t="s">
        <v>135</v>
      </c>
      <c r="F8425" s="128">
        <v>1614725.34</v>
      </c>
      <c r="G8425" s="128">
        <v>477278.65</v>
      </c>
      <c r="H8425" s="128">
        <v>540416.80000000005</v>
      </c>
      <c r="I8425" s="128">
        <v>5204</v>
      </c>
    </row>
    <row r="8426" spans="1:9" ht="13.5">
      <c r="A8426" s="128">
        <v>2014</v>
      </c>
      <c r="B8426" s="128" t="s">
        <v>139</v>
      </c>
      <c r="C8426" s="128" t="s">
        <v>23</v>
      </c>
      <c r="D8426" s="128" t="s">
        <v>76</v>
      </c>
      <c r="E8426" s="128" t="s">
        <v>136</v>
      </c>
      <c r="F8426" s="128">
        <v>4024625.8</v>
      </c>
      <c r="G8426" s="128">
        <v>3026442.38</v>
      </c>
      <c r="H8426" s="128">
        <v>998143.3</v>
      </c>
      <c r="I8426" s="128">
        <v>57533</v>
      </c>
    </row>
    <row r="8427" spans="1:9" ht="13.5">
      <c r="A8427" s="128">
        <v>2014</v>
      </c>
      <c r="B8427" s="128" t="s">
        <v>139</v>
      </c>
      <c r="C8427" s="128" t="s">
        <v>23</v>
      </c>
      <c r="D8427" s="128" t="s">
        <v>76</v>
      </c>
      <c r="E8427" s="128" t="s">
        <v>132</v>
      </c>
      <c r="F8427" s="128">
        <v>8661491.3699999992</v>
      </c>
      <c r="G8427" s="128">
        <v>5562566.2999999998</v>
      </c>
      <c r="H8427" s="128">
        <v>3098906.69</v>
      </c>
      <c r="I8427" s="128">
        <v>79321</v>
      </c>
    </row>
    <row r="8428" spans="1:9" ht="13.5">
      <c r="A8428" s="128">
        <v>2014</v>
      </c>
      <c r="B8428" s="128" t="s">
        <v>139</v>
      </c>
      <c r="C8428" s="128" t="s">
        <v>23</v>
      </c>
      <c r="D8428" s="128" t="s">
        <v>76</v>
      </c>
      <c r="E8428" s="128" t="s">
        <v>133</v>
      </c>
      <c r="F8428" s="128">
        <v>20179361.039999999</v>
      </c>
      <c r="G8428" s="128">
        <v>11083098.359999999</v>
      </c>
      <c r="H8428" s="128">
        <v>9096229.1199999992</v>
      </c>
      <c r="I8428" s="128">
        <v>177006</v>
      </c>
    </row>
    <row r="8429" spans="1:9" ht="13.5">
      <c r="A8429" s="128">
        <v>2014</v>
      </c>
      <c r="B8429" s="128" t="s">
        <v>139</v>
      </c>
      <c r="C8429" s="128" t="s">
        <v>23</v>
      </c>
      <c r="D8429" s="128" t="s">
        <v>76</v>
      </c>
      <c r="E8429" s="128" t="s">
        <v>134</v>
      </c>
      <c r="F8429" s="128">
        <v>37375090.450000003</v>
      </c>
      <c r="G8429" s="128">
        <v>16693416.27</v>
      </c>
      <c r="H8429" s="128">
        <v>20681650.190000001</v>
      </c>
      <c r="I8429" s="128">
        <v>151202</v>
      </c>
    </row>
    <row r="8430" spans="1:9" ht="13.5">
      <c r="A8430" s="128">
        <v>2014</v>
      </c>
      <c r="B8430" s="128" t="s">
        <v>139</v>
      </c>
      <c r="C8430" s="128" t="s">
        <v>23</v>
      </c>
      <c r="D8430" s="128" t="s">
        <v>76</v>
      </c>
      <c r="E8430" s="128" t="s">
        <v>135</v>
      </c>
      <c r="F8430" s="128">
        <v>2018659.36</v>
      </c>
      <c r="G8430" s="128">
        <v>568764.05000000005</v>
      </c>
      <c r="H8430" s="128">
        <v>1449895.31</v>
      </c>
      <c r="I8430" s="128">
        <v>4284</v>
      </c>
    </row>
    <row r="8431" spans="1:9" ht="13.5">
      <c r="A8431" s="128">
        <v>2014</v>
      </c>
      <c r="B8431" s="128" t="s">
        <v>139</v>
      </c>
      <c r="C8431" s="128" t="s">
        <v>24</v>
      </c>
      <c r="D8431" s="128" t="s">
        <v>79</v>
      </c>
      <c r="E8431" s="128" t="s">
        <v>136</v>
      </c>
      <c r="F8431" s="128">
        <v>2467695.9300000002</v>
      </c>
      <c r="G8431" s="128">
        <v>1858251.14</v>
      </c>
      <c r="H8431" s="128">
        <v>609381.43999999994</v>
      </c>
      <c r="I8431" s="128">
        <v>46813</v>
      </c>
    </row>
    <row r="8432" spans="1:9" ht="13.5">
      <c r="A8432" s="128">
        <v>2014</v>
      </c>
      <c r="B8432" s="128" t="s">
        <v>139</v>
      </c>
      <c r="C8432" s="128" t="s">
        <v>24</v>
      </c>
      <c r="D8432" s="128" t="s">
        <v>79</v>
      </c>
      <c r="E8432" s="128" t="s">
        <v>132</v>
      </c>
      <c r="F8432" s="128">
        <v>359070.71999999997</v>
      </c>
      <c r="G8432" s="128">
        <v>239795.85</v>
      </c>
      <c r="H8432" s="128">
        <v>84391.45</v>
      </c>
      <c r="I8432" s="128">
        <v>2331</v>
      </c>
    </row>
    <row r="8433" spans="1:9" ht="13.5">
      <c r="A8433" s="128">
        <v>2014</v>
      </c>
      <c r="B8433" s="128" t="s">
        <v>139</v>
      </c>
      <c r="C8433" s="128" t="s">
        <v>24</v>
      </c>
      <c r="D8433" s="128" t="s">
        <v>79</v>
      </c>
      <c r="E8433" s="128" t="s">
        <v>133</v>
      </c>
      <c r="F8433" s="128">
        <v>961485.7</v>
      </c>
      <c r="G8433" s="128">
        <v>528474.87</v>
      </c>
      <c r="H8433" s="128">
        <v>200651.39</v>
      </c>
      <c r="I8433" s="128">
        <v>3196</v>
      </c>
    </row>
    <row r="8434" spans="1:9" ht="13.5">
      <c r="A8434" s="128">
        <v>2014</v>
      </c>
      <c r="B8434" s="128" t="s">
        <v>139</v>
      </c>
      <c r="C8434" s="128" t="s">
        <v>24</v>
      </c>
      <c r="D8434" s="128" t="s">
        <v>79</v>
      </c>
      <c r="E8434" s="128" t="s">
        <v>134</v>
      </c>
      <c r="F8434" s="128">
        <v>2435033.4</v>
      </c>
      <c r="G8434" s="128">
        <v>1058978.79</v>
      </c>
      <c r="H8434" s="128">
        <v>384454.8</v>
      </c>
      <c r="I8434" s="128">
        <v>7532</v>
      </c>
    </row>
    <row r="8435" spans="1:9" ht="13.5">
      <c r="A8435" s="128">
        <v>2014</v>
      </c>
      <c r="B8435" s="128" t="s">
        <v>139</v>
      </c>
      <c r="C8435" s="128" t="s">
        <v>24</v>
      </c>
      <c r="D8435" s="128" t="s">
        <v>79</v>
      </c>
      <c r="E8435" s="128" t="s">
        <v>135</v>
      </c>
      <c r="F8435" s="128">
        <v>8384773.7999999998</v>
      </c>
      <c r="G8435" s="128">
        <v>2064748.64</v>
      </c>
      <c r="H8435" s="128">
        <v>712526.51</v>
      </c>
      <c r="I8435" s="128">
        <v>20518</v>
      </c>
    </row>
    <row r="8436" spans="1:9" ht="13.5">
      <c r="A8436" s="128">
        <v>2014</v>
      </c>
      <c r="B8436" s="128" t="s">
        <v>139</v>
      </c>
      <c r="C8436" s="128" t="s">
        <v>24</v>
      </c>
      <c r="D8436" s="128" t="s">
        <v>77</v>
      </c>
      <c r="E8436" s="128" t="s">
        <v>132</v>
      </c>
      <c r="F8436" s="128">
        <v>2564594.4500000002</v>
      </c>
      <c r="G8436" s="128">
        <v>1768284.7</v>
      </c>
      <c r="H8436" s="128">
        <v>759415.24</v>
      </c>
      <c r="I8436" s="128">
        <v>14583</v>
      </c>
    </row>
    <row r="8437" spans="1:9" ht="13.5">
      <c r="A8437" s="128">
        <v>2014</v>
      </c>
      <c r="B8437" s="128" t="s">
        <v>139</v>
      </c>
      <c r="C8437" s="128" t="s">
        <v>24</v>
      </c>
      <c r="D8437" s="128" t="s">
        <v>77</v>
      </c>
      <c r="E8437" s="128" t="s">
        <v>133</v>
      </c>
      <c r="F8437" s="128">
        <v>3393044.91</v>
      </c>
      <c r="G8437" s="128">
        <v>1841124.06</v>
      </c>
      <c r="H8437" s="128">
        <v>1339395.5900000001</v>
      </c>
      <c r="I8437" s="128">
        <v>25791</v>
      </c>
    </row>
    <row r="8438" spans="1:9" ht="13.5">
      <c r="A8438" s="128">
        <v>2014</v>
      </c>
      <c r="B8438" s="128" t="s">
        <v>139</v>
      </c>
      <c r="C8438" s="128" t="s">
        <v>24</v>
      </c>
      <c r="D8438" s="128" t="s">
        <v>77</v>
      </c>
      <c r="E8438" s="128" t="s">
        <v>134</v>
      </c>
      <c r="F8438" s="128">
        <v>7967918.4199999999</v>
      </c>
      <c r="G8438" s="128">
        <v>3545668.9</v>
      </c>
      <c r="H8438" s="128">
        <v>2797242.01</v>
      </c>
      <c r="I8438" s="128">
        <v>18174</v>
      </c>
    </row>
    <row r="8439" spans="1:9" ht="13.5">
      <c r="A8439" s="128">
        <v>2014</v>
      </c>
      <c r="B8439" s="128" t="s">
        <v>139</v>
      </c>
      <c r="C8439" s="128" t="s">
        <v>24</v>
      </c>
      <c r="D8439" s="128" t="s">
        <v>77</v>
      </c>
      <c r="E8439" s="128" t="s">
        <v>135</v>
      </c>
      <c r="F8439" s="128">
        <v>11566776.68</v>
      </c>
      <c r="G8439" s="128">
        <v>3061572.38</v>
      </c>
      <c r="H8439" s="128">
        <v>1901854.09</v>
      </c>
      <c r="I8439" s="128">
        <v>22514</v>
      </c>
    </row>
    <row r="8440" spans="1:9" ht="13.5">
      <c r="A8440" s="128">
        <v>2014</v>
      </c>
      <c r="B8440" s="128" t="s">
        <v>139</v>
      </c>
      <c r="C8440" s="128" t="s">
        <v>24</v>
      </c>
      <c r="D8440" s="128" t="s">
        <v>76</v>
      </c>
      <c r="E8440" s="128" t="s">
        <v>136</v>
      </c>
      <c r="F8440" s="128">
        <v>1485181.33</v>
      </c>
      <c r="G8440" s="128">
        <v>1120445.8400000001</v>
      </c>
      <c r="H8440" s="128">
        <v>364832</v>
      </c>
      <c r="I8440" s="128">
        <v>13720</v>
      </c>
    </row>
    <row r="8441" spans="1:9" ht="13.5">
      <c r="A8441" s="128">
        <v>2014</v>
      </c>
      <c r="B8441" s="128" t="s">
        <v>139</v>
      </c>
      <c r="C8441" s="128" t="s">
        <v>24</v>
      </c>
      <c r="D8441" s="128" t="s">
        <v>76</v>
      </c>
      <c r="E8441" s="128" t="s">
        <v>132</v>
      </c>
      <c r="F8441" s="128">
        <v>8145703.4199999999</v>
      </c>
      <c r="G8441" s="128">
        <v>5219942.2300000004</v>
      </c>
      <c r="H8441" s="128">
        <v>2925756.76</v>
      </c>
      <c r="I8441" s="128">
        <v>84003</v>
      </c>
    </row>
    <row r="8442" spans="1:9" ht="13.5">
      <c r="A8442" s="128">
        <v>2014</v>
      </c>
      <c r="B8442" s="128" t="s">
        <v>139</v>
      </c>
      <c r="C8442" s="128" t="s">
        <v>24</v>
      </c>
      <c r="D8442" s="128" t="s">
        <v>76</v>
      </c>
      <c r="E8442" s="128" t="s">
        <v>133</v>
      </c>
      <c r="F8442" s="128">
        <v>33287408.670000002</v>
      </c>
      <c r="G8442" s="128">
        <v>18430967.780000001</v>
      </c>
      <c r="H8442" s="128">
        <v>14856434.460000001</v>
      </c>
      <c r="I8442" s="128">
        <v>249281</v>
      </c>
    </row>
    <row r="8443" spans="1:9" ht="13.5">
      <c r="A8443" s="128">
        <v>2014</v>
      </c>
      <c r="B8443" s="128" t="s">
        <v>139</v>
      </c>
      <c r="C8443" s="128" t="s">
        <v>24</v>
      </c>
      <c r="D8443" s="128" t="s">
        <v>76</v>
      </c>
      <c r="E8443" s="128" t="s">
        <v>134</v>
      </c>
      <c r="F8443" s="128">
        <v>43190621.960000001</v>
      </c>
      <c r="G8443" s="128">
        <v>19093197.16</v>
      </c>
      <c r="H8443" s="128">
        <v>24097413.969999999</v>
      </c>
      <c r="I8443" s="128">
        <v>198344</v>
      </c>
    </row>
    <row r="8444" spans="1:9" ht="13.5">
      <c r="A8444" s="128">
        <v>2014</v>
      </c>
      <c r="B8444" s="128" t="s">
        <v>139</v>
      </c>
      <c r="C8444" s="128" t="s">
        <v>24</v>
      </c>
      <c r="D8444" s="128" t="s">
        <v>76</v>
      </c>
      <c r="E8444" s="128" t="s">
        <v>135</v>
      </c>
      <c r="F8444" s="128">
        <v>3781445.32</v>
      </c>
      <c r="G8444" s="128">
        <v>1001112.4</v>
      </c>
      <c r="H8444" s="128">
        <v>2780332.92</v>
      </c>
      <c r="I8444" s="128">
        <v>2940</v>
      </c>
    </row>
    <row r="8445" spans="1:9" ht="13.5">
      <c r="A8445" s="128">
        <v>2014</v>
      </c>
      <c r="B8445" s="128" t="s">
        <v>139</v>
      </c>
      <c r="C8445" s="128" t="s">
        <v>25</v>
      </c>
      <c r="D8445" s="128" t="s">
        <v>79</v>
      </c>
      <c r="E8445" s="128" t="s">
        <v>136</v>
      </c>
      <c r="F8445" s="128">
        <v>539245.27</v>
      </c>
      <c r="G8445" s="128">
        <v>404966.75</v>
      </c>
      <c r="H8445" s="128">
        <v>134279.06</v>
      </c>
      <c r="I8445" s="128">
        <v>8557</v>
      </c>
    </row>
    <row r="8446" spans="1:9" ht="13.5">
      <c r="A8446" s="128">
        <v>2014</v>
      </c>
      <c r="B8446" s="128" t="s">
        <v>139</v>
      </c>
      <c r="C8446" s="128" t="s">
        <v>25</v>
      </c>
      <c r="D8446" s="128" t="s">
        <v>79</v>
      </c>
      <c r="E8446" s="128" t="s">
        <v>132</v>
      </c>
      <c r="F8446" s="128">
        <v>120544.93</v>
      </c>
      <c r="G8446" s="128">
        <v>78104.179999999993</v>
      </c>
      <c r="H8446" s="128">
        <v>36471.83</v>
      </c>
      <c r="I8446" s="128">
        <v>895</v>
      </c>
    </row>
    <row r="8447" spans="1:9" ht="13.5">
      <c r="A8447" s="128">
        <v>2014</v>
      </c>
      <c r="B8447" s="128" t="s">
        <v>139</v>
      </c>
      <c r="C8447" s="128" t="s">
        <v>25</v>
      </c>
      <c r="D8447" s="128" t="s">
        <v>79</v>
      </c>
      <c r="E8447" s="128" t="s">
        <v>133</v>
      </c>
      <c r="F8447" s="128">
        <v>146070.38</v>
      </c>
      <c r="G8447" s="128">
        <v>78779.460000000006</v>
      </c>
      <c r="H8447" s="128">
        <v>40753.480000000003</v>
      </c>
      <c r="I8447" s="128">
        <v>550</v>
      </c>
    </row>
    <row r="8448" spans="1:9" ht="13.5">
      <c r="A8448" s="128">
        <v>2014</v>
      </c>
      <c r="B8448" s="128" t="s">
        <v>139</v>
      </c>
      <c r="C8448" s="128" t="s">
        <v>25</v>
      </c>
      <c r="D8448" s="128" t="s">
        <v>79</v>
      </c>
      <c r="E8448" s="128" t="s">
        <v>134</v>
      </c>
      <c r="F8448" s="128">
        <v>429091.42</v>
      </c>
      <c r="G8448" s="128">
        <v>186132.88</v>
      </c>
      <c r="H8448" s="128">
        <v>94332.4</v>
      </c>
      <c r="I8448" s="128">
        <v>1483</v>
      </c>
    </row>
    <row r="8449" spans="1:9" ht="13.5">
      <c r="A8449" s="128">
        <v>2014</v>
      </c>
      <c r="B8449" s="128" t="s">
        <v>139</v>
      </c>
      <c r="C8449" s="128" t="s">
        <v>25</v>
      </c>
      <c r="D8449" s="128" t="s">
        <v>79</v>
      </c>
      <c r="E8449" s="128" t="s">
        <v>135</v>
      </c>
      <c r="F8449" s="128">
        <v>1798096.73</v>
      </c>
      <c r="G8449" s="128">
        <v>445787.18</v>
      </c>
      <c r="H8449" s="128">
        <v>152114.4</v>
      </c>
      <c r="I8449" s="128">
        <v>2806</v>
      </c>
    </row>
    <row r="8450" spans="1:9" ht="13.5">
      <c r="A8450" s="128">
        <v>2014</v>
      </c>
      <c r="B8450" s="128" t="s">
        <v>139</v>
      </c>
      <c r="C8450" s="128" t="s">
        <v>25</v>
      </c>
      <c r="D8450" s="128" t="s">
        <v>77</v>
      </c>
      <c r="E8450" s="128" t="s">
        <v>132</v>
      </c>
      <c r="F8450" s="128">
        <v>232572.2</v>
      </c>
      <c r="G8450" s="128">
        <v>153596.29999999999</v>
      </c>
      <c r="H8450" s="128">
        <v>67830.86</v>
      </c>
      <c r="I8450" s="128">
        <v>1179</v>
      </c>
    </row>
    <row r="8451" spans="1:9" ht="13.5">
      <c r="A8451" s="128">
        <v>2014</v>
      </c>
      <c r="B8451" s="128" t="s">
        <v>139</v>
      </c>
      <c r="C8451" s="128" t="s">
        <v>25</v>
      </c>
      <c r="D8451" s="128" t="s">
        <v>77</v>
      </c>
      <c r="E8451" s="128" t="s">
        <v>133</v>
      </c>
      <c r="F8451" s="128">
        <v>178741.32</v>
      </c>
      <c r="G8451" s="128">
        <v>97010.65</v>
      </c>
      <c r="H8451" s="128">
        <v>70714.75</v>
      </c>
      <c r="I8451" s="128">
        <v>751</v>
      </c>
    </row>
    <row r="8452" spans="1:9" ht="13.5">
      <c r="A8452" s="128">
        <v>2014</v>
      </c>
      <c r="B8452" s="128" t="s">
        <v>139</v>
      </c>
      <c r="C8452" s="128" t="s">
        <v>25</v>
      </c>
      <c r="D8452" s="128" t="s">
        <v>77</v>
      </c>
      <c r="E8452" s="128" t="s">
        <v>134</v>
      </c>
      <c r="F8452" s="128">
        <v>650879.21</v>
      </c>
      <c r="G8452" s="128">
        <v>279889.2</v>
      </c>
      <c r="H8452" s="128">
        <v>278068.47999999998</v>
      </c>
      <c r="I8452" s="128">
        <v>1476</v>
      </c>
    </row>
    <row r="8453" spans="1:9" ht="13.5">
      <c r="A8453" s="128">
        <v>2014</v>
      </c>
      <c r="B8453" s="128" t="s">
        <v>139</v>
      </c>
      <c r="C8453" s="128" t="s">
        <v>25</v>
      </c>
      <c r="D8453" s="128" t="s">
        <v>77</v>
      </c>
      <c r="E8453" s="128" t="s">
        <v>135</v>
      </c>
      <c r="F8453" s="128">
        <v>851620.89</v>
      </c>
      <c r="G8453" s="128">
        <v>256752.55</v>
      </c>
      <c r="H8453" s="128">
        <v>298457.95</v>
      </c>
      <c r="I8453" s="128">
        <v>2966</v>
      </c>
    </row>
    <row r="8454" spans="1:9" ht="13.5">
      <c r="A8454" s="128">
        <v>2014</v>
      </c>
      <c r="B8454" s="128" t="s">
        <v>139</v>
      </c>
      <c r="C8454" s="128" t="s">
        <v>25</v>
      </c>
      <c r="D8454" s="128" t="s">
        <v>76</v>
      </c>
      <c r="E8454" s="128" t="s">
        <v>136</v>
      </c>
      <c r="F8454" s="128">
        <v>1778091.96</v>
      </c>
      <c r="G8454" s="128">
        <v>1335435.1000000001</v>
      </c>
      <c r="H8454" s="128">
        <v>442656.91</v>
      </c>
      <c r="I8454" s="128">
        <v>29794</v>
      </c>
    </row>
    <row r="8455" spans="1:9" ht="13.5">
      <c r="A8455" s="128">
        <v>2014</v>
      </c>
      <c r="B8455" s="128" t="s">
        <v>139</v>
      </c>
      <c r="C8455" s="128" t="s">
        <v>25</v>
      </c>
      <c r="D8455" s="128" t="s">
        <v>76</v>
      </c>
      <c r="E8455" s="128" t="s">
        <v>132</v>
      </c>
      <c r="F8455" s="128">
        <v>3247352.34</v>
      </c>
      <c r="G8455" s="128">
        <v>2059877.3</v>
      </c>
      <c r="H8455" s="128">
        <v>1187471.55</v>
      </c>
      <c r="I8455" s="128">
        <v>23464</v>
      </c>
    </row>
    <row r="8456" spans="1:9" ht="13.5">
      <c r="A8456" s="128">
        <v>2014</v>
      </c>
      <c r="B8456" s="128" t="s">
        <v>139</v>
      </c>
      <c r="C8456" s="128" t="s">
        <v>25</v>
      </c>
      <c r="D8456" s="128" t="s">
        <v>76</v>
      </c>
      <c r="E8456" s="128" t="s">
        <v>133</v>
      </c>
      <c r="F8456" s="128">
        <v>7457572.2699999996</v>
      </c>
      <c r="G8456" s="128">
        <v>4085572.95</v>
      </c>
      <c r="H8456" s="128">
        <v>3371966.59</v>
      </c>
      <c r="I8456" s="128">
        <v>43148</v>
      </c>
    </row>
    <row r="8457" spans="1:9" ht="13.5">
      <c r="A8457" s="128">
        <v>2014</v>
      </c>
      <c r="B8457" s="128" t="s">
        <v>139</v>
      </c>
      <c r="C8457" s="128" t="s">
        <v>25</v>
      </c>
      <c r="D8457" s="128" t="s">
        <v>76</v>
      </c>
      <c r="E8457" s="128" t="s">
        <v>134</v>
      </c>
      <c r="F8457" s="128">
        <v>7178923.4400000004</v>
      </c>
      <c r="G8457" s="128">
        <v>3282148.93</v>
      </c>
      <c r="H8457" s="128">
        <v>3896772.04</v>
      </c>
      <c r="I8457" s="128">
        <v>37167</v>
      </c>
    </row>
    <row r="8458" spans="1:9" ht="13.5">
      <c r="A8458" s="128">
        <v>2014</v>
      </c>
      <c r="B8458" s="128" t="s">
        <v>139</v>
      </c>
      <c r="C8458" s="128" t="s">
        <v>25</v>
      </c>
      <c r="D8458" s="128" t="s">
        <v>76</v>
      </c>
      <c r="E8458" s="128" t="s">
        <v>135</v>
      </c>
      <c r="F8458" s="128">
        <v>612449.68000000005</v>
      </c>
      <c r="G8458" s="128">
        <v>172798.05</v>
      </c>
      <c r="H8458" s="128">
        <v>439651.55</v>
      </c>
      <c r="I8458" s="128">
        <v>645</v>
      </c>
    </row>
    <row r="8459" spans="1:9" ht="13.5">
      <c r="A8459" s="128">
        <v>2014</v>
      </c>
      <c r="B8459" s="128" t="s">
        <v>139</v>
      </c>
      <c r="C8459" s="128" t="s">
        <v>26</v>
      </c>
      <c r="D8459" s="128" t="s">
        <v>79</v>
      </c>
      <c r="E8459" s="128" t="s">
        <v>136</v>
      </c>
      <c r="F8459" s="128">
        <v>951396.98</v>
      </c>
      <c r="G8459" s="128">
        <v>709788.59</v>
      </c>
      <c r="H8459" s="128">
        <v>228726.04</v>
      </c>
      <c r="I8459" s="128">
        <v>8590</v>
      </c>
    </row>
    <row r="8460" spans="1:9" ht="13.5">
      <c r="A8460" s="128">
        <v>2014</v>
      </c>
      <c r="B8460" s="128" t="s">
        <v>139</v>
      </c>
      <c r="C8460" s="128" t="s">
        <v>26</v>
      </c>
      <c r="D8460" s="128" t="s">
        <v>79</v>
      </c>
      <c r="E8460" s="128" t="s">
        <v>132</v>
      </c>
      <c r="F8460" s="128">
        <v>60259.13</v>
      </c>
      <c r="G8460" s="128">
        <v>40172.35</v>
      </c>
      <c r="H8460" s="128">
        <v>14448.95</v>
      </c>
      <c r="I8460" s="128">
        <v>336</v>
      </c>
    </row>
    <row r="8461" spans="1:9" ht="13.5">
      <c r="A8461" s="128">
        <v>2014</v>
      </c>
      <c r="B8461" s="128" t="s">
        <v>139</v>
      </c>
      <c r="C8461" s="128" t="s">
        <v>26</v>
      </c>
      <c r="D8461" s="128" t="s">
        <v>79</v>
      </c>
      <c r="E8461" s="128" t="s">
        <v>133</v>
      </c>
      <c r="F8461" s="128">
        <v>132139.41</v>
      </c>
      <c r="G8461" s="128">
        <v>71716.86</v>
      </c>
      <c r="H8461" s="128">
        <v>26319.9</v>
      </c>
      <c r="I8461" s="128">
        <v>493</v>
      </c>
    </row>
    <row r="8462" spans="1:9" ht="13.5">
      <c r="A8462" s="128">
        <v>2014</v>
      </c>
      <c r="B8462" s="128" t="s">
        <v>139</v>
      </c>
      <c r="C8462" s="128" t="s">
        <v>26</v>
      </c>
      <c r="D8462" s="128" t="s">
        <v>79</v>
      </c>
      <c r="E8462" s="128" t="s">
        <v>134</v>
      </c>
      <c r="F8462" s="128">
        <v>660095.01</v>
      </c>
      <c r="G8462" s="128">
        <v>278045.24</v>
      </c>
      <c r="H8462" s="128">
        <v>94464.81</v>
      </c>
      <c r="I8462" s="128">
        <v>2263</v>
      </c>
    </row>
    <row r="8463" spans="1:9" ht="13.5">
      <c r="A8463" s="128">
        <v>2014</v>
      </c>
      <c r="B8463" s="128" t="s">
        <v>139</v>
      </c>
      <c r="C8463" s="128" t="s">
        <v>26</v>
      </c>
      <c r="D8463" s="128" t="s">
        <v>79</v>
      </c>
      <c r="E8463" s="128" t="s">
        <v>135</v>
      </c>
      <c r="F8463" s="128">
        <v>7172574.6600000001</v>
      </c>
      <c r="G8463" s="128">
        <v>1721277.6</v>
      </c>
      <c r="H8463" s="128">
        <v>574615.85</v>
      </c>
      <c r="I8463" s="128">
        <v>10313</v>
      </c>
    </row>
    <row r="8464" spans="1:9" ht="13.5">
      <c r="A8464" s="128">
        <v>2014</v>
      </c>
      <c r="B8464" s="128" t="s">
        <v>139</v>
      </c>
      <c r="C8464" s="128" t="s">
        <v>26</v>
      </c>
      <c r="D8464" s="128" t="s">
        <v>77</v>
      </c>
      <c r="E8464" s="128" t="s">
        <v>132</v>
      </c>
      <c r="F8464" s="128">
        <v>76683.100000000006</v>
      </c>
      <c r="G8464" s="128">
        <v>50738.15</v>
      </c>
      <c r="H8464" s="128">
        <v>24454.23</v>
      </c>
      <c r="I8464" s="128">
        <v>214</v>
      </c>
    </row>
    <row r="8465" spans="1:9" ht="13.5">
      <c r="A8465" s="128">
        <v>2014</v>
      </c>
      <c r="B8465" s="128" t="s">
        <v>139</v>
      </c>
      <c r="C8465" s="128" t="s">
        <v>26</v>
      </c>
      <c r="D8465" s="128" t="s">
        <v>77</v>
      </c>
      <c r="E8465" s="128" t="s">
        <v>133</v>
      </c>
      <c r="F8465" s="128">
        <v>77957.820000000007</v>
      </c>
      <c r="G8465" s="128">
        <v>43311.4</v>
      </c>
      <c r="H8465" s="128">
        <v>29471.7</v>
      </c>
      <c r="I8465" s="128">
        <v>212</v>
      </c>
    </row>
    <row r="8466" spans="1:9" ht="13.5">
      <c r="A8466" s="128">
        <v>2014</v>
      </c>
      <c r="B8466" s="128" t="s">
        <v>139</v>
      </c>
      <c r="C8466" s="128" t="s">
        <v>26</v>
      </c>
      <c r="D8466" s="128" t="s">
        <v>77</v>
      </c>
      <c r="E8466" s="128" t="s">
        <v>134</v>
      </c>
      <c r="F8466" s="128">
        <v>211357.09</v>
      </c>
      <c r="G8466" s="128">
        <v>90238.7</v>
      </c>
      <c r="H8466" s="128">
        <v>85657.99</v>
      </c>
      <c r="I8466" s="128">
        <v>649</v>
      </c>
    </row>
    <row r="8467" spans="1:9" ht="13.5">
      <c r="A8467" s="128">
        <v>2014</v>
      </c>
      <c r="B8467" s="128" t="s">
        <v>139</v>
      </c>
      <c r="C8467" s="128" t="s">
        <v>26</v>
      </c>
      <c r="D8467" s="128" t="s">
        <v>77</v>
      </c>
      <c r="E8467" s="128" t="s">
        <v>135</v>
      </c>
      <c r="F8467" s="128">
        <v>994216.23</v>
      </c>
      <c r="G8467" s="128">
        <v>271292.65000000002</v>
      </c>
      <c r="H8467" s="128">
        <v>288188.84999999998</v>
      </c>
      <c r="I8467" s="128">
        <v>3251</v>
      </c>
    </row>
    <row r="8468" spans="1:9" ht="13.5">
      <c r="A8468" s="128">
        <v>2014</v>
      </c>
      <c r="B8468" s="128" t="s">
        <v>139</v>
      </c>
      <c r="C8468" s="128" t="s">
        <v>26</v>
      </c>
      <c r="D8468" s="128" t="s">
        <v>76</v>
      </c>
      <c r="E8468" s="128" t="s">
        <v>136</v>
      </c>
      <c r="F8468" s="128">
        <v>447693.88</v>
      </c>
      <c r="G8468" s="128">
        <v>337554.42</v>
      </c>
      <c r="H8468" s="128">
        <v>110139.05</v>
      </c>
      <c r="I8468" s="128">
        <v>14406</v>
      </c>
    </row>
    <row r="8469" spans="1:9" ht="13.5">
      <c r="A8469" s="128">
        <v>2014</v>
      </c>
      <c r="B8469" s="128" t="s">
        <v>139</v>
      </c>
      <c r="C8469" s="128" t="s">
        <v>26</v>
      </c>
      <c r="D8469" s="128" t="s">
        <v>76</v>
      </c>
      <c r="E8469" s="128" t="s">
        <v>132</v>
      </c>
      <c r="F8469" s="128">
        <v>1024127.03</v>
      </c>
      <c r="G8469" s="128">
        <v>662579.56999999995</v>
      </c>
      <c r="H8469" s="128">
        <v>361518.38</v>
      </c>
      <c r="I8469" s="128">
        <v>12319</v>
      </c>
    </row>
    <row r="8470" spans="1:9" ht="13.5">
      <c r="A8470" s="128">
        <v>2014</v>
      </c>
      <c r="B8470" s="128" t="s">
        <v>139</v>
      </c>
      <c r="C8470" s="128" t="s">
        <v>26</v>
      </c>
      <c r="D8470" s="128" t="s">
        <v>76</v>
      </c>
      <c r="E8470" s="128" t="s">
        <v>133</v>
      </c>
      <c r="F8470" s="128">
        <v>2610203.21</v>
      </c>
      <c r="G8470" s="128">
        <v>1444719.51</v>
      </c>
      <c r="H8470" s="128">
        <v>1165480.06</v>
      </c>
      <c r="I8470" s="128">
        <v>15622</v>
      </c>
    </row>
    <row r="8471" spans="1:9" ht="13.5">
      <c r="A8471" s="128">
        <v>2014</v>
      </c>
      <c r="B8471" s="128" t="s">
        <v>139</v>
      </c>
      <c r="C8471" s="128" t="s">
        <v>26</v>
      </c>
      <c r="D8471" s="128" t="s">
        <v>76</v>
      </c>
      <c r="E8471" s="128" t="s">
        <v>134</v>
      </c>
      <c r="F8471" s="128">
        <v>2028783.99</v>
      </c>
      <c r="G8471" s="128">
        <v>926590.35</v>
      </c>
      <c r="H8471" s="128">
        <v>1102176.57</v>
      </c>
      <c r="I8471" s="128">
        <v>13034</v>
      </c>
    </row>
    <row r="8472" spans="1:9" ht="13.5">
      <c r="A8472" s="128">
        <v>2014</v>
      </c>
      <c r="B8472" s="128" t="s">
        <v>139</v>
      </c>
      <c r="C8472" s="128" t="s">
        <v>26</v>
      </c>
      <c r="D8472" s="128" t="s">
        <v>76</v>
      </c>
      <c r="E8472" s="128" t="s">
        <v>135</v>
      </c>
      <c r="F8472" s="128">
        <v>362120.66</v>
      </c>
      <c r="G8472" s="128">
        <v>110315.15</v>
      </c>
      <c r="H8472" s="128">
        <v>251805.51</v>
      </c>
      <c r="I8472" s="128">
        <v>1229</v>
      </c>
    </row>
    <row r="8473" spans="1:9" ht="13.5">
      <c r="A8473" s="128">
        <v>2014</v>
      </c>
      <c r="B8473" s="128" t="s">
        <v>139</v>
      </c>
      <c r="C8473" s="128" t="s">
        <v>27</v>
      </c>
      <c r="D8473" s="128" t="s">
        <v>79</v>
      </c>
      <c r="E8473" s="128" t="s">
        <v>136</v>
      </c>
      <c r="F8473" s="128">
        <v>307932.83</v>
      </c>
      <c r="G8473" s="128">
        <v>231676.32</v>
      </c>
      <c r="H8473" s="128">
        <v>76256.509999999995</v>
      </c>
      <c r="I8473" s="128">
        <v>1227</v>
      </c>
    </row>
    <row r="8474" spans="1:9" ht="13.5">
      <c r="A8474" s="128">
        <v>2014</v>
      </c>
      <c r="B8474" s="128" t="s">
        <v>139</v>
      </c>
      <c r="C8474" s="128" t="s">
        <v>27</v>
      </c>
      <c r="D8474" s="128" t="s">
        <v>79</v>
      </c>
      <c r="E8474" s="128" t="s">
        <v>132</v>
      </c>
      <c r="F8474" s="128">
        <v>39358.43</v>
      </c>
      <c r="G8474" s="128">
        <v>26175.95</v>
      </c>
      <c r="H8474" s="128">
        <v>10574.4</v>
      </c>
      <c r="I8474" s="128">
        <v>105</v>
      </c>
    </row>
    <row r="8475" spans="1:9" ht="13.5">
      <c r="A8475" s="128">
        <v>2014</v>
      </c>
      <c r="B8475" s="128" t="s">
        <v>139</v>
      </c>
      <c r="C8475" s="128" t="s">
        <v>27</v>
      </c>
      <c r="D8475" s="128" t="s">
        <v>79</v>
      </c>
      <c r="E8475" s="128" t="s">
        <v>133</v>
      </c>
      <c r="F8475" s="128">
        <v>48771.26</v>
      </c>
      <c r="G8475" s="128">
        <v>26062.2</v>
      </c>
      <c r="H8475" s="128">
        <v>10259.200000000001</v>
      </c>
      <c r="I8475" s="128">
        <v>255</v>
      </c>
    </row>
    <row r="8476" spans="1:9" ht="13.5">
      <c r="A8476" s="128">
        <v>2014</v>
      </c>
      <c r="B8476" s="128" t="s">
        <v>139</v>
      </c>
      <c r="C8476" s="128" t="s">
        <v>27</v>
      </c>
      <c r="D8476" s="128" t="s">
        <v>79</v>
      </c>
      <c r="E8476" s="128" t="s">
        <v>134</v>
      </c>
      <c r="F8476" s="128">
        <v>106844.9</v>
      </c>
      <c r="G8476" s="128">
        <v>45399.55</v>
      </c>
      <c r="H8476" s="128">
        <v>18442.849999999999</v>
      </c>
      <c r="I8476" s="128">
        <v>463</v>
      </c>
    </row>
    <row r="8477" spans="1:9" ht="13.5">
      <c r="A8477" s="128">
        <v>2014</v>
      </c>
      <c r="B8477" s="128" t="s">
        <v>139</v>
      </c>
      <c r="C8477" s="128" t="s">
        <v>27</v>
      </c>
      <c r="D8477" s="128" t="s">
        <v>79</v>
      </c>
      <c r="E8477" s="128" t="s">
        <v>135</v>
      </c>
      <c r="F8477" s="128">
        <v>1388892.05</v>
      </c>
      <c r="G8477" s="128">
        <v>352228.47</v>
      </c>
      <c r="H8477" s="128">
        <v>118955.1</v>
      </c>
      <c r="I8477" s="128">
        <v>2005</v>
      </c>
    </row>
    <row r="8478" spans="1:9" ht="13.5">
      <c r="A8478" s="128">
        <v>2014</v>
      </c>
      <c r="B8478" s="128" t="s">
        <v>139</v>
      </c>
      <c r="C8478" s="128" t="s">
        <v>27</v>
      </c>
      <c r="D8478" s="128" t="s">
        <v>77</v>
      </c>
      <c r="E8478" s="128" t="s">
        <v>132</v>
      </c>
      <c r="F8478" s="128">
        <v>17145.11</v>
      </c>
      <c r="G8478" s="128">
        <v>11622.43</v>
      </c>
      <c r="H8478" s="128">
        <v>5048.24</v>
      </c>
      <c r="I8478" s="128">
        <v>82</v>
      </c>
    </row>
    <row r="8479" spans="1:9" ht="13.5">
      <c r="A8479" s="128">
        <v>2014</v>
      </c>
      <c r="B8479" s="128" t="s">
        <v>139</v>
      </c>
      <c r="C8479" s="128" t="s">
        <v>27</v>
      </c>
      <c r="D8479" s="128" t="s">
        <v>77</v>
      </c>
      <c r="E8479" s="128" t="s">
        <v>133</v>
      </c>
      <c r="F8479" s="128">
        <v>52232.9</v>
      </c>
      <c r="G8479" s="128">
        <v>28073.1</v>
      </c>
      <c r="H8479" s="128">
        <v>17546.88</v>
      </c>
      <c r="I8479" s="128">
        <v>296</v>
      </c>
    </row>
    <row r="8480" spans="1:9" ht="13.5">
      <c r="A8480" s="128">
        <v>2014</v>
      </c>
      <c r="B8480" s="128" t="s">
        <v>139</v>
      </c>
      <c r="C8480" s="128" t="s">
        <v>27</v>
      </c>
      <c r="D8480" s="128" t="s">
        <v>77</v>
      </c>
      <c r="E8480" s="128" t="s">
        <v>134</v>
      </c>
      <c r="F8480" s="128">
        <v>198915.62</v>
      </c>
      <c r="G8480" s="128">
        <v>86161.9</v>
      </c>
      <c r="H8480" s="128">
        <v>75179.55</v>
      </c>
      <c r="I8480" s="128">
        <v>337</v>
      </c>
    </row>
    <row r="8481" spans="1:9" ht="13.5">
      <c r="A8481" s="128">
        <v>2014</v>
      </c>
      <c r="B8481" s="128" t="s">
        <v>139</v>
      </c>
      <c r="C8481" s="128" t="s">
        <v>27</v>
      </c>
      <c r="D8481" s="128" t="s">
        <v>77</v>
      </c>
      <c r="E8481" s="128" t="s">
        <v>135</v>
      </c>
      <c r="F8481" s="128">
        <v>337798.52</v>
      </c>
      <c r="G8481" s="128">
        <v>87549.2</v>
      </c>
      <c r="H8481" s="128">
        <v>99010.42</v>
      </c>
      <c r="I8481" s="128">
        <v>1179</v>
      </c>
    </row>
    <row r="8482" spans="1:9" ht="13.5">
      <c r="A8482" s="128">
        <v>2014</v>
      </c>
      <c r="B8482" s="128" t="s">
        <v>139</v>
      </c>
      <c r="C8482" s="128" t="s">
        <v>27</v>
      </c>
      <c r="D8482" s="128" t="s">
        <v>76</v>
      </c>
      <c r="E8482" s="128" t="s">
        <v>136</v>
      </c>
      <c r="F8482" s="128">
        <v>169200.53</v>
      </c>
      <c r="G8482" s="128">
        <v>127096.82</v>
      </c>
      <c r="H8482" s="128">
        <v>42103.71</v>
      </c>
      <c r="I8482" s="128">
        <v>1976</v>
      </c>
    </row>
    <row r="8483" spans="1:9" ht="13.5">
      <c r="A8483" s="128">
        <v>2014</v>
      </c>
      <c r="B8483" s="128" t="s">
        <v>139</v>
      </c>
      <c r="C8483" s="128" t="s">
        <v>27</v>
      </c>
      <c r="D8483" s="128" t="s">
        <v>76</v>
      </c>
      <c r="E8483" s="128" t="s">
        <v>132</v>
      </c>
      <c r="F8483" s="128">
        <v>401893.28</v>
      </c>
      <c r="G8483" s="128">
        <v>256947.20000000001</v>
      </c>
      <c r="H8483" s="128">
        <v>144944.32999999999</v>
      </c>
      <c r="I8483" s="128">
        <v>3343</v>
      </c>
    </row>
    <row r="8484" spans="1:9" ht="13.5">
      <c r="A8484" s="128">
        <v>2014</v>
      </c>
      <c r="B8484" s="128" t="s">
        <v>139</v>
      </c>
      <c r="C8484" s="128" t="s">
        <v>27</v>
      </c>
      <c r="D8484" s="128" t="s">
        <v>76</v>
      </c>
      <c r="E8484" s="128" t="s">
        <v>133</v>
      </c>
      <c r="F8484" s="128">
        <v>1075789.77</v>
      </c>
      <c r="G8484" s="128">
        <v>594839.98</v>
      </c>
      <c r="H8484" s="128">
        <v>480933.41</v>
      </c>
      <c r="I8484" s="128">
        <v>8192</v>
      </c>
    </row>
    <row r="8485" spans="1:9" ht="13.5">
      <c r="A8485" s="128">
        <v>2014</v>
      </c>
      <c r="B8485" s="128" t="s">
        <v>139</v>
      </c>
      <c r="C8485" s="128" t="s">
        <v>27</v>
      </c>
      <c r="D8485" s="128" t="s">
        <v>76</v>
      </c>
      <c r="E8485" s="128" t="s">
        <v>134</v>
      </c>
      <c r="F8485" s="128">
        <v>1397372.82</v>
      </c>
      <c r="G8485" s="128">
        <v>642662.35</v>
      </c>
      <c r="H8485" s="128">
        <v>754702.95</v>
      </c>
      <c r="I8485" s="128">
        <v>6450</v>
      </c>
    </row>
    <row r="8486" spans="1:9" ht="13.5">
      <c r="A8486" s="128">
        <v>2014</v>
      </c>
      <c r="B8486" s="128" t="s">
        <v>139</v>
      </c>
      <c r="C8486" s="128" t="s">
        <v>27</v>
      </c>
      <c r="D8486" s="128" t="s">
        <v>76</v>
      </c>
      <c r="E8486" s="128" t="s">
        <v>135</v>
      </c>
      <c r="F8486" s="128">
        <v>53910.15</v>
      </c>
      <c r="G8486" s="128">
        <v>16344.95</v>
      </c>
      <c r="H8486" s="128">
        <v>37565.199999999997</v>
      </c>
      <c r="I8486" s="128">
        <v>131</v>
      </c>
    </row>
    <row r="8487" spans="1:9" ht="13.5">
      <c r="A8487" s="128">
        <v>2014</v>
      </c>
      <c r="B8487" s="128" t="s">
        <v>137</v>
      </c>
      <c r="C8487" s="128" t="s">
        <v>20</v>
      </c>
      <c r="D8487" s="128" t="s">
        <v>79</v>
      </c>
      <c r="E8487" s="128" t="s">
        <v>136</v>
      </c>
      <c r="F8487" s="128">
        <v>41130890.200000003</v>
      </c>
      <c r="G8487" s="128">
        <v>30975085.879999999</v>
      </c>
      <c r="H8487" s="128">
        <v>10152970.859999999</v>
      </c>
      <c r="I8487" s="128">
        <v>632366</v>
      </c>
    </row>
    <row r="8488" spans="1:9" ht="13.5">
      <c r="A8488" s="128">
        <v>2014</v>
      </c>
      <c r="B8488" s="128" t="s">
        <v>137</v>
      </c>
      <c r="C8488" s="128" t="s">
        <v>20</v>
      </c>
      <c r="D8488" s="128" t="s">
        <v>79</v>
      </c>
      <c r="E8488" s="128" t="s">
        <v>132</v>
      </c>
      <c r="F8488" s="128">
        <v>2735170.73</v>
      </c>
      <c r="G8488" s="128">
        <v>1820133.91</v>
      </c>
      <c r="H8488" s="128">
        <v>722118</v>
      </c>
      <c r="I8488" s="128">
        <v>16916</v>
      </c>
    </row>
    <row r="8489" spans="1:9" ht="13.5">
      <c r="A8489" s="128">
        <v>2014</v>
      </c>
      <c r="B8489" s="128" t="s">
        <v>137</v>
      </c>
      <c r="C8489" s="128" t="s">
        <v>20</v>
      </c>
      <c r="D8489" s="128" t="s">
        <v>79</v>
      </c>
      <c r="E8489" s="128" t="s">
        <v>133</v>
      </c>
      <c r="F8489" s="128">
        <v>3322931.09</v>
      </c>
      <c r="G8489" s="128">
        <v>1790417.34</v>
      </c>
      <c r="H8489" s="128">
        <v>858963.5</v>
      </c>
      <c r="I8489" s="128">
        <v>13737</v>
      </c>
    </row>
    <row r="8490" spans="1:9" ht="13.5">
      <c r="A8490" s="128">
        <v>2014</v>
      </c>
      <c r="B8490" s="128" t="s">
        <v>137</v>
      </c>
      <c r="C8490" s="128" t="s">
        <v>20</v>
      </c>
      <c r="D8490" s="128" t="s">
        <v>79</v>
      </c>
      <c r="E8490" s="128" t="s">
        <v>134</v>
      </c>
      <c r="F8490" s="128">
        <v>13608226.710000001</v>
      </c>
      <c r="G8490" s="128">
        <v>5838983.0099999998</v>
      </c>
      <c r="H8490" s="128">
        <v>2437882.0499999998</v>
      </c>
      <c r="I8490" s="128">
        <v>74665</v>
      </c>
    </row>
    <row r="8491" spans="1:9" ht="13.5">
      <c r="A8491" s="128">
        <v>2014</v>
      </c>
      <c r="B8491" s="128" t="s">
        <v>137</v>
      </c>
      <c r="C8491" s="128" t="s">
        <v>20</v>
      </c>
      <c r="D8491" s="128" t="s">
        <v>79</v>
      </c>
      <c r="E8491" s="128" t="s">
        <v>135</v>
      </c>
      <c r="F8491" s="128">
        <v>101381474.29000001</v>
      </c>
      <c r="G8491" s="128">
        <v>24773093.510000002</v>
      </c>
      <c r="H8491" s="128">
        <v>8350157.3700000001</v>
      </c>
      <c r="I8491" s="128">
        <v>146149</v>
      </c>
    </row>
    <row r="8492" spans="1:9" ht="13.5">
      <c r="A8492" s="128">
        <v>2014</v>
      </c>
      <c r="B8492" s="128" t="s">
        <v>137</v>
      </c>
      <c r="C8492" s="128" t="s">
        <v>20</v>
      </c>
      <c r="D8492" s="128" t="s">
        <v>77</v>
      </c>
      <c r="E8492" s="128" t="s">
        <v>132</v>
      </c>
      <c r="F8492" s="128">
        <v>1606268.98</v>
      </c>
      <c r="G8492" s="128">
        <v>1073958.3500000001</v>
      </c>
      <c r="H8492" s="128">
        <v>481111.31</v>
      </c>
      <c r="I8492" s="128">
        <v>6713</v>
      </c>
    </row>
    <row r="8493" spans="1:9" ht="13.5">
      <c r="A8493" s="128">
        <v>2014</v>
      </c>
      <c r="B8493" s="128" t="s">
        <v>137</v>
      </c>
      <c r="C8493" s="128" t="s">
        <v>20</v>
      </c>
      <c r="D8493" s="128" t="s">
        <v>77</v>
      </c>
      <c r="E8493" s="128" t="s">
        <v>133</v>
      </c>
      <c r="F8493" s="128">
        <v>1974587.51</v>
      </c>
      <c r="G8493" s="128">
        <v>1068650.7</v>
      </c>
      <c r="H8493" s="128">
        <v>743314.12</v>
      </c>
      <c r="I8493" s="128">
        <v>7095</v>
      </c>
    </row>
    <row r="8494" spans="1:9" ht="13.5">
      <c r="A8494" s="128">
        <v>2014</v>
      </c>
      <c r="B8494" s="128" t="s">
        <v>137</v>
      </c>
      <c r="C8494" s="128" t="s">
        <v>20</v>
      </c>
      <c r="D8494" s="128" t="s">
        <v>77</v>
      </c>
      <c r="E8494" s="128" t="s">
        <v>134</v>
      </c>
      <c r="F8494" s="128">
        <v>5645566.1299999999</v>
      </c>
      <c r="G8494" s="128">
        <v>2479426.7599999998</v>
      </c>
      <c r="H8494" s="128">
        <v>2405175.5699999998</v>
      </c>
      <c r="I8494" s="128">
        <v>15100</v>
      </c>
    </row>
    <row r="8495" spans="1:9" ht="13.5">
      <c r="A8495" s="128">
        <v>2014</v>
      </c>
      <c r="B8495" s="128" t="s">
        <v>137</v>
      </c>
      <c r="C8495" s="128" t="s">
        <v>20</v>
      </c>
      <c r="D8495" s="128" t="s">
        <v>77</v>
      </c>
      <c r="E8495" s="128" t="s">
        <v>135</v>
      </c>
      <c r="F8495" s="128">
        <v>7162593.3799999999</v>
      </c>
      <c r="G8495" s="128">
        <v>2005243.36</v>
      </c>
      <c r="H8495" s="128">
        <v>2240114.4900000002</v>
      </c>
      <c r="I8495" s="128">
        <v>21693</v>
      </c>
    </row>
    <row r="8496" spans="1:9" ht="13.5">
      <c r="A8496" s="128">
        <v>2014</v>
      </c>
      <c r="B8496" s="128" t="s">
        <v>137</v>
      </c>
      <c r="C8496" s="128" t="s">
        <v>20</v>
      </c>
      <c r="D8496" s="128" t="s">
        <v>76</v>
      </c>
      <c r="E8496" s="128" t="s">
        <v>136</v>
      </c>
      <c r="F8496" s="128">
        <v>15740952.140000001</v>
      </c>
      <c r="G8496" s="128">
        <v>11833372.75</v>
      </c>
      <c r="H8496" s="128">
        <v>3907615.26</v>
      </c>
      <c r="I8496" s="128">
        <v>401245</v>
      </c>
    </row>
    <row r="8497" spans="1:9" ht="13.5">
      <c r="A8497" s="128">
        <v>2014</v>
      </c>
      <c r="B8497" s="128" t="s">
        <v>137</v>
      </c>
      <c r="C8497" s="128" t="s">
        <v>20</v>
      </c>
      <c r="D8497" s="128" t="s">
        <v>76</v>
      </c>
      <c r="E8497" s="128" t="s">
        <v>132</v>
      </c>
      <c r="F8497" s="128">
        <v>40756357.57</v>
      </c>
      <c r="G8497" s="128">
        <v>26066732.469999999</v>
      </c>
      <c r="H8497" s="128">
        <v>14689565.09</v>
      </c>
      <c r="I8497" s="128">
        <v>395214</v>
      </c>
    </row>
    <row r="8498" spans="1:9" ht="13.5">
      <c r="A8498" s="128">
        <v>2014</v>
      </c>
      <c r="B8498" s="128" t="s">
        <v>137</v>
      </c>
      <c r="C8498" s="128" t="s">
        <v>20</v>
      </c>
      <c r="D8498" s="128" t="s">
        <v>76</v>
      </c>
      <c r="E8498" s="128" t="s">
        <v>133</v>
      </c>
      <c r="F8498" s="128">
        <v>91174540.379999995</v>
      </c>
      <c r="G8498" s="128">
        <v>50334568.159999996</v>
      </c>
      <c r="H8498" s="128">
        <v>40839934.43</v>
      </c>
      <c r="I8498" s="128">
        <v>540246</v>
      </c>
    </row>
    <row r="8499" spans="1:9" ht="13.5">
      <c r="A8499" s="128">
        <v>2014</v>
      </c>
      <c r="B8499" s="128" t="s">
        <v>137</v>
      </c>
      <c r="C8499" s="128" t="s">
        <v>20</v>
      </c>
      <c r="D8499" s="128" t="s">
        <v>76</v>
      </c>
      <c r="E8499" s="128" t="s">
        <v>134</v>
      </c>
      <c r="F8499" s="128">
        <v>107469806.19</v>
      </c>
      <c r="G8499" s="128">
        <v>48964227.969999999</v>
      </c>
      <c r="H8499" s="128">
        <v>58505262.619999997</v>
      </c>
      <c r="I8499" s="128">
        <v>599448</v>
      </c>
    </row>
    <row r="8500" spans="1:9" ht="13.5">
      <c r="A8500" s="128">
        <v>2014</v>
      </c>
      <c r="B8500" s="128" t="s">
        <v>137</v>
      </c>
      <c r="C8500" s="128" t="s">
        <v>20</v>
      </c>
      <c r="D8500" s="128" t="s">
        <v>76</v>
      </c>
      <c r="E8500" s="128" t="s">
        <v>135</v>
      </c>
      <c r="F8500" s="128">
        <v>10473511.800000001</v>
      </c>
      <c r="G8500" s="128">
        <v>3220194.73</v>
      </c>
      <c r="H8500" s="128">
        <v>7253315.8399999999</v>
      </c>
      <c r="I8500" s="128">
        <v>46234</v>
      </c>
    </row>
    <row r="8501" spans="1:9" ht="13.5">
      <c r="A8501" s="128">
        <v>2014</v>
      </c>
      <c r="B8501" s="128" t="s">
        <v>137</v>
      </c>
      <c r="C8501" s="128" t="s">
        <v>21</v>
      </c>
      <c r="D8501" s="128" t="s">
        <v>79</v>
      </c>
      <c r="E8501" s="128" t="s">
        <v>136</v>
      </c>
      <c r="F8501" s="128">
        <v>8944138.4700000007</v>
      </c>
      <c r="G8501" s="128">
        <v>6729373.9800000004</v>
      </c>
      <c r="H8501" s="128">
        <v>2213335.73</v>
      </c>
      <c r="I8501" s="128">
        <v>99180</v>
      </c>
    </row>
    <row r="8502" spans="1:9" ht="13.5">
      <c r="A8502" s="128">
        <v>2014</v>
      </c>
      <c r="B8502" s="128" t="s">
        <v>137</v>
      </c>
      <c r="C8502" s="128" t="s">
        <v>21</v>
      </c>
      <c r="D8502" s="128" t="s">
        <v>79</v>
      </c>
      <c r="E8502" s="128" t="s">
        <v>132</v>
      </c>
      <c r="F8502" s="128">
        <v>1360254.22</v>
      </c>
      <c r="G8502" s="128">
        <v>885472.38</v>
      </c>
      <c r="H8502" s="128">
        <v>337764.75</v>
      </c>
      <c r="I8502" s="128">
        <v>7227</v>
      </c>
    </row>
    <row r="8503" spans="1:9" ht="13.5">
      <c r="A8503" s="128">
        <v>2014</v>
      </c>
      <c r="B8503" s="128" t="s">
        <v>137</v>
      </c>
      <c r="C8503" s="128" t="s">
        <v>21</v>
      </c>
      <c r="D8503" s="128" t="s">
        <v>79</v>
      </c>
      <c r="E8503" s="128" t="s">
        <v>133</v>
      </c>
      <c r="F8503" s="128">
        <v>2465312.54</v>
      </c>
      <c r="G8503" s="128">
        <v>1341118.98</v>
      </c>
      <c r="H8503" s="128">
        <v>819533.64</v>
      </c>
      <c r="I8503" s="128">
        <v>18682</v>
      </c>
    </row>
    <row r="8504" spans="1:9" ht="13.5">
      <c r="A8504" s="128">
        <v>2014</v>
      </c>
      <c r="B8504" s="128" t="s">
        <v>137</v>
      </c>
      <c r="C8504" s="128" t="s">
        <v>21</v>
      </c>
      <c r="D8504" s="128" t="s">
        <v>79</v>
      </c>
      <c r="E8504" s="128" t="s">
        <v>134</v>
      </c>
      <c r="F8504" s="128">
        <v>4969619.84</v>
      </c>
      <c r="G8504" s="128">
        <v>2126742.94</v>
      </c>
      <c r="H8504" s="128">
        <v>1565574.31</v>
      </c>
      <c r="I8504" s="128">
        <v>19879</v>
      </c>
    </row>
    <row r="8505" spans="1:9" ht="13.5">
      <c r="A8505" s="128">
        <v>2014</v>
      </c>
      <c r="B8505" s="128" t="s">
        <v>137</v>
      </c>
      <c r="C8505" s="128" t="s">
        <v>21</v>
      </c>
      <c r="D8505" s="128" t="s">
        <v>79</v>
      </c>
      <c r="E8505" s="128" t="s">
        <v>135</v>
      </c>
      <c r="F8505" s="128">
        <v>23949961.57</v>
      </c>
      <c r="G8505" s="128">
        <v>6045898.2400000002</v>
      </c>
      <c r="H8505" s="128">
        <v>2145771.5299999998</v>
      </c>
      <c r="I8505" s="128">
        <v>37607</v>
      </c>
    </row>
    <row r="8506" spans="1:9" ht="13.5">
      <c r="A8506" s="128">
        <v>2014</v>
      </c>
      <c r="B8506" s="128" t="s">
        <v>137</v>
      </c>
      <c r="C8506" s="128" t="s">
        <v>21</v>
      </c>
      <c r="D8506" s="128" t="s">
        <v>77</v>
      </c>
      <c r="E8506" s="128" t="s">
        <v>132</v>
      </c>
      <c r="F8506" s="128">
        <v>2473694.16</v>
      </c>
      <c r="G8506" s="128">
        <v>1644970.4</v>
      </c>
      <c r="H8506" s="128">
        <v>727444.22</v>
      </c>
      <c r="I8506" s="128">
        <v>12860</v>
      </c>
    </row>
    <row r="8507" spans="1:9" ht="13.5">
      <c r="A8507" s="128">
        <v>2014</v>
      </c>
      <c r="B8507" s="128" t="s">
        <v>137</v>
      </c>
      <c r="C8507" s="128" t="s">
        <v>21</v>
      </c>
      <c r="D8507" s="128" t="s">
        <v>77</v>
      </c>
      <c r="E8507" s="128" t="s">
        <v>133</v>
      </c>
      <c r="F8507" s="128">
        <v>5115894.55</v>
      </c>
      <c r="G8507" s="128">
        <v>2782599.03</v>
      </c>
      <c r="H8507" s="128">
        <v>1894651.47</v>
      </c>
      <c r="I8507" s="128">
        <v>19370</v>
      </c>
    </row>
    <row r="8508" spans="1:9" ht="13.5">
      <c r="A8508" s="128">
        <v>2014</v>
      </c>
      <c r="B8508" s="128" t="s">
        <v>137</v>
      </c>
      <c r="C8508" s="128" t="s">
        <v>21</v>
      </c>
      <c r="D8508" s="128" t="s">
        <v>77</v>
      </c>
      <c r="E8508" s="128" t="s">
        <v>134</v>
      </c>
      <c r="F8508" s="128">
        <v>8482727.9299999997</v>
      </c>
      <c r="G8508" s="128">
        <v>3657705.67</v>
      </c>
      <c r="H8508" s="128">
        <v>3288936.23</v>
      </c>
      <c r="I8508" s="128">
        <v>21829</v>
      </c>
    </row>
    <row r="8509" spans="1:9" ht="13.5">
      <c r="A8509" s="128">
        <v>2014</v>
      </c>
      <c r="B8509" s="128" t="s">
        <v>137</v>
      </c>
      <c r="C8509" s="128" t="s">
        <v>21</v>
      </c>
      <c r="D8509" s="128" t="s">
        <v>77</v>
      </c>
      <c r="E8509" s="128" t="s">
        <v>135</v>
      </c>
      <c r="F8509" s="128">
        <v>10281204.109999999</v>
      </c>
      <c r="G8509" s="128">
        <v>2942963.89</v>
      </c>
      <c r="H8509" s="128">
        <v>3135525.42</v>
      </c>
      <c r="I8509" s="128">
        <v>31931</v>
      </c>
    </row>
    <row r="8510" spans="1:9" ht="13.5">
      <c r="A8510" s="128">
        <v>2014</v>
      </c>
      <c r="B8510" s="128" t="s">
        <v>137</v>
      </c>
      <c r="C8510" s="128" t="s">
        <v>21</v>
      </c>
      <c r="D8510" s="128" t="s">
        <v>76</v>
      </c>
      <c r="E8510" s="128" t="s">
        <v>136</v>
      </c>
      <c r="F8510" s="128">
        <v>15120639.970000001</v>
      </c>
      <c r="G8510" s="128">
        <v>11376284.439999999</v>
      </c>
      <c r="H8510" s="128">
        <v>3744361.85</v>
      </c>
      <c r="I8510" s="128">
        <v>254927</v>
      </c>
    </row>
    <row r="8511" spans="1:9" ht="13.5">
      <c r="A8511" s="128">
        <v>2014</v>
      </c>
      <c r="B8511" s="128" t="s">
        <v>137</v>
      </c>
      <c r="C8511" s="128" t="s">
        <v>21</v>
      </c>
      <c r="D8511" s="128" t="s">
        <v>76</v>
      </c>
      <c r="E8511" s="128" t="s">
        <v>132</v>
      </c>
      <c r="F8511" s="128">
        <v>43716701.060000002</v>
      </c>
      <c r="G8511" s="128">
        <v>27917331.940000001</v>
      </c>
      <c r="H8511" s="128">
        <v>15799217.15</v>
      </c>
      <c r="I8511" s="128">
        <v>380903</v>
      </c>
    </row>
    <row r="8512" spans="1:9" ht="13.5">
      <c r="A8512" s="128">
        <v>2014</v>
      </c>
      <c r="B8512" s="128" t="s">
        <v>137</v>
      </c>
      <c r="C8512" s="128" t="s">
        <v>21</v>
      </c>
      <c r="D8512" s="128" t="s">
        <v>76</v>
      </c>
      <c r="E8512" s="128" t="s">
        <v>133</v>
      </c>
      <c r="F8512" s="128">
        <v>107198441.65000001</v>
      </c>
      <c r="G8512" s="128">
        <v>59159966.359999999</v>
      </c>
      <c r="H8512" s="128">
        <v>48038325.700000003</v>
      </c>
      <c r="I8512" s="128">
        <v>858877</v>
      </c>
    </row>
    <row r="8513" spans="1:9" ht="13.5">
      <c r="A8513" s="128">
        <v>2014</v>
      </c>
      <c r="B8513" s="128" t="s">
        <v>137</v>
      </c>
      <c r="C8513" s="128" t="s">
        <v>21</v>
      </c>
      <c r="D8513" s="128" t="s">
        <v>76</v>
      </c>
      <c r="E8513" s="128" t="s">
        <v>134</v>
      </c>
      <c r="F8513" s="128">
        <v>102403634.01000001</v>
      </c>
      <c r="G8513" s="128">
        <v>45810771.219999999</v>
      </c>
      <c r="H8513" s="128">
        <v>56592691.340000004</v>
      </c>
      <c r="I8513" s="128">
        <v>550686</v>
      </c>
    </row>
    <row r="8514" spans="1:9" ht="13.5">
      <c r="A8514" s="128">
        <v>2014</v>
      </c>
      <c r="B8514" s="128" t="s">
        <v>137</v>
      </c>
      <c r="C8514" s="128" t="s">
        <v>21</v>
      </c>
      <c r="D8514" s="128" t="s">
        <v>76</v>
      </c>
      <c r="E8514" s="128" t="s">
        <v>135</v>
      </c>
      <c r="F8514" s="128">
        <v>5221034.05</v>
      </c>
      <c r="G8514" s="128">
        <v>1487295.27</v>
      </c>
      <c r="H8514" s="128">
        <v>3733738.98</v>
      </c>
      <c r="I8514" s="128">
        <v>14836</v>
      </c>
    </row>
    <row r="8515" spans="1:9" ht="13.5">
      <c r="A8515" s="128">
        <v>2014</v>
      </c>
      <c r="B8515" s="128" t="s">
        <v>137</v>
      </c>
      <c r="C8515" s="128" t="s">
        <v>22</v>
      </c>
      <c r="D8515" s="128" t="s">
        <v>79</v>
      </c>
      <c r="E8515" s="128" t="s">
        <v>136</v>
      </c>
      <c r="F8515" s="128">
        <v>8824096.1999999993</v>
      </c>
      <c r="G8515" s="128">
        <v>6630384.4800000004</v>
      </c>
      <c r="H8515" s="128">
        <v>2181245.4300000002</v>
      </c>
      <c r="I8515" s="128">
        <v>60847</v>
      </c>
    </row>
    <row r="8516" spans="1:9" ht="13.5">
      <c r="A8516" s="128">
        <v>2014</v>
      </c>
      <c r="B8516" s="128" t="s">
        <v>137</v>
      </c>
      <c r="C8516" s="128" t="s">
        <v>22</v>
      </c>
      <c r="D8516" s="128" t="s">
        <v>79</v>
      </c>
      <c r="E8516" s="128" t="s">
        <v>132</v>
      </c>
      <c r="F8516" s="128">
        <v>2730232.18</v>
      </c>
      <c r="G8516" s="128">
        <v>1786899.89</v>
      </c>
      <c r="H8516" s="128">
        <v>782913.2</v>
      </c>
      <c r="I8516" s="128">
        <v>23842</v>
      </c>
    </row>
    <row r="8517" spans="1:9" ht="13.5">
      <c r="A8517" s="128">
        <v>2014</v>
      </c>
      <c r="B8517" s="128" t="s">
        <v>137</v>
      </c>
      <c r="C8517" s="128" t="s">
        <v>22</v>
      </c>
      <c r="D8517" s="128" t="s">
        <v>79</v>
      </c>
      <c r="E8517" s="128" t="s">
        <v>133</v>
      </c>
      <c r="F8517" s="128">
        <v>2911957.92</v>
      </c>
      <c r="G8517" s="128">
        <v>1574645.54</v>
      </c>
      <c r="H8517" s="128">
        <v>827436.24</v>
      </c>
      <c r="I8517" s="128">
        <v>13236</v>
      </c>
    </row>
    <row r="8518" spans="1:9" ht="13.5">
      <c r="A8518" s="128">
        <v>2014</v>
      </c>
      <c r="B8518" s="128" t="s">
        <v>137</v>
      </c>
      <c r="C8518" s="128" t="s">
        <v>22</v>
      </c>
      <c r="D8518" s="128" t="s">
        <v>79</v>
      </c>
      <c r="E8518" s="128" t="s">
        <v>134</v>
      </c>
      <c r="F8518" s="128">
        <v>7545127.2800000003</v>
      </c>
      <c r="G8518" s="128">
        <v>3213334.82</v>
      </c>
      <c r="H8518" s="128">
        <v>1373741.11</v>
      </c>
      <c r="I8518" s="128">
        <v>24022</v>
      </c>
    </row>
    <row r="8519" spans="1:9" ht="13.5">
      <c r="A8519" s="128">
        <v>2014</v>
      </c>
      <c r="B8519" s="128" t="s">
        <v>137</v>
      </c>
      <c r="C8519" s="128" t="s">
        <v>22</v>
      </c>
      <c r="D8519" s="128" t="s">
        <v>79</v>
      </c>
      <c r="E8519" s="128" t="s">
        <v>135</v>
      </c>
      <c r="F8519" s="128">
        <v>48435546.799999997</v>
      </c>
      <c r="G8519" s="128">
        <v>12388799.07</v>
      </c>
      <c r="H8519" s="128">
        <v>4241759.6900000004</v>
      </c>
      <c r="I8519" s="128">
        <v>73638</v>
      </c>
    </row>
    <row r="8520" spans="1:9" ht="13.5">
      <c r="A8520" s="128">
        <v>2014</v>
      </c>
      <c r="B8520" s="128" t="s">
        <v>137</v>
      </c>
      <c r="C8520" s="128" t="s">
        <v>22</v>
      </c>
      <c r="D8520" s="128" t="s">
        <v>77</v>
      </c>
      <c r="E8520" s="128" t="s">
        <v>132</v>
      </c>
      <c r="F8520" s="128">
        <v>904519.73</v>
      </c>
      <c r="G8520" s="128">
        <v>599330.72</v>
      </c>
      <c r="H8520" s="128">
        <v>275882.28000000003</v>
      </c>
      <c r="I8520" s="128">
        <v>3735</v>
      </c>
    </row>
    <row r="8521" spans="1:9" ht="13.5">
      <c r="A8521" s="128">
        <v>2014</v>
      </c>
      <c r="B8521" s="128" t="s">
        <v>137</v>
      </c>
      <c r="C8521" s="128" t="s">
        <v>22</v>
      </c>
      <c r="D8521" s="128" t="s">
        <v>77</v>
      </c>
      <c r="E8521" s="128" t="s">
        <v>133</v>
      </c>
      <c r="F8521" s="128">
        <v>2093630.6</v>
      </c>
      <c r="G8521" s="128">
        <v>1123721.48</v>
      </c>
      <c r="H8521" s="128">
        <v>754412.08</v>
      </c>
      <c r="I8521" s="128">
        <v>11133</v>
      </c>
    </row>
    <row r="8522" spans="1:9" ht="13.5">
      <c r="A8522" s="128">
        <v>2014</v>
      </c>
      <c r="B8522" s="128" t="s">
        <v>137</v>
      </c>
      <c r="C8522" s="128" t="s">
        <v>22</v>
      </c>
      <c r="D8522" s="128" t="s">
        <v>77</v>
      </c>
      <c r="E8522" s="128" t="s">
        <v>134</v>
      </c>
      <c r="F8522" s="128">
        <v>5359137.8899999997</v>
      </c>
      <c r="G8522" s="128">
        <v>2298816.16</v>
      </c>
      <c r="H8522" s="128">
        <v>2231021.81</v>
      </c>
      <c r="I8522" s="128">
        <v>11046</v>
      </c>
    </row>
    <row r="8523" spans="1:9" ht="13.5">
      <c r="A8523" s="128">
        <v>2014</v>
      </c>
      <c r="B8523" s="128" t="s">
        <v>137</v>
      </c>
      <c r="C8523" s="128" t="s">
        <v>22</v>
      </c>
      <c r="D8523" s="128" t="s">
        <v>77</v>
      </c>
      <c r="E8523" s="128" t="s">
        <v>135</v>
      </c>
      <c r="F8523" s="128">
        <v>10581496.84</v>
      </c>
      <c r="G8523" s="128">
        <v>3060193.44</v>
      </c>
      <c r="H8523" s="128">
        <v>3435302.54</v>
      </c>
      <c r="I8523" s="128">
        <v>28401</v>
      </c>
    </row>
    <row r="8524" spans="1:9" ht="13.5">
      <c r="A8524" s="128">
        <v>2014</v>
      </c>
      <c r="B8524" s="128" t="s">
        <v>137</v>
      </c>
      <c r="C8524" s="128" t="s">
        <v>22</v>
      </c>
      <c r="D8524" s="128" t="s">
        <v>76</v>
      </c>
      <c r="E8524" s="128" t="s">
        <v>136</v>
      </c>
      <c r="F8524" s="128">
        <v>10621195.58</v>
      </c>
      <c r="G8524" s="128">
        <v>7977586.0999999996</v>
      </c>
      <c r="H8524" s="128">
        <v>2643650.39</v>
      </c>
      <c r="I8524" s="128">
        <v>213659</v>
      </c>
    </row>
    <row r="8525" spans="1:9" ht="13.5">
      <c r="A8525" s="128">
        <v>2014</v>
      </c>
      <c r="B8525" s="128" t="s">
        <v>137</v>
      </c>
      <c r="C8525" s="128" t="s">
        <v>22</v>
      </c>
      <c r="D8525" s="128" t="s">
        <v>76</v>
      </c>
      <c r="E8525" s="128" t="s">
        <v>132</v>
      </c>
      <c r="F8525" s="128">
        <v>37526819.350000001</v>
      </c>
      <c r="G8525" s="128">
        <v>23990795.879999999</v>
      </c>
      <c r="H8525" s="128">
        <v>13535794.720000001</v>
      </c>
      <c r="I8525" s="128">
        <v>379307</v>
      </c>
    </row>
    <row r="8526" spans="1:9" ht="13.5">
      <c r="A8526" s="128">
        <v>2014</v>
      </c>
      <c r="B8526" s="128" t="s">
        <v>137</v>
      </c>
      <c r="C8526" s="128" t="s">
        <v>22</v>
      </c>
      <c r="D8526" s="128" t="s">
        <v>76</v>
      </c>
      <c r="E8526" s="128" t="s">
        <v>133</v>
      </c>
      <c r="F8526" s="128">
        <v>74180248.090000004</v>
      </c>
      <c r="G8526" s="128">
        <v>41115210.289999999</v>
      </c>
      <c r="H8526" s="128">
        <v>33064510.120000001</v>
      </c>
      <c r="I8526" s="128">
        <v>616731</v>
      </c>
    </row>
    <row r="8527" spans="1:9" ht="13.5">
      <c r="A8527" s="128">
        <v>2014</v>
      </c>
      <c r="B8527" s="128" t="s">
        <v>137</v>
      </c>
      <c r="C8527" s="128" t="s">
        <v>22</v>
      </c>
      <c r="D8527" s="128" t="s">
        <v>76</v>
      </c>
      <c r="E8527" s="128" t="s">
        <v>134</v>
      </c>
      <c r="F8527" s="128">
        <v>66855639.68</v>
      </c>
      <c r="G8527" s="128">
        <v>30617156.949999999</v>
      </c>
      <c r="H8527" s="128">
        <v>36238095.25</v>
      </c>
      <c r="I8527" s="128">
        <v>437221</v>
      </c>
    </row>
    <row r="8528" spans="1:9" ht="13.5">
      <c r="A8528" s="128">
        <v>2014</v>
      </c>
      <c r="B8528" s="128" t="s">
        <v>137</v>
      </c>
      <c r="C8528" s="128" t="s">
        <v>22</v>
      </c>
      <c r="D8528" s="128" t="s">
        <v>76</v>
      </c>
      <c r="E8528" s="128" t="s">
        <v>135</v>
      </c>
      <c r="F8528" s="128">
        <v>6716223.4299999997</v>
      </c>
      <c r="G8528" s="128">
        <v>1982819.65</v>
      </c>
      <c r="H8528" s="128">
        <v>4733403.7</v>
      </c>
      <c r="I8528" s="128">
        <v>15629</v>
      </c>
    </row>
    <row r="8529" spans="1:9" ht="13.5">
      <c r="A8529" s="128">
        <v>2014</v>
      </c>
      <c r="B8529" s="128" t="s">
        <v>137</v>
      </c>
      <c r="C8529" s="128" t="s">
        <v>23</v>
      </c>
      <c r="D8529" s="128" t="s">
        <v>79</v>
      </c>
      <c r="E8529" s="128" t="s">
        <v>136</v>
      </c>
      <c r="F8529" s="128">
        <v>1894174.31</v>
      </c>
      <c r="G8529" s="128">
        <v>1422685.67</v>
      </c>
      <c r="H8529" s="128">
        <v>471372.52</v>
      </c>
      <c r="I8529" s="128">
        <v>12531</v>
      </c>
    </row>
    <row r="8530" spans="1:9" ht="13.5">
      <c r="A8530" s="128">
        <v>2014</v>
      </c>
      <c r="B8530" s="128" t="s">
        <v>137</v>
      </c>
      <c r="C8530" s="128" t="s">
        <v>23</v>
      </c>
      <c r="D8530" s="128" t="s">
        <v>79</v>
      </c>
      <c r="E8530" s="128" t="s">
        <v>132</v>
      </c>
      <c r="F8530" s="128">
        <v>306089.02</v>
      </c>
      <c r="G8530" s="128">
        <v>196090.77</v>
      </c>
      <c r="H8530" s="128">
        <v>90794.84</v>
      </c>
      <c r="I8530" s="128">
        <v>1652</v>
      </c>
    </row>
    <row r="8531" spans="1:9" ht="13.5">
      <c r="A8531" s="128">
        <v>2014</v>
      </c>
      <c r="B8531" s="128" t="s">
        <v>137</v>
      </c>
      <c r="C8531" s="128" t="s">
        <v>23</v>
      </c>
      <c r="D8531" s="128" t="s">
        <v>79</v>
      </c>
      <c r="E8531" s="128" t="s">
        <v>133</v>
      </c>
      <c r="F8531" s="128">
        <v>1004879.58</v>
      </c>
      <c r="G8531" s="128">
        <v>543770.17000000004</v>
      </c>
      <c r="H8531" s="128">
        <v>371942.55</v>
      </c>
      <c r="I8531" s="128">
        <v>8718</v>
      </c>
    </row>
    <row r="8532" spans="1:9" ht="13.5">
      <c r="A8532" s="128">
        <v>2014</v>
      </c>
      <c r="B8532" s="128" t="s">
        <v>137</v>
      </c>
      <c r="C8532" s="128" t="s">
        <v>23</v>
      </c>
      <c r="D8532" s="128" t="s">
        <v>79</v>
      </c>
      <c r="E8532" s="128" t="s">
        <v>134</v>
      </c>
      <c r="F8532" s="128">
        <v>1919710.87</v>
      </c>
      <c r="G8532" s="128">
        <v>842197.73</v>
      </c>
      <c r="H8532" s="128">
        <v>865111.55</v>
      </c>
      <c r="I8532" s="128">
        <v>5062</v>
      </c>
    </row>
    <row r="8533" spans="1:9" ht="13.5">
      <c r="A8533" s="128">
        <v>2014</v>
      </c>
      <c r="B8533" s="128" t="s">
        <v>137</v>
      </c>
      <c r="C8533" s="128" t="s">
        <v>23</v>
      </c>
      <c r="D8533" s="128" t="s">
        <v>79</v>
      </c>
      <c r="E8533" s="128" t="s">
        <v>135</v>
      </c>
      <c r="F8533" s="128">
        <v>2396332.0499999998</v>
      </c>
      <c r="G8533" s="128">
        <v>606234.76</v>
      </c>
      <c r="H8533" s="128">
        <v>262260.37</v>
      </c>
      <c r="I8533" s="128">
        <v>4663</v>
      </c>
    </row>
    <row r="8534" spans="1:9" ht="13.5">
      <c r="A8534" s="128">
        <v>2014</v>
      </c>
      <c r="B8534" s="128" t="s">
        <v>137</v>
      </c>
      <c r="C8534" s="128" t="s">
        <v>23</v>
      </c>
      <c r="D8534" s="128" t="s">
        <v>77</v>
      </c>
      <c r="E8534" s="128" t="s">
        <v>132</v>
      </c>
      <c r="F8534" s="128">
        <v>423006.8</v>
      </c>
      <c r="G8534" s="128">
        <v>286775.2</v>
      </c>
      <c r="H8534" s="128">
        <v>118167.61</v>
      </c>
      <c r="I8534" s="128">
        <v>2553</v>
      </c>
    </row>
    <row r="8535" spans="1:9" ht="13.5">
      <c r="A8535" s="128">
        <v>2014</v>
      </c>
      <c r="B8535" s="128" t="s">
        <v>137</v>
      </c>
      <c r="C8535" s="128" t="s">
        <v>23</v>
      </c>
      <c r="D8535" s="128" t="s">
        <v>77</v>
      </c>
      <c r="E8535" s="128" t="s">
        <v>133</v>
      </c>
      <c r="F8535" s="128">
        <v>632460.02</v>
      </c>
      <c r="G8535" s="128">
        <v>340538.71</v>
      </c>
      <c r="H8535" s="128">
        <v>226860.67</v>
      </c>
      <c r="I8535" s="128">
        <v>2380</v>
      </c>
    </row>
    <row r="8536" spans="1:9" ht="13.5">
      <c r="A8536" s="128">
        <v>2014</v>
      </c>
      <c r="B8536" s="128" t="s">
        <v>137</v>
      </c>
      <c r="C8536" s="128" t="s">
        <v>23</v>
      </c>
      <c r="D8536" s="128" t="s">
        <v>77</v>
      </c>
      <c r="E8536" s="128" t="s">
        <v>134</v>
      </c>
      <c r="F8536" s="128">
        <v>3231798.36</v>
      </c>
      <c r="G8536" s="128">
        <v>1366602.51</v>
      </c>
      <c r="H8536" s="128">
        <v>1387865.99</v>
      </c>
      <c r="I8536" s="128">
        <v>6255</v>
      </c>
    </row>
    <row r="8537" spans="1:9" ht="13.5">
      <c r="A8537" s="128">
        <v>2014</v>
      </c>
      <c r="B8537" s="128" t="s">
        <v>137</v>
      </c>
      <c r="C8537" s="128" t="s">
        <v>23</v>
      </c>
      <c r="D8537" s="128" t="s">
        <v>77</v>
      </c>
      <c r="E8537" s="128" t="s">
        <v>135</v>
      </c>
      <c r="F8537" s="128">
        <v>3076808.65</v>
      </c>
      <c r="G8537" s="128">
        <v>952507</v>
      </c>
      <c r="H8537" s="128">
        <v>1209129.57</v>
      </c>
      <c r="I8537" s="128">
        <v>12631</v>
      </c>
    </row>
    <row r="8538" spans="1:9" ht="13.5">
      <c r="A8538" s="128">
        <v>2014</v>
      </c>
      <c r="B8538" s="128" t="s">
        <v>137</v>
      </c>
      <c r="C8538" s="128" t="s">
        <v>23</v>
      </c>
      <c r="D8538" s="128" t="s">
        <v>76</v>
      </c>
      <c r="E8538" s="128" t="s">
        <v>136</v>
      </c>
      <c r="F8538" s="128">
        <v>4041927.38</v>
      </c>
      <c r="G8538" s="128">
        <v>3033039.99</v>
      </c>
      <c r="H8538" s="128">
        <v>1008903.57</v>
      </c>
      <c r="I8538" s="128">
        <v>56958</v>
      </c>
    </row>
    <row r="8539" spans="1:9" ht="13.5">
      <c r="A8539" s="128">
        <v>2014</v>
      </c>
      <c r="B8539" s="128" t="s">
        <v>137</v>
      </c>
      <c r="C8539" s="128" t="s">
        <v>23</v>
      </c>
      <c r="D8539" s="128" t="s">
        <v>76</v>
      </c>
      <c r="E8539" s="128" t="s">
        <v>132</v>
      </c>
      <c r="F8539" s="128">
        <v>9151016.2300000004</v>
      </c>
      <c r="G8539" s="128">
        <v>5849091.7599999998</v>
      </c>
      <c r="H8539" s="128">
        <v>3301869.9</v>
      </c>
      <c r="I8539" s="128">
        <v>80482</v>
      </c>
    </row>
    <row r="8540" spans="1:9" ht="13.5">
      <c r="A8540" s="128">
        <v>2014</v>
      </c>
      <c r="B8540" s="128" t="s">
        <v>137</v>
      </c>
      <c r="C8540" s="128" t="s">
        <v>23</v>
      </c>
      <c r="D8540" s="128" t="s">
        <v>76</v>
      </c>
      <c r="E8540" s="128" t="s">
        <v>133</v>
      </c>
      <c r="F8540" s="128">
        <v>22704001.34</v>
      </c>
      <c r="G8540" s="128">
        <v>12453578.26</v>
      </c>
      <c r="H8540" s="128">
        <v>10250396.58</v>
      </c>
      <c r="I8540" s="128">
        <v>207965</v>
      </c>
    </row>
    <row r="8541" spans="1:9" ht="13.5">
      <c r="A8541" s="128">
        <v>2014</v>
      </c>
      <c r="B8541" s="128" t="s">
        <v>137</v>
      </c>
      <c r="C8541" s="128" t="s">
        <v>23</v>
      </c>
      <c r="D8541" s="128" t="s">
        <v>76</v>
      </c>
      <c r="E8541" s="128" t="s">
        <v>134</v>
      </c>
      <c r="F8541" s="128">
        <v>41693756.5</v>
      </c>
      <c r="G8541" s="128">
        <v>18558903.649999999</v>
      </c>
      <c r="H8541" s="128">
        <v>23134816.710000001</v>
      </c>
      <c r="I8541" s="128">
        <v>165029</v>
      </c>
    </row>
    <row r="8542" spans="1:9" ht="13.5">
      <c r="A8542" s="128">
        <v>2014</v>
      </c>
      <c r="B8542" s="128" t="s">
        <v>137</v>
      </c>
      <c r="C8542" s="128" t="s">
        <v>23</v>
      </c>
      <c r="D8542" s="128" t="s">
        <v>76</v>
      </c>
      <c r="E8542" s="128" t="s">
        <v>135</v>
      </c>
      <c r="F8542" s="128">
        <v>2027710.21</v>
      </c>
      <c r="G8542" s="128">
        <v>573702.14</v>
      </c>
      <c r="H8542" s="128">
        <v>1454008.07</v>
      </c>
      <c r="I8542" s="128">
        <v>4498</v>
      </c>
    </row>
    <row r="8543" spans="1:9" ht="13.5">
      <c r="A8543" s="128">
        <v>2014</v>
      </c>
      <c r="B8543" s="128" t="s">
        <v>137</v>
      </c>
      <c r="C8543" s="128" t="s">
        <v>24</v>
      </c>
      <c r="D8543" s="128" t="s">
        <v>79</v>
      </c>
      <c r="E8543" s="128" t="s">
        <v>136</v>
      </c>
      <c r="F8543" s="128">
        <v>2981218.15</v>
      </c>
      <c r="G8543" s="128">
        <v>2243019.5499999998</v>
      </c>
      <c r="H8543" s="128">
        <v>735521.54</v>
      </c>
      <c r="I8543" s="128">
        <v>51685</v>
      </c>
    </row>
    <row r="8544" spans="1:9" ht="13.5">
      <c r="A8544" s="128">
        <v>2014</v>
      </c>
      <c r="B8544" s="128" t="s">
        <v>137</v>
      </c>
      <c r="C8544" s="128" t="s">
        <v>24</v>
      </c>
      <c r="D8544" s="128" t="s">
        <v>79</v>
      </c>
      <c r="E8544" s="128" t="s">
        <v>132</v>
      </c>
      <c r="F8544" s="128">
        <v>404869.96</v>
      </c>
      <c r="G8544" s="128">
        <v>271862.71999999997</v>
      </c>
      <c r="H8544" s="128">
        <v>99872.81</v>
      </c>
      <c r="I8544" s="128">
        <v>2464</v>
      </c>
    </row>
    <row r="8545" spans="1:9" ht="13.5">
      <c r="A8545" s="128">
        <v>2014</v>
      </c>
      <c r="B8545" s="128" t="s">
        <v>137</v>
      </c>
      <c r="C8545" s="128" t="s">
        <v>24</v>
      </c>
      <c r="D8545" s="128" t="s">
        <v>79</v>
      </c>
      <c r="E8545" s="128" t="s">
        <v>133</v>
      </c>
      <c r="F8545" s="128">
        <v>850009.84</v>
      </c>
      <c r="G8545" s="128">
        <v>466686.63</v>
      </c>
      <c r="H8545" s="128">
        <v>199892.32</v>
      </c>
      <c r="I8545" s="128">
        <v>3904</v>
      </c>
    </row>
    <row r="8546" spans="1:9" ht="13.5">
      <c r="A8546" s="128">
        <v>2014</v>
      </c>
      <c r="B8546" s="128" t="s">
        <v>137</v>
      </c>
      <c r="C8546" s="128" t="s">
        <v>24</v>
      </c>
      <c r="D8546" s="128" t="s">
        <v>79</v>
      </c>
      <c r="E8546" s="128" t="s">
        <v>134</v>
      </c>
      <c r="F8546" s="128">
        <v>2527754.4300000002</v>
      </c>
      <c r="G8546" s="128">
        <v>1098248.26</v>
      </c>
      <c r="H8546" s="128">
        <v>430903.92</v>
      </c>
      <c r="I8546" s="128">
        <v>7896</v>
      </c>
    </row>
    <row r="8547" spans="1:9" ht="13.5">
      <c r="A8547" s="128">
        <v>2014</v>
      </c>
      <c r="B8547" s="128" t="s">
        <v>137</v>
      </c>
      <c r="C8547" s="128" t="s">
        <v>24</v>
      </c>
      <c r="D8547" s="128" t="s">
        <v>79</v>
      </c>
      <c r="E8547" s="128" t="s">
        <v>135</v>
      </c>
      <c r="F8547" s="128">
        <v>9402293.3399999999</v>
      </c>
      <c r="G8547" s="128">
        <v>2294418.52</v>
      </c>
      <c r="H8547" s="128">
        <v>821529.3</v>
      </c>
      <c r="I8547" s="128">
        <v>22243</v>
      </c>
    </row>
    <row r="8548" spans="1:9" ht="13.5">
      <c r="A8548" s="128">
        <v>2014</v>
      </c>
      <c r="B8548" s="128" t="s">
        <v>137</v>
      </c>
      <c r="C8548" s="128" t="s">
        <v>24</v>
      </c>
      <c r="D8548" s="128" t="s">
        <v>77</v>
      </c>
      <c r="E8548" s="128" t="s">
        <v>132</v>
      </c>
      <c r="F8548" s="128">
        <v>2785839.4</v>
      </c>
      <c r="G8548" s="128">
        <v>1929853.75</v>
      </c>
      <c r="H8548" s="128">
        <v>811781.23</v>
      </c>
      <c r="I8548" s="128">
        <v>15499</v>
      </c>
    </row>
    <row r="8549" spans="1:9" ht="13.5">
      <c r="A8549" s="128">
        <v>2014</v>
      </c>
      <c r="B8549" s="128" t="s">
        <v>137</v>
      </c>
      <c r="C8549" s="128" t="s">
        <v>24</v>
      </c>
      <c r="D8549" s="128" t="s">
        <v>77</v>
      </c>
      <c r="E8549" s="128" t="s">
        <v>133</v>
      </c>
      <c r="F8549" s="128">
        <v>4042238.26</v>
      </c>
      <c r="G8549" s="128">
        <v>2193556.15</v>
      </c>
      <c r="H8549" s="128">
        <v>1569342.95</v>
      </c>
      <c r="I8549" s="128">
        <v>29041</v>
      </c>
    </row>
    <row r="8550" spans="1:9" ht="13.5">
      <c r="A8550" s="128">
        <v>2014</v>
      </c>
      <c r="B8550" s="128" t="s">
        <v>137</v>
      </c>
      <c r="C8550" s="128" t="s">
        <v>24</v>
      </c>
      <c r="D8550" s="128" t="s">
        <v>77</v>
      </c>
      <c r="E8550" s="128" t="s">
        <v>134</v>
      </c>
      <c r="F8550" s="128">
        <v>8530331.1999999993</v>
      </c>
      <c r="G8550" s="128">
        <v>3795706.05</v>
      </c>
      <c r="H8550" s="128">
        <v>3159305.21</v>
      </c>
      <c r="I8550" s="128">
        <v>21271</v>
      </c>
    </row>
    <row r="8551" spans="1:9" ht="13.5">
      <c r="A8551" s="128">
        <v>2014</v>
      </c>
      <c r="B8551" s="128" t="s">
        <v>137</v>
      </c>
      <c r="C8551" s="128" t="s">
        <v>24</v>
      </c>
      <c r="D8551" s="128" t="s">
        <v>77</v>
      </c>
      <c r="E8551" s="128" t="s">
        <v>135</v>
      </c>
      <c r="F8551" s="128">
        <v>12057973.41</v>
      </c>
      <c r="G8551" s="128">
        <v>3192791.65</v>
      </c>
      <c r="H8551" s="128">
        <v>2076270.23</v>
      </c>
      <c r="I8551" s="128">
        <v>22601</v>
      </c>
    </row>
    <row r="8552" spans="1:9" ht="13.5">
      <c r="A8552" s="128">
        <v>2014</v>
      </c>
      <c r="B8552" s="128" t="s">
        <v>137</v>
      </c>
      <c r="C8552" s="128" t="s">
        <v>24</v>
      </c>
      <c r="D8552" s="128" t="s">
        <v>76</v>
      </c>
      <c r="E8552" s="128" t="s">
        <v>136</v>
      </c>
      <c r="F8552" s="128">
        <v>2678160.33</v>
      </c>
      <c r="G8552" s="128">
        <v>2019199.07</v>
      </c>
      <c r="H8552" s="128">
        <v>658961.19999999995</v>
      </c>
      <c r="I8552" s="128">
        <v>22867</v>
      </c>
    </row>
    <row r="8553" spans="1:9" ht="13.5">
      <c r="A8553" s="128">
        <v>2014</v>
      </c>
      <c r="B8553" s="128" t="s">
        <v>137</v>
      </c>
      <c r="C8553" s="128" t="s">
        <v>24</v>
      </c>
      <c r="D8553" s="128" t="s">
        <v>76</v>
      </c>
      <c r="E8553" s="128" t="s">
        <v>132</v>
      </c>
      <c r="F8553" s="128">
        <v>8146370.5700000003</v>
      </c>
      <c r="G8553" s="128">
        <v>5250288.59</v>
      </c>
      <c r="H8553" s="128">
        <v>2896071.66</v>
      </c>
      <c r="I8553" s="128">
        <v>73581</v>
      </c>
    </row>
    <row r="8554" spans="1:9" ht="13.5">
      <c r="A8554" s="128">
        <v>2014</v>
      </c>
      <c r="B8554" s="128" t="s">
        <v>137</v>
      </c>
      <c r="C8554" s="128" t="s">
        <v>24</v>
      </c>
      <c r="D8554" s="128" t="s">
        <v>76</v>
      </c>
      <c r="E8554" s="128" t="s">
        <v>133</v>
      </c>
      <c r="F8554" s="128">
        <v>37339487.590000004</v>
      </c>
      <c r="G8554" s="128">
        <v>20733411.75</v>
      </c>
      <c r="H8554" s="128">
        <v>16606064.51</v>
      </c>
      <c r="I8554" s="128">
        <v>280861</v>
      </c>
    </row>
    <row r="8555" spans="1:9" ht="13.5">
      <c r="A8555" s="128">
        <v>2014</v>
      </c>
      <c r="B8555" s="128" t="s">
        <v>137</v>
      </c>
      <c r="C8555" s="128" t="s">
        <v>24</v>
      </c>
      <c r="D8555" s="128" t="s">
        <v>76</v>
      </c>
      <c r="E8555" s="128" t="s">
        <v>134</v>
      </c>
      <c r="F8555" s="128">
        <v>48370628.060000002</v>
      </c>
      <c r="G8555" s="128">
        <v>21376239.010000002</v>
      </c>
      <c r="H8555" s="128">
        <v>26994376.899999999</v>
      </c>
      <c r="I8555" s="128">
        <v>227937</v>
      </c>
    </row>
    <row r="8556" spans="1:9" ht="13.5">
      <c r="A8556" s="128">
        <v>2014</v>
      </c>
      <c r="B8556" s="128" t="s">
        <v>137</v>
      </c>
      <c r="C8556" s="128" t="s">
        <v>24</v>
      </c>
      <c r="D8556" s="128" t="s">
        <v>76</v>
      </c>
      <c r="E8556" s="128" t="s">
        <v>135</v>
      </c>
      <c r="F8556" s="128">
        <v>3772378.32</v>
      </c>
      <c r="G8556" s="128">
        <v>1005060.54</v>
      </c>
      <c r="H8556" s="128">
        <v>2767317.78</v>
      </c>
      <c r="I8556" s="128">
        <v>3067</v>
      </c>
    </row>
    <row r="8557" spans="1:9" ht="13.5">
      <c r="A8557" s="128">
        <v>2014</v>
      </c>
      <c r="B8557" s="128" t="s">
        <v>137</v>
      </c>
      <c r="C8557" s="128" t="s">
        <v>25</v>
      </c>
      <c r="D8557" s="128" t="s">
        <v>79</v>
      </c>
      <c r="E8557" s="128" t="s">
        <v>136</v>
      </c>
      <c r="F8557" s="128">
        <v>581558.35</v>
      </c>
      <c r="G8557" s="128">
        <v>435633.91999999998</v>
      </c>
      <c r="H8557" s="128">
        <v>144410.78</v>
      </c>
      <c r="I8557" s="128">
        <v>9768</v>
      </c>
    </row>
    <row r="8558" spans="1:9" ht="13.5">
      <c r="A8558" s="128">
        <v>2014</v>
      </c>
      <c r="B8558" s="128" t="s">
        <v>137</v>
      </c>
      <c r="C8558" s="128" t="s">
        <v>25</v>
      </c>
      <c r="D8558" s="128" t="s">
        <v>79</v>
      </c>
      <c r="E8558" s="128" t="s">
        <v>132</v>
      </c>
      <c r="F8558" s="128">
        <v>113708.81</v>
      </c>
      <c r="G8558" s="128">
        <v>73879.33</v>
      </c>
      <c r="H8558" s="128">
        <v>33975.4</v>
      </c>
      <c r="I8558" s="128">
        <v>884</v>
      </c>
    </row>
    <row r="8559" spans="1:9" ht="13.5">
      <c r="A8559" s="128">
        <v>2014</v>
      </c>
      <c r="B8559" s="128" t="s">
        <v>137</v>
      </c>
      <c r="C8559" s="128" t="s">
        <v>25</v>
      </c>
      <c r="D8559" s="128" t="s">
        <v>79</v>
      </c>
      <c r="E8559" s="128" t="s">
        <v>133</v>
      </c>
      <c r="F8559" s="128">
        <v>176135.01</v>
      </c>
      <c r="G8559" s="128">
        <v>96260.75</v>
      </c>
      <c r="H8559" s="128">
        <v>52889.53</v>
      </c>
      <c r="I8559" s="128">
        <v>1112</v>
      </c>
    </row>
    <row r="8560" spans="1:9" ht="13.5">
      <c r="A8560" s="128">
        <v>2014</v>
      </c>
      <c r="B8560" s="128" t="s">
        <v>137</v>
      </c>
      <c r="C8560" s="128" t="s">
        <v>25</v>
      </c>
      <c r="D8560" s="128" t="s">
        <v>79</v>
      </c>
      <c r="E8560" s="128" t="s">
        <v>134</v>
      </c>
      <c r="F8560" s="128">
        <v>707988.46</v>
      </c>
      <c r="G8560" s="128">
        <v>311514.01</v>
      </c>
      <c r="H8560" s="128">
        <v>209972.48000000001</v>
      </c>
      <c r="I8560" s="128">
        <v>2743</v>
      </c>
    </row>
    <row r="8561" spans="1:9" ht="13.5">
      <c r="A8561" s="128">
        <v>2014</v>
      </c>
      <c r="B8561" s="128" t="s">
        <v>137</v>
      </c>
      <c r="C8561" s="128" t="s">
        <v>25</v>
      </c>
      <c r="D8561" s="128" t="s">
        <v>79</v>
      </c>
      <c r="E8561" s="128" t="s">
        <v>135</v>
      </c>
      <c r="F8561" s="128">
        <v>2299170.7200000002</v>
      </c>
      <c r="G8561" s="128">
        <v>554716</v>
      </c>
      <c r="H8561" s="128">
        <v>207570.75</v>
      </c>
      <c r="I8561" s="128">
        <v>2681</v>
      </c>
    </row>
    <row r="8562" spans="1:9" ht="13.5">
      <c r="A8562" s="128">
        <v>2014</v>
      </c>
      <c r="B8562" s="128" t="s">
        <v>137</v>
      </c>
      <c r="C8562" s="128" t="s">
        <v>25</v>
      </c>
      <c r="D8562" s="128" t="s">
        <v>77</v>
      </c>
      <c r="E8562" s="128" t="s">
        <v>132</v>
      </c>
      <c r="F8562" s="128">
        <v>223929.02</v>
      </c>
      <c r="G8562" s="128">
        <v>150396.75</v>
      </c>
      <c r="H8562" s="128">
        <v>61207.83</v>
      </c>
      <c r="I8562" s="128">
        <v>1025</v>
      </c>
    </row>
    <row r="8563" spans="1:9" ht="13.5">
      <c r="A8563" s="128">
        <v>2014</v>
      </c>
      <c r="B8563" s="128" t="s">
        <v>137</v>
      </c>
      <c r="C8563" s="128" t="s">
        <v>25</v>
      </c>
      <c r="D8563" s="128" t="s">
        <v>77</v>
      </c>
      <c r="E8563" s="128" t="s">
        <v>133</v>
      </c>
      <c r="F8563" s="128">
        <v>244552.42</v>
      </c>
      <c r="G8563" s="128">
        <v>132082.25</v>
      </c>
      <c r="H8563" s="128">
        <v>98808.47</v>
      </c>
      <c r="I8563" s="128">
        <v>822</v>
      </c>
    </row>
    <row r="8564" spans="1:9" ht="13.5">
      <c r="A8564" s="128">
        <v>2014</v>
      </c>
      <c r="B8564" s="128" t="s">
        <v>137</v>
      </c>
      <c r="C8564" s="128" t="s">
        <v>25</v>
      </c>
      <c r="D8564" s="128" t="s">
        <v>77</v>
      </c>
      <c r="E8564" s="128" t="s">
        <v>134</v>
      </c>
      <c r="F8564" s="128">
        <v>870383.96</v>
      </c>
      <c r="G8564" s="128">
        <v>372501.06</v>
      </c>
      <c r="H8564" s="128">
        <v>382611.63</v>
      </c>
      <c r="I8564" s="128">
        <v>2127</v>
      </c>
    </row>
    <row r="8565" spans="1:9" ht="13.5">
      <c r="A8565" s="128">
        <v>2014</v>
      </c>
      <c r="B8565" s="128" t="s">
        <v>137</v>
      </c>
      <c r="C8565" s="128" t="s">
        <v>25</v>
      </c>
      <c r="D8565" s="128" t="s">
        <v>77</v>
      </c>
      <c r="E8565" s="128" t="s">
        <v>135</v>
      </c>
      <c r="F8565" s="128">
        <v>1351644.07</v>
      </c>
      <c r="G8565" s="128">
        <v>419386</v>
      </c>
      <c r="H8565" s="128">
        <v>487489.99</v>
      </c>
      <c r="I8565" s="128">
        <v>4849</v>
      </c>
    </row>
    <row r="8566" spans="1:9" ht="13.5">
      <c r="A8566" s="128">
        <v>2014</v>
      </c>
      <c r="B8566" s="128" t="s">
        <v>137</v>
      </c>
      <c r="C8566" s="128" t="s">
        <v>25</v>
      </c>
      <c r="D8566" s="128" t="s">
        <v>76</v>
      </c>
      <c r="E8566" s="128" t="s">
        <v>136</v>
      </c>
      <c r="F8566" s="128">
        <v>1581768.5</v>
      </c>
      <c r="G8566" s="128">
        <v>1189158.6200000001</v>
      </c>
      <c r="H8566" s="128">
        <v>392610.06</v>
      </c>
      <c r="I8566" s="128">
        <v>25412</v>
      </c>
    </row>
    <row r="8567" spans="1:9" ht="13.5">
      <c r="A8567" s="128">
        <v>2014</v>
      </c>
      <c r="B8567" s="128" t="s">
        <v>137</v>
      </c>
      <c r="C8567" s="128" t="s">
        <v>25</v>
      </c>
      <c r="D8567" s="128" t="s">
        <v>76</v>
      </c>
      <c r="E8567" s="128" t="s">
        <v>132</v>
      </c>
      <c r="F8567" s="128">
        <v>3216261.35</v>
      </c>
      <c r="G8567" s="128">
        <v>2044290.56</v>
      </c>
      <c r="H8567" s="128">
        <v>1171960.53</v>
      </c>
      <c r="I8567" s="128">
        <v>24740</v>
      </c>
    </row>
    <row r="8568" spans="1:9" ht="13.5">
      <c r="A8568" s="128">
        <v>2014</v>
      </c>
      <c r="B8568" s="128" t="s">
        <v>137</v>
      </c>
      <c r="C8568" s="128" t="s">
        <v>25</v>
      </c>
      <c r="D8568" s="128" t="s">
        <v>76</v>
      </c>
      <c r="E8568" s="128" t="s">
        <v>133</v>
      </c>
      <c r="F8568" s="128">
        <v>8384781.54</v>
      </c>
      <c r="G8568" s="128">
        <v>4607179.45</v>
      </c>
      <c r="H8568" s="128">
        <v>3777598.06</v>
      </c>
      <c r="I8568" s="128">
        <v>53525</v>
      </c>
    </row>
    <row r="8569" spans="1:9" ht="13.5">
      <c r="A8569" s="128">
        <v>2014</v>
      </c>
      <c r="B8569" s="128" t="s">
        <v>137</v>
      </c>
      <c r="C8569" s="128" t="s">
        <v>25</v>
      </c>
      <c r="D8569" s="128" t="s">
        <v>76</v>
      </c>
      <c r="E8569" s="128" t="s">
        <v>134</v>
      </c>
      <c r="F8569" s="128">
        <v>9249154.0600000005</v>
      </c>
      <c r="G8569" s="128">
        <v>4221819.72</v>
      </c>
      <c r="H8569" s="128">
        <v>5027334.1100000003</v>
      </c>
      <c r="I8569" s="128">
        <v>46082</v>
      </c>
    </row>
    <row r="8570" spans="1:9" ht="13.5">
      <c r="A8570" s="128">
        <v>2014</v>
      </c>
      <c r="B8570" s="128" t="s">
        <v>137</v>
      </c>
      <c r="C8570" s="128" t="s">
        <v>25</v>
      </c>
      <c r="D8570" s="128" t="s">
        <v>76</v>
      </c>
      <c r="E8570" s="128" t="s">
        <v>135</v>
      </c>
      <c r="F8570" s="128">
        <v>523816.47</v>
      </c>
      <c r="G8570" s="128">
        <v>149663.9</v>
      </c>
      <c r="H8570" s="128">
        <v>374152.97</v>
      </c>
      <c r="I8570" s="128">
        <v>691</v>
      </c>
    </row>
    <row r="8571" spans="1:9" ht="13.5">
      <c r="A8571" s="128">
        <v>2014</v>
      </c>
      <c r="B8571" s="128" t="s">
        <v>137</v>
      </c>
      <c r="C8571" s="128" t="s">
        <v>26</v>
      </c>
      <c r="D8571" s="128" t="s">
        <v>79</v>
      </c>
      <c r="E8571" s="128" t="s">
        <v>136</v>
      </c>
      <c r="F8571" s="128">
        <v>1437794.96</v>
      </c>
      <c r="G8571" s="128">
        <v>1071509.1000000001</v>
      </c>
      <c r="H8571" s="128">
        <v>352082.26</v>
      </c>
      <c r="I8571" s="128">
        <v>13736</v>
      </c>
    </row>
    <row r="8572" spans="1:9" ht="13.5">
      <c r="A8572" s="128">
        <v>2014</v>
      </c>
      <c r="B8572" s="128" t="s">
        <v>137</v>
      </c>
      <c r="C8572" s="128" t="s">
        <v>26</v>
      </c>
      <c r="D8572" s="128" t="s">
        <v>79</v>
      </c>
      <c r="E8572" s="128" t="s">
        <v>132</v>
      </c>
      <c r="F8572" s="128">
        <v>123196.73</v>
      </c>
      <c r="G8572" s="128">
        <v>82896.69</v>
      </c>
      <c r="H8572" s="128">
        <v>30144.15</v>
      </c>
      <c r="I8572" s="128">
        <v>449</v>
      </c>
    </row>
    <row r="8573" spans="1:9" ht="13.5">
      <c r="A8573" s="128">
        <v>2014</v>
      </c>
      <c r="B8573" s="128" t="s">
        <v>137</v>
      </c>
      <c r="C8573" s="128" t="s">
        <v>26</v>
      </c>
      <c r="D8573" s="128" t="s">
        <v>79</v>
      </c>
      <c r="E8573" s="128" t="s">
        <v>133</v>
      </c>
      <c r="F8573" s="128">
        <v>125326.85</v>
      </c>
      <c r="G8573" s="128">
        <v>68186.320000000007</v>
      </c>
      <c r="H8573" s="128">
        <v>25083.18</v>
      </c>
      <c r="I8573" s="128">
        <v>482</v>
      </c>
    </row>
    <row r="8574" spans="1:9" ht="13.5">
      <c r="A8574" s="128">
        <v>2014</v>
      </c>
      <c r="B8574" s="128" t="s">
        <v>137</v>
      </c>
      <c r="C8574" s="128" t="s">
        <v>26</v>
      </c>
      <c r="D8574" s="128" t="s">
        <v>79</v>
      </c>
      <c r="E8574" s="128" t="s">
        <v>134</v>
      </c>
      <c r="F8574" s="128">
        <v>687044.18</v>
      </c>
      <c r="G8574" s="128">
        <v>289901.76</v>
      </c>
      <c r="H8574" s="128">
        <v>101108.55</v>
      </c>
      <c r="I8574" s="128">
        <v>2775</v>
      </c>
    </row>
    <row r="8575" spans="1:9" ht="13.5">
      <c r="A8575" s="128">
        <v>2014</v>
      </c>
      <c r="B8575" s="128" t="s">
        <v>137</v>
      </c>
      <c r="C8575" s="128" t="s">
        <v>26</v>
      </c>
      <c r="D8575" s="128" t="s">
        <v>79</v>
      </c>
      <c r="E8575" s="128" t="s">
        <v>135</v>
      </c>
      <c r="F8575" s="128">
        <v>7877662.6799999997</v>
      </c>
      <c r="G8575" s="128">
        <v>1918860.14</v>
      </c>
      <c r="H8575" s="128">
        <v>643635.94999999995</v>
      </c>
      <c r="I8575" s="128">
        <v>10461</v>
      </c>
    </row>
    <row r="8576" spans="1:9" ht="13.5">
      <c r="A8576" s="128">
        <v>2014</v>
      </c>
      <c r="B8576" s="128" t="s">
        <v>137</v>
      </c>
      <c r="C8576" s="128" t="s">
        <v>26</v>
      </c>
      <c r="D8576" s="128" t="s">
        <v>77</v>
      </c>
      <c r="E8576" s="128" t="s">
        <v>132</v>
      </c>
      <c r="F8576" s="128">
        <v>76714.09</v>
      </c>
      <c r="G8576" s="128">
        <v>49747.9</v>
      </c>
      <c r="H8576" s="128">
        <v>22848.48</v>
      </c>
      <c r="I8576" s="128">
        <v>220</v>
      </c>
    </row>
    <row r="8577" spans="1:9" ht="13.5">
      <c r="A8577" s="128">
        <v>2014</v>
      </c>
      <c r="B8577" s="128" t="s">
        <v>137</v>
      </c>
      <c r="C8577" s="128" t="s">
        <v>26</v>
      </c>
      <c r="D8577" s="128" t="s">
        <v>77</v>
      </c>
      <c r="E8577" s="128" t="s">
        <v>133</v>
      </c>
      <c r="F8577" s="128">
        <v>87137.86</v>
      </c>
      <c r="G8577" s="128">
        <v>48080.95</v>
      </c>
      <c r="H8577" s="128">
        <v>32567.9</v>
      </c>
      <c r="I8577" s="128">
        <v>272</v>
      </c>
    </row>
    <row r="8578" spans="1:9" ht="13.5">
      <c r="A8578" s="128">
        <v>2014</v>
      </c>
      <c r="B8578" s="128" t="s">
        <v>137</v>
      </c>
      <c r="C8578" s="128" t="s">
        <v>26</v>
      </c>
      <c r="D8578" s="128" t="s">
        <v>77</v>
      </c>
      <c r="E8578" s="128" t="s">
        <v>134</v>
      </c>
      <c r="F8578" s="128">
        <v>251625.35</v>
      </c>
      <c r="G8578" s="128">
        <v>108913.12</v>
      </c>
      <c r="H8578" s="128">
        <v>105610.05</v>
      </c>
      <c r="I8578" s="128">
        <v>893</v>
      </c>
    </row>
    <row r="8579" spans="1:9" ht="13.5">
      <c r="A8579" s="128">
        <v>2014</v>
      </c>
      <c r="B8579" s="128" t="s">
        <v>137</v>
      </c>
      <c r="C8579" s="128" t="s">
        <v>26</v>
      </c>
      <c r="D8579" s="128" t="s">
        <v>77</v>
      </c>
      <c r="E8579" s="128" t="s">
        <v>135</v>
      </c>
      <c r="F8579" s="128">
        <v>1569053.49</v>
      </c>
      <c r="G8579" s="128">
        <v>426781.05</v>
      </c>
      <c r="H8579" s="128">
        <v>468138.77</v>
      </c>
      <c r="I8579" s="128">
        <v>5536</v>
      </c>
    </row>
    <row r="8580" spans="1:9" ht="13.5">
      <c r="A8580" s="128">
        <v>2014</v>
      </c>
      <c r="B8580" s="128" t="s">
        <v>137</v>
      </c>
      <c r="C8580" s="128" t="s">
        <v>26</v>
      </c>
      <c r="D8580" s="128" t="s">
        <v>76</v>
      </c>
      <c r="E8580" s="128" t="s">
        <v>136</v>
      </c>
      <c r="F8580" s="128">
        <v>351627.4</v>
      </c>
      <c r="G8580" s="128">
        <v>264077.92</v>
      </c>
      <c r="H8580" s="128">
        <v>87549.01</v>
      </c>
      <c r="I8580" s="128">
        <v>11772</v>
      </c>
    </row>
    <row r="8581" spans="1:9" ht="13.5">
      <c r="A8581" s="128">
        <v>2014</v>
      </c>
      <c r="B8581" s="128" t="s">
        <v>137</v>
      </c>
      <c r="C8581" s="128" t="s">
        <v>26</v>
      </c>
      <c r="D8581" s="128" t="s">
        <v>76</v>
      </c>
      <c r="E8581" s="128" t="s">
        <v>132</v>
      </c>
      <c r="F8581" s="128">
        <v>1299407.3</v>
      </c>
      <c r="G8581" s="128">
        <v>836716.85</v>
      </c>
      <c r="H8581" s="128">
        <v>462664.35</v>
      </c>
      <c r="I8581" s="128">
        <v>14449</v>
      </c>
    </row>
    <row r="8582" spans="1:9" ht="13.5">
      <c r="A8582" s="128">
        <v>2014</v>
      </c>
      <c r="B8582" s="128" t="s">
        <v>137</v>
      </c>
      <c r="C8582" s="128" t="s">
        <v>26</v>
      </c>
      <c r="D8582" s="128" t="s">
        <v>76</v>
      </c>
      <c r="E8582" s="128" t="s">
        <v>133</v>
      </c>
      <c r="F8582" s="128">
        <v>3103276.85</v>
      </c>
      <c r="G8582" s="128">
        <v>1716118.67</v>
      </c>
      <c r="H8582" s="128">
        <v>1387146.49</v>
      </c>
      <c r="I8582" s="128">
        <v>21098</v>
      </c>
    </row>
    <row r="8583" spans="1:9" ht="13.5">
      <c r="A8583" s="128">
        <v>2014</v>
      </c>
      <c r="B8583" s="128" t="s">
        <v>137</v>
      </c>
      <c r="C8583" s="128" t="s">
        <v>26</v>
      </c>
      <c r="D8583" s="128" t="s">
        <v>76</v>
      </c>
      <c r="E8583" s="128" t="s">
        <v>134</v>
      </c>
      <c r="F8583" s="128">
        <v>2584980.37</v>
      </c>
      <c r="G8583" s="128">
        <v>1174939.83</v>
      </c>
      <c r="H8583" s="128">
        <v>1409944.17</v>
      </c>
      <c r="I8583" s="128">
        <v>16808</v>
      </c>
    </row>
    <row r="8584" spans="1:9" ht="13.5">
      <c r="A8584" s="128">
        <v>2014</v>
      </c>
      <c r="B8584" s="128" t="s">
        <v>137</v>
      </c>
      <c r="C8584" s="128" t="s">
        <v>26</v>
      </c>
      <c r="D8584" s="128" t="s">
        <v>76</v>
      </c>
      <c r="E8584" s="128" t="s">
        <v>135</v>
      </c>
      <c r="F8584" s="128">
        <v>426243.62</v>
      </c>
      <c r="G8584" s="128">
        <v>133103</v>
      </c>
      <c r="H8584" s="128">
        <v>293140.62</v>
      </c>
      <c r="I8584" s="128">
        <v>1636</v>
      </c>
    </row>
    <row r="8585" spans="1:9" ht="13.5">
      <c r="A8585" s="128">
        <v>2014</v>
      </c>
      <c r="B8585" s="128" t="s">
        <v>137</v>
      </c>
      <c r="C8585" s="128" t="s">
        <v>27</v>
      </c>
      <c r="D8585" s="128" t="s">
        <v>79</v>
      </c>
      <c r="E8585" s="128" t="s">
        <v>136</v>
      </c>
      <c r="F8585" s="128">
        <v>304106</v>
      </c>
      <c r="G8585" s="128">
        <v>226893.97</v>
      </c>
      <c r="H8585" s="128">
        <v>75290.63</v>
      </c>
      <c r="I8585" s="128">
        <v>957</v>
      </c>
    </row>
    <row r="8586" spans="1:9" ht="13.5">
      <c r="A8586" s="128">
        <v>2014</v>
      </c>
      <c r="B8586" s="128" t="s">
        <v>137</v>
      </c>
      <c r="C8586" s="128" t="s">
        <v>27</v>
      </c>
      <c r="D8586" s="128" t="s">
        <v>79</v>
      </c>
      <c r="E8586" s="128" t="s">
        <v>132</v>
      </c>
      <c r="F8586" s="128">
        <v>26856.7</v>
      </c>
      <c r="G8586" s="128">
        <v>17270.04</v>
      </c>
      <c r="H8586" s="128">
        <v>6933.72</v>
      </c>
      <c r="I8586" s="128">
        <v>202</v>
      </c>
    </row>
    <row r="8587" spans="1:9" ht="13.5">
      <c r="A8587" s="128">
        <v>2014</v>
      </c>
      <c r="B8587" s="128" t="s">
        <v>137</v>
      </c>
      <c r="C8587" s="128" t="s">
        <v>27</v>
      </c>
      <c r="D8587" s="128" t="s">
        <v>79</v>
      </c>
      <c r="E8587" s="128" t="s">
        <v>133</v>
      </c>
      <c r="F8587" s="128">
        <v>55262.57</v>
      </c>
      <c r="G8587" s="128">
        <v>29691.19</v>
      </c>
      <c r="H8587" s="128">
        <v>14414.25</v>
      </c>
      <c r="I8587" s="128">
        <v>321</v>
      </c>
    </row>
    <row r="8588" spans="1:9" ht="13.5">
      <c r="A8588" s="128">
        <v>2014</v>
      </c>
      <c r="B8588" s="128" t="s">
        <v>137</v>
      </c>
      <c r="C8588" s="128" t="s">
        <v>27</v>
      </c>
      <c r="D8588" s="128" t="s">
        <v>79</v>
      </c>
      <c r="E8588" s="128" t="s">
        <v>134</v>
      </c>
      <c r="F8588" s="128">
        <v>141639.24</v>
      </c>
      <c r="G8588" s="128">
        <v>59466.59</v>
      </c>
      <c r="H8588" s="128">
        <v>26164.400000000001</v>
      </c>
      <c r="I8588" s="128">
        <v>480</v>
      </c>
    </row>
    <row r="8589" spans="1:9" ht="13.5">
      <c r="A8589" s="128">
        <v>2014</v>
      </c>
      <c r="B8589" s="128" t="s">
        <v>137</v>
      </c>
      <c r="C8589" s="128" t="s">
        <v>27</v>
      </c>
      <c r="D8589" s="128" t="s">
        <v>79</v>
      </c>
      <c r="E8589" s="128" t="s">
        <v>135</v>
      </c>
      <c r="F8589" s="128">
        <v>1374039.06</v>
      </c>
      <c r="G8589" s="128">
        <v>357321.22</v>
      </c>
      <c r="H8589" s="128">
        <v>120035.95</v>
      </c>
      <c r="I8589" s="128">
        <v>1887</v>
      </c>
    </row>
    <row r="8590" spans="1:9" ht="13.5">
      <c r="A8590" s="128">
        <v>2014</v>
      </c>
      <c r="B8590" s="128" t="s">
        <v>137</v>
      </c>
      <c r="C8590" s="128" t="s">
        <v>27</v>
      </c>
      <c r="D8590" s="128" t="s">
        <v>77</v>
      </c>
      <c r="E8590" s="128" t="s">
        <v>132</v>
      </c>
      <c r="F8590" s="128">
        <v>21638.38</v>
      </c>
      <c r="G8590" s="128">
        <v>14696.2</v>
      </c>
      <c r="H8590" s="128">
        <v>5736.08</v>
      </c>
      <c r="I8590" s="128">
        <v>91</v>
      </c>
    </row>
    <row r="8591" spans="1:9" ht="13.5">
      <c r="A8591" s="128">
        <v>2014</v>
      </c>
      <c r="B8591" s="128" t="s">
        <v>137</v>
      </c>
      <c r="C8591" s="128" t="s">
        <v>27</v>
      </c>
      <c r="D8591" s="128" t="s">
        <v>77</v>
      </c>
      <c r="E8591" s="128" t="s">
        <v>133</v>
      </c>
      <c r="F8591" s="128">
        <v>29168.35</v>
      </c>
      <c r="G8591" s="128">
        <v>15810.89</v>
      </c>
      <c r="H8591" s="128">
        <v>11572.85</v>
      </c>
      <c r="I8591" s="128">
        <v>99</v>
      </c>
    </row>
    <row r="8592" spans="1:9" ht="13.5">
      <c r="A8592" s="128">
        <v>2014</v>
      </c>
      <c r="B8592" s="128" t="s">
        <v>137</v>
      </c>
      <c r="C8592" s="128" t="s">
        <v>27</v>
      </c>
      <c r="D8592" s="128" t="s">
        <v>77</v>
      </c>
      <c r="E8592" s="128" t="s">
        <v>134</v>
      </c>
      <c r="F8592" s="128">
        <v>229025.05</v>
      </c>
      <c r="G8592" s="128">
        <v>98243.15</v>
      </c>
      <c r="H8592" s="128">
        <v>95060.36</v>
      </c>
      <c r="I8592" s="128">
        <v>363</v>
      </c>
    </row>
    <row r="8593" spans="1:9" ht="13.5">
      <c r="A8593" s="128">
        <v>2014</v>
      </c>
      <c r="B8593" s="128" t="s">
        <v>137</v>
      </c>
      <c r="C8593" s="128" t="s">
        <v>27</v>
      </c>
      <c r="D8593" s="128" t="s">
        <v>77</v>
      </c>
      <c r="E8593" s="128" t="s">
        <v>135</v>
      </c>
      <c r="F8593" s="128">
        <v>384397.49</v>
      </c>
      <c r="G8593" s="128">
        <v>99269.15</v>
      </c>
      <c r="H8593" s="128">
        <v>116252.26</v>
      </c>
      <c r="I8593" s="128">
        <v>1366</v>
      </c>
    </row>
    <row r="8594" spans="1:9" ht="13.5">
      <c r="A8594" s="128">
        <v>2014</v>
      </c>
      <c r="B8594" s="128" t="s">
        <v>137</v>
      </c>
      <c r="C8594" s="128" t="s">
        <v>27</v>
      </c>
      <c r="D8594" s="128" t="s">
        <v>76</v>
      </c>
      <c r="E8594" s="128" t="s">
        <v>136</v>
      </c>
      <c r="F8594" s="128">
        <v>127674.37</v>
      </c>
      <c r="G8594" s="128">
        <v>95869.04</v>
      </c>
      <c r="H8594" s="128">
        <v>31805.33</v>
      </c>
      <c r="I8594" s="128">
        <v>1519</v>
      </c>
    </row>
    <row r="8595" spans="1:9" ht="13.5">
      <c r="A8595" s="128">
        <v>2014</v>
      </c>
      <c r="B8595" s="128" t="s">
        <v>137</v>
      </c>
      <c r="C8595" s="128" t="s">
        <v>27</v>
      </c>
      <c r="D8595" s="128" t="s">
        <v>76</v>
      </c>
      <c r="E8595" s="128" t="s">
        <v>132</v>
      </c>
      <c r="F8595" s="128">
        <v>479529.86</v>
      </c>
      <c r="G8595" s="128">
        <v>307020.59000000003</v>
      </c>
      <c r="H8595" s="128">
        <v>172507.89</v>
      </c>
      <c r="I8595" s="128">
        <v>3674</v>
      </c>
    </row>
    <row r="8596" spans="1:9" ht="13.5">
      <c r="A8596" s="128">
        <v>2014</v>
      </c>
      <c r="B8596" s="128" t="s">
        <v>137</v>
      </c>
      <c r="C8596" s="128" t="s">
        <v>27</v>
      </c>
      <c r="D8596" s="128" t="s">
        <v>76</v>
      </c>
      <c r="E8596" s="128" t="s">
        <v>133</v>
      </c>
      <c r="F8596" s="128">
        <v>1120690.49</v>
      </c>
      <c r="G8596" s="128">
        <v>619496.31000000006</v>
      </c>
      <c r="H8596" s="128">
        <v>501191.04</v>
      </c>
      <c r="I8596" s="128">
        <v>9631</v>
      </c>
    </row>
    <row r="8597" spans="1:9" ht="13.5">
      <c r="A8597" s="128">
        <v>2014</v>
      </c>
      <c r="B8597" s="128" t="s">
        <v>137</v>
      </c>
      <c r="C8597" s="128" t="s">
        <v>27</v>
      </c>
      <c r="D8597" s="128" t="s">
        <v>76</v>
      </c>
      <c r="E8597" s="128" t="s">
        <v>134</v>
      </c>
      <c r="F8597" s="128">
        <v>1360706.76</v>
      </c>
      <c r="G8597" s="128">
        <v>624045.6</v>
      </c>
      <c r="H8597" s="128">
        <v>736651.7</v>
      </c>
      <c r="I8597" s="128">
        <v>6377</v>
      </c>
    </row>
    <row r="8598" spans="1:9" ht="13.5">
      <c r="A8598" s="128">
        <v>2014</v>
      </c>
      <c r="B8598" s="128" t="s">
        <v>137</v>
      </c>
      <c r="C8598" s="128" t="s">
        <v>27</v>
      </c>
      <c r="D8598" s="128" t="s">
        <v>76</v>
      </c>
      <c r="E8598" s="128" t="s">
        <v>135</v>
      </c>
      <c r="F8598" s="128">
        <v>45499.98</v>
      </c>
      <c r="G8598" s="128">
        <v>13706.15</v>
      </c>
      <c r="H8598" s="128">
        <v>31793.83</v>
      </c>
      <c r="I8598" s="128">
        <v>118</v>
      </c>
    </row>
    <row r="8599" spans="1:9" ht="13.5">
      <c r="A8599" s="128">
        <v>2015</v>
      </c>
      <c r="B8599" s="128" t="s">
        <v>131</v>
      </c>
      <c r="C8599" s="128" t="s">
        <v>20</v>
      </c>
      <c r="D8599" s="128" t="s">
        <v>79</v>
      </c>
      <c r="E8599" s="128" t="s">
        <v>136</v>
      </c>
      <c r="F8599" s="128">
        <v>37542093.990000002</v>
      </c>
      <c r="G8599" s="128">
        <v>28314945.649999999</v>
      </c>
      <c r="H8599" s="128">
        <v>9226093.4100000001</v>
      </c>
      <c r="I8599" s="128">
        <v>584443</v>
      </c>
    </row>
    <row r="8600" spans="1:9" ht="13.5">
      <c r="A8600" s="128">
        <v>2015</v>
      </c>
      <c r="B8600" s="128" t="s">
        <v>131</v>
      </c>
      <c r="C8600" s="128" t="s">
        <v>20</v>
      </c>
      <c r="D8600" s="128" t="s">
        <v>79</v>
      </c>
      <c r="E8600" s="128" t="s">
        <v>132</v>
      </c>
      <c r="F8600" s="128">
        <v>5112307.7</v>
      </c>
      <c r="G8600" s="128">
        <v>3389553.71</v>
      </c>
      <c r="H8600" s="128">
        <v>1367739.61</v>
      </c>
      <c r="I8600" s="128">
        <v>27877</v>
      </c>
    </row>
    <row r="8601" spans="1:9" ht="13.5">
      <c r="A8601" s="128">
        <v>2015</v>
      </c>
      <c r="B8601" s="128" t="s">
        <v>131</v>
      </c>
      <c r="C8601" s="128" t="s">
        <v>20</v>
      </c>
      <c r="D8601" s="128" t="s">
        <v>79</v>
      </c>
      <c r="E8601" s="128" t="s">
        <v>133</v>
      </c>
      <c r="F8601" s="128">
        <v>4428846.54</v>
      </c>
      <c r="G8601" s="128">
        <v>2397882.7200000002</v>
      </c>
      <c r="H8601" s="128">
        <v>1460903.4</v>
      </c>
      <c r="I8601" s="128">
        <v>33008</v>
      </c>
    </row>
    <row r="8602" spans="1:9" ht="13.5">
      <c r="A8602" s="128">
        <v>2015</v>
      </c>
      <c r="B8602" s="128" t="s">
        <v>131</v>
      </c>
      <c r="C8602" s="128" t="s">
        <v>20</v>
      </c>
      <c r="D8602" s="128" t="s">
        <v>79</v>
      </c>
      <c r="E8602" s="128" t="s">
        <v>134</v>
      </c>
      <c r="F8602" s="128">
        <v>11933582.57</v>
      </c>
      <c r="G8602" s="128">
        <v>5170315.1900000004</v>
      </c>
      <c r="H8602" s="128">
        <v>3113307.08</v>
      </c>
      <c r="I8602" s="128">
        <v>52747</v>
      </c>
    </row>
    <row r="8603" spans="1:9" ht="13.5">
      <c r="A8603" s="128">
        <v>2015</v>
      </c>
      <c r="B8603" s="128" t="s">
        <v>131</v>
      </c>
      <c r="C8603" s="128" t="s">
        <v>20</v>
      </c>
      <c r="D8603" s="128" t="s">
        <v>79</v>
      </c>
      <c r="E8603" s="128" t="s">
        <v>135</v>
      </c>
      <c r="F8603" s="128">
        <v>93332461.629999995</v>
      </c>
      <c r="G8603" s="128">
        <v>21695048</v>
      </c>
      <c r="H8603" s="128">
        <v>7582852.0999999996</v>
      </c>
      <c r="I8603" s="128">
        <v>109720</v>
      </c>
    </row>
    <row r="8604" spans="1:9" ht="13.5">
      <c r="A8604" s="128">
        <v>2015</v>
      </c>
      <c r="B8604" s="128" t="s">
        <v>131</v>
      </c>
      <c r="C8604" s="128" t="s">
        <v>20</v>
      </c>
      <c r="D8604" s="128" t="s">
        <v>77</v>
      </c>
      <c r="E8604" s="128" t="s">
        <v>132</v>
      </c>
      <c r="F8604" s="128">
        <v>2973850.92</v>
      </c>
      <c r="G8604" s="128">
        <v>1907355.37</v>
      </c>
      <c r="H8604" s="128">
        <v>964244.76</v>
      </c>
      <c r="I8604" s="128">
        <v>15437</v>
      </c>
    </row>
    <row r="8605" spans="1:9" ht="13.5">
      <c r="A8605" s="128">
        <v>2015</v>
      </c>
      <c r="B8605" s="128" t="s">
        <v>131</v>
      </c>
      <c r="C8605" s="128" t="s">
        <v>20</v>
      </c>
      <c r="D8605" s="128" t="s">
        <v>77</v>
      </c>
      <c r="E8605" s="128" t="s">
        <v>133</v>
      </c>
      <c r="F8605" s="128">
        <v>5624269.1299999999</v>
      </c>
      <c r="G8605" s="128">
        <v>3069549.29</v>
      </c>
      <c r="H8605" s="128">
        <v>2257339.8199999998</v>
      </c>
      <c r="I8605" s="128">
        <v>18789</v>
      </c>
    </row>
    <row r="8606" spans="1:9" ht="13.5">
      <c r="A8606" s="128">
        <v>2015</v>
      </c>
      <c r="B8606" s="128" t="s">
        <v>131</v>
      </c>
      <c r="C8606" s="128" t="s">
        <v>20</v>
      </c>
      <c r="D8606" s="128" t="s">
        <v>77</v>
      </c>
      <c r="E8606" s="128" t="s">
        <v>134</v>
      </c>
      <c r="F8606" s="128">
        <v>13435718.4</v>
      </c>
      <c r="G8606" s="128">
        <v>5865055.0199999996</v>
      </c>
      <c r="H8606" s="128">
        <v>5978018.7699999996</v>
      </c>
      <c r="I8606" s="128">
        <v>32700</v>
      </c>
    </row>
    <row r="8607" spans="1:9" ht="13.5">
      <c r="A8607" s="128">
        <v>2015</v>
      </c>
      <c r="B8607" s="128" t="s">
        <v>131</v>
      </c>
      <c r="C8607" s="128" t="s">
        <v>20</v>
      </c>
      <c r="D8607" s="128" t="s">
        <v>77</v>
      </c>
      <c r="E8607" s="128" t="s">
        <v>135</v>
      </c>
      <c r="F8607" s="128">
        <v>29062236.359999999</v>
      </c>
      <c r="G8607" s="128">
        <v>7870929.1500000004</v>
      </c>
      <c r="H8607" s="128">
        <v>9333025.5</v>
      </c>
      <c r="I8607" s="128">
        <v>111959</v>
      </c>
    </row>
    <row r="8608" spans="1:9" ht="13.5">
      <c r="A8608" s="128">
        <v>2015</v>
      </c>
      <c r="B8608" s="128" t="s">
        <v>131</v>
      </c>
      <c r="C8608" s="128" t="s">
        <v>20</v>
      </c>
      <c r="D8608" s="128" t="s">
        <v>76</v>
      </c>
      <c r="E8608" s="128" t="s">
        <v>136</v>
      </c>
      <c r="F8608" s="128">
        <v>18087146.260000002</v>
      </c>
      <c r="G8608" s="128">
        <v>13586969.15</v>
      </c>
      <c r="H8608" s="128">
        <v>4500201.13</v>
      </c>
      <c r="I8608" s="128">
        <v>480652</v>
      </c>
    </row>
    <row r="8609" spans="1:9" ht="13.5">
      <c r="A8609" s="128">
        <v>2015</v>
      </c>
      <c r="B8609" s="128" t="s">
        <v>131</v>
      </c>
      <c r="C8609" s="128" t="s">
        <v>20</v>
      </c>
      <c r="D8609" s="128" t="s">
        <v>76</v>
      </c>
      <c r="E8609" s="128" t="s">
        <v>132</v>
      </c>
      <c r="F8609" s="128">
        <v>47316348.149999999</v>
      </c>
      <c r="G8609" s="128">
        <v>30035126.879999999</v>
      </c>
      <c r="H8609" s="128">
        <v>17281172.719999999</v>
      </c>
      <c r="I8609" s="128">
        <v>487609</v>
      </c>
    </row>
    <row r="8610" spans="1:9" ht="13.5">
      <c r="A8610" s="128">
        <v>2015</v>
      </c>
      <c r="B8610" s="128" t="s">
        <v>131</v>
      </c>
      <c r="C8610" s="128" t="s">
        <v>20</v>
      </c>
      <c r="D8610" s="128" t="s">
        <v>76</v>
      </c>
      <c r="E8610" s="128" t="s">
        <v>133</v>
      </c>
      <c r="F8610" s="128">
        <v>86771217.769999996</v>
      </c>
      <c r="G8610" s="128">
        <v>47583337.060000002</v>
      </c>
      <c r="H8610" s="128">
        <v>39187859.909999996</v>
      </c>
      <c r="I8610" s="128">
        <v>531983</v>
      </c>
    </row>
    <row r="8611" spans="1:9" ht="13.5">
      <c r="A8611" s="128">
        <v>2015</v>
      </c>
      <c r="B8611" s="128" t="s">
        <v>131</v>
      </c>
      <c r="C8611" s="128" t="s">
        <v>20</v>
      </c>
      <c r="D8611" s="128" t="s">
        <v>76</v>
      </c>
      <c r="E8611" s="128" t="s">
        <v>134</v>
      </c>
      <c r="F8611" s="128">
        <v>96827071.390000001</v>
      </c>
      <c r="G8611" s="128">
        <v>44277506.729999997</v>
      </c>
      <c r="H8611" s="128">
        <v>52549506.859999999</v>
      </c>
      <c r="I8611" s="128">
        <v>522121</v>
      </c>
    </row>
    <row r="8612" spans="1:9" ht="13.5">
      <c r="A8612" s="128">
        <v>2015</v>
      </c>
      <c r="B8612" s="128" t="s">
        <v>131</v>
      </c>
      <c r="C8612" s="128" t="s">
        <v>20</v>
      </c>
      <c r="D8612" s="128" t="s">
        <v>76</v>
      </c>
      <c r="E8612" s="128" t="s">
        <v>135</v>
      </c>
      <c r="F8612" s="128">
        <v>7158889.9800000004</v>
      </c>
      <c r="G8612" s="128">
        <v>2100040.81</v>
      </c>
      <c r="H8612" s="128">
        <v>5058849.17</v>
      </c>
      <c r="I8612" s="128">
        <v>16206</v>
      </c>
    </row>
    <row r="8613" spans="1:9" ht="13.5">
      <c r="A8613" s="128">
        <v>2015</v>
      </c>
      <c r="B8613" s="128" t="s">
        <v>131</v>
      </c>
      <c r="C8613" s="128" t="s">
        <v>21</v>
      </c>
      <c r="D8613" s="128" t="s">
        <v>79</v>
      </c>
      <c r="E8613" s="128" t="s">
        <v>136</v>
      </c>
      <c r="F8613" s="128">
        <v>9930991.0500000007</v>
      </c>
      <c r="G8613" s="128">
        <v>7451743.3600000003</v>
      </c>
      <c r="H8613" s="128">
        <v>2473206.0499999998</v>
      </c>
      <c r="I8613" s="128">
        <v>210053</v>
      </c>
    </row>
    <row r="8614" spans="1:9" ht="13.5">
      <c r="A8614" s="128">
        <v>2015</v>
      </c>
      <c r="B8614" s="128" t="s">
        <v>131</v>
      </c>
      <c r="C8614" s="128" t="s">
        <v>21</v>
      </c>
      <c r="D8614" s="128" t="s">
        <v>79</v>
      </c>
      <c r="E8614" s="128" t="s">
        <v>132</v>
      </c>
      <c r="F8614" s="128">
        <v>2005515.2</v>
      </c>
      <c r="G8614" s="128">
        <v>1306627.18</v>
      </c>
      <c r="H8614" s="128">
        <v>511641.62</v>
      </c>
      <c r="I8614" s="128">
        <v>9782</v>
      </c>
    </row>
    <row r="8615" spans="1:9" ht="13.5">
      <c r="A8615" s="128">
        <v>2015</v>
      </c>
      <c r="B8615" s="128" t="s">
        <v>131</v>
      </c>
      <c r="C8615" s="128" t="s">
        <v>21</v>
      </c>
      <c r="D8615" s="128" t="s">
        <v>79</v>
      </c>
      <c r="E8615" s="128" t="s">
        <v>133</v>
      </c>
      <c r="F8615" s="128">
        <v>4441742.91</v>
      </c>
      <c r="G8615" s="128">
        <v>2402877.65</v>
      </c>
      <c r="H8615" s="128">
        <v>1573151.22</v>
      </c>
      <c r="I8615" s="128">
        <v>53650</v>
      </c>
    </row>
    <row r="8616" spans="1:9" ht="13.5">
      <c r="A8616" s="128">
        <v>2015</v>
      </c>
      <c r="B8616" s="128" t="s">
        <v>131</v>
      </c>
      <c r="C8616" s="128" t="s">
        <v>21</v>
      </c>
      <c r="D8616" s="128" t="s">
        <v>79</v>
      </c>
      <c r="E8616" s="128" t="s">
        <v>134</v>
      </c>
      <c r="F8616" s="128">
        <v>7236831.7199999997</v>
      </c>
      <c r="G8616" s="128">
        <v>3101690.53</v>
      </c>
      <c r="H8616" s="128">
        <v>2587884.94</v>
      </c>
      <c r="I8616" s="128">
        <v>37335</v>
      </c>
    </row>
    <row r="8617" spans="1:9" ht="13.5">
      <c r="A8617" s="128">
        <v>2015</v>
      </c>
      <c r="B8617" s="128" t="s">
        <v>131</v>
      </c>
      <c r="C8617" s="128" t="s">
        <v>21</v>
      </c>
      <c r="D8617" s="128" t="s">
        <v>79</v>
      </c>
      <c r="E8617" s="128" t="s">
        <v>135</v>
      </c>
      <c r="F8617" s="128">
        <v>25785952.670000002</v>
      </c>
      <c r="G8617" s="128">
        <v>6350002.9800000004</v>
      </c>
      <c r="H8617" s="128">
        <v>2536476.7400000002</v>
      </c>
      <c r="I8617" s="128">
        <v>52084</v>
      </c>
    </row>
    <row r="8618" spans="1:9" ht="13.5">
      <c r="A8618" s="128">
        <v>2015</v>
      </c>
      <c r="B8618" s="128" t="s">
        <v>131</v>
      </c>
      <c r="C8618" s="128" t="s">
        <v>21</v>
      </c>
      <c r="D8618" s="128" t="s">
        <v>77</v>
      </c>
      <c r="E8618" s="128" t="s">
        <v>132</v>
      </c>
      <c r="F8618" s="128">
        <v>3203317.34</v>
      </c>
      <c r="G8618" s="128">
        <v>2118071.9</v>
      </c>
      <c r="H8618" s="128">
        <v>970023.85</v>
      </c>
      <c r="I8618" s="128">
        <v>19987</v>
      </c>
    </row>
    <row r="8619" spans="1:9" ht="13.5">
      <c r="A8619" s="128">
        <v>2015</v>
      </c>
      <c r="B8619" s="128" t="s">
        <v>131</v>
      </c>
      <c r="C8619" s="128" t="s">
        <v>21</v>
      </c>
      <c r="D8619" s="128" t="s">
        <v>77</v>
      </c>
      <c r="E8619" s="128" t="s">
        <v>133</v>
      </c>
      <c r="F8619" s="128">
        <v>6339069.5800000001</v>
      </c>
      <c r="G8619" s="128">
        <v>3463985.32</v>
      </c>
      <c r="H8619" s="128">
        <v>2355886.4500000002</v>
      </c>
      <c r="I8619" s="128">
        <v>23550</v>
      </c>
    </row>
    <row r="8620" spans="1:9" ht="13.5">
      <c r="A8620" s="128">
        <v>2015</v>
      </c>
      <c r="B8620" s="128" t="s">
        <v>131</v>
      </c>
      <c r="C8620" s="128" t="s">
        <v>21</v>
      </c>
      <c r="D8620" s="128" t="s">
        <v>77</v>
      </c>
      <c r="E8620" s="128" t="s">
        <v>134</v>
      </c>
      <c r="F8620" s="128">
        <v>12319552.98</v>
      </c>
      <c r="G8620" s="128">
        <v>5344342.96</v>
      </c>
      <c r="H8620" s="128">
        <v>5012657.67</v>
      </c>
      <c r="I8620" s="128">
        <v>31783</v>
      </c>
    </row>
    <row r="8621" spans="1:9" ht="13.5">
      <c r="A8621" s="128">
        <v>2015</v>
      </c>
      <c r="B8621" s="128" t="s">
        <v>131</v>
      </c>
      <c r="C8621" s="128" t="s">
        <v>21</v>
      </c>
      <c r="D8621" s="128" t="s">
        <v>77</v>
      </c>
      <c r="E8621" s="128" t="s">
        <v>135</v>
      </c>
      <c r="F8621" s="128">
        <v>23781334.059999999</v>
      </c>
      <c r="G8621" s="128">
        <v>6921648</v>
      </c>
      <c r="H8621" s="128">
        <v>7915045.8099999996</v>
      </c>
      <c r="I8621" s="128">
        <v>98293</v>
      </c>
    </row>
    <row r="8622" spans="1:9" ht="13.5">
      <c r="A8622" s="128">
        <v>2015</v>
      </c>
      <c r="B8622" s="128" t="s">
        <v>131</v>
      </c>
      <c r="C8622" s="128" t="s">
        <v>21</v>
      </c>
      <c r="D8622" s="128" t="s">
        <v>76</v>
      </c>
      <c r="E8622" s="128" t="s">
        <v>136</v>
      </c>
      <c r="F8622" s="128">
        <v>16599729.59</v>
      </c>
      <c r="G8622" s="128">
        <v>12476867.869999999</v>
      </c>
      <c r="H8622" s="128">
        <v>4122865.22</v>
      </c>
      <c r="I8622" s="128">
        <v>272950</v>
      </c>
    </row>
    <row r="8623" spans="1:9" ht="13.5">
      <c r="A8623" s="128">
        <v>2015</v>
      </c>
      <c r="B8623" s="128" t="s">
        <v>131</v>
      </c>
      <c r="C8623" s="128" t="s">
        <v>21</v>
      </c>
      <c r="D8623" s="128" t="s">
        <v>76</v>
      </c>
      <c r="E8623" s="128" t="s">
        <v>132</v>
      </c>
      <c r="F8623" s="128">
        <v>42331133.039999999</v>
      </c>
      <c r="G8623" s="128">
        <v>26878574.289999999</v>
      </c>
      <c r="H8623" s="128">
        <v>15452502.1</v>
      </c>
      <c r="I8623" s="128">
        <v>356470</v>
      </c>
    </row>
    <row r="8624" spans="1:9" ht="13.5">
      <c r="A8624" s="128">
        <v>2015</v>
      </c>
      <c r="B8624" s="128" t="s">
        <v>131</v>
      </c>
      <c r="C8624" s="128" t="s">
        <v>21</v>
      </c>
      <c r="D8624" s="128" t="s">
        <v>76</v>
      </c>
      <c r="E8624" s="128" t="s">
        <v>133</v>
      </c>
      <c r="F8624" s="128">
        <v>95986626.640000001</v>
      </c>
      <c r="G8624" s="128">
        <v>52621274.729999997</v>
      </c>
      <c r="H8624" s="128">
        <v>43365318.280000001</v>
      </c>
      <c r="I8624" s="128">
        <v>644044</v>
      </c>
    </row>
    <row r="8625" spans="1:9" ht="13.5">
      <c r="A8625" s="128">
        <v>2015</v>
      </c>
      <c r="B8625" s="128" t="s">
        <v>131</v>
      </c>
      <c r="C8625" s="128" t="s">
        <v>21</v>
      </c>
      <c r="D8625" s="128" t="s">
        <v>76</v>
      </c>
      <c r="E8625" s="128" t="s">
        <v>134</v>
      </c>
      <c r="F8625" s="128">
        <v>99256959.819999993</v>
      </c>
      <c r="G8625" s="128">
        <v>44455213.969999999</v>
      </c>
      <c r="H8625" s="128">
        <v>54801670.93</v>
      </c>
      <c r="I8625" s="128">
        <v>513653</v>
      </c>
    </row>
    <row r="8626" spans="1:9" ht="13.5">
      <c r="A8626" s="128">
        <v>2015</v>
      </c>
      <c r="B8626" s="128" t="s">
        <v>131</v>
      </c>
      <c r="C8626" s="128" t="s">
        <v>21</v>
      </c>
      <c r="D8626" s="128" t="s">
        <v>76</v>
      </c>
      <c r="E8626" s="128" t="s">
        <v>135</v>
      </c>
      <c r="F8626" s="128">
        <v>3449857.01</v>
      </c>
      <c r="G8626" s="128">
        <v>888074.86</v>
      </c>
      <c r="H8626" s="128">
        <v>2561782.15</v>
      </c>
      <c r="I8626" s="128">
        <v>4079</v>
      </c>
    </row>
    <row r="8627" spans="1:9" ht="13.5">
      <c r="A8627" s="128">
        <v>2015</v>
      </c>
      <c r="B8627" s="128" t="s">
        <v>131</v>
      </c>
      <c r="C8627" s="128" t="s">
        <v>22</v>
      </c>
      <c r="D8627" s="128" t="s">
        <v>79</v>
      </c>
      <c r="E8627" s="128" t="s">
        <v>136</v>
      </c>
      <c r="F8627" s="128">
        <v>7230880.5300000003</v>
      </c>
      <c r="G8627" s="128">
        <v>5424253.0599999996</v>
      </c>
      <c r="H8627" s="128">
        <v>1792528.46</v>
      </c>
      <c r="I8627" s="128">
        <v>98303</v>
      </c>
    </row>
    <row r="8628" spans="1:9" ht="13.5">
      <c r="A8628" s="128">
        <v>2015</v>
      </c>
      <c r="B8628" s="128" t="s">
        <v>131</v>
      </c>
      <c r="C8628" s="128" t="s">
        <v>22</v>
      </c>
      <c r="D8628" s="128" t="s">
        <v>79</v>
      </c>
      <c r="E8628" s="128" t="s">
        <v>132</v>
      </c>
      <c r="F8628" s="128">
        <v>5679011.2999999998</v>
      </c>
      <c r="G8628" s="128">
        <v>3702688</v>
      </c>
      <c r="H8628" s="128">
        <v>1656144.81</v>
      </c>
      <c r="I8628" s="128">
        <v>49392</v>
      </c>
    </row>
    <row r="8629" spans="1:9" ht="13.5">
      <c r="A8629" s="128">
        <v>2015</v>
      </c>
      <c r="B8629" s="128" t="s">
        <v>131</v>
      </c>
      <c r="C8629" s="128" t="s">
        <v>22</v>
      </c>
      <c r="D8629" s="128" t="s">
        <v>79</v>
      </c>
      <c r="E8629" s="128" t="s">
        <v>133</v>
      </c>
      <c r="F8629" s="128">
        <v>4538913.84</v>
      </c>
      <c r="G8629" s="128">
        <v>2417182.86</v>
      </c>
      <c r="H8629" s="128">
        <v>1453433.18</v>
      </c>
      <c r="I8629" s="128">
        <v>44623</v>
      </c>
    </row>
    <row r="8630" spans="1:9" ht="13.5">
      <c r="A8630" s="128">
        <v>2015</v>
      </c>
      <c r="B8630" s="128" t="s">
        <v>131</v>
      </c>
      <c r="C8630" s="128" t="s">
        <v>22</v>
      </c>
      <c r="D8630" s="128" t="s">
        <v>79</v>
      </c>
      <c r="E8630" s="128" t="s">
        <v>134</v>
      </c>
      <c r="F8630" s="128">
        <v>10731616.18</v>
      </c>
      <c r="G8630" s="128">
        <v>4700412.93</v>
      </c>
      <c r="H8630" s="128">
        <v>3905040.85</v>
      </c>
      <c r="I8630" s="128">
        <v>56059</v>
      </c>
    </row>
    <row r="8631" spans="1:9" ht="13.5">
      <c r="A8631" s="128">
        <v>2015</v>
      </c>
      <c r="B8631" s="128" t="s">
        <v>131</v>
      </c>
      <c r="C8631" s="128" t="s">
        <v>22</v>
      </c>
      <c r="D8631" s="128" t="s">
        <v>79</v>
      </c>
      <c r="E8631" s="128" t="s">
        <v>135</v>
      </c>
      <c r="F8631" s="128">
        <v>42625472.850000001</v>
      </c>
      <c r="G8631" s="128">
        <v>10517643.1</v>
      </c>
      <c r="H8631" s="128">
        <v>3820614.97</v>
      </c>
      <c r="I8631" s="128">
        <v>52103</v>
      </c>
    </row>
    <row r="8632" spans="1:9" ht="13.5">
      <c r="A8632" s="128">
        <v>2015</v>
      </c>
      <c r="B8632" s="128" t="s">
        <v>131</v>
      </c>
      <c r="C8632" s="128" t="s">
        <v>22</v>
      </c>
      <c r="D8632" s="128" t="s">
        <v>77</v>
      </c>
      <c r="E8632" s="128" t="s">
        <v>132</v>
      </c>
      <c r="F8632" s="128">
        <v>1440227.43</v>
      </c>
      <c r="G8632" s="128">
        <v>924810.59</v>
      </c>
      <c r="H8632" s="128">
        <v>451068.55</v>
      </c>
      <c r="I8632" s="128">
        <v>6906</v>
      </c>
    </row>
    <row r="8633" spans="1:9" ht="13.5">
      <c r="A8633" s="128">
        <v>2015</v>
      </c>
      <c r="B8633" s="128" t="s">
        <v>131</v>
      </c>
      <c r="C8633" s="128" t="s">
        <v>22</v>
      </c>
      <c r="D8633" s="128" t="s">
        <v>77</v>
      </c>
      <c r="E8633" s="128" t="s">
        <v>133</v>
      </c>
      <c r="F8633" s="128">
        <v>2760782.98</v>
      </c>
      <c r="G8633" s="128">
        <v>1495382.39</v>
      </c>
      <c r="H8633" s="128">
        <v>1078899.1399999999</v>
      </c>
      <c r="I8633" s="128">
        <v>11782</v>
      </c>
    </row>
    <row r="8634" spans="1:9" ht="13.5">
      <c r="A8634" s="128">
        <v>2015</v>
      </c>
      <c r="B8634" s="128" t="s">
        <v>131</v>
      </c>
      <c r="C8634" s="128" t="s">
        <v>22</v>
      </c>
      <c r="D8634" s="128" t="s">
        <v>77</v>
      </c>
      <c r="E8634" s="128" t="s">
        <v>134</v>
      </c>
      <c r="F8634" s="128">
        <v>8929320.0999999996</v>
      </c>
      <c r="G8634" s="128">
        <v>3806702.4</v>
      </c>
      <c r="H8634" s="128">
        <v>3761390.18</v>
      </c>
      <c r="I8634" s="128">
        <v>16339</v>
      </c>
    </row>
    <row r="8635" spans="1:9" ht="13.5">
      <c r="A8635" s="128">
        <v>2015</v>
      </c>
      <c r="B8635" s="128" t="s">
        <v>131</v>
      </c>
      <c r="C8635" s="128" t="s">
        <v>22</v>
      </c>
      <c r="D8635" s="128" t="s">
        <v>77</v>
      </c>
      <c r="E8635" s="128" t="s">
        <v>135</v>
      </c>
      <c r="F8635" s="128">
        <v>17726825.48</v>
      </c>
      <c r="G8635" s="128">
        <v>5005208.8600000003</v>
      </c>
      <c r="H8635" s="128">
        <v>5763984.1900000004</v>
      </c>
      <c r="I8635" s="128">
        <v>49553</v>
      </c>
    </row>
    <row r="8636" spans="1:9" ht="13.5">
      <c r="A8636" s="128">
        <v>2015</v>
      </c>
      <c r="B8636" s="128" t="s">
        <v>131</v>
      </c>
      <c r="C8636" s="128" t="s">
        <v>22</v>
      </c>
      <c r="D8636" s="128" t="s">
        <v>76</v>
      </c>
      <c r="E8636" s="128" t="s">
        <v>136</v>
      </c>
      <c r="F8636" s="128">
        <v>12816886.26</v>
      </c>
      <c r="G8636" s="128">
        <v>9620019.3200000003</v>
      </c>
      <c r="H8636" s="128">
        <v>3196346.55</v>
      </c>
      <c r="I8636" s="128">
        <v>242721</v>
      </c>
    </row>
    <row r="8637" spans="1:9" ht="13.5">
      <c r="A8637" s="128">
        <v>2015</v>
      </c>
      <c r="B8637" s="128" t="s">
        <v>131</v>
      </c>
      <c r="C8637" s="128" t="s">
        <v>22</v>
      </c>
      <c r="D8637" s="128" t="s">
        <v>76</v>
      </c>
      <c r="E8637" s="128" t="s">
        <v>132</v>
      </c>
      <c r="F8637" s="128">
        <v>36908788.219999999</v>
      </c>
      <c r="G8637" s="128">
        <v>23498969.329999998</v>
      </c>
      <c r="H8637" s="128">
        <v>13409716.039999999</v>
      </c>
      <c r="I8637" s="128">
        <v>335824</v>
      </c>
    </row>
    <row r="8638" spans="1:9" ht="13.5">
      <c r="A8638" s="128">
        <v>2015</v>
      </c>
      <c r="B8638" s="128" t="s">
        <v>131</v>
      </c>
      <c r="C8638" s="128" t="s">
        <v>22</v>
      </c>
      <c r="D8638" s="128" t="s">
        <v>76</v>
      </c>
      <c r="E8638" s="128" t="s">
        <v>133</v>
      </c>
      <c r="F8638" s="128">
        <v>71365852.319999993</v>
      </c>
      <c r="G8638" s="128">
        <v>39374360.25</v>
      </c>
      <c r="H8638" s="128">
        <v>31991090.18</v>
      </c>
      <c r="I8638" s="128">
        <v>565231</v>
      </c>
    </row>
    <row r="8639" spans="1:9" ht="13.5">
      <c r="A8639" s="128">
        <v>2015</v>
      </c>
      <c r="B8639" s="128" t="s">
        <v>131</v>
      </c>
      <c r="C8639" s="128" t="s">
        <v>22</v>
      </c>
      <c r="D8639" s="128" t="s">
        <v>76</v>
      </c>
      <c r="E8639" s="128" t="s">
        <v>134</v>
      </c>
      <c r="F8639" s="128">
        <v>66092132.719999999</v>
      </c>
      <c r="G8639" s="128">
        <v>30272303.879999999</v>
      </c>
      <c r="H8639" s="128">
        <v>35819581.810000002</v>
      </c>
      <c r="I8639" s="128">
        <v>417224</v>
      </c>
    </row>
    <row r="8640" spans="1:9" ht="13.5">
      <c r="A8640" s="128">
        <v>2015</v>
      </c>
      <c r="B8640" s="128" t="s">
        <v>131</v>
      </c>
      <c r="C8640" s="128" t="s">
        <v>22</v>
      </c>
      <c r="D8640" s="128" t="s">
        <v>76</v>
      </c>
      <c r="E8640" s="128" t="s">
        <v>135</v>
      </c>
      <c r="F8640" s="128">
        <v>5331070.24</v>
      </c>
      <c r="G8640" s="128">
        <v>1543634.71</v>
      </c>
      <c r="H8640" s="128">
        <v>3787431.69</v>
      </c>
      <c r="I8640" s="128">
        <v>7056</v>
      </c>
    </row>
    <row r="8641" spans="1:9" ht="13.5">
      <c r="A8641" s="128">
        <v>2015</v>
      </c>
      <c r="B8641" s="128" t="s">
        <v>131</v>
      </c>
      <c r="C8641" s="128" t="s">
        <v>23</v>
      </c>
      <c r="D8641" s="128" t="s">
        <v>79</v>
      </c>
      <c r="E8641" s="128" t="s">
        <v>136</v>
      </c>
      <c r="F8641" s="128">
        <v>2110580.27</v>
      </c>
      <c r="G8641" s="128">
        <v>1585127.36</v>
      </c>
      <c r="H8641" s="128">
        <v>524281.81</v>
      </c>
      <c r="I8641" s="128">
        <v>21551</v>
      </c>
    </row>
    <row r="8642" spans="1:9" ht="13.5">
      <c r="A8642" s="128">
        <v>2015</v>
      </c>
      <c r="B8642" s="128" t="s">
        <v>131</v>
      </c>
      <c r="C8642" s="128" t="s">
        <v>23</v>
      </c>
      <c r="D8642" s="128" t="s">
        <v>79</v>
      </c>
      <c r="E8642" s="128" t="s">
        <v>132</v>
      </c>
      <c r="F8642" s="128">
        <v>978009.7</v>
      </c>
      <c r="G8642" s="128">
        <v>617737.47</v>
      </c>
      <c r="H8642" s="128">
        <v>323533.56</v>
      </c>
      <c r="I8642" s="128">
        <v>4918</v>
      </c>
    </row>
    <row r="8643" spans="1:9" ht="13.5">
      <c r="A8643" s="128">
        <v>2015</v>
      </c>
      <c r="B8643" s="128" t="s">
        <v>131</v>
      </c>
      <c r="C8643" s="128" t="s">
        <v>23</v>
      </c>
      <c r="D8643" s="128" t="s">
        <v>79</v>
      </c>
      <c r="E8643" s="128" t="s">
        <v>133</v>
      </c>
      <c r="F8643" s="128">
        <v>1531653.4</v>
      </c>
      <c r="G8643" s="128">
        <v>836214.48</v>
      </c>
      <c r="H8643" s="128">
        <v>631367.76</v>
      </c>
      <c r="I8643" s="128">
        <v>17988</v>
      </c>
    </row>
    <row r="8644" spans="1:9" ht="13.5">
      <c r="A8644" s="128">
        <v>2015</v>
      </c>
      <c r="B8644" s="128" t="s">
        <v>131</v>
      </c>
      <c r="C8644" s="128" t="s">
        <v>23</v>
      </c>
      <c r="D8644" s="128" t="s">
        <v>79</v>
      </c>
      <c r="E8644" s="128" t="s">
        <v>134</v>
      </c>
      <c r="F8644" s="128">
        <v>2918315.58</v>
      </c>
      <c r="G8644" s="128">
        <v>1262727.93</v>
      </c>
      <c r="H8644" s="128">
        <v>1488380.05</v>
      </c>
      <c r="I8644" s="128">
        <v>11672</v>
      </c>
    </row>
    <row r="8645" spans="1:9" ht="13.5">
      <c r="A8645" s="128">
        <v>2015</v>
      </c>
      <c r="B8645" s="128" t="s">
        <v>131</v>
      </c>
      <c r="C8645" s="128" t="s">
        <v>23</v>
      </c>
      <c r="D8645" s="128" t="s">
        <v>79</v>
      </c>
      <c r="E8645" s="128" t="s">
        <v>135</v>
      </c>
      <c r="F8645" s="128">
        <v>2048171.46</v>
      </c>
      <c r="G8645" s="128">
        <v>504330.19</v>
      </c>
      <c r="H8645" s="128">
        <v>278270.14</v>
      </c>
      <c r="I8645" s="128">
        <v>3825</v>
      </c>
    </row>
    <row r="8646" spans="1:9" ht="13.5">
      <c r="A8646" s="128">
        <v>2015</v>
      </c>
      <c r="B8646" s="128" t="s">
        <v>131</v>
      </c>
      <c r="C8646" s="128" t="s">
        <v>23</v>
      </c>
      <c r="D8646" s="128" t="s">
        <v>77</v>
      </c>
      <c r="E8646" s="128" t="s">
        <v>132</v>
      </c>
      <c r="F8646" s="128">
        <v>446374.62</v>
      </c>
      <c r="G8646" s="128">
        <v>291148.75</v>
      </c>
      <c r="H8646" s="128">
        <v>138448.09</v>
      </c>
      <c r="I8646" s="128">
        <v>2767</v>
      </c>
    </row>
    <row r="8647" spans="1:9" ht="13.5">
      <c r="A8647" s="128">
        <v>2015</v>
      </c>
      <c r="B8647" s="128" t="s">
        <v>131</v>
      </c>
      <c r="C8647" s="128" t="s">
        <v>23</v>
      </c>
      <c r="D8647" s="128" t="s">
        <v>77</v>
      </c>
      <c r="E8647" s="128" t="s">
        <v>133</v>
      </c>
      <c r="F8647" s="128">
        <v>1040678.38</v>
      </c>
      <c r="G8647" s="128">
        <v>563406.31000000006</v>
      </c>
      <c r="H8647" s="128">
        <v>411526.62</v>
      </c>
      <c r="I8647" s="128">
        <v>3434</v>
      </c>
    </row>
    <row r="8648" spans="1:9" ht="13.5">
      <c r="A8648" s="128">
        <v>2015</v>
      </c>
      <c r="B8648" s="128" t="s">
        <v>131</v>
      </c>
      <c r="C8648" s="128" t="s">
        <v>23</v>
      </c>
      <c r="D8648" s="128" t="s">
        <v>77</v>
      </c>
      <c r="E8648" s="128" t="s">
        <v>134</v>
      </c>
      <c r="F8648" s="128">
        <v>3452817.86</v>
      </c>
      <c r="G8648" s="128">
        <v>1460525.5</v>
      </c>
      <c r="H8648" s="128">
        <v>1552003.02</v>
      </c>
      <c r="I8648" s="128">
        <v>6274</v>
      </c>
    </row>
    <row r="8649" spans="1:9" ht="13.5">
      <c r="A8649" s="128">
        <v>2015</v>
      </c>
      <c r="B8649" s="128" t="s">
        <v>131</v>
      </c>
      <c r="C8649" s="128" t="s">
        <v>23</v>
      </c>
      <c r="D8649" s="128" t="s">
        <v>77</v>
      </c>
      <c r="E8649" s="128" t="s">
        <v>135</v>
      </c>
      <c r="F8649" s="128">
        <v>4455568.93</v>
      </c>
      <c r="G8649" s="128">
        <v>1350531.33</v>
      </c>
      <c r="H8649" s="128">
        <v>1692583.89</v>
      </c>
      <c r="I8649" s="128">
        <v>19090</v>
      </c>
    </row>
    <row r="8650" spans="1:9" ht="13.5">
      <c r="A8650" s="128">
        <v>2015</v>
      </c>
      <c r="B8650" s="128" t="s">
        <v>131</v>
      </c>
      <c r="C8650" s="128" t="s">
        <v>23</v>
      </c>
      <c r="D8650" s="128" t="s">
        <v>76</v>
      </c>
      <c r="E8650" s="128" t="s">
        <v>136</v>
      </c>
      <c r="F8650" s="128">
        <v>4300506.8</v>
      </c>
      <c r="G8650" s="128">
        <v>3229608.27</v>
      </c>
      <c r="H8650" s="128">
        <v>1070907.98</v>
      </c>
      <c r="I8650" s="128">
        <v>51508</v>
      </c>
    </row>
    <row r="8651" spans="1:9" ht="13.5">
      <c r="A8651" s="128">
        <v>2015</v>
      </c>
      <c r="B8651" s="128" t="s">
        <v>131</v>
      </c>
      <c r="C8651" s="128" t="s">
        <v>23</v>
      </c>
      <c r="D8651" s="128" t="s">
        <v>76</v>
      </c>
      <c r="E8651" s="128" t="s">
        <v>132</v>
      </c>
      <c r="F8651" s="128">
        <v>8565334.8800000008</v>
      </c>
      <c r="G8651" s="128">
        <v>5461713.7599999998</v>
      </c>
      <c r="H8651" s="128">
        <v>3103595.41</v>
      </c>
      <c r="I8651" s="128">
        <v>89537</v>
      </c>
    </row>
    <row r="8652" spans="1:9" ht="13.5">
      <c r="A8652" s="128">
        <v>2015</v>
      </c>
      <c r="B8652" s="128" t="s">
        <v>131</v>
      </c>
      <c r="C8652" s="128" t="s">
        <v>23</v>
      </c>
      <c r="D8652" s="128" t="s">
        <v>76</v>
      </c>
      <c r="E8652" s="128" t="s">
        <v>133</v>
      </c>
      <c r="F8652" s="128">
        <v>22621627.300000001</v>
      </c>
      <c r="G8652" s="128">
        <v>12286813.619999999</v>
      </c>
      <c r="H8652" s="128">
        <v>10334797.609999999</v>
      </c>
      <c r="I8652" s="128">
        <v>174634</v>
      </c>
    </row>
    <row r="8653" spans="1:9" ht="13.5">
      <c r="A8653" s="128">
        <v>2015</v>
      </c>
      <c r="B8653" s="128" t="s">
        <v>131</v>
      </c>
      <c r="C8653" s="128" t="s">
        <v>23</v>
      </c>
      <c r="D8653" s="128" t="s">
        <v>76</v>
      </c>
      <c r="E8653" s="128" t="s">
        <v>134</v>
      </c>
      <c r="F8653" s="128">
        <v>42807654.950000003</v>
      </c>
      <c r="G8653" s="128">
        <v>19031005.77</v>
      </c>
      <c r="H8653" s="128">
        <v>23776647.52</v>
      </c>
      <c r="I8653" s="128">
        <v>163739</v>
      </c>
    </row>
    <row r="8654" spans="1:9" ht="13.5">
      <c r="A8654" s="128">
        <v>2015</v>
      </c>
      <c r="B8654" s="128" t="s">
        <v>131</v>
      </c>
      <c r="C8654" s="128" t="s">
        <v>23</v>
      </c>
      <c r="D8654" s="128" t="s">
        <v>76</v>
      </c>
      <c r="E8654" s="128" t="s">
        <v>135</v>
      </c>
      <c r="F8654" s="128">
        <v>1582122.22</v>
      </c>
      <c r="G8654" s="128">
        <v>417571</v>
      </c>
      <c r="H8654" s="128">
        <v>1164551.22</v>
      </c>
      <c r="I8654" s="128">
        <v>1592</v>
      </c>
    </row>
    <row r="8655" spans="1:9" ht="13.5">
      <c r="A8655" s="128">
        <v>2015</v>
      </c>
      <c r="B8655" s="128" t="s">
        <v>131</v>
      </c>
      <c r="C8655" s="128" t="s">
        <v>24</v>
      </c>
      <c r="D8655" s="128" t="s">
        <v>79</v>
      </c>
      <c r="E8655" s="128" t="s">
        <v>136</v>
      </c>
      <c r="F8655" s="128">
        <v>2642998.2799999998</v>
      </c>
      <c r="G8655" s="128">
        <v>1987305.78</v>
      </c>
      <c r="H8655" s="128">
        <v>654133.88</v>
      </c>
      <c r="I8655" s="128">
        <v>60301</v>
      </c>
    </row>
    <row r="8656" spans="1:9" ht="13.5">
      <c r="A8656" s="128">
        <v>2015</v>
      </c>
      <c r="B8656" s="128" t="s">
        <v>131</v>
      </c>
      <c r="C8656" s="128" t="s">
        <v>24</v>
      </c>
      <c r="D8656" s="128" t="s">
        <v>79</v>
      </c>
      <c r="E8656" s="128" t="s">
        <v>132</v>
      </c>
      <c r="F8656" s="128">
        <v>524051.77</v>
      </c>
      <c r="G8656" s="128">
        <v>346165.26</v>
      </c>
      <c r="H8656" s="128">
        <v>136249.01999999999</v>
      </c>
      <c r="I8656" s="128">
        <v>2382</v>
      </c>
    </row>
    <row r="8657" spans="1:9" ht="13.5">
      <c r="A8657" s="128">
        <v>2015</v>
      </c>
      <c r="B8657" s="128" t="s">
        <v>131</v>
      </c>
      <c r="C8657" s="128" t="s">
        <v>24</v>
      </c>
      <c r="D8657" s="128" t="s">
        <v>79</v>
      </c>
      <c r="E8657" s="128" t="s">
        <v>133</v>
      </c>
      <c r="F8657" s="128">
        <v>1138138.52</v>
      </c>
      <c r="G8657" s="128">
        <v>624734.22</v>
      </c>
      <c r="H8657" s="128">
        <v>351482.63</v>
      </c>
      <c r="I8657" s="128">
        <v>8905</v>
      </c>
    </row>
    <row r="8658" spans="1:9" ht="13.5">
      <c r="A8658" s="128">
        <v>2015</v>
      </c>
      <c r="B8658" s="128" t="s">
        <v>131</v>
      </c>
      <c r="C8658" s="128" t="s">
        <v>24</v>
      </c>
      <c r="D8658" s="128" t="s">
        <v>79</v>
      </c>
      <c r="E8658" s="128" t="s">
        <v>134</v>
      </c>
      <c r="F8658" s="128">
        <v>2579742.7200000002</v>
      </c>
      <c r="G8658" s="128">
        <v>1127557.32</v>
      </c>
      <c r="H8658" s="128">
        <v>666953.13</v>
      </c>
      <c r="I8658" s="128">
        <v>9701</v>
      </c>
    </row>
    <row r="8659" spans="1:9" ht="13.5">
      <c r="A8659" s="128">
        <v>2015</v>
      </c>
      <c r="B8659" s="128" t="s">
        <v>131</v>
      </c>
      <c r="C8659" s="128" t="s">
        <v>24</v>
      </c>
      <c r="D8659" s="128" t="s">
        <v>79</v>
      </c>
      <c r="E8659" s="128" t="s">
        <v>135</v>
      </c>
      <c r="F8659" s="128">
        <v>8602224.0199999996</v>
      </c>
      <c r="G8659" s="128">
        <v>2025331.25</v>
      </c>
      <c r="H8659" s="128">
        <v>748137.37</v>
      </c>
      <c r="I8659" s="128">
        <v>19056</v>
      </c>
    </row>
    <row r="8660" spans="1:9" ht="13.5">
      <c r="A8660" s="128">
        <v>2015</v>
      </c>
      <c r="B8660" s="128" t="s">
        <v>131</v>
      </c>
      <c r="C8660" s="128" t="s">
        <v>24</v>
      </c>
      <c r="D8660" s="128" t="s">
        <v>77</v>
      </c>
      <c r="E8660" s="128" t="s">
        <v>132</v>
      </c>
      <c r="F8660" s="128">
        <v>2418365.2400000002</v>
      </c>
      <c r="G8660" s="128">
        <v>1670400.15</v>
      </c>
      <c r="H8660" s="128">
        <v>706623.99</v>
      </c>
      <c r="I8660" s="128">
        <v>13321</v>
      </c>
    </row>
    <row r="8661" spans="1:9" ht="13.5">
      <c r="A8661" s="128">
        <v>2015</v>
      </c>
      <c r="B8661" s="128" t="s">
        <v>131</v>
      </c>
      <c r="C8661" s="128" t="s">
        <v>24</v>
      </c>
      <c r="D8661" s="128" t="s">
        <v>77</v>
      </c>
      <c r="E8661" s="128" t="s">
        <v>133</v>
      </c>
      <c r="F8661" s="128">
        <v>4335067.92</v>
      </c>
      <c r="G8661" s="128">
        <v>2345436.06</v>
      </c>
      <c r="H8661" s="128">
        <v>1765847.01</v>
      </c>
      <c r="I8661" s="128">
        <v>28964</v>
      </c>
    </row>
    <row r="8662" spans="1:9" ht="13.5">
      <c r="A8662" s="128">
        <v>2015</v>
      </c>
      <c r="B8662" s="128" t="s">
        <v>131</v>
      </c>
      <c r="C8662" s="128" t="s">
        <v>24</v>
      </c>
      <c r="D8662" s="128" t="s">
        <v>77</v>
      </c>
      <c r="E8662" s="128" t="s">
        <v>134</v>
      </c>
      <c r="F8662" s="128">
        <v>8076737.3300000001</v>
      </c>
      <c r="G8662" s="128">
        <v>3583794.45</v>
      </c>
      <c r="H8662" s="128">
        <v>3154944.31</v>
      </c>
      <c r="I8662" s="128">
        <v>19228</v>
      </c>
    </row>
    <row r="8663" spans="1:9" ht="13.5">
      <c r="A8663" s="128">
        <v>2015</v>
      </c>
      <c r="B8663" s="128" t="s">
        <v>131</v>
      </c>
      <c r="C8663" s="128" t="s">
        <v>24</v>
      </c>
      <c r="D8663" s="128" t="s">
        <v>77</v>
      </c>
      <c r="E8663" s="128" t="s">
        <v>135</v>
      </c>
      <c r="F8663" s="128">
        <v>13941355.1</v>
      </c>
      <c r="G8663" s="128">
        <v>3570104.35</v>
      </c>
      <c r="H8663" s="128">
        <v>2433245.5099999998</v>
      </c>
      <c r="I8663" s="128">
        <v>23923</v>
      </c>
    </row>
    <row r="8664" spans="1:9" ht="13.5">
      <c r="A8664" s="128">
        <v>2015</v>
      </c>
      <c r="B8664" s="128" t="s">
        <v>131</v>
      </c>
      <c r="C8664" s="128" t="s">
        <v>24</v>
      </c>
      <c r="D8664" s="128" t="s">
        <v>76</v>
      </c>
      <c r="E8664" s="128" t="s">
        <v>136</v>
      </c>
      <c r="F8664" s="128">
        <v>3599770.87</v>
      </c>
      <c r="G8664" s="128">
        <v>2708681.1</v>
      </c>
      <c r="H8664" s="128">
        <v>891089.77</v>
      </c>
      <c r="I8664" s="128">
        <v>53868</v>
      </c>
    </row>
    <row r="8665" spans="1:9" ht="13.5">
      <c r="A8665" s="128">
        <v>2015</v>
      </c>
      <c r="B8665" s="128" t="s">
        <v>131</v>
      </c>
      <c r="C8665" s="128" t="s">
        <v>24</v>
      </c>
      <c r="D8665" s="128" t="s">
        <v>76</v>
      </c>
      <c r="E8665" s="128" t="s">
        <v>132</v>
      </c>
      <c r="F8665" s="128">
        <v>6735265.2199999997</v>
      </c>
      <c r="G8665" s="128">
        <v>4365517.26</v>
      </c>
      <c r="H8665" s="128">
        <v>2369743.5499999998</v>
      </c>
      <c r="I8665" s="128">
        <v>45558</v>
      </c>
    </row>
    <row r="8666" spans="1:9" ht="13.5">
      <c r="A8666" s="128">
        <v>2015</v>
      </c>
      <c r="B8666" s="128" t="s">
        <v>131</v>
      </c>
      <c r="C8666" s="128" t="s">
        <v>24</v>
      </c>
      <c r="D8666" s="128" t="s">
        <v>76</v>
      </c>
      <c r="E8666" s="128" t="s">
        <v>133</v>
      </c>
      <c r="F8666" s="128">
        <v>37943677.189999998</v>
      </c>
      <c r="G8666" s="128">
        <v>21036028.109999999</v>
      </c>
      <c r="H8666" s="128">
        <v>16907641.030000001</v>
      </c>
      <c r="I8666" s="128">
        <v>256984</v>
      </c>
    </row>
    <row r="8667" spans="1:9" ht="13.5">
      <c r="A8667" s="128">
        <v>2015</v>
      </c>
      <c r="B8667" s="128" t="s">
        <v>131</v>
      </c>
      <c r="C8667" s="128" t="s">
        <v>24</v>
      </c>
      <c r="D8667" s="128" t="s">
        <v>76</v>
      </c>
      <c r="E8667" s="128" t="s">
        <v>134</v>
      </c>
      <c r="F8667" s="128">
        <v>52026153.18</v>
      </c>
      <c r="G8667" s="128">
        <v>23040739.09</v>
      </c>
      <c r="H8667" s="128">
        <v>28985395.239999998</v>
      </c>
      <c r="I8667" s="128">
        <v>243378</v>
      </c>
    </row>
    <row r="8668" spans="1:9" ht="13.5">
      <c r="A8668" s="128">
        <v>2015</v>
      </c>
      <c r="B8668" s="128" t="s">
        <v>131</v>
      </c>
      <c r="C8668" s="128" t="s">
        <v>24</v>
      </c>
      <c r="D8668" s="128" t="s">
        <v>76</v>
      </c>
      <c r="E8668" s="128" t="s">
        <v>135</v>
      </c>
      <c r="F8668" s="128">
        <v>3289926.89</v>
      </c>
      <c r="G8668" s="128">
        <v>866420.8</v>
      </c>
      <c r="H8668" s="128">
        <v>2423506.09</v>
      </c>
      <c r="I8668" s="128">
        <v>2093</v>
      </c>
    </row>
    <row r="8669" spans="1:9" ht="13.5">
      <c r="A8669" s="128">
        <v>2015</v>
      </c>
      <c r="B8669" s="128" t="s">
        <v>131</v>
      </c>
      <c r="C8669" s="128" t="s">
        <v>25</v>
      </c>
      <c r="D8669" s="128" t="s">
        <v>79</v>
      </c>
      <c r="E8669" s="128" t="s">
        <v>136</v>
      </c>
      <c r="F8669" s="128">
        <v>624810.80000000005</v>
      </c>
      <c r="G8669" s="128">
        <v>469281.11</v>
      </c>
      <c r="H8669" s="128">
        <v>155529.69</v>
      </c>
      <c r="I8669" s="128">
        <v>13268</v>
      </c>
    </row>
    <row r="8670" spans="1:9" ht="13.5">
      <c r="A8670" s="128">
        <v>2015</v>
      </c>
      <c r="B8670" s="128" t="s">
        <v>131</v>
      </c>
      <c r="C8670" s="128" t="s">
        <v>25</v>
      </c>
      <c r="D8670" s="128" t="s">
        <v>79</v>
      </c>
      <c r="E8670" s="128" t="s">
        <v>132</v>
      </c>
      <c r="F8670" s="128">
        <v>383494.14</v>
      </c>
      <c r="G8670" s="128">
        <v>238042.11</v>
      </c>
      <c r="H8670" s="128">
        <v>140069.69</v>
      </c>
      <c r="I8670" s="128">
        <v>2302</v>
      </c>
    </row>
    <row r="8671" spans="1:9" ht="13.5">
      <c r="A8671" s="128">
        <v>2015</v>
      </c>
      <c r="B8671" s="128" t="s">
        <v>131</v>
      </c>
      <c r="C8671" s="128" t="s">
        <v>25</v>
      </c>
      <c r="D8671" s="128" t="s">
        <v>79</v>
      </c>
      <c r="E8671" s="128" t="s">
        <v>133</v>
      </c>
      <c r="F8671" s="128">
        <v>267244.33</v>
      </c>
      <c r="G8671" s="128">
        <v>148002.46</v>
      </c>
      <c r="H8671" s="128">
        <v>94125.759999999995</v>
      </c>
      <c r="I8671" s="128">
        <v>1671</v>
      </c>
    </row>
    <row r="8672" spans="1:9" ht="13.5">
      <c r="A8672" s="128">
        <v>2015</v>
      </c>
      <c r="B8672" s="128" t="s">
        <v>131</v>
      </c>
      <c r="C8672" s="128" t="s">
        <v>25</v>
      </c>
      <c r="D8672" s="128" t="s">
        <v>79</v>
      </c>
      <c r="E8672" s="128" t="s">
        <v>134</v>
      </c>
      <c r="F8672" s="128">
        <v>613601.57999999996</v>
      </c>
      <c r="G8672" s="128">
        <v>272569.19</v>
      </c>
      <c r="H8672" s="128">
        <v>226328.22</v>
      </c>
      <c r="I8672" s="128">
        <v>3053</v>
      </c>
    </row>
    <row r="8673" spans="1:9" ht="13.5">
      <c r="A8673" s="128">
        <v>2015</v>
      </c>
      <c r="B8673" s="128" t="s">
        <v>131</v>
      </c>
      <c r="C8673" s="128" t="s">
        <v>25</v>
      </c>
      <c r="D8673" s="128" t="s">
        <v>79</v>
      </c>
      <c r="E8673" s="128" t="s">
        <v>135</v>
      </c>
      <c r="F8673" s="128">
        <v>2019676.76</v>
      </c>
      <c r="G8673" s="128">
        <v>442454.77</v>
      </c>
      <c r="H8673" s="128">
        <v>174221.09</v>
      </c>
      <c r="I8673" s="128">
        <v>1917</v>
      </c>
    </row>
    <row r="8674" spans="1:9" ht="13.5">
      <c r="A8674" s="128">
        <v>2015</v>
      </c>
      <c r="B8674" s="128" t="s">
        <v>131</v>
      </c>
      <c r="C8674" s="128" t="s">
        <v>25</v>
      </c>
      <c r="D8674" s="128" t="s">
        <v>77</v>
      </c>
      <c r="E8674" s="128" t="s">
        <v>132</v>
      </c>
      <c r="F8674" s="128">
        <v>183389.46</v>
      </c>
      <c r="G8674" s="128">
        <v>120949.75</v>
      </c>
      <c r="H8674" s="128">
        <v>50909.78</v>
      </c>
      <c r="I8674" s="128">
        <v>1417</v>
      </c>
    </row>
    <row r="8675" spans="1:9" ht="13.5">
      <c r="A8675" s="128">
        <v>2015</v>
      </c>
      <c r="B8675" s="128" t="s">
        <v>131</v>
      </c>
      <c r="C8675" s="128" t="s">
        <v>25</v>
      </c>
      <c r="D8675" s="128" t="s">
        <v>77</v>
      </c>
      <c r="E8675" s="128" t="s">
        <v>133</v>
      </c>
      <c r="F8675" s="128">
        <v>309071.74</v>
      </c>
      <c r="G8675" s="128">
        <v>165816.9</v>
      </c>
      <c r="H8675" s="128">
        <v>122792.17</v>
      </c>
      <c r="I8675" s="128">
        <v>1174</v>
      </c>
    </row>
    <row r="8676" spans="1:9" ht="13.5">
      <c r="A8676" s="128">
        <v>2015</v>
      </c>
      <c r="B8676" s="128" t="s">
        <v>131</v>
      </c>
      <c r="C8676" s="128" t="s">
        <v>25</v>
      </c>
      <c r="D8676" s="128" t="s">
        <v>77</v>
      </c>
      <c r="E8676" s="128" t="s">
        <v>134</v>
      </c>
      <c r="F8676" s="128">
        <v>1275785.8899999999</v>
      </c>
      <c r="G8676" s="128">
        <v>542927.15</v>
      </c>
      <c r="H8676" s="128">
        <v>555686.44999999995</v>
      </c>
      <c r="I8676" s="128">
        <v>2572</v>
      </c>
    </row>
    <row r="8677" spans="1:9" ht="13.5">
      <c r="A8677" s="128">
        <v>2015</v>
      </c>
      <c r="B8677" s="128" t="s">
        <v>131</v>
      </c>
      <c r="C8677" s="128" t="s">
        <v>25</v>
      </c>
      <c r="D8677" s="128" t="s">
        <v>77</v>
      </c>
      <c r="E8677" s="128" t="s">
        <v>135</v>
      </c>
      <c r="F8677" s="128">
        <v>1504159.72</v>
      </c>
      <c r="G8677" s="128">
        <v>457824.3</v>
      </c>
      <c r="H8677" s="128">
        <v>529468.17000000004</v>
      </c>
      <c r="I8677" s="128">
        <v>4387</v>
      </c>
    </row>
    <row r="8678" spans="1:9" ht="13.5">
      <c r="A8678" s="128">
        <v>2015</v>
      </c>
      <c r="B8678" s="128" t="s">
        <v>131</v>
      </c>
      <c r="C8678" s="128" t="s">
        <v>25</v>
      </c>
      <c r="D8678" s="128" t="s">
        <v>76</v>
      </c>
      <c r="E8678" s="128" t="s">
        <v>136</v>
      </c>
      <c r="F8678" s="128">
        <v>1979260.34</v>
      </c>
      <c r="G8678" s="128">
        <v>1486180.68</v>
      </c>
      <c r="H8678" s="128">
        <v>493079.65</v>
      </c>
      <c r="I8678" s="128">
        <v>30063</v>
      </c>
    </row>
    <row r="8679" spans="1:9" ht="13.5">
      <c r="A8679" s="128">
        <v>2015</v>
      </c>
      <c r="B8679" s="128" t="s">
        <v>131</v>
      </c>
      <c r="C8679" s="128" t="s">
        <v>25</v>
      </c>
      <c r="D8679" s="128" t="s">
        <v>76</v>
      </c>
      <c r="E8679" s="128" t="s">
        <v>132</v>
      </c>
      <c r="F8679" s="128">
        <v>2733154.8</v>
      </c>
      <c r="G8679" s="128">
        <v>1738998.52</v>
      </c>
      <c r="H8679" s="128">
        <v>994155.48</v>
      </c>
      <c r="I8679" s="128">
        <v>21562</v>
      </c>
    </row>
    <row r="8680" spans="1:9" ht="13.5">
      <c r="A8680" s="128">
        <v>2015</v>
      </c>
      <c r="B8680" s="128" t="s">
        <v>131</v>
      </c>
      <c r="C8680" s="128" t="s">
        <v>25</v>
      </c>
      <c r="D8680" s="128" t="s">
        <v>76</v>
      </c>
      <c r="E8680" s="128" t="s">
        <v>133</v>
      </c>
      <c r="F8680" s="128">
        <v>7721593.0499999998</v>
      </c>
      <c r="G8680" s="128">
        <v>4234124</v>
      </c>
      <c r="H8680" s="128">
        <v>3487468.79</v>
      </c>
      <c r="I8680" s="128">
        <v>50526</v>
      </c>
    </row>
    <row r="8681" spans="1:9" ht="13.5">
      <c r="A8681" s="128">
        <v>2015</v>
      </c>
      <c r="B8681" s="128" t="s">
        <v>131</v>
      </c>
      <c r="C8681" s="128" t="s">
        <v>25</v>
      </c>
      <c r="D8681" s="128" t="s">
        <v>76</v>
      </c>
      <c r="E8681" s="128" t="s">
        <v>134</v>
      </c>
      <c r="F8681" s="128">
        <v>10632360.210000001</v>
      </c>
      <c r="G8681" s="128">
        <v>4850131.51</v>
      </c>
      <c r="H8681" s="128">
        <v>5782227.1399999997</v>
      </c>
      <c r="I8681" s="128">
        <v>51180</v>
      </c>
    </row>
    <row r="8682" spans="1:9" ht="13.5">
      <c r="A8682" s="128">
        <v>2015</v>
      </c>
      <c r="B8682" s="128" t="s">
        <v>131</v>
      </c>
      <c r="C8682" s="128" t="s">
        <v>25</v>
      </c>
      <c r="D8682" s="128" t="s">
        <v>76</v>
      </c>
      <c r="E8682" s="128" t="s">
        <v>135</v>
      </c>
      <c r="F8682" s="128">
        <v>429967.71</v>
      </c>
      <c r="G8682" s="128">
        <v>117921.3</v>
      </c>
      <c r="H8682" s="128">
        <v>312046.40999999997</v>
      </c>
      <c r="I8682" s="128">
        <v>336</v>
      </c>
    </row>
    <row r="8683" spans="1:9" ht="13.5">
      <c r="A8683" s="128">
        <v>2015</v>
      </c>
      <c r="B8683" s="128" t="s">
        <v>131</v>
      </c>
      <c r="C8683" s="128" t="s">
        <v>26</v>
      </c>
      <c r="D8683" s="128" t="s">
        <v>79</v>
      </c>
      <c r="E8683" s="128" t="s">
        <v>136</v>
      </c>
      <c r="F8683" s="128">
        <v>979666.32</v>
      </c>
      <c r="G8683" s="128">
        <v>736041.73</v>
      </c>
      <c r="H8683" s="128">
        <v>238938.52</v>
      </c>
      <c r="I8683" s="128">
        <v>9188</v>
      </c>
    </row>
    <row r="8684" spans="1:9" ht="13.5">
      <c r="A8684" s="128">
        <v>2015</v>
      </c>
      <c r="B8684" s="128" t="s">
        <v>131</v>
      </c>
      <c r="C8684" s="128" t="s">
        <v>26</v>
      </c>
      <c r="D8684" s="128" t="s">
        <v>79</v>
      </c>
      <c r="E8684" s="128" t="s">
        <v>132</v>
      </c>
      <c r="F8684" s="128">
        <v>141112.06</v>
      </c>
      <c r="G8684" s="128">
        <v>94583.96</v>
      </c>
      <c r="H8684" s="128">
        <v>37126.15</v>
      </c>
      <c r="I8684" s="128">
        <v>741</v>
      </c>
    </row>
    <row r="8685" spans="1:9" ht="13.5">
      <c r="A8685" s="128">
        <v>2015</v>
      </c>
      <c r="B8685" s="128" t="s">
        <v>131</v>
      </c>
      <c r="C8685" s="128" t="s">
        <v>26</v>
      </c>
      <c r="D8685" s="128" t="s">
        <v>79</v>
      </c>
      <c r="E8685" s="128" t="s">
        <v>133</v>
      </c>
      <c r="F8685" s="128">
        <v>130171.29</v>
      </c>
      <c r="G8685" s="128">
        <v>70593.38</v>
      </c>
      <c r="H8685" s="128">
        <v>31811.9</v>
      </c>
      <c r="I8685" s="128">
        <v>534</v>
      </c>
    </row>
    <row r="8686" spans="1:9" ht="13.5">
      <c r="A8686" s="128">
        <v>2015</v>
      </c>
      <c r="B8686" s="128" t="s">
        <v>131</v>
      </c>
      <c r="C8686" s="128" t="s">
        <v>26</v>
      </c>
      <c r="D8686" s="128" t="s">
        <v>79</v>
      </c>
      <c r="E8686" s="128" t="s">
        <v>134</v>
      </c>
      <c r="F8686" s="128">
        <v>703476.04</v>
      </c>
      <c r="G8686" s="128">
        <v>297825.86</v>
      </c>
      <c r="H8686" s="128">
        <v>170847.49</v>
      </c>
      <c r="I8686" s="128">
        <v>2922</v>
      </c>
    </row>
    <row r="8687" spans="1:9" ht="13.5">
      <c r="A8687" s="128">
        <v>2015</v>
      </c>
      <c r="B8687" s="128" t="s">
        <v>131</v>
      </c>
      <c r="C8687" s="128" t="s">
        <v>26</v>
      </c>
      <c r="D8687" s="128" t="s">
        <v>79</v>
      </c>
      <c r="E8687" s="128" t="s">
        <v>135</v>
      </c>
      <c r="F8687" s="128">
        <v>7320158.9299999997</v>
      </c>
      <c r="G8687" s="128">
        <v>1738897.68</v>
      </c>
      <c r="H8687" s="128">
        <v>595141.81999999995</v>
      </c>
      <c r="I8687" s="128">
        <v>8235</v>
      </c>
    </row>
    <row r="8688" spans="1:9" ht="13.5">
      <c r="A8688" s="128">
        <v>2015</v>
      </c>
      <c r="B8688" s="128" t="s">
        <v>131</v>
      </c>
      <c r="C8688" s="128" t="s">
        <v>26</v>
      </c>
      <c r="D8688" s="128" t="s">
        <v>77</v>
      </c>
      <c r="E8688" s="128" t="s">
        <v>132</v>
      </c>
      <c r="F8688" s="128">
        <v>65520.57</v>
      </c>
      <c r="G8688" s="128">
        <v>40311.449999999997</v>
      </c>
      <c r="H8688" s="128">
        <v>21434.83</v>
      </c>
      <c r="I8688" s="128">
        <v>461</v>
      </c>
    </row>
    <row r="8689" spans="1:9" ht="13.5">
      <c r="A8689" s="128">
        <v>2015</v>
      </c>
      <c r="B8689" s="128" t="s">
        <v>131</v>
      </c>
      <c r="C8689" s="128" t="s">
        <v>26</v>
      </c>
      <c r="D8689" s="128" t="s">
        <v>77</v>
      </c>
      <c r="E8689" s="128" t="s">
        <v>133</v>
      </c>
      <c r="F8689" s="128">
        <v>140240.93</v>
      </c>
      <c r="G8689" s="128">
        <v>77727</v>
      </c>
      <c r="H8689" s="128">
        <v>54347.01</v>
      </c>
      <c r="I8689" s="128">
        <v>453</v>
      </c>
    </row>
    <row r="8690" spans="1:9" ht="13.5">
      <c r="A8690" s="128">
        <v>2015</v>
      </c>
      <c r="B8690" s="128" t="s">
        <v>131</v>
      </c>
      <c r="C8690" s="128" t="s">
        <v>26</v>
      </c>
      <c r="D8690" s="128" t="s">
        <v>77</v>
      </c>
      <c r="E8690" s="128" t="s">
        <v>134</v>
      </c>
      <c r="F8690" s="128">
        <v>510171.11</v>
      </c>
      <c r="G8690" s="128">
        <v>217958.8</v>
      </c>
      <c r="H8690" s="128">
        <v>224905.63</v>
      </c>
      <c r="I8690" s="128">
        <v>1559</v>
      </c>
    </row>
    <row r="8691" spans="1:9" ht="13.5">
      <c r="A8691" s="128">
        <v>2015</v>
      </c>
      <c r="B8691" s="128" t="s">
        <v>131</v>
      </c>
      <c r="C8691" s="128" t="s">
        <v>26</v>
      </c>
      <c r="D8691" s="128" t="s">
        <v>77</v>
      </c>
      <c r="E8691" s="128" t="s">
        <v>135</v>
      </c>
      <c r="F8691" s="128">
        <v>2520601.9500000002</v>
      </c>
      <c r="G8691" s="128">
        <v>678838.85</v>
      </c>
      <c r="H8691" s="128">
        <v>766512.68</v>
      </c>
      <c r="I8691" s="128">
        <v>9288</v>
      </c>
    </row>
    <row r="8692" spans="1:9" ht="13.5">
      <c r="A8692" s="128">
        <v>2015</v>
      </c>
      <c r="B8692" s="128" t="s">
        <v>131</v>
      </c>
      <c r="C8692" s="128" t="s">
        <v>26</v>
      </c>
      <c r="D8692" s="128" t="s">
        <v>76</v>
      </c>
      <c r="E8692" s="128" t="s">
        <v>136</v>
      </c>
      <c r="F8692" s="128">
        <v>398464.54</v>
      </c>
      <c r="G8692" s="128">
        <v>299750.67</v>
      </c>
      <c r="H8692" s="128">
        <v>98713.87</v>
      </c>
      <c r="I8692" s="128">
        <v>14219</v>
      </c>
    </row>
    <row r="8693" spans="1:9" ht="13.5">
      <c r="A8693" s="128">
        <v>2015</v>
      </c>
      <c r="B8693" s="128" t="s">
        <v>131</v>
      </c>
      <c r="C8693" s="128" t="s">
        <v>26</v>
      </c>
      <c r="D8693" s="128" t="s">
        <v>76</v>
      </c>
      <c r="E8693" s="128" t="s">
        <v>132</v>
      </c>
      <c r="F8693" s="128">
        <v>1296689.75</v>
      </c>
      <c r="G8693" s="128">
        <v>828841.43</v>
      </c>
      <c r="H8693" s="128">
        <v>467836.29</v>
      </c>
      <c r="I8693" s="128">
        <v>15188</v>
      </c>
    </row>
    <row r="8694" spans="1:9" ht="13.5">
      <c r="A8694" s="128">
        <v>2015</v>
      </c>
      <c r="B8694" s="128" t="s">
        <v>131</v>
      </c>
      <c r="C8694" s="128" t="s">
        <v>26</v>
      </c>
      <c r="D8694" s="128" t="s">
        <v>76</v>
      </c>
      <c r="E8694" s="128" t="s">
        <v>133</v>
      </c>
      <c r="F8694" s="128">
        <v>3225345.24</v>
      </c>
      <c r="G8694" s="128">
        <v>1775783.16</v>
      </c>
      <c r="H8694" s="128">
        <v>1449560.9</v>
      </c>
      <c r="I8694" s="128">
        <v>23216</v>
      </c>
    </row>
    <row r="8695" spans="1:9" ht="13.5">
      <c r="A8695" s="128">
        <v>2015</v>
      </c>
      <c r="B8695" s="128" t="s">
        <v>131</v>
      </c>
      <c r="C8695" s="128" t="s">
        <v>26</v>
      </c>
      <c r="D8695" s="128" t="s">
        <v>76</v>
      </c>
      <c r="E8695" s="128" t="s">
        <v>134</v>
      </c>
      <c r="F8695" s="128">
        <v>2373309.06</v>
      </c>
      <c r="G8695" s="128">
        <v>1085451.76</v>
      </c>
      <c r="H8695" s="128">
        <v>1287844.6000000001</v>
      </c>
      <c r="I8695" s="128">
        <v>14915</v>
      </c>
    </row>
    <row r="8696" spans="1:9" ht="13.5">
      <c r="A8696" s="128">
        <v>2015</v>
      </c>
      <c r="B8696" s="128" t="s">
        <v>131</v>
      </c>
      <c r="C8696" s="128" t="s">
        <v>26</v>
      </c>
      <c r="D8696" s="128" t="s">
        <v>76</v>
      </c>
      <c r="E8696" s="128" t="s">
        <v>135</v>
      </c>
      <c r="F8696" s="128">
        <v>337123.31</v>
      </c>
      <c r="G8696" s="128">
        <v>101025.3</v>
      </c>
      <c r="H8696" s="128">
        <v>236098.01</v>
      </c>
      <c r="I8696" s="128">
        <v>587</v>
      </c>
    </row>
    <row r="8697" spans="1:9" ht="13.5">
      <c r="A8697" s="128">
        <v>2015</v>
      </c>
      <c r="B8697" s="128" t="s">
        <v>131</v>
      </c>
      <c r="C8697" s="128" t="s">
        <v>27</v>
      </c>
      <c r="D8697" s="128" t="s">
        <v>79</v>
      </c>
      <c r="E8697" s="128" t="s">
        <v>136</v>
      </c>
      <c r="F8697" s="128">
        <v>318003.65000000002</v>
      </c>
      <c r="G8697" s="128">
        <v>238556.7</v>
      </c>
      <c r="H8697" s="128">
        <v>79418.95</v>
      </c>
      <c r="I8697" s="128">
        <v>2370</v>
      </c>
    </row>
    <row r="8698" spans="1:9" ht="13.5">
      <c r="A8698" s="128">
        <v>2015</v>
      </c>
      <c r="B8698" s="128" t="s">
        <v>131</v>
      </c>
      <c r="C8698" s="128" t="s">
        <v>27</v>
      </c>
      <c r="D8698" s="128" t="s">
        <v>79</v>
      </c>
      <c r="E8698" s="128" t="s">
        <v>132</v>
      </c>
      <c r="F8698" s="128">
        <v>139094.57</v>
      </c>
      <c r="G8698" s="128">
        <v>89791.91</v>
      </c>
      <c r="H8698" s="128">
        <v>44534.55</v>
      </c>
      <c r="I8698" s="128">
        <v>658</v>
      </c>
    </row>
    <row r="8699" spans="1:9" ht="13.5">
      <c r="A8699" s="128">
        <v>2015</v>
      </c>
      <c r="B8699" s="128" t="s">
        <v>131</v>
      </c>
      <c r="C8699" s="128" t="s">
        <v>27</v>
      </c>
      <c r="D8699" s="128" t="s">
        <v>79</v>
      </c>
      <c r="E8699" s="128" t="s">
        <v>133</v>
      </c>
      <c r="F8699" s="128">
        <v>75309.7</v>
      </c>
      <c r="G8699" s="128">
        <v>40596.93</v>
      </c>
      <c r="H8699" s="128">
        <v>22942.05</v>
      </c>
      <c r="I8699" s="128">
        <v>512</v>
      </c>
    </row>
    <row r="8700" spans="1:9" ht="13.5">
      <c r="A8700" s="128">
        <v>2015</v>
      </c>
      <c r="B8700" s="128" t="s">
        <v>131</v>
      </c>
      <c r="C8700" s="128" t="s">
        <v>27</v>
      </c>
      <c r="D8700" s="128" t="s">
        <v>79</v>
      </c>
      <c r="E8700" s="128" t="s">
        <v>134</v>
      </c>
      <c r="F8700" s="128">
        <v>148296.91</v>
      </c>
      <c r="G8700" s="128">
        <v>64252.17</v>
      </c>
      <c r="H8700" s="128">
        <v>53141.51</v>
      </c>
      <c r="I8700" s="128">
        <v>581</v>
      </c>
    </row>
    <row r="8701" spans="1:9" ht="13.5">
      <c r="A8701" s="128">
        <v>2015</v>
      </c>
      <c r="B8701" s="128" t="s">
        <v>131</v>
      </c>
      <c r="C8701" s="128" t="s">
        <v>27</v>
      </c>
      <c r="D8701" s="128" t="s">
        <v>79</v>
      </c>
      <c r="E8701" s="128" t="s">
        <v>135</v>
      </c>
      <c r="F8701" s="128">
        <v>1276350.0900000001</v>
      </c>
      <c r="G8701" s="128">
        <v>308103.84000000003</v>
      </c>
      <c r="H8701" s="128">
        <v>106223.61</v>
      </c>
      <c r="I8701" s="128">
        <v>1122</v>
      </c>
    </row>
    <row r="8702" spans="1:9" ht="13.5">
      <c r="A8702" s="128">
        <v>2015</v>
      </c>
      <c r="B8702" s="128" t="s">
        <v>131</v>
      </c>
      <c r="C8702" s="128" t="s">
        <v>27</v>
      </c>
      <c r="D8702" s="128" t="s">
        <v>77</v>
      </c>
      <c r="E8702" s="128" t="s">
        <v>132</v>
      </c>
      <c r="F8702" s="128">
        <v>21482.13</v>
      </c>
      <c r="G8702" s="128">
        <v>14225.05</v>
      </c>
      <c r="H8702" s="128">
        <v>5836.25</v>
      </c>
      <c r="I8702" s="128">
        <v>165</v>
      </c>
    </row>
    <row r="8703" spans="1:9" ht="13.5">
      <c r="A8703" s="128">
        <v>2015</v>
      </c>
      <c r="B8703" s="128" t="s">
        <v>131</v>
      </c>
      <c r="C8703" s="128" t="s">
        <v>27</v>
      </c>
      <c r="D8703" s="128" t="s">
        <v>77</v>
      </c>
      <c r="E8703" s="128" t="s">
        <v>133</v>
      </c>
      <c r="F8703" s="128">
        <v>50910.96</v>
      </c>
      <c r="G8703" s="128">
        <v>27461.7</v>
      </c>
      <c r="H8703" s="128">
        <v>20187.95</v>
      </c>
      <c r="I8703" s="128">
        <v>214</v>
      </c>
    </row>
    <row r="8704" spans="1:9" ht="13.5">
      <c r="A8704" s="128">
        <v>2015</v>
      </c>
      <c r="B8704" s="128" t="s">
        <v>131</v>
      </c>
      <c r="C8704" s="128" t="s">
        <v>27</v>
      </c>
      <c r="D8704" s="128" t="s">
        <v>77</v>
      </c>
      <c r="E8704" s="128" t="s">
        <v>134</v>
      </c>
      <c r="F8704" s="128">
        <v>192899.44</v>
      </c>
      <c r="G8704" s="128">
        <v>82696.75</v>
      </c>
      <c r="H8704" s="128">
        <v>82811.899999999994</v>
      </c>
      <c r="I8704" s="128">
        <v>447</v>
      </c>
    </row>
    <row r="8705" spans="1:9" ht="13.5">
      <c r="A8705" s="128">
        <v>2015</v>
      </c>
      <c r="B8705" s="128" t="s">
        <v>131</v>
      </c>
      <c r="C8705" s="128" t="s">
        <v>27</v>
      </c>
      <c r="D8705" s="128" t="s">
        <v>77</v>
      </c>
      <c r="E8705" s="128" t="s">
        <v>135</v>
      </c>
      <c r="F8705" s="128">
        <v>511295.35</v>
      </c>
      <c r="G8705" s="128">
        <v>136221.9</v>
      </c>
      <c r="H8705" s="128">
        <v>150305.93</v>
      </c>
      <c r="I8705" s="128">
        <v>2370</v>
      </c>
    </row>
    <row r="8706" spans="1:9" ht="13.5">
      <c r="A8706" s="128">
        <v>2015</v>
      </c>
      <c r="B8706" s="128" t="s">
        <v>131</v>
      </c>
      <c r="C8706" s="128" t="s">
        <v>27</v>
      </c>
      <c r="D8706" s="128" t="s">
        <v>76</v>
      </c>
      <c r="E8706" s="128" t="s">
        <v>136</v>
      </c>
      <c r="F8706" s="128">
        <v>304947.84999999998</v>
      </c>
      <c r="G8706" s="128">
        <v>228790.67</v>
      </c>
      <c r="H8706" s="128">
        <v>76157.05</v>
      </c>
      <c r="I8706" s="128">
        <v>3151</v>
      </c>
    </row>
    <row r="8707" spans="1:9" ht="13.5">
      <c r="A8707" s="128">
        <v>2015</v>
      </c>
      <c r="B8707" s="128" t="s">
        <v>131</v>
      </c>
      <c r="C8707" s="128" t="s">
        <v>27</v>
      </c>
      <c r="D8707" s="128" t="s">
        <v>76</v>
      </c>
      <c r="E8707" s="128" t="s">
        <v>132</v>
      </c>
      <c r="F8707" s="128">
        <v>508852.55</v>
      </c>
      <c r="G8707" s="128">
        <v>326760</v>
      </c>
      <c r="H8707" s="128">
        <v>182080.38</v>
      </c>
      <c r="I8707" s="128">
        <v>4140</v>
      </c>
    </row>
    <row r="8708" spans="1:9" ht="13.5">
      <c r="A8708" s="128">
        <v>2015</v>
      </c>
      <c r="B8708" s="128" t="s">
        <v>131</v>
      </c>
      <c r="C8708" s="128" t="s">
        <v>27</v>
      </c>
      <c r="D8708" s="128" t="s">
        <v>76</v>
      </c>
      <c r="E8708" s="128" t="s">
        <v>133</v>
      </c>
      <c r="F8708" s="128">
        <v>1167086.6100000001</v>
      </c>
      <c r="G8708" s="128">
        <v>635863.26</v>
      </c>
      <c r="H8708" s="128">
        <v>531216.98</v>
      </c>
      <c r="I8708" s="128">
        <v>6312</v>
      </c>
    </row>
    <row r="8709" spans="1:9" ht="13.5">
      <c r="A8709" s="128">
        <v>2015</v>
      </c>
      <c r="B8709" s="128" t="s">
        <v>131</v>
      </c>
      <c r="C8709" s="128" t="s">
        <v>27</v>
      </c>
      <c r="D8709" s="128" t="s">
        <v>76</v>
      </c>
      <c r="E8709" s="128" t="s">
        <v>134</v>
      </c>
      <c r="F8709" s="128">
        <v>2066226.52</v>
      </c>
      <c r="G8709" s="128">
        <v>946509.8</v>
      </c>
      <c r="H8709" s="128">
        <v>1119705.3</v>
      </c>
      <c r="I8709" s="128">
        <v>9517</v>
      </c>
    </row>
    <row r="8710" spans="1:9" ht="13.5">
      <c r="A8710" s="128">
        <v>2015</v>
      </c>
      <c r="B8710" s="128" t="s">
        <v>131</v>
      </c>
      <c r="C8710" s="128" t="s">
        <v>27</v>
      </c>
      <c r="D8710" s="128" t="s">
        <v>76</v>
      </c>
      <c r="E8710" s="128" t="s">
        <v>135</v>
      </c>
      <c r="F8710" s="128">
        <v>41452.400000000001</v>
      </c>
      <c r="G8710" s="128">
        <v>12232.35</v>
      </c>
      <c r="H8710" s="128">
        <v>29220.05</v>
      </c>
      <c r="I8710" s="128">
        <v>63</v>
      </c>
    </row>
    <row r="8711" spans="1:9" ht="13.5">
      <c r="A8711" s="128">
        <v>2015</v>
      </c>
      <c r="B8711" s="128" t="s">
        <v>138</v>
      </c>
      <c r="C8711" s="128" t="s">
        <v>20</v>
      </c>
      <c r="D8711" s="128" t="s">
        <v>79</v>
      </c>
      <c r="E8711" s="128" t="s">
        <v>136</v>
      </c>
      <c r="F8711" s="128">
        <v>47705620.740000002</v>
      </c>
      <c r="G8711" s="128">
        <v>35820336.530000001</v>
      </c>
      <c r="H8711" s="128">
        <v>11886098.35</v>
      </c>
      <c r="I8711" s="128">
        <v>825817</v>
      </c>
    </row>
    <row r="8712" spans="1:9" ht="13.5">
      <c r="A8712" s="128">
        <v>2015</v>
      </c>
      <c r="B8712" s="128" t="s">
        <v>138</v>
      </c>
      <c r="C8712" s="128" t="s">
        <v>20</v>
      </c>
      <c r="D8712" s="128" t="s">
        <v>79</v>
      </c>
      <c r="E8712" s="128" t="s">
        <v>132</v>
      </c>
      <c r="F8712" s="128">
        <v>3029516.21</v>
      </c>
      <c r="G8712" s="128">
        <v>2019316.02</v>
      </c>
      <c r="H8712" s="128">
        <v>820470.28</v>
      </c>
      <c r="I8712" s="128">
        <v>19538</v>
      </c>
    </row>
    <row r="8713" spans="1:9" ht="13.5">
      <c r="A8713" s="128">
        <v>2015</v>
      </c>
      <c r="B8713" s="128" t="s">
        <v>138</v>
      </c>
      <c r="C8713" s="128" t="s">
        <v>20</v>
      </c>
      <c r="D8713" s="128" t="s">
        <v>79</v>
      </c>
      <c r="E8713" s="128" t="s">
        <v>133</v>
      </c>
      <c r="F8713" s="128">
        <v>5996547.9100000001</v>
      </c>
      <c r="G8713" s="128">
        <v>3329916.68</v>
      </c>
      <c r="H8713" s="128">
        <v>2057867.29</v>
      </c>
      <c r="I8713" s="128">
        <v>88441</v>
      </c>
    </row>
    <row r="8714" spans="1:9" ht="13.5">
      <c r="A8714" s="128">
        <v>2015</v>
      </c>
      <c r="B8714" s="128" t="s">
        <v>138</v>
      </c>
      <c r="C8714" s="128" t="s">
        <v>20</v>
      </c>
      <c r="D8714" s="128" t="s">
        <v>79</v>
      </c>
      <c r="E8714" s="128" t="s">
        <v>134</v>
      </c>
      <c r="F8714" s="128">
        <v>11992500.76</v>
      </c>
      <c r="G8714" s="128">
        <v>5175635.72</v>
      </c>
      <c r="H8714" s="128">
        <v>2737034.91</v>
      </c>
      <c r="I8714" s="128">
        <v>49872</v>
      </c>
    </row>
    <row r="8715" spans="1:9" ht="13.5">
      <c r="A8715" s="128">
        <v>2015</v>
      </c>
      <c r="B8715" s="128" t="s">
        <v>138</v>
      </c>
      <c r="C8715" s="128" t="s">
        <v>20</v>
      </c>
      <c r="D8715" s="128" t="s">
        <v>79</v>
      </c>
      <c r="E8715" s="128" t="s">
        <v>135</v>
      </c>
      <c r="F8715" s="128">
        <v>94323913.75</v>
      </c>
      <c r="G8715" s="128">
        <v>22323341.030000001</v>
      </c>
      <c r="H8715" s="128">
        <v>7550371.6600000001</v>
      </c>
      <c r="I8715" s="128">
        <v>121059</v>
      </c>
    </row>
    <row r="8716" spans="1:9" ht="13.5">
      <c r="A8716" s="128">
        <v>2015</v>
      </c>
      <c r="B8716" s="128" t="s">
        <v>138</v>
      </c>
      <c r="C8716" s="128" t="s">
        <v>20</v>
      </c>
      <c r="D8716" s="128" t="s">
        <v>77</v>
      </c>
      <c r="E8716" s="128" t="s">
        <v>132</v>
      </c>
      <c r="F8716" s="128">
        <v>1719868.98</v>
      </c>
      <c r="G8716" s="128">
        <v>1154979.8600000001</v>
      </c>
      <c r="H8716" s="128">
        <v>501381.8</v>
      </c>
      <c r="I8716" s="128">
        <v>6442</v>
      </c>
    </row>
    <row r="8717" spans="1:9" ht="13.5">
      <c r="A8717" s="128">
        <v>2015</v>
      </c>
      <c r="B8717" s="128" t="s">
        <v>138</v>
      </c>
      <c r="C8717" s="128" t="s">
        <v>20</v>
      </c>
      <c r="D8717" s="128" t="s">
        <v>77</v>
      </c>
      <c r="E8717" s="128" t="s">
        <v>133</v>
      </c>
      <c r="F8717" s="128">
        <v>1997833.63</v>
      </c>
      <c r="G8717" s="128">
        <v>1076539.06</v>
      </c>
      <c r="H8717" s="128">
        <v>740978.43</v>
      </c>
      <c r="I8717" s="128">
        <v>7679</v>
      </c>
    </row>
    <row r="8718" spans="1:9" ht="13.5">
      <c r="A8718" s="128">
        <v>2015</v>
      </c>
      <c r="B8718" s="128" t="s">
        <v>138</v>
      </c>
      <c r="C8718" s="128" t="s">
        <v>20</v>
      </c>
      <c r="D8718" s="128" t="s">
        <v>77</v>
      </c>
      <c r="E8718" s="128" t="s">
        <v>134</v>
      </c>
      <c r="F8718" s="128">
        <v>6463741.1100000003</v>
      </c>
      <c r="G8718" s="128">
        <v>2802660.77</v>
      </c>
      <c r="H8718" s="128">
        <v>2735550.57</v>
      </c>
      <c r="I8718" s="128">
        <v>16045</v>
      </c>
    </row>
    <row r="8719" spans="1:9" ht="13.5">
      <c r="A8719" s="128">
        <v>2015</v>
      </c>
      <c r="B8719" s="128" t="s">
        <v>138</v>
      </c>
      <c r="C8719" s="128" t="s">
        <v>20</v>
      </c>
      <c r="D8719" s="128" t="s">
        <v>77</v>
      </c>
      <c r="E8719" s="128" t="s">
        <v>135</v>
      </c>
      <c r="F8719" s="128">
        <v>9773798.0899999999</v>
      </c>
      <c r="G8719" s="128">
        <v>2646672.6800000002</v>
      </c>
      <c r="H8719" s="128">
        <v>2851886.07</v>
      </c>
      <c r="I8719" s="128">
        <v>37632</v>
      </c>
    </row>
    <row r="8720" spans="1:9" ht="13.5">
      <c r="A8720" s="128">
        <v>2015</v>
      </c>
      <c r="B8720" s="128" t="s">
        <v>138</v>
      </c>
      <c r="C8720" s="128" t="s">
        <v>20</v>
      </c>
      <c r="D8720" s="128" t="s">
        <v>76</v>
      </c>
      <c r="E8720" s="128" t="s">
        <v>136</v>
      </c>
      <c r="F8720" s="128">
        <v>13718114.1</v>
      </c>
      <c r="G8720" s="128">
        <v>10315565.83</v>
      </c>
      <c r="H8720" s="128">
        <v>3402540.94</v>
      </c>
      <c r="I8720" s="128">
        <v>314755</v>
      </c>
    </row>
    <row r="8721" spans="1:9" ht="13.5">
      <c r="A8721" s="128">
        <v>2015</v>
      </c>
      <c r="B8721" s="128" t="s">
        <v>138</v>
      </c>
      <c r="C8721" s="128" t="s">
        <v>20</v>
      </c>
      <c r="D8721" s="128" t="s">
        <v>76</v>
      </c>
      <c r="E8721" s="128" t="s">
        <v>132</v>
      </c>
      <c r="F8721" s="128">
        <v>41654751.060000002</v>
      </c>
      <c r="G8721" s="128">
        <v>26605604.539999999</v>
      </c>
      <c r="H8721" s="128">
        <v>15049080</v>
      </c>
      <c r="I8721" s="128">
        <v>404595</v>
      </c>
    </row>
    <row r="8722" spans="1:9" ht="13.5">
      <c r="A8722" s="128">
        <v>2015</v>
      </c>
      <c r="B8722" s="128" t="s">
        <v>138</v>
      </c>
      <c r="C8722" s="128" t="s">
        <v>20</v>
      </c>
      <c r="D8722" s="128" t="s">
        <v>76</v>
      </c>
      <c r="E8722" s="128" t="s">
        <v>133</v>
      </c>
      <c r="F8722" s="128">
        <v>92867587.870000005</v>
      </c>
      <c r="G8722" s="128">
        <v>51134660.920000002</v>
      </c>
      <c r="H8722" s="128">
        <v>41732895.539999999</v>
      </c>
      <c r="I8722" s="128">
        <v>544719</v>
      </c>
    </row>
    <row r="8723" spans="1:9" ht="13.5">
      <c r="A8723" s="128">
        <v>2015</v>
      </c>
      <c r="B8723" s="128" t="s">
        <v>138</v>
      </c>
      <c r="C8723" s="128" t="s">
        <v>20</v>
      </c>
      <c r="D8723" s="128" t="s">
        <v>76</v>
      </c>
      <c r="E8723" s="128" t="s">
        <v>134</v>
      </c>
      <c r="F8723" s="128">
        <v>108137810.52</v>
      </c>
      <c r="G8723" s="128">
        <v>49348894.479999997</v>
      </c>
      <c r="H8723" s="128">
        <v>58788830.219999999</v>
      </c>
      <c r="I8723" s="128">
        <v>561736</v>
      </c>
    </row>
    <row r="8724" spans="1:9" ht="13.5">
      <c r="A8724" s="128">
        <v>2015</v>
      </c>
      <c r="B8724" s="128" t="s">
        <v>138</v>
      </c>
      <c r="C8724" s="128" t="s">
        <v>20</v>
      </c>
      <c r="D8724" s="128" t="s">
        <v>76</v>
      </c>
      <c r="E8724" s="128" t="s">
        <v>135</v>
      </c>
      <c r="F8724" s="128">
        <v>9510914.9299999997</v>
      </c>
      <c r="G8724" s="128">
        <v>2971627.7</v>
      </c>
      <c r="H8724" s="128">
        <v>6539287</v>
      </c>
      <c r="I8724" s="128">
        <v>30596</v>
      </c>
    </row>
    <row r="8725" spans="1:9" ht="13.5">
      <c r="A8725" s="128">
        <v>2015</v>
      </c>
      <c r="B8725" s="128" t="s">
        <v>138</v>
      </c>
      <c r="C8725" s="128" t="s">
        <v>21</v>
      </c>
      <c r="D8725" s="128" t="s">
        <v>79</v>
      </c>
      <c r="E8725" s="128" t="s">
        <v>136</v>
      </c>
      <c r="F8725" s="128">
        <v>13566837.92</v>
      </c>
      <c r="G8725" s="128">
        <v>10189795.43</v>
      </c>
      <c r="H8725" s="128">
        <v>3373632.91</v>
      </c>
      <c r="I8725" s="128">
        <v>259632</v>
      </c>
    </row>
    <row r="8726" spans="1:9" ht="13.5">
      <c r="A8726" s="128">
        <v>2015</v>
      </c>
      <c r="B8726" s="128" t="s">
        <v>138</v>
      </c>
      <c r="C8726" s="128" t="s">
        <v>21</v>
      </c>
      <c r="D8726" s="128" t="s">
        <v>79</v>
      </c>
      <c r="E8726" s="128" t="s">
        <v>132</v>
      </c>
      <c r="F8726" s="128">
        <v>1778588.18</v>
      </c>
      <c r="G8726" s="128">
        <v>1170848.23</v>
      </c>
      <c r="H8726" s="128">
        <v>435973.29</v>
      </c>
      <c r="I8726" s="128">
        <v>10024</v>
      </c>
    </row>
    <row r="8727" spans="1:9" ht="13.5">
      <c r="A8727" s="128">
        <v>2015</v>
      </c>
      <c r="B8727" s="128" t="s">
        <v>138</v>
      </c>
      <c r="C8727" s="128" t="s">
        <v>21</v>
      </c>
      <c r="D8727" s="128" t="s">
        <v>79</v>
      </c>
      <c r="E8727" s="128" t="s">
        <v>133</v>
      </c>
      <c r="F8727" s="128">
        <v>6385075.2400000002</v>
      </c>
      <c r="G8727" s="128">
        <v>3530703.49</v>
      </c>
      <c r="H8727" s="128">
        <v>2267134.69</v>
      </c>
      <c r="I8727" s="128">
        <v>116340</v>
      </c>
    </row>
    <row r="8728" spans="1:9" ht="13.5">
      <c r="A8728" s="128">
        <v>2015</v>
      </c>
      <c r="B8728" s="128" t="s">
        <v>138</v>
      </c>
      <c r="C8728" s="128" t="s">
        <v>21</v>
      </c>
      <c r="D8728" s="128" t="s">
        <v>79</v>
      </c>
      <c r="E8728" s="128" t="s">
        <v>134</v>
      </c>
      <c r="F8728" s="128">
        <v>7302487.6500000004</v>
      </c>
      <c r="G8728" s="128">
        <v>3129224.18</v>
      </c>
      <c r="H8728" s="128">
        <v>2092124.82</v>
      </c>
      <c r="I8728" s="128">
        <v>38130</v>
      </c>
    </row>
    <row r="8729" spans="1:9" ht="13.5">
      <c r="A8729" s="128">
        <v>2015</v>
      </c>
      <c r="B8729" s="128" t="s">
        <v>138</v>
      </c>
      <c r="C8729" s="128" t="s">
        <v>21</v>
      </c>
      <c r="D8729" s="128" t="s">
        <v>79</v>
      </c>
      <c r="E8729" s="128" t="s">
        <v>135</v>
      </c>
      <c r="F8729" s="128">
        <v>23142821.699999999</v>
      </c>
      <c r="G8729" s="128">
        <v>5778944.7800000003</v>
      </c>
      <c r="H8729" s="128">
        <v>2106066.3199999998</v>
      </c>
      <c r="I8729" s="128">
        <v>36747</v>
      </c>
    </row>
    <row r="8730" spans="1:9" ht="13.5">
      <c r="A8730" s="128">
        <v>2015</v>
      </c>
      <c r="B8730" s="128" t="s">
        <v>138</v>
      </c>
      <c r="C8730" s="128" t="s">
        <v>21</v>
      </c>
      <c r="D8730" s="128" t="s">
        <v>77</v>
      </c>
      <c r="E8730" s="128" t="s">
        <v>132</v>
      </c>
      <c r="F8730" s="128">
        <v>2364038.94</v>
      </c>
      <c r="G8730" s="128">
        <v>1584175.35</v>
      </c>
      <c r="H8730" s="128">
        <v>697476.47</v>
      </c>
      <c r="I8730" s="128">
        <v>10924</v>
      </c>
    </row>
    <row r="8731" spans="1:9" ht="13.5">
      <c r="A8731" s="128">
        <v>2015</v>
      </c>
      <c r="B8731" s="128" t="s">
        <v>138</v>
      </c>
      <c r="C8731" s="128" t="s">
        <v>21</v>
      </c>
      <c r="D8731" s="128" t="s">
        <v>77</v>
      </c>
      <c r="E8731" s="128" t="s">
        <v>133</v>
      </c>
      <c r="F8731" s="128">
        <v>4704244.16</v>
      </c>
      <c r="G8731" s="128">
        <v>2559209.08</v>
      </c>
      <c r="H8731" s="128">
        <v>1707280.09</v>
      </c>
      <c r="I8731" s="128">
        <v>18303</v>
      </c>
    </row>
    <row r="8732" spans="1:9" ht="13.5">
      <c r="A8732" s="128">
        <v>2015</v>
      </c>
      <c r="B8732" s="128" t="s">
        <v>138</v>
      </c>
      <c r="C8732" s="128" t="s">
        <v>21</v>
      </c>
      <c r="D8732" s="128" t="s">
        <v>77</v>
      </c>
      <c r="E8732" s="128" t="s">
        <v>134</v>
      </c>
      <c r="F8732" s="128">
        <v>8413575.8200000003</v>
      </c>
      <c r="G8732" s="128">
        <v>3622940.84</v>
      </c>
      <c r="H8732" s="128">
        <v>3306707.18</v>
      </c>
      <c r="I8732" s="128">
        <v>20078</v>
      </c>
    </row>
    <row r="8733" spans="1:9" ht="13.5">
      <c r="A8733" s="128">
        <v>2015</v>
      </c>
      <c r="B8733" s="128" t="s">
        <v>138</v>
      </c>
      <c r="C8733" s="128" t="s">
        <v>21</v>
      </c>
      <c r="D8733" s="128" t="s">
        <v>77</v>
      </c>
      <c r="E8733" s="128" t="s">
        <v>135</v>
      </c>
      <c r="F8733" s="128">
        <v>11982922.359999999</v>
      </c>
      <c r="G8733" s="128">
        <v>3459495.15</v>
      </c>
      <c r="H8733" s="128">
        <v>3465072.15</v>
      </c>
      <c r="I8733" s="128">
        <v>51403</v>
      </c>
    </row>
    <row r="8734" spans="1:9" ht="13.5">
      <c r="A8734" s="128">
        <v>2015</v>
      </c>
      <c r="B8734" s="128" t="s">
        <v>138</v>
      </c>
      <c r="C8734" s="128" t="s">
        <v>21</v>
      </c>
      <c r="D8734" s="128" t="s">
        <v>76</v>
      </c>
      <c r="E8734" s="128" t="s">
        <v>136</v>
      </c>
      <c r="F8734" s="128">
        <v>13162193.130000001</v>
      </c>
      <c r="G8734" s="128">
        <v>9896184.6500000004</v>
      </c>
      <c r="H8734" s="128">
        <v>3266070.65</v>
      </c>
      <c r="I8734" s="128">
        <v>200303</v>
      </c>
    </row>
    <row r="8735" spans="1:9" ht="13.5">
      <c r="A8735" s="128">
        <v>2015</v>
      </c>
      <c r="B8735" s="128" t="s">
        <v>138</v>
      </c>
      <c r="C8735" s="128" t="s">
        <v>21</v>
      </c>
      <c r="D8735" s="128" t="s">
        <v>76</v>
      </c>
      <c r="E8735" s="128" t="s">
        <v>132</v>
      </c>
      <c r="F8735" s="128">
        <v>41702977.93</v>
      </c>
      <c r="G8735" s="128">
        <v>26574878.559999999</v>
      </c>
      <c r="H8735" s="128">
        <v>15127938.470000001</v>
      </c>
      <c r="I8735" s="128">
        <v>335995</v>
      </c>
    </row>
    <row r="8736" spans="1:9" ht="13.5">
      <c r="A8736" s="128">
        <v>2015</v>
      </c>
      <c r="B8736" s="128" t="s">
        <v>138</v>
      </c>
      <c r="C8736" s="128" t="s">
        <v>21</v>
      </c>
      <c r="D8736" s="128" t="s">
        <v>76</v>
      </c>
      <c r="E8736" s="128" t="s">
        <v>133</v>
      </c>
      <c r="F8736" s="128">
        <v>100989394.62</v>
      </c>
      <c r="G8736" s="128">
        <v>55462581.020000003</v>
      </c>
      <c r="H8736" s="128">
        <v>45526781.710000001</v>
      </c>
      <c r="I8736" s="128">
        <v>652686</v>
      </c>
    </row>
    <row r="8737" spans="1:9" ht="13.5">
      <c r="A8737" s="128">
        <v>2015</v>
      </c>
      <c r="B8737" s="128" t="s">
        <v>138</v>
      </c>
      <c r="C8737" s="128" t="s">
        <v>21</v>
      </c>
      <c r="D8737" s="128" t="s">
        <v>76</v>
      </c>
      <c r="E8737" s="128" t="s">
        <v>134</v>
      </c>
      <c r="F8737" s="128">
        <v>106962817.3</v>
      </c>
      <c r="G8737" s="128">
        <v>47827804.299999997</v>
      </c>
      <c r="H8737" s="128">
        <v>59134961.159999996</v>
      </c>
      <c r="I8737" s="128">
        <v>552212</v>
      </c>
    </row>
    <row r="8738" spans="1:9" ht="13.5">
      <c r="A8738" s="128">
        <v>2015</v>
      </c>
      <c r="B8738" s="128" t="s">
        <v>138</v>
      </c>
      <c r="C8738" s="128" t="s">
        <v>21</v>
      </c>
      <c r="D8738" s="128" t="s">
        <v>76</v>
      </c>
      <c r="E8738" s="128" t="s">
        <v>135</v>
      </c>
      <c r="F8738" s="128">
        <v>4451931.47</v>
      </c>
      <c r="G8738" s="128">
        <v>1272551.74</v>
      </c>
      <c r="H8738" s="128">
        <v>3179379.27</v>
      </c>
      <c r="I8738" s="128">
        <v>10506</v>
      </c>
    </row>
    <row r="8739" spans="1:9" ht="13.5">
      <c r="A8739" s="128">
        <v>2015</v>
      </c>
      <c r="B8739" s="128" t="s">
        <v>138</v>
      </c>
      <c r="C8739" s="128" t="s">
        <v>22</v>
      </c>
      <c r="D8739" s="128" t="s">
        <v>79</v>
      </c>
      <c r="E8739" s="128" t="s">
        <v>136</v>
      </c>
      <c r="F8739" s="128">
        <v>11033072.880000001</v>
      </c>
      <c r="G8739" s="128">
        <v>8274125</v>
      </c>
      <c r="H8739" s="128">
        <v>2748248.27</v>
      </c>
      <c r="I8739" s="128">
        <v>161507</v>
      </c>
    </row>
    <row r="8740" spans="1:9" ht="13.5">
      <c r="A8740" s="128">
        <v>2015</v>
      </c>
      <c r="B8740" s="128" t="s">
        <v>138</v>
      </c>
      <c r="C8740" s="128" t="s">
        <v>22</v>
      </c>
      <c r="D8740" s="128" t="s">
        <v>79</v>
      </c>
      <c r="E8740" s="128" t="s">
        <v>132</v>
      </c>
      <c r="F8740" s="128">
        <v>3058215.8</v>
      </c>
      <c r="G8740" s="128">
        <v>1972458.04</v>
      </c>
      <c r="H8740" s="128">
        <v>931536.49</v>
      </c>
      <c r="I8740" s="128">
        <v>36064</v>
      </c>
    </row>
    <row r="8741" spans="1:9" ht="13.5">
      <c r="A8741" s="128">
        <v>2015</v>
      </c>
      <c r="B8741" s="128" t="s">
        <v>138</v>
      </c>
      <c r="C8741" s="128" t="s">
        <v>22</v>
      </c>
      <c r="D8741" s="128" t="s">
        <v>79</v>
      </c>
      <c r="E8741" s="128" t="s">
        <v>133</v>
      </c>
      <c r="F8741" s="128">
        <v>7753216.2800000003</v>
      </c>
      <c r="G8741" s="128">
        <v>4297952.88</v>
      </c>
      <c r="H8741" s="128">
        <v>2691901.43</v>
      </c>
      <c r="I8741" s="128">
        <v>149955</v>
      </c>
    </row>
    <row r="8742" spans="1:9" ht="13.5">
      <c r="A8742" s="128">
        <v>2015</v>
      </c>
      <c r="B8742" s="128" t="s">
        <v>138</v>
      </c>
      <c r="C8742" s="128" t="s">
        <v>22</v>
      </c>
      <c r="D8742" s="128" t="s">
        <v>79</v>
      </c>
      <c r="E8742" s="128" t="s">
        <v>134</v>
      </c>
      <c r="F8742" s="128">
        <v>9311179.5199999996</v>
      </c>
      <c r="G8742" s="128">
        <v>4045063.68</v>
      </c>
      <c r="H8742" s="128">
        <v>2668963.33</v>
      </c>
      <c r="I8742" s="128">
        <v>42370</v>
      </c>
    </row>
    <row r="8743" spans="1:9" ht="13.5">
      <c r="A8743" s="128">
        <v>2015</v>
      </c>
      <c r="B8743" s="128" t="s">
        <v>138</v>
      </c>
      <c r="C8743" s="128" t="s">
        <v>22</v>
      </c>
      <c r="D8743" s="128" t="s">
        <v>79</v>
      </c>
      <c r="E8743" s="128" t="s">
        <v>135</v>
      </c>
      <c r="F8743" s="128">
        <v>42869175.450000003</v>
      </c>
      <c r="G8743" s="128">
        <v>10648949.300000001</v>
      </c>
      <c r="H8743" s="128">
        <v>3670952.25</v>
      </c>
      <c r="I8743" s="128">
        <v>56477</v>
      </c>
    </row>
    <row r="8744" spans="1:9" ht="13.5">
      <c r="A8744" s="128">
        <v>2015</v>
      </c>
      <c r="B8744" s="128" t="s">
        <v>138</v>
      </c>
      <c r="C8744" s="128" t="s">
        <v>22</v>
      </c>
      <c r="D8744" s="128" t="s">
        <v>77</v>
      </c>
      <c r="E8744" s="128" t="s">
        <v>132</v>
      </c>
      <c r="F8744" s="128">
        <v>1104599.54</v>
      </c>
      <c r="G8744" s="128">
        <v>730984.89</v>
      </c>
      <c r="H8744" s="128">
        <v>329567.07</v>
      </c>
      <c r="I8744" s="128">
        <v>4325</v>
      </c>
    </row>
    <row r="8745" spans="1:9" ht="13.5">
      <c r="A8745" s="128">
        <v>2015</v>
      </c>
      <c r="B8745" s="128" t="s">
        <v>138</v>
      </c>
      <c r="C8745" s="128" t="s">
        <v>22</v>
      </c>
      <c r="D8745" s="128" t="s">
        <v>77</v>
      </c>
      <c r="E8745" s="128" t="s">
        <v>133</v>
      </c>
      <c r="F8745" s="128">
        <v>1873734.31</v>
      </c>
      <c r="G8745" s="128">
        <v>1010354.52</v>
      </c>
      <c r="H8745" s="128">
        <v>698500.57</v>
      </c>
      <c r="I8745" s="128">
        <v>8429</v>
      </c>
    </row>
    <row r="8746" spans="1:9" ht="13.5">
      <c r="A8746" s="128">
        <v>2015</v>
      </c>
      <c r="B8746" s="128" t="s">
        <v>138</v>
      </c>
      <c r="C8746" s="128" t="s">
        <v>22</v>
      </c>
      <c r="D8746" s="128" t="s">
        <v>77</v>
      </c>
      <c r="E8746" s="128" t="s">
        <v>134</v>
      </c>
      <c r="F8746" s="128">
        <v>6700253.9699999997</v>
      </c>
      <c r="G8746" s="128">
        <v>2849962.59</v>
      </c>
      <c r="H8746" s="128">
        <v>2766532.2</v>
      </c>
      <c r="I8746" s="128">
        <v>11901</v>
      </c>
    </row>
    <row r="8747" spans="1:9" ht="13.5">
      <c r="A8747" s="128">
        <v>2015</v>
      </c>
      <c r="B8747" s="128" t="s">
        <v>138</v>
      </c>
      <c r="C8747" s="128" t="s">
        <v>22</v>
      </c>
      <c r="D8747" s="128" t="s">
        <v>77</v>
      </c>
      <c r="E8747" s="128" t="s">
        <v>135</v>
      </c>
      <c r="F8747" s="128">
        <v>11554368.42</v>
      </c>
      <c r="G8747" s="128">
        <v>3405593.75</v>
      </c>
      <c r="H8747" s="128">
        <v>3744553.71</v>
      </c>
      <c r="I8747" s="128">
        <v>25883</v>
      </c>
    </row>
    <row r="8748" spans="1:9" ht="13.5">
      <c r="A8748" s="128">
        <v>2015</v>
      </c>
      <c r="B8748" s="128" t="s">
        <v>138</v>
      </c>
      <c r="C8748" s="128" t="s">
        <v>22</v>
      </c>
      <c r="D8748" s="128" t="s">
        <v>76</v>
      </c>
      <c r="E8748" s="128" t="s">
        <v>136</v>
      </c>
      <c r="F8748" s="128">
        <v>11172116.58</v>
      </c>
      <c r="G8748" s="128">
        <v>8395334.5800000001</v>
      </c>
      <c r="H8748" s="128">
        <v>2776751.71</v>
      </c>
      <c r="I8748" s="128">
        <v>225319</v>
      </c>
    </row>
    <row r="8749" spans="1:9" ht="13.5">
      <c r="A8749" s="128">
        <v>2015</v>
      </c>
      <c r="B8749" s="128" t="s">
        <v>138</v>
      </c>
      <c r="C8749" s="128" t="s">
        <v>22</v>
      </c>
      <c r="D8749" s="128" t="s">
        <v>76</v>
      </c>
      <c r="E8749" s="128" t="s">
        <v>132</v>
      </c>
      <c r="F8749" s="128">
        <v>35876761.530000001</v>
      </c>
      <c r="G8749" s="128">
        <v>22899629.030000001</v>
      </c>
      <c r="H8749" s="128">
        <v>12977016.310000001</v>
      </c>
      <c r="I8749" s="128">
        <v>349308</v>
      </c>
    </row>
    <row r="8750" spans="1:9" ht="13.5">
      <c r="A8750" s="128">
        <v>2015</v>
      </c>
      <c r="B8750" s="128" t="s">
        <v>138</v>
      </c>
      <c r="C8750" s="128" t="s">
        <v>22</v>
      </c>
      <c r="D8750" s="128" t="s">
        <v>76</v>
      </c>
      <c r="E8750" s="128" t="s">
        <v>133</v>
      </c>
      <c r="F8750" s="128">
        <v>70926903.730000004</v>
      </c>
      <c r="G8750" s="128">
        <v>39100851.710000001</v>
      </c>
      <c r="H8750" s="128">
        <v>31825618.030000001</v>
      </c>
      <c r="I8750" s="128">
        <v>478396</v>
      </c>
    </row>
    <row r="8751" spans="1:9" ht="13.5">
      <c r="A8751" s="128">
        <v>2015</v>
      </c>
      <c r="B8751" s="128" t="s">
        <v>138</v>
      </c>
      <c r="C8751" s="128" t="s">
        <v>22</v>
      </c>
      <c r="D8751" s="128" t="s">
        <v>76</v>
      </c>
      <c r="E8751" s="128" t="s">
        <v>134</v>
      </c>
      <c r="F8751" s="128">
        <v>68268261.150000006</v>
      </c>
      <c r="G8751" s="128">
        <v>31283615.109999999</v>
      </c>
      <c r="H8751" s="128">
        <v>36984405.810000002</v>
      </c>
      <c r="I8751" s="128">
        <v>423242</v>
      </c>
    </row>
    <row r="8752" spans="1:9" ht="13.5">
      <c r="A8752" s="128">
        <v>2015</v>
      </c>
      <c r="B8752" s="128" t="s">
        <v>138</v>
      </c>
      <c r="C8752" s="128" t="s">
        <v>22</v>
      </c>
      <c r="D8752" s="128" t="s">
        <v>76</v>
      </c>
      <c r="E8752" s="128" t="s">
        <v>135</v>
      </c>
      <c r="F8752" s="128">
        <v>6287257.3700000001</v>
      </c>
      <c r="G8752" s="128">
        <v>1860664.29</v>
      </c>
      <c r="H8752" s="128">
        <v>4426592.88</v>
      </c>
      <c r="I8752" s="128">
        <v>11156</v>
      </c>
    </row>
    <row r="8753" spans="1:9" ht="13.5">
      <c r="A8753" s="128">
        <v>2015</v>
      </c>
      <c r="B8753" s="128" t="s">
        <v>138</v>
      </c>
      <c r="C8753" s="128" t="s">
        <v>23</v>
      </c>
      <c r="D8753" s="128" t="s">
        <v>79</v>
      </c>
      <c r="E8753" s="128" t="s">
        <v>136</v>
      </c>
      <c r="F8753" s="128">
        <v>2936237.77</v>
      </c>
      <c r="G8753" s="128">
        <v>2204422.69</v>
      </c>
      <c r="H8753" s="128">
        <v>731772.14</v>
      </c>
      <c r="I8753" s="128">
        <v>30255</v>
      </c>
    </row>
    <row r="8754" spans="1:9" ht="13.5">
      <c r="A8754" s="128">
        <v>2015</v>
      </c>
      <c r="B8754" s="128" t="s">
        <v>138</v>
      </c>
      <c r="C8754" s="128" t="s">
        <v>23</v>
      </c>
      <c r="D8754" s="128" t="s">
        <v>79</v>
      </c>
      <c r="E8754" s="128" t="s">
        <v>132</v>
      </c>
      <c r="F8754" s="128">
        <v>598956.54</v>
      </c>
      <c r="G8754" s="128">
        <v>375685.07</v>
      </c>
      <c r="H8754" s="128">
        <v>203780.43</v>
      </c>
      <c r="I8754" s="128">
        <v>3478</v>
      </c>
    </row>
    <row r="8755" spans="1:9" ht="13.5">
      <c r="A8755" s="128">
        <v>2015</v>
      </c>
      <c r="B8755" s="128" t="s">
        <v>138</v>
      </c>
      <c r="C8755" s="128" t="s">
        <v>23</v>
      </c>
      <c r="D8755" s="128" t="s">
        <v>79</v>
      </c>
      <c r="E8755" s="128" t="s">
        <v>133</v>
      </c>
      <c r="F8755" s="128">
        <v>1159529.51</v>
      </c>
      <c r="G8755" s="128">
        <v>629464.43999999994</v>
      </c>
      <c r="H8755" s="128">
        <v>445298.25</v>
      </c>
      <c r="I8755" s="128">
        <v>10739</v>
      </c>
    </row>
    <row r="8756" spans="1:9" ht="13.5">
      <c r="A8756" s="128">
        <v>2015</v>
      </c>
      <c r="B8756" s="128" t="s">
        <v>138</v>
      </c>
      <c r="C8756" s="128" t="s">
        <v>23</v>
      </c>
      <c r="D8756" s="128" t="s">
        <v>79</v>
      </c>
      <c r="E8756" s="128" t="s">
        <v>134</v>
      </c>
      <c r="F8756" s="128">
        <v>1682610.66</v>
      </c>
      <c r="G8756" s="128">
        <v>730805.39</v>
      </c>
      <c r="H8756" s="128">
        <v>803671.95</v>
      </c>
      <c r="I8756" s="128">
        <v>6367</v>
      </c>
    </row>
    <row r="8757" spans="1:9" ht="13.5">
      <c r="A8757" s="128">
        <v>2015</v>
      </c>
      <c r="B8757" s="128" t="s">
        <v>138</v>
      </c>
      <c r="C8757" s="128" t="s">
        <v>23</v>
      </c>
      <c r="D8757" s="128" t="s">
        <v>79</v>
      </c>
      <c r="E8757" s="128" t="s">
        <v>135</v>
      </c>
      <c r="F8757" s="128">
        <v>1807914.68</v>
      </c>
      <c r="G8757" s="128">
        <v>443121.5</v>
      </c>
      <c r="H8757" s="128">
        <v>205063.56</v>
      </c>
      <c r="I8757" s="128">
        <v>3261</v>
      </c>
    </row>
    <row r="8758" spans="1:9" ht="13.5">
      <c r="A8758" s="128">
        <v>2015</v>
      </c>
      <c r="B8758" s="128" t="s">
        <v>138</v>
      </c>
      <c r="C8758" s="128" t="s">
        <v>23</v>
      </c>
      <c r="D8758" s="128" t="s">
        <v>77</v>
      </c>
      <c r="E8758" s="128" t="s">
        <v>132</v>
      </c>
      <c r="F8758" s="128">
        <v>403619.19</v>
      </c>
      <c r="G8758" s="128">
        <v>271762.44</v>
      </c>
      <c r="H8758" s="128">
        <v>116767.2</v>
      </c>
      <c r="I8758" s="128">
        <v>1594</v>
      </c>
    </row>
    <row r="8759" spans="1:9" ht="13.5">
      <c r="A8759" s="128">
        <v>2015</v>
      </c>
      <c r="B8759" s="128" t="s">
        <v>138</v>
      </c>
      <c r="C8759" s="128" t="s">
        <v>23</v>
      </c>
      <c r="D8759" s="128" t="s">
        <v>77</v>
      </c>
      <c r="E8759" s="128" t="s">
        <v>133</v>
      </c>
      <c r="F8759" s="128">
        <v>597354.64</v>
      </c>
      <c r="G8759" s="128">
        <v>321357.25</v>
      </c>
      <c r="H8759" s="128">
        <v>221687.04000000001</v>
      </c>
      <c r="I8759" s="128">
        <v>1964</v>
      </c>
    </row>
    <row r="8760" spans="1:9" ht="13.5">
      <c r="A8760" s="128">
        <v>2015</v>
      </c>
      <c r="B8760" s="128" t="s">
        <v>138</v>
      </c>
      <c r="C8760" s="128" t="s">
        <v>23</v>
      </c>
      <c r="D8760" s="128" t="s">
        <v>77</v>
      </c>
      <c r="E8760" s="128" t="s">
        <v>134</v>
      </c>
      <c r="F8760" s="128">
        <v>2868822</v>
      </c>
      <c r="G8760" s="128">
        <v>1200892.3999999999</v>
      </c>
      <c r="H8760" s="128">
        <v>1253524.8700000001</v>
      </c>
      <c r="I8760" s="128">
        <v>5236</v>
      </c>
    </row>
    <row r="8761" spans="1:9" ht="13.5">
      <c r="A8761" s="128">
        <v>2015</v>
      </c>
      <c r="B8761" s="128" t="s">
        <v>138</v>
      </c>
      <c r="C8761" s="128" t="s">
        <v>23</v>
      </c>
      <c r="D8761" s="128" t="s">
        <v>77</v>
      </c>
      <c r="E8761" s="128" t="s">
        <v>135</v>
      </c>
      <c r="F8761" s="128">
        <v>3443948.6</v>
      </c>
      <c r="G8761" s="128">
        <v>1055662.1499999999</v>
      </c>
      <c r="H8761" s="128">
        <v>1286934.18</v>
      </c>
      <c r="I8761" s="128">
        <v>18029</v>
      </c>
    </row>
    <row r="8762" spans="1:9" ht="13.5">
      <c r="A8762" s="128">
        <v>2015</v>
      </c>
      <c r="B8762" s="128" t="s">
        <v>138</v>
      </c>
      <c r="C8762" s="128" t="s">
        <v>23</v>
      </c>
      <c r="D8762" s="128" t="s">
        <v>76</v>
      </c>
      <c r="E8762" s="128" t="s">
        <v>136</v>
      </c>
      <c r="F8762" s="128">
        <v>3917016.03</v>
      </c>
      <c r="G8762" s="128">
        <v>2944929.41</v>
      </c>
      <c r="H8762" s="128">
        <v>972084.84</v>
      </c>
      <c r="I8762" s="128">
        <v>58187</v>
      </c>
    </row>
    <row r="8763" spans="1:9" ht="13.5">
      <c r="A8763" s="128">
        <v>2015</v>
      </c>
      <c r="B8763" s="128" t="s">
        <v>138</v>
      </c>
      <c r="C8763" s="128" t="s">
        <v>23</v>
      </c>
      <c r="D8763" s="128" t="s">
        <v>76</v>
      </c>
      <c r="E8763" s="128" t="s">
        <v>132</v>
      </c>
      <c r="F8763" s="128">
        <v>8627828.3200000003</v>
      </c>
      <c r="G8763" s="128">
        <v>5509293.1299999999</v>
      </c>
      <c r="H8763" s="128">
        <v>3118488.81</v>
      </c>
      <c r="I8763" s="128">
        <v>75598</v>
      </c>
    </row>
    <row r="8764" spans="1:9" ht="13.5">
      <c r="A8764" s="128">
        <v>2015</v>
      </c>
      <c r="B8764" s="128" t="s">
        <v>138</v>
      </c>
      <c r="C8764" s="128" t="s">
        <v>23</v>
      </c>
      <c r="D8764" s="128" t="s">
        <v>76</v>
      </c>
      <c r="E8764" s="128" t="s">
        <v>133</v>
      </c>
      <c r="F8764" s="128">
        <v>23627155.780000001</v>
      </c>
      <c r="G8764" s="128">
        <v>12895072.449999999</v>
      </c>
      <c r="H8764" s="128">
        <v>10732068.32</v>
      </c>
      <c r="I8764" s="128">
        <v>195462</v>
      </c>
    </row>
    <row r="8765" spans="1:9" ht="13.5">
      <c r="A8765" s="128">
        <v>2015</v>
      </c>
      <c r="B8765" s="128" t="s">
        <v>138</v>
      </c>
      <c r="C8765" s="128" t="s">
        <v>23</v>
      </c>
      <c r="D8765" s="128" t="s">
        <v>76</v>
      </c>
      <c r="E8765" s="128" t="s">
        <v>134</v>
      </c>
      <c r="F8765" s="128">
        <v>44570625.509999998</v>
      </c>
      <c r="G8765" s="128">
        <v>19842332.170000002</v>
      </c>
      <c r="H8765" s="128">
        <v>24728284.399999999</v>
      </c>
      <c r="I8765" s="128">
        <v>169025</v>
      </c>
    </row>
    <row r="8766" spans="1:9" ht="13.5">
      <c r="A8766" s="128">
        <v>2015</v>
      </c>
      <c r="B8766" s="128" t="s">
        <v>138</v>
      </c>
      <c r="C8766" s="128" t="s">
        <v>23</v>
      </c>
      <c r="D8766" s="128" t="s">
        <v>76</v>
      </c>
      <c r="E8766" s="128" t="s">
        <v>135</v>
      </c>
      <c r="F8766" s="128">
        <v>1893694.51</v>
      </c>
      <c r="G8766" s="128">
        <v>539237.59</v>
      </c>
      <c r="H8766" s="128">
        <v>1354456.92</v>
      </c>
      <c r="I8766" s="128">
        <v>3625</v>
      </c>
    </row>
    <row r="8767" spans="1:9" ht="13.5">
      <c r="A8767" s="128">
        <v>2015</v>
      </c>
      <c r="B8767" s="128" t="s">
        <v>138</v>
      </c>
      <c r="C8767" s="128" t="s">
        <v>24</v>
      </c>
      <c r="D8767" s="128" t="s">
        <v>79</v>
      </c>
      <c r="E8767" s="128" t="s">
        <v>136</v>
      </c>
      <c r="F8767" s="128">
        <v>2202073.41</v>
      </c>
      <c r="G8767" s="128">
        <v>1653256.66</v>
      </c>
      <c r="H8767" s="128">
        <v>546724.19999999995</v>
      </c>
      <c r="I8767" s="128">
        <v>37780</v>
      </c>
    </row>
    <row r="8768" spans="1:9" ht="13.5">
      <c r="A8768" s="128">
        <v>2015</v>
      </c>
      <c r="B8768" s="128" t="s">
        <v>138</v>
      </c>
      <c r="C8768" s="128" t="s">
        <v>24</v>
      </c>
      <c r="D8768" s="128" t="s">
        <v>79</v>
      </c>
      <c r="E8768" s="128" t="s">
        <v>132</v>
      </c>
      <c r="F8768" s="128">
        <v>300522.28999999998</v>
      </c>
      <c r="G8768" s="128">
        <v>198401.7</v>
      </c>
      <c r="H8768" s="128">
        <v>77273.42</v>
      </c>
      <c r="I8768" s="128">
        <v>1755</v>
      </c>
    </row>
    <row r="8769" spans="1:9" ht="13.5">
      <c r="A8769" s="128">
        <v>2015</v>
      </c>
      <c r="B8769" s="128" t="s">
        <v>138</v>
      </c>
      <c r="C8769" s="128" t="s">
        <v>24</v>
      </c>
      <c r="D8769" s="128" t="s">
        <v>79</v>
      </c>
      <c r="E8769" s="128" t="s">
        <v>133</v>
      </c>
      <c r="F8769" s="128">
        <v>1842499.76</v>
      </c>
      <c r="G8769" s="128">
        <v>989507.51</v>
      </c>
      <c r="H8769" s="128">
        <v>466288.9</v>
      </c>
      <c r="I8769" s="128">
        <v>27450</v>
      </c>
    </row>
    <row r="8770" spans="1:9" ht="13.5">
      <c r="A8770" s="128">
        <v>2015</v>
      </c>
      <c r="B8770" s="128" t="s">
        <v>138</v>
      </c>
      <c r="C8770" s="128" t="s">
        <v>24</v>
      </c>
      <c r="D8770" s="128" t="s">
        <v>79</v>
      </c>
      <c r="E8770" s="128" t="s">
        <v>134</v>
      </c>
      <c r="F8770" s="128">
        <v>2421157.5699999998</v>
      </c>
      <c r="G8770" s="128">
        <v>1057979.23</v>
      </c>
      <c r="H8770" s="128">
        <v>523128.69</v>
      </c>
      <c r="I8770" s="128">
        <v>8603</v>
      </c>
    </row>
    <row r="8771" spans="1:9" ht="13.5">
      <c r="A8771" s="128">
        <v>2015</v>
      </c>
      <c r="B8771" s="128" t="s">
        <v>138</v>
      </c>
      <c r="C8771" s="128" t="s">
        <v>24</v>
      </c>
      <c r="D8771" s="128" t="s">
        <v>79</v>
      </c>
      <c r="E8771" s="128" t="s">
        <v>135</v>
      </c>
      <c r="F8771" s="128">
        <v>8032711.0499999998</v>
      </c>
      <c r="G8771" s="128">
        <v>1952113.89</v>
      </c>
      <c r="H8771" s="128">
        <v>691683.3</v>
      </c>
      <c r="I8771" s="128">
        <v>19034</v>
      </c>
    </row>
    <row r="8772" spans="1:9" ht="13.5">
      <c r="A8772" s="128">
        <v>2015</v>
      </c>
      <c r="B8772" s="128" t="s">
        <v>138</v>
      </c>
      <c r="C8772" s="128" t="s">
        <v>24</v>
      </c>
      <c r="D8772" s="128" t="s">
        <v>77</v>
      </c>
      <c r="E8772" s="128" t="s">
        <v>132</v>
      </c>
      <c r="F8772" s="128">
        <v>2135541.92</v>
      </c>
      <c r="G8772" s="128">
        <v>1486249.75</v>
      </c>
      <c r="H8772" s="128">
        <v>621252.94999999995</v>
      </c>
      <c r="I8772" s="128">
        <v>10977</v>
      </c>
    </row>
    <row r="8773" spans="1:9" ht="13.5">
      <c r="A8773" s="128">
        <v>2015</v>
      </c>
      <c r="B8773" s="128" t="s">
        <v>138</v>
      </c>
      <c r="C8773" s="128" t="s">
        <v>24</v>
      </c>
      <c r="D8773" s="128" t="s">
        <v>77</v>
      </c>
      <c r="E8773" s="128" t="s">
        <v>133</v>
      </c>
      <c r="F8773" s="128">
        <v>3771518.07</v>
      </c>
      <c r="G8773" s="128">
        <v>2032806.13</v>
      </c>
      <c r="H8773" s="128">
        <v>1559683.73</v>
      </c>
      <c r="I8773" s="128">
        <v>27294</v>
      </c>
    </row>
    <row r="8774" spans="1:9" ht="13.5">
      <c r="A8774" s="128">
        <v>2015</v>
      </c>
      <c r="B8774" s="128" t="s">
        <v>138</v>
      </c>
      <c r="C8774" s="128" t="s">
        <v>24</v>
      </c>
      <c r="D8774" s="128" t="s">
        <v>77</v>
      </c>
      <c r="E8774" s="128" t="s">
        <v>134</v>
      </c>
      <c r="F8774" s="128">
        <v>7585480.8200000003</v>
      </c>
      <c r="G8774" s="128">
        <v>3373300.6</v>
      </c>
      <c r="H8774" s="128">
        <v>2889656.49</v>
      </c>
      <c r="I8774" s="128">
        <v>17606</v>
      </c>
    </row>
    <row r="8775" spans="1:9" ht="13.5">
      <c r="A8775" s="128">
        <v>2015</v>
      </c>
      <c r="B8775" s="128" t="s">
        <v>138</v>
      </c>
      <c r="C8775" s="128" t="s">
        <v>24</v>
      </c>
      <c r="D8775" s="128" t="s">
        <v>77</v>
      </c>
      <c r="E8775" s="128" t="s">
        <v>135</v>
      </c>
      <c r="F8775" s="128">
        <v>11741214.970000001</v>
      </c>
      <c r="G8775" s="128">
        <v>3068524.9</v>
      </c>
      <c r="H8775" s="128">
        <v>1974959.04</v>
      </c>
      <c r="I8775" s="128">
        <v>18998</v>
      </c>
    </row>
    <row r="8776" spans="1:9" ht="13.5">
      <c r="A8776" s="128">
        <v>2015</v>
      </c>
      <c r="B8776" s="128" t="s">
        <v>138</v>
      </c>
      <c r="C8776" s="128" t="s">
        <v>24</v>
      </c>
      <c r="D8776" s="128" t="s">
        <v>76</v>
      </c>
      <c r="E8776" s="128" t="s">
        <v>136</v>
      </c>
      <c r="F8776" s="128">
        <v>2886756.81</v>
      </c>
      <c r="G8776" s="128">
        <v>2176158.86</v>
      </c>
      <c r="H8776" s="128">
        <v>710597.94</v>
      </c>
      <c r="I8776" s="128">
        <v>42630</v>
      </c>
    </row>
    <row r="8777" spans="1:9" ht="13.5">
      <c r="A8777" s="128">
        <v>2015</v>
      </c>
      <c r="B8777" s="128" t="s">
        <v>138</v>
      </c>
      <c r="C8777" s="128" t="s">
        <v>24</v>
      </c>
      <c r="D8777" s="128" t="s">
        <v>76</v>
      </c>
      <c r="E8777" s="128" t="s">
        <v>132</v>
      </c>
      <c r="F8777" s="128">
        <v>6756451.0999999996</v>
      </c>
      <c r="G8777" s="128">
        <v>4359039.1100000003</v>
      </c>
      <c r="H8777" s="128">
        <v>2397410.58</v>
      </c>
      <c r="I8777" s="128">
        <v>42387</v>
      </c>
    </row>
    <row r="8778" spans="1:9" ht="13.5">
      <c r="A8778" s="128">
        <v>2015</v>
      </c>
      <c r="B8778" s="128" t="s">
        <v>138</v>
      </c>
      <c r="C8778" s="128" t="s">
        <v>24</v>
      </c>
      <c r="D8778" s="128" t="s">
        <v>76</v>
      </c>
      <c r="E8778" s="128" t="s">
        <v>133</v>
      </c>
      <c r="F8778" s="128">
        <v>36609964.57</v>
      </c>
      <c r="G8778" s="128">
        <v>20303945.300000001</v>
      </c>
      <c r="H8778" s="128">
        <v>16306014.08</v>
      </c>
      <c r="I8778" s="128">
        <v>250960</v>
      </c>
    </row>
    <row r="8779" spans="1:9" ht="13.5">
      <c r="A8779" s="128">
        <v>2015</v>
      </c>
      <c r="B8779" s="128" t="s">
        <v>138</v>
      </c>
      <c r="C8779" s="128" t="s">
        <v>24</v>
      </c>
      <c r="D8779" s="128" t="s">
        <v>76</v>
      </c>
      <c r="E8779" s="128" t="s">
        <v>134</v>
      </c>
      <c r="F8779" s="128">
        <v>48934096.420000002</v>
      </c>
      <c r="G8779" s="128">
        <v>21678192.960000001</v>
      </c>
      <c r="H8779" s="128">
        <v>27255887.460000001</v>
      </c>
      <c r="I8779" s="128">
        <v>228133</v>
      </c>
    </row>
    <row r="8780" spans="1:9" ht="13.5">
      <c r="A8780" s="128">
        <v>2015</v>
      </c>
      <c r="B8780" s="128" t="s">
        <v>138</v>
      </c>
      <c r="C8780" s="128" t="s">
        <v>24</v>
      </c>
      <c r="D8780" s="128" t="s">
        <v>76</v>
      </c>
      <c r="E8780" s="128" t="s">
        <v>135</v>
      </c>
      <c r="F8780" s="128">
        <v>3351220.2</v>
      </c>
      <c r="G8780" s="128">
        <v>895121.77</v>
      </c>
      <c r="H8780" s="128">
        <v>2456098.4300000002</v>
      </c>
      <c r="I8780" s="128">
        <v>2759</v>
      </c>
    </row>
    <row r="8781" spans="1:9" ht="13.5">
      <c r="A8781" s="128">
        <v>2015</v>
      </c>
      <c r="B8781" s="128" t="s">
        <v>138</v>
      </c>
      <c r="C8781" s="128" t="s">
        <v>25</v>
      </c>
      <c r="D8781" s="128" t="s">
        <v>79</v>
      </c>
      <c r="E8781" s="128" t="s">
        <v>136</v>
      </c>
      <c r="F8781" s="128">
        <v>827537.38</v>
      </c>
      <c r="G8781" s="128">
        <v>621060.29</v>
      </c>
      <c r="H8781" s="128">
        <v>206477.09</v>
      </c>
      <c r="I8781" s="128">
        <v>12270</v>
      </c>
    </row>
    <row r="8782" spans="1:9" ht="13.5">
      <c r="A8782" s="128">
        <v>2015</v>
      </c>
      <c r="B8782" s="128" t="s">
        <v>138</v>
      </c>
      <c r="C8782" s="128" t="s">
        <v>25</v>
      </c>
      <c r="D8782" s="128" t="s">
        <v>79</v>
      </c>
      <c r="E8782" s="128" t="s">
        <v>132</v>
      </c>
      <c r="F8782" s="128">
        <v>387701.79</v>
      </c>
      <c r="G8782" s="128">
        <v>243304.59</v>
      </c>
      <c r="H8782" s="128">
        <v>137791.25</v>
      </c>
      <c r="I8782" s="128">
        <v>2493</v>
      </c>
    </row>
    <row r="8783" spans="1:9" ht="13.5">
      <c r="A8783" s="128">
        <v>2015</v>
      </c>
      <c r="B8783" s="128" t="s">
        <v>138</v>
      </c>
      <c r="C8783" s="128" t="s">
        <v>25</v>
      </c>
      <c r="D8783" s="128" t="s">
        <v>79</v>
      </c>
      <c r="E8783" s="128" t="s">
        <v>133</v>
      </c>
      <c r="F8783" s="128">
        <v>695052.25</v>
      </c>
      <c r="G8783" s="128">
        <v>394598.8</v>
      </c>
      <c r="H8783" s="128">
        <v>266509.09999999998</v>
      </c>
      <c r="I8783" s="128">
        <v>10428</v>
      </c>
    </row>
    <row r="8784" spans="1:9" ht="13.5">
      <c r="A8784" s="128">
        <v>2015</v>
      </c>
      <c r="B8784" s="128" t="s">
        <v>138</v>
      </c>
      <c r="C8784" s="128" t="s">
        <v>25</v>
      </c>
      <c r="D8784" s="128" t="s">
        <v>79</v>
      </c>
      <c r="E8784" s="128" t="s">
        <v>134</v>
      </c>
      <c r="F8784" s="128">
        <v>522108.66</v>
      </c>
      <c r="G8784" s="128">
        <v>230829.1</v>
      </c>
      <c r="H8784" s="128">
        <v>185578.09</v>
      </c>
      <c r="I8784" s="128">
        <v>2823</v>
      </c>
    </row>
    <row r="8785" spans="1:9" ht="13.5">
      <c r="A8785" s="128">
        <v>2015</v>
      </c>
      <c r="B8785" s="128" t="s">
        <v>138</v>
      </c>
      <c r="C8785" s="128" t="s">
        <v>25</v>
      </c>
      <c r="D8785" s="128" t="s">
        <v>79</v>
      </c>
      <c r="E8785" s="128" t="s">
        <v>135</v>
      </c>
      <c r="F8785" s="128">
        <v>1776869.79</v>
      </c>
      <c r="G8785" s="128">
        <v>412038.62</v>
      </c>
      <c r="H8785" s="128">
        <v>146736.15</v>
      </c>
      <c r="I8785" s="128">
        <v>1649</v>
      </c>
    </row>
    <row r="8786" spans="1:9" ht="13.5">
      <c r="A8786" s="128">
        <v>2015</v>
      </c>
      <c r="B8786" s="128" t="s">
        <v>138</v>
      </c>
      <c r="C8786" s="128" t="s">
        <v>25</v>
      </c>
      <c r="D8786" s="128" t="s">
        <v>77</v>
      </c>
      <c r="E8786" s="128" t="s">
        <v>132</v>
      </c>
      <c r="F8786" s="128">
        <v>187875.51</v>
      </c>
      <c r="G8786" s="128">
        <v>128330.75</v>
      </c>
      <c r="H8786" s="128">
        <v>50826.33</v>
      </c>
      <c r="I8786" s="128">
        <v>1009</v>
      </c>
    </row>
    <row r="8787" spans="1:9" ht="13.5">
      <c r="A8787" s="128">
        <v>2015</v>
      </c>
      <c r="B8787" s="128" t="s">
        <v>138</v>
      </c>
      <c r="C8787" s="128" t="s">
        <v>25</v>
      </c>
      <c r="D8787" s="128" t="s">
        <v>77</v>
      </c>
      <c r="E8787" s="128" t="s">
        <v>133</v>
      </c>
      <c r="F8787" s="128">
        <v>260801.82</v>
      </c>
      <c r="G8787" s="128">
        <v>139890.5</v>
      </c>
      <c r="H8787" s="128">
        <v>104184.66</v>
      </c>
      <c r="I8787" s="128">
        <v>869</v>
      </c>
    </row>
    <row r="8788" spans="1:9" ht="13.5">
      <c r="A8788" s="128">
        <v>2015</v>
      </c>
      <c r="B8788" s="128" t="s">
        <v>138</v>
      </c>
      <c r="C8788" s="128" t="s">
        <v>25</v>
      </c>
      <c r="D8788" s="128" t="s">
        <v>77</v>
      </c>
      <c r="E8788" s="128" t="s">
        <v>134</v>
      </c>
      <c r="F8788" s="128">
        <v>1030339.81</v>
      </c>
      <c r="G8788" s="128">
        <v>441434.2</v>
      </c>
      <c r="H8788" s="128">
        <v>437070.18</v>
      </c>
      <c r="I8788" s="128">
        <v>1985</v>
      </c>
    </row>
    <row r="8789" spans="1:9" ht="13.5">
      <c r="A8789" s="128">
        <v>2015</v>
      </c>
      <c r="B8789" s="128" t="s">
        <v>138</v>
      </c>
      <c r="C8789" s="128" t="s">
        <v>25</v>
      </c>
      <c r="D8789" s="128" t="s">
        <v>77</v>
      </c>
      <c r="E8789" s="128" t="s">
        <v>135</v>
      </c>
      <c r="F8789" s="128">
        <v>1253660.21</v>
      </c>
      <c r="G8789" s="128">
        <v>386049.5</v>
      </c>
      <c r="H8789" s="128">
        <v>438045.4</v>
      </c>
      <c r="I8789" s="128">
        <v>3291</v>
      </c>
    </row>
    <row r="8790" spans="1:9" ht="13.5">
      <c r="A8790" s="128">
        <v>2015</v>
      </c>
      <c r="B8790" s="128" t="s">
        <v>138</v>
      </c>
      <c r="C8790" s="128" t="s">
        <v>25</v>
      </c>
      <c r="D8790" s="128" t="s">
        <v>76</v>
      </c>
      <c r="E8790" s="128" t="s">
        <v>136</v>
      </c>
      <c r="F8790" s="128">
        <v>1844353.26</v>
      </c>
      <c r="G8790" s="128">
        <v>1385681.7</v>
      </c>
      <c r="H8790" s="128">
        <v>458671.48</v>
      </c>
      <c r="I8790" s="128">
        <v>25914</v>
      </c>
    </row>
    <row r="8791" spans="1:9" ht="13.5">
      <c r="A8791" s="128">
        <v>2015</v>
      </c>
      <c r="B8791" s="128" t="s">
        <v>138</v>
      </c>
      <c r="C8791" s="128" t="s">
        <v>25</v>
      </c>
      <c r="D8791" s="128" t="s">
        <v>76</v>
      </c>
      <c r="E8791" s="128" t="s">
        <v>132</v>
      </c>
      <c r="F8791" s="128">
        <v>2750728.71</v>
      </c>
      <c r="G8791" s="128">
        <v>1751469.31</v>
      </c>
      <c r="H8791" s="128">
        <v>999259.3</v>
      </c>
      <c r="I8791" s="128">
        <v>21520</v>
      </c>
    </row>
    <row r="8792" spans="1:9" ht="13.5">
      <c r="A8792" s="128">
        <v>2015</v>
      </c>
      <c r="B8792" s="128" t="s">
        <v>138</v>
      </c>
      <c r="C8792" s="128" t="s">
        <v>25</v>
      </c>
      <c r="D8792" s="128" t="s">
        <v>76</v>
      </c>
      <c r="E8792" s="128" t="s">
        <v>133</v>
      </c>
      <c r="F8792" s="128">
        <v>8111378.6200000001</v>
      </c>
      <c r="G8792" s="128">
        <v>4439910.4000000004</v>
      </c>
      <c r="H8792" s="128">
        <v>3671467.33</v>
      </c>
      <c r="I8792" s="128">
        <v>46249</v>
      </c>
    </row>
    <row r="8793" spans="1:9" ht="13.5">
      <c r="A8793" s="128">
        <v>2015</v>
      </c>
      <c r="B8793" s="128" t="s">
        <v>138</v>
      </c>
      <c r="C8793" s="128" t="s">
        <v>25</v>
      </c>
      <c r="D8793" s="128" t="s">
        <v>76</v>
      </c>
      <c r="E8793" s="128" t="s">
        <v>134</v>
      </c>
      <c r="F8793" s="128">
        <v>11197047.24</v>
      </c>
      <c r="G8793" s="128">
        <v>5130581.18</v>
      </c>
      <c r="H8793" s="128">
        <v>6066465.4800000004</v>
      </c>
      <c r="I8793" s="128">
        <v>51237</v>
      </c>
    </row>
    <row r="8794" spans="1:9" ht="13.5">
      <c r="A8794" s="128">
        <v>2015</v>
      </c>
      <c r="B8794" s="128" t="s">
        <v>138</v>
      </c>
      <c r="C8794" s="128" t="s">
        <v>25</v>
      </c>
      <c r="D8794" s="128" t="s">
        <v>76</v>
      </c>
      <c r="E8794" s="128" t="s">
        <v>135</v>
      </c>
      <c r="F8794" s="128">
        <v>581604.97</v>
      </c>
      <c r="G8794" s="128">
        <v>166729</v>
      </c>
      <c r="H8794" s="128">
        <v>414875.97</v>
      </c>
      <c r="I8794" s="128">
        <v>658</v>
      </c>
    </row>
    <row r="8795" spans="1:9" ht="13.5">
      <c r="A8795" s="128">
        <v>2015</v>
      </c>
      <c r="B8795" s="128" t="s">
        <v>138</v>
      </c>
      <c r="C8795" s="128" t="s">
        <v>26</v>
      </c>
      <c r="D8795" s="128" t="s">
        <v>79</v>
      </c>
      <c r="E8795" s="128" t="s">
        <v>136</v>
      </c>
      <c r="F8795" s="128">
        <v>1240690.1499999999</v>
      </c>
      <c r="G8795" s="128">
        <v>932330.78</v>
      </c>
      <c r="H8795" s="128">
        <v>307630.02</v>
      </c>
      <c r="I8795" s="128">
        <v>17908</v>
      </c>
    </row>
    <row r="8796" spans="1:9" ht="13.5">
      <c r="A8796" s="128">
        <v>2015</v>
      </c>
      <c r="B8796" s="128" t="s">
        <v>138</v>
      </c>
      <c r="C8796" s="128" t="s">
        <v>26</v>
      </c>
      <c r="D8796" s="128" t="s">
        <v>79</v>
      </c>
      <c r="E8796" s="128" t="s">
        <v>132</v>
      </c>
      <c r="F8796" s="128">
        <v>129688.85</v>
      </c>
      <c r="G8796" s="128">
        <v>86913.45</v>
      </c>
      <c r="H8796" s="128">
        <v>35765.300000000003</v>
      </c>
      <c r="I8796" s="128">
        <v>807</v>
      </c>
    </row>
    <row r="8797" spans="1:9" ht="13.5">
      <c r="A8797" s="128">
        <v>2015</v>
      </c>
      <c r="B8797" s="128" t="s">
        <v>138</v>
      </c>
      <c r="C8797" s="128" t="s">
        <v>26</v>
      </c>
      <c r="D8797" s="128" t="s">
        <v>79</v>
      </c>
      <c r="E8797" s="128" t="s">
        <v>133</v>
      </c>
      <c r="F8797" s="128">
        <v>447990.56</v>
      </c>
      <c r="G8797" s="128">
        <v>255184.82</v>
      </c>
      <c r="H8797" s="128">
        <v>167267.62</v>
      </c>
      <c r="I8797" s="128">
        <v>6467</v>
      </c>
    </row>
    <row r="8798" spans="1:9" ht="13.5">
      <c r="A8798" s="128">
        <v>2015</v>
      </c>
      <c r="B8798" s="128" t="s">
        <v>138</v>
      </c>
      <c r="C8798" s="128" t="s">
        <v>26</v>
      </c>
      <c r="D8798" s="128" t="s">
        <v>79</v>
      </c>
      <c r="E8798" s="128" t="s">
        <v>134</v>
      </c>
      <c r="F8798" s="128">
        <v>730480.17</v>
      </c>
      <c r="G8798" s="128">
        <v>309054.33</v>
      </c>
      <c r="H8798" s="128">
        <v>144216.66</v>
      </c>
      <c r="I8798" s="128">
        <v>3044</v>
      </c>
    </row>
    <row r="8799" spans="1:9" ht="13.5">
      <c r="A8799" s="128">
        <v>2015</v>
      </c>
      <c r="B8799" s="128" t="s">
        <v>138</v>
      </c>
      <c r="C8799" s="128" t="s">
        <v>26</v>
      </c>
      <c r="D8799" s="128" t="s">
        <v>79</v>
      </c>
      <c r="E8799" s="128" t="s">
        <v>135</v>
      </c>
      <c r="F8799" s="128">
        <v>7766550.7599999998</v>
      </c>
      <c r="G8799" s="128">
        <v>1840155.27</v>
      </c>
      <c r="H8799" s="128">
        <v>623591.79</v>
      </c>
      <c r="I8799" s="128">
        <v>9342</v>
      </c>
    </row>
    <row r="8800" spans="1:9" ht="13.5">
      <c r="A8800" s="128">
        <v>2015</v>
      </c>
      <c r="B8800" s="128" t="s">
        <v>138</v>
      </c>
      <c r="C8800" s="128" t="s">
        <v>26</v>
      </c>
      <c r="D8800" s="128" t="s">
        <v>77</v>
      </c>
      <c r="E8800" s="128" t="s">
        <v>132</v>
      </c>
      <c r="F8800" s="128">
        <v>29965.83</v>
      </c>
      <c r="G8800" s="128">
        <v>19497.900000000001</v>
      </c>
      <c r="H8800" s="128">
        <v>9311.3700000000008</v>
      </c>
      <c r="I8800" s="128">
        <v>115</v>
      </c>
    </row>
    <row r="8801" spans="1:9" ht="13.5">
      <c r="A8801" s="128">
        <v>2015</v>
      </c>
      <c r="B8801" s="128" t="s">
        <v>138</v>
      </c>
      <c r="C8801" s="128" t="s">
        <v>26</v>
      </c>
      <c r="D8801" s="128" t="s">
        <v>77</v>
      </c>
      <c r="E8801" s="128" t="s">
        <v>133</v>
      </c>
      <c r="F8801" s="128">
        <v>99719.76</v>
      </c>
      <c r="G8801" s="128">
        <v>55635.45</v>
      </c>
      <c r="H8801" s="128">
        <v>35502.31</v>
      </c>
      <c r="I8801" s="128">
        <v>345</v>
      </c>
    </row>
    <row r="8802" spans="1:9" ht="13.5">
      <c r="A8802" s="128">
        <v>2015</v>
      </c>
      <c r="B8802" s="128" t="s">
        <v>138</v>
      </c>
      <c r="C8802" s="128" t="s">
        <v>26</v>
      </c>
      <c r="D8802" s="128" t="s">
        <v>77</v>
      </c>
      <c r="E8802" s="128" t="s">
        <v>134</v>
      </c>
      <c r="F8802" s="128">
        <v>333889.90999999997</v>
      </c>
      <c r="G8802" s="128">
        <v>143090.20000000001</v>
      </c>
      <c r="H8802" s="128">
        <v>143247.51999999999</v>
      </c>
      <c r="I8802" s="128">
        <v>1084</v>
      </c>
    </row>
    <row r="8803" spans="1:9" ht="13.5">
      <c r="A8803" s="128">
        <v>2015</v>
      </c>
      <c r="B8803" s="128" t="s">
        <v>138</v>
      </c>
      <c r="C8803" s="128" t="s">
        <v>26</v>
      </c>
      <c r="D8803" s="128" t="s">
        <v>77</v>
      </c>
      <c r="E8803" s="128" t="s">
        <v>135</v>
      </c>
      <c r="F8803" s="128">
        <v>1631646.61</v>
      </c>
      <c r="G8803" s="128">
        <v>440623.85</v>
      </c>
      <c r="H8803" s="128">
        <v>485185.88</v>
      </c>
      <c r="I8803" s="128">
        <v>5717</v>
      </c>
    </row>
    <row r="8804" spans="1:9" ht="13.5">
      <c r="A8804" s="128">
        <v>2015</v>
      </c>
      <c r="B8804" s="128" t="s">
        <v>138</v>
      </c>
      <c r="C8804" s="128" t="s">
        <v>26</v>
      </c>
      <c r="D8804" s="128" t="s">
        <v>76</v>
      </c>
      <c r="E8804" s="128" t="s">
        <v>136</v>
      </c>
      <c r="F8804" s="128">
        <v>318075.75</v>
      </c>
      <c r="G8804" s="128">
        <v>238953.35</v>
      </c>
      <c r="H8804" s="128">
        <v>79124.37</v>
      </c>
      <c r="I8804" s="128">
        <v>7631</v>
      </c>
    </row>
    <row r="8805" spans="1:9" ht="13.5">
      <c r="A8805" s="128">
        <v>2015</v>
      </c>
      <c r="B8805" s="128" t="s">
        <v>138</v>
      </c>
      <c r="C8805" s="128" t="s">
        <v>26</v>
      </c>
      <c r="D8805" s="128" t="s">
        <v>76</v>
      </c>
      <c r="E8805" s="128" t="s">
        <v>132</v>
      </c>
      <c r="F8805" s="128">
        <v>1348961.43</v>
      </c>
      <c r="G8805" s="128">
        <v>863365.8</v>
      </c>
      <c r="H8805" s="128">
        <v>485585.67</v>
      </c>
      <c r="I8805" s="128">
        <v>15453</v>
      </c>
    </row>
    <row r="8806" spans="1:9" ht="13.5">
      <c r="A8806" s="128">
        <v>2015</v>
      </c>
      <c r="B8806" s="128" t="s">
        <v>138</v>
      </c>
      <c r="C8806" s="128" t="s">
        <v>26</v>
      </c>
      <c r="D8806" s="128" t="s">
        <v>76</v>
      </c>
      <c r="E8806" s="128" t="s">
        <v>133</v>
      </c>
      <c r="F8806" s="128">
        <v>3315250.36</v>
      </c>
      <c r="G8806" s="128">
        <v>1822356.7</v>
      </c>
      <c r="H8806" s="128">
        <v>1492881.67</v>
      </c>
      <c r="I8806" s="128">
        <v>19660</v>
      </c>
    </row>
    <row r="8807" spans="1:9" ht="13.5">
      <c r="A8807" s="128">
        <v>2015</v>
      </c>
      <c r="B8807" s="128" t="s">
        <v>138</v>
      </c>
      <c r="C8807" s="128" t="s">
        <v>26</v>
      </c>
      <c r="D8807" s="128" t="s">
        <v>76</v>
      </c>
      <c r="E8807" s="128" t="s">
        <v>134</v>
      </c>
      <c r="F8807" s="128">
        <v>2534117.58</v>
      </c>
      <c r="G8807" s="128">
        <v>1156333.6399999999</v>
      </c>
      <c r="H8807" s="128">
        <v>1377768.54</v>
      </c>
      <c r="I8807" s="128">
        <v>14562</v>
      </c>
    </row>
    <row r="8808" spans="1:9" ht="13.5">
      <c r="A8808" s="128">
        <v>2015</v>
      </c>
      <c r="B8808" s="128" t="s">
        <v>138</v>
      </c>
      <c r="C8808" s="128" t="s">
        <v>26</v>
      </c>
      <c r="D8808" s="128" t="s">
        <v>76</v>
      </c>
      <c r="E8808" s="128" t="s">
        <v>135</v>
      </c>
      <c r="F8808" s="128">
        <v>307858.24</v>
      </c>
      <c r="G8808" s="128">
        <v>94466.5</v>
      </c>
      <c r="H8808" s="128">
        <v>213391.74</v>
      </c>
      <c r="I8808" s="128">
        <v>888</v>
      </c>
    </row>
    <row r="8809" spans="1:9" ht="13.5">
      <c r="A8809" s="128">
        <v>2015</v>
      </c>
      <c r="B8809" s="128" t="s">
        <v>138</v>
      </c>
      <c r="C8809" s="128" t="s">
        <v>27</v>
      </c>
      <c r="D8809" s="128" t="s">
        <v>79</v>
      </c>
      <c r="E8809" s="128" t="s">
        <v>136</v>
      </c>
      <c r="F8809" s="128">
        <v>371860.39</v>
      </c>
      <c r="G8809" s="128">
        <v>279028.88</v>
      </c>
      <c r="H8809" s="128">
        <v>92831.5</v>
      </c>
      <c r="I8809" s="128">
        <v>2446</v>
      </c>
    </row>
    <row r="8810" spans="1:9" ht="13.5">
      <c r="A8810" s="128">
        <v>2015</v>
      </c>
      <c r="B8810" s="128" t="s">
        <v>138</v>
      </c>
      <c r="C8810" s="128" t="s">
        <v>27</v>
      </c>
      <c r="D8810" s="128" t="s">
        <v>79</v>
      </c>
      <c r="E8810" s="128" t="s">
        <v>132</v>
      </c>
      <c r="F8810" s="128">
        <v>107600.39</v>
      </c>
      <c r="G8810" s="128">
        <v>67234.53</v>
      </c>
      <c r="H8810" s="128">
        <v>37081.949999999997</v>
      </c>
      <c r="I8810" s="128">
        <v>588</v>
      </c>
    </row>
    <row r="8811" spans="1:9" ht="13.5">
      <c r="A8811" s="128">
        <v>2015</v>
      </c>
      <c r="B8811" s="128" t="s">
        <v>138</v>
      </c>
      <c r="C8811" s="128" t="s">
        <v>27</v>
      </c>
      <c r="D8811" s="128" t="s">
        <v>79</v>
      </c>
      <c r="E8811" s="128" t="s">
        <v>133</v>
      </c>
      <c r="F8811" s="128">
        <v>129980.29</v>
      </c>
      <c r="G8811" s="128">
        <v>70324.05</v>
      </c>
      <c r="H8811" s="128">
        <v>40907.14</v>
      </c>
      <c r="I8811" s="128">
        <v>1360</v>
      </c>
    </row>
    <row r="8812" spans="1:9" ht="13.5">
      <c r="A8812" s="128">
        <v>2015</v>
      </c>
      <c r="B8812" s="128" t="s">
        <v>138</v>
      </c>
      <c r="C8812" s="128" t="s">
        <v>27</v>
      </c>
      <c r="D8812" s="128" t="s">
        <v>79</v>
      </c>
      <c r="E8812" s="128" t="s">
        <v>134</v>
      </c>
      <c r="F8812" s="128">
        <v>106236.72</v>
      </c>
      <c r="G8812" s="128">
        <v>45971.05</v>
      </c>
      <c r="H8812" s="128">
        <v>32250.05</v>
      </c>
      <c r="I8812" s="128">
        <v>503</v>
      </c>
    </row>
    <row r="8813" spans="1:9" ht="13.5">
      <c r="A8813" s="128">
        <v>2015</v>
      </c>
      <c r="B8813" s="128" t="s">
        <v>138</v>
      </c>
      <c r="C8813" s="128" t="s">
        <v>27</v>
      </c>
      <c r="D8813" s="128" t="s">
        <v>79</v>
      </c>
      <c r="E8813" s="128" t="s">
        <v>135</v>
      </c>
      <c r="F8813" s="128">
        <v>1381320.85</v>
      </c>
      <c r="G8813" s="128">
        <v>337059.06</v>
      </c>
      <c r="H8813" s="128">
        <v>115272.95</v>
      </c>
      <c r="I8813" s="128">
        <v>1605</v>
      </c>
    </row>
    <row r="8814" spans="1:9" ht="13.5">
      <c r="A8814" s="128">
        <v>2015</v>
      </c>
      <c r="B8814" s="128" t="s">
        <v>138</v>
      </c>
      <c r="C8814" s="128" t="s">
        <v>27</v>
      </c>
      <c r="D8814" s="128" t="s">
        <v>77</v>
      </c>
      <c r="E8814" s="128" t="s">
        <v>132</v>
      </c>
      <c r="F8814" s="128">
        <v>14983.5</v>
      </c>
      <c r="G8814" s="128">
        <v>10150.4</v>
      </c>
      <c r="H8814" s="128">
        <v>4439.45</v>
      </c>
      <c r="I8814" s="128">
        <v>59</v>
      </c>
    </row>
    <row r="8815" spans="1:9" ht="13.5">
      <c r="A8815" s="128">
        <v>2015</v>
      </c>
      <c r="B8815" s="128" t="s">
        <v>138</v>
      </c>
      <c r="C8815" s="128" t="s">
        <v>27</v>
      </c>
      <c r="D8815" s="128" t="s">
        <v>77</v>
      </c>
      <c r="E8815" s="128" t="s">
        <v>133</v>
      </c>
      <c r="F8815" s="128">
        <v>39540.76</v>
      </c>
      <c r="G8815" s="128">
        <v>21088.25</v>
      </c>
      <c r="H8815" s="128">
        <v>15241.11</v>
      </c>
      <c r="I8815" s="128">
        <v>152</v>
      </c>
    </row>
    <row r="8816" spans="1:9" ht="13.5">
      <c r="A8816" s="128">
        <v>2015</v>
      </c>
      <c r="B8816" s="128" t="s">
        <v>138</v>
      </c>
      <c r="C8816" s="128" t="s">
        <v>27</v>
      </c>
      <c r="D8816" s="128" t="s">
        <v>77</v>
      </c>
      <c r="E8816" s="128" t="s">
        <v>134</v>
      </c>
      <c r="F8816" s="128">
        <v>129500.17</v>
      </c>
      <c r="G8816" s="128">
        <v>55495.75</v>
      </c>
      <c r="H8816" s="128">
        <v>55721.15</v>
      </c>
      <c r="I8816" s="128">
        <v>278</v>
      </c>
    </row>
    <row r="8817" spans="1:9" ht="13.5">
      <c r="A8817" s="128">
        <v>2015</v>
      </c>
      <c r="B8817" s="128" t="s">
        <v>138</v>
      </c>
      <c r="C8817" s="128" t="s">
        <v>27</v>
      </c>
      <c r="D8817" s="128" t="s">
        <v>77</v>
      </c>
      <c r="E8817" s="128" t="s">
        <v>135</v>
      </c>
      <c r="F8817" s="128">
        <v>451495.56</v>
      </c>
      <c r="G8817" s="128">
        <v>124573.05</v>
      </c>
      <c r="H8817" s="128">
        <v>130325.09</v>
      </c>
      <c r="I8817" s="128">
        <v>2582</v>
      </c>
    </row>
    <row r="8818" spans="1:9" ht="13.5">
      <c r="A8818" s="128">
        <v>2015</v>
      </c>
      <c r="B8818" s="128" t="s">
        <v>138</v>
      </c>
      <c r="C8818" s="128" t="s">
        <v>27</v>
      </c>
      <c r="D8818" s="128" t="s">
        <v>76</v>
      </c>
      <c r="E8818" s="128" t="s">
        <v>136</v>
      </c>
      <c r="F8818" s="128">
        <v>114137.97</v>
      </c>
      <c r="G8818" s="128">
        <v>85801.7</v>
      </c>
      <c r="H8818" s="128">
        <v>28336.27</v>
      </c>
      <c r="I8818" s="128">
        <v>1546</v>
      </c>
    </row>
    <row r="8819" spans="1:9" ht="13.5">
      <c r="A8819" s="128">
        <v>2015</v>
      </c>
      <c r="B8819" s="128" t="s">
        <v>138</v>
      </c>
      <c r="C8819" s="128" t="s">
        <v>27</v>
      </c>
      <c r="D8819" s="128" t="s">
        <v>76</v>
      </c>
      <c r="E8819" s="128" t="s">
        <v>132</v>
      </c>
      <c r="F8819" s="128">
        <v>487192.99</v>
      </c>
      <c r="G8819" s="128">
        <v>311753.09999999998</v>
      </c>
      <c r="H8819" s="128">
        <v>175439.83</v>
      </c>
      <c r="I8819" s="128">
        <v>3187</v>
      </c>
    </row>
    <row r="8820" spans="1:9" ht="13.5">
      <c r="A8820" s="128">
        <v>2015</v>
      </c>
      <c r="B8820" s="128" t="s">
        <v>138</v>
      </c>
      <c r="C8820" s="128" t="s">
        <v>27</v>
      </c>
      <c r="D8820" s="128" t="s">
        <v>76</v>
      </c>
      <c r="E8820" s="128" t="s">
        <v>133</v>
      </c>
      <c r="F8820" s="128">
        <v>1288126.44</v>
      </c>
      <c r="G8820" s="128">
        <v>705951.7</v>
      </c>
      <c r="H8820" s="128">
        <v>582174.44999999995</v>
      </c>
      <c r="I8820" s="128">
        <v>7316</v>
      </c>
    </row>
    <row r="8821" spans="1:9" ht="13.5">
      <c r="A8821" s="128">
        <v>2015</v>
      </c>
      <c r="B8821" s="128" t="s">
        <v>138</v>
      </c>
      <c r="C8821" s="128" t="s">
        <v>27</v>
      </c>
      <c r="D8821" s="128" t="s">
        <v>76</v>
      </c>
      <c r="E8821" s="128" t="s">
        <v>134</v>
      </c>
      <c r="F8821" s="128">
        <v>1933492.79</v>
      </c>
      <c r="G8821" s="128">
        <v>889429.85</v>
      </c>
      <c r="H8821" s="128">
        <v>1044061.72</v>
      </c>
      <c r="I8821" s="128">
        <v>8549</v>
      </c>
    </row>
    <row r="8822" spans="1:9" ht="13.5">
      <c r="A8822" s="128">
        <v>2015</v>
      </c>
      <c r="B8822" s="128" t="s">
        <v>138</v>
      </c>
      <c r="C8822" s="128" t="s">
        <v>27</v>
      </c>
      <c r="D8822" s="128" t="s">
        <v>76</v>
      </c>
      <c r="E8822" s="128" t="s">
        <v>135</v>
      </c>
      <c r="F8822" s="128">
        <v>52809.2</v>
      </c>
      <c r="G8822" s="128">
        <v>15600.55</v>
      </c>
      <c r="H8822" s="128">
        <v>37208.65</v>
      </c>
      <c r="I8822" s="128">
        <v>104</v>
      </c>
    </row>
    <row r="8823" spans="1:9" ht="13.5">
      <c r="A8823" s="128">
        <v>2015</v>
      </c>
      <c r="B8823" s="128" t="s">
        <v>139</v>
      </c>
      <c r="C8823" s="128" t="s">
        <v>20</v>
      </c>
      <c r="D8823" s="128" t="s">
        <v>79</v>
      </c>
      <c r="E8823" s="128" t="s">
        <v>136</v>
      </c>
      <c r="F8823" s="128">
        <v>41286736.380000003</v>
      </c>
      <c r="G8823" s="128">
        <v>31021321.73</v>
      </c>
      <c r="H8823" s="128">
        <v>10258444.84</v>
      </c>
      <c r="I8823" s="128">
        <v>700943</v>
      </c>
    </row>
    <row r="8824" spans="1:9" ht="13.5">
      <c r="A8824" s="128">
        <v>2015</v>
      </c>
      <c r="B8824" s="128" t="s">
        <v>139</v>
      </c>
      <c r="C8824" s="128" t="s">
        <v>20</v>
      </c>
      <c r="D8824" s="128" t="s">
        <v>79</v>
      </c>
      <c r="E8824" s="128" t="s">
        <v>132</v>
      </c>
      <c r="F8824" s="128">
        <v>2720019</v>
      </c>
      <c r="G8824" s="128">
        <v>1811122.62</v>
      </c>
      <c r="H8824" s="128">
        <v>722801.85</v>
      </c>
      <c r="I8824" s="128">
        <v>18981</v>
      </c>
    </row>
    <row r="8825" spans="1:9" ht="13.5">
      <c r="A8825" s="128">
        <v>2015</v>
      </c>
      <c r="B8825" s="128" t="s">
        <v>139</v>
      </c>
      <c r="C8825" s="128" t="s">
        <v>20</v>
      </c>
      <c r="D8825" s="128" t="s">
        <v>79</v>
      </c>
      <c r="E8825" s="128" t="s">
        <v>133</v>
      </c>
      <c r="F8825" s="128">
        <v>3511265.39</v>
      </c>
      <c r="G8825" s="128">
        <v>1889990.04</v>
      </c>
      <c r="H8825" s="128">
        <v>1060397.31</v>
      </c>
      <c r="I8825" s="128">
        <v>21126</v>
      </c>
    </row>
    <row r="8826" spans="1:9" ht="13.5">
      <c r="A8826" s="128">
        <v>2015</v>
      </c>
      <c r="B8826" s="128" t="s">
        <v>139</v>
      </c>
      <c r="C8826" s="128" t="s">
        <v>20</v>
      </c>
      <c r="D8826" s="128" t="s">
        <v>79</v>
      </c>
      <c r="E8826" s="128" t="s">
        <v>134</v>
      </c>
      <c r="F8826" s="128">
        <v>11266641.73</v>
      </c>
      <c r="G8826" s="128">
        <v>4863750.43</v>
      </c>
      <c r="H8826" s="128">
        <v>2439110.58</v>
      </c>
      <c r="I8826" s="128">
        <v>42220</v>
      </c>
    </row>
    <row r="8827" spans="1:9" ht="13.5">
      <c r="A8827" s="128">
        <v>2015</v>
      </c>
      <c r="B8827" s="128" t="s">
        <v>139</v>
      </c>
      <c r="C8827" s="128" t="s">
        <v>20</v>
      </c>
      <c r="D8827" s="128" t="s">
        <v>79</v>
      </c>
      <c r="E8827" s="128" t="s">
        <v>135</v>
      </c>
      <c r="F8827" s="128">
        <v>87812545.25</v>
      </c>
      <c r="G8827" s="128">
        <v>21052943.079999998</v>
      </c>
      <c r="H8827" s="128">
        <v>7118112.8200000003</v>
      </c>
      <c r="I8827" s="128">
        <v>116057</v>
      </c>
    </row>
    <row r="8828" spans="1:9" ht="13.5">
      <c r="A8828" s="128">
        <v>2015</v>
      </c>
      <c r="B8828" s="128" t="s">
        <v>139</v>
      </c>
      <c r="C8828" s="128" t="s">
        <v>20</v>
      </c>
      <c r="D8828" s="128" t="s">
        <v>77</v>
      </c>
      <c r="E8828" s="128" t="s">
        <v>132</v>
      </c>
      <c r="F8828" s="128">
        <v>1427266.31</v>
      </c>
      <c r="G8828" s="128">
        <v>957601.77</v>
      </c>
      <c r="H8828" s="128">
        <v>408642.27</v>
      </c>
      <c r="I8828" s="128">
        <v>6442</v>
      </c>
    </row>
    <row r="8829" spans="1:9" ht="13.5">
      <c r="A8829" s="128">
        <v>2015</v>
      </c>
      <c r="B8829" s="128" t="s">
        <v>139</v>
      </c>
      <c r="C8829" s="128" t="s">
        <v>20</v>
      </c>
      <c r="D8829" s="128" t="s">
        <v>77</v>
      </c>
      <c r="E8829" s="128" t="s">
        <v>133</v>
      </c>
      <c r="F8829" s="128">
        <v>1842252.45</v>
      </c>
      <c r="G8829" s="128">
        <v>993368.12</v>
      </c>
      <c r="H8829" s="128">
        <v>686886.40000000002</v>
      </c>
      <c r="I8829" s="128">
        <v>7222</v>
      </c>
    </row>
    <row r="8830" spans="1:9" ht="13.5">
      <c r="A8830" s="128">
        <v>2015</v>
      </c>
      <c r="B8830" s="128" t="s">
        <v>139</v>
      </c>
      <c r="C8830" s="128" t="s">
        <v>20</v>
      </c>
      <c r="D8830" s="128" t="s">
        <v>77</v>
      </c>
      <c r="E8830" s="128" t="s">
        <v>134</v>
      </c>
      <c r="F8830" s="128">
        <v>5506877.1500000004</v>
      </c>
      <c r="G8830" s="128">
        <v>2391619.7999999998</v>
      </c>
      <c r="H8830" s="128">
        <v>2333358.37</v>
      </c>
      <c r="I8830" s="128">
        <v>14264</v>
      </c>
    </row>
    <row r="8831" spans="1:9" ht="13.5">
      <c r="A8831" s="128">
        <v>2015</v>
      </c>
      <c r="B8831" s="128" t="s">
        <v>139</v>
      </c>
      <c r="C8831" s="128" t="s">
        <v>20</v>
      </c>
      <c r="D8831" s="128" t="s">
        <v>77</v>
      </c>
      <c r="E8831" s="128" t="s">
        <v>135</v>
      </c>
      <c r="F8831" s="128">
        <v>8069164.0300000003</v>
      </c>
      <c r="G8831" s="128">
        <v>2236627.6</v>
      </c>
      <c r="H8831" s="128">
        <v>2416375.88</v>
      </c>
      <c r="I8831" s="128">
        <v>31329</v>
      </c>
    </row>
    <row r="8832" spans="1:9" ht="13.5">
      <c r="A8832" s="128">
        <v>2015</v>
      </c>
      <c r="B8832" s="128" t="s">
        <v>139</v>
      </c>
      <c r="C8832" s="128" t="s">
        <v>20</v>
      </c>
      <c r="D8832" s="128" t="s">
        <v>76</v>
      </c>
      <c r="E8832" s="128" t="s">
        <v>136</v>
      </c>
      <c r="F8832" s="128">
        <v>14866529.380000001</v>
      </c>
      <c r="G8832" s="128">
        <v>11175362.380000001</v>
      </c>
      <c r="H8832" s="128">
        <v>3691238.25</v>
      </c>
      <c r="I8832" s="128">
        <v>380185</v>
      </c>
    </row>
    <row r="8833" spans="1:9" ht="13.5">
      <c r="A8833" s="128">
        <v>2015</v>
      </c>
      <c r="B8833" s="128" t="s">
        <v>139</v>
      </c>
      <c r="C8833" s="128" t="s">
        <v>20</v>
      </c>
      <c r="D8833" s="128" t="s">
        <v>76</v>
      </c>
      <c r="E8833" s="128" t="s">
        <v>132</v>
      </c>
      <c r="F8833" s="128">
        <v>37646441.299999997</v>
      </c>
      <c r="G8833" s="128">
        <v>24049834.960000001</v>
      </c>
      <c r="H8833" s="128">
        <v>13596576.82</v>
      </c>
      <c r="I8833" s="128">
        <v>364427</v>
      </c>
    </row>
    <row r="8834" spans="1:9" ht="13.5">
      <c r="A8834" s="128">
        <v>2015</v>
      </c>
      <c r="B8834" s="128" t="s">
        <v>139</v>
      </c>
      <c r="C8834" s="128" t="s">
        <v>20</v>
      </c>
      <c r="D8834" s="128" t="s">
        <v>76</v>
      </c>
      <c r="E8834" s="128" t="s">
        <v>133</v>
      </c>
      <c r="F8834" s="128">
        <v>84184362.870000005</v>
      </c>
      <c r="G8834" s="128">
        <v>46415508.920000002</v>
      </c>
      <c r="H8834" s="128">
        <v>37768839.850000001</v>
      </c>
      <c r="I8834" s="128">
        <v>513182</v>
      </c>
    </row>
    <row r="8835" spans="1:9" ht="13.5">
      <c r="A8835" s="128">
        <v>2015</v>
      </c>
      <c r="B8835" s="128" t="s">
        <v>139</v>
      </c>
      <c r="C8835" s="128" t="s">
        <v>20</v>
      </c>
      <c r="D8835" s="128" t="s">
        <v>76</v>
      </c>
      <c r="E8835" s="128" t="s">
        <v>134</v>
      </c>
      <c r="F8835" s="128">
        <v>99137255.159999996</v>
      </c>
      <c r="G8835" s="128">
        <v>45184675.390000001</v>
      </c>
      <c r="H8835" s="128">
        <v>53952395.060000002</v>
      </c>
      <c r="I8835" s="128">
        <v>538415</v>
      </c>
    </row>
    <row r="8836" spans="1:9" ht="13.5">
      <c r="A8836" s="128">
        <v>2015</v>
      </c>
      <c r="B8836" s="128" t="s">
        <v>139</v>
      </c>
      <c r="C8836" s="128" t="s">
        <v>20</v>
      </c>
      <c r="D8836" s="128" t="s">
        <v>76</v>
      </c>
      <c r="E8836" s="128" t="s">
        <v>135</v>
      </c>
      <c r="F8836" s="128">
        <v>9782504.8000000007</v>
      </c>
      <c r="G8836" s="128">
        <v>3036246.77</v>
      </c>
      <c r="H8836" s="128">
        <v>6746257.9000000004</v>
      </c>
      <c r="I8836" s="128">
        <v>34853</v>
      </c>
    </row>
    <row r="8837" spans="1:9" ht="13.5">
      <c r="A8837" s="128">
        <v>2015</v>
      </c>
      <c r="B8837" s="128" t="s">
        <v>139</v>
      </c>
      <c r="C8837" s="128" t="s">
        <v>21</v>
      </c>
      <c r="D8837" s="128" t="s">
        <v>79</v>
      </c>
      <c r="E8837" s="128" t="s">
        <v>136</v>
      </c>
      <c r="F8837" s="128">
        <v>9682783.7100000009</v>
      </c>
      <c r="G8837" s="128">
        <v>7271941.0700000003</v>
      </c>
      <c r="H8837" s="128">
        <v>2408583.88</v>
      </c>
      <c r="I8837" s="128">
        <v>146625</v>
      </c>
    </row>
    <row r="8838" spans="1:9" ht="13.5">
      <c r="A8838" s="128">
        <v>2015</v>
      </c>
      <c r="B8838" s="128" t="s">
        <v>139</v>
      </c>
      <c r="C8838" s="128" t="s">
        <v>21</v>
      </c>
      <c r="D8838" s="128" t="s">
        <v>79</v>
      </c>
      <c r="E8838" s="128" t="s">
        <v>132</v>
      </c>
      <c r="F8838" s="128">
        <v>1579182.2</v>
      </c>
      <c r="G8838" s="128">
        <v>1026882.26</v>
      </c>
      <c r="H8838" s="128">
        <v>395915.31</v>
      </c>
      <c r="I8838" s="128">
        <v>7898</v>
      </c>
    </row>
    <row r="8839" spans="1:9" ht="13.5">
      <c r="A8839" s="128">
        <v>2015</v>
      </c>
      <c r="B8839" s="128" t="s">
        <v>139</v>
      </c>
      <c r="C8839" s="128" t="s">
        <v>21</v>
      </c>
      <c r="D8839" s="128" t="s">
        <v>79</v>
      </c>
      <c r="E8839" s="128" t="s">
        <v>133</v>
      </c>
      <c r="F8839" s="128">
        <v>5159391.82</v>
      </c>
      <c r="G8839" s="128">
        <v>2827538.61</v>
      </c>
      <c r="H8839" s="128">
        <v>1730333.12</v>
      </c>
      <c r="I8839" s="128">
        <v>81244</v>
      </c>
    </row>
    <row r="8840" spans="1:9" ht="13.5">
      <c r="A8840" s="128">
        <v>2015</v>
      </c>
      <c r="B8840" s="128" t="s">
        <v>139</v>
      </c>
      <c r="C8840" s="128" t="s">
        <v>21</v>
      </c>
      <c r="D8840" s="128" t="s">
        <v>79</v>
      </c>
      <c r="E8840" s="128" t="s">
        <v>134</v>
      </c>
      <c r="F8840" s="128">
        <v>7629477.9299999997</v>
      </c>
      <c r="G8840" s="128">
        <v>3275021.22</v>
      </c>
      <c r="H8840" s="128">
        <v>2455185.62</v>
      </c>
      <c r="I8840" s="128">
        <v>36718</v>
      </c>
    </row>
    <row r="8841" spans="1:9" ht="13.5">
      <c r="A8841" s="128">
        <v>2015</v>
      </c>
      <c r="B8841" s="128" t="s">
        <v>139</v>
      </c>
      <c r="C8841" s="128" t="s">
        <v>21</v>
      </c>
      <c r="D8841" s="128" t="s">
        <v>79</v>
      </c>
      <c r="E8841" s="128" t="s">
        <v>135</v>
      </c>
      <c r="F8841" s="128">
        <v>20774289.030000001</v>
      </c>
      <c r="G8841" s="128">
        <v>5238685.6100000003</v>
      </c>
      <c r="H8841" s="128">
        <v>1920906.37</v>
      </c>
      <c r="I8841" s="128">
        <v>29098</v>
      </c>
    </row>
    <row r="8842" spans="1:9" ht="13.5">
      <c r="A8842" s="128">
        <v>2015</v>
      </c>
      <c r="B8842" s="128" t="s">
        <v>139</v>
      </c>
      <c r="C8842" s="128" t="s">
        <v>21</v>
      </c>
      <c r="D8842" s="128" t="s">
        <v>77</v>
      </c>
      <c r="E8842" s="128" t="s">
        <v>132</v>
      </c>
      <c r="F8842" s="128">
        <v>2094921.72</v>
      </c>
      <c r="G8842" s="128">
        <v>1396636.42</v>
      </c>
      <c r="H8842" s="128">
        <v>613878.07999999996</v>
      </c>
      <c r="I8842" s="128">
        <v>10971</v>
      </c>
    </row>
    <row r="8843" spans="1:9" ht="13.5">
      <c r="A8843" s="128">
        <v>2015</v>
      </c>
      <c r="B8843" s="128" t="s">
        <v>139</v>
      </c>
      <c r="C8843" s="128" t="s">
        <v>21</v>
      </c>
      <c r="D8843" s="128" t="s">
        <v>77</v>
      </c>
      <c r="E8843" s="128" t="s">
        <v>133</v>
      </c>
      <c r="F8843" s="128">
        <v>4056768.25</v>
      </c>
      <c r="G8843" s="128">
        <v>2205087.17</v>
      </c>
      <c r="H8843" s="128">
        <v>1436357.81</v>
      </c>
      <c r="I8843" s="128">
        <v>17450</v>
      </c>
    </row>
    <row r="8844" spans="1:9" ht="13.5">
      <c r="A8844" s="128">
        <v>2015</v>
      </c>
      <c r="B8844" s="128" t="s">
        <v>139</v>
      </c>
      <c r="C8844" s="128" t="s">
        <v>21</v>
      </c>
      <c r="D8844" s="128" t="s">
        <v>77</v>
      </c>
      <c r="E8844" s="128" t="s">
        <v>134</v>
      </c>
      <c r="F8844" s="128">
        <v>6935885.7300000004</v>
      </c>
      <c r="G8844" s="128">
        <v>2991818.62</v>
      </c>
      <c r="H8844" s="128">
        <v>2700512.71</v>
      </c>
      <c r="I8844" s="128">
        <v>17850</v>
      </c>
    </row>
    <row r="8845" spans="1:9" ht="13.5">
      <c r="A8845" s="128">
        <v>2015</v>
      </c>
      <c r="B8845" s="128" t="s">
        <v>139</v>
      </c>
      <c r="C8845" s="128" t="s">
        <v>21</v>
      </c>
      <c r="D8845" s="128" t="s">
        <v>77</v>
      </c>
      <c r="E8845" s="128" t="s">
        <v>135</v>
      </c>
      <c r="F8845" s="128">
        <v>10547062.939999999</v>
      </c>
      <c r="G8845" s="128">
        <v>3021829.45</v>
      </c>
      <c r="H8845" s="128">
        <v>3003868.11</v>
      </c>
      <c r="I8845" s="128">
        <v>49919</v>
      </c>
    </row>
    <row r="8846" spans="1:9" ht="13.5">
      <c r="A8846" s="128">
        <v>2015</v>
      </c>
      <c r="B8846" s="128" t="s">
        <v>139</v>
      </c>
      <c r="C8846" s="128" t="s">
        <v>21</v>
      </c>
      <c r="D8846" s="128" t="s">
        <v>76</v>
      </c>
      <c r="E8846" s="128" t="s">
        <v>136</v>
      </c>
      <c r="F8846" s="128">
        <v>16018442.550000001</v>
      </c>
      <c r="G8846" s="128">
        <v>12038527.27</v>
      </c>
      <c r="H8846" s="128">
        <v>3979944.43</v>
      </c>
      <c r="I8846" s="128">
        <v>308349</v>
      </c>
    </row>
    <row r="8847" spans="1:9" ht="13.5">
      <c r="A8847" s="128">
        <v>2015</v>
      </c>
      <c r="B8847" s="128" t="s">
        <v>139</v>
      </c>
      <c r="C8847" s="128" t="s">
        <v>21</v>
      </c>
      <c r="D8847" s="128" t="s">
        <v>76</v>
      </c>
      <c r="E8847" s="128" t="s">
        <v>132</v>
      </c>
      <c r="F8847" s="128">
        <v>36636911.270000003</v>
      </c>
      <c r="G8847" s="128">
        <v>23395476.719999999</v>
      </c>
      <c r="H8847" s="128">
        <v>13241354.890000001</v>
      </c>
      <c r="I8847" s="128">
        <v>309987</v>
      </c>
    </row>
    <row r="8848" spans="1:9" ht="13.5">
      <c r="A8848" s="128">
        <v>2015</v>
      </c>
      <c r="B8848" s="128" t="s">
        <v>139</v>
      </c>
      <c r="C8848" s="128" t="s">
        <v>21</v>
      </c>
      <c r="D8848" s="128" t="s">
        <v>76</v>
      </c>
      <c r="E8848" s="128" t="s">
        <v>133</v>
      </c>
      <c r="F8848" s="128">
        <v>92347853.640000001</v>
      </c>
      <c r="G8848" s="128">
        <v>50746788.509999998</v>
      </c>
      <c r="H8848" s="128">
        <v>41601030.950000003</v>
      </c>
      <c r="I8848" s="128">
        <v>608531</v>
      </c>
    </row>
    <row r="8849" spans="1:9" ht="13.5">
      <c r="A8849" s="128">
        <v>2015</v>
      </c>
      <c r="B8849" s="128" t="s">
        <v>139</v>
      </c>
      <c r="C8849" s="128" t="s">
        <v>21</v>
      </c>
      <c r="D8849" s="128" t="s">
        <v>76</v>
      </c>
      <c r="E8849" s="128" t="s">
        <v>134</v>
      </c>
      <c r="F8849" s="128">
        <v>95566249.590000004</v>
      </c>
      <c r="G8849" s="128">
        <v>42788541.090000004</v>
      </c>
      <c r="H8849" s="128">
        <v>52777657.68</v>
      </c>
      <c r="I8849" s="128">
        <v>503556</v>
      </c>
    </row>
    <row r="8850" spans="1:9" ht="13.5">
      <c r="A8850" s="128">
        <v>2015</v>
      </c>
      <c r="B8850" s="128" t="s">
        <v>139</v>
      </c>
      <c r="C8850" s="128" t="s">
        <v>21</v>
      </c>
      <c r="D8850" s="128" t="s">
        <v>76</v>
      </c>
      <c r="E8850" s="128" t="s">
        <v>135</v>
      </c>
      <c r="F8850" s="128">
        <v>4580139.68</v>
      </c>
      <c r="G8850" s="128">
        <v>1308847.1299999999</v>
      </c>
      <c r="H8850" s="128">
        <v>3271292.54</v>
      </c>
      <c r="I8850" s="128">
        <v>11234</v>
      </c>
    </row>
    <row r="8851" spans="1:9" ht="13.5">
      <c r="A8851" s="128">
        <v>2015</v>
      </c>
      <c r="B8851" s="128" t="s">
        <v>139</v>
      </c>
      <c r="C8851" s="128" t="s">
        <v>22</v>
      </c>
      <c r="D8851" s="128" t="s">
        <v>79</v>
      </c>
      <c r="E8851" s="128" t="s">
        <v>136</v>
      </c>
      <c r="F8851" s="128">
        <v>8773932.8100000005</v>
      </c>
      <c r="G8851" s="128">
        <v>6592787.3499999996</v>
      </c>
      <c r="H8851" s="128">
        <v>2174383.94</v>
      </c>
      <c r="I8851" s="128">
        <v>71788</v>
      </c>
    </row>
    <row r="8852" spans="1:9" ht="13.5">
      <c r="A8852" s="128">
        <v>2015</v>
      </c>
      <c r="B8852" s="128" t="s">
        <v>139</v>
      </c>
      <c r="C8852" s="128" t="s">
        <v>22</v>
      </c>
      <c r="D8852" s="128" t="s">
        <v>79</v>
      </c>
      <c r="E8852" s="128" t="s">
        <v>132</v>
      </c>
      <c r="F8852" s="128">
        <v>3558745.61</v>
      </c>
      <c r="G8852" s="128">
        <v>2301485.4900000002</v>
      </c>
      <c r="H8852" s="128">
        <v>1096427.1200000001</v>
      </c>
      <c r="I8852" s="128">
        <v>46999</v>
      </c>
    </row>
    <row r="8853" spans="1:9" ht="13.5">
      <c r="A8853" s="128">
        <v>2015</v>
      </c>
      <c r="B8853" s="128" t="s">
        <v>139</v>
      </c>
      <c r="C8853" s="128" t="s">
        <v>22</v>
      </c>
      <c r="D8853" s="128" t="s">
        <v>79</v>
      </c>
      <c r="E8853" s="128" t="s">
        <v>133</v>
      </c>
      <c r="F8853" s="128">
        <v>4141294.97</v>
      </c>
      <c r="G8853" s="128">
        <v>2200903.77</v>
      </c>
      <c r="H8853" s="128">
        <v>1164153.4099999999</v>
      </c>
      <c r="I8853" s="128">
        <v>43898</v>
      </c>
    </row>
    <row r="8854" spans="1:9" ht="13.5">
      <c r="A8854" s="128">
        <v>2015</v>
      </c>
      <c r="B8854" s="128" t="s">
        <v>139</v>
      </c>
      <c r="C8854" s="128" t="s">
        <v>22</v>
      </c>
      <c r="D8854" s="128" t="s">
        <v>79</v>
      </c>
      <c r="E8854" s="128" t="s">
        <v>134</v>
      </c>
      <c r="F8854" s="128">
        <v>8119936.25</v>
      </c>
      <c r="G8854" s="128">
        <v>3521305.42</v>
      </c>
      <c r="H8854" s="128">
        <v>2067368.75</v>
      </c>
      <c r="I8854" s="128">
        <v>33267</v>
      </c>
    </row>
    <row r="8855" spans="1:9" ht="13.5">
      <c r="A8855" s="128">
        <v>2015</v>
      </c>
      <c r="B8855" s="128" t="s">
        <v>139</v>
      </c>
      <c r="C8855" s="128" t="s">
        <v>22</v>
      </c>
      <c r="D8855" s="128" t="s">
        <v>79</v>
      </c>
      <c r="E8855" s="128" t="s">
        <v>135</v>
      </c>
      <c r="F8855" s="128">
        <v>40070985.460000001</v>
      </c>
      <c r="G8855" s="128">
        <v>10025050.380000001</v>
      </c>
      <c r="H8855" s="128">
        <v>3558230.46</v>
      </c>
      <c r="I8855" s="128">
        <v>53497</v>
      </c>
    </row>
    <row r="8856" spans="1:9" ht="13.5">
      <c r="A8856" s="128">
        <v>2015</v>
      </c>
      <c r="B8856" s="128" t="s">
        <v>139</v>
      </c>
      <c r="C8856" s="128" t="s">
        <v>22</v>
      </c>
      <c r="D8856" s="128" t="s">
        <v>77</v>
      </c>
      <c r="E8856" s="128" t="s">
        <v>132</v>
      </c>
      <c r="F8856" s="128">
        <v>944216.28</v>
      </c>
      <c r="G8856" s="128">
        <v>622175.28</v>
      </c>
      <c r="H8856" s="128">
        <v>273503.44</v>
      </c>
      <c r="I8856" s="128">
        <v>3486</v>
      </c>
    </row>
    <row r="8857" spans="1:9" ht="13.5">
      <c r="A8857" s="128">
        <v>2015</v>
      </c>
      <c r="B8857" s="128" t="s">
        <v>139</v>
      </c>
      <c r="C8857" s="128" t="s">
        <v>22</v>
      </c>
      <c r="D8857" s="128" t="s">
        <v>77</v>
      </c>
      <c r="E8857" s="128" t="s">
        <v>133</v>
      </c>
      <c r="F8857" s="128">
        <v>1673337.59</v>
      </c>
      <c r="G8857" s="128">
        <v>902680.18</v>
      </c>
      <c r="H8857" s="128">
        <v>615600.86</v>
      </c>
      <c r="I8857" s="128">
        <v>8075</v>
      </c>
    </row>
    <row r="8858" spans="1:9" ht="13.5">
      <c r="A8858" s="128">
        <v>2015</v>
      </c>
      <c r="B8858" s="128" t="s">
        <v>139</v>
      </c>
      <c r="C8858" s="128" t="s">
        <v>22</v>
      </c>
      <c r="D8858" s="128" t="s">
        <v>77</v>
      </c>
      <c r="E8858" s="128" t="s">
        <v>134</v>
      </c>
      <c r="F8858" s="128">
        <v>6042238.8700000001</v>
      </c>
      <c r="G8858" s="128">
        <v>2566830.0499999998</v>
      </c>
      <c r="H8858" s="128">
        <v>2480102.7599999998</v>
      </c>
      <c r="I8858" s="128">
        <v>11129</v>
      </c>
    </row>
    <row r="8859" spans="1:9" ht="13.5">
      <c r="A8859" s="128">
        <v>2015</v>
      </c>
      <c r="B8859" s="128" t="s">
        <v>139</v>
      </c>
      <c r="C8859" s="128" t="s">
        <v>22</v>
      </c>
      <c r="D8859" s="128" t="s">
        <v>77</v>
      </c>
      <c r="E8859" s="128" t="s">
        <v>135</v>
      </c>
      <c r="F8859" s="128">
        <v>12108567.42</v>
      </c>
      <c r="G8859" s="128">
        <v>3492493.6</v>
      </c>
      <c r="H8859" s="128">
        <v>3899771.65</v>
      </c>
      <c r="I8859" s="128">
        <v>30896</v>
      </c>
    </row>
    <row r="8860" spans="1:9" ht="13.5">
      <c r="A8860" s="128">
        <v>2015</v>
      </c>
      <c r="B8860" s="128" t="s">
        <v>139</v>
      </c>
      <c r="C8860" s="128" t="s">
        <v>22</v>
      </c>
      <c r="D8860" s="128" t="s">
        <v>76</v>
      </c>
      <c r="E8860" s="128" t="s">
        <v>136</v>
      </c>
      <c r="F8860" s="128">
        <v>8965266.8800000008</v>
      </c>
      <c r="G8860" s="128">
        <v>6733628.2699999996</v>
      </c>
      <c r="H8860" s="128">
        <v>2231672.91</v>
      </c>
      <c r="I8860" s="128">
        <v>128280</v>
      </c>
    </row>
    <row r="8861" spans="1:9" ht="13.5">
      <c r="A8861" s="128">
        <v>2015</v>
      </c>
      <c r="B8861" s="128" t="s">
        <v>139</v>
      </c>
      <c r="C8861" s="128" t="s">
        <v>22</v>
      </c>
      <c r="D8861" s="128" t="s">
        <v>76</v>
      </c>
      <c r="E8861" s="128" t="s">
        <v>132</v>
      </c>
      <c r="F8861" s="128">
        <v>33907143.420000002</v>
      </c>
      <c r="G8861" s="128">
        <v>21638908</v>
      </c>
      <c r="H8861" s="128">
        <v>12268102.82</v>
      </c>
      <c r="I8861" s="128">
        <v>322824</v>
      </c>
    </row>
    <row r="8862" spans="1:9" ht="13.5">
      <c r="A8862" s="128">
        <v>2015</v>
      </c>
      <c r="B8862" s="128" t="s">
        <v>139</v>
      </c>
      <c r="C8862" s="128" t="s">
        <v>22</v>
      </c>
      <c r="D8862" s="128" t="s">
        <v>76</v>
      </c>
      <c r="E8862" s="128" t="s">
        <v>133</v>
      </c>
      <c r="F8862" s="128">
        <v>69556927.060000002</v>
      </c>
      <c r="G8862" s="128">
        <v>38477111.090000004</v>
      </c>
      <c r="H8862" s="128">
        <v>31079356.140000001</v>
      </c>
      <c r="I8862" s="128">
        <v>550673</v>
      </c>
    </row>
    <row r="8863" spans="1:9" ht="13.5">
      <c r="A8863" s="128">
        <v>2015</v>
      </c>
      <c r="B8863" s="128" t="s">
        <v>139</v>
      </c>
      <c r="C8863" s="128" t="s">
        <v>22</v>
      </c>
      <c r="D8863" s="128" t="s">
        <v>76</v>
      </c>
      <c r="E8863" s="128" t="s">
        <v>134</v>
      </c>
      <c r="F8863" s="128">
        <v>64751614.799999997</v>
      </c>
      <c r="G8863" s="128">
        <v>29620210.120000001</v>
      </c>
      <c r="H8863" s="128">
        <v>35131191.060000002</v>
      </c>
      <c r="I8863" s="128">
        <v>413964</v>
      </c>
    </row>
    <row r="8864" spans="1:9" ht="13.5">
      <c r="A8864" s="128">
        <v>2015</v>
      </c>
      <c r="B8864" s="128" t="s">
        <v>139</v>
      </c>
      <c r="C8864" s="128" t="s">
        <v>22</v>
      </c>
      <c r="D8864" s="128" t="s">
        <v>76</v>
      </c>
      <c r="E8864" s="128" t="s">
        <v>135</v>
      </c>
      <c r="F8864" s="128">
        <v>6153344.04</v>
      </c>
      <c r="G8864" s="128">
        <v>1804814.33</v>
      </c>
      <c r="H8864" s="128">
        <v>4348529.59</v>
      </c>
      <c r="I8864" s="128">
        <v>12236</v>
      </c>
    </row>
    <row r="8865" spans="1:9" ht="13.5">
      <c r="A8865" s="128">
        <v>2015</v>
      </c>
      <c r="B8865" s="128" t="s">
        <v>139</v>
      </c>
      <c r="C8865" s="128" t="s">
        <v>23</v>
      </c>
      <c r="D8865" s="128" t="s">
        <v>79</v>
      </c>
      <c r="E8865" s="128" t="s">
        <v>136</v>
      </c>
      <c r="F8865" s="128">
        <v>2325254.16</v>
      </c>
      <c r="G8865" s="128">
        <v>1747794.66</v>
      </c>
      <c r="H8865" s="128">
        <v>577436.61</v>
      </c>
      <c r="I8865" s="128">
        <v>19689</v>
      </c>
    </row>
    <row r="8866" spans="1:9" ht="13.5">
      <c r="A8866" s="128">
        <v>2015</v>
      </c>
      <c r="B8866" s="128" t="s">
        <v>139</v>
      </c>
      <c r="C8866" s="128" t="s">
        <v>23</v>
      </c>
      <c r="D8866" s="128" t="s">
        <v>79</v>
      </c>
      <c r="E8866" s="128" t="s">
        <v>132</v>
      </c>
      <c r="F8866" s="128">
        <v>491767.66</v>
      </c>
      <c r="G8866" s="128">
        <v>311567.83</v>
      </c>
      <c r="H8866" s="128">
        <v>161432.03</v>
      </c>
      <c r="I8866" s="128">
        <v>2539</v>
      </c>
    </row>
    <row r="8867" spans="1:9" ht="13.5">
      <c r="A8867" s="128">
        <v>2015</v>
      </c>
      <c r="B8867" s="128" t="s">
        <v>139</v>
      </c>
      <c r="C8867" s="128" t="s">
        <v>23</v>
      </c>
      <c r="D8867" s="128" t="s">
        <v>79</v>
      </c>
      <c r="E8867" s="128" t="s">
        <v>133</v>
      </c>
      <c r="F8867" s="128">
        <v>1129557.71</v>
      </c>
      <c r="G8867" s="128">
        <v>609052.91</v>
      </c>
      <c r="H8867" s="128">
        <v>437319.7</v>
      </c>
      <c r="I8867" s="128">
        <v>8821</v>
      </c>
    </row>
    <row r="8868" spans="1:9" ht="13.5">
      <c r="A8868" s="128">
        <v>2015</v>
      </c>
      <c r="B8868" s="128" t="s">
        <v>139</v>
      </c>
      <c r="C8868" s="128" t="s">
        <v>23</v>
      </c>
      <c r="D8868" s="128" t="s">
        <v>79</v>
      </c>
      <c r="E8868" s="128" t="s">
        <v>134</v>
      </c>
      <c r="F8868" s="128">
        <v>2507795.56</v>
      </c>
      <c r="G8868" s="128">
        <v>1085614.0800000001</v>
      </c>
      <c r="H8868" s="128">
        <v>1277377.43</v>
      </c>
      <c r="I8868" s="128">
        <v>9116</v>
      </c>
    </row>
    <row r="8869" spans="1:9" ht="13.5">
      <c r="A8869" s="128">
        <v>2015</v>
      </c>
      <c r="B8869" s="128" t="s">
        <v>139</v>
      </c>
      <c r="C8869" s="128" t="s">
        <v>23</v>
      </c>
      <c r="D8869" s="128" t="s">
        <v>79</v>
      </c>
      <c r="E8869" s="128" t="s">
        <v>135</v>
      </c>
      <c r="F8869" s="128">
        <v>2011331.52</v>
      </c>
      <c r="G8869" s="128">
        <v>510794.67</v>
      </c>
      <c r="H8869" s="128">
        <v>269417.40000000002</v>
      </c>
      <c r="I8869" s="128">
        <v>3349</v>
      </c>
    </row>
    <row r="8870" spans="1:9" ht="13.5">
      <c r="A8870" s="128">
        <v>2015</v>
      </c>
      <c r="B8870" s="128" t="s">
        <v>139</v>
      </c>
      <c r="C8870" s="128" t="s">
        <v>23</v>
      </c>
      <c r="D8870" s="128" t="s">
        <v>77</v>
      </c>
      <c r="E8870" s="128" t="s">
        <v>132</v>
      </c>
      <c r="F8870" s="128">
        <v>342565.45</v>
      </c>
      <c r="G8870" s="128">
        <v>229785.75</v>
      </c>
      <c r="H8870" s="128">
        <v>97710.84</v>
      </c>
      <c r="I8870" s="128">
        <v>1582</v>
      </c>
    </row>
    <row r="8871" spans="1:9" ht="13.5">
      <c r="A8871" s="128">
        <v>2015</v>
      </c>
      <c r="B8871" s="128" t="s">
        <v>139</v>
      </c>
      <c r="C8871" s="128" t="s">
        <v>23</v>
      </c>
      <c r="D8871" s="128" t="s">
        <v>77</v>
      </c>
      <c r="E8871" s="128" t="s">
        <v>133</v>
      </c>
      <c r="F8871" s="128">
        <v>516441.51</v>
      </c>
      <c r="G8871" s="128">
        <v>277739.84000000003</v>
      </c>
      <c r="H8871" s="128">
        <v>191530.96</v>
      </c>
      <c r="I8871" s="128">
        <v>1898</v>
      </c>
    </row>
    <row r="8872" spans="1:9" ht="13.5">
      <c r="A8872" s="128">
        <v>2015</v>
      </c>
      <c r="B8872" s="128" t="s">
        <v>139</v>
      </c>
      <c r="C8872" s="128" t="s">
        <v>23</v>
      </c>
      <c r="D8872" s="128" t="s">
        <v>77</v>
      </c>
      <c r="E8872" s="128" t="s">
        <v>134</v>
      </c>
      <c r="F8872" s="128">
        <v>3348480.81</v>
      </c>
      <c r="G8872" s="128">
        <v>1408949.45</v>
      </c>
      <c r="H8872" s="128">
        <v>1470667.34</v>
      </c>
      <c r="I8872" s="128">
        <v>6957</v>
      </c>
    </row>
    <row r="8873" spans="1:9" ht="13.5">
      <c r="A8873" s="128">
        <v>2015</v>
      </c>
      <c r="B8873" s="128" t="s">
        <v>139</v>
      </c>
      <c r="C8873" s="128" t="s">
        <v>23</v>
      </c>
      <c r="D8873" s="128" t="s">
        <v>77</v>
      </c>
      <c r="E8873" s="128" t="s">
        <v>135</v>
      </c>
      <c r="F8873" s="128">
        <v>3895980.35</v>
      </c>
      <c r="G8873" s="128">
        <v>1215967.6499999999</v>
      </c>
      <c r="H8873" s="128">
        <v>1528400.34</v>
      </c>
      <c r="I8873" s="128">
        <v>20688</v>
      </c>
    </row>
    <row r="8874" spans="1:9" ht="13.5">
      <c r="A8874" s="128">
        <v>2015</v>
      </c>
      <c r="B8874" s="128" t="s">
        <v>139</v>
      </c>
      <c r="C8874" s="128" t="s">
        <v>23</v>
      </c>
      <c r="D8874" s="128" t="s">
        <v>76</v>
      </c>
      <c r="E8874" s="128" t="s">
        <v>136</v>
      </c>
      <c r="F8874" s="128">
        <v>4112886.95</v>
      </c>
      <c r="G8874" s="128">
        <v>3093474.11</v>
      </c>
      <c r="H8874" s="128">
        <v>1019498.4</v>
      </c>
      <c r="I8874" s="128">
        <v>59397</v>
      </c>
    </row>
    <row r="8875" spans="1:9" ht="13.5">
      <c r="A8875" s="128">
        <v>2015</v>
      </c>
      <c r="B8875" s="128" t="s">
        <v>139</v>
      </c>
      <c r="C8875" s="128" t="s">
        <v>23</v>
      </c>
      <c r="D8875" s="128" t="s">
        <v>76</v>
      </c>
      <c r="E8875" s="128" t="s">
        <v>132</v>
      </c>
      <c r="F8875" s="128">
        <v>7633053.2000000002</v>
      </c>
      <c r="G8875" s="128">
        <v>4864928.4400000004</v>
      </c>
      <c r="H8875" s="128">
        <v>2768116.11</v>
      </c>
      <c r="I8875" s="128">
        <v>67985</v>
      </c>
    </row>
    <row r="8876" spans="1:9" ht="13.5">
      <c r="A8876" s="128">
        <v>2015</v>
      </c>
      <c r="B8876" s="128" t="s">
        <v>139</v>
      </c>
      <c r="C8876" s="128" t="s">
        <v>23</v>
      </c>
      <c r="D8876" s="128" t="s">
        <v>76</v>
      </c>
      <c r="E8876" s="128" t="s">
        <v>133</v>
      </c>
      <c r="F8876" s="128">
        <v>21446806.609999999</v>
      </c>
      <c r="G8876" s="128">
        <v>11723641.42</v>
      </c>
      <c r="H8876" s="128">
        <v>9723160.1199999992</v>
      </c>
      <c r="I8876" s="128">
        <v>185780</v>
      </c>
    </row>
    <row r="8877" spans="1:9" ht="13.5">
      <c r="A8877" s="128">
        <v>2015</v>
      </c>
      <c r="B8877" s="128" t="s">
        <v>139</v>
      </c>
      <c r="C8877" s="128" t="s">
        <v>23</v>
      </c>
      <c r="D8877" s="128" t="s">
        <v>76</v>
      </c>
      <c r="E8877" s="128" t="s">
        <v>134</v>
      </c>
      <c r="F8877" s="128">
        <v>37968949.219999999</v>
      </c>
      <c r="G8877" s="128">
        <v>16916458.190000001</v>
      </c>
      <c r="H8877" s="128">
        <v>21052480.050000001</v>
      </c>
      <c r="I8877" s="128">
        <v>146384</v>
      </c>
    </row>
    <row r="8878" spans="1:9" ht="13.5">
      <c r="A8878" s="128">
        <v>2015</v>
      </c>
      <c r="B8878" s="128" t="s">
        <v>139</v>
      </c>
      <c r="C8878" s="128" t="s">
        <v>23</v>
      </c>
      <c r="D8878" s="128" t="s">
        <v>76</v>
      </c>
      <c r="E8878" s="128" t="s">
        <v>135</v>
      </c>
      <c r="F8878" s="128">
        <v>1948842.35</v>
      </c>
      <c r="G8878" s="128">
        <v>551184.25</v>
      </c>
      <c r="H8878" s="128">
        <v>1397658.1</v>
      </c>
      <c r="I8878" s="128">
        <v>3760</v>
      </c>
    </row>
    <row r="8879" spans="1:9" ht="13.5">
      <c r="A8879" s="128">
        <v>2015</v>
      </c>
      <c r="B8879" s="128" t="s">
        <v>139</v>
      </c>
      <c r="C8879" s="128" t="s">
        <v>24</v>
      </c>
      <c r="D8879" s="128" t="s">
        <v>79</v>
      </c>
      <c r="E8879" s="128" t="s">
        <v>136</v>
      </c>
      <c r="F8879" s="128">
        <v>2572206.02</v>
      </c>
      <c r="G8879" s="128">
        <v>1933867.93</v>
      </c>
      <c r="H8879" s="128">
        <v>636235.66</v>
      </c>
      <c r="I8879" s="128">
        <v>39561</v>
      </c>
    </row>
    <row r="8880" spans="1:9" ht="13.5">
      <c r="A8880" s="128">
        <v>2015</v>
      </c>
      <c r="B8880" s="128" t="s">
        <v>139</v>
      </c>
      <c r="C8880" s="128" t="s">
        <v>24</v>
      </c>
      <c r="D8880" s="128" t="s">
        <v>79</v>
      </c>
      <c r="E8880" s="128" t="s">
        <v>132</v>
      </c>
      <c r="F8880" s="128">
        <v>372657.48</v>
      </c>
      <c r="G8880" s="128">
        <v>250600.79</v>
      </c>
      <c r="H8880" s="128">
        <v>90928.47</v>
      </c>
      <c r="I8880" s="128">
        <v>1946</v>
      </c>
    </row>
    <row r="8881" spans="1:9" ht="13.5">
      <c r="A8881" s="128">
        <v>2015</v>
      </c>
      <c r="B8881" s="128" t="s">
        <v>139</v>
      </c>
      <c r="C8881" s="128" t="s">
        <v>24</v>
      </c>
      <c r="D8881" s="128" t="s">
        <v>79</v>
      </c>
      <c r="E8881" s="128" t="s">
        <v>133</v>
      </c>
      <c r="F8881" s="128">
        <v>1518472.57</v>
      </c>
      <c r="G8881" s="128">
        <v>800683.5</v>
      </c>
      <c r="H8881" s="128">
        <v>328764.28000000003</v>
      </c>
      <c r="I8881" s="128">
        <v>19294</v>
      </c>
    </row>
    <row r="8882" spans="1:9" ht="13.5">
      <c r="A8882" s="128">
        <v>2015</v>
      </c>
      <c r="B8882" s="128" t="s">
        <v>139</v>
      </c>
      <c r="C8882" s="128" t="s">
        <v>24</v>
      </c>
      <c r="D8882" s="128" t="s">
        <v>79</v>
      </c>
      <c r="E8882" s="128" t="s">
        <v>134</v>
      </c>
      <c r="F8882" s="128">
        <v>2318290.66</v>
      </c>
      <c r="G8882" s="128">
        <v>1012817.17</v>
      </c>
      <c r="H8882" s="128">
        <v>478732.6</v>
      </c>
      <c r="I8882" s="128">
        <v>8046</v>
      </c>
    </row>
    <row r="8883" spans="1:9" ht="13.5">
      <c r="A8883" s="128">
        <v>2015</v>
      </c>
      <c r="B8883" s="128" t="s">
        <v>139</v>
      </c>
      <c r="C8883" s="128" t="s">
        <v>24</v>
      </c>
      <c r="D8883" s="128" t="s">
        <v>79</v>
      </c>
      <c r="E8883" s="128" t="s">
        <v>135</v>
      </c>
      <c r="F8883" s="128">
        <v>8125181.4800000004</v>
      </c>
      <c r="G8883" s="128">
        <v>1959582.7</v>
      </c>
      <c r="H8883" s="128">
        <v>688707.77</v>
      </c>
      <c r="I8883" s="128">
        <v>18708</v>
      </c>
    </row>
    <row r="8884" spans="1:9" ht="13.5">
      <c r="A8884" s="128">
        <v>2015</v>
      </c>
      <c r="B8884" s="128" t="s">
        <v>139</v>
      </c>
      <c r="C8884" s="128" t="s">
        <v>24</v>
      </c>
      <c r="D8884" s="128" t="s">
        <v>77</v>
      </c>
      <c r="E8884" s="128" t="s">
        <v>132</v>
      </c>
      <c r="F8884" s="128">
        <v>2012992.44</v>
      </c>
      <c r="G8884" s="128">
        <v>1402228.35</v>
      </c>
      <c r="H8884" s="128">
        <v>583077.21</v>
      </c>
      <c r="I8884" s="128">
        <v>10336</v>
      </c>
    </row>
    <row r="8885" spans="1:9" ht="13.5">
      <c r="A8885" s="128">
        <v>2015</v>
      </c>
      <c r="B8885" s="128" t="s">
        <v>139</v>
      </c>
      <c r="C8885" s="128" t="s">
        <v>24</v>
      </c>
      <c r="D8885" s="128" t="s">
        <v>77</v>
      </c>
      <c r="E8885" s="128" t="s">
        <v>133</v>
      </c>
      <c r="F8885" s="128">
        <v>3287270.54</v>
      </c>
      <c r="G8885" s="128">
        <v>1772913.7</v>
      </c>
      <c r="H8885" s="128">
        <v>1351582.11</v>
      </c>
      <c r="I8885" s="128">
        <v>25384</v>
      </c>
    </row>
    <row r="8886" spans="1:9" ht="13.5">
      <c r="A8886" s="128">
        <v>2015</v>
      </c>
      <c r="B8886" s="128" t="s">
        <v>139</v>
      </c>
      <c r="C8886" s="128" t="s">
        <v>24</v>
      </c>
      <c r="D8886" s="128" t="s">
        <v>77</v>
      </c>
      <c r="E8886" s="128" t="s">
        <v>134</v>
      </c>
      <c r="F8886" s="128">
        <v>6986186.5</v>
      </c>
      <c r="G8886" s="128">
        <v>3102524.82</v>
      </c>
      <c r="H8886" s="128">
        <v>2688202.28</v>
      </c>
      <c r="I8886" s="128">
        <v>16676</v>
      </c>
    </row>
    <row r="8887" spans="1:9" ht="13.5">
      <c r="A8887" s="128">
        <v>2015</v>
      </c>
      <c r="B8887" s="128" t="s">
        <v>139</v>
      </c>
      <c r="C8887" s="128" t="s">
        <v>24</v>
      </c>
      <c r="D8887" s="128" t="s">
        <v>77</v>
      </c>
      <c r="E8887" s="128" t="s">
        <v>135</v>
      </c>
      <c r="F8887" s="128">
        <v>10652411.560000001</v>
      </c>
      <c r="G8887" s="128">
        <v>2781409.05</v>
      </c>
      <c r="H8887" s="128">
        <v>1817209.16</v>
      </c>
      <c r="I8887" s="128">
        <v>16969</v>
      </c>
    </row>
    <row r="8888" spans="1:9" ht="13.5">
      <c r="A8888" s="128">
        <v>2015</v>
      </c>
      <c r="B8888" s="128" t="s">
        <v>139</v>
      </c>
      <c r="C8888" s="128" t="s">
        <v>24</v>
      </c>
      <c r="D8888" s="128" t="s">
        <v>76</v>
      </c>
      <c r="E8888" s="128" t="s">
        <v>136</v>
      </c>
      <c r="F8888" s="128">
        <v>3836491.81</v>
      </c>
      <c r="G8888" s="128">
        <v>2891682.46</v>
      </c>
      <c r="H8888" s="128">
        <v>944866.28</v>
      </c>
      <c r="I8888" s="128">
        <v>100710</v>
      </c>
    </row>
    <row r="8889" spans="1:9" ht="13.5">
      <c r="A8889" s="128">
        <v>2015</v>
      </c>
      <c r="B8889" s="128" t="s">
        <v>139</v>
      </c>
      <c r="C8889" s="128" t="s">
        <v>24</v>
      </c>
      <c r="D8889" s="128" t="s">
        <v>76</v>
      </c>
      <c r="E8889" s="128" t="s">
        <v>132</v>
      </c>
      <c r="F8889" s="128">
        <v>6076311.25</v>
      </c>
      <c r="G8889" s="128">
        <v>3943156.86</v>
      </c>
      <c r="H8889" s="128">
        <v>2133144.1</v>
      </c>
      <c r="I8889" s="128">
        <v>39542</v>
      </c>
    </row>
    <row r="8890" spans="1:9" ht="13.5">
      <c r="A8890" s="128">
        <v>2015</v>
      </c>
      <c r="B8890" s="128" t="s">
        <v>139</v>
      </c>
      <c r="C8890" s="128" t="s">
        <v>24</v>
      </c>
      <c r="D8890" s="128" t="s">
        <v>76</v>
      </c>
      <c r="E8890" s="128" t="s">
        <v>133</v>
      </c>
      <c r="F8890" s="128">
        <v>34117701.240000002</v>
      </c>
      <c r="G8890" s="128">
        <v>18929392.280000001</v>
      </c>
      <c r="H8890" s="128">
        <v>15188306.189999999</v>
      </c>
      <c r="I8890" s="128">
        <v>236012</v>
      </c>
    </row>
    <row r="8891" spans="1:9" ht="13.5">
      <c r="A8891" s="128">
        <v>2015</v>
      </c>
      <c r="B8891" s="128" t="s">
        <v>139</v>
      </c>
      <c r="C8891" s="128" t="s">
        <v>24</v>
      </c>
      <c r="D8891" s="128" t="s">
        <v>76</v>
      </c>
      <c r="E8891" s="128" t="s">
        <v>134</v>
      </c>
      <c r="F8891" s="128">
        <v>45464768.700000003</v>
      </c>
      <c r="G8891" s="128">
        <v>20130160.620000001</v>
      </c>
      <c r="H8891" s="128">
        <v>25334598.989999998</v>
      </c>
      <c r="I8891" s="128">
        <v>212084</v>
      </c>
    </row>
    <row r="8892" spans="1:9" ht="13.5">
      <c r="A8892" s="128">
        <v>2015</v>
      </c>
      <c r="B8892" s="128" t="s">
        <v>139</v>
      </c>
      <c r="C8892" s="128" t="s">
        <v>24</v>
      </c>
      <c r="D8892" s="128" t="s">
        <v>76</v>
      </c>
      <c r="E8892" s="128" t="s">
        <v>135</v>
      </c>
      <c r="F8892" s="128">
        <v>3290335.39</v>
      </c>
      <c r="G8892" s="128">
        <v>873526.57</v>
      </c>
      <c r="H8892" s="128">
        <v>2416808.8199999998</v>
      </c>
      <c r="I8892" s="128">
        <v>2598</v>
      </c>
    </row>
    <row r="8893" spans="1:9" ht="13.5">
      <c r="A8893" s="128">
        <v>2015</v>
      </c>
      <c r="B8893" s="128" t="s">
        <v>139</v>
      </c>
      <c r="C8893" s="128" t="s">
        <v>25</v>
      </c>
      <c r="D8893" s="128" t="s">
        <v>79</v>
      </c>
      <c r="E8893" s="128" t="s">
        <v>136</v>
      </c>
      <c r="F8893" s="128">
        <v>632524.03</v>
      </c>
      <c r="G8893" s="128">
        <v>476320.65</v>
      </c>
      <c r="H8893" s="128">
        <v>156203.13</v>
      </c>
      <c r="I8893" s="128">
        <v>8145</v>
      </c>
    </row>
    <row r="8894" spans="1:9" ht="13.5">
      <c r="A8894" s="128">
        <v>2015</v>
      </c>
      <c r="B8894" s="128" t="s">
        <v>139</v>
      </c>
      <c r="C8894" s="128" t="s">
        <v>25</v>
      </c>
      <c r="D8894" s="128" t="s">
        <v>79</v>
      </c>
      <c r="E8894" s="128" t="s">
        <v>132</v>
      </c>
      <c r="F8894" s="128">
        <v>234833.29</v>
      </c>
      <c r="G8894" s="128">
        <v>151111.10999999999</v>
      </c>
      <c r="H8894" s="128">
        <v>76788.009999999995</v>
      </c>
      <c r="I8894" s="128">
        <v>1638</v>
      </c>
    </row>
    <row r="8895" spans="1:9" ht="13.5">
      <c r="A8895" s="128">
        <v>2015</v>
      </c>
      <c r="B8895" s="128" t="s">
        <v>139</v>
      </c>
      <c r="C8895" s="128" t="s">
        <v>25</v>
      </c>
      <c r="D8895" s="128" t="s">
        <v>79</v>
      </c>
      <c r="E8895" s="128" t="s">
        <v>133</v>
      </c>
      <c r="F8895" s="128">
        <v>187970.53</v>
      </c>
      <c r="G8895" s="128">
        <v>102598.28</v>
      </c>
      <c r="H8895" s="128">
        <v>60092.94</v>
      </c>
      <c r="I8895" s="128">
        <v>852</v>
      </c>
    </row>
    <row r="8896" spans="1:9" ht="13.5">
      <c r="A8896" s="128">
        <v>2015</v>
      </c>
      <c r="B8896" s="128" t="s">
        <v>139</v>
      </c>
      <c r="C8896" s="128" t="s">
        <v>25</v>
      </c>
      <c r="D8896" s="128" t="s">
        <v>79</v>
      </c>
      <c r="E8896" s="128" t="s">
        <v>134</v>
      </c>
      <c r="F8896" s="128">
        <v>575953.73</v>
      </c>
      <c r="G8896" s="128">
        <v>253948.79999999999</v>
      </c>
      <c r="H8896" s="128">
        <v>203093.35</v>
      </c>
      <c r="I8896" s="128">
        <v>2522</v>
      </c>
    </row>
    <row r="8897" spans="1:9" ht="13.5">
      <c r="A8897" s="128">
        <v>2015</v>
      </c>
      <c r="B8897" s="128" t="s">
        <v>139</v>
      </c>
      <c r="C8897" s="128" t="s">
        <v>25</v>
      </c>
      <c r="D8897" s="128" t="s">
        <v>79</v>
      </c>
      <c r="E8897" s="128" t="s">
        <v>135</v>
      </c>
      <c r="F8897" s="128">
        <v>1812471.52</v>
      </c>
      <c r="G8897" s="128">
        <v>425940.46</v>
      </c>
      <c r="H8897" s="128">
        <v>151576.35</v>
      </c>
      <c r="I8897" s="128">
        <v>1678</v>
      </c>
    </row>
    <row r="8898" spans="1:9" ht="13.5">
      <c r="A8898" s="128">
        <v>2015</v>
      </c>
      <c r="B8898" s="128" t="s">
        <v>139</v>
      </c>
      <c r="C8898" s="128" t="s">
        <v>25</v>
      </c>
      <c r="D8898" s="128" t="s">
        <v>77</v>
      </c>
      <c r="E8898" s="128" t="s">
        <v>132</v>
      </c>
      <c r="F8898" s="128">
        <v>157190.6</v>
      </c>
      <c r="G8898" s="128">
        <v>107339.35</v>
      </c>
      <c r="H8898" s="128">
        <v>40553.5</v>
      </c>
      <c r="I8898" s="128">
        <v>898</v>
      </c>
    </row>
    <row r="8899" spans="1:9" ht="13.5">
      <c r="A8899" s="128">
        <v>2015</v>
      </c>
      <c r="B8899" s="128" t="s">
        <v>139</v>
      </c>
      <c r="C8899" s="128" t="s">
        <v>25</v>
      </c>
      <c r="D8899" s="128" t="s">
        <v>77</v>
      </c>
      <c r="E8899" s="128" t="s">
        <v>133</v>
      </c>
      <c r="F8899" s="128">
        <v>254682.79</v>
      </c>
      <c r="G8899" s="128">
        <v>137987.54999999999</v>
      </c>
      <c r="H8899" s="128">
        <v>101593.8</v>
      </c>
      <c r="I8899" s="128">
        <v>983</v>
      </c>
    </row>
    <row r="8900" spans="1:9" ht="13.5">
      <c r="A8900" s="128">
        <v>2015</v>
      </c>
      <c r="B8900" s="128" t="s">
        <v>139</v>
      </c>
      <c r="C8900" s="128" t="s">
        <v>25</v>
      </c>
      <c r="D8900" s="128" t="s">
        <v>77</v>
      </c>
      <c r="E8900" s="128" t="s">
        <v>134</v>
      </c>
      <c r="F8900" s="128">
        <v>865880.83</v>
      </c>
      <c r="G8900" s="128">
        <v>369594.35</v>
      </c>
      <c r="H8900" s="128">
        <v>371286.39</v>
      </c>
      <c r="I8900" s="128">
        <v>1915</v>
      </c>
    </row>
    <row r="8901" spans="1:9" ht="13.5">
      <c r="A8901" s="128">
        <v>2015</v>
      </c>
      <c r="B8901" s="128" t="s">
        <v>139</v>
      </c>
      <c r="C8901" s="128" t="s">
        <v>25</v>
      </c>
      <c r="D8901" s="128" t="s">
        <v>77</v>
      </c>
      <c r="E8901" s="128" t="s">
        <v>135</v>
      </c>
      <c r="F8901" s="128">
        <v>1034674.96</v>
      </c>
      <c r="G8901" s="128">
        <v>322483.45</v>
      </c>
      <c r="H8901" s="128">
        <v>384950.62</v>
      </c>
      <c r="I8901" s="128">
        <v>3200</v>
      </c>
    </row>
    <row r="8902" spans="1:9" ht="13.5">
      <c r="A8902" s="128">
        <v>2015</v>
      </c>
      <c r="B8902" s="128" t="s">
        <v>139</v>
      </c>
      <c r="C8902" s="128" t="s">
        <v>25</v>
      </c>
      <c r="D8902" s="128" t="s">
        <v>76</v>
      </c>
      <c r="E8902" s="128" t="s">
        <v>136</v>
      </c>
      <c r="F8902" s="128">
        <v>1517849.43</v>
      </c>
      <c r="G8902" s="128">
        <v>1139798.6000000001</v>
      </c>
      <c r="H8902" s="128">
        <v>378051.07</v>
      </c>
      <c r="I8902" s="128">
        <v>26709</v>
      </c>
    </row>
    <row r="8903" spans="1:9" ht="13.5">
      <c r="A8903" s="128">
        <v>2015</v>
      </c>
      <c r="B8903" s="128" t="s">
        <v>139</v>
      </c>
      <c r="C8903" s="128" t="s">
        <v>25</v>
      </c>
      <c r="D8903" s="128" t="s">
        <v>76</v>
      </c>
      <c r="E8903" s="128" t="s">
        <v>132</v>
      </c>
      <c r="F8903" s="128">
        <v>2651184.8199999998</v>
      </c>
      <c r="G8903" s="128">
        <v>1681989.72</v>
      </c>
      <c r="H8903" s="128">
        <v>969194.1</v>
      </c>
      <c r="I8903" s="128">
        <v>19933</v>
      </c>
    </row>
    <row r="8904" spans="1:9" ht="13.5">
      <c r="A8904" s="128">
        <v>2015</v>
      </c>
      <c r="B8904" s="128" t="s">
        <v>139</v>
      </c>
      <c r="C8904" s="128" t="s">
        <v>25</v>
      </c>
      <c r="D8904" s="128" t="s">
        <v>76</v>
      </c>
      <c r="E8904" s="128" t="s">
        <v>133</v>
      </c>
      <c r="F8904" s="128">
        <v>7151628.9100000001</v>
      </c>
      <c r="G8904" s="128">
        <v>3931735.74</v>
      </c>
      <c r="H8904" s="128">
        <v>3219886.28</v>
      </c>
      <c r="I8904" s="128">
        <v>46468</v>
      </c>
    </row>
    <row r="8905" spans="1:9" ht="13.5">
      <c r="A8905" s="128">
        <v>2015</v>
      </c>
      <c r="B8905" s="128" t="s">
        <v>139</v>
      </c>
      <c r="C8905" s="128" t="s">
        <v>25</v>
      </c>
      <c r="D8905" s="128" t="s">
        <v>76</v>
      </c>
      <c r="E8905" s="128" t="s">
        <v>134</v>
      </c>
      <c r="F8905" s="128">
        <v>8925459.1899999995</v>
      </c>
      <c r="G8905" s="128">
        <v>4084535.19</v>
      </c>
      <c r="H8905" s="128">
        <v>4840922.2</v>
      </c>
      <c r="I8905" s="128">
        <v>41965</v>
      </c>
    </row>
    <row r="8906" spans="1:9" ht="13.5">
      <c r="A8906" s="128">
        <v>2015</v>
      </c>
      <c r="B8906" s="128" t="s">
        <v>139</v>
      </c>
      <c r="C8906" s="128" t="s">
        <v>25</v>
      </c>
      <c r="D8906" s="128" t="s">
        <v>76</v>
      </c>
      <c r="E8906" s="128" t="s">
        <v>135</v>
      </c>
      <c r="F8906" s="128">
        <v>546850.43999999994</v>
      </c>
      <c r="G8906" s="128">
        <v>155329.85999999999</v>
      </c>
      <c r="H8906" s="128">
        <v>391520.58</v>
      </c>
      <c r="I8906" s="128">
        <v>590</v>
      </c>
    </row>
    <row r="8907" spans="1:9" ht="13.5">
      <c r="A8907" s="128">
        <v>2015</v>
      </c>
      <c r="B8907" s="128" t="s">
        <v>139</v>
      </c>
      <c r="C8907" s="128" t="s">
        <v>26</v>
      </c>
      <c r="D8907" s="128" t="s">
        <v>79</v>
      </c>
      <c r="E8907" s="128" t="s">
        <v>136</v>
      </c>
      <c r="F8907" s="128">
        <v>1089389.76</v>
      </c>
      <c r="G8907" s="128">
        <v>813850.67</v>
      </c>
      <c r="H8907" s="128">
        <v>266972.78999999998</v>
      </c>
      <c r="I8907" s="128">
        <v>11844</v>
      </c>
    </row>
    <row r="8908" spans="1:9" ht="13.5">
      <c r="A8908" s="128">
        <v>2015</v>
      </c>
      <c r="B8908" s="128" t="s">
        <v>139</v>
      </c>
      <c r="C8908" s="128" t="s">
        <v>26</v>
      </c>
      <c r="D8908" s="128" t="s">
        <v>79</v>
      </c>
      <c r="E8908" s="128" t="s">
        <v>132</v>
      </c>
      <c r="F8908" s="128">
        <v>93329.48</v>
      </c>
      <c r="G8908" s="128">
        <v>61427.3</v>
      </c>
      <c r="H8908" s="128">
        <v>23994.03</v>
      </c>
      <c r="I8908" s="128">
        <v>572</v>
      </c>
    </row>
    <row r="8909" spans="1:9" ht="13.5">
      <c r="A8909" s="128">
        <v>2015</v>
      </c>
      <c r="B8909" s="128" t="s">
        <v>139</v>
      </c>
      <c r="C8909" s="128" t="s">
        <v>26</v>
      </c>
      <c r="D8909" s="128" t="s">
        <v>79</v>
      </c>
      <c r="E8909" s="128" t="s">
        <v>133</v>
      </c>
      <c r="F8909" s="128">
        <v>154187.04</v>
      </c>
      <c r="G8909" s="128">
        <v>84254.77</v>
      </c>
      <c r="H8909" s="128">
        <v>36257.599999999999</v>
      </c>
      <c r="I8909" s="128">
        <v>609</v>
      </c>
    </row>
    <row r="8910" spans="1:9" ht="13.5">
      <c r="A8910" s="128">
        <v>2015</v>
      </c>
      <c r="B8910" s="128" t="s">
        <v>139</v>
      </c>
      <c r="C8910" s="128" t="s">
        <v>26</v>
      </c>
      <c r="D8910" s="128" t="s">
        <v>79</v>
      </c>
      <c r="E8910" s="128" t="s">
        <v>134</v>
      </c>
      <c r="F8910" s="128">
        <v>589429.64</v>
      </c>
      <c r="G8910" s="128">
        <v>248544.94</v>
      </c>
      <c r="H8910" s="128">
        <v>105686.24</v>
      </c>
      <c r="I8910" s="128">
        <v>2155</v>
      </c>
    </row>
    <row r="8911" spans="1:9" ht="13.5">
      <c r="A8911" s="128">
        <v>2015</v>
      </c>
      <c r="B8911" s="128" t="s">
        <v>139</v>
      </c>
      <c r="C8911" s="128" t="s">
        <v>26</v>
      </c>
      <c r="D8911" s="128" t="s">
        <v>79</v>
      </c>
      <c r="E8911" s="128" t="s">
        <v>135</v>
      </c>
      <c r="F8911" s="128">
        <v>6411205.54</v>
      </c>
      <c r="G8911" s="128">
        <v>1552139.69</v>
      </c>
      <c r="H8911" s="128">
        <v>525667.22</v>
      </c>
      <c r="I8911" s="128">
        <v>8273</v>
      </c>
    </row>
    <row r="8912" spans="1:9" ht="13.5">
      <c r="A8912" s="128">
        <v>2015</v>
      </c>
      <c r="B8912" s="128" t="s">
        <v>139</v>
      </c>
      <c r="C8912" s="128" t="s">
        <v>26</v>
      </c>
      <c r="D8912" s="128" t="s">
        <v>77</v>
      </c>
      <c r="E8912" s="128" t="s">
        <v>132</v>
      </c>
      <c r="F8912" s="128">
        <v>33577.699999999997</v>
      </c>
      <c r="G8912" s="128">
        <v>20762.3</v>
      </c>
      <c r="H8912" s="128">
        <v>5516.23</v>
      </c>
      <c r="I8912" s="128">
        <v>396</v>
      </c>
    </row>
    <row r="8913" spans="1:9" ht="13.5">
      <c r="A8913" s="128">
        <v>2015</v>
      </c>
      <c r="B8913" s="128" t="s">
        <v>139</v>
      </c>
      <c r="C8913" s="128" t="s">
        <v>26</v>
      </c>
      <c r="D8913" s="128" t="s">
        <v>77</v>
      </c>
      <c r="E8913" s="128" t="s">
        <v>133</v>
      </c>
      <c r="F8913" s="128">
        <v>82369.399999999994</v>
      </c>
      <c r="G8913" s="128">
        <v>45979.65</v>
      </c>
      <c r="H8913" s="128">
        <v>30052.13</v>
      </c>
      <c r="I8913" s="128">
        <v>266</v>
      </c>
    </row>
    <row r="8914" spans="1:9" ht="13.5">
      <c r="A8914" s="128">
        <v>2015</v>
      </c>
      <c r="B8914" s="128" t="s">
        <v>139</v>
      </c>
      <c r="C8914" s="128" t="s">
        <v>26</v>
      </c>
      <c r="D8914" s="128" t="s">
        <v>77</v>
      </c>
      <c r="E8914" s="128" t="s">
        <v>134</v>
      </c>
      <c r="F8914" s="128">
        <v>242936.92</v>
      </c>
      <c r="G8914" s="128">
        <v>103749.1</v>
      </c>
      <c r="H8914" s="128">
        <v>99021.68</v>
      </c>
      <c r="I8914" s="128">
        <v>815</v>
      </c>
    </row>
    <row r="8915" spans="1:9" ht="13.5">
      <c r="A8915" s="128">
        <v>2015</v>
      </c>
      <c r="B8915" s="128" t="s">
        <v>139</v>
      </c>
      <c r="C8915" s="128" t="s">
        <v>26</v>
      </c>
      <c r="D8915" s="128" t="s">
        <v>77</v>
      </c>
      <c r="E8915" s="128" t="s">
        <v>135</v>
      </c>
      <c r="F8915" s="128">
        <v>1477016.11</v>
      </c>
      <c r="G8915" s="128">
        <v>396125.9</v>
      </c>
      <c r="H8915" s="128">
        <v>439211.44</v>
      </c>
      <c r="I8915" s="128">
        <v>5189</v>
      </c>
    </row>
    <row r="8916" spans="1:9" ht="13.5">
      <c r="A8916" s="128">
        <v>2015</v>
      </c>
      <c r="B8916" s="128" t="s">
        <v>139</v>
      </c>
      <c r="C8916" s="128" t="s">
        <v>26</v>
      </c>
      <c r="D8916" s="128" t="s">
        <v>76</v>
      </c>
      <c r="E8916" s="128" t="s">
        <v>136</v>
      </c>
      <c r="F8916" s="128">
        <v>400740.91</v>
      </c>
      <c r="G8916" s="128">
        <v>301032.59000000003</v>
      </c>
      <c r="H8916" s="128">
        <v>99708.3</v>
      </c>
      <c r="I8916" s="128">
        <v>12897</v>
      </c>
    </row>
    <row r="8917" spans="1:9" ht="13.5">
      <c r="A8917" s="128">
        <v>2015</v>
      </c>
      <c r="B8917" s="128" t="s">
        <v>139</v>
      </c>
      <c r="C8917" s="128" t="s">
        <v>26</v>
      </c>
      <c r="D8917" s="128" t="s">
        <v>76</v>
      </c>
      <c r="E8917" s="128" t="s">
        <v>132</v>
      </c>
      <c r="F8917" s="128">
        <v>1101330.55</v>
      </c>
      <c r="G8917" s="128">
        <v>708192.66</v>
      </c>
      <c r="H8917" s="128">
        <v>393132.19</v>
      </c>
      <c r="I8917" s="128">
        <v>12890</v>
      </c>
    </row>
    <row r="8918" spans="1:9" ht="13.5">
      <c r="A8918" s="128">
        <v>2015</v>
      </c>
      <c r="B8918" s="128" t="s">
        <v>139</v>
      </c>
      <c r="C8918" s="128" t="s">
        <v>26</v>
      </c>
      <c r="D8918" s="128" t="s">
        <v>76</v>
      </c>
      <c r="E8918" s="128" t="s">
        <v>133</v>
      </c>
      <c r="F8918" s="128">
        <v>2811618.82</v>
      </c>
      <c r="G8918" s="128">
        <v>1552122.57</v>
      </c>
      <c r="H8918" s="128">
        <v>1259486.3899999999</v>
      </c>
      <c r="I8918" s="128">
        <v>19332</v>
      </c>
    </row>
    <row r="8919" spans="1:9" ht="13.5">
      <c r="A8919" s="128">
        <v>2015</v>
      </c>
      <c r="B8919" s="128" t="s">
        <v>139</v>
      </c>
      <c r="C8919" s="128" t="s">
        <v>26</v>
      </c>
      <c r="D8919" s="128" t="s">
        <v>76</v>
      </c>
      <c r="E8919" s="128" t="s">
        <v>134</v>
      </c>
      <c r="F8919" s="128">
        <v>2336798.88</v>
      </c>
      <c r="G8919" s="128">
        <v>1064788.57</v>
      </c>
      <c r="H8919" s="128">
        <v>1271996.07</v>
      </c>
      <c r="I8919" s="128">
        <v>14791</v>
      </c>
    </row>
    <row r="8920" spans="1:9" ht="13.5">
      <c r="A8920" s="128">
        <v>2015</v>
      </c>
      <c r="B8920" s="128" t="s">
        <v>139</v>
      </c>
      <c r="C8920" s="128" t="s">
        <v>26</v>
      </c>
      <c r="D8920" s="128" t="s">
        <v>76</v>
      </c>
      <c r="E8920" s="128" t="s">
        <v>135</v>
      </c>
      <c r="F8920" s="128">
        <v>345770.48</v>
      </c>
      <c r="G8920" s="128">
        <v>107052.64</v>
      </c>
      <c r="H8920" s="128">
        <v>238717.84</v>
      </c>
      <c r="I8920" s="128">
        <v>1014</v>
      </c>
    </row>
    <row r="8921" spans="1:9" ht="13.5">
      <c r="A8921" s="128">
        <v>2015</v>
      </c>
      <c r="B8921" s="128" t="s">
        <v>139</v>
      </c>
      <c r="C8921" s="128" t="s">
        <v>27</v>
      </c>
      <c r="D8921" s="128" t="s">
        <v>79</v>
      </c>
      <c r="E8921" s="128" t="s">
        <v>136</v>
      </c>
      <c r="F8921" s="128">
        <v>349018.87</v>
      </c>
      <c r="G8921" s="128">
        <v>261841.77</v>
      </c>
      <c r="H8921" s="128">
        <v>87177.1</v>
      </c>
      <c r="I8921" s="128">
        <v>1542</v>
      </c>
    </row>
    <row r="8922" spans="1:9" ht="13.5">
      <c r="A8922" s="128">
        <v>2015</v>
      </c>
      <c r="B8922" s="128" t="s">
        <v>139</v>
      </c>
      <c r="C8922" s="128" t="s">
        <v>27</v>
      </c>
      <c r="D8922" s="128" t="s">
        <v>79</v>
      </c>
      <c r="E8922" s="128" t="s">
        <v>132</v>
      </c>
      <c r="F8922" s="128">
        <v>70294</v>
      </c>
      <c r="G8922" s="128">
        <v>45638.31</v>
      </c>
      <c r="H8922" s="128">
        <v>20941.25</v>
      </c>
      <c r="I8922" s="128">
        <v>427</v>
      </c>
    </row>
    <row r="8923" spans="1:9" ht="13.5">
      <c r="A8923" s="128">
        <v>2015</v>
      </c>
      <c r="B8923" s="128" t="s">
        <v>139</v>
      </c>
      <c r="C8923" s="128" t="s">
        <v>27</v>
      </c>
      <c r="D8923" s="128" t="s">
        <v>79</v>
      </c>
      <c r="E8923" s="128" t="s">
        <v>133</v>
      </c>
      <c r="F8923" s="128">
        <v>102321.83</v>
      </c>
      <c r="G8923" s="128">
        <v>53817.86</v>
      </c>
      <c r="H8923" s="128">
        <v>26152.400000000001</v>
      </c>
      <c r="I8923" s="128">
        <v>819</v>
      </c>
    </row>
    <row r="8924" spans="1:9" ht="13.5">
      <c r="A8924" s="128">
        <v>2015</v>
      </c>
      <c r="B8924" s="128" t="s">
        <v>139</v>
      </c>
      <c r="C8924" s="128" t="s">
        <v>27</v>
      </c>
      <c r="D8924" s="128" t="s">
        <v>79</v>
      </c>
      <c r="E8924" s="128" t="s">
        <v>134</v>
      </c>
      <c r="F8924" s="128">
        <v>152815.88</v>
      </c>
      <c r="G8924" s="128">
        <v>65738.929999999993</v>
      </c>
      <c r="H8924" s="128">
        <v>49286.85</v>
      </c>
      <c r="I8924" s="128">
        <v>705</v>
      </c>
    </row>
    <row r="8925" spans="1:9" ht="13.5">
      <c r="A8925" s="128">
        <v>2015</v>
      </c>
      <c r="B8925" s="128" t="s">
        <v>139</v>
      </c>
      <c r="C8925" s="128" t="s">
        <v>27</v>
      </c>
      <c r="D8925" s="128" t="s">
        <v>79</v>
      </c>
      <c r="E8925" s="128" t="s">
        <v>135</v>
      </c>
      <c r="F8925" s="128">
        <v>1307232.3500000001</v>
      </c>
      <c r="G8925" s="128">
        <v>333719.32</v>
      </c>
      <c r="H8925" s="128">
        <v>112645</v>
      </c>
      <c r="I8925" s="128">
        <v>1645</v>
      </c>
    </row>
    <row r="8926" spans="1:9" ht="13.5">
      <c r="A8926" s="128">
        <v>2015</v>
      </c>
      <c r="B8926" s="128" t="s">
        <v>139</v>
      </c>
      <c r="C8926" s="128" t="s">
        <v>27</v>
      </c>
      <c r="D8926" s="128" t="s">
        <v>77</v>
      </c>
      <c r="E8926" s="128" t="s">
        <v>132</v>
      </c>
      <c r="F8926" s="128">
        <v>17510.04</v>
      </c>
      <c r="G8926" s="128">
        <v>11763</v>
      </c>
      <c r="H8926" s="128">
        <v>5205.7</v>
      </c>
      <c r="I8926" s="128">
        <v>84</v>
      </c>
    </row>
    <row r="8927" spans="1:9" ht="13.5">
      <c r="A8927" s="128">
        <v>2015</v>
      </c>
      <c r="B8927" s="128" t="s">
        <v>139</v>
      </c>
      <c r="C8927" s="128" t="s">
        <v>27</v>
      </c>
      <c r="D8927" s="128" t="s">
        <v>77</v>
      </c>
      <c r="E8927" s="128" t="s">
        <v>133</v>
      </c>
      <c r="F8927" s="128">
        <v>23025.05</v>
      </c>
      <c r="G8927" s="128">
        <v>12587.11</v>
      </c>
      <c r="H8927" s="128">
        <v>8666.76</v>
      </c>
      <c r="I8927" s="128">
        <v>119</v>
      </c>
    </row>
    <row r="8928" spans="1:9" ht="13.5">
      <c r="A8928" s="128">
        <v>2015</v>
      </c>
      <c r="B8928" s="128" t="s">
        <v>139</v>
      </c>
      <c r="C8928" s="128" t="s">
        <v>27</v>
      </c>
      <c r="D8928" s="128" t="s">
        <v>77</v>
      </c>
      <c r="E8928" s="128" t="s">
        <v>134</v>
      </c>
      <c r="F8928" s="128">
        <v>85340.37</v>
      </c>
      <c r="G8928" s="128">
        <v>37115.050000000003</v>
      </c>
      <c r="H8928" s="128">
        <v>37238.6</v>
      </c>
      <c r="I8928" s="128">
        <v>230</v>
      </c>
    </row>
    <row r="8929" spans="1:9" ht="13.5">
      <c r="A8929" s="128">
        <v>2015</v>
      </c>
      <c r="B8929" s="128" t="s">
        <v>139</v>
      </c>
      <c r="C8929" s="128" t="s">
        <v>27</v>
      </c>
      <c r="D8929" s="128" t="s">
        <v>77</v>
      </c>
      <c r="E8929" s="128" t="s">
        <v>135</v>
      </c>
      <c r="F8929" s="128">
        <v>414526.95</v>
      </c>
      <c r="G8929" s="128">
        <v>111146.75</v>
      </c>
      <c r="H8929" s="128">
        <v>114390.98</v>
      </c>
      <c r="I8929" s="128">
        <v>2280</v>
      </c>
    </row>
    <row r="8930" spans="1:9" ht="13.5">
      <c r="A8930" s="128">
        <v>2015</v>
      </c>
      <c r="B8930" s="128" t="s">
        <v>139</v>
      </c>
      <c r="C8930" s="128" t="s">
        <v>27</v>
      </c>
      <c r="D8930" s="128" t="s">
        <v>76</v>
      </c>
      <c r="E8930" s="128" t="s">
        <v>136</v>
      </c>
      <c r="F8930" s="128">
        <v>142416.89000000001</v>
      </c>
      <c r="G8930" s="128">
        <v>106860.08</v>
      </c>
      <c r="H8930" s="128">
        <v>35556.81</v>
      </c>
      <c r="I8930" s="128">
        <v>2063</v>
      </c>
    </row>
    <row r="8931" spans="1:9" ht="13.5">
      <c r="A8931" s="128">
        <v>2015</v>
      </c>
      <c r="B8931" s="128" t="s">
        <v>139</v>
      </c>
      <c r="C8931" s="128" t="s">
        <v>27</v>
      </c>
      <c r="D8931" s="128" t="s">
        <v>76</v>
      </c>
      <c r="E8931" s="128" t="s">
        <v>132</v>
      </c>
      <c r="F8931" s="128">
        <v>461555.48</v>
      </c>
      <c r="G8931" s="128">
        <v>294559.15999999997</v>
      </c>
      <c r="H8931" s="128">
        <v>166990.1</v>
      </c>
      <c r="I8931" s="128">
        <v>3115</v>
      </c>
    </row>
    <row r="8932" spans="1:9" ht="13.5">
      <c r="A8932" s="128">
        <v>2015</v>
      </c>
      <c r="B8932" s="128" t="s">
        <v>139</v>
      </c>
      <c r="C8932" s="128" t="s">
        <v>27</v>
      </c>
      <c r="D8932" s="128" t="s">
        <v>76</v>
      </c>
      <c r="E8932" s="128" t="s">
        <v>133</v>
      </c>
      <c r="F8932" s="128">
        <v>1071328.94</v>
      </c>
      <c r="G8932" s="128">
        <v>586551.47</v>
      </c>
      <c r="H8932" s="128">
        <v>484777.44</v>
      </c>
      <c r="I8932" s="128">
        <v>6310</v>
      </c>
    </row>
    <row r="8933" spans="1:9" ht="13.5">
      <c r="A8933" s="128">
        <v>2015</v>
      </c>
      <c r="B8933" s="128" t="s">
        <v>139</v>
      </c>
      <c r="C8933" s="128" t="s">
        <v>27</v>
      </c>
      <c r="D8933" s="128" t="s">
        <v>76</v>
      </c>
      <c r="E8933" s="128" t="s">
        <v>134</v>
      </c>
      <c r="F8933" s="128">
        <v>1558159.3600000001</v>
      </c>
      <c r="G8933" s="128">
        <v>712515.08</v>
      </c>
      <c r="H8933" s="128">
        <v>845638.33</v>
      </c>
      <c r="I8933" s="128">
        <v>7059</v>
      </c>
    </row>
    <row r="8934" spans="1:9" ht="13.5">
      <c r="A8934" s="128">
        <v>2015</v>
      </c>
      <c r="B8934" s="128" t="s">
        <v>139</v>
      </c>
      <c r="C8934" s="128" t="s">
        <v>27</v>
      </c>
      <c r="D8934" s="128" t="s">
        <v>76</v>
      </c>
      <c r="E8934" s="128" t="s">
        <v>135</v>
      </c>
      <c r="F8934" s="128">
        <v>60703.199999999997</v>
      </c>
      <c r="G8934" s="128">
        <v>17893.849999999999</v>
      </c>
      <c r="H8934" s="128">
        <v>42809.35</v>
      </c>
      <c r="I8934" s="128">
        <v>138</v>
      </c>
    </row>
    <row r="8935" spans="1:9" ht="13.5">
      <c r="A8935" s="128">
        <v>2015</v>
      </c>
      <c r="B8935" s="128" t="s">
        <v>137</v>
      </c>
      <c r="C8935" s="128" t="s">
        <v>20</v>
      </c>
      <c r="D8935" s="128" t="s">
        <v>79</v>
      </c>
      <c r="E8935" s="128" t="s">
        <v>136</v>
      </c>
      <c r="F8935" s="128">
        <v>40453038.100000001</v>
      </c>
      <c r="G8935" s="128">
        <v>30369666.260000002</v>
      </c>
      <c r="H8935" s="128">
        <v>10077858.33</v>
      </c>
      <c r="I8935" s="128">
        <v>650190</v>
      </c>
    </row>
    <row r="8936" spans="1:9" ht="13.5">
      <c r="A8936" s="128">
        <v>2015</v>
      </c>
      <c r="B8936" s="128" t="s">
        <v>137</v>
      </c>
      <c r="C8936" s="128" t="s">
        <v>20</v>
      </c>
      <c r="D8936" s="128" t="s">
        <v>79</v>
      </c>
      <c r="E8936" s="128" t="s">
        <v>132</v>
      </c>
      <c r="F8936" s="128">
        <v>4663405.6900000004</v>
      </c>
      <c r="G8936" s="128">
        <v>3106272.49</v>
      </c>
      <c r="H8936" s="128">
        <v>1221386.1399999999</v>
      </c>
      <c r="I8936" s="128">
        <v>22878</v>
      </c>
    </row>
    <row r="8937" spans="1:9" ht="13.5">
      <c r="A8937" s="128">
        <v>2015</v>
      </c>
      <c r="B8937" s="128" t="s">
        <v>137</v>
      </c>
      <c r="C8937" s="128" t="s">
        <v>20</v>
      </c>
      <c r="D8937" s="128" t="s">
        <v>79</v>
      </c>
      <c r="E8937" s="128" t="s">
        <v>133</v>
      </c>
      <c r="F8937" s="128">
        <v>3785720.61</v>
      </c>
      <c r="G8937" s="128">
        <v>2037853.03</v>
      </c>
      <c r="H8937" s="128">
        <v>1142011.3</v>
      </c>
      <c r="I8937" s="128">
        <v>24589</v>
      </c>
    </row>
    <row r="8938" spans="1:9" ht="13.5">
      <c r="A8938" s="128">
        <v>2015</v>
      </c>
      <c r="B8938" s="128" t="s">
        <v>137</v>
      </c>
      <c r="C8938" s="128" t="s">
        <v>20</v>
      </c>
      <c r="D8938" s="128" t="s">
        <v>79</v>
      </c>
      <c r="E8938" s="128" t="s">
        <v>134</v>
      </c>
      <c r="F8938" s="128">
        <v>12034886.09</v>
      </c>
      <c r="G8938" s="128">
        <v>5199153.6399999997</v>
      </c>
      <c r="H8938" s="128">
        <v>2920372.84</v>
      </c>
      <c r="I8938" s="128">
        <v>52605</v>
      </c>
    </row>
    <row r="8939" spans="1:9" ht="13.5">
      <c r="A8939" s="128">
        <v>2015</v>
      </c>
      <c r="B8939" s="128" t="s">
        <v>137</v>
      </c>
      <c r="C8939" s="128" t="s">
        <v>20</v>
      </c>
      <c r="D8939" s="128" t="s">
        <v>79</v>
      </c>
      <c r="E8939" s="128" t="s">
        <v>135</v>
      </c>
      <c r="F8939" s="128">
        <v>97741408.370000005</v>
      </c>
      <c r="G8939" s="128">
        <v>22846631.02</v>
      </c>
      <c r="H8939" s="128">
        <v>7858228.79</v>
      </c>
      <c r="I8939" s="128">
        <v>122947</v>
      </c>
    </row>
    <row r="8940" spans="1:9" ht="13.5">
      <c r="A8940" s="128">
        <v>2015</v>
      </c>
      <c r="B8940" s="128" t="s">
        <v>137</v>
      </c>
      <c r="C8940" s="128" t="s">
        <v>20</v>
      </c>
      <c r="D8940" s="128" t="s">
        <v>77</v>
      </c>
      <c r="E8940" s="128" t="s">
        <v>132</v>
      </c>
      <c r="F8940" s="128">
        <v>4512170.0199999996</v>
      </c>
      <c r="G8940" s="128">
        <v>2891253.7599999998</v>
      </c>
      <c r="H8940" s="128">
        <v>1517909.72</v>
      </c>
      <c r="I8940" s="128">
        <v>28599</v>
      </c>
    </row>
    <row r="8941" spans="1:9" ht="13.5">
      <c r="A8941" s="128">
        <v>2015</v>
      </c>
      <c r="B8941" s="128" t="s">
        <v>137</v>
      </c>
      <c r="C8941" s="128" t="s">
        <v>20</v>
      </c>
      <c r="D8941" s="128" t="s">
        <v>77</v>
      </c>
      <c r="E8941" s="128" t="s">
        <v>133</v>
      </c>
      <c r="F8941" s="128">
        <v>8705390.2799999993</v>
      </c>
      <c r="G8941" s="128">
        <v>4776549.5999999996</v>
      </c>
      <c r="H8941" s="128">
        <v>3604994.01</v>
      </c>
      <c r="I8941" s="128">
        <v>30596</v>
      </c>
    </row>
    <row r="8942" spans="1:9" ht="13.5">
      <c r="A8942" s="128">
        <v>2015</v>
      </c>
      <c r="B8942" s="128" t="s">
        <v>137</v>
      </c>
      <c r="C8942" s="128" t="s">
        <v>20</v>
      </c>
      <c r="D8942" s="128" t="s">
        <v>77</v>
      </c>
      <c r="E8942" s="128" t="s">
        <v>134</v>
      </c>
      <c r="F8942" s="128">
        <v>21911303.039999999</v>
      </c>
      <c r="G8942" s="128">
        <v>9698879.3300000001</v>
      </c>
      <c r="H8942" s="128">
        <v>10627978.560000001</v>
      </c>
      <c r="I8942" s="128">
        <v>79695</v>
      </c>
    </row>
    <row r="8943" spans="1:9" ht="13.5">
      <c r="A8943" s="128">
        <v>2015</v>
      </c>
      <c r="B8943" s="128" t="s">
        <v>137</v>
      </c>
      <c r="C8943" s="128" t="s">
        <v>20</v>
      </c>
      <c r="D8943" s="128" t="s">
        <v>77</v>
      </c>
      <c r="E8943" s="128" t="s">
        <v>135</v>
      </c>
      <c r="F8943" s="128">
        <v>25758266.719999999</v>
      </c>
      <c r="G8943" s="128">
        <v>7093175.4900000002</v>
      </c>
      <c r="H8943" s="128">
        <v>8493143.3000000007</v>
      </c>
      <c r="I8943" s="128">
        <v>102285</v>
      </c>
    </row>
    <row r="8944" spans="1:9" ht="13.5">
      <c r="A8944" s="128">
        <v>2015</v>
      </c>
      <c r="B8944" s="128" t="s">
        <v>137</v>
      </c>
      <c r="C8944" s="128" t="s">
        <v>20</v>
      </c>
      <c r="D8944" s="128" t="s">
        <v>76</v>
      </c>
      <c r="E8944" s="128" t="s">
        <v>136</v>
      </c>
      <c r="F8944" s="128">
        <v>17615336.440000001</v>
      </c>
      <c r="G8944" s="128">
        <v>13232169.59</v>
      </c>
      <c r="H8944" s="128">
        <v>4383218.4000000004</v>
      </c>
      <c r="I8944" s="128">
        <v>434467</v>
      </c>
    </row>
    <row r="8945" spans="1:9" ht="13.5">
      <c r="A8945" s="128">
        <v>2015</v>
      </c>
      <c r="B8945" s="128" t="s">
        <v>137</v>
      </c>
      <c r="C8945" s="128" t="s">
        <v>20</v>
      </c>
      <c r="D8945" s="128" t="s">
        <v>76</v>
      </c>
      <c r="E8945" s="128" t="s">
        <v>132</v>
      </c>
      <c r="F8945" s="128">
        <v>44313315.329999998</v>
      </c>
      <c r="G8945" s="128">
        <v>28221444.539999999</v>
      </c>
      <c r="H8945" s="128">
        <v>16091781.27</v>
      </c>
      <c r="I8945" s="128">
        <v>423136</v>
      </c>
    </row>
    <row r="8946" spans="1:9" ht="13.5">
      <c r="A8946" s="128">
        <v>2015</v>
      </c>
      <c r="B8946" s="128" t="s">
        <v>137</v>
      </c>
      <c r="C8946" s="128" t="s">
        <v>20</v>
      </c>
      <c r="D8946" s="128" t="s">
        <v>76</v>
      </c>
      <c r="E8946" s="128" t="s">
        <v>133</v>
      </c>
      <c r="F8946" s="128">
        <v>88941491.120000005</v>
      </c>
      <c r="G8946" s="128">
        <v>48908325.609999999</v>
      </c>
      <c r="H8946" s="128">
        <v>40033143.039999999</v>
      </c>
      <c r="I8946" s="128">
        <v>575563</v>
      </c>
    </row>
    <row r="8947" spans="1:9" ht="13.5">
      <c r="A8947" s="128">
        <v>2015</v>
      </c>
      <c r="B8947" s="128" t="s">
        <v>137</v>
      </c>
      <c r="C8947" s="128" t="s">
        <v>20</v>
      </c>
      <c r="D8947" s="128" t="s">
        <v>76</v>
      </c>
      <c r="E8947" s="128" t="s">
        <v>134</v>
      </c>
      <c r="F8947" s="128">
        <v>92261859.109999999</v>
      </c>
      <c r="G8947" s="128">
        <v>42226101.670000002</v>
      </c>
      <c r="H8947" s="128">
        <v>50035684.350000001</v>
      </c>
      <c r="I8947" s="128">
        <v>507535</v>
      </c>
    </row>
    <row r="8948" spans="1:9" ht="13.5">
      <c r="A8948" s="128">
        <v>2015</v>
      </c>
      <c r="B8948" s="128" t="s">
        <v>137</v>
      </c>
      <c r="C8948" s="128" t="s">
        <v>20</v>
      </c>
      <c r="D8948" s="128" t="s">
        <v>76</v>
      </c>
      <c r="E8948" s="128" t="s">
        <v>135</v>
      </c>
      <c r="F8948" s="128">
        <v>7515142.3799999999</v>
      </c>
      <c r="G8948" s="128">
        <v>2282080.89</v>
      </c>
      <c r="H8948" s="128">
        <v>5233061.9000000004</v>
      </c>
      <c r="I8948" s="128">
        <v>19550</v>
      </c>
    </row>
    <row r="8949" spans="1:9" ht="13.5">
      <c r="A8949" s="128">
        <v>2015</v>
      </c>
      <c r="B8949" s="128" t="s">
        <v>137</v>
      </c>
      <c r="C8949" s="128" t="s">
        <v>21</v>
      </c>
      <c r="D8949" s="128" t="s">
        <v>79</v>
      </c>
      <c r="E8949" s="128" t="s">
        <v>136</v>
      </c>
      <c r="F8949" s="128">
        <v>10450505.51</v>
      </c>
      <c r="G8949" s="128">
        <v>7856431.5</v>
      </c>
      <c r="H8949" s="128">
        <v>2590728.58</v>
      </c>
      <c r="I8949" s="128">
        <v>205082</v>
      </c>
    </row>
    <row r="8950" spans="1:9" ht="13.5">
      <c r="A8950" s="128">
        <v>2015</v>
      </c>
      <c r="B8950" s="128" t="s">
        <v>137</v>
      </c>
      <c r="C8950" s="128" t="s">
        <v>21</v>
      </c>
      <c r="D8950" s="128" t="s">
        <v>79</v>
      </c>
      <c r="E8950" s="128" t="s">
        <v>132</v>
      </c>
      <c r="F8950" s="128">
        <v>2120603.34</v>
      </c>
      <c r="G8950" s="128">
        <v>1387092.82</v>
      </c>
      <c r="H8950" s="128">
        <v>523823.6</v>
      </c>
      <c r="I8950" s="128">
        <v>9099</v>
      </c>
    </row>
    <row r="8951" spans="1:9" ht="13.5">
      <c r="A8951" s="128">
        <v>2015</v>
      </c>
      <c r="B8951" s="128" t="s">
        <v>137</v>
      </c>
      <c r="C8951" s="128" t="s">
        <v>21</v>
      </c>
      <c r="D8951" s="128" t="s">
        <v>79</v>
      </c>
      <c r="E8951" s="128" t="s">
        <v>133</v>
      </c>
      <c r="F8951" s="128">
        <v>5548920.5999999996</v>
      </c>
      <c r="G8951" s="128">
        <v>3046496.1</v>
      </c>
      <c r="H8951" s="128">
        <v>1992590.62</v>
      </c>
      <c r="I8951" s="128">
        <v>93925</v>
      </c>
    </row>
    <row r="8952" spans="1:9" ht="13.5">
      <c r="A8952" s="128">
        <v>2015</v>
      </c>
      <c r="B8952" s="128" t="s">
        <v>137</v>
      </c>
      <c r="C8952" s="128" t="s">
        <v>21</v>
      </c>
      <c r="D8952" s="128" t="s">
        <v>79</v>
      </c>
      <c r="E8952" s="128" t="s">
        <v>134</v>
      </c>
      <c r="F8952" s="128">
        <v>7368055.6299999999</v>
      </c>
      <c r="G8952" s="128">
        <v>3159240.09</v>
      </c>
      <c r="H8952" s="128">
        <v>2342300.54</v>
      </c>
      <c r="I8952" s="128">
        <v>36117</v>
      </c>
    </row>
    <row r="8953" spans="1:9" ht="13.5">
      <c r="A8953" s="128">
        <v>2015</v>
      </c>
      <c r="B8953" s="128" t="s">
        <v>137</v>
      </c>
      <c r="C8953" s="128" t="s">
        <v>21</v>
      </c>
      <c r="D8953" s="128" t="s">
        <v>79</v>
      </c>
      <c r="E8953" s="128" t="s">
        <v>135</v>
      </c>
      <c r="F8953" s="128">
        <v>24447096.510000002</v>
      </c>
      <c r="G8953" s="128">
        <v>6190500.71</v>
      </c>
      <c r="H8953" s="128">
        <v>2360278.12</v>
      </c>
      <c r="I8953" s="128">
        <v>52024</v>
      </c>
    </row>
    <row r="8954" spans="1:9" ht="13.5">
      <c r="A8954" s="128">
        <v>2015</v>
      </c>
      <c r="B8954" s="128" t="s">
        <v>137</v>
      </c>
      <c r="C8954" s="128" t="s">
        <v>21</v>
      </c>
      <c r="D8954" s="128" t="s">
        <v>77</v>
      </c>
      <c r="E8954" s="128" t="s">
        <v>132</v>
      </c>
      <c r="F8954" s="128">
        <v>3840811.5</v>
      </c>
      <c r="G8954" s="128">
        <v>2523391.0499999998</v>
      </c>
      <c r="H8954" s="128">
        <v>1214481.75</v>
      </c>
      <c r="I8954" s="128">
        <v>28160</v>
      </c>
    </row>
    <row r="8955" spans="1:9" ht="13.5">
      <c r="A8955" s="128">
        <v>2015</v>
      </c>
      <c r="B8955" s="128" t="s">
        <v>137</v>
      </c>
      <c r="C8955" s="128" t="s">
        <v>21</v>
      </c>
      <c r="D8955" s="128" t="s">
        <v>77</v>
      </c>
      <c r="E8955" s="128" t="s">
        <v>133</v>
      </c>
      <c r="F8955" s="128">
        <v>8262417.0300000003</v>
      </c>
      <c r="G8955" s="128">
        <v>4514145.62</v>
      </c>
      <c r="H8955" s="128">
        <v>3196712.93</v>
      </c>
      <c r="I8955" s="128">
        <v>30650</v>
      </c>
    </row>
    <row r="8956" spans="1:9" ht="13.5">
      <c r="A8956" s="128">
        <v>2015</v>
      </c>
      <c r="B8956" s="128" t="s">
        <v>137</v>
      </c>
      <c r="C8956" s="128" t="s">
        <v>21</v>
      </c>
      <c r="D8956" s="128" t="s">
        <v>77</v>
      </c>
      <c r="E8956" s="128" t="s">
        <v>134</v>
      </c>
      <c r="F8956" s="128">
        <v>15822999.6</v>
      </c>
      <c r="G8956" s="128">
        <v>6925613.7400000002</v>
      </c>
      <c r="H8956" s="128">
        <v>6969031.2999999998</v>
      </c>
      <c r="I8956" s="128">
        <v>50789</v>
      </c>
    </row>
    <row r="8957" spans="1:9" ht="13.5">
      <c r="A8957" s="128">
        <v>2015</v>
      </c>
      <c r="B8957" s="128" t="s">
        <v>137</v>
      </c>
      <c r="C8957" s="128" t="s">
        <v>21</v>
      </c>
      <c r="D8957" s="128" t="s">
        <v>77</v>
      </c>
      <c r="E8957" s="128" t="s">
        <v>135</v>
      </c>
      <c r="F8957" s="128">
        <v>22584301.899999999</v>
      </c>
      <c r="G8957" s="128">
        <v>6674225.2599999998</v>
      </c>
      <c r="H8957" s="128">
        <v>7661867.75</v>
      </c>
      <c r="I8957" s="128">
        <v>100000</v>
      </c>
    </row>
    <row r="8958" spans="1:9" ht="13.5">
      <c r="A8958" s="128">
        <v>2015</v>
      </c>
      <c r="B8958" s="128" t="s">
        <v>137</v>
      </c>
      <c r="C8958" s="128" t="s">
        <v>21</v>
      </c>
      <c r="D8958" s="128" t="s">
        <v>76</v>
      </c>
      <c r="E8958" s="128" t="s">
        <v>136</v>
      </c>
      <c r="F8958" s="128">
        <v>17132594.5</v>
      </c>
      <c r="G8958" s="128">
        <v>12877783.640000001</v>
      </c>
      <c r="H8958" s="128">
        <v>4254856.83</v>
      </c>
      <c r="I8958" s="128">
        <v>305925</v>
      </c>
    </row>
    <row r="8959" spans="1:9" ht="13.5">
      <c r="A8959" s="128">
        <v>2015</v>
      </c>
      <c r="B8959" s="128" t="s">
        <v>137</v>
      </c>
      <c r="C8959" s="128" t="s">
        <v>21</v>
      </c>
      <c r="D8959" s="128" t="s">
        <v>76</v>
      </c>
      <c r="E8959" s="128" t="s">
        <v>132</v>
      </c>
      <c r="F8959" s="128">
        <v>42115111.280000001</v>
      </c>
      <c r="G8959" s="128">
        <v>26781769.25</v>
      </c>
      <c r="H8959" s="128">
        <v>15333194.15</v>
      </c>
      <c r="I8959" s="128">
        <v>342864</v>
      </c>
    </row>
    <row r="8960" spans="1:9" ht="13.5">
      <c r="A8960" s="128">
        <v>2015</v>
      </c>
      <c r="B8960" s="128" t="s">
        <v>137</v>
      </c>
      <c r="C8960" s="128" t="s">
        <v>21</v>
      </c>
      <c r="D8960" s="128" t="s">
        <v>76</v>
      </c>
      <c r="E8960" s="128" t="s">
        <v>133</v>
      </c>
      <c r="F8960" s="128">
        <v>98451106.879999995</v>
      </c>
      <c r="G8960" s="128">
        <v>54070684.689999998</v>
      </c>
      <c r="H8960" s="128">
        <v>44380316.729999997</v>
      </c>
      <c r="I8960" s="128">
        <v>646496</v>
      </c>
    </row>
    <row r="8961" spans="1:9" ht="13.5">
      <c r="A8961" s="128">
        <v>2015</v>
      </c>
      <c r="B8961" s="128" t="s">
        <v>137</v>
      </c>
      <c r="C8961" s="128" t="s">
        <v>21</v>
      </c>
      <c r="D8961" s="128" t="s">
        <v>76</v>
      </c>
      <c r="E8961" s="128" t="s">
        <v>134</v>
      </c>
      <c r="F8961" s="128">
        <v>95462304.890000001</v>
      </c>
      <c r="G8961" s="128">
        <v>42807313.409999996</v>
      </c>
      <c r="H8961" s="128">
        <v>52654828.719999999</v>
      </c>
      <c r="I8961" s="128">
        <v>500897</v>
      </c>
    </row>
    <row r="8962" spans="1:9" ht="13.5">
      <c r="A8962" s="128">
        <v>2015</v>
      </c>
      <c r="B8962" s="128" t="s">
        <v>137</v>
      </c>
      <c r="C8962" s="128" t="s">
        <v>21</v>
      </c>
      <c r="D8962" s="128" t="s">
        <v>76</v>
      </c>
      <c r="E8962" s="128" t="s">
        <v>135</v>
      </c>
      <c r="F8962" s="128">
        <v>3553845.22</v>
      </c>
      <c r="G8962" s="128">
        <v>965173.11</v>
      </c>
      <c r="H8962" s="128">
        <v>2588671.81</v>
      </c>
      <c r="I8962" s="128">
        <v>5617</v>
      </c>
    </row>
    <row r="8963" spans="1:9" ht="13.5">
      <c r="A8963" s="128">
        <v>2015</v>
      </c>
      <c r="B8963" s="128" t="s">
        <v>137</v>
      </c>
      <c r="C8963" s="128" t="s">
        <v>22</v>
      </c>
      <c r="D8963" s="128" t="s">
        <v>79</v>
      </c>
      <c r="E8963" s="128" t="s">
        <v>136</v>
      </c>
      <c r="F8963" s="128">
        <v>7735075.3300000001</v>
      </c>
      <c r="G8963" s="128">
        <v>5805533.71</v>
      </c>
      <c r="H8963" s="128">
        <v>1918201.02</v>
      </c>
      <c r="I8963" s="128">
        <v>98887</v>
      </c>
    </row>
    <row r="8964" spans="1:9" ht="13.5">
      <c r="A8964" s="128">
        <v>2015</v>
      </c>
      <c r="B8964" s="128" t="s">
        <v>137</v>
      </c>
      <c r="C8964" s="128" t="s">
        <v>22</v>
      </c>
      <c r="D8964" s="128" t="s">
        <v>79</v>
      </c>
      <c r="E8964" s="128" t="s">
        <v>132</v>
      </c>
      <c r="F8964" s="128">
        <v>5214101.7699999996</v>
      </c>
      <c r="G8964" s="128">
        <v>3403685.57</v>
      </c>
      <c r="H8964" s="128">
        <v>1508653.48</v>
      </c>
      <c r="I8964" s="128">
        <v>49666</v>
      </c>
    </row>
    <row r="8965" spans="1:9" ht="13.5">
      <c r="A8965" s="128">
        <v>2015</v>
      </c>
      <c r="B8965" s="128" t="s">
        <v>137</v>
      </c>
      <c r="C8965" s="128" t="s">
        <v>22</v>
      </c>
      <c r="D8965" s="128" t="s">
        <v>79</v>
      </c>
      <c r="E8965" s="128" t="s">
        <v>133</v>
      </c>
      <c r="F8965" s="128">
        <v>4469779.28</v>
      </c>
      <c r="G8965" s="128">
        <v>2378221.0699999998</v>
      </c>
      <c r="H8965" s="128">
        <v>1293270.6299999999</v>
      </c>
      <c r="I8965" s="128">
        <v>43158</v>
      </c>
    </row>
    <row r="8966" spans="1:9" ht="13.5">
      <c r="A8966" s="128">
        <v>2015</v>
      </c>
      <c r="B8966" s="128" t="s">
        <v>137</v>
      </c>
      <c r="C8966" s="128" t="s">
        <v>22</v>
      </c>
      <c r="D8966" s="128" t="s">
        <v>79</v>
      </c>
      <c r="E8966" s="128" t="s">
        <v>134</v>
      </c>
      <c r="F8966" s="128">
        <v>10335261.41</v>
      </c>
      <c r="G8966" s="128">
        <v>4514107.16</v>
      </c>
      <c r="H8966" s="128">
        <v>3620090.68</v>
      </c>
      <c r="I8966" s="128">
        <v>54868</v>
      </c>
    </row>
    <row r="8967" spans="1:9" ht="13.5">
      <c r="A8967" s="128">
        <v>2015</v>
      </c>
      <c r="B8967" s="128" t="s">
        <v>137</v>
      </c>
      <c r="C8967" s="128" t="s">
        <v>22</v>
      </c>
      <c r="D8967" s="128" t="s">
        <v>79</v>
      </c>
      <c r="E8967" s="128" t="s">
        <v>135</v>
      </c>
      <c r="F8967" s="128">
        <v>42752174.960000001</v>
      </c>
      <c r="G8967" s="128">
        <v>10576905.25</v>
      </c>
      <c r="H8967" s="128">
        <v>3712944.26</v>
      </c>
      <c r="I8967" s="128">
        <v>55530</v>
      </c>
    </row>
    <row r="8968" spans="1:9" ht="13.5">
      <c r="A8968" s="128">
        <v>2015</v>
      </c>
      <c r="B8968" s="128" t="s">
        <v>137</v>
      </c>
      <c r="C8968" s="128" t="s">
        <v>22</v>
      </c>
      <c r="D8968" s="128" t="s">
        <v>77</v>
      </c>
      <c r="E8968" s="128" t="s">
        <v>132</v>
      </c>
      <c r="F8968" s="128">
        <v>1877143.63</v>
      </c>
      <c r="G8968" s="128">
        <v>1202504.3999999999</v>
      </c>
      <c r="H8968" s="128">
        <v>608685.4</v>
      </c>
      <c r="I8968" s="128">
        <v>10756</v>
      </c>
    </row>
    <row r="8969" spans="1:9" ht="13.5">
      <c r="A8969" s="128">
        <v>2015</v>
      </c>
      <c r="B8969" s="128" t="s">
        <v>137</v>
      </c>
      <c r="C8969" s="128" t="s">
        <v>22</v>
      </c>
      <c r="D8969" s="128" t="s">
        <v>77</v>
      </c>
      <c r="E8969" s="128" t="s">
        <v>133</v>
      </c>
      <c r="F8969" s="128">
        <v>3694557.87</v>
      </c>
      <c r="G8969" s="128">
        <v>2018270.53</v>
      </c>
      <c r="H8969" s="128">
        <v>1479163.19</v>
      </c>
      <c r="I8969" s="128">
        <v>14881</v>
      </c>
    </row>
    <row r="8970" spans="1:9" ht="13.5">
      <c r="A8970" s="128">
        <v>2015</v>
      </c>
      <c r="B8970" s="128" t="s">
        <v>137</v>
      </c>
      <c r="C8970" s="128" t="s">
        <v>22</v>
      </c>
      <c r="D8970" s="128" t="s">
        <v>77</v>
      </c>
      <c r="E8970" s="128" t="s">
        <v>134</v>
      </c>
      <c r="F8970" s="128">
        <v>11380650.02</v>
      </c>
      <c r="G8970" s="128">
        <v>4930450.68</v>
      </c>
      <c r="H8970" s="128">
        <v>5179248.3499999996</v>
      </c>
      <c r="I8970" s="128">
        <v>33981</v>
      </c>
    </row>
    <row r="8971" spans="1:9" ht="13.5">
      <c r="A8971" s="128">
        <v>2015</v>
      </c>
      <c r="B8971" s="128" t="s">
        <v>137</v>
      </c>
      <c r="C8971" s="128" t="s">
        <v>22</v>
      </c>
      <c r="D8971" s="128" t="s">
        <v>77</v>
      </c>
      <c r="E8971" s="128" t="s">
        <v>135</v>
      </c>
      <c r="F8971" s="128">
        <v>14671025.279999999</v>
      </c>
      <c r="G8971" s="128">
        <v>4284134.0999999996</v>
      </c>
      <c r="H8971" s="128">
        <v>4877795.1900000004</v>
      </c>
      <c r="I8971" s="128">
        <v>38977</v>
      </c>
    </row>
    <row r="8972" spans="1:9" ht="13.5">
      <c r="A8972" s="128">
        <v>2015</v>
      </c>
      <c r="B8972" s="128" t="s">
        <v>137</v>
      </c>
      <c r="C8972" s="128" t="s">
        <v>22</v>
      </c>
      <c r="D8972" s="128" t="s">
        <v>76</v>
      </c>
      <c r="E8972" s="128" t="s">
        <v>136</v>
      </c>
      <c r="F8972" s="128">
        <v>12668551.42</v>
      </c>
      <c r="G8972" s="128">
        <v>9508644.9499999993</v>
      </c>
      <c r="H8972" s="128">
        <v>3159956.15</v>
      </c>
      <c r="I8972" s="128">
        <v>218907</v>
      </c>
    </row>
    <row r="8973" spans="1:9" ht="13.5">
      <c r="A8973" s="128">
        <v>2015</v>
      </c>
      <c r="B8973" s="128" t="s">
        <v>137</v>
      </c>
      <c r="C8973" s="128" t="s">
        <v>22</v>
      </c>
      <c r="D8973" s="128" t="s">
        <v>76</v>
      </c>
      <c r="E8973" s="128" t="s">
        <v>132</v>
      </c>
      <c r="F8973" s="128">
        <v>36948785.979999997</v>
      </c>
      <c r="G8973" s="128">
        <v>23561570.030000001</v>
      </c>
      <c r="H8973" s="128">
        <v>13386933.640000001</v>
      </c>
      <c r="I8973" s="128">
        <v>336716</v>
      </c>
    </row>
    <row r="8974" spans="1:9" ht="13.5">
      <c r="A8974" s="128">
        <v>2015</v>
      </c>
      <c r="B8974" s="128" t="s">
        <v>137</v>
      </c>
      <c r="C8974" s="128" t="s">
        <v>22</v>
      </c>
      <c r="D8974" s="128" t="s">
        <v>76</v>
      </c>
      <c r="E8974" s="128" t="s">
        <v>133</v>
      </c>
      <c r="F8974" s="128">
        <v>71799376.930000007</v>
      </c>
      <c r="G8974" s="128">
        <v>39662379.960000001</v>
      </c>
      <c r="H8974" s="128">
        <v>32136455.550000001</v>
      </c>
      <c r="I8974" s="128">
        <v>584004</v>
      </c>
    </row>
    <row r="8975" spans="1:9" ht="13.5">
      <c r="A8975" s="128">
        <v>2015</v>
      </c>
      <c r="B8975" s="128" t="s">
        <v>137</v>
      </c>
      <c r="C8975" s="128" t="s">
        <v>22</v>
      </c>
      <c r="D8975" s="128" t="s">
        <v>76</v>
      </c>
      <c r="E8975" s="128" t="s">
        <v>134</v>
      </c>
      <c r="F8975" s="128">
        <v>65196210.409999996</v>
      </c>
      <c r="G8975" s="128">
        <v>29859390.82</v>
      </c>
      <c r="H8975" s="128">
        <v>35336424.780000001</v>
      </c>
      <c r="I8975" s="128">
        <v>420453</v>
      </c>
    </row>
    <row r="8976" spans="1:9" ht="13.5">
      <c r="A8976" s="128">
        <v>2015</v>
      </c>
      <c r="B8976" s="128" t="s">
        <v>137</v>
      </c>
      <c r="C8976" s="128" t="s">
        <v>22</v>
      </c>
      <c r="D8976" s="128" t="s">
        <v>76</v>
      </c>
      <c r="E8976" s="128" t="s">
        <v>135</v>
      </c>
      <c r="F8976" s="128">
        <v>5852052.6200000001</v>
      </c>
      <c r="G8976" s="128">
        <v>1711202.69</v>
      </c>
      <c r="H8976" s="128">
        <v>4140844.94</v>
      </c>
      <c r="I8976" s="128">
        <v>7935</v>
      </c>
    </row>
    <row r="8977" spans="1:9" ht="13.5">
      <c r="A8977" s="128">
        <v>2015</v>
      </c>
      <c r="B8977" s="128" t="s">
        <v>137</v>
      </c>
      <c r="C8977" s="128" t="s">
        <v>23</v>
      </c>
      <c r="D8977" s="128" t="s">
        <v>79</v>
      </c>
      <c r="E8977" s="128" t="s">
        <v>136</v>
      </c>
      <c r="F8977" s="128">
        <v>2485344.84</v>
      </c>
      <c r="G8977" s="128">
        <v>1865042.12</v>
      </c>
      <c r="H8977" s="128">
        <v>620163.97</v>
      </c>
      <c r="I8977" s="128">
        <v>25935</v>
      </c>
    </row>
    <row r="8978" spans="1:9" ht="13.5">
      <c r="A8978" s="128">
        <v>2015</v>
      </c>
      <c r="B8978" s="128" t="s">
        <v>137</v>
      </c>
      <c r="C8978" s="128" t="s">
        <v>23</v>
      </c>
      <c r="D8978" s="128" t="s">
        <v>79</v>
      </c>
      <c r="E8978" s="128" t="s">
        <v>132</v>
      </c>
      <c r="F8978" s="128">
        <v>1005446.87</v>
      </c>
      <c r="G8978" s="128">
        <v>635510.09</v>
      </c>
      <c r="H8978" s="128">
        <v>322485.37</v>
      </c>
      <c r="I8978" s="128">
        <v>4820</v>
      </c>
    </row>
    <row r="8979" spans="1:9" ht="13.5">
      <c r="A8979" s="128">
        <v>2015</v>
      </c>
      <c r="B8979" s="128" t="s">
        <v>137</v>
      </c>
      <c r="C8979" s="128" t="s">
        <v>23</v>
      </c>
      <c r="D8979" s="128" t="s">
        <v>79</v>
      </c>
      <c r="E8979" s="128" t="s">
        <v>133</v>
      </c>
      <c r="F8979" s="128">
        <v>1386210.25</v>
      </c>
      <c r="G8979" s="128">
        <v>763332.45</v>
      </c>
      <c r="H8979" s="128">
        <v>542424.68000000005</v>
      </c>
      <c r="I8979" s="128">
        <v>18927</v>
      </c>
    </row>
    <row r="8980" spans="1:9" ht="13.5">
      <c r="A8980" s="128">
        <v>2015</v>
      </c>
      <c r="B8980" s="128" t="s">
        <v>137</v>
      </c>
      <c r="C8980" s="128" t="s">
        <v>23</v>
      </c>
      <c r="D8980" s="128" t="s">
        <v>79</v>
      </c>
      <c r="E8980" s="128" t="s">
        <v>134</v>
      </c>
      <c r="F8980" s="128">
        <v>2114921.39</v>
      </c>
      <c r="G8980" s="128">
        <v>920422.77</v>
      </c>
      <c r="H8980" s="128">
        <v>1006361.72</v>
      </c>
      <c r="I8980" s="128">
        <v>7623</v>
      </c>
    </row>
    <row r="8981" spans="1:9" ht="13.5">
      <c r="A8981" s="128">
        <v>2015</v>
      </c>
      <c r="B8981" s="128" t="s">
        <v>137</v>
      </c>
      <c r="C8981" s="128" t="s">
        <v>23</v>
      </c>
      <c r="D8981" s="128" t="s">
        <v>79</v>
      </c>
      <c r="E8981" s="128" t="s">
        <v>135</v>
      </c>
      <c r="F8981" s="128">
        <v>1959562.96</v>
      </c>
      <c r="G8981" s="128">
        <v>477358.07</v>
      </c>
      <c r="H8981" s="128">
        <v>230837.81</v>
      </c>
      <c r="I8981" s="128">
        <v>3527</v>
      </c>
    </row>
    <row r="8982" spans="1:9" ht="13.5">
      <c r="A8982" s="128">
        <v>2015</v>
      </c>
      <c r="B8982" s="128" t="s">
        <v>137</v>
      </c>
      <c r="C8982" s="128" t="s">
        <v>23</v>
      </c>
      <c r="D8982" s="128" t="s">
        <v>77</v>
      </c>
      <c r="E8982" s="128" t="s">
        <v>132</v>
      </c>
      <c r="F8982" s="128">
        <v>549200.69999999995</v>
      </c>
      <c r="G8982" s="128">
        <v>354929.24</v>
      </c>
      <c r="H8982" s="128">
        <v>175312.6</v>
      </c>
      <c r="I8982" s="128">
        <v>3655</v>
      </c>
    </row>
    <row r="8983" spans="1:9" ht="13.5">
      <c r="A8983" s="128">
        <v>2015</v>
      </c>
      <c r="B8983" s="128" t="s">
        <v>137</v>
      </c>
      <c r="C8983" s="128" t="s">
        <v>23</v>
      </c>
      <c r="D8983" s="128" t="s">
        <v>77</v>
      </c>
      <c r="E8983" s="128" t="s">
        <v>133</v>
      </c>
      <c r="F8983" s="128">
        <v>1451963.36</v>
      </c>
      <c r="G8983" s="128">
        <v>793389.59</v>
      </c>
      <c r="H8983" s="128">
        <v>597121.34</v>
      </c>
      <c r="I8983" s="128">
        <v>4846</v>
      </c>
    </row>
    <row r="8984" spans="1:9" ht="13.5">
      <c r="A8984" s="128">
        <v>2015</v>
      </c>
      <c r="B8984" s="128" t="s">
        <v>137</v>
      </c>
      <c r="C8984" s="128" t="s">
        <v>23</v>
      </c>
      <c r="D8984" s="128" t="s">
        <v>77</v>
      </c>
      <c r="E8984" s="128" t="s">
        <v>134</v>
      </c>
      <c r="F8984" s="128">
        <v>4873494.83</v>
      </c>
      <c r="G8984" s="128">
        <v>2105959.7999999998</v>
      </c>
      <c r="H8984" s="128">
        <v>2319548.21</v>
      </c>
      <c r="I8984" s="128">
        <v>13619</v>
      </c>
    </row>
    <row r="8985" spans="1:9" ht="13.5">
      <c r="A8985" s="128">
        <v>2015</v>
      </c>
      <c r="B8985" s="128" t="s">
        <v>137</v>
      </c>
      <c r="C8985" s="128" t="s">
        <v>23</v>
      </c>
      <c r="D8985" s="128" t="s">
        <v>77</v>
      </c>
      <c r="E8985" s="128" t="s">
        <v>135</v>
      </c>
      <c r="F8985" s="128">
        <v>3753003.29</v>
      </c>
      <c r="G8985" s="128">
        <v>1152771.75</v>
      </c>
      <c r="H8985" s="128">
        <v>1443487.94</v>
      </c>
      <c r="I8985" s="128">
        <v>18387</v>
      </c>
    </row>
    <row r="8986" spans="1:9" ht="13.5">
      <c r="A8986" s="128">
        <v>2015</v>
      </c>
      <c r="B8986" s="128" t="s">
        <v>137</v>
      </c>
      <c r="C8986" s="128" t="s">
        <v>23</v>
      </c>
      <c r="D8986" s="128" t="s">
        <v>76</v>
      </c>
      <c r="E8986" s="128" t="s">
        <v>136</v>
      </c>
      <c r="F8986" s="128">
        <v>4517638.24</v>
      </c>
      <c r="G8986" s="128">
        <v>3389685.9</v>
      </c>
      <c r="H8986" s="128">
        <v>1127925.56</v>
      </c>
      <c r="I8986" s="128">
        <v>71471</v>
      </c>
    </row>
    <row r="8987" spans="1:9" ht="13.5">
      <c r="A8987" s="128">
        <v>2015</v>
      </c>
      <c r="B8987" s="128" t="s">
        <v>137</v>
      </c>
      <c r="C8987" s="128" t="s">
        <v>23</v>
      </c>
      <c r="D8987" s="128" t="s">
        <v>76</v>
      </c>
      <c r="E8987" s="128" t="s">
        <v>132</v>
      </c>
      <c r="F8987" s="128">
        <v>8475384.2899999991</v>
      </c>
      <c r="G8987" s="128">
        <v>5405417.4500000002</v>
      </c>
      <c r="H8987" s="128">
        <v>3069947.22</v>
      </c>
      <c r="I8987" s="128">
        <v>77594</v>
      </c>
    </row>
    <row r="8988" spans="1:9" ht="13.5">
      <c r="A8988" s="128">
        <v>2015</v>
      </c>
      <c r="B8988" s="128" t="s">
        <v>137</v>
      </c>
      <c r="C8988" s="128" t="s">
        <v>23</v>
      </c>
      <c r="D8988" s="128" t="s">
        <v>76</v>
      </c>
      <c r="E8988" s="128" t="s">
        <v>133</v>
      </c>
      <c r="F8988" s="128">
        <v>22500138.100000001</v>
      </c>
      <c r="G8988" s="128">
        <v>12246402.890000001</v>
      </c>
      <c r="H8988" s="128">
        <v>10253706.67</v>
      </c>
      <c r="I8988" s="128">
        <v>182264</v>
      </c>
    </row>
    <row r="8989" spans="1:9" ht="13.5">
      <c r="A8989" s="128">
        <v>2015</v>
      </c>
      <c r="B8989" s="128" t="s">
        <v>137</v>
      </c>
      <c r="C8989" s="128" t="s">
        <v>23</v>
      </c>
      <c r="D8989" s="128" t="s">
        <v>76</v>
      </c>
      <c r="E8989" s="128" t="s">
        <v>134</v>
      </c>
      <c r="F8989" s="128">
        <v>42658672.619999997</v>
      </c>
      <c r="G8989" s="128">
        <v>18928818.530000001</v>
      </c>
      <c r="H8989" s="128">
        <v>23729829.77</v>
      </c>
      <c r="I8989" s="128">
        <v>168904</v>
      </c>
    </row>
    <row r="8990" spans="1:9" ht="13.5">
      <c r="A8990" s="128">
        <v>2015</v>
      </c>
      <c r="B8990" s="128" t="s">
        <v>137</v>
      </c>
      <c r="C8990" s="128" t="s">
        <v>23</v>
      </c>
      <c r="D8990" s="128" t="s">
        <v>76</v>
      </c>
      <c r="E8990" s="128" t="s">
        <v>135</v>
      </c>
      <c r="F8990" s="128">
        <v>1576486.19</v>
      </c>
      <c r="G8990" s="128">
        <v>431488.12</v>
      </c>
      <c r="H8990" s="128">
        <v>1144998.47</v>
      </c>
      <c r="I8990" s="128">
        <v>1838</v>
      </c>
    </row>
    <row r="8991" spans="1:9" ht="13.5">
      <c r="A8991" s="128">
        <v>2015</v>
      </c>
      <c r="B8991" s="128" t="s">
        <v>137</v>
      </c>
      <c r="C8991" s="128" t="s">
        <v>24</v>
      </c>
      <c r="D8991" s="128" t="s">
        <v>79</v>
      </c>
      <c r="E8991" s="128" t="s">
        <v>136</v>
      </c>
      <c r="F8991" s="128">
        <v>2477088.17</v>
      </c>
      <c r="G8991" s="128">
        <v>1870697.87</v>
      </c>
      <c r="H8991" s="128">
        <v>604712.54</v>
      </c>
      <c r="I8991" s="128">
        <v>44420</v>
      </c>
    </row>
    <row r="8992" spans="1:9" ht="13.5">
      <c r="A8992" s="128">
        <v>2015</v>
      </c>
      <c r="B8992" s="128" t="s">
        <v>137</v>
      </c>
      <c r="C8992" s="128" t="s">
        <v>24</v>
      </c>
      <c r="D8992" s="128" t="s">
        <v>79</v>
      </c>
      <c r="E8992" s="128" t="s">
        <v>132</v>
      </c>
      <c r="F8992" s="128">
        <v>476072.21</v>
      </c>
      <c r="G8992" s="128">
        <v>316516.24</v>
      </c>
      <c r="H8992" s="128">
        <v>116926.08</v>
      </c>
      <c r="I8992" s="128">
        <v>2123</v>
      </c>
    </row>
    <row r="8993" spans="1:9" ht="13.5">
      <c r="A8993" s="128">
        <v>2015</v>
      </c>
      <c r="B8993" s="128" t="s">
        <v>137</v>
      </c>
      <c r="C8993" s="128" t="s">
        <v>24</v>
      </c>
      <c r="D8993" s="128" t="s">
        <v>79</v>
      </c>
      <c r="E8993" s="128" t="s">
        <v>133</v>
      </c>
      <c r="F8993" s="128">
        <v>1520294.76</v>
      </c>
      <c r="G8993" s="128">
        <v>819098.15</v>
      </c>
      <c r="H8993" s="128">
        <v>390413.91</v>
      </c>
      <c r="I8993" s="128">
        <v>20968</v>
      </c>
    </row>
    <row r="8994" spans="1:9" ht="13.5">
      <c r="A8994" s="128">
        <v>2015</v>
      </c>
      <c r="B8994" s="128" t="s">
        <v>137</v>
      </c>
      <c r="C8994" s="128" t="s">
        <v>24</v>
      </c>
      <c r="D8994" s="128" t="s">
        <v>79</v>
      </c>
      <c r="E8994" s="128" t="s">
        <v>134</v>
      </c>
      <c r="F8994" s="128">
        <v>2347091.44</v>
      </c>
      <c r="G8994" s="128">
        <v>1024025.12</v>
      </c>
      <c r="H8994" s="128">
        <v>514807.91</v>
      </c>
      <c r="I8994" s="128">
        <v>8325</v>
      </c>
    </row>
    <row r="8995" spans="1:9" ht="13.5">
      <c r="A8995" s="128">
        <v>2015</v>
      </c>
      <c r="B8995" s="128" t="s">
        <v>137</v>
      </c>
      <c r="C8995" s="128" t="s">
        <v>24</v>
      </c>
      <c r="D8995" s="128" t="s">
        <v>79</v>
      </c>
      <c r="E8995" s="128" t="s">
        <v>135</v>
      </c>
      <c r="F8995" s="128">
        <v>8554075.4700000007</v>
      </c>
      <c r="G8995" s="128">
        <v>2013132.97</v>
      </c>
      <c r="H8995" s="128">
        <v>748029.72</v>
      </c>
      <c r="I8995" s="128">
        <v>19387</v>
      </c>
    </row>
    <row r="8996" spans="1:9" ht="13.5">
      <c r="A8996" s="128">
        <v>2015</v>
      </c>
      <c r="B8996" s="128" t="s">
        <v>137</v>
      </c>
      <c r="C8996" s="128" t="s">
        <v>24</v>
      </c>
      <c r="D8996" s="128" t="s">
        <v>77</v>
      </c>
      <c r="E8996" s="128" t="s">
        <v>132</v>
      </c>
      <c r="F8996" s="128">
        <v>2251230.31</v>
      </c>
      <c r="G8996" s="128">
        <v>1553264.3</v>
      </c>
      <c r="H8996" s="128">
        <v>661623.39</v>
      </c>
      <c r="I8996" s="128">
        <v>12217</v>
      </c>
    </row>
    <row r="8997" spans="1:9" ht="13.5">
      <c r="A8997" s="128">
        <v>2015</v>
      </c>
      <c r="B8997" s="128" t="s">
        <v>137</v>
      </c>
      <c r="C8997" s="128" t="s">
        <v>24</v>
      </c>
      <c r="D8997" s="128" t="s">
        <v>77</v>
      </c>
      <c r="E8997" s="128" t="s">
        <v>133</v>
      </c>
      <c r="F8997" s="128">
        <v>4231002.46</v>
      </c>
      <c r="G8997" s="128">
        <v>2283703.4500000002</v>
      </c>
      <c r="H8997" s="128">
        <v>1759852.31</v>
      </c>
      <c r="I8997" s="128">
        <v>28726</v>
      </c>
    </row>
    <row r="8998" spans="1:9" ht="13.5">
      <c r="A8998" s="128">
        <v>2015</v>
      </c>
      <c r="B8998" s="128" t="s">
        <v>137</v>
      </c>
      <c r="C8998" s="128" t="s">
        <v>24</v>
      </c>
      <c r="D8998" s="128" t="s">
        <v>77</v>
      </c>
      <c r="E8998" s="128" t="s">
        <v>134</v>
      </c>
      <c r="F8998" s="128">
        <v>8235575.0300000003</v>
      </c>
      <c r="G8998" s="128">
        <v>3656670.17</v>
      </c>
      <c r="H8998" s="128">
        <v>3255060.8</v>
      </c>
      <c r="I8998" s="128">
        <v>20921</v>
      </c>
    </row>
    <row r="8999" spans="1:9" ht="13.5">
      <c r="A8999" s="128">
        <v>2015</v>
      </c>
      <c r="B8999" s="128" t="s">
        <v>137</v>
      </c>
      <c r="C8999" s="128" t="s">
        <v>24</v>
      </c>
      <c r="D8999" s="128" t="s">
        <v>77</v>
      </c>
      <c r="E8999" s="128" t="s">
        <v>135</v>
      </c>
      <c r="F8999" s="128">
        <v>13038927.73</v>
      </c>
      <c r="G8999" s="128">
        <v>3399471.6</v>
      </c>
      <c r="H8999" s="128">
        <v>2263157.7999999998</v>
      </c>
      <c r="I8999" s="128">
        <v>22515</v>
      </c>
    </row>
    <row r="9000" spans="1:9" ht="13.5">
      <c r="A9000" s="128">
        <v>2015</v>
      </c>
      <c r="B9000" s="128" t="s">
        <v>137</v>
      </c>
      <c r="C9000" s="128" t="s">
        <v>24</v>
      </c>
      <c r="D9000" s="128" t="s">
        <v>76</v>
      </c>
      <c r="E9000" s="128" t="s">
        <v>136</v>
      </c>
      <c r="F9000" s="128">
        <v>4181280.58</v>
      </c>
      <c r="G9000" s="128">
        <v>3148411.96</v>
      </c>
      <c r="H9000" s="128">
        <v>1032868.22</v>
      </c>
      <c r="I9000" s="128">
        <v>87460</v>
      </c>
    </row>
    <row r="9001" spans="1:9" ht="13.5">
      <c r="A9001" s="128">
        <v>2015</v>
      </c>
      <c r="B9001" s="128" t="s">
        <v>137</v>
      </c>
      <c r="C9001" s="128" t="s">
        <v>24</v>
      </c>
      <c r="D9001" s="128" t="s">
        <v>76</v>
      </c>
      <c r="E9001" s="128" t="s">
        <v>132</v>
      </c>
      <c r="F9001" s="128">
        <v>6770832.4100000001</v>
      </c>
      <c r="G9001" s="128">
        <v>4394775.74</v>
      </c>
      <c r="H9001" s="128">
        <v>2376048.87</v>
      </c>
      <c r="I9001" s="128">
        <v>43027</v>
      </c>
    </row>
    <row r="9002" spans="1:9" ht="13.5">
      <c r="A9002" s="128">
        <v>2015</v>
      </c>
      <c r="B9002" s="128" t="s">
        <v>137</v>
      </c>
      <c r="C9002" s="128" t="s">
        <v>24</v>
      </c>
      <c r="D9002" s="128" t="s">
        <v>76</v>
      </c>
      <c r="E9002" s="128" t="s">
        <v>133</v>
      </c>
      <c r="F9002" s="128">
        <v>38992250.43</v>
      </c>
      <c r="G9002" s="128">
        <v>21633408.969999999</v>
      </c>
      <c r="H9002" s="128">
        <v>17358823.890000001</v>
      </c>
      <c r="I9002" s="128">
        <v>274157</v>
      </c>
    </row>
    <row r="9003" spans="1:9" ht="13.5">
      <c r="A9003" s="128">
        <v>2015</v>
      </c>
      <c r="B9003" s="128" t="s">
        <v>137</v>
      </c>
      <c r="C9003" s="128" t="s">
        <v>24</v>
      </c>
      <c r="D9003" s="128" t="s">
        <v>76</v>
      </c>
      <c r="E9003" s="128" t="s">
        <v>134</v>
      </c>
      <c r="F9003" s="128">
        <v>51332382.770000003</v>
      </c>
      <c r="G9003" s="128">
        <v>22711095.359999999</v>
      </c>
      <c r="H9003" s="128">
        <v>28621248.760000002</v>
      </c>
      <c r="I9003" s="128">
        <v>243894</v>
      </c>
    </row>
    <row r="9004" spans="1:9" ht="13.5">
      <c r="A9004" s="128">
        <v>2015</v>
      </c>
      <c r="B9004" s="128" t="s">
        <v>137</v>
      </c>
      <c r="C9004" s="128" t="s">
        <v>24</v>
      </c>
      <c r="D9004" s="128" t="s">
        <v>76</v>
      </c>
      <c r="E9004" s="128" t="s">
        <v>135</v>
      </c>
      <c r="F9004" s="128">
        <v>3375192.72</v>
      </c>
      <c r="G9004" s="128">
        <v>892378.5</v>
      </c>
      <c r="H9004" s="128">
        <v>2482814.2200000002</v>
      </c>
      <c r="I9004" s="128">
        <v>2303</v>
      </c>
    </row>
    <row r="9005" spans="1:9" ht="13.5">
      <c r="A9005" s="128">
        <v>2015</v>
      </c>
      <c r="B9005" s="128" t="s">
        <v>137</v>
      </c>
      <c r="C9005" s="128" t="s">
        <v>25</v>
      </c>
      <c r="D9005" s="128" t="s">
        <v>79</v>
      </c>
      <c r="E9005" s="128" t="s">
        <v>136</v>
      </c>
      <c r="F9005" s="128">
        <v>570630.31999999995</v>
      </c>
      <c r="G9005" s="128">
        <v>428741.59</v>
      </c>
      <c r="H9005" s="128">
        <v>141889.15</v>
      </c>
      <c r="I9005" s="128">
        <v>7815</v>
      </c>
    </row>
    <row r="9006" spans="1:9" ht="13.5">
      <c r="A9006" s="128">
        <v>2015</v>
      </c>
      <c r="B9006" s="128" t="s">
        <v>137</v>
      </c>
      <c r="C9006" s="128" t="s">
        <v>25</v>
      </c>
      <c r="D9006" s="128" t="s">
        <v>79</v>
      </c>
      <c r="E9006" s="128" t="s">
        <v>132</v>
      </c>
      <c r="F9006" s="128">
        <v>562787.28</v>
      </c>
      <c r="G9006" s="128">
        <v>351306.52</v>
      </c>
      <c r="H9006" s="128">
        <v>197975.3</v>
      </c>
      <c r="I9006" s="128">
        <v>2768</v>
      </c>
    </row>
    <row r="9007" spans="1:9" ht="13.5">
      <c r="A9007" s="128">
        <v>2015</v>
      </c>
      <c r="B9007" s="128" t="s">
        <v>137</v>
      </c>
      <c r="C9007" s="128" t="s">
        <v>25</v>
      </c>
      <c r="D9007" s="128" t="s">
        <v>79</v>
      </c>
      <c r="E9007" s="128" t="s">
        <v>133</v>
      </c>
      <c r="F9007" s="128">
        <v>266483.73</v>
      </c>
      <c r="G9007" s="128">
        <v>147195.76</v>
      </c>
      <c r="H9007" s="128">
        <v>89168.5</v>
      </c>
      <c r="I9007" s="128">
        <v>1593</v>
      </c>
    </row>
    <row r="9008" spans="1:9" ht="13.5">
      <c r="A9008" s="128">
        <v>2015</v>
      </c>
      <c r="B9008" s="128" t="s">
        <v>137</v>
      </c>
      <c r="C9008" s="128" t="s">
        <v>25</v>
      </c>
      <c r="D9008" s="128" t="s">
        <v>79</v>
      </c>
      <c r="E9008" s="128" t="s">
        <v>134</v>
      </c>
      <c r="F9008" s="128">
        <v>544423.79</v>
      </c>
      <c r="G9008" s="128">
        <v>241053.6</v>
      </c>
      <c r="H9008" s="128">
        <v>179494.18</v>
      </c>
      <c r="I9008" s="128">
        <v>2665</v>
      </c>
    </row>
    <row r="9009" spans="1:9" ht="13.5">
      <c r="A9009" s="128">
        <v>2015</v>
      </c>
      <c r="B9009" s="128" t="s">
        <v>137</v>
      </c>
      <c r="C9009" s="128" t="s">
        <v>25</v>
      </c>
      <c r="D9009" s="128" t="s">
        <v>79</v>
      </c>
      <c r="E9009" s="128" t="s">
        <v>135</v>
      </c>
      <c r="F9009" s="128">
        <v>1737992.61</v>
      </c>
      <c r="G9009" s="128">
        <v>407938.09</v>
      </c>
      <c r="H9009" s="128">
        <v>147888.67000000001</v>
      </c>
      <c r="I9009" s="128">
        <v>1774</v>
      </c>
    </row>
    <row r="9010" spans="1:9" ht="13.5">
      <c r="A9010" s="128">
        <v>2015</v>
      </c>
      <c r="B9010" s="128" t="s">
        <v>137</v>
      </c>
      <c r="C9010" s="128" t="s">
        <v>25</v>
      </c>
      <c r="D9010" s="128" t="s">
        <v>77</v>
      </c>
      <c r="E9010" s="128" t="s">
        <v>132</v>
      </c>
      <c r="F9010" s="128">
        <v>195231.6</v>
      </c>
      <c r="G9010" s="128">
        <v>130400.95</v>
      </c>
      <c r="H9010" s="128">
        <v>53335.89</v>
      </c>
      <c r="I9010" s="128">
        <v>1609</v>
      </c>
    </row>
    <row r="9011" spans="1:9" ht="13.5">
      <c r="A9011" s="128">
        <v>2015</v>
      </c>
      <c r="B9011" s="128" t="s">
        <v>137</v>
      </c>
      <c r="C9011" s="128" t="s">
        <v>25</v>
      </c>
      <c r="D9011" s="128" t="s">
        <v>77</v>
      </c>
      <c r="E9011" s="128" t="s">
        <v>133</v>
      </c>
      <c r="F9011" s="128">
        <v>371484.85</v>
      </c>
      <c r="G9011" s="128">
        <v>200290.1</v>
      </c>
      <c r="H9011" s="128">
        <v>152008.70000000001</v>
      </c>
      <c r="I9011" s="128">
        <v>1283</v>
      </c>
    </row>
    <row r="9012" spans="1:9" ht="13.5">
      <c r="A9012" s="128">
        <v>2015</v>
      </c>
      <c r="B9012" s="128" t="s">
        <v>137</v>
      </c>
      <c r="C9012" s="128" t="s">
        <v>25</v>
      </c>
      <c r="D9012" s="128" t="s">
        <v>77</v>
      </c>
      <c r="E9012" s="128" t="s">
        <v>134</v>
      </c>
      <c r="F9012" s="128">
        <v>1255847.57</v>
      </c>
      <c r="G9012" s="128">
        <v>536742.9</v>
      </c>
      <c r="H9012" s="128">
        <v>563762.73</v>
      </c>
      <c r="I9012" s="128">
        <v>2898</v>
      </c>
    </row>
    <row r="9013" spans="1:9" ht="13.5">
      <c r="A9013" s="128">
        <v>2015</v>
      </c>
      <c r="B9013" s="128" t="s">
        <v>137</v>
      </c>
      <c r="C9013" s="128" t="s">
        <v>25</v>
      </c>
      <c r="D9013" s="128" t="s">
        <v>77</v>
      </c>
      <c r="E9013" s="128" t="s">
        <v>135</v>
      </c>
      <c r="F9013" s="128">
        <v>1402039.49</v>
      </c>
      <c r="G9013" s="128">
        <v>430128.35</v>
      </c>
      <c r="H9013" s="128">
        <v>509168.24</v>
      </c>
      <c r="I9013" s="128">
        <v>4221</v>
      </c>
    </row>
    <row r="9014" spans="1:9" ht="13.5">
      <c r="A9014" s="128">
        <v>2015</v>
      </c>
      <c r="B9014" s="128" t="s">
        <v>137</v>
      </c>
      <c r="C9014" s="128" t="s">
        <v>25</v>
      </c>
      <c r="D9014" s="128" t="s">
        <v>76</v>
      </c>
      <c r="E9014" s="128" t="s">
        <v>136</v>
      </c>
      <c r="F9014" s="128">
        <v>1962286.78</v>
      </c>
      <c r="G9014" s="128">
        <v>1473377.31</v>
      </c>
      <c r="H9014" s="128">
        <v>488925.37</v>
      </c>
      <c r="I9014" s="128">
        <v>29943</v>
      </c>
    </row>
    <row r="9015" spans="1:9" ht="13.5">
      <c r="A9015" s="128">
        <v>2015</v>
      </c>
      <c r="B9015" s="128" t="s">
        <v>137</v>
      </c>
      <c r="C9015" s="128" t="s">
        <v>25</v>
      </c>
      <c r="D9015" s="128" t="s">
        <v>76</v>
      </c>
      <c r="E9015" s="128" t="s">
        <v>132</v>
      </c>
      <c r="F9015" s="128">
        <v>2686385.58</v>
      </c>
      <c r="G9015" s="128">
        <v>1710378.28</v>
      </c>
      <c r="H9015" s="128">
        <v>976002.14</v>
      </c>
      <c r="I9015" s="128">
        <v>21812</v>
      </c>
    </row>
    <row r="9016" spans="1:9" ht="13.5">
      <c r="A9016" s="128">
        <v>2015</v>
      </c>
      <c r="B9016" s="128" t="s">
        <v>137</v>
      </c>
      <c r="C9016" s="128" t="s">
        <v>25</v>
      </c>
      <c r="D9016" s="128" t="s">
        <v>76</v>
      </c>
      <c r="E9016" s="128" t="s">
        <v>133</v>
      </c>
      <c r="F9016" s="128">
        <v>8691409.5099999998</v>
      </c>
      <c r="G9016" s="128">
        <v>4771232.24</v>
      </c>
      <c r="H9016" s="128">
        <v>3920174.98</v>
      </c>
      <c r="I9016" s="128">
        <v>57418</v>
      </c>
    </row>
    <row r="9017" spans="1:9" ht="13.5">
      <c r="A9017" s="128">
        <v>2015</v>
      </c>
      <c r="B9017" s="128" t="s">
        <v>137</v>
      </c>
      <c r="C9017" s="128" t="s">
        <v>25</v>
      </c>
      <c r="D9017" s="128" t="s">
        <v>76</v>
      </c>
      <c r="E9017" s="128" t="s">
        <v>134</v>
      </c>
      <c r="F9017" s="128">
        <v>11060191.08</v>
      </c>
      <c r="G9017" s="128">
        <v>5054673.54</v>
      </c>
      <c r="H9017" s="128">
        <v>6005510.4800000004</v>
      </c>
      <c r="I9017" s="128">
        <v>52899</v>
      </c>
    </row>
    <row r="9018" spans="1:9" ht="13.5">
      <c r="A9018" s="128">
        <v>2015</v>
      </c>
      <c r="B9018" s="128" t="s">
        <v>137</v>
      </c>
      <c r="C9018" s="128" t="s">
        <v>25</v>
      </c>
      <c r="D9018" s="128" t="s">
        <v>76</v>
      </c>
      <c r="E9018" s="128" t="s">
        <v>135</v>
      </c>
      <c r="F9018" s="128">
        <v>495487.97</v>
      </c>
      <c r="G9018" s="128">
        <v>138415.4</v>
      </c>
      <c r="H9018" s="128">
        <v>357072.57</v>
      </c>
      <c r="I9018" s="128">
        <v>402</v>
      </c>
    </row>
    <row r="9019" spans="1:9" ht="13.5">
      <c r="A9019" s="128">
        <v>2015</v>
      </c>
      <c r="B9019" s="128" t="s">
        <v>137</v>
      </c>
      <c r="C9019" s="128" t="s">
        <v>26</v>
      </c>
      <c r="D9019" s="128" t="s">
        <v>79</v>
      </c>
      <c r="E9019" s="128" t="s">
        <v>136</v>
      </c>
      <c r="F9019" s="128">
        <v>998358.9</v>
      </c>
      <c r="G9019" s="128">
        <v>749646.07</v>
      </c>
      <c r="H9019" s="128">
        <v>247558.08</v>
      </c>
      <c r="I9019" s="128">
        <v>9389</v>
      </c>
    </row>
    <row r="9020" spans="1:9" ht="13.5">
      <c r="A9020" s="128">
        <v>2015</v>
      </c>
      <c r="B9020" s="128" t="s">
        <v>137</v>
      </c>
      <c r="C9020" s="128" t="s">
        <v>26</v>
      </c>
      <c r="D9020" s="128" t="s">
        <v>79</v>
      </c>
      <c r="E9020" s="128" t="s">
        <v>132</v>
      </c>
      <c r="F9020" s="128">
        <v>166209.5</v>
      </c>
      <c r="G9020" s="128">
        <v>111653.79</v>
      </c>
      <c r="H9020" s="128">
        <v>45493.81</v>
      </c>
      <c r="I9020" s="128">
        <v>912</v>
      </c>
    </row>
    <row r="9021" spans="1:9" ht="13.5">
      <c r="A9021" s="128">
        <v>2015</v>
      </c>
      <c r="B9021" s="128" t="s">
        <v>137</v>
      </c>
      <c r="C9021" s="128" t="s">
        <v>26</v>
      </c>
      <c r="D9021" s="128" t="s">
        <v>79</v>
      </c>
      <c r="E9021" s="128" t="s">
        <v>133</v>
      </c>
      <c r="F9021" s="128">
        <v>106583.94</v>
      </c>
      <c r="G9021" s="128">
        <v>57909.36</v>
      </c>
      <c r="H9021" s="128">
        <v>27207.3</v>
      </c>
      <c r="I9021" s="128">
        <v>464</v>
      </c>
    </row>
    <row r="9022" spans="1:9" ht="13.5">
      <c r="A9022" s="128">
        <v>2015</v>
      </c>
      <c r="B9022" s="128" t="s">
        <v>137</v>
      </c>
      <c r="C9022" s="128" t="s">
        <v>26</v>
      </c>
      <c r="D9022" s="128" t="s">
        <v>79</v>
      </c>
      <c r="E9022" s="128" t="s">
        <v>134</v>
      </c>
      <c r="F9022" s="128">
        <v>733527.77</v>
      </c>
      <c r="G9022" s="128">
        <v>310939.46000000002</v>
      </c>
      <c r="H9022" s="128">
        <v>164875.76999999999</v>
      </c>
      <c r="I9022" s="128">
        <v>2726</v>
      </c>
    </row>
    <row r="9023" spans="1:9" ht="13.5">
      <c r="A9023" s="128">
        <v>2015</v>
      </c>
      <c r="B9023" s="128" t="s">
        <v>137</v>
      </c>
      <c r="C9023" s="128" t="s">
        <v>26</v>
      </c>
      <c r="D9023" s="128" t="s">
        <v>79</v>
      </c>
      <c r="E9023" s="128" t="s">
        <v>135</v>
      </c>
      <c r="F9023" s="128">
        <v>7191922.54</v>
      </c>
      <c r="G9023" s="128">
        <v>1706410.83</v>
      </c>
      <c r="H9023" s="128">
        <v>581279.26</v>
      </c>
      <c r="I9023" s="128">
        <v>8375</v>
      </c>
    </row>
    <row r="9024" spans="1:9" ht="13.5">
      <c r="A9024" s="128">
        <v>2015</v>
      </c>
      <c r="B9024" s="128" t="s">
        <v>137</v>
      </c>
      <c r="C9024" s="128" t="s">
        <v>26</v>
      </c>
      <c r="D9024" s="128" t="s">
        <v>77</v>
      </c>
      <c r="E9024" s="128" t="s">
        <v>132</v>
      </c>
      <c r="F9024" s="128">
        <v>71830.899999999994</v>
      </c>
      <c r="G9024" s="128">
        <v>46553.2</v>
      </c>
      <c r="H9024" s="128">
        <v>23293.64</v>
      </c>
      <c r="I9024" s="128">
        <v>326</v>
      </c>
    </row>
    <row r="9025" spans="1:9" ht="13.5">
      <c r="A9025" s="128">
        <v>2015</v>
      </c>
      <c r="B9025" s="128" t="s">
        <v>137</v>
      </c>
      <c r="C9025" s="128" t="s">
        <v>26</v>
      </c>
      <c r="D9025" s="128" t="s">
        <v>77</v>
      </c>
      <c r="E9025" s="128" t="s">
        <v>133</v>
      </c>
      <c r="F9025" s="128">
        <v>277160.2</v>
      </c>
      <c r="G9025" s="128">
        <v>155000.29999999999</v>
      </c>
      <c r="H9025" s="128">
        <v>114151.01</v>
      </c>
      <c r="I9025" s="128">
        <v>829</v>
      </c>
    </row>
    <row r="9026" spans="1:9" ht="13.5">
      <c r="A9026" s="128">
        <v>2015</v>
      </c>
      <c r="B9026" s="128" t="s">
        <v>137</v>
      </c>
      <c r="C9026" s="128" t="s">
        <v>26</v>
      </c>
      <c r="D9026" s="128" t="s">
        <v>77</v>
      </c>
      <c r="E9026" s="128" t="s">
        <v>134</v>
      </c>
      <c r="F9026" s="128">
        <v>600895.4</v>
      </c>
      <c r="G9026" s="128">
        <v>260617.55</v>
      </c>
      <c r="H9026" s="128">
        <v>278869.06</v>
      </c>
      <c r="I9026" s="128">
        <v>2248</v>
      </c>
    </row>
    <row r="9027" spans="1:9" ht="13.5">
      <c r="A9027" s="128">
        <v>2015</v>
      </c>
      <c r="B9027" s="128" t="s">
        <v>137</v>
      </c>
      <c r="C9027" s="128" t="s">
        <v>26</v>
      </c>
      <c r="D9027" s="128" t="s">
        <v>77</v>
      </c>
      <c r="E9027" s="128" t="s">
        <v>135</v>
      </c>
      <c r="F9027" s="128">
        <v>2487229.33</v>
      </c>
      <c r="G9027" s="128">
        <v>669636.05000000005</v>
      </c>
      <c r="H9027" s="128">
        <v>739970.76</v>
      </c>
      <c r="I9027" s="128">
        <v>8583</v>
      </c>
    </row>
    <row r="9028" spans="1:9" ht="13.5">
      <c r="A9028" s="128">
        <v>2015</v>
      </c>
      <c r="B9028" s="128" t="s">
        <v>137</v>
      </c>
      <c r="C9028" s="128" t="s">
        <v>26</v>
      </c>
      <c r="D9028" s="128" t="s">
        <v>76</v>
      </c>
      <c r="E9028" s="128" t="s">
        <v>136</v>
      </c>
      <c r="F9028" s="128">
        <v>402208.55</v>
      </c>
      <c r="G9028" s="128">
        <v>302355.05</v>
      </c>
      <c r="H9028" s="128">
        <v>99853.5</v>
      </c>
      <c r="I9028" s="128">
        <v>14365</v>
      </c>
    </row>
    <row r="9029" spans="1:9" ht="13.5">
      <c r="A9029" s="128">
        <v>2015</v>
      </c>
      <c r="B9029" s="128" t="s">
        <v>137</v>
      </c>
      <c r="C9029" s="128" t="s">
        <v>26</v>
      </c>
      <c r="D9029" s="128" t="s">
        <v>76</v>
      </c>
      <c r="E9029" s="128" t="s">
        <v>132</v>
      </c>
      <c r="F9029" s="128">
        <v>1158498.3400000001</v>
      </c>
      <c r="G9029" s="128">
        <v>742499.5</v>
      </c>
      <c r="H9029" s="128">
        <v>415980.09</v>
      </c>
      <c r="I9029" s="128">
        <v>13067</v>
      </c>
    </row>
    <row r="9030" spans="1:9" ht="13.5">
      <c r="A9030" s="128">
        <v>2015</v>
      </c>
      <c r="B9030" s="128" t="s">
        <v>137</v>
      </c>
      <c r="C9030" s="128" t="s">
        <v>26</v>
      </c>
      <c r="D9030" s="128" t="s">
        <v>76</v>
      </c>
      <c r="E9030" s="128" t="s">
        <v>133</v>
      </c>
      <c r="F9030" s="128">
        <v>3129211.58</v>
      </c>
      <c r="G9030" s="128">
        <v>1721754.91</v>
      </c>
      <c r="H9030" s="128">
        <v>1407454.56</v>
      </c>
      <c r="I9030" s="128">
        <v>22374</v>
      </c>
    </row>
    <row r="9031" spans="1:9" ht="13.5">
      <c r="A9031" s="128">
        <v>2015</v>
      </c>
      <c r="B9031" s="128" t="s">
        <v>137</v>
      </c>
      <c r="C9031" s="128" t="s">
        <v>26</v>
      </c>
      <c r="D9031" s="128" t="s">
        <v>76</v>
      </c>
      <c r="E9031" s="128" t="s">
        <v>134</v>
      </c>
      <c r="F9031" s="128">
        <v>2363688.23</v>
      </c>
      <c r="G9031" s="128">
        <v>1080154.97</v>
      </c>
      <c r="H9031" s="128">
        <v>1283521.76</v>
      </c>
      <c r="I9031" s="128">
        <v>14352</v>
      </c>
    </row>
    <row r="9032" spans="1:9" ht="13.5">
      <c r="A9032" s="128">
        <v>2015</v>
      </c>
      <c r="B9032" s="128" t="s">
        <v>137</v>
      </c>
      <c r="C9032" s="128" t="s">
        <v>26</v>
      </c>
      <c r="D9032" s="128" t="s">
        <v>76</v>
      </c>
      <c r="E9032" s="128" t="s">
        <v>135</v>
      </c>
      <c r="F9032" s="128">
        <v>318925.71000000002</v>
      </c>
      <c r="G9032" s="128">
        <v>98388.2</v>
      </c>
      <c r="H9032" s="128">
        <v>220537.41</v>
      </c>
      <c r="I9032" s="128">
        <v>677</v>
      </c>
    </row>
    <row r="9033" spans="1:9" ht="13.5">
      <c r="A9033" s="128">
        <v>2015</v>
      </c>
      <c r="B9033" s="128" t="s">
        <v>137</v>
      </c>
      <c r="C9033" s="128" t="s">
        <v>27</v>
      </c>
      <c r="D9033" s="128" t="s">
        <v>79</v>
      </c>
      <c r="E9033" s="128" t="s">
        <v>136</v>
      </c>
      <c r="F9033" s="128">
        <v>264969</v>
      </c>
      <c r="G9033" s="128">
        <v>198081.92000000001</v>
      </c>
      <c r="H9033" s="128">
        <v>65836.12</v>
      </c>
      <c r="I9033" s="128">
        <v>1430</v>
      </c>
    </row>
    <row r="9034" spans="1:9" ht="13.5">
      <c r="A9034" s="128">
        <v>2015</v>
      </c>
      <c r="B9034" s="128" t="s">
        <v>137</v>
      </c>
      <c r="C9034" s="128" t="s">
        <v>27</v>
      </c>
      <c r="D9034" s="128" t="s">
        <v>79</v>
      </c>
      <c r="E9034" s="128" t="s">
        <v>132</v>
      </c>
      <c r="F9034" s="128">
        <v>120960.14</v>
      </c>
      <c r="G9034" s="128">
        <v>76316.7</v>
      </c>
      <c r="H9034" s="128">
        <v>40715.050000000003</v>
      </c>
      <c r="I9034" s="128">
        <v>684</v>
      </c>
    </row>
    <row r="9035" spans="1:9" ht="13.5">
      <c r="A9035" s="128">
        <v>2015</v>
      </c>
      <c r="B9035" s="128" t="s">
        <v>137</v>
      </c>
      <c r="C9035" s="128" t="s">
        <v>27</v>
      </c>
      <c r="D9035" s="128" t="s">
        <v>79</v>
      </c>
      <c r="E9035" s="128" t="s">
        <v>133</v>
      </c>
      <c r="F9035" s="128">
        <v>76562.66</v>
      </c>
      <c r="G9035" s="128">
        <v>40941.35</v>
      </c>
      <c r="H9035" s="128">
        <v>23758.74</v>
      </c>
      <c r="I9035" s="128">
        <v>621</v>
      </c>
    </row>
    <row r="9036" spans="1:9" ht="13.5">
      <c r="A9036" s="128">
        <v>2015</v>
      </c>
      <c r="B9036" s="128" t="s">
        <v>137</v>
      </c>
      <c r="C9036" s="128" t="s">
        <v>27</v>
      </c>
      <c r="D9036" s="128" t="s">
        <v>79</v>
      </c>
      <c r="E9036" s="128" t="s">
        <v>134</v>
      </c>
      <c r="F9036" s="128">
        <v>128987.85</v>
      </c>
      <c r="G9036" s="128">
        <v>56080.94</v>
      </c>
      <c r="H9036" s="128">
        <v>39538.1</v>
      </c>
      <c r="I9036" s="128">
        <v>505</v>
      </c>
    </row>
    <row r="9037" spans="1:9" ht="13.5">
      <c r="A9037" s="128">
        <v>2015</v>
      </c>
      <c r="B9037" s="128" t="s">
        <v>137</v>
      </c>
      <c r="C9037" s="128" t="s">
        <v>27</v>
      </c>
      <c r="D9037" s="128" t="s">
        <v>79</v>
      </c>
      <c r="E9037" s="128" t="s">
        <v>135</v>
      </c>
      <c r="F9037" s="128">
        <v>1225130.6399999999</v>
      </c>
      <c r="G9037" s="128">
        <v>305368.39</v>
      </c>
      <c r="H9037" s="128">
        <v>105971.75</v>
      </c>
      <c r="I9037" s="128">
        <v>1294</v>
      </c>
    </row>
    <row r="9038" spans="1:9" ht="13.5">
      <c r="A9038" s="128">
        <v>2015</v>
      </c>
      <c r="B9038" s="128" t="s">
        <v>137</v>
      </c>
      <c r="C9038" s="128" t="s">
        <v>27</v>
      </c>
      <c r="D9038" s="128" t="s">
        <v>77</v>
      </c>
      <c r="E9038" s="128" t="s">
        <v>132</v>
      </c>
      <c r="F9038" s="128">
        <v>24664.22</v>
      </c>
      <c r="G9038" s="128">
        <v>16765.3</v>
      </c>
      <c r="H9038" s="128">
        <v>7113.45</v>
      </c>
      <c r="I9038" s="128">
        <v>182</v>
      </c>
    </row>
    <row r="9039" spans="1:9" ht="13.5">
      <c r="A9039" s="128">
        <v>2015</v>
      </c>
      <c r="B9039" s="128" t="s">
        <v>137</v>
      </c>
      <c r="C9039" s="128" t="s">
        <v>27</v>
      </c>
      <c r="D9039" s="128" t="s">
        <v>77</v>
      </c>
      <c r="E9039" s="128" t="s">
        <v>133</v>
      </c>
      <c r="F9039" s="128">
        <v>74934.25</v>
      </c>
      <c r="G9039" s="128">
        <v>40530.949999999997</v>
      </c>
      <c r="H9039" s="128">
        <v>29255.56</v>
      </c>
      <c r="I9039" s="128">
        <v>263</v>
      </c>
    </row>
    <row r="9040" spans="1:9" ht="13.5">
      <c r="A9040" s="128">
        <v>2015</v>
      </c>
      <c r="B9040" s="128" t="s">
        <v>137</v>
      </c>
      <c r="C9040" s="128" t="s">
        <v>27</v>
      </c>
      <c r="D9040" s="128" t="s">
        <v>77</v>
      </c>
      <c r="E9040" s="128" t="s">
        <v>134</v>
      </c>
      <c r="F9040" s="128">
        <v>185258.91</v>
      </c>
      <c r="G9040" s="128">
        <v>81245.850000000006</v>
      </c>
      <c r="H9040" s="128">
        <v>81732.7</v>
      </c>
      <c r="I9040" s="128">
        <v>510</v>
      </c>
    </row>
    <row r="9041" spans="1:9" ht="13.5">
      <c r="A9041" s="128">
        <v>2015</v>
      </c>
      <c r="B9041" s="128" t="s">
        <v>137</v>
      </c>
      <c r="C9041" s="128" t="s">
        <v>27</v>
      </c>
      <c r="D9041" s="128" t="s">
        <v>77</v>
      </c>
      <c r="E9041" s="128" t="s">
        <v>135</v>
      </c>
      <c r="F9041" s="128">
        <v>543466.59</v>
      </c>
      <c r="G9041" s="128">
        <v>144703.85</v>
      </c>
      <c r="H9041" s="128">
        <v>157851.9</v>
      </c>
      <c r="I9041" s="128">
        <v>2490</v>
      </c>
    </row>
    <row r="9042" spans="1:9" ht="13.5">
      <c r="A9042" s="128">
        <v>2015</v>
      </c>
      <c r="B9042" s="128" t="s">
        <v>137</v>
      </c>
      <c r="C9042" s="128" t="s">
        <v>27</v>
      </c>
      <c r="D9042" s="128" t="s">
        <v>76</v>
      </c>
      <c r="E9042" s="128" t="s">
        <v>136</v>
      </c>
      <c r="F9042" s="128">
        <v>278642.55</v>
      </c>
      <c r="G9042" s="128">
        <v>208947.15</v>
      </c>
      <c r="H9042" s="128">
        <v>69695.399999999994</v>
      </c>
      <c r="I9042" s="128">
        <v>3153</v>
      </c>
    </row>
    <row r="9043" spans="1:9" ht="13.5">
      <c r="A9043" s="128">
        <v>2015</v>
      </c>
      <c r="B9043" s="128" t="s">
        <v>137</v>
      </c>
      <c r="C9043" s="128" t="s">
        <v>27</v>
      </c>
      <c r="D9043" s="128" t="s">
        <v>76</v>
      </c>
      <c r="E9043" s="128" t="s">
        <v>132</v>
      </c>
      <c r="F9043" s="128">
        <v>469075.27</v>
      </c>
      <c r="G9043" s="128">
        <v>300352.3</v>
      </c>
      <c r="H9043" s="128">
        <v>168717.24</v>
      </c>
      <c r="I9043" s="128">
        <v>3302</v>
      </c>
    </row>
    <row r="9044" spans="1:9" ht="13.5">
      <c r="A9044" s="128">
        <v>2015</v>
      </c>
      <c r="B9044" s="128" t="s">
        <v>137</v>
      </c>
      <c r="C9044" s="128" t="s">
        <v>27</v>
      </c>
      <c r="D9044" s="128" t="s">
        <v>76</v>
      </c>
      <c r="E9044" s="128" t="s">
        <v>133</v>
      </c>
      <c r="F9044" s="128">
        <v>1160385.06</v>
      </c>
      <c r="G9044" s="128">
        <v>634287.93000000005</v>
      </c>
      <c r="H9044" s="128">
        <v>526096.73</v>
      </c>
      <c r="I9044" s="128">
        <v>6732</v>
      </c>
    </row>
    <row r="9045" spans="1:9" ht="13.5">
      <c r="A9045" s="128">
        <v>2015</v>
      </c>
      <c r="B9045" s="128" t="s">
        <v>137</v>
      </c>
      <c r="C9045" s="128" t="s">
        <v>27</v>
      </c>
      <c r="D9045" s="128" t="s">
        <v>76</v>
      </c>
      <c r="E9045" s="128" t="s">
        <v>134</v>
      </c>
      <c r="F9045" s="128">
        <v>1858645.04</v>
      </c>
      <c r="G9045" s="128">
        <v>854395.65</v>
      </c>
      <c r="H9045" s="128">
        <v>1004248.34</v>
      </c>
      <c r="I9045" s="128">
        <v>8836</v>
      </c>
    </row>
    <row r="9046" spans="1:9" ht="13.5">
      <c r="A9046" s="128">
        <v>2015</v>
      </c>
      <c r="B9046" s="128" t="s">
        <v>137</v>
      </c>
      <c r="C9046" s="128" t="s">
        <v>27</v>
      </c>
      <c r="D9046" s="128" t="s">
        <v>76</v>
      </c>
      <c r="E9046" s="128" t="s">
        <v>135</v>
      </c>
      <c r="F9046" s="128">
        <v>51610.74</v>
      </c>
      <c r="G9046" s="128">
        <v>14711.45</v>
      </c>
      <c r="H9046" s="128">
        <v>36899.29</v>
      </c>
      <c r="I9046" s="128">
        <v>91</v>
      </c>
    </row>
    <row r="9047" spans="1:9" ht="13.5">
      <c r="A9047" s="128">
        <v>2016</v>
      </c>
      <c r="B9047" s="128" t="s">
        <v>131</v>
      </c>
      <c r="C9047" s="128" t="s">
        <v>20</v>
      </c>
      <c r="D9047" s="128" t="s">
        <v>79</v>
      </c>
      <c r="E9047" s="128" t="s">
        <v>136</v>
      </c>
      <c r="F9047" s="128">
        <v>35821964.020000003</v>
      </c>
      <c r="G9047" s="128">
        <v>26906727.120000001</v>
      </c>
      <c r="H9047" s="128">
        <v>8908683.3699999992</v>
      </c>
      <c r="I9047" s="128">
        <v>508708</v>
      </c>
    </row>
    <row r="9048" spans="1:9" ht="13.5">
      <c r="A9048" s="128">
        <v>2016</v>
      </c>
      <c r="B9048" s="128" t="s">
        <v>131</v>
      </c>
      <c r="C9048" s="128" t="s">
        <v>20</v>
      </c>
      <c r="D9048" s="128" t="s">
        <v>79</v>
      </c>
      <c r="E9048" s="128" t="s">
        <v>132</v>
      </c>
      <c r="F9048" s="128">
        <v>4223963.62</v>
      </c>
      <c r="G9048" s="128">
        <v>2748693.02</v>
      </c>
      <c r="H9048" s="128">
        <v>1272061.24</v>
      </c>
      <c r="I9048" s="128">
        <v>29489</v>
      </c>
    </row>
    <row r="9049" spans="1:9" ht="13.5">
      <c r="A9049" s="128">
        <v>2016</v>
      </c>
      <c r="B9049" s="128" t="s">
        <v>131</v>
      </c>
      <c r="C9049" s="128" t="s">
        <v>20</v>
      </c>
      <c r="D9049" s="128" t="s">
        <v>79</v>
      </c>
      <c r="E9049" s="128" t="s">
        <v>133</v>
      </c>
      <c r="F9049" s="128">
        <v>5273228.97</v>
      </c>
      <c r="G9049" s="128">
        <v>2856966.83</v>
      </c>
      <c r="H9049" s="128">
        <v>1936408.39</v>
      </c>
      <c r="I9049" s="128">
        <v>41318</v>
      </c>
    </row>
    <row r="9050" spans="1:9" ht="13.5">
      <c r="A9050" s="128">
        <v>2016</v>
      </c>
      <c r="B9050" s="128" t="s">
        <v>131</v>
      </c>
      <c r="C9050" s="128" t="s">
        <v>20</v>
      </c>
      <c r="D9050" s="128" t="s">
        <v>79</v>
      </c>
      <c r="E9050" s="128" t="s">
        <v>134</v>
      </c>
      <c r="F9050" s="128">
        <v>11605070.039999999</v>
      </c>
      <c r="G9050" s="128">
        <v>5085650.38</v>
      </c>
      <c r="H9050" s="128">
        <v>3707404.24</v>
      </c>
      <c r="I9050" s="128">
        <v>55964</v>
      </c>
    </row>
    <row r="9051" spans="1:9" ht="13.5">
      <c r="A9051" s="128">
        <v>2016</v>
      </c>
      <c r="B9051" s="128" t="s">
        <v>131</v>
      </c>
      <c r="C9051" s="128" t="s">
        <v>20</v>
      </c>
      <c r="D9051" s="128" t="s">
        <v>79</v>
      </c>
      <c r="E9051" s="128" t="s">
        <v>135</v>
      </c>
      <c r="F9051" s="128">
        <v>76931396.730000004</v>
      </c>
      <c r="G9051" s="128">
        <v>17478858.84</v>
      </c>
      <c r="H9051" s="128">
        <v>6318478.9100000001</v>
      </c>
      <c r="I9051" s="128">
        <v>88964</v>
      </c>
    </row>
    <row r="9052" spans="1:9" ht="13.5">
      <c r="A9052" s="128">
        <v>2016</v>
      </c>
      <c r="B9052" s="128" t="s">
        <v>131</v>
      </c>
      <c r="C9052" s="128" t="s">
        <v>20</v>
      </c>
      <c r="D9052" s="128" t="s">
        <v>77</v>
      </c>
      <c r="E9052" s="128" t="s">
        <v>132</v>
      </c>
      <c r="F9052" s="128">
        <v>2559275.4</v>
      </c>
      <c r="G9052" s="128">
        <v>1665114.07</v>
      </c>
      <c r="H9052" s="128">
        <v>813008.84</v>
      </c>
      <c r="I9052" s="128">
        <v>9560</v>
      </c>
    </row>
    <row r="9053" spans="1:9" ht="13.5">
      <c r="A9053" s="128">
        <v>2016</v>
      </c>
      <c r="B9053" s="128" t="s">
        <v>131</v>
      </c>
      <c r="C9053" s="128" t="s">
        <v>20</v>
      </c>
      <c r="D9053" s="128" t="s">
        <v>77</v>
      </c>
      <c r="E9053" s="128" t="s">
        <v>133</v>
      </c>
      <c r="F9053" s="128">
        <v>4378259.03</v>
      </c>
      <c r="G9053" s="128">
        <v>2375425.67</v>
      </c>
      <c r="H9053" s="128">
        <v>1765807.17</v>
      </c>
      <c r="I9053" s="128">
        <v>13428</v>
      </c>
    </row>
    <row r="9054" spans="1:9" ht="13.5">
      <c r="A9054" s="128">
        <v>2016</v>
      </c>
      <c r="B9054" s="128" t="s">
        <v>131</v>
      </c>
      <c r="C9054" s="128" t="s">
        <v>20</v>
      </c>
      <c r="D9054" s="128" t="s">
        <v>77</v>
      </c>
      <c r="E9054" s="128" t="s">
        <v>134</v>
      </c>
      <c r="F9054" s="128">
        <v>12714743.210000001</v>
      </c>
      <c r="G9054" s="128">
        <v>5503266.5700000003</v>
      </c>
      <c r="H9054" s="128">
        <v>5571951.5199999996</v>
      </c>
      <c r="I9054" s="128">
        <v>29576</v>
      </c>
    </row>
    <row r="9055" spans="1:9" ht="13.5">
      <c r="A9055" s="128">
        <v>2016</v>
      </c>
      <c r="B9055" s="128" t="s">
        <v>131</v>
      </c>
      <c r="C9055" s="128" t="s">
        <v>20</v>
      </c>
      <c r="D9055" s="128" t="s">
        <v>77</v>
      </c>
      <c r="E9055" s="128" t="s">
        <v>135</v>
      </c>
      <c r="F9055" s="128">
        <v>32893675.699999999</v>
      </c>
      <c r="G9055" s="128">
        <v>8756321.9499999993</v>
      </c>
      <c r="H9055" s="128">
        <v>10288810.82</v>
      </c>
      <c r="I9055" s="128">
        <v>121009</v>
      </c>
    </row>
    <row r="9056" spans="1:9" ht="13.5">
      <c r="A9056" s="128">
        <v>2016</v>
      </c>
      <c r="B9056" s="128" t="s">
        <v>131</v>
      </c>
      <c r="C9056" s="128" t="s">
        <v>20</v>
      </c>
      <c r="D9056" s="128" t="s">
        <v>76</v>
      </c>
      <c r="E9056" s="128" t="s">
        <v>136</v>
      </c>
      <c r="F9056" s="128">
        <v>19771899.079999998</v>
      </c>
      <c r="G9056" s="128">
        <v>14853866.939999999</v>
      </c>
      <c r="H9056" s="128">
        <v>4918066.4400000004</v>
      </c>
      <c r="I9056" s="128">
        <v>554386</v>
      </c>
    </row>
    <row r="9057" spans="1:9" ht="13.5">
      <c r="A9057" s="128">
        <v>2016</v>
      </c>
      <c r="B9057" s="128" t="s">
        <v>131</v>
      </c>
      <c r="C9057" s="128" t="s">
        <v>20</v>
      </c>
      <c r="D9057" s="128" t="s">
        <v>76</v>
      </c>
      <c r="E9057" s="128" t="s">
        <v>132</v>
      </c>
      <c r="F9057" s="128">
        <v>48591977.979999997</v>
      </c>
      <c r="G9057" s="128">
        <v>30823988.719999999</v>
      </c>
      <c r="H9057" s="128">
        <v>17767953.66</v>
      </c>
      <c r="I9057" s="128">
        <v>510839</v>
      </c>
    </row>
    <row r="9058" spans="1:9" ht="13.5">
      <c r="A9058" s="128">
        <v>2016</v>
      </c>
      <c r="B9058" s="128" t="s">
        <v>131</v>
      </c>
      <c r="C9058" s="128" t="s">
        <v>20</v>
      </c>
      <c r="D9058" s="128" t="s">
        <v>76</v>
      </c>
      <c r="E9058" s="128" t="s">
        <v>133</v>
      </c>
      <c r="F9058" s="128">
        <v>88639914.049999997</v>
      </c>
      <c r="G9058" s="128">
        <v>48612421.829999998</v>
      </c>
      <c r="H9058" s="128">
        <v>40027469.450000003</v>
      </c>
      <c r="I9058" s="128">
        <v>548672</v>
      </c>
    </row>
    <row r="9059" spans="1:9" ht="13.5">
      <c r="A9059" s="128">
        <v>2016</v>
      </c>
      <c r="B9059" s="128" t="s">
        <v>131</v>
      </c>
      <c r="C9059" s="128" t="s">
        <v>20</v>
      </c>
      <c r="D9059" s="128" t="s">
        <v>76</v>
      </c>
      <c r="E9059" s="128" t="s">
        <v>134</v>
      </c>
      <c r="F9059" s="128">
        <v>100719577.90000001</v>
      </c>
      <c r="G9059" s="128">
        <v>46054138.009999998</v>
      </c>
      <c r="H9059" s="128">
        <v>54665379.369999997</v>
      </c>
      <c r="I9059" s="128">
        <v>549545</v>
      </c>
    </row>
    <row r="9060" spans="1:9" ht="13.5">
      <c r="A9060" s="128">
        <v>2016</v>
      </c>
      <c r="B9060" s="128" t="s">
        <v>131</v>
      </c>
      <c r="C9060" s="128" t="s">
        <v>20</v>
      </c>
      <c r="D9060" s="128" t="s">
        <v>76</v>
      </c>
      <c r="E9060" s="128" t="s">
        <v>135</v>
      </c>
      <c r="F9060" s="128">
        <v>7085333.9000000004</v>
      </c>
      <c r="G9060" s="128">
        <v>2086169.78</v>
      </c>
      <c r="H9060" s="128">
        <v>4999164.12</v>
      </c>
      <c r="I9060" s="128">
        <v>16174</v>
      </c>
    </row>
    <row r="9061" spans="1:9" ht="13.5">
      <c r="A9061" s="128">
        <v>2016</v>
      </c>
      <c r="B9061" s="128" t="s">
        <v>131</v>
      </c>
      <c r="C9061" s="128" t="s">
        <v>21</v>
      </c>
      <c r="D9061" s="128" t="s">
        <v>79</v>
      </c>
      <c r="E9061" s="128" t="s">
        <v>136</v>
      </c>
      <c r="F9061" s="128">
        <v>9579472.0199999996</v>
      </c>
      <c r="G9061" s="128">
        <v>7187376.3099999996</v>
      </c>
      <c r="H9061" s="128">
        <v>2385476.15</v>
      </c>
      <c r="I9061" s="128">
        <v>186763</v>
      </c>
    </row>
    <row r="9062" spans="1:9" ht="13.5">
      <c r="A9062" s="128">
        <v>2016</v>
      </c>
      <c r="B9062" s="128" t="s">
        <v>131</v>
      </c>
      <c r="C9062" s="128" t="s">
        <v>21</v>
      </c>
      <c r="D9062" s="128" t="s">
        <v>79</v>
      </c>
      <c r="E9062" s="128" t="s">
        <v>132</v>
      </c>
      <c r="F9062" s="128">
        <v>1852400.3</v>
      </c>
      <c r="G9062" s="128">
        <v>1206252.58</v>
      </c>
      <c r="H9062" s="128">
        <v>512194.39</v>
      </c>
      <c r="I9062" s="128">
        <v>11428</v>
      </c>
    </row>
    <row r="9063" spans="1:9" ht="13.5">
      <c r="A9063" s="128">
        <v>2016</v>
      </c>
      <c r="B9063" s="128" t="s">
        <v>131</v>
      </c>
      <c r="C9063" s="128" t="s">
        <v>21</v>
      </c>
      <c r="D9063" s="128" t="s">
        <v>79</v>
      </c>
      <c r="E9063" s="128" t="s">
        <v>133</v>
      </c>
      <c r="F9063" s="128">
        <v>5155282.05</v>
      </c>
      <c r="G9063" s="128">
        <v>2796644.88</v>
      </c>
      <c r="H9063" s="128">
        <v>1853805.51</v>
      </c>
      <c r="I9063" s="128">
        <v>55397</v>
      </c>
    </row>
    <row r="9064" spans="1:9" ht="13.5">
      <c r="A9064" s="128">
        <v>2016</v>
      </c>
      <c r="B9064" s="128" t="s">
        <v>131</v>
      </c>
      <c r="C9064" s="128" t="s">
        <v>21</v>
      </c>
      <c r="D9064" s="128" t="s">
        <v>79</v>
      </c>
      <c r="E9064" s="128" t="s">
        <v>134</v>
      </c>
      <c r="F9064" s="128">
        <v>10326631.58</v>
      </c>
      <c r="G9064" s="128">
        <v>4398829.46</v>
      </c>
      <c r="H9064" s="128">
        <v>4181705.81</v>
      </c>
      <c r="I9064" s="128">
        <v>59095</v>
      </c>
    </row>
    <row r="9065" spans="1:9" ht="13.5">
      <c r="A9065" s="128">
        <v>2016</v>
      </c>
      <c r="B9065" s="128" t="s">
        <v>131</v>
      </c>
      <c r="C9065" s="128" t="s">
        <v>21</v>
      </c>
      <c r="D9065" s="128" t="s">
        <v>79</v>
      </c>
      <c r="E9065" s="128" t="s">
        <v>135</v>
      </c>
      <c r="F9065" s="128">
        <v>23716013.149999999</v>
      </c>
      <c r="G9065" s="128">
        <v>5700853.0300000003</v>
      </c>
      <c r="H9065" s="128">
        <v>2451907.6800000002</v>
      </c>
      <c r="I9065" s="128">
        <v>45036</v>
      </c>
    </row>
    <row r="9066" spans="1:9" ht="13.5">
      <c r="A9066" s="128">
        <v>2016</v>
      </c>
      <c r="B9066" s="128" t="s">
        <v>131</v>
      </c>
      <c r="C9066" s="128" t="s">
        <v>21</v>
      </c>
      <c r="D9066" s="128" t="s">
        <v>77</v>
      </c>
      <c r="E9066" s="128" t="s">
        <v>132</v>
      </c>
      <c r="F9066" s="128">
        <v>3552311.29</v>
      </c>
      <c r="G9066" s="128">
        <v>2372180.7400000002</v>
      </c>
      <c r="H9066" s="128">
        <v>999142.61</v>
      </c>
      <c r="I9066" s="128">
        <v>32468</v>
      </c>
    </row>
    <row r="9067" spans="1:9" ht="13.5">
      <c r="A9067" s="128">
        <v>2016</v>
      </c>
      <c r="B9067" s="128" t="s">
        <v>131</v>
      </c>
      <c r="C9067" s="128" t="s">
        <v>21</v>
      </c>
      <c r="D9067" s="128" t="s">
        <v>77</v>
      </c>
      <c r="E9067" s="128" t="s">
        <v>133</v>
      </c>
      <c r="F9067" s="128">
        <v>5318846.18</v>
      </c>
      <c r="G9067" s="128">
        <v>2897408.94</v>
      </c>
      <c r="H9067" s="128">
        <v>1971840.23</v>
      </c>
      <c r="I9067" s="128">
        <v>21315</v>
      </c>
    </row>
    <row r="9068" spans="1:9" ht="13.5">
      <c r="A9068" s="128">
        <v>2016</v>
      </c>
      <c r="B9068" s="128" t="s">
        <v>131</v>
      </c>
      <c r="C9068" s="128" t="s">
        <v>21</v>
      </c>
      <c r="D9068" s="128" t="s">
        <v>77</v>
      </c>
      <c r="E9068" s="128" t="s">
        <v>134</v>
      </c>
      <c r="F9068" s="128">
        <v>12538044.949999999</v>
      </c>
      <c r="G9068" s="128">
        <v>5416933.9000000004</v>
      </c>
      <c r="H9068" s="128">
        <v>5078703.21</v>
      </c>
      <c r="I9068" s="128">
        <v>32667</v>
      </c>
    </row>
    <row r="9069" spans="1:9" ht="13.5">
      <c r="A9069" s="128">
        <v>2016</v>
      </c>
      <c r="B9069" s="128" t="s">
        <v>131</v>
      </c>
      <c r="C9069" s="128" t="s">
        <v>21</v>
      </c>
      <c r="D9069" s="128" t="s">
        <v>77</v>
      </c>
      <c r="E9069" s="128" t="s">
        <v>135</v>
      </c>
      <c r="F9069" s="128">
        <v>25985323.59</v>
      </c>
      <c r="G9069" s="128">
        <v>7398678.8700000001</v>
      </c>
      <c r="H9069" s="128">
        <v>8434955.5999999996</v>
      </c>
      <c r="I9069" s="128">
        <v>109823</v>
      </c>
    </row>
    <row r="9070" spans="1:9" ht="13.5">
      <c r="A9070" s="128">
        <v>2016</v>
      </c>
      <c r="B9070" s="128" t="s">
        <v>131</v>
      </c>
      <c r="C9070" s="128" t="s">
        <v>21</v>
      </c>
      <c r="D9070" s="128" t="s">
        <v>76</v>
      </c>
      <c r="E9070" s="128" t="s">
        <v>136</v>
      </c>
      <c r="F9070" s="128">
        <v>19088474.649999999</v>
      </c>
      <c r="G9070" s="128">
        <v>14338643.6</v>
      </c>
      <c r="H9070" s="128">
        <v>4749855.29</v>
      </c>
      <c r="I9070" s="128">
        <v>318020</v>
      </c>
    </row>
    <row r="9071" spans="1:9" ht="13.5">
      <c r="A9071" s="128">
        <v>2016</v>
      </c>
      <c r="B9071" s="128" t="s">
        <v>131</v>
      </c>
      <c r="C9071" s="128" t="s">
        <v>21</v>
      </c>
      <c r="D9071" s="128" t="s">
        <v>76</v>
      </c>
      <c r="E9071" s="128" t="s">
        <v>132</v>
      </c>
      <c r="F9071" s="128">
        <v>41381806.710000001</v>
      </c>
      <c r="G9071" s="128">
        <v>26366413.140000001</v>
      </c>
      <c r="H9071" s="128">
        <v>15015309.83</v>
      </c>
      <c r="I9071" s="128">
        <v>363946</v>
      </c>
    </row>
    <row r="9072" spans="1:9" ht="13.5">
      <c r="A9072" s="128">
        <v>2016</v>
      </c>
      <c r="B9072" s="128" t="s">
        <v>131</v>
      </c>
      <c r="C9072" s="128" t="s">
        <v>21</v>
      </c>
      <c r="D9072" s="128" t="s">
        <v>76</v>
      </c>
      <c r="E9072" s="128" t="s">
        <v>133</v>
      </c>
      <c r="F9072" s="128">
        <v>101766963.45</v>
      </c>
      <c r="G9072" s="128">
        <v>55847883.189999998</v>
      </c>
      <c r="H9072" s="128">
        <v>45919056.829999998</v>
      </c>
      <c r="I9072" s="128">
        <v>684306</v>
      </c>
    </row>
    <row r="9073" spans="1:9" ht="13.5">
      <c r="A9073" s="128">
        <v>2016</v>
      </c>
      <c r="B9073" s="128" t="s">
        <v>131</v>
      </c>
      <c r="C9073" s="128" t="s">
        <v>21</v>
      </c>
      <c r="D9073" s="128" t="s">
        <v>76</v>
      </c>
      <c r="E9073" s="128" t="s">
        <v>134</v>
      </c>
      <c r="F9073" s="128">
        <v>99584295.299999997</v>
      </c>
      <c r="G9073" s="128">
        <v>44708775.770000003</v>
      </c>
      <c r="H9073" s="128">
        <v>54875486.920000002</v>
      </c>
      <c r="I9073" s="128">
        <v>527891</v>
      </c>
    </row>
    <row r="9074" spans="1:9" ht="13.5">
      <c r="A9074" s="128">
        <v>2016</v>
      </c>
      <c r="B9074" s="128" t="s">
        <v>131</v>
      </c>
      <c r="C9074" s="128" t="s">
        <v>21</v>
      </c>
      <c r="D9074" s="128" t="s">
        <v>76</v>
      </c>
      <c r="E9074" s="128" t="s">
        <v>135</v>
      </c>
      <c r="F9074" s="128">
        <v>3383136.11</v>
      </c>
      <c r="G9074" s="128">
        <v>878449.97</v>
      </c>
      <c r="H9074" s="128">
        <v>2504686.14</v>
      </c>
      <c r="I9074" s="128">
        <v>3930</v>
      </c>
    </row>
    <row r="9075" spans="1:9" ht="13.5">
      <c r="A9075" s="128">
        <v>2016</v>
      </c>
      <c r="B9075" s="128" t="s">
        <v>131</v>
      </c>
      <c r="C9075" s="128" t="s">
        <v>22</v>
      </c>
      <c r="D9075" s="128" t="s">
        <v>79</v>
      </c>
      <c r="E9075" s="128" t="s">
        <v>136</v>
      </c>
      <c r="F9075" s="128">
        <v>6719816.0499999998</v>
      </c>
      <c r="G9075" s="128">
        <v>5040452.3499999996</v>
      </c>
      <c r="H9075" s="128">
        <v>1670351.25</v>
      </c>
      <c r="I9075" s="128">
        <v>106088</v>
      </c>
    </row>
    <row r="9076" spans="1:9" ht="13.5">
      <c r="A9076" s="128">
        <v>2016</v>
      </c>
      <c r="B9076" s="128" t="s">
        <v>131</v>
      </c>
      <c r="C9076" s="128" t="s">
        <v>22</v>
      </c>
      <c r="D9076" s="128" t="s">
        <v>79</v>
      </c>
      <c r="E9076" s="128" t="s">
        <v>132</v>
      </c>
      <c r="F9076" s="128">
        <v>5002919.71</v>
      </c>
      <c r="G9076" s="128">
        <v>3192098.35</v>
      </c>
      <c r="H9076" s="128">
        <v>1655702.58</v>
      </c>
      <c r="I9076" s="128">
        <v>56030</v>
      </c>
    </row>
    <row r="9077" spans="1:9" ht="13.5">
      <c r="A9077" s="128">
        <v>2016</v>
      </c>
      <c r="B9077" s="128" t="s">
        <v>131</v>
      </c>
      <c r="C9077" s="128" t="s">
        <v>22</v>
      </c>
      <c r="D9077" s="128" t="s">
        <v>79</v>
      </c>
      <c r="E9077" s="128" t="s">
        <v>133</v>
      </c>
      <c r="F9077" s="128">
        <v>5914810.9900000002</v>
      </c>
      <c r="G9077" s="128">
        <v>3161312.45</v>
      </c>
      <c r="H9077" s="128">
        <v>2081450.01</v>
      </c>
      <c r="I9077" s="128">
        <v>59216</v>
      </c>
    </row>
    <row r="9078" spans="1:9" ht="13.5">
      <c r="A9078" s="128">
        <v>2016</v>
      </c>
      <c r="B9078" s="128" t="s">
        <v>131</v>
      </c>
      <c r="C9078" s="128" t="s">
        <v>22</v>
      </c>
      <c r="D9078" s="128" t="s">
        <v>79</v>
      </c>
      <c r="E9078" s="128" t="s">
        <v>134</v>
      </c>
      <c r="F9078" s="128">
        <v>11319509.67</v>
      </c>
      <c r="G9078" s="128">
        <v>4993339.53</v>
      </c>
      <c r="H9078" s="128">
        <v>4662625.66</v>
      </c>
      <c r="I9078" s="128">
        <v>63249</v>
      </c>
    </row>
    <row r="9079" spans="1:9" ht="13.5">
      <c r="A9079" s="128">
        <v>2016</v>
      </c>
      <c r="B9079" s="128" t="s">
        <v>131</v>
      </c>
      <c r="C9079" s="128" t="s">
        <v>22</v>
      </c>
      <c r="D9079" s="128" t="s">
        <v>79</v>
      </c>
      <c r="E9079" s="128" t="s">
        <v>135</v>
      </c>
      <c r="F9079" s="128">
        <v>34795447.960000001</v>
      </c>
      <c r="G9079" s="128">
        <v>8403059.6699999999</v>
      </c>
      <c r="H9079" s="128">
        <v>3286854.09</v>
      </c>
      <c r="I9079" s="128">
        <v>42635</v>
      </c>
    </row>
    <row r="9080" spans="1:9" ht="13.5">
      <c r="A9080" s="128">
        <v>2016</v>
      </c>
      <c r="B9080" s="128" t="s">
        <v>131</v>
      </c>
      <c r="C9080" s="128" t="s">
        <v>22</v>
      </c>
      <c r="D9080" s="128" t="s">
        <v>77</v>
      </c>
      <c r="E9080" s="128" t="s">
        <v>132</v>
      </c>
      <c r="F9080" s="128">
        <v>1388352.23</v>
      </c>
      <c r="G9080" s="128">
        <v>915124.87</v>
      </c>
      <c r="H9080" s="128">
        <v>404443.11</v>
      </c>
      <c r="I9080" s="128">
        <v>6359</v>
      </c>
    </row>
    <row r="9081" spans="1:9" ht="13.5">
      <c r="A9081" s="128">
        <v>2016</v>
      </c>
      <c r="B9081" s="128" t="s">
        <v>131</v>
      </c>
      <c r="C9081" s="128" t="s">
        <v>22</v>
      </c>
      <c r="D9081" s="128" t="s">
        <v>77</v>
      </c>
      <c r="E9081" s="128" t="s">
        <v>133</v>
      </c>
      <c r="F9081" s="128">
        <v>2595072.59</v>
      </c>
      <c r="G9081" s="128">
        <v>1401399.91</v>
      </c>
      <c r="H9081" s="128">
        <v>953318.2</v>
      </c>
      <c r="I9081" s="128">
        <v>10415</v>
      </c>
    </row>
    <row r="9082" spans="1:9" ht="13.5">
      <c r="A9082" s="128">
        <v>2016</v>
      </c>
      <c r="B9082" s="128" t="s">
        <v>131</v>
      </c>
      <c r="C9082" s="128" t="s">
        <v>22</v>
      </c>
      <c r="D9082" s="128" t="s">
        <v>77</v>
      </c>
      <c r="E9082" s="128" t="s">
        <v>134</v>
      </c>
      <c r="F9082" s="128">
        <v>9802711.6300000008</v>
      </c>
      <c r="G9082" s="128">
        <v>4173865.56</v>
      </c>
      <c r="H9082" s="128">
        <v>4082041.36</v>
      </c>
      <c r="I9082" s="128">
        <v>16745</v>
      </c>
    </row>
    <row r="9083" spans="1:9" ht="13.5">
      <c r="A9083" s="128">
        <v>2016</v>
      </c>
      <c r="B9083" s="128" t="s">
        <v>131</v>
      </c>
      <c r="C9083" s="128" t="s">
        <v>22</v>
      </c>
      <c r="D9083" s="128" t="s">
        <v>77</v>
      </c>
      <c r="E9083" s="128" t="s">
        <v>135</v>
      </c>
      <c r="F9083" s="128">
        <v>21755142.010000002</v>
      </c>
      <c r="G9083" s="128">
        <v>5970001.1699999999</v>
      </c>
      <c r="H9083" s="128">
        <v>6748902.0099999998</v>
      </c>
      <c r="I9083" s="128">
        <v>58240</v>
      </c>
    </row>
    <row r="9084" spans="1:9" ht="13.5">
      <c r="A9084" s="128">
        <v>2016</v>
      </c>
      <c r="B9084" s="128" t="s">
        <v>131</v>
      </c>
      <c r="C9084" s="128" t="s">
        <v>22</v>
      </c>
      <c r="D9084" s="128" t="s">
        <v>76</v>
      </c>
      <c r="E9084" s="128" t="s">
        <v>136</v>
      </c>
      <c r="F9084" s="128">
        <v>13665987.25</v>
      </c>
      <c r="G9084" s="128">
        <v>10257459.25</v>
      </c>
      <c r="H9084" s="128">
        <v>3408520.19</v>
      </c>
      <c r="I9084" s="128">
        <v>242246</v>
      </c>
    </row>
    <row r="9085" spans="1:9" ht="13.5">
      <c r="A9085" s="128">
        <v>2016</v>
      </c>
      <c r="B9085" s="128" t="s">
        <v>131</v>
      </c>
      <c r="C9085" s="128" t="s">
        <v>22</v>
      </c>
      <c r="D9085" s="128" t="s">
        <v>76</v>
      </c>
      <c r="E9085" s="128" t="s">
        <v>132</v>
      </c>
      <c r="F9085" s="128">
        <v>36915998.409999996</v>
      </c>
      <c r="G9085" s="128">
        <v>23503738.629999999</v>
      </c>
      <c r="H9085" s="128">
        <v>13412174.84</v>
      </c>
      <c r="I9085" s="128">
        <v>339304</v>
      </c>
    </row>
    <row r="9086" spans="1:9" ht="13.5">
      <c r="A9086" s="128">
        <v>2016</v>
      </c>
      <c r="B9086" s="128" t="s">
        <v>131</v>
      </c>
      <c r="C9086" s="128" t="s">
        <v>22</v>
      </c>
      <c r="D9086" s="128" t="s">
        <v>76</v>
      </c>
      <c r="E9086" s="128" t="s">
        <v>133</v>
      </c>
      <c r="F9086" s="128">
        <v>69964866.290000007</v>
      </c>
      <c r="G9086" s="128">
        <v>38633489.530000001</v>
      </c>
      <c r="H9086" s="128">
        <v>31330836.75</v>
      </c>
      <c r="I9086" s="128">
        <v>561807</v>
      </c>
    </row>
    <row r="9087" spans="1:9" ht="13.5">
      <c r="A9087" s="128">
        <v>2016</v>
      </c>
      <c r="B9087" s="128" t="s">
        <v>131</v>
      </c>
      <c r="C9087" s="128" t="s">
        <v>22</v>
      </c>
      <c r="D9087" s="128" t="s">
        <v>76</v>
      </c>
      <c r="E9087" s="128" t="s">
        <v>134</v>
      </c>
      <c r="F9087" s="128">
        <v>65959567.920000002</v>
      </c>
      <c r="G9087" s="128">
        <v>30180895.050000001</v>
      </c>
      <c r="H9087" s="128">
        <v>35778334.659999996</v>
      </c>
      <c r="I9087" s="128">
        <v>424430</v>
      </c>
    </row>
    <row r="9088" spans="1:9" ht="13.5">
      <c r="A9088" s="128">
        <v>2016</v>
      </c>
      <c r="B9088" s="128" t="s">
        <v>131</v>
      </c>
      <c r="C9088" s="128" t="s">
        <v>22</v>
      </c>
      <c r="D9088" s="128" t="s">
        <v>76</v>
      </c>
      <c r="E9088" s="128" t="s">
        <v>135</v>
      </c>
      <c r="F9088" s="128">
        <v>5170115.71</v>
      </c>
      <c r="G9088" s="128">
        <v>1509471.35</v>
      </c>
      <c r="H9088" s="128">
        <v>3660696.12</v>
      </c>
      <c r="I9088" s="128">
        <v>7431</v>
      </c>
    </row>
    <row r="9089" spans="1:9" ht="13.5">
      <c r="A9089" s="128">
        <v>2016</v>
      </c>
      <c r="B9089" s="128" t="s">
        <v>131</v>
      </c>
      <c r="C9089" s="128" t="s">
        <v>23</v>
      </c>
      <c r="D9089" s="128" t="s">
        <v>79</v>
      </c>
      <c r="E9089" s="128" t="s">
        <v>136</v>
      </c>
      <c r="F9089" s="128">
        <v>2055078.98</v>
      </c>
      <c r="G9089" s="128">
        <v>1542136.16</v>
      </c>
      <c r="H9089" s="128">
        <v>512673.67</v>
      </c>
      <c r="I9089" s="128">
        <v>19067</v>
      </c>
    </row>
    <row r="9090" spans="1:9" ht="13.5">
      <c r="A9090" s="128">
        <v>2016</v>
      </c>
      <c r="B9090" s="128" t="s">
        <v>131</v>
      </c>
      <c r="C9090" s="128" t="s">
        <v>23</v>
      </c>
      <c r="D9090" s="128" t="s">
        <v>79</v>
      </c>
      <c r="E9090" s="128" t="s">
        <v>132</v>
      </c>
      <c r="F9090" s="128">
        <v>814304.79</v>
      </c>
      <c r="G9090" s="128">
        <v>517188.09</v>
      </c>
      <c r="H9090" s="128">
        <v>267702.42</v>
      </c>
      <c r="I9090" s="128">
        <v>3864</v>
      </c>
    </row>
    <row r="9091" spans="1:9" ht="13.5">
      <c r="A9091" s="128">
        <v>2016</v>
      </c>
      <c r="B9091" s="128" t="s">
        <v>131</v>
      </c>
      <c r="C9091" s="128" t="s">
        <v>23</v>
      </c>
      <c r="D9091" s="128" t="s">
        <v>79</v>
      </c>
      <c r="E9091" s="128" t="s">
        <v>133</v>
      </c>
      <c r="F9091" s="128">
        <v>1868940.51</v>
      </c>
      <c r="G9091" s="128">
        <v>1031345.4</v>
      </c>
      <c r="H9091" s="128">
        <v>788789.37</v>
      </c>
      <c r="I9091" s="128">
        <v>20923</v>
      </c>
    </row>
    <row r="9092" spans="1:9" ht="13.5">
      <c r="A9092" s="128">
        <v>2016</v>
      </c>
      <c r="B9092" s="128" t="s">
        <v>131</v>
      </c>
      <c r="C9092" s="128" t="s">
        <v>23</v>
      </c>
      <c r="D9092" s="128" t="s">
        <v>79</v>
      </c>
      <c r="E9092" s="128" t="s">
        <v>134</v>
      </c>
      <c r="F9092" s="128">
        <v>3731748.66</v>
      </c>
      <c r="G9092" s="128">
        <v>1613455.52</v>
      </c>
      <c r="H9092" s="128">
        <v>1986688.14</v>
      </c>
      <c r="I9092" s="128">
        <v>14182</v>
      </c>
    </row>
    <row r="9093" spans="1:9" ht="13.5">
      <c r="A9093" s="128">
        <v>2016</v>
      </c>
      <c r="B9093" s="128" t="s">
        <v>131</v>
      </c>
      <c r="C9093" s="128" t="s">
        <v>23</v>
      </c>
      <c r="D9093" s="128" t="s">
        <v>79</v>
      </c>
      <c r="E9093" s="128" t="s">
        <v>135</v>
      </c>
      <c r="F9093" s="128">
        <v>2046715.44</v>
      </c>
      <c r="G9093" s="128">
        <v>506669.72</v>
      </c>
      <c r="H9093" s="128">
        <v>352512.71</v>
      </c>
      <c r="I9093" s="128">
        <v>3907</v>
      </c>
    </row>
    <row r="9094" spans="1:9" ht="13.5">
      <c r="A9094" s="128">
        <v>2016</v>
      </c>
      <c r="B9094" s="128" t="s">
        <v>131</v>
      </c>
      <c r="C9094" s="128" t="s">
        <v>23</v>
      </c>
      <c r="D9094" s="128" t="s">
        <v>77</v>
      </c>
      <c r="E9094" s="128" t="s">
        <v>132</v>
      </c>
      <c r="F9094" s="128">
        <v>370986.6</v>
      </c>
      <c r="G9094" s="128">
        <v>242162.26</v>
      </c>
      <c r="H9094" s="128">
        <v>117159.57</v>
      </c>
      <c r="I9094" s="128">
        <v>1532</v>
      </c>
    </row>
    <row r="9095" spans="1:9" ht="13.5">
      <c r="A9095" s="128">
        <v>2016</v>
      </c>
      <c r="B9095" s="128" t="s">
        <v>131</v>
      </c>
      <c r="C9095" s="128" t="s">
        <v>23</v>
      </c>
      <c r="D9095" s="128" t="s">
        <v>77</v>
      </c>
      <c r="E9095" s="128" t="s">
        <v>133</v>
      </c>
      <c r="F9095" s="128">
        <v>858245.36</v>
      </c>
      <c r="G9095" s="128">
        <v>464249.7</v>
      </c>
      <c r="H9095" s="128">
        <v>340870.37</v>
      </c>
      <c r="I9095" s="128">
        <v>3148</v>
      </c>
    </row>
    <row r="9096" spans="1:9" ht="13.5">
      <c r="A9096" s="128">
        <v>2016</v>
      </c>
      <c r="B9096" s="128" t="s">
        <v>131</v>
      </c>
      <c r="C9096" s="128" t="s">
        <v>23</v>
      </c>
      <c r="D9096" s="128" t="s">
        <v>77</v>
      </c>
      <c r="E9096" s="128" t="s">
        <v>134</v>
      </c>
      <c r="F9096" s="128">
        <v>4003857.2</v>
      </c>
      <c r="G9096" s="128">
        <v>1693648.45</v>
      </c>
      <c r="H9096" s="128">
        <v>1760730.18</v>
      </c>
      <c r="I9096" s="128">
        <v>8643</v>
      </c>
    </row>
    <row r="9097" spans="1:9" ht="13.5">
      <c r="A9097" s="128">
        <v>2016</v>
      </c>
      <c r="B9097" s="128" t="s">
        <v>131</v>
      </c>
      <c r="C9097" s="128" t="s">
        <v>23</v>
      </c>
      <c r="D9097" s="128" t="s">
        <v>77</v>
      </c>
      <c r="E9097" s="128" t="s">
        <v>135</v>
      </c>
      <c r="F9097" s="128">
        <v>6122266.0300000003</v>
      </c>
      <c r="G9097" s="128">
        <v>1841054.69</v>
      </c>
      <c r="H9097" s="128">
        <v>2342067.8199999998</v>
      </c>
      <c r="I9097" s="128">
        <v>26329</v>
      </c>
    </row>
    <row r="9098" spans="1:9" ht="13.5">
      <c r="A9098" s="128">
        <v>2016</v>
      </c>
      <c r="B9098" s="128" t="s">
        <v>131</v>
      </c>
      <c r="C9098" s="128" t="s">
        <v>23</v>
      </c>
      <c r="D9098" s="128" t="s">
        <v>76</v>
      </c>
      <c r="E9098" s="128" t="s">
        <v>136</v>
      </c>
      <c r="F9098" s="128">
        <v>4795156.26</v>
      </c>
      <c r="G9098" s="128">
        <v>3599500.73</v>
      </c>
      <c r="H9098" s="128">
        <v>1195662.6599999999</v>
      </c>
      <c r="I9098" s="128">
        <v>59266</v>
      </c>
    </row>
    <row r="9099" spans="1:9" ht="13.5">
      <c r="A9099" s="128">
        <v>2016</v>
      </c>
      <c r="B9099" s="128" t="s">
        <v>131</v>
      </c>
      <c r="C9099" s="128" t="s">
        <v>23</v>
      </c>
      <c r="D9099" s="128" t="s">
        <v>76</v>
      </c>
      <c r="E9099" s="128" t="s">
        <v>132</v>
      </c>
      <c r="F9099" s="128">
        <v>7226985.6900000004</v>
      </c>
      <c r="G9099" s="128">
        <v>4537590.38</v>
      </c>
      <c r="H9099" s="128">
        <v>2689394.04</v>
      </c>
      <c r="I9099" s="128">
        <v>69878</v>
      </c>
    </row>
    <row r="9100" spans="1:9" ht="13.5">
      <c r="A9100" s="128">
        <v>2016</v>
      </c>
      <c r="B9100" s="128" t="s">
        <v>131</v>
      </c>
      <c r="C9100" s="128" t="s">
        <v>23</v>
      </c>
      <c r="D9100" s="128" t="s">
        <v>76</v>
      </c>
      <c r="E9100" s="128" t="s">
        <v>133</v>
      </c>
      <c r="F9100" s="128">
        <v>24913951.02</v>
      </c>
      <c r="G9100" s="128">
        <v>13586873.08</v>
      </c>
      <c r="H9100" s="128">
        <v>11327062.34</v>
      </c>
      <c r="I9100" s="128">
        <v>200951</v>
      </c>
    </row>
    <row r="9101" spans="1:9" ht="13.5">
      <c r="A9101" s="128">
        <v>2016</v>
      </c>
      <c r="B9101" s="128" t="s">
        <v>131</v>
      </c>
      <c r="C9101" s="128" t="s">
        <v>23</v>
      </c>
      <c r="D9101" s="128" t="s">
        <v>76</v>
      </c>
      <c r="E9101" s="128" t="s">
        <v>134</v>
      </c>
      <c r="F9101" s="128">
        <v>41412043.560000002</v>
      </c>
      <c r="G9101" s="128">
        <v>18417673.219999999</v>
      </c>
      <c r="H9101" s="128">
        <v>22994363.260000002</v>
      </c>
      <c r="I9101" s="128">
        <v>159697</v>
      </c>
    </row>
    <row r="9102" spans="1:9" ht="13.5">
      <c r="A9102" s="128">
        <v>2016</v>
      </c>
      <c r="B9102" s="128" t="s">
        <v>131</v>
      </c>
      <c r="C9102" s="128" t="s">
        <v>23</v>
      </c>
      <c r="D9102" s="128" t="s">
        <v>76</v>
      </c>
      <c r="E9102" s="128" t="s">
        <v>135</v>
      </c>
      <c r="F9102" s="128">
        <v>1391855.83</v>
      </c>
      <c r="G9102" s="128">
        <v>370730.8</v>
      </c>
      <c r="H9102" s="128">
        <v>1021125.03</v>
      </c>
      <c r="I9102" s="128">
        <v>1408</v>
      </c>
    </row>
    <row r="9103" spans="1:9" ht="13.5">
      <c r="A9103" s="128">
        <v>2016</v>
      </c>
      <c r="B9103" s="128" t="s">
        <v>131</v>
      </c>
      <c r="C9103" s="128" t="s">
        <v>24</v>
      </c>
      <c r="D9103" s="128" t="s">
        <v>79</v>
      </c>
      <c r="E9103" s="128" t="s">
        <v>136</v>
      </c>
      <c r="F9103" s="128">
        <v>1960431.68</v>
      </c>
      <c r="G9103" s="128">
        <v>1471602.9</v>
      </c>
      <c r="H9103" s="128">
        <v>487300.67</v>
      </c>
      <c r="I9103" s="128">
        <v>32292</v>
      </c>
    </row>
    <row r="9104" spans="1:9" ht="13.5">
      <c r="A9104" s="128">
        <v>2016</v>
      </c>
      <c r="B9104" s="128" t="s">
        <v>131</v>
      </c>
      <c r="C9104" s="128" t="s">
        <v>24</v>
      </c>
      <c r="D9104" s="128" t="s">
        <v>79</v>
      </c>
      <c r="E9104" s="128" t="s">
        <v>132</v>
      </c>
      <c r="F9104" s="128">
        <v>509267.59</v>
      </c>
      <c r="G9104" s="128">
        <v>331736.92</v>
      </c>
      <c r="H9104" s="128">
        <v>143164.73000000001</v>
      </c>
      <c r="I9104" s="128">
        <v>3002</v>
      </c>
    </row>
    <row r="9105" spans="1:9" ht="13.5">
      <c r="A9105" s="128">
        <v>2016</v>
      </c>
      <c r="B9105" s="128" t="s">
        <v>131</v>
      </c>
      <c r="C9105" s="128" t="s">
        <v>24</v>
      </c>
      <c r="D9105" s="128" t="s">
        <v>79</v>
      </c>
      <c r="E9105" s="128" t="s">
        <v>133</v>
      </c>
      <c r="F9105" s="128">
        <v>1611723.53</v>
      </c>
      <c r="G9105" s="128">
        <v>854561.8</v>
      </c>
      <c r="H9105" s="128">
        <v>432666.91</v>
      </c>
      <c r="I9105" s="128">
        <v>17739</v>
      </c>
    </row>
    <row r="9106" spans="1:9" ht="13.5">
      <c r="A9106" s="128">
        <v>2016</v>
      </c>
      <c r="B9106" s="128" t="s">
        <v>131</v>
      </c>
      <c r="C9106" s="128" t="s">
        <v>24</v>
      </c>
      <c r="D9106" s="128" t="s">
        <v>79</v>
      </c>
      <c r="E9106" s="128" t="s">
        <v>134</v>
      </c>
      <c r="F9106" s="128">
        <v>2737988.9</v>
      </c>
      <c r="G9106" s="128">
        <v>1202413.3400000001</v>
      </c>
      <c r="H9106" s="128">
        <v>817374.64</v>
      </c>
      <c r="I9106" s="128">
        <v>10040</v>
      </c>
    </row>
    <row r="9107" spans="1:9" ht="13.5">
      <c r="A9107" s="128">
        <v>2016</v>
      </c>
      <c r="B9107" s="128" t="s">
        <v>131</v>
      </c>
      <c r="C9107" s="128" t="s">
        <v>24</v>
      </c>
      <c r="D9107" s="128" t="s">
        <v>79</v>
      </c>
      <c r="E9107" s="128" t="s">
        <v>135</v>
      </c>
      <c r="F9107" s="128">
        <v>7675422.7800000003</v>
      </c>
      <c r="G9107" s="128">
        <v>1742958.37</v>
      </c>
      <c r="H9107" s="128">
        <v>703391.42</v>
      </c>
      <c r="I9107" s="128">
        <v>11247</v>
      </c>
    </row>
    <row r="9108" spans="1:9" ht="13.5">
      <c r="A9108" s="128">
        <v>2016</v>
      </c>
      <c r="B9108" s="128" t="s">
        <v>131</v>
      </c>
      <c r="C9108" s="128" t="s">
        <v>24</v>
      </c>
      <c r="D9108" s="128" t="s">
        <v>77</v>
      </c>
      <c r="E9108" s="128" t="s">
        <v>132</v>
      </c>
      <c r="F9108" s="128">
        <v>2411470.4500000002</v>
      </c>
      <c r="G9108" s="128">
        <v>1646247.9</v>
      </c>
      <c r="H9108" s="128">
        <v>727870.63</v>
      </c>
      <c r="I9108" s="128">
        <v>13319</v>
      </c>
    </row>
    <row r="9109" spans="1:9" ht="13.5">
      <c r="A9109" s="128">
        <v>2016</v>
      </c>
      <c r="B9109" s="128" t="s">
        <v>131</v>
      </c>
      <c r="C9109" s="128" t="s">
        <v>24</v>
      </c>
      <c r="D9109" s="128" t="s">
        <v>77</v>
      </c>
      <c r="E9109" s="128" t="s">
        <v>133</v>
      </c>
      <c r="F9109" s="128">
        <v>4286949.83</v>
      </c>
      <c r="G9109" s="128">
        <v>2316150.56</v>
      </c>
      <c r="H9109" s="128">
        <v>1767489.42</v>
      </c>
      <c r="I9109" s="128">
        <v>32531</v>
      </c>
    </row>
    <row r="9110" spans="1:9" ht="13.5">
      <c r="A9110" s="128">
        <v>2016</v>
      </c>
      <c r="B9110" s="128" t="s">
        <v>131</v>
      </c>
      <c r="C9110" s="128" t="s">
        <v>24</v>
      </c>
      <c r="D9110" s="128" t="s">
        <v>77</v>
      </c>
      <c r="E9110" s="128" t="s">
        <v>134</v>
      </c>
      <c r="F9110" s="128">
        <v>8054665.46</v>
      </c>
      <c r="G9110" s="128">
        <v>3579127.72</v>
      </c>
      <c r="H9110" s="128">
        <v>3200570.79</v>
      </c>
      <c r="I9110" s="128">
        <v>17499</v>
      </c>
    </row>
    <row r="9111" spans="1:9" ht="13.5">
      <c r="A9111" s="128">
        <v>2016</v>
      </c>
      <c r="B9111" s="128" t="s">
        <v>131</v>
      </c>
      <c r="C9111" s="128" t="s">
        <v>24</v>
      </c>
      <c r="D9111" s="128" t="s">
        <v>77</v>
      </c>
      <c r="E9111" s="128" t="s">
        <v>135</v>
      </c>
      <c r="F9111" s="128">
        <v>15144283.91</v>
      </c>
      <c r="G9111" s="128">
        <v>3951698.83</v>
      </c>
      <c r="H9111" s="128">
        <v>2722493.05</v>
      </c>
      <c r="I9111" s="128">
        <v>33874</v>
      </c>
    </row>
    <row r="9112" spans="1:9" ht="13.5">
      <c r="A9112" s="128">
        <v>2016</v>
      </c>
      <c r="B9112" s="128" t="s">
        <v>131</v>
      </c>
      <c r="C9112" s="128" t="s">
        <v>24</v>
      </c>
      <c r="D9112" s="128" t="s">
        <v>76</v>
      </c>
      <c r="E9112" s="128" t="s">
        <v>136</v>
      </c>
      <c r="F9112" s="128">
        <v>6082946.0099999998</v>
      </c>
      <c r="G9112" s="128">
        <v>4580527.7300000004</v>
      </c>
      <c r="H9112" s="128">
        <v>1502401.32</v>
      </c>
      <c r="I9112" s="128">
        <v>125835</v>
      </c>
    </row>
    <row r="9113" spans="1:9" ht="13.5">
      <c r="A9113" s="128">
        <v>2016</v>
      </c>
      <c r="B9113" s="128" t="s">
        <v>131</v>
      </c>
      <c r="C9113" s="128" t="s">
        <v>24</v>
      </c>
      <c r="D9113" s="128" t="s">
        <v>76</v>
      </c>
      <c r="E9113" s="128" t="s">
        <v>132</v>
      </c>
      <c r="F9113" s="128">
        <v>7340144.5300000003</v>
      </c>
      <c r="G9113" s="128">
        <v>4789571.5199999996</v>
      </c>
      <c r="H9113" s="128">
        <v>2550569.06</v>
      </c>
      <c r="I9113" s="128">
        <v>49099</v>
      </c>
    </row>
    <row r="9114" spans="1:9" ht="13.5">
      <c r="A9114" s="128">
        <v>2016</v>
      </c>
      <c r="B9114" s="128" t="s">
        <v>131</v>
      </c>
      <c r="C9114" s="128" t="s">
        <v>24</v>
      </c>
      <c r="D9114" s="128" t="s">
        <v>76</v>
      </c>
      <c r="E9114" s="128" t="s">
        <v>133</v>
      </c>
      <c r="F9114" s="128">
        <v>41367718.710000001</v>
      </c>
      <c r="G9114" s="128">
        <v>22956845.059999999</v>
      </c>
      <c r="H9114" s="128">
        <v>18410871.039999999</v>
      </c>
      <c r="I9114" s="128">
        <v>295069</v>
      </c>
    </row>
    <row r="9115" spans="1:9" ht="13.5">
      <c r="A9115" s="128">
        <v>2016</v>
      </c>
      <c r="B9115" s="128" t="s">
        <v>131</v>
      </c>
      <c r="C9115" s="128" t="s">
        <v>24</v>
      </c>
      <c r="D9115" s="128" t="s">
        <v>76</v>
      </c>
      <c r="E9115" s="128" t="s">
        <v>134</v>
      </c>
      <c r="F9115" s="128">
        <v>52686258</v>
      </c>
      <c r="G9115" s="128">
        <v>23301865.68</v>
      </c>
      <c r="H9115" s="128">
        <v>29384288.98</v>
      </c>
      <c r="I9115" s="128">
        <v>247404</v>
      </c>
    </row>
    <row r="9116" spans="1:9" ht="13.5">
      <c r="A9116" s="128">
        <v>2016</v>
      </c>
      <c r="B9116" s="128" t="s">
        <v>131</v>
      </c>
      <c r="C9116" s="128" t="s">
        <v>24</v>
      </c>
      <c r="D9116" s="128" t="s">
        <v>76</v>
      </c>
      <c r="E9116" s="128" t="s">
        <v>135</v>
      </c>
      <c r="F9116" s="128">
        <v>2980402.36</v>
      </c>
      <c r="G9116" s="128">
        <v>788148.15</v>
      </c>
      <c r="H9116" s="128">
        <v>2192254.21</v>
      </c>
      <c r="I9116" s="128">
        <v>2029</v>
      </c>
    </row>
    <row r="9117" spans="1:9" ht="13.5">
      <c r="A9117" s="128">
        <v>2016</v>
      </c>
      <c r="B9117" s="128" t="s">
        <v>131</v>
      </c>
      <c r="C9117" s="128" t="s">
        <v>25</v>
      </c>
      <c r="D9117" s="128" t="s">
        <v>79</v>
      </c>
      <c r="E9117" s="128" t="s">
        <v>136</v>
      </c>
      <c r="F9117" s="128">
        <v>461571.7</v>
      </c>
      <c r="G9117" s="128">
        <v>346544.86</v>
      </c>
      <c r="H9117" s="128">
        <v>114760.36</v>
      </c>
      <c r="I9117" s="128">
        <v>5220</v>
      </c>
    </row>
    <row r="9118" spans="1:9" ht="13.5">
      <c r="A9118" s="128">
        <v>2016</v>
      </c>
      <c r="B9118" s="128" t="s">
        <v>131</v>
      </c>
      <c r="C9118" s="128" t="s">
        <v>25</v>
      </c>
      <c r="D9118" s="128" t="s">
        <v>79</v>
      </c>
      <c r="E9118" s="128" t="s">
        <v>132</v>
      </c>
      <c r="F9118" s="128">
        <v>456132.58</v>
      </c>
      <c r="G9118" s="128">
        <v>283839.40999999997</v>
      </c>
      <c r="H9118" s="128">
        <v>167351.20000000001</v>
      </c>
      <c r="I9118" s="128">
        <v>2916</v>
      </c>
    </row>
    <row r="9119" spans="1:9" ht="13.5">
      <c r="A9119" s="128">
        <v>2016</v>
      </c>
      <c r="B9119" s="128" t="s">
        <v>131</v>
      </c>
      <c r="C9119" s="128" t="s">
        <v>25</v>
      </c>
      <c r="D9119" s="128" t="s">
        <v>79</v>
      </c>
      <c r="E9119" s="128" t="s">
        <v>133</v>
      </c>
      <c r="F9119" s="128">
        <v>424098.4</v>
      </c>
      <c r="G9119" s="128">
        <v>238310.33</v>
      </c>
      <c r="H9119" s="128">
        <v>167409.43</v>
      </c>
      <c r="I9119" s="128">
        <v>4496</v>
      </c>
    </row>
    <row r="9120" spans="1:9" ht="13.5">
      <c r="A9120" s="128">
        <v>2016</v>
      </c>
      <c r="B9120" s="128" t="s">
        <v>131</v>
      </c>
      <c r="C9120" s="128" t="s">
        <v>25</v>
      </c>
      <c r="D9120" s="128" t="s">
        <v>79</v>
      </c>
      <c r="E9120" s="128" t="s">
        <v>134</v>
      </c>
      <c r="F9120" s="128">
        <v>719076.31</v>
      </c>
      <c r="G9120" s="128">
        <v>321053.21999999997</v>
      </c>
      <c r="H9120" s="128">
        <v>301319.07</v>
      </c>
      <c r="I9120" s="128">
        <v>3364</v>
      </c>
    </row>
    <row r="9121" spans="1:9" ht="13.5">
      <c r="A9121" s="128">
        <v>2016</v>
      </c>
      <c r="B9121" s="128" t="s">
        <v>131</v>
      </c>
      <c r="C9121" s="128" t="s">
        <v>25</v>
      </c>
      <c r="D9121" s="128" t="s">
        <v>79</v>
      </c>
      <c r="E9121" s="128" t="s">
        <v>135</v>
      </c>
      <c r="F9121" s="128">
        <v>1410870.7</v>
      </c>
      <c r="G9121" s="128">
        <v>334109.81</v>
      </c>
      <c r="H9121" s="128">
        <v>147893.4</v>
      </c>
      <c r="I9121" s="128">
        <v>1372</v>
      </c>
    </row>
    <row r="9122" spans="1:9" ht="13.5">
      <c r="A9122" s="128">
        <v>2016</v>
      </c>
      <c r="B9122" s="128" t="s">
        <v>131</v>
      </c>
      <c r="C9122" s="128" t="s">
        <v>25</v>
      </c>
      <c r="D9122" s="128" t="s">
        <v>77</v>
      </c>
      <c r="E9122" s="128" t="s">
        <v>132</v>
      </c>
      <c r="F9122" s="128">
        <v>177509.39</v>
      </c>
      <c r="G9122" s="128">
        <v>120051</v>
      </c>
      <c r="H9122" s="128">
        <v>47391.1</v>
      </c>
      <c r="I9122" s="128">
        <v>1499</v>
      </c>
    </row>
    <row r="9123" spans="1:9" ht="13.5">
      <c r="A9123" s="128">
        <v>2016</v>
      </c>
      <c r="B9123" s="128" t="s">
        <v>131</v>
      </c>
      <c r="C9123" s="128" t="s">
        <v>25</v>
      </c>
      <c r="D9123" s="128" t="s">
        <v>77</v>
      </c>
      <c r="E9123" s="128" t="s">
        <v>133</v>
      </c>
      <c r="F9123" s="128">
        <v>304481.32</v>
      </c>
      <c r="G9123" s="128">
        <v>163926.95000000001</v>
      </c>
      <c r="H9123" s="128">
        <v>127038.74</v>
      </c>
      <c r="I9123" s="128">
        <v>1140</v>
      </c>
    </row>
    <row r="9124" spans="1:9" ht="13.5">
      <c r="A9124" s="128">
        <v>2016</v>
      </c>
      <c r="B9124" s="128" t="s">
        <v>131</v>
      </c>
      <c r="C9124" s="128" t="s">
        <v>25</v>
      </c>
      <c r="D9124" s="128" t="s">
        <v>77</v>
      </c>
      <c r="E9124" s="128" t="s">
        <v>134</v>
      </c>
      <c r="F9124" s="128">
        <v>1270810.81</v>
      </c>
      <c r="G9124" s="128">
        <v>538531.79</v>
      </c>
      <c r="H9124" s="128">
        <v>559050.85</v>
      </c>
      <c r="I9124" s="128">
        <v>2511</v>
      </c>
    </row>
    <row r="9125" spans="1:9" ht="13.5">
      <c r="A9125" s="128">
        <v>2016</v>
      </c>
      <c r="B9125" s="128" t="s">
        <v>131</v>
      </c>
      <c r="C9125" s="128" t="s">
        <v>25</v>
      </c>
      <c r="D9125" s="128" t="s">
        <v>77</v>
      </c>
      <c r="E9125" s="128" t="s">
        <v>135</v>
      </c>
      <c r="F9125" s="128">
        <v>1483356.89</v>
      </c>
      <c r="G9125" s="128">
        <v>452752.55</v>
      </c>
      <c r="H9125" s="128">
        <v>535870.98</v>
      </c>
      <c r="I9125" s="128">
        <v>4473</v>
      </c>
    </row>
    <row r="9126" spans="1:9" ht="13.5">
      <c r="A9126" s="128">
        <v>2016</v>
      </c>
      <c r="B9126" s="128" t="s">
        <v>131</v>
      </c>
      <c r="C9126" s="128" t="s">
        <v>25</v>
      </c>
      <c r="D9126" s="128" t="s">
        <v>76</v>
      </c>
      <c r="E9126" s="128" t="s">
        <v>136</v>
      </c>
      <c r="F9126" s="128">
        <v>2103285.08</v>
      </c>
      <c r="G9126" s="128">
        <v>1578842.08</v>
      </c>
      <c r="H9126" s="128">
        <v>524442.9</v>
      </c>
      <c r="I9126" s="128">
        <v>41081</v>
      </c>
    </row>
    <row r="9127" spans="1:9" ht="13.5">
      <c r="A9127" s="128">
        <v>2016</v>
      </c>
      <c r="B9127" s="128" t="s">
        <v>131</v>
      </c>
      <c r="C9127" s="128" t="s">
        <v>25</v>
      </c>
      <c r="D9127" s="128" t="s">
        <v>76</v>
      </c>
      <c r="E9127" s="128" t="s">
        <v>132</v>
      </c>
      <c r="F9127" s="128">
        <v>2577565.04</v>
      </c>
      <c r="G9127" s="128">
        <v>1638990.34</v>
      </c>
      <c r="H9127" s="128">
        <v>938572.65</v>
      </c>
      <c r="I9127" s="128">
        <v>20440</v>
      </c>
    </row>
    <row r="9128" spans="1:9" ht="13.5">
      <c r="A9128" s="128">
        <v>2016</v>
      </c>
      <c r="B9128" s="128" t="s">
        <v>131</v>
      </c>
      <c r="C9128" s="128" t="s">
        <v>25</v>
      </c>
      <c r="D9128" s="128" t="s">
        <v>76</v>
      </c>
      <c r="E9128" s="128" t="s">
        <v>133</v>
      </c>
      <c r="F9128" s="128">
        <v>7543826.2400000002</v>
      </c>
      <c r="G9128" s="128">
        <v>4125075.06</v>
      </c>
      <c r="H9128" s="128">
        <v>3418748.93</v>
      </c>
      <c r="I9128" s="128">
        <v>46694</v>
      </c>
    </row>
    <row r="9129" spans="1:9" ht="13.5">
      <c r="A9129" s="128">
        <v>2016</v>
      </c>
      <c r="B9129" s="128" t="s">
        <v>131</v>
      </c>
      <c r="C9129" s="128" t="s">
        <v>25</v>
      </c>
      <c r="D9129" s="128" t="s">
        <v>76</v>
      </c>
      <c r="E9129" s="128" t="s">
        <v>134</v>
      </c>
      <c r="F9129" s="128">
        <v>10581750.369999999</v>
      </c>
      <c r="G9129" s="128">
        <v>4825777.99</v>
      </c>
      <c r="H9129" s="128">
        <v>5755971.8700000001</v>
      </c>
      <c r="I9129" s="128">
        <v>49669</v>
      </c>
    </row>
    <row r="9130" spans="1:9" ht="13.5">
      <c r="A9130" s="128">
        <v>2016</v>
      </c>
      <c r="B9130" s="128" t="s">
        <v>131</v>
      </c>
      <c r="C9130" s="128" t="s">
        <v>25</v>
      </c>
      <c r="D9130" s="128" t="s">
        <v>76</v>
      </c>
      <c r="E9130" s="128" t="s">
        <v>135</v>
      </c>
      <c r="F9130" s="128">
        <v>421904.9</v>
      </c>
      <c r="G9130" s="128">
        <v>118003.1</v>
      </c>
      <c r="H9130" s="128">
        <v>303901.8</v>
      </c>
      <c r="I9130" s="128">
        <v>417</v>
      </c>
    </row>
    <row r="9131" spans="1:9" ht="13.5">
      <c r="A9131" s="128">
        <v>2016</v>
      </c>
      <c r="B9131" s="128" t="s">
        <v>131</v>
      </c>
      <c r="C9131" s="128" t="s">
        <v>26</v>
      </c>
      <c r="D9131" s="128" t="s">
        <v>79</v>
      </c>
      <c r="E9131" s="128" t="s">
        <v>136</v>
      </c>
      <c r="F9131" s="128">
        <v>1104921.83</v>
      </c>
      <c r="G9131" s="128">
        <v>828923.66</v>
      </c>
      <c r="H9131" s="128">
        <v>274689.38</v>
      </c>
      <c r="I9131" s="128">
        <v>9221</v>
      </c>
    </row>
    <row r="9132" spans="1:9" ht="13.5">
      <c r="A9132" s="128">
        <v>2016</v>
      </c>
      <c r="B9132" s="128" t="s">
        <v>131</v>
      </c>
      <c r="C9132" s="128" t="s">
        <v>26</v>
      </c>
      <c r="D9132" s="128" t="s">
        <v>79</v>
      </c>
      <c r="E9132" s="128" t="s">
        <v>132</v>
      </c>
      <c r="F9132" s="128">
        <v>139829.98000000001</v>
      </c>
      <c r="G9132" s="128">
        <v>93839.360000000001</v>
      </c>
      <c r="H9132" s="128">
        <v>38533.599999999999</v>
      </c>
      <c r="I9132" s="128">
        <v>748</v>
      </c>
    </row>
    <row r="9133" spans="1:9" ht="13.5">
      <c r="A9133" s="128">
        <v>2016</v>
      </c>
      <c r="B9133" s="128" t="s">
        <v>131</v>
      </c>
      <c r="C9133" s="128" t="s">
        <v>26</v>
      </c>
      <c r="D9133" s="128" t="s">
        <v>79</v>
      </c>
      <c r="E9133" s="128" t="s">
        <v>133</v>
      </c>
      <c r="F9133" s="128">
        <v>186226.97</v>
      </c>
      <c r="G9133" s="128">
        <v>101618.2</v>
      </c>
      <c r="H9133" s="128">
        <v>57253.5</v>
      </c>
      <c r="I9133" s="128">
        <v>630</v>
      </c>
    </row>
    <row r="9134" spans="1:9" ht="13.5">
      <c r="A9134" s="128">
        <v>2016</v>
      </c>
      <c r="B9134" s="128" t="s">
        <v>131</v>
      </c>
      <c r="C9134" s="128" t="s">
        <v>26</v>
      </c>
      <c r="D9134" s="128" t="s">
        <v>79</v>
      </c>
      <c r="E9134" s="128" t="s">
        <v>134</v>
      </c>
      <c r="F9134" s="128">
        <v>657660.19999999995</v>
      </c>
      <c r="G9134" s="128">
        <v>282055.12</v>
      </c>
      <c r="H9134" s="128">
        <v>166220.57999999999</v>
      </c>
      <c r="I9134" s="128">
        <v>2800</v>
      </c>
    </row>
    <row r="9135" spans="1:9" ht="13.5">
      <c r="A9135" s="128">
        <v>2016</v>
      </c>
      <c r="B9135" s="128" t="s">
        <v>131</v>
      </c>
      <c r="C9135" s="128" t="s">
        <v>26</v>
      </c>
      <c r="D9135" s="128" t="s">
        <v>79</v>
      </c>
      <c r="E9135" s="128" t="s">
        <v>135</v>
      </c>
      <c r="F9135" s="128">
        <v>6136988.0700000003</v>
      </c>
      <c r="G9135" s="128">
        <v>1458699.54</v>
      </c>
      <c r="H9135" s="128">
        <v>499898.77</v>
      </c>
      <c r="I9135" s="128">
        <v>6269</v>
      </c>
    </row>
    <row r="9136" spans="1:9" ht="13.5">
      <c r="A9136" s="128">
        <v>2016</v>
      </c>
      <c r="B9136" s="128" t="s">
        <v>131</v>
      </c>
      <c r="C9136" s="128" t="s">
        <v>26</v>
      </c>
      <c r="D9136" s="128" t="s">
        <v>77</v>
      </c>
      <c r="E9136" s="128" t="s">
        <v>132</v>
      </c>
      <c r="F9136" s="128">
        <v>46438.67</v>
      </c>
      <c r="G9136" s="128">
        <v>29628.45</v>
      </c>
      <c r="H9136" s="128">
        <v>13924.73</v>
      </c>
      <c r="I9136" s="128">
        <v>211</v>
      </c>
    </row>
    <row r="9137" spans="1:9" ht="13.5">
      <c r="A9137" s="128">
        <v>2016</v>
      </c>
      <c r="B9137" s="128" t="s">
        <v>131</v>
      </c>
      <c r="C9137" s="128" t="s">
        <v>26</v>
      </c>
      <c r="D9137" s="128" t="s">
        <v>77</v>
      </c>
      <c r="E9137" s="128" t="s">
        <v>133</v>
      </c>
      <c r="F9137" s="128">
        <v>137578.01999999999</v>
      </c>
      <c r="G9137" s="128">
        <v>76066.52</v>
      </c>
      <c r="H9137" s="128">
        <v>53870.400000000001</v>
      </c>
      <c r="I9137" s="128">
        <v>381</v>
      </c>
    </row>
    <row r="9138" spans="1:9" ht="13.5">
      <c r="A9138" s="128">
        <v>2016</v>
      </c>
      <c r="B9138" s="128" t="s">
        <v>131</v>
      </c>
      <c r="C9138" s="128" t="s">
        <v>26</v>
      </c>
      <c r="D9138" s="128" t="s">
        <v>77</v>
      </c>
      <c r="E9138" s="128" t="s">
        <v>134</v>
      </c>
      <c r="F9138" s="128">
        <v>432850.76</v>
      </c>
      <c r="G9138" s="128">
        <v>184750.27</v>
      </c>
      <c r="H9138" s="128">
        <v>189931.74</v>
      </c>
      <c r="I9138" s="128">
        <v>1251</v>
      </c>
    </row>
    <row r="9139" spans="1:9" ht="13.5">
      <c r="A9139" s="128">
        <v>2016</v>
      </c>
      <c r="B9139" s="128" t="s">
        <v>131</v>
      </c>
      <c r="C9139" s="128" t="s">
        <v>26</v>
      </c>
      <c r="D9139" s="128" t="s">
        <v>77</v>
      </c>
      <c r="E9139" s="128" t="s">
        <v>135</v>
      </c>
      <c r="F9139" s="128">
        <v>2790504.44</v>
      </c>
      <c r="G9139" s="128">
        <v>731448.3</v>
      </c>
      <c r="H9139" s="128">
        <v>799808.09</v>
      </c>
      <c r="I9139" s="128">
        <v>9948</v>
      </c>
    </row>
    <row r="9140" spans="1:9" ht="13.5">
      <c r="A9140" s="128">
        <v>2016</v>
      </c>
      <c r="B9140" s="128" t="s">
        <v>131</v>
      </c>
      <c r="C9140" s="128" t="s">
        <v>26</v>
      </c>
      <c r="D9140" s="128" t="s">
        <v>76</v>
      </c>
      <c r="E9140" s="128" t="s">
        <v>136</v>
      </c>
      <c r="F9140" s="128">
        <v>435933.13</v>
      </c>
      <c r="G9140" s="128">
        <v>327301.7</v>
      </c>
      <c r="H9140" s="128">
        <v>108631.29</v>
      </c>
      <c r="I9140" s="128">
        <v>13696</v>
      </c>
    </row>
    <row r="9141" spans="1:9" ht="13.5">
      <c r="A9141" s="128">
        <v>2016</v>
      </c>
      <c r="B9141" s="128" t="s">
        <v>131</v>
      </c>
      <c r="C9141" s="128" t="s">
        <v>26</v>
      </c>
      <c r="D9141" s="128" t="s">
        <v>76</v>
      </c>
      <c r="E9141" s="128" t="s">
        <v>132</v>
      </c>
      <c r="F9141" s="128">
        <v>1349948.55</v>
      </c>
      <c r="G9141" s="128">
        <v>860443.95</v>
      </c>
      <c r="H9141" s="128">
        <v>489497.75</v>
      </c>
      <c r="I9141" s="128">
        <v>15387</v>
      </c>
    </row>
    <row r="9142" spans="1:9" ht="13.5">
      <c r="A9142" s="128">
        <v>2016</v>
      </c>
      <c r="B9142" s="128" t="s">
        <v>131</v>
      </c>
      <c r="C9142" s="128" t="s">
        <v>26</v>
      </c>
      <c r="D9142" s="128" t="s">
        <v>76</v>
      </c>
      <c r="E9142" s="128" t="s">
        <v>133</v>
      </c>
      <c r="F9142" s="128">
        <v>3484590.12</v>
      </c>
      <c r="G9142" s="128">
        <v>1917710.27</v>
      </c>
      <c r="H9142" s="128">
        <v>1566878.98</v>
      </c>
      <c r="I9142" s="128">
        <v>29312</v>
      </c>
    </row>
    <row r="9143" spans="1:9" ht="13.5">
      <c r="A9143" s="128">
        <v>2016</v>
      </c>
      <c r="B9143" s="128" t="s">
        <v>131</v>
      </c>
      <c r="C9143" s="128" t="s">
        <v>26</v>
      </c>
      <c r="D9143" s="128" t="s">
        <v>76</v>
      </c>
      <c r="E9143" s="128" t="s">
        <v>134</v>
      </c>
      <c r="F9143" s="128">
        <v>2341847.7400000002</v>
      </c>
      <c r="G9143" s="128">
        <v>1066646.1299999999</v>
      </c>
      <c r="H9143" s="128">
        <v>1275198.21</v>
      </c>
      <c r="I9143" s="128">
        <v>13126</v>
      </c>
    </row>
    <row r="9144" spans="1:9" ht="13.5">
      <c r="A9144" s="128">
        <v>2016</v>
      </c>
      <c r="B9144" s="128" t="s">
        <v>131</v>
      </c>
      <c r="C9144" s="128" t="s">
        <v>26</v>
      </c>
      <c r="D9144" s="128" t="s">
        <v>76</v>
      </c>
      <c r="E9144" s="128" t="s">
        <v>135</v>
      </c>
      <c r="F9144" s="128">
        <v>301275.57</v>
      </c>
      <c r="G9144" s="128">
        <v>91055.75</v>
      </c>
      <c r="H9144" s="128">
        <v>210219.82</v>
      </c>
      <c r="I9144" s="128">
        <v>499</v>
      </c>
    </row>
    <row r="9145" spans="1:9" ht="13.5">
      <c r="A9145" s="128">
        <v>2016</v>
      </c>
      <c r="B9145" s="128" t="s">
        <v>131</v>
      </c>
      <c r="C9145" s="128" t="s">
        <v>27</v>
      </c>
      <c r="D9145" s="128" t="s">
        <v>79</v>
      </c>
      <c r="E9145" s="128" t="s">
        <v>136</v>
      </c>
      <c r="F9145" s="128">
        <v>268648.49</v>
      </c>
      <c r="G9145" s="128">
        <v>201331.99</v>
      </c>
      <c r="H9145" s="128">
        <v>66838.399999999994</v>
      </c>
      <c r="I9145" s="128">
        <v>1694</v>
      </c>
    </row>
    <row r="9146" spans="1:9" ht="13.5">
      <c r="A9146" s="128">
        <v>2016</v>
      </c>
      <c r="B9146" s="128" t="s">
        <v>131</v>
      </c>
      <c r="C9146" s="128" t="s">
        <v>27</v>
      </c>
      <c r="D9146" s="128" t="s">
        <v>79</v>
      </c>
      <c r="E9146" s="128" t="s">
        <v>132</v>
      </c>
      <c r="F9146" s="128">
        <v>101825.5</v>
      </c>
      <c r="G9146" s="128">
        <v>65074.49</v>
      </c>
      <c r="H9146" s="128">
        <v>33453.050000000003</v>
      </c>
      <c r="I9146" s="128">
        <v>631</v>
      </c>
    </row>
    <row r="9147" spans="1:9" ht="13.5">
      <c r="A9147" s="128">
        <v>2016</v>
      </c>
      <c r="B9147" s="128" t="s">
        <v>131</v>
      </c>
      <c r="C9147" s="128" t="s">
        <v>27</v>
      </c>
      <c r="D9147" s="128" t="s">
        <v>79</v>
      </c>
      <c r="E9147" s="128" t="s">
        <v>133</v>
      </c>
      <c r="F9147" s="128">
        <v>83829.850000000006</v>
      </c>
      <c r="G9147" s="128">
        <v>45183.9</v>
      </c>
      <c r="H9147" s="128">
        <v>28024.75</v>
      </c>
      <c r="I9147" s="128">
        <v>520</v>
      </c>
    </row>
    <row r="9148" spans="1:9" ht="13.5">
      <c r="A9148" s="128">
        <v>2016</v>
      </c>
      <c r="B9148" s="128" t="s">
        <v>131</v>
      </c>
      <c r="C9148" s="128" t="s">
        <v>27</v>
      </c>
      <c r="D9148" s="128" t="s">
        <v>79</v>
      </c>
      <c r="E9148" s="128" t="s">
        <v>134</v>
      </c>
      <c r="F9148" s="128">
        <v>254471.92</v>
      </c>
      <c r="G9148" s="128">
        <v>113563.81</v>
      </c>
      <c r="H9148" s="128">
        <v>115620.6</v>
      </c>
      <c r="I9148" s="128">
        <v>1285</v>
      </c>
    </row>
    <row r="9149" spans="1:9" ht="13.5">
      <c r="A9149" s="128">
        <v>2016</v>
      </c>
      <c r="B9149" s="128" t="s">
        <v>131</v>
      </c>
      <c r="C9149" s="128" t="s">
        <v>27</v>
      </c>
      <c r="D9149" s="128" t="s">
        <v>79</v>
      </c>
      <c r="E9149" s="128" t="s">
        <v>135</v>
      </c>
      <c r="F9149" s="128">
        <v>1046368.76</v>
      </c>
      <c r="G9149" s="128">
        <v>251603.83</v>
      </c>
      <c r="H9149" s="128">
        <v>93982.65</v>
      </c>
      <c r="I9149" s="128">
        <v>996</v>
      </c>
    </row>
    <row r="9150" spans="1:9" ht="13.5">
      <c r="A9150" s="128">
        <v>2016</v>
      </c>
      <c r="B9150" s="128" t="s">
        <v>131</v>
      </c>
      <c r="C9150" s="128" t="s">
        <v>27</v>
      </c>
      <c r="D9150" s="128" t="s">
        <v>77</v>
      </c>
      <c r="E9150" s="128" t="s">
        <v>132</v>
      </c>
      <c r="F9150" s="128">
        <v>28236.48</v>
      </c>
      <c r="G9150" s="128">
        <v>18602.3</v>
      </c>
      <c r="H9150" s="128">
        <v>8184.6</v>
      </c>
      <c r="I9150" s="128">
        <v>118</v>
      </c>
    </row>
    <row r="9151" spans="1:9" ht="13.5">
      <c r="A9151" s="128">
        <v>2016</v>
      </c>
      <c r="B9151" s="128" t="s">
        <v>131</v>
      </c>
      <c r="C9151" s="128" t="s">
        <v>27</v>
      </c>
      <c r="D9151" s="128" t="s">
        <v>77</v>
      </c>
      <c r="E9151" s="128" t="s">
        <v>133</v>
      </c>
      <c r="F9151" s="128">
        <v>43158.59</v>
      </c>
      <c r="G9151" s="128">
        <v>23419.8</v>
      </c>
      <c r="H9151" s="128">
        <v>17424.22</v>
      </c>
      <c r="I9151" s="128">
        <v>154</v>
      </c>
    </row>
    <row r="9152" spans="1:9" ht="13.5">
      <c r="A9152" s="128">
        <v>2016</v>
      </c>
      <c r="B9152" s="128" t="s">
        <v>131</v>
      </c>
      <c r="C9152" s="128" t="s">
        <v>27</v>
      </c>
      <c r="D9152" s="128" t="s">
        <v>77</v>
      </c>
      <c r="E9152" s="128" t="s">
        <v>134</v>
      </c>
      <c r="F9152" s="128">
        <v>152719.76999999999</v>
      </c>
      <c r="G9152" s="128">
        <v>67163.55</v>
      </c>
      <c r="H9152" s="128">
        <v>68934.179999999993</v>
      </c>
      <c r="I9152" s="128">
        <v>368</v>
      </c>
    </row>
    <row r="9153" spans="1:9" ht="13.5">
      <c r="A9153" s="128">
        <v>2016</v>
      </c>
      <c r="B9153" s="128" t="s">
        <v>131</v>
      </c>
      <c r="C9153" s="128" t="s">
        <v>27</v>
      </c>
      <c r="D9153" s="128" t="s">
        <v>77</v>
      </c>
      <c r="E9153" s="128" t="s">
        <v>135</v>
      </c>
      <c r="F9153" s="128">
        <v>419254.82</v>
      </c>
      <c r="G9153" s="128">
        <v>120566.55</v>
      </c>
      <c r="H9153" s="128">
        <v>135497.79999999999</v>
      </c>
      <c r="I9153" s="128">
        <v>1831</v>
      </c>
    </row>
    <row r="9154" spans="1:9" ht="13.5">
      <c r="A9154" s="128">
        <v>2016</v>
      </c>
      <c r="B9154" s="128" t="s">
        <v>131</v>
      </c>
      <c r="C9154" s="128" t="s">
        <v>27</v>
      </c>
      <c r="D9154" s="128" t="s">
        <v>76</v>
      </c>
      <c r="E9154" s="128" t="s">
        <v>136</v>
      </c>
      <c r="F9154" s="128">
        <v>218436.8</v>
      </c>
      <c r="G9154" s="128">
        <v>164037</v>
      </c>
      <c r="H9154" s="128">
        <v>54399.8</v>
      </c>
      <c r="I9154" s="128">
        <v>2288</v>
      </c>
    </row>
    <row r="9155" spans="1:9" ht="13.5">
      <c r="A9155" s="128">
        <v>2016</v>
      </c>
      <c r="B9155" s="128" t="s">
        <v>131</v>
      </c>
      <c r="C9155" s="128" t="s">
        <v>27</v>
      </c>
      <c r="D9155" s="128" t="s">
        <v>76</v>
      </c>
      <c r="E9155" s="128" t="s">
        <v>132</v>
      </c>
      <c r="F9155" s="128">
        <v>482914.19</v>
      </c>
      <c r="G9155" s="128">
        <v>309656.45</v>
      </c>
      <c r="H9155" s="128">
        <v>173255.1</v>
      </c>
      <c r="I9155" s="128">
        <v>3646</v>
      </c>
    </row>
    <row r="9156" spans="1:9" ht="13.5">
      <c r="A9156" s="128">
        <v>2016</v>
      </c>
      <c r="B9156" s="128" t="s">
        <v>131</v>
      </c>
      <c r="C9156" s="128" t="s">
        <v>27</v>
      </c>
      <c r="D9156" s="128" t="s">
        <v>76</v>
      </c>
      <c r="E9156" s="128" t="s">
        <v>133</v>
      </c>
      <c r="F9156" s="128">
        <v>1285152.25</v>
      </c>
      <c r="G9156" s="128">
        <v>696836.24</v>
      </c>
      <c r="H9156" s="128">
        <v>588312.91</v>
      </c>
      <c r="I9156" s="128">
        <v>6153</v>
      </c>
    </row>
    <row r="9157" spans="1:9" ht="13.5">
      <c r="A9157" s="128">
        <v>2016</v>
      </c>
      <c r="B9157" s="128" t="s">
        <v>131</v>
      </c>
      <c r="C9157" s="128" t="s">
        <v>27</v>
      </c>
      <c r="D9157" s="128" t="s">
        <v>76</v>
      </c>
      <c r="E9157" s="128" t="s">
        <v>134</v>
      </c>
      <c r="F9157" s="128">
        <v>2014066.26</v>
      </c>
      <c r="G9157" s="128">
        <v>922484.55</v>
      </c>
      <c r="H9157" s="128">
        <v>1091573.21</v>
      </c>
      <c r="I9157" s="128">
        <v>9594</v>
      </c>
    </row>
    <row r="9158" spans="1:9" ht="13.5">
      <c r="A9158" s="128">
        <v>2016</v>
      </c>
      <c r="B9158" s="128" t="s">
        <v>131</v>
      </c>
      <c r="C9158" s="128" t="s">
        <v>27</v>
      </c>
      <c r="D9158" s="128" t="s">
        <v>76</v>
      </c>
      <c r="E9158" s="128" t="s">
        <v>135</v>
      </c>
      <c r="F9158" s="128">
        <v>51196.84</v>
      </c>
      <c r="G9158" s="128">
        <v>15375.89</v>
      </c>
      <c r="H9158" s="128">
        <v>35820.949999999997</v>
      </c>
      <c r="I9158" s="128">
        <v>87</v>
      </c>
    </row>
    <row r="9159" spans="1:9" ht="13.5">
      <c r="A9159" s="128">
        <v>2016</v>
      </c>
      <c r="B9159" s="128" t="s">
        <v>138</v>
      </c>
      <c r="C9159" s="128" t="s">
        <v>20</v>
      </c>
      <c r="D9159" s="128" t="s">
        <v>79</v>
      </c>
      <c r="E9159" s="128" t="s">
        <v>136</v>
      </c>
      <c r="F9159" s="128">
        <v>37508547.310000002</v>
      </c>
      <c r="G9159" s="128">
        <v>28151098.82</v>
      </c>
      <c r="H9159" s="128">
        <v>9353722.0800000001</v>
      </c>
      <c r="I9159" s="128">
        <v>494533</v>
      </c>
    </row>
    <row r="9160" spans="1:9" ht="13.5">
      <c r="A9160" s="128">
        <v>2016</v>
      </c>
      <c r="B9160" s="128" t="s">
        <v>138</v>
      </c>
      <c r="C9160" s="128" t="s">
        <v>20</v>
      </c>
      <c r="D9160" s="128" t="s">
        <v>79</v>
      </c>
      <c r="E9160" s="128" t="s">
        <v>132</v>
      </c>
      <c r="F9160" s="128">
        <v>5016192.63</v>
      </c>
      <c r="G9160" s="128">
        <v>3298218.11</v>
      </c>
      <c r="H9160" s="128">
        <v>1412009.41</v>
      </c>
      <c r="I9160" s="128">
        <v>29502</v>
      </c>
    </row>
    <row r="9161" spans="1:9" ht="13.5">
      <c r="A9161" s="128">
        <v>2016</v>
      </c>
      <c r="B9161" s="128" t="s">
        <v>138</v>
      </c>
      <c r="C9161" s="128" t="s">
        <v>20</v>
      </c>
      <c r="D9161" s="128" t="s">
        <v>79</v>
      </c>
      <c r="E9161" s="128" t="s">
        <v>133</v>
      </c>
      <c r="F9161" s="128">
        <v>4840732.41</v>
      </c>
      <c r="G9161" s="128">
        <v>2624915.12</v>
      </c>
      <c r="H9161" s="128">
        <v>1655019.23</v>
      </c>
      <c r="I9161" s="128">
        <v>39745</v>
      </c>
    </row>
    <row r="9162" spans="1:9" ht="13.5">
      <c r="A9162" s="128">
        <v>2016</v>
      </c>
      <c r="B9162" s="128" t="s">
        <v>138</v>
      </c>
      <c r="C9162" s="128" t="s">
        <v>20</v>
      </c>
      <c r="D9162" s="128" t="s">
        <v>79</v>
      </c>
      <c r="E9162" s="128" t="s">
        <v>134</v>
      </c>
      <c r="F9162" s="128">
        <v>12273326.220000001</v>
      </c>
      <c r="G9162" s="128">
        <v>5356200.6399999997</v>
      </c>
      <c r="H9162" s="128">
        <v>3501312.69</v>
      </c>
      <c r="I9162" s="128">
        <v>56293</v>
      </c>
    </row>
    <row r="9163" spans="1:9" ht="13.5">
      <c r="A9163" s="128">
        <v>2016</v>
      </c>
      <c r="B9163" s="128" t="s">
        <v>138</v>
      </c>
      <c r="C9163" s="128" t="s">
        <v>20</v>
      </c>
      <c r="D9163" s="128" t="s">
        <v>79</v>
      </c>
      <c r="E9163" s="128" t="s">
        <v>135</v>
      </c>
      <c r="F9163" s="128">
        <v>91719454.340000004</v>
      </c>
      <c r="G9163" s="128">
        <v>20667795.07</v>
      </c>
      <c r="H9163" s="128">
        <v>7262458.0599999996</v>
      </c>
      <c r="I9163" s="128">
        <v>106199</v>
      </c>
    </row>
    <row r="9164" spans="1:9" ht="13.5">
      <c r="A9164" s="128">
        <v>2016</v>
      </c>
      <c r="B9164" s="128" t="s">
        <v>138</v>
      </c>
      <c r="C9164" s="128" t="s">
        <v>20</v>
      </c>
      <c r="D9164" s="128" t="s">
        <v>77</v>
      </c>
      <c r="E9164" s="128" t="s">
        <v>132</v>
      </c>
      <c r="F9164" s="128">
        <v>2781246.06</v>
      </c>
      <c r="G9164" s="128">
        <v>1772497.97</v>
      </c>
      <c r="H9164" s="128">
        <v>912669.44</v>
      </c>
      <c r="I9164" s="128">
        <v>13893</v>
      </c>
    </row>
    <row r="9165" spans="1:9" ht="13.5">
      <c r="A9165" s="128">
        <v>2016</v>
      </c>
      <c r="B9165" s="128" t="s">
        <v>138</v>
      </c>
      <c r="C9165" s="128" t="s">
        <v>20</v>
      </c>
      <c r="D9165" s="128" t="s">
        <v>77</v>
      </c>
      <c r="E9165" s="128" t="s">
        <v>133</v>
      </c>
      <c r="F9165" s="128">
        <v>5111723.59</v>
      </c>
      <c r="G9165" s="128">
        <v>2773110.62</v>
      </c>
      <c r="H9165" s="128">
        <v>2060505.83</v>
      </c>
      <c r="I9165" s="128">
        <v>16851</v>
      </c>
    </row>
    <row r="9166" spans="1:9" ht="13.5">
      <c r="A9166" s="128">
        <v>2016</v>
      </c>
      <c r="B9166" s="128" t="s">
        <v>138</v>
      </c>
      <c r="C9166" s="128" t="s">
        <v>20</v>
      </c>
      <c r="D9166" s="128" t="s">
        <v>77</v>
      </c>
      <c r="E9166" s="128" t="s">
        <v>134</v>
      </c>
      <c r="F9166" s="128">
        <v>12985330.68</v>
      </c>
      <c r="G9166" s="128">
        <v>5652318.2599999998</v>
      </c>
      <c r="H9166" s="128">
        <v>5745913.0999999996</v>
      </c>
      <c r="I9166" s="128">
        <v>30470</v>
      </c>
    </row>
    <row r="9167" spans="1:9" ht="13.5">
      <c r="A9167" s="128">
        <v>2016</v>
      </c>
      <c r="B9167" s="128" t="s">
        <v>138</v>
      </c>
      <c r="C9167" s="128" t="s">
        <v>20</v>
      </c>
      <c r="D9167" s="128" t="s">
        <v>77</v>
      </c>
      <c r="E9167" s="128" t="s">
        <v>135</v>
      </c>
      <c r="F9167" s="128">
        <v>32052333.899999999</v>
      </c>
      <c r="G9167" s="128">
        <v>8463838.8399999999</v>
      </c>
      <c r="H9167" s="128">
        <v>10040481.68</v>
      </c>
      <c r="I9167" s="128">
        <v>116825</v>
      </c>
    </row>
    <row r="9168" spans="1:9" ht="13.5">
      <c r="A9168" s="128">
        <v>2016</v>
      </c>
      <c r="B9168" s="128" t="s">
        <v>138</v>
      </c>
      <c r="C9168" s="128" t="s">
        <v>20</v>
      </c>
      <c r="D9168" s="128" t="s">
        <v>76</v>
      </c>
      <c r="E9168" s="128" t="s">
        <v>136</v>
      </c>
      <c r="F9168" s="128">
        <v>19604334.899999999</v>
      </c>
      <c r="G9168" s="128">
        <v>14724633.560000001</v>
      </c>
      <c r="H9168" s="128">
        <v>4879762.09</v>
      </c>
      <c r="I9168" s="128">
        <v>532569</v>
      </c>
    </row>
    <row r="9169" spans="1:9" ht="13.5">
      <c r="A9169" s="128">
        <v>2016</v>
      </c>
      <c r="B9169" s="128" t="s">
        <v>138</v>
      </c>
      <c r="C9169" s="128" t="s">
        <v>20</v>
      </c>
      <c r="D9169" s="128" t="s">
        <v>76</v>
      </c>
      <c r="E9169" s="128" t="s">
        <v>132</v>
      </c>
      <c r="F9169" s="128">
        <v>49288766.600000001</v>
      </c>
      <c r="G9169" s="128">
        <v>31277094.050000001</v>
      </c>
      <c r="H9169" s="128">
        <v>18011632.41</v>
      </c>
      <c r="I9169" s="128">
        <v>517573</v>
      </c>
    </row>
    <row r="9170" spans="1:9" ht="13.5">
      <c r="A9170" s="128">
        <v>2016</v>
      </c>
      <c r="B9170" s="128" t="s">
        <v>138</v>
      </c>
      <c r="C9170" s="128" t="s">
        <v>20</v>
      </c>
      <c r="D9170" s="128" t="s">
        <v>76</v>
      </c>
      <c r="E9170" s="128" t="s">
        <v>133</v>
      </c>
      <c r="F9170" s="128">
        <v>90412815.370000005</v>
      </c>
      <c r="G9170" s="128">
        <v>49546998.710000001</v>
      </c>
      <c r="H9170" s="128">
        <v>40865799.68</v>
      </c>
      <c r="I9170" s="128">
        <v>552865</v>
      </c>
    </row>
    <row r="9171" spans="1:9" ht="13.5">
      <c r="A9171" s="128">
        <v>2016</v>
      </c>
      <c r="B9171" s="128" t="s">
        <v>138</v>
      </c>
      <c r="C9171" s="128" t="s">
        <v>20</v>
      </c>
      <c r="D9171" s="128" t="s">
        <v>76</v>
      </c>
      <c r="E9171" s="128" t="s">
        <v>134</v>
      </c>
      <c r="F9171" s="128">
        <v>102750602.29000001</v>
      </c>
      <c r="G9171" s="128">
        <v>47013634.259999998</v>
      </c>
      <c r="H9171" s="128">
        <v>55736907.32</v>
      </c>
      <c r="I9171" s="128">
        <v>553698</v>
      </c>
    </row>
    <row r="9172" spans="1:9" ht="13.5">
      <c r="A9172" s="128">
        <v>2016</v>
      </c>
      <c r="B9172" s="128" t="s">
        <v>138</v>
      </c>
      <c r="C9172" s="128" t="s">
        <v>20</v>
      </c>
      <c r="D9172" s="128" t="s">
        <v>76</v>
      </c>
      <c r="E9172" s="128" t="s">
        <v>135</v>
      </c>
      <c r="F9172" s="128">
        <v>7418782.0700000003</v>
      </c>
      <c r="G9172" s="128">
        <v>2184240.58</v>
      </c>
      <c r="H9172" s="128">
        <v>5234541.92</v>
      </c>
      <c r="I9172" s="128">
        <v>17185</v>
      </c>
    </row>
    <row r="9173" spans="1:9" ht="13.5">
      <c r="A9173" s="128">
        <v>2016</v>
      </c>
      <c r="B9173" s="128" t="s">
        <v>138</v>
      </c>
      <c r="C9173" s="128" t="s">
        <v>21</v>
      </c>
      <c r="D9173" s="128" t="s">
        <v>79</v>
      </c>
      <c r="E9173" s="128" t="s">
        <v>136</v>
      </c>
      <c r="F9173" s="128">
        <v>10979323.82</v>
      </c>
      <c r="G9173" s="128">
        <v>8228804.75</v>
      </c>
      <c r="H9173" s="128">
        <v>2731445.24</v>
      </c>
      <c r="I9173" s="128">
        <v>204520</v>
      </c>
    </row>
    <row r="9174" spans="1:9" ht="13.5">
      <c r="A9174" s="128">
        <v>2016</v>
      </c>
      <c r="B9174" s="128" t="s">
        <v>138</v>
      </c>
      <c r="C9174" s="128" t="s">
        <v>21</v>
      </c>
      <c r="D9174" s="128" t="s">
        <v>79</v>
      </c>
      <c r="E9174" s="128" t="s">
        <v>132</v>
      </c>
      <c r="F9174" s="128">
        <v>2513221.86</v>
      </c>
      <c r="G9174" s="128">
        <v>1644659.05</v>
      </c>
      <c r="H9174" s="128">
        <v>653528.98</v>
      </c>
      <c r="I9174" s="128">
        <v>11890</v>
      </c>
    </row>
    <row r="9175" spans="1:9" ht="13.5">
      <c r="A9175" s="128">
        <v>2016</v>
      </c>
      <c r="B9175" s="128" t="s">
        <v>138</v>
      </c>
      <c r="C9175" s="128" t="s">
        <v>21</v>
      </c>
      <c r="D9175" s="128" t="s">
        <v>79</v>
      </c>
      <c r="E9175" s="128" t="s">
        <v>133</v>
      </c>
      <c r="F9175" s="128">
        <v>4826770.01</v>
      </c>
      <c r="G9175" s="128">
        <v>2628382.06</v>
      </c>
      <c r="H9175" s="128">
        <v>1654301.98</v>
      </c>
      <c r="I9175" s="128">
        <v>58726</v>
      </c>
    </row>
    <row r="9176" spans="1:9" ht="13.5">
      <c r="A9176" s="128">
        <v>2016</v>
      </c>
      <c r="B9176" s="128" t="s">
        <v>138</v>
      </c>
      <c r="C9176" s="128" t="s">
        <v>21</v>
      </c>
      <c r="D9176" s="128" t="s">
        <v>79</v>
      </c>
      <c r="E9176" s="128" t="s">
        <v>134</v>
      </c>
      <c r="F9176" s="128">
        <v>9287342.75</v>
      </c>
      <c r="G9176" s="128">
        <v>3961781.27</v>
      </c>
      <c r="H9176" s="128">
        <v>3459236.88</v>
      </c>
      <c r="I9176" s="128">
        <v>55812</v>
      </c>
    </row>
    <row r="9177" spans="1:9" ht="13.5">
      <c r="A9177" s="128">
        <v>2016</v>
      </c>
      <c r="B9177" s="128" t="s">
        <v>138</v>
      </c>
      <c r="C9177" s="128" t="s">
        <v>21</v>
      </c>
      <c r="D9177" s="128" t="s">
        <v>79</v>
      </c>
      <c r="E9177" s="128" t="s">
        <v>135</v>
      </c>
      <c r="F9177" s="128">
        <v>25577922.120000001</v>
      </c>
      <c r="G9177" s="128">
        <v>6297906.7699999996</v>
      </c>
      <c r="H9177" s="128">
        <v>2565142.87</v>
      </c>
      <c r="I9177" s="128">
        <v>53194</v>
      </c>
    </row>
    <row r="9178" spans="1:9" ht="13.5">
      <c r="A9178" s="128">
        <v>2016</v>
      </c>
      <c r="B9178" s="128" t="s">
        <v>138</v>
      </c>
      <c r="C9178" s="128" t="s">
        <v>21</v>
      </c>
      <c r="D9178" s="128" t="s">
        <v>77</v>
      </c>
      <c r="E9178" s="128" t="s">
        <v>132</v>
      </c>
      <c r="F9178" s="128">
        <v>3500923.54</v>
      </c>
      <c r="G9178" s="128">
        <v>2296752.5099999998</v>
      </c>
      <c r="H9178" s="128">
        <v>1048696.22</v>
      </c>
      <c r="I9178" s="128">
        <v>21775</v>
      </c>
    </row>
    <row r="9179" spans="1:9" ht="13.5">
      <c r="A9179" s="128">
        <v>2016</v>
      </c>
      <c r="B9179" s="128" t="s">
        <v>138</v>
      </c>
      <c r="C9179" s="128" t="s">
        <v>21</v>
      </c>
      <c r="D9179" s="128" t="s">
        <v>77</v>
      </c>
      <c r="E9179" s="128" t="s">
        <v>133</v>
      </c>
      <c r="F9179" s="128">
        <v>5988477.8200000003</v>
      </c>
      <c r="G9179" s="128">
        <v>3265740.87</v>
      </c>
      <c r="H9179" s="128">
        <v>2205923.9500000002</v>
      </c>
      <c r="I9179" s="128">
        <v>21742</v>
      </c>
    </row>
    <row r="9180" spans="1:9" ht="13.5">
      <c r="A9180" s="128">
        <v>2016</v>
      </c>
      <c r="B9180" s="128" t="s">
        <v>138</v>
      </c>
      <c r="C9180" s="128" t="s">
        <v>21</v>
      </c>
      <c r="D9180" s="128" t="s">
        <v>77</v>
      </c>
      <c r="E9180" s="128" t="s">
        <v>134</v>
      </c>
      <c r="F9180" s="128">
        <v>12683951.42</v>
      </c>
      <c r="G9180" s="128">
        <v>5489618.1299999999</v>
      </c>
      <c r="H9180" s="128">
        <v>5078808.24</v>
      </c>
      <c r="I9180" s="128">
        <v>31843</v>
      </c>
    </row>
    <row r="9181" spans="1:9" ht="13.5">
      <c r="A9181" s="128">
        <v>2016</v>
      </c>
      <c r="B9181" s="128" t="s">
        <v>138</v>
      </c>
      <c r="C9181" s="128" t="s">
        <v>21</v>
      </c>
      <c r="D9181" s="128" t="s">
        <v>77</v>
      </c>
      <c r="E9181" s="128" t="s">
        <v>135</v>
      </c>
      <c r="F9181" s="128">
        <v>23643421.629999999</v>
      </c>
      <c r="G9181" s="128">
        <v>6873750.3300000001</v>
      </c>
      <c r="H9181" s="128">
        <v>7942688.6699999999</v>
      </c>
      <c r="I9181" s="128">
        <v>95052</v>
      </c>
    </row>
    <row r="9182" spans="1:9" ht="13.5">
      <c r="A9182" s="128">
        <v>2016</v>
      </c>
      <c r="B9182" s="128" t="s">
        <v>138</v>
      </c>
      <c r="C9182" s="128" t="s">
        <v>21</v>
      </c>
      <c r="D9182" s="128" t="s">
        <v>76</v>
      </c>
      <c r="E9182" s="128" t="s">
        <v>136</v>
      </c>
      <c r="F9182" s="128">
        <v>17474176.73</v>
      </c>
      <c r="G9182" s="128">
        <v>13142285.939999999</v>
      </c>
      <c r="H9182" s="128">
        <v>4331922.63</v>
      </c>
      <c r="I9182" s="128">
        <v>277664</v>
      </c>
    </row>
    <row r="9183" spans="1:9" ht="13.5">
      <c r="A9183" s="128">
        <v>2016</v>
      </c>
      <c r="B9183" s="128" t="s">
        <v>138</v>
      </c>
      <c r="C9183" s="128" t="s">
        <v>21</v>
      </c>
      <c r="D9183" s="128" t="s">
        <v>76</v>
      </c>
      <c r="E9183" s="128" t="s">
        <v>132</v>
      </c>
      <c r="F9183" s="128">
        <v>43347136.520000003</v>
      </c>
      <c r="G9183" s="128">
        <v>27552535.489999998</v>
      </c>
      <c r="H9183" s="128">
        <v>15794538.9</v>
      </c>
      <c r="I9183" s="128">
        <v>365803</v>
      </c>
    </row>
    <row r="9184" spans="1:9" ht="13.5">
      <c r="A9184" s="128">
        <v>2016</v>
      </c>
      <c r="B9184" s="128" t="s">
        <v>138</v>
      </c>
      <c r="C9184" s="128" t="s">
        <v>21</v>
      </c>
      <c r="D9184" s="128" t="s">
        <v>76</v>
      </c>
      <c r="E9184" s="128" t="s">
        <v>133</v>
      </c>
      <c r="F9184" s="128">
        <v>99746353.469999999</v>
      </c>
      <c r="G9184" s="128">
        <v>54728271.549999997</v>
      </c>
      <c r="H9184" s="128">
        <v>45018039.75</v>
      </c>
      <c r="I9184" s="128">
        <v>665424</v>
      </c>
    </row>
    <row r="9185" spans="1:9" ht="13.5">
      <c r="A9185" s="128">
        <v>2016</v>
      </c>
      <c r="B9185" s="128" t="s">
        <v>138</v>
      </c>
      <c r="C9185" s="128" t="s">
        <v>21</v>
      </c>
      <c r="D9185" s="128" t="s">
        <v>76</v>
      </c>
      <c r="E9185" s="128" t="s">
        <v>134</v>
      </c>
      <c r="F9185" s="128">
        <v>99941580.420000002</v>
      </c>
      <c r="G9185" s="128">
        <v>44824098.090000004</v>
      </c>
      <c r="H9185" s="128">
        <v>55117445.810000002</v>
      </c>
      <c r="I9185" s="128">
        <v>519985</v>
      </c>
    </row>
    <row r="9186" spans="1:9" ht="13.5">
      <c r="A9186" s="128">
        <v>2016</v>
      </c>
      <c r="B9186" s="128" t="s">
        <v>138</v>
      </c>
      <c r="C9186" s="128" t="s">
        <v>21</v>
      </c>
      <c r="D9186" s="128" t="s">
        <v>76</v>
      </c>
      <c r="E9186" s="128" t="s">
        <v>135</v>
      </c>
      <c r="F9186" s="128">
        <v>3650838.7</v>
      </c>
      <c r="G9186" s="128">
        <v>946804.07</v>
      </c>
      <c r="H9186" s="128">
        <v>2704034.63</v>
      </c>
      <c r="I9186" s="128">
        <v>4404</v>
      </c>
    </row>
    <row r="9187" spans="1:9" ht="13.5">
      <c r="A9187" s="128">
        <v>2016</v>
      </c>
      <c r="B9187" s="128" t="s">
        <v>138</v>
      </c>
      <c r="C9187" s="128" t="s">
        <v>22</v>
      </c>
      <c r="D9187" s="128" t="s">
        <v>79</v>
      </c>
      <c r="E9187" s="128" t="s">
        <v>136</v>
      </c>
      <c r="F9187" s="128">
        <v>7623342.1399999997</v>
      </c>
      <c r="G9187" s="128">
        <v>5712550.2999999998</v>
      </c>
      <c r="H9187" s="128">
        <v>1894999.41</v>
      </c>
      <c r="I9187" s="128">
        <v>92821</v>
      </c>
    </row>
    <row r="9188" spans="1:9" ht="13.5">
      <c r="A9188" s="128">
        <v>2016</v>
      </c>
      <c r="B9188" s="128" t="s">
        <v>138</v>
      </c>
      <c r="C9188" s="128" t="s">
        <v>22</v>
      </c>
      <c r="D9188" s="128" t="s">
        <v>79</v>
      </c>
      <c r="E9188" s="128" t="s">
        <v>132</v>
      </c>
      <c r="F9188" s="128">
        <v>5660462.5599999996</v>
      </c>
      <c r="G9188" s="128">
        <v>3701563.72</v>
      </c>
      <c r="H9188" s="128">
        <v>1667403.33</v>
      </c>
      <c r="I9188" s="128">
        <v>46828</v>
      </c>
    </row>
    <row r="9189" spans="1:9" ht="13.5">
      <c r="A9189" s="128">
        <v>2016</v>
      </c>
      <c r="B9189" s="128" t="s">
        <v>138</v>
      </c>
      <c r="C9189" s="128" t="s">
        <v>22</v>
      </c>
      <c r="D9189" s="128" t="s">
        <v>79</v>
      </c>
      <c r="E9189" s="128" t="s">
        <v>133</v>
      </c>
      <c r="F9189" s="128">
        <v>5140804.9800000004</v>
      </c>
      <c r="G9189" s="128">
        <v>2754096.8</v>
      </c>
      <c r="H9189" s="128">
        <v>1636661.34</v>
      </c>
      <c r="I9189" s="128">
        <v>55973</v>
      </c>
    </row>
    <row r="9190" spans="1:9" ht="13.5">
      <c r="A9190" s="128">
        <v>2016</v>
      </c>
      <c r="B9190" s="128" t="s">
        <v>138</v>
      </c>
      <c r="C9190" s="128" t="s">
        <v>22</v>
      </c>
      <c r="D9190" s="128" t="s">
        <v>79</v>
      </c>
      <c r="E9190" s="128" t="s">
        <v>134</v>
      </c>
      <c r="F9190" s="128">
        <v>10060916.77</v>
      </c>
      <c r="G9190" s="128">
        <v>4398527.82</v>
      </c>
      <c r="H9190" s="128">
        <v>3613023.56</v>
      </c>
      <c r="I9190" s="128">
        <v>51520</v>
      </c>
    </row>
    <row r="9191" spans="1:9" ht="13.5">
      <c r="A9191" s="128">
        <v>2016</v>
      </c>
      <c r="B9191" s="128" t="s">
        <v>138</v>
      </c>
      <c r="C9191" s="128" t="s">
        <v>22</v>
      </c>
      <c r="D9191" s="128" t="s">
        <v>79</v>
      </c>
      <c r="E9191" s="128" t="s">
        <v>135</v>
      </c>
      <c r="F9191" s="128">
        <v>39218714.880000003</v>
      </c>
      <c r="G9191" s="128">
        <v>9628895.9100000001</v>
      </c>
      <c r="H9191" s="128">
        <v>3463248.24</v>
      </c>
      <c r="I9191" s="128">
        <v>48852</v>
      </c>
    </row>
    <row r="9192" spans="1:9" ht="13.5">
      <c r="A9192" s="128">
        <v>2016</v>
      </c>
      <c r="B9192" s="128" t="s">
        <v>138</v>
      </c>
      <c r="C9192" s="128" t="s">
        <v>22</v>
      </c>
      <c r="D9192" s="128" t="s">
        <v>77</v>
      </c>
      <c r="E9192" s="128" t="s">
        <v>132</v>
      </c>
      <c r="F9192" s="128">
        <v>1495224.21</v>
      </c>
      <c r="G9192" s="128">
        <v>958721.16</v>
      </c>
      <c r="H9192" s="128">
        <v>473586.54</v>
      </c>
      <c r="I9192" s="128">
        <v>7382</v>
      </c>
    </row>
    <row r="9193" spans="1:9" ht="13.5">
      <c r="A9193" s="128">
        <v>2016</v>
      </c>
      <c r="B9193" s="128" t="s">
        <v>138</v>
      </c>
      <c r="C9193" s="128" t="s">
        <v>22</v>
      </c>
      <c r="D9193" s="128" t="s">
        <v>77</v>
      </c>
      <c r="E9193" s="128" t="s">
        <v>133</v>
      </c>
      <c r="F9193" s="128">
        <v>2523980.25</v>
      </c>
      <c r="G9193" s="128">
        <v>1359915.79</v>
      </c>
      <c r="H9193" s="128">
        <v>972709.5</v>
      </c>
      <c r="I9193" s="128">
        <v>10039</v>
      </c>
    </row>
    <row r="9194" spans="1:9" ht="13.5">
      <c r="A9194" s="128">
        <v>2016</v>
      </c>
      <c r="B9194" s="128" t="s">
        <v>138</v>
      </c>
      <c r="C9194" s="128" t="s">
        <v>22</v>
      </c>
      <c r="D9194" s="128" t="s">
        <v>77</v>
      </c>
      <c r="E9194" s="128" t="s">
        <v>134</v>
      </c>
      <c r="F9194" s="128">
        <v>9233509.4499999993</v>
      </c>
      <c r="G9194" s="128">
        <v>3941996.72</v>
      </c>
      <c r="H9194" s="128">
        <v>3870518.37</v>
      </c>
      <c r="I9194" s="128">
        <v>17049</v>
      </c>
    </row>
    <row r="9195" spans="1:9" ht="13.5">
      <c r="A9195" s="128">
        <v>2016</v>
      </c>
      <c r="B9195" s="128" t="s">
        <v>138</v>
      </c>
      <c r="C9195" s="128" t="s">
        <v>22</v>
      </c>
      <c r="D9195" s="128" t="s">
        <v>77</v>
      </c>
      <c r="E9195" s="128" t="s">
        <v>135</v>
      </c>
      <c r="F9195" s="128">
        <v>20207813.010000002</v>
      </c>
      <c r="G9195" s="128">
        <v>5668707.6699999999</v>
      </c>
      <c r="H9195" s="128">
        <v>6453222.96</v>
      </c>
      <c r="I9195" s="128">
        <v>54455</v>
      </c>
    </row>
    <row r="9196" spans="1:9" ht="13.5">
      <c r="A9196" s="128">
        <v>2016</v>
      </c>
      <c r="B9196" s="128" t="s">
        <v>138</v>
      </c>
      <c r="C9196" s="128" t="s">
        <v>22</v>
      </c>
      <c r="D9196" s="128" t="s">
        <v>76</v>
      </c>
      <c r="E9196" s="128" t="s">
        <v>136</v>
      </c>
      <c r="F9196" s="128">
        <v>12768387.689999999</v>
      </c>
      <c r="G9196" s="128">
        <v>9583695.75</v>
      </c>
      <c r="H9196" s="128">
        <v>3184687.14</v>
      </c>
      <c r="I9196" s="128">
        <v>200277</v>
      </c>
    </row>
    <row r="9197" spans="1:9" ht="13.5">
      <c r="A9197" s="128">
        <v>2016</v>
      </c>
      <c r="B9197" s="128" t="s">
        <v>138</v>
      </c>
      <c r="C9197" s="128" t="s">
        <v>22</v>
      </c>
      <c r="D9197" s="128" t="s">
        <v>76</v>
      </c>
      <c r="E9197" s="128" t="s">
        <v>132</v>
      </c>
      <c r="F9197" s="128">
        <v>37840516.289999999</v>
      </c>
      <c r="G9197" s="128">
        <v>24100620.420000002</v>
      </c>
      <c r="H9197" s="128">
        <v>13739838.609999999</v>
      </c>
      <c r="I9197" s="128">
        <v>350575</v>
      </c>
    </row>
    <row r="9198" spans="1:9" ht="13.5">
      <c r="A9198" s="128">
        <v>2016</v>
      </c>
      <c r="B9198" s="128" t="s">
        <v>138</v>
      </c>
      <c r="C9198" s="128" t="s">
        <v>22</v>
      </c>
      <c r="D9198" s="128" t="s">
        <v>76</v>
      </c>
      <c r="E9198" s="128" t="s">
        <v>133</v>
      </c>
      <c r="F9198" s="128">
        <v>72270726.659999996</v>
      </c>
      <c r="G9198" s="128">
        <v>39862486.890000001</v>
      </c>
      <c r="H9198" s="128">
        <v>32407769.98</v>
      </c>
      <c r="I9198" s="128">
        <v>567098</v>
      </c>
    </row>
    <row r="9199" spans="1:9" ht="13.5">
      <c r="A9199" s="128">
        <v>2016</v>
      </c>
      <c r="B9199" s="128" t="s">
        <v>138</v>
      </c>
      <c r="C9199" s="128" t="s">
        <v>22</v>
      </c>
      <c r="D9199" s="128" t="s">
        <v>76</v>
      </c>
      <c r="E9199" s="128" t="s">
        <v>134</v>
      </c>
      <c r="F9199" s="128">
        <v>67869436.659999996</v>
      </c>
      <c r="G9199" s="128">
        <v>31050408.010000002</v>
      </c>
      <c r="H9199" s="128">
        <v>36818727.710000001</v>
      </c>
      <c r="I9199" s="128">
        <v>424521</v>
      </c>
    </row>
    <row r="9200" spans="1:9" ht="13.5">
      <c r="A9200" s="128">
        <v>2016</v>
      </c>
      <c r="B9200" s="128" t="s">
        <v>138</v>
      </c>
      <c r="C9200" s="128" t="s">
        <v>22</v>
      </c>
      <c r="D9200" s="128" t="s">
        <v>76</v>
      </c>
      <c r="E9200" s="128" t="s">
        <v>135</v>
      </c>
      <c r="F9200" s="128">
        <v>6130097.5199999996</v>
      </c>
      <c r="G9200" s="128">
        <v>1775182.72</v>
      </c>
      <c r="H9200" s="128">
        <v>4354913.2</v>
      </c>
      <c r="I9200" s="128">
        <v>7711</v>
      </c>
    </row>
    <row r="9201" spans="1:9" ht="13.5">
      <c r="A9201" s="128">
        <v>2016</v>
      </c>
      <c r="B9201" s="128" t="s">
        <v>138</v>
      </c>
      <c r="C9201" s="128" t="s">
        <v>23</v>
      </c>
      <c r="D9201" s="128" t="s">
        <v>79</v>
      </c>
      <c r="E9201" s="128" t="s">
        <v>136</v>
      </c>
      <c r="F9201" s="128">
        <v>2295787.91</v>
      </c>
      <c r="G9201" s="128">
        <v>1713961.25</v>
      </c>
      <c r="H9201" s="128">
        <v>570625.81000000006</v>
      </c>
      <c r="I9201" s="128">
        <v>23259</v>
      </c>
    </row>
    <row r="9202" spans="1:9" ht="13.5">
      <c r="A9202" s="128">
        <v>2016</v>
      </c>
      <c r="B9202" s="128" t="s">
        <v>138</v>
      </c>
      <c r="C9202" s="128" t="s">
        <v>23</v>
      </c>
      <c r="D9202" s="128" t="s">
        <v>79</v>
      </c>
      <c r="E9202" s="128" t="s">
        <v>132</v>
      </c>
      <c r="F9202" s="128">
        <v>1003241.15</v>
      </c>
      <c r="G9202" s="128">
        <v>645293.81999999995</v>
      </c>
      <c r="H9202" s="128">
        <v>295985.15999999997</v>
      </c>
      <c r="I9202" s="128">
        <v>5646</v>
      </c>
    </row>
    <row r="9203" spans="1:9" ht="13.5">
      <c r="A9203" s="128">
        <v>2016</v>
      </c>
      <c r="B9203" s="128" t="s">
        <v>138</v>
      </c>
      <c r="C9203" s="128" t="s">
        <v>23</v>
      </c>
      <c r="D9203" s="128" t="s">
        <v>79</v>
      </c>
      <c r="E9203" s="128" t="s">
        <v>133</v>
      </c>
      <c r="F9203" s="128">
        <v>2795001.25</v>
      </c>
      <c r="G9203" s="128">
        <v>1563854.61</v>
      </c>
      <c r="H9203" s="128">
        <v>1165622.45</v>
      </c>
      <c r="I9203" s="128">
        <v>35310</v>
      </c>
    </row>
    <row r="9204" spans="1:9" ht="13.5">
      <c r="A9204" s="128">
        <v>2016</v>
      </c>
      <c r="B9204" s="128" t="s">
        <v>138</v>
      </c>
      <c r="C9204" s="128" t="s">
        <v>23</v>
      </c>
      <c r="D9204" s="128" t="s">
        <v>79</v>
      </c>
      <c r="E9204" s="128" t="s">
        <v>134</v>
      </c>
      <c r="F9204" s="128">
        <v>3410525.5</v>
      </c>
      <c r="G9204" s="128">
        <v>1473452.61</v>
      </c>
      <c r="H9204" s="128">
        <v>1750333.6</v>
      </c>
      <c r="I9204" s="128">
        <v>12526</v>
      </c>
    </row>
    <row r="9205" spans="1:9" ht="13.5">
      <c r="A9205" s="128">
        <v>2016</v>
      </c>
      <c r="B9205" s="128" t="s">
        <v>138</v>
      </c>
      <c r="C9205" s="128" t="s">
        <v>23</v>
      </c>
      <c r="D9205" s="128" t="s">
        <v>79</v>
      </c>
      <c r="E9205" s="128" t="s">
        <v>135</v>
      </c>
      <c r="F9205" s="128">
        <v>2328633.44</v>
      </c>
      <c r="G9205" s="128">
        <v>551848.21</v>
      </c>
      <c r="H9205" s="128">
        <v>332684.67</v>
      </c>
      <c r="I9205" s="128">
        <v>3951</v>
      </c>
    </row>
    <row r="9206" spans="1:9" ht="13.5">
      <c r="A9206" s="128">
        <v>2016</v>
      </c>
      <c r="B9206" s="128" t="s">
        <v>138</v>
      </c>
      <c r="C9206" s="128" t="s">
        <v>23</v>
      </c>
      <c r="D9206" s="128" t="s">
        <v>77</v>
      </c>
      <c r="E9206" s="128" t="s">
        <v>132</v>
      </c>
      <c r="F9206" s="128">
        <v>473660.53</v>
      </c>
      <c r="G9206" s="128">
        <v>301941.21000000002</v>
      </c>
      <c r="H9206" s="128">
        <v>133822.14000000001</v>
      </c>
      <c r="I9206" s="128">
        <v>2323</v>
      </c>
    </row>
    <row r="9207" spans="1:9" ht="13.5">
      <c r="A9207" s="128">
        <v>2016</v>
      </c>
      <c r="B9207" s="128" t="s">
        <v>138</v>
      </c>
      <c r="C9207" s="128" t="s">
        <v>23</v>
      </c>
      <c r="D9207" s="128" t="s">
        <v>77</v>
      </c>
      <c r="E9207" s="128" t="s">
        <v>133</v>
      </c>
      <c r="F9207" s="128">
        <v>952856</v>
      </c>
      <c r="G9207" s="128">
        <v>516960.81</v>
      </c>
      <c r="H9207" s="128">
        <v>376513.05</v>
      </c>
      <c r="I9207" s="128">
        <v>3289</v>
      </c>
    </row>
    <row r="9208" spans="1:9" ht="13.5">
      <c r="A9208" s="128">
        <v>2016</v>
      </c>
      <c r="B9208" s="128" t="s">
        <v>138</v>
      </c>
      <c r="C9208" s="128" t="s">
        <v>23</v>
      </c>
      <c r="D9208" s="128" t="s">
        <v>77</v>
      </c>
      <c r="E9208" s="128" t="s">
        <v>134</v>
      </c>
      <c r="F9208" s="128">
        <v>4140382.96</v>
      </c>
      <c r="G9208" s="128">
        <v>1748041.1</v>
      </c>
      <c r="H9208" s="128">
        <v>1824657.76</v>
      </c>
      <c r="I9208" s="128">
        <v>8625</v>
      </c>
    </row>
    <row r="9209" spans="1:9" ht="13.5">
      <c r="A9209" s="128">
        <v>2016</v>
      </c>
      <c r="B9209" s="128" t="s">
        <v>138</v>
      </c>
      <c r="C9209" s="128" t="s">
        <v>23</v>
      </c>
      <c r="D9209" s="128" t="s">
        <v>77</v>
      </c>
      <c r="E9209" s="128" t="s">
        <v>135</v>
      </c>
      <c r="F9209" s="128">
        <v>5499547.9000000004</v>
      </c>
      <c r="G9209" s="128">
        <v>1672644.75</v>
      </c>
      <c r="H9209" s="128">
        <v>2129998.9</v>
      </c>
      <c r="I9209" s="128">
        <v>23279</v>
      </c>
    </row>
    <row r="9210" spans="1:9" ht="13.5">
      <c r="A9210" s="128">
        <v>2016</v>
      </c>
      <c r="B9210" s="128" t="s">
        <v>138</v>
      </c>
      <c r="C9210" s="128" t="s">
        <v>23</v>
      </c>
      <c r="D9210" s="128" t="s">
        <v>76</v>
      </c>
      <c r="E9210" s="128" t="s">
        <v>136</v>
      </c>
      <c r="F9210" s="128">
        <v>4093279.91</v>
      </c>
      <c r="G9210" s="128">
        <v>3072734.42</v>
      </c>
      <c r="H9210" s="128">
        <v>1020545.68</v>
      </c>
      <c r="I9210" s="128">
        <v>61893</v>
      </c>
    </row>
    <row r="9211" spans="1:9" ht="13.5">
      <c r="A9211" s="128">
        <v>2016</v>
      </c>
      <c r="B9211" s="128" t="s">
        <v>138</v>
      </c>
      <c r="C9211" s="128" t="s">
        <v>23</v>
      </c>
      <c r="D9211" s="128" t="s">
        <v>76</v>
      </c>
      <c r="E9211" s="128" t="s">
        <v>132</v>
      </c>
      <c r="F9211" s="128">
        <v>7245024.0199999996</v>
      </c>
      <c r="G9211" s="128">
        <v>4560424.95</v>
      </c>
      <c r="H9211" s="128">
        <v>2684591.91</v>
      </c>
      <c r="I9211" s="128">
        <v>64485</v>
      </c>
    </row>
    <row r="9212" spans="1:9" ht="13.5">
      <c r="A9212" s="128">
        <v>2016</v>
      </c>
      <c r="B9212" s="128" t="s">
        <v>138</v>
      </c>
      <c r="C9212" s="128" t="s">
        <v>23</v>
      </c>
      <c r="D9212" s="128" t="s">
        <v>76</v>
      </c>
      <c r="E9212" s="128" t="s">
        <v>133</v>
      </c>
      <c r="F9212" s="128">
        <v>26048191.579999998</v>
      </c>
      <c r="G9212" s="128">
        <v>14203961.09</v>
      </c>
      <c r="H9212" s="128">
        <v>11844221.67</v>
      </c>
      <c r="I9212" s="128">
        <v>212424</v>
      </c>
    </row>
    <row r="9213" spans="1:9" ht="13.5">
      <c r="A9213" s="128">
        <v>2016</v>
      </c>
      <c r="B9213" s="128" t="s">
        <v>138</v>
      </c>
      <c r="C9213" s="128" t="s">
        <v>23</v>
      </c>
      <c r="D9213" s="128" t="s">
        <v>76</v>
      </c>
      <c r="E9213" s="128" t="s">
        <v>134</v>
      </c>
      <c r="F9213" s="128">
        <v>41570716.359999999</v>
      </c>
      <c r="G9213" s="128">
        <v>18486229.199999999</v>
      </c>
      <c r="H9213" s="128">
        <v>23084482.02</v>
      </c>
      <c r="I9213" s="128">
        <v>158955</v>
      </c>
    </row>
    <row r="9214" spans="1:9" ht="13.5">
      <c r="A9214" s="128">
        <v>2016</v>
      </c>
      <c r="B9214" s="128" t="s">
        <v>138</v>
      </c>
      <c r="C9214" s="128" t="s">
        <v>23</v>
      </c>
      <c r="D9214" s="128" t="s">
        <v>76</v>
      </c>
      <c r="E9214" s="128" t="s">
        <v>135</v>
      </c>
      <c r="F9214" s="128">
        <v>1547942.5</v>
      </c>
      <c r="G9214" s="128">
        <v>407103.74</v>
      </c>
      <c r="H9214" s="128">
        <v>1140838.76</v>
      </c>
      <c r="I9214" s="128">
        <v>1503</v>
      </c>
    </row>
    <row r="9215" spans="1:9" ht="13.5">
      <c r="A9215" s="128">
        <v>2016</v>
      </c>
      <c r="B9215" s="128" t="s">
        <v>138</v>
      </c>
      <c r="C9215" s="128" t="s">
        <v>24</v>
      </c>
      <c r="D9215" s="128" t="s">
        <v>79</v>
      </c>
      <c r="E9215" s="128" t="s">
        <v>136</v>
      </c>
      <c r="F9215" s="128">
        <v>2393889.5</v>
      </c>
      <c r="G9215" s="128">
        <v>1796077.33</v>
      </c>
      <c r="H9215" s="128">
        <v>594860.72</v>
      </c>
      <c r="I9215" s="128">
        <v>40676</v>
      </c>
    </row>
    <row r="9216" spans="1:9" ht="13.5">
      <c r="A9216" s="128">
        <v>2016</v>
      </c>
      <c r="B9216" s="128" t="s">
        <v>138</v>
      </c>
      <c r="C9216" s="128" t="s">
        <v>24</v>
      </c>
      <c r="D9216" s="128" t="s">
        <v>79</v>
      </c>
      <c r="E9216" s="128" t="s">
        <v>132</v>
      </c>
      <c r="F9216" s="128">
        <v>638780.62</v>
      </c>
      <c r="G9216" s="128">
        <v>423736.5</v>
      </c>
      <c r="H9216" s="128">
        <v>157884.25</v>
      </c>
      <c r="I9216" s="128">
        <v>2560</v>
      </c>
    </row>
    <row r="9217" spans="1:9" ht="13.5">
      <c r="A9217" s="128">
        <v>2016</v>
      </c>
      <c r="B9217" s="128" t="s">
        <v>138</v>
      </c>
      <c r="C9217" s="128" t="s">
        <v>24</v>
      </c>
      <c r="D9217" s="128" t="s">
        <v>79</v>
      </c>
      <c r="E9217" s="128" t="s">
        <v>133</v>
      </c>
      <c r="F9217" s="128">
        <v>1739240.18</v>
      </c>
      <c r="G9217" s="128">
        <v>925878.82</v>
      </c>
      <c r="H9217" s="128">
        <v>434556.63</v>
      </c>
      <c r="I9217" s="128">
        <v>24927</v>
      </c>
    </row>
    <row r="9218" spans="1:9" ht="13.5">
      <c r="A9218" s="128">
        <v>2016</v>
      </c>
      <c r="B9218" s="128" t="s">
        <v>138</v>
      </c>
      <c r="C9218" s="128" t="s">
        <v>24</v>
      </c>
      <c r="D9218" s="128" t="s">
        <v>79</v>
      </c>
      <c r="E9218" s="128" t="s">
        <v>134</v>
      </c>
      <c r="F9218" s="128">
        <v>2529812.2400000002</v>
      </c>
      <c r="G9218" s="128">
        <v>1106597.47</v>
      </c>
      <c r="H9218" s="128">
        <v>613760.13</v>
      </c>
      <c r="I9218" s="128">
        <v>8714</v>
      </c>
    </row>
    <row r="9219" spans="1:9" ht="13.5">
      <c r="A9219" s="128">
        <v>2016</v>
      </c>
      <c r="B9219" s="128" t="s">
        <v>138</v>
      </c>
      <c r="C9219" s="128" t="s">
        <v>24</v>
      </c>
      <c r="D9219" s="128" t="s">
        <v>79</v>
      </c>
      <c r="E9219" s="128" t="s">
        <v>135</v>
      </c>
      <c r="F9219" s="128">
        <v>7644403.7800000003</v>
      </c>
      <c r="G9219" s="128">
        <v>1772417.71</v>
      </c>
      <c r="H9219" s="128">
        <v>678269.84</v>
      </c>
      <c r="I9219" s="128">
        <v>12138</v>
      </c>
    </row>
    <row r="9220" spans="1:9" ht="13.5">
      <c r="A9220" s="128">
        <v>2016</v>
      </c>
      <c r="B9220" s="128" t="s">
        <v>138</v>
      </c>
      <c r="C9220" s="128" t="s">
        <v>24</v>
      </c>
      <c r="D9220" s="128" t="s">
        <v>77</v>
      </c>
      <c r="E9220" s="128" t="s">
        <v>132</v>
      </c>
      <c r="F9220" s="128">
        <v>2294398.79</v>
      </c>
      <c r="G9220" s="128">
        <v>1569526.1</v>
      </c>
      <c r="H9220" s="128">
        <v>684900.03</v>
      </c>
      <c r="I9220" s="128">
        <v>13439</v>
      </c>
    </row>
    <row r="9221" spans="1:9" ht="13.5">
      <c r="A9221" s="128">
        <v>2016</v>
      </c>
      <c r="B9221" s="128" t="s">
        <v>138</v>
      </c>
      <c r="C9221" s="128" t="s">
        <v>24</v>
      </c>
      <c r="D9221" s="128" t="s">
        <v>77</v>
      </c>
      <c r="E9221" s="128" t="s">
        <v>133</v>
      </c>
      <c r="F9221" s="128">
        <v>4536576.09</v>
      </c>
      <c r="G9221" s="128">
        <v>2452796.6</v>
      </c>
      <c r="H9221" s="128">
        <v>1872046.33</v>
      </c>
      <c r="I9221" s="128">
        <v>31498</v>
      </c>
    </row>
    <row r="9222" spans="1:9" ht="13.5">
      <c r="A9222" s="128">
        <v>2016</v>
      </c>
      <c r="B9222" s="128" t="s">
        <v>138</v>
      </c>
      <c r="C9222" s="128" t="s">
        <v>24</v>
      </c>
      <c r="D9222" s="128" t="s">
        <v>77</v>
      </c>
      <c r="E9222" s="128" t="s">
        <v>134</v>
      </c>
      <c r="F9222" s="128">
        <v>8610936.5500000007</v>
      </c>
      <c r="G9222" s="128">
        <v>3831870.59</v>
      </c>
      <c r="H9222" s="128">
        <v>3395558.24</v>
      </c>
      <c r="I9222" s="128">
        <v>19277</v>
      </c>
    </row>
    <row r="9223" spans="1:9" ht="13.5">
      <c r="A9223" s="128">
        <v>2016</v>
      </c>
      <c r="B9223" s="128" t="s">
        <v>138</v>
      </c>
      <c r="C9223" s="128" t="s">
        <v>24</v>
      </c>
      <c r="D9223" s="128" t="s">
        <v>77</v>
      </c>
      <c r="E9223" s="128" t="s">
        <v>135</v>
      </c>
      <c r="F9223" s="128">
        <v>14493561.619999999</v>
      </c>
      <c r="G9223" s="128">
        <v>3765839.6</v>
      </c>
      <c r="H9223" s="128">
        <v>2505904.0299999998</v>
      </c>
      <c r="I9223" s="128">
        <v>37343</v>
      </c>
    </row>
    <row r="9224" spans="1:9" ht="13.5">
      <c r="A9224" s="128">
        <v>2016</v>
      </c>
      <c r="B9224" s="128" t="s">
        <v>138</v>
      </c>
      <c r="C9224" s="128" t="s">
        <v>24</v>
      </c>
      <c r="D9224" s="128" t="s">
        <v>76</v>
      </c>
      <c r="E9224" s="128" t="s">
        <v>136</v>
      </c>
      <c r="F9224" s="128">
        <v>4425313.59</v>
      </c>
      <c r="G9224" s="128">
        <v>3330270.04</v>
      </c>
      <c r="H9224" s="128">
        <v>1095056.6100000001</v>
      </c>
      <c r="I9224" s="128">
        <v>40810</v>
      </c>
    </row>
    <row r="9225" spans="1:9" ht="13.5">
      <c r="A9225" s="128">
        <v>2016</v>
      </c>
      <c r="B9225" s="128" t="s">
        <v>138</v>
      </c>
      <c r="C9225" s="128" t="s">
        <v>24</v>
      </c>
      <c r="D9225" s="128" t="s">
        <v>76</v>
      </c>
      <c r="E9225" s="128" t="s">
        <v>132</v>
      </c>
      <c r="F9225" s="128">
        <v>7960591.3300000001</v>
      </c>
      <c r="G9225" s="128">
        <v>5169905.1100000003</v>
      </c>
      <c r="H9225" s="128">
        <v>2790682.07</v>
      </c>
      <c r="I9225" s="128">
        <v>54164</v>
      </c>
    </row>
    <row r="9226" spans="1:9" ht="13.5">
      <c r="A9226" s="128">
        <v>2016</v>
      </c>
      <c r="B9226" s="128" t="s">
        <v>138</v>
      </c>
      <c r="C9226" s="128" t="s">
        <v>24</v>
      </c>
      <c r="D9226" s="128" t="s">
        <v>76</v>
      </c>
      <c r="E9226" s="128" t="s">
        <v>133</v>
      </c>
      <c r="F9226" s="128">
        <v>39537835.090000004</v>
      </c>
      <c r="G9226" s="128">
        <v>21899440.800000001</v>
      </c>
      <c r="H9226" s="128">
        <v>17638391.5</v>
      </c>
      <c r="I9226" s="128">
        <v>269457</v>
      </c>
    </row>
    <row r="9227" spans="1:9" ht="13.5">
      <c r="A9227" s="128">
        <v>2016</v>
      </c>
      <c r="B9227" s="128" t="s">
        <v>138</v>
      </c>
      <c r="C9227" s="128" t="s">
        <v>24</v>
      </c>
      <c r="D9227" s="128" t="s">
        <v>76</v>
      </c>
      <c r="E9227" s="128" t="s">
        <v>134</v>
      </c>
      <c r="F9227" s="128">
        <v>52364891.729999997</v>
      </c>
      <c r="G9227" s="128">
        <v>23201713.93</v>
      </c>
      <c r="H9227" s="128">
        <v>29163173.800000001</v>
      </c>
      <c r="I9227" s="128">
        <v>243042</v>
      </c>
    </row>
    <row r="9228" spans="1:9" ht="13.5">
      <c r="A9228" s="128">
        <v>2016</v>
      </c>
      <c r="B9228" s="128" t="s">
        <v>138</v>
      </c>
      <c r="C9228" s="128" t="s">
        <v>24</v>
      </c>
      <c r="D9228" s="128" t="s">
        <v>76</v>
      </c>
      <c r="E9228" s="128" t="s">
        <v>135</v>
      </c>
      <c r="F9228" s="128">
        <v>3315665.87</v>
      </c>
      <c r="G9228" s="128">
        <v>873156.4</v>
      </c>
      <c r="H9228" s="128">
        <v>2442509.4700000002</v>
      </c>
      <c r="I9228" s="128">
        <v>2231</v>
      </c>
    </row>
    <row r="9229" spans="1:9" ht="13.5">
      <c r="A9229" s="128">
        <v>2016</v>
      </c>
      <c r="B9229" s="128" t="s">
        <v>138</v>
      </c>
      <c r="C9229" s="128" t="s">
        <v>25</v>
      </c>
      <c r="D9229" s="128" t="s">
        <v>79</v>
      </c>
      <c r="E9229" s="128" t="s">
        <v>136</v>
      </c>
      <c r="F9229" s="128">
        <v>631380.36</v>
      </c>
      <c r="G9229" s="128">
        <v>474180.43</v>
      </c>
      <c r="H9229" s="128">
        <v>157104.38</v>
      </c>
      <c r="I9229" s="128">
        <v>6851</v>
      </c>
    </row>
    <row r="9230" spans="1:9" ht="13.5">
      <c r="A9230" s="128">
        <v>2016</v>
      </c>
      <c r="B9230" s="128" t="s">
        <v>138</v>
      </c>
      <c r="C9230" s="128" t="s">
        <v>25</v>
      </c>
      <c r="D9230" s="128" t="s">
        <v>79</v>
      </c>
      <c r="E9230" s="128" t="s">
        <v>132</v>
      </c>
      <c r="F9230" s="128">
        <v>503392.09</v>
      </c>
      <c r="G9230" s="128">
        <v>317324.88</v>
      </c>
      <c r="H9230" s="128">
        <v>171140.24</v>
      </c>
      <c r="I9230" s="128">
        <v>2674</v>
      </c>
    </row>
    <row r="9231" spans="1:9" ht="13.5">
      <c r="A9231" s="128">
        <v>2016</v>
      </c>
      <c r="B9231" s="128" t="s">
        <v>138</v>
      </c>
      <c r="C9231" s="128" t="s">
        <v>25</v>
      </c>
      <c r="D9231" s="128" t="s">
        <v>79</v>
      </c>
      <c r="E9231" s="128" t="s">
        <v>133</v>
      </c>
      <c r="F9231" s="128">
        <v>316063.08</v>
      </c>
      <c r="G9231" s="128">
        <v>174791.2</v>
      </c>
      <c r="H9231" s="128">
        <v>109465.93</v>
      </c>
      <c r="I9231" s="128">
        <v>1740</v>
      </c>
    </row>
    <row r="9232" spans="1:9" ht="13.5">
      <c r="A9232" s="128">
        <v>2016</v>
      </c>
      <c r="B9232" s="128" t="s">
        <v>138</v>
      </c>
      <c r="C9232" s="128" t="s">
        <v>25</v>
      </c>
      <c r="D9232" s="128" t="s">
        <v>79</v>
      </c>
      <c r="E9232" s="128" t="s">
        <v>134</v>
      </c>
      <c r="F9232" s="128">
        <v>771842.4</v>
      </c>
      <c r="G9232" s="128">
        <v>342196.6</v>
      </c>
      <c r="H9232" s="128">
        <v>309294.65000000002</v>
      </c>
      <c r="I9232" s="128">
        <v>3569</v>
      </c>
    </row>
    <row r="9233" spans="1:9" ht="13.5">
      <c r="A9233" s="128">
        <v>2016</v>
      </c>
      <c r="B9233" s="128" t="s">
        <v>138</v>
      </c>
      <c r="C9233" s="128" t="s">
        <v>25</v>
      </c>
      <c r="D9233" s="128" t="s">
        <v>79</v>
      </c>
      <c r="E9233" s="128" t="s">
        <v>135</v>
      </c>
      <c r="F9233" s="128">
        <v>1747461.17</v>
      </c>
      <c r="G9233" s="128">
        <v>413220.37</v>
      </c>
      <c r="H9233" s="128">
        <v>160418.17000000001</v>
      </c>
      <c r="I9233" s="128">
        <v>1771</v>
      </c>
    </row>
    <row r="9234" spans="1:9" ht="13.5">
      <c r="A9234" s="128">
        <v>2016</v>
      </c>
      <c r="B9234" s="128" t="s">
        <v>138</v>
      </c>
      <c r="C9234" s="128" t="s">
        <v>25</v>
      </c>
      <c r="D9234" s="128" t="s">
        <v>77</v>
      </c>
      <c r="E9234" s="128" t="s">
        <v>132</v>
      </c>
      <c r="F9234" s="128">
        <v>193868.63</v>
      </c>
      <c r="G9234" s="128">
        <v>127828.7</v>
      </c>
      <c r="H9234" s="128">
        <v>49361.02</v>
      </c>
      <c r="I9234" s="128">
        <v>1318</v>
      </c>
    </row>
    <row r="9235" spans="1:9" ht="13.5">
      <c r="A9235" s="128">
        <v>2016</v>
      </c>
      <c r="B9235" s="128" t="s">
        <v>138</v>
      </c>
      <c r="C9235" s="128" t="s">
        <v>25</v>
      </c>
      <c r="D9235" s="128" t="s">
        <v>77</v>
      </c>
      <c r="E9235" s="128" t="s">
        <v>133</v>
      </c>
      <c r="F9235" s="128">
        <v>310977.64</v>
      </c>
      <c r="G9235" s="128">
        <v>167615.35</v>
      </c>
      <c r="H9235" s="128">
        <v>125804.32</v>
      </c>
      <c r="I9235" s="128">
        <v>1050</v>
      </c>
    </row>
    <row r="9236" spans="1:9" ht="13.5">
      <c r="A9236" s="128">
        <v>2016</v>
      </c>
      <c r="B9236" s="128" t="s">
        <v>138</v>
      </c>
      <c r="C9236" s="128" t="s">
        <v>25</v>
      </c>
      <c r="D9236" s="128" t="s">
        <v>77</v>
      </c>
      <c r="E9236" s="128" t="s">
        <v>134</v>
      </c>
      <c r="F9236" s="128">
        <v>1266000.96</v>
      </c>
      <c r="G9236" s="128">
        <v>538217.25</v>
      </c>
      <c r="H9236" s="128">
        <v>545469.18000000005</v>
      </c>
      <c r="I9236" s="128">
        <v>2389</v>
      </c>
    </row>
    <row r="9237" spans="1:9" ht="13.5">
      <c r="A9237" s="128">
        <v>2016</v>
      </c>
      <c r="B9237" s="128" t="s">
        <v>138</v>
      </c>
      <c r="C9237" s="128" t="s">
        <v>25</v>
      </c>
      <c r="D9237" s="128" t="s">
        <v>77</v>
      </c>
      <c r="E9237" s="128" t="s">
        <v>135</v>
      </c>
      <c r="F9237" s="128">
        <v>1585150.37</v>
      </c>
      <c r="G9237" s="128">
        <v>485673.8</v>
      </c>
      <c r="H9237" s="128">
        <v>566298.65</v>
      </c>
      <c r="I9237" s="128">
        <v>4712</v>
      </c>
    </row>
    <row r="9238" spans="1:9" ht="13.5">
      <c r="A9238" s="128">
        <v>2016</v>
      </c>
      <c r="B9238" s="128" t="s">
        <v>138</v>
      </c>
      <c r="C9238" s="128" t="s">
        <v>25</v>
      </c>
      <c r="D9238" s="128" t="s">
        <v>76</v>
      </c>
      <c r="E9238" s="128" t="s">
        <v>136</v>
      </c>
      <c r="F9238" s="128">
        <v>2035171.9</v>
      </c>
      <c r="G9238" s="128">
        <v>1527974.94</v>
      </c>
      <c r="H9238" s="128">
        <v>507217.72</v>
      </c>
      <c r="I9238" s="128">
        <v>31330</v>
      </c>
    </row>
    <row r="9239" spans="1:9" ht="13.5">
      <c r="A9239" s="128">
        <v>2016</v>
      </c>
      <c r="B9239" s="128" t="s">
        <v>138</v>
      </c>
      <c r="C9239" s="128" t="s">
        <v>25</v>
      </c>
      <c r="D9239" s="128" t="s">
        <v>76</v>
      </c>
      <c r="E9239" s="128" t="s">
        <v>132</v>
      </c>
      <c r="F9239" s="128">
        <v>2617858.39</v>
      </c>
      <c r="G9239" s="128">
        <v>1665967.14</v>
      </c>
      <c r="H9239" s="128">
        <v>951891.1</v>
      </c>
      <c r="I9239" s="128">
        <v>20733</v>
      </c>
    </row>
    <row r="9240" spans="1:9" ht="13.5">
      <c r="A9240" s="128">
        <v>2016</v>
      </c>
      <c r="B9240" s="128" t="s">
        <v>138</v>
      </c>
      <c r="C9240" s="128" t="s">
        <v>25</v>
      </c>
      <c r="D9240" s="128" t="s">
        <v>76</v>
      </c>
      <c r="E9240" s="128" t="s">
        <v>133</v>
      </c>
      <c r="F9240" s="128">
        <v>7930665.96</v>
      </c>
      <c r="G9240" s="128">
        <v>4344362.78</v>
      </c>
      <c r="H9240" s="128">
        <v>3586303.29</v>
      </c>
      <c r="I9240" s="128">
        <v>51302</v>
      </c>
    </row>
    <row r="9241" spans="1:9" ht="13.5">
      <c r="A9241" s="128">
        <v>2016</v>
      </c>
      <c r="B9241" s="128" t="s">
        <v>138</v>
      </c>
      <c r="C9241" s="128" t="s">
        <v>25</v>
      </c>
      <c r="D9241" s="128" t="s">
        <v>76</v>
      </c>
      <c r="E9241" s="128" t="s">
        <v>134</v>
      </c>
      <c r="F9241" s="128">
        <v>10996461.49</v>
      </c>
      <c r="G9241" s="128">
        <v>5025786.25</v>
      </c>
      <c r="H9241" s="128">
        <v>5970673.0199999996</v>
      </c>
      <c r="I9241" s="128">
        <v>50795</v>
      </c>
    </row>
    <row r="9242" spans="1:9" ht="13.5">
      <c r="A9242" s="128">
        <v>2016</v>
      </c>
      <c r="B9242" s="128" t="s">
        <v>138</v>
      </c>
      <c r="C9242" s="128" t="s">
        <v>25</v>
      </c>
      <c r="D9242" s="128" t="s">
        <v>76</v>
      </c>
      <c r="E9242" s="128" t="s">
        <v>135</v>
      </c>
      <c r="F9242" s="128">
        <v>541200.28</v>
      </c>
      <c r="G9242" s="128">
        <v>145451.29999999999</v>
      </c>
      <c r="H9242" s="128">
        <v>395748.98</v>
      </c>
      <c r="I9242" s="128">
        <v>443</v>
      </c>
    </row>
    <row r="9243" spans="1:9" ht="13.5">
      <c r="A9243" s="128">
        <v>2016</v>
      </c>
      <c r="B9243" s="128" t="s">
        <v>138</v>
      </c>
      <c r="C9243" s="128" t="s">
        <v>26</v>
      </c>
      <c r="D9243" s="128" t="s">
        <v>79</v>
      </c>
      <c r="E9243" s="128" t="s">
        <v>136</v>
      </c>
      <c r="F9243" s="128">
        <v>1110911.3500000001</v>
      </c>
      <c r="G9243" s="128">
        <v>833591.28</v>
      </c>
      <c r="H9243" s="128">
        <v>276020.34999999998</v>
      </c>
      <c r="I9243" s="128">
        <v>9896</v>
      </c>
    </row>
    <row r="9244" spans="1:9" ht="13.5">
      <c r="A9244" s="128">
        <v>2016</v>
      </c>
      <c r="B9244" s="128" t="s">
        <v>138</v>
      </c>
      <c r="C9244" s="128" t="s">
        <v>26</v>
      </c>
      <c r="D9244" s="128" t="s">
        <v>79</v>
      </c>
      <c r="E9244" s="128" t="s">
        <v>132</v>
      </c>
      <c r="F9244" s="128">
        <v>171546.13</v>
      </c>
      <c r="G9244" s="128">
        <v>114453.49</v>
      </c>
      <c r="H9244" s="128">
        <v>46739.3</v>
      </c>
      <c r="I9244" s="128">
        <v>964</v>
      </c>
    </row>
    <row r="9245" spans="1:9" ht="13.5">
      <c r="A9245" s="128">
        <v>2016</v>
      </c>
      <c r="B9245" s="128" t="s">
        <v>138</v>
      </c>
      <c r="C9245" s="128" t="s">
        <v>26</v>
      </c>
      <c r="D9245" s="128" t="s">
        <v>79</v>
      </c>
      <c r="E9245" s="128" t="s">
        <v>133</v>
      </c>
      <c r="F9245" s="128">
        <v>189649.36</v>
      </c>
      <c r="G9245" s="128">
        <v>103635.72</v>
      </c>
      <c r="H9245" s="128">
        <v>53355.25</v>
      </c>
      <c r="I9245" s="128">
        <v>879</v>
      </c>
    </row>
    <row r="9246" spans="1:9" ht="13.5">
      <c r="A9246" s="128">
        <v>2016</v>
      </c>
      <c r="B9246" s="128" t="s">
        <v>138</v>
      </c>
      <c r="C9246" s="128" t="s">
        <v>26</v>
      </c>
      <c r="D9246" s="128" t="s">
        <v>79</v>
      </c>
      <c r="E9246" s="128" t="s">
        <v>134</v>
      </c>
      <c r="F9246" s="128">
        <v>658808.75</v>
      </c>
      <c r="G9246" s="128">
        <v>280315.98</v>
      </c>
      <c r="H9246" s="128">
        <v>150707.75</v>
      </c>
      <c r="I9246" s="128">
        <v>2881</v>
      </c>
    </row>
    <row r="9247" spans="1:9" ht="13.5">
      <c r="A9247" s="128">
        <v>2016</v>
      </c>
      <c r="B9247" s="128" t="s">
        <v>138</v>
      </c>
      <c r="C9247" s="128" t="s">
        <v>26</v>
      </c>
      <c r="D9247" s="128" t="s">
        <v>79</v>
      </c>
      <c r="E9247" s="128" t="s">
        <v>135</v>
      </c>
      <c r="F9247" s="128">
        <v>7023325.0099999998</v>
      </c>
      <c r="G9247" s="128">
        <v>1627267.8</v>
      </c>
      <c r="H9247" s="128">
        <v>559430.41</v>
      </c>
      <c r="I9247" s="128">
        <v>7615</v>
      </c>
    </row>
    <row r="9248" spans="1:9" ht="13.5">
      <c r="A9248" s="128">
        <v>2016</v>
      </c>
      <c r="B9248" s="128" t="s">
        <v>138</v>
      </c>
      <c r="C9248" s="128" t="s">
        <v>26</v>
      </c>
      <c r="D9248" s="128" t="s">
        <v>77</v>
      </c>
      <c r="E9248" s="128" t="s">
        <v>132</v>
      </c>
      <c r="F9248" s="128">
        <v>81489.179999999993</v>
      </c>
      <c r="G9248" s="128">
        <v>49452.5</v>
      </c>
      <c r="H9248" s="128">
        <v>26584.73</v>
      </c>
      <c r="I9248" s="128">
        <v>433</v>
      </c>
    </row>
    <row r="9249" spans="1:9" ht="13.5">
      <c r="A9249" s="128">
        <v>2016</v>
      </c>
      <c r="B9249" s="128" t="s">
        <v>138</v>
      </c>
      <c r="C9249" s="128" t="s">
        <v>26</v>
      </c>
      <c r="D9249" s="128" t="s">
        <v>77</v>
      </c>
      <c r="E9249" s="128" t="s">
        <v>133</v>
      </c>
      <c r="F9249" s="128">
        <v>126848.09</v>
      </c>
      <c r="G9249" s="128">
        <v>69109.25</v>
      </c>
      <c r="H9249" s="128">
        <v>51021.96</v>
      </c>
      <c r="I9249" s="128">
        <v>443</v>
      </c>
    </row>
    <row r="9250" spans="1:9" ht="13.5">
      <c r="A9250" s="128">
        <v>2016</v>
      </c>
      <c r="B9250" s="128" t="s">
        <v>138</v>
      </c>
      <c r="C9250" s="128" t="s">
        <v>26</v>
      </c>
      <c r="D9250" s="128" t="s">
        <v>77</v>
      </c>
      <c r="E9250" s="128" t="s">
        <v>134</v>
      </c>
      <c r="F9250" s="128">
        <v>431525.44</v>
      </c>
      <c r="G9250" s="128">
        <v>184849.9</v>
      </c>
      <c r="H9250" s="128">
        <v>190940.04</v>
      </c>
      <c r="I9250" s="128">
        <v>1293</v>
      </c>
    </row>
    <row r="9251" spans="1:9" ht="13.5">
      <c r="A9251" s="128">
        <v>2016</v>
      </c>
      <c r="B9251" s="128" t="s">
        <v>138</v>
      </c>
      <c r="C9251" s="128" t="s">
        <v>26</v>
      </c>
      <c r="D9251" s="128" t="s">
        <v>77</v>
      </c>
      <c r="E9251" s="128" t="s">
        <v>135</v>
      </c>
      <c r="F9251" s="128">
        <v>2683452.29</v>
      </c>
      <c r="G9251" s="128">
        <v>720271.05</v>
      </c>
      <c r="H9251" s="128">
        <v>804586.01</v>
      </c>
      <c r="I9251" s="128">
        <v>9651</v>
      </c>
    </row>
    <row r="9252" spans="1:9" ht="13.5">
      <c r="A9252" s="128">
        <v>2016</v>
      </c>
      <c r="B9252" s="128" t="s">
        <v>138</v>
      </c>
      <c r="C9252" s="128" t="s">
        <v>26</v>
      </c>
      <c r="D9252" s="128" t="s">
        <v>76</v>
      </c>
      <c r="E9252" s="128" t="s">
        <v>136</v>
      </c>
      <c r="F9252" s="128">
        <v>438404.34</v>
      </c>
      <c r="G9252" s="128">
        <v>329117.25</v>
      </c>
      <c r="H9252" s="128">
        <v>109287.09</v>
      </c>
      <c r="I9252" s="128">
        <v>16679</v>
      </c>
    </row>
    <row r="9253" spans="1:9" ht="13.5">
      <c r="A9253" s="128">
        <v>2016</v>
      </c>
      <c r="B9253" s="128" t="s">
        <v>138</v>
      </c>
      <c r="C9253" s="128" t="s">
        <v>26</v>
      </c>
      <c r="D9253" s="128" t="s">
        <v>76</v>
      </c>
      <c r="E9253" s="128" t="s">
        <v>132</v>
      </c>
      <c r="F9253" s="128">
        <v>1407269.45</v>
      </c>
      <c r="G9253" s="128">
        <v>899253.24</v>
      </c>
      <c r="H9253" s="128">
        <v>507998.56</v>
      </c>
      <c r="I9253" s="128">
        <v>16520</v>
      </c>
    </row>
    <row r="9254" spans="1:9" ht="13.5">
      <c r="A9254" s="128">
        <v>2016</v>
      </c>
      <c r="B9254" s="128" t="s">
        <v>138</v>
      </c>
      <c r="C9254" s="128" t="s">
        <v>26</v>
      </c>
      <c r="D9254" s="128" t="s">
        <v>76</v>
      </c>
      <c r="E9254" s="128" t="s">
        <v>133</v>
      </c>
      <c r="F9254" s="128">
        <v>3297004.97</v>
      </c>
      <c r="G9254" s="128">
        <v>1810164.61</v>
      </c>
      <c r="H9254" s="128">
        <v>1486837.84</v>
      </c>
      <c r="I9254" s="128">
        <v>24138</v>
      </c>
    </row>
    <row r="9255" spans="1:9" ht="13.5">
      <c r="A9255" s="128">
        <v>2016</v>
      </c>
      <c r="B9255" s="128" t="s">
        <v>138</v>
      </c>
      <c r="C9255" s="128" t="s">
        <v>26</v>
      </c>
      <c r="D9255" s="128" t="s">
        <v>76</v>
      </c>
      <c r="E9255" s="128" t="s">
        <v>134</v>
      </c>
      <c r="F9255" s="128">
        <v>2502890.64</v>
      </c>
      <c r="G9255" s="128">
        <v>1144952.56</v>
      </c>
      <c r="H9255" s="128">
        <v>1357935.83</v>
      </c>
      <c r="I9255" s="128">
        <v>14697</v>
      </c>
    </row>
    <row r="9256" spans="1:9" ht="13.5">
      <c r="A9256" s="128">
        <v>2016</v>
      </c>
      <c r="B9256" s="128" t="s">
        <v>138</v>
      </c>
      <c r="C9256" s="128" t="s">
        <v>26</v>
      </c>
      <c r="D9256" s="128" t="s">
        <v>76</v>
      </c>
      <c r="E9256" s="128" t="s">
        <v>135</v>
      </c>
      <c r="F9256" s="128">
        <v>369527</v>
      </c>
      <c r="G9256" s="128">
        <v>110244.8</v>
      </c>
      <c r="H9256" s="128">
        <v>259282.2</v>
      </c>
      <c r="I9256" s="128">
        <v>609</v>
      </c>
    </row>
    <row r="9257" spans="1:9" ht="13.5">
      <c r="A9257" s="128">
        <v>2016</v>
      </c>
      <c r="B9257" s="128" t="s">
        <v>138</v>
      </c>
      <c r="C9257" s="128" t="s">
        <v>27</v>
      </c>
      <c r="D9257" s="128" t="s">
        <v>79</v>
      </c>
      <c r="E9257" s="128" t="s">
        <v>136</v>
      </c>
      <c r="F9257" s="128">
        <v>346173.99</v>
      </c>
      <c r="G9257" s="128">
        <v>260821.24</v>
      </c>
      <c r="H9257" s="128">
        <v>86668.95</v>
      </c>
      <c r="I9257" s="128">
        <v>1582</v>
      </c>
    </row>
    <row r="9258" spans="1:9" ht="13.5">
      <c r="A9258" s="128">
        <v>2016</v>
      </c>
      <c r="B9258" s="128" t="s">
        <v>138</v>
      </c>
      <c r="C9258" s="128" t="s">
        <v>27</v>
      </c>
      <c r="D9258" s="128" t="s">
        <v>79</v>
      </c>
      <c r="E9258" s="128" t="s">
        <v>132</v>
      </c>
      <c r="F9258" s="128">
        <v>107466.34</v>
      </c>
      <c r="G9258" s="128">
        <v>69256.38</v>
      </c>
      <c r="H9258" s="128">
        <v>33151.599999999999</v>
      </c>
      <c r="I9258" s="128">
        <v>568</v>
      </c>
    </row>
    <row r="9259" spans="1:9" ht="13.5">
      <c r="A9259" s="128">
        <v>2016</v>
      </c>
      <c r="B9259" s="128" t="s">
        <v>138</v>
      </c>
      <c r="C9259" s="128" t="s">
        <v>27</v>
      </c>
      <c r="D9259" s="128" t="s">
        <v>79</v>
      </c>
      <c r="E9259" s="128" t="s">
        <v>133</v>
      </c>
      <c r="F9259" s="128">
        <v>80567.56</v>
      </c>
      <c r="G9259" s="128">
        <v>43380.94</v>
      </c>
      <c r="H9259" s="128">
        <v>23868.14</v>
      </c>
      <c r="I9259" s="128">
        <v>589</v>
      </c>
    </row>
    <row r="9260" spans="1:9" ht="13.5">
      <c r="A9260" s="128">
        <v>2016</v>
      </c>
      <c r="B9260" s="128" t="s">
        <v>138</v>
      </c>
      <c r="C9260" s="128" t="s">
        <v>27</v>
      </c>
      <c r="D9260" s="128" t="s">
        <v>79</v>
      </c>
      <c r="E9260" s="128" t="s">
        <v>134</v>
      </c>
      <c r="F9260" s="128">
        <v>134795.79999999999</v>
      </c>
      <c r="G9260" s="128">
        <v>59194.34</v>
      </c>
      <c r="H9260" s="128">
        <v>52080.46</v>
      </c>
      <c r="I9260" s="128">
        <v>531</v>
      </c>
    </row>
    <row r="9261" spans="1:9" ht="13.5">
      <c r="A9261" s="128">
        <v>2016</v>
      </c>
      <c r="B9261" s="128" t="s">
        <v>138</v>
      </c>
      <c r="C9261" s="128" t="s">
        <v>27</v>
      </c>
      <c r="D9261" s="128" t="s">
        <v>79</v>
      </c>
      <c r="E9261" s="128" t="s">
        <v>135</v>
      </c>
      <c r="F9261" s="128">
        <v>1245881.08</v>
      </c>
      <c r="G9261" s="128">
        <v>294966.03999999998</v>
      </c>
      <c r="H9261" s="128">
        <v>107548.11</v>
      </c>
      <c r="I9261" s="128">
        <v>1144</v>
      </c>
    </row>
    <row r="9262" spans="1:9" ht="13.5">
      <c r="A9262" s="128">
        <v>2016</v>
      </c>
      <c r="B9262" s="128" t="s">
        <v>138</v>
      </c>
      <c r="C9262" s="128" t="s">
        <v>27</v>
      </c>
      <c r="D9262" s="128" t="s">
        <v>77</v>
      </c>
      <c r="E9262" s="128" t="s">
        <v>132</v>
      </c>
      <c r="F9262" s="128">
        <v>27429.21</v>
      </c>
      <c r="G9262" s="128">
        <v>17746.05</v>
      </c>
      <c r="H9262" s="128">
        <v>7069.93</v>
      </c>
      <c r="I9262" s="128">
        <v>135</v>
      </c>
    </row>
    <row r="9263" spans="1:9" ht="13.5">
      <c r="A9263" s="128">
        <v>2016</v>
      </c>
      <c r="B9263" s="128" t="s">
        <v>138</v>
      </c>
      <c r="C9263" s="128" t="s">
        <v>27</v>
      </c>
      <c r="D9263" s="128" t="s">
        <v>77</v>
      </c>
      <c r="E9263" s="128" t="s">
        <v>133</v>
      </c>
      <c r="F9263" s="128">
        <v>61096.4</v>
      </c>
      <c r="G9263" s="128">
        <v>33316.1</v>
      </c>
      <c r="H9263" s="128">
        <v>19778.47</v>
      </c>
      <c r="I9263" s="128">
        <v>289</v>
      </c>
    </row>
    <row r="9264" spans="1:9" ht="13.5">
      <c r="A9264" s="128">
        <v>2016</v>
      </c>
      <c r="B9264" s="128" t="s">
        <v>138</v>
      </c>
      <c r="C9264" s="128" t="s">
        <v>27</v>
      </c>
      <c r="D9264" s="128" t="s">
        <v>77</v>
      </c>
      <c r="E9264" s="128" t="s">
        <v>134</v>
      </c>
      <c r="F9264" s="128">
        <v>166374.38</v>
      </c>
      <c r="G9264" s="128">
        <v>72435.25</v>
      </c>
      <c r="H9264" s="128">
        <v>66593.47</v>
      </c>
      <c r="I9264" s="128">
        <v>398</v>
      </c>
    </row>
    <row r="9265" spans="1:9" ht="13.5">
      <c r="A9265" s="128">
        <v>2016</v>
      </c>
      <c r="B9265" s="128" t="s">
        <v>138</v>
      </c>
      <c r="C9265" s="128" t="s">
        <v>27</v>
      </c>
      <c r="D9265" s="128" t="s">
        <v>77</v>
      </c>
      <c r="E9265" s="128" t="s">
        <v>135</v>
      </c>
      <c r="F9265" s="128">
        <v>541752.81999999995</v>
      </c>
      <c r="G9265" s="128">
        <v>146226.45000000001</v>
      </c>
      <c r="H9265" s="128">
        <v>162954.09</v>
      </c>
      <c r="I9265" s="128">
        <v>2225</v>
      </c>
    </row>
    <row r="9266" spans="1:9" ht="13.5">
      <c r="A9266" s="128">
        <v>2016</v>
      </c>
      <c r="B9266" s="128" t="s">
        <v>138</v>
      </c>
      <c r="C9266" s="128" t="s">
        <v>27</v>
      </c>
      <c r="D9266" s="128" t="s">
        <v>76</v>
      </c>
      <c r="E9266" s="128" t="s">
        <v>136</v>
      </c>
      <c r="F9266" s="128">
        <v>268580.96000000002</v>
      </c>
      <c r="G9266" s="128">
        <v>201614.03</v>
      </c>
      <c r="H9266" s="128">
        <v>66966.929999999993</v>
      </c>
      <c r="I9266" s="128">
        <v>3412</v>
      </c>
    </row>
    <row r="9267" spans="1:9" ht="13.5">
      <c r="A9267" s="128">
        <v>2016</v>
      </c>
      <c r="B9267" s="128" t="s">
        <v>138</v>
      </c>
      <c r="C9267" s="128" t="s">
        <v>27</v>
      </c>
      <c r="D9267" s="128" t="s">
        <v>76</v>
      </c>
      <c r="E9267" s="128" t="s">
        <v>132</v>
      </c>
      <c r="F9267" s="128">
        <v>452506.58</v>
      </c>
      <c r="G9267" s="128">
        <v>290506.5</v>
      </c>
      <c r="H9267" s="128">
        <v>161997.07999999999</v>
      </c>
      <c r="I9267" s="128">
        <v>3522</v>
      </c>
    </row>
    <row r="9268" spans="1:9" ht="13.5">
      <c r="A9268" s="128">
        <v>2016</v>
      </c>
      <c r="B9268" s="128" t="s">
        <v>138</v>
      </c>
      <c r="C9268" s="128" t="s">
        <v>27</v>
      </c>
      <c r="D9268" s="128" t="s">
        <v>76</v>
      </c>
      <c r="E9268" s="128" t="s">
        <v>133</v>
      </c>
      <c r="F9268" s="128">
        <v>1263789.42</v>
      </c>
      <c r="G9268" s="128">
        <v>689664.03</v>
      </c>
      <c r="H9268" s="128">
        <v>574110.42000000004</v>
      </c>
      <c r="I9268" s="128">
        <v>6682</v>
      </c>
    </row>
    <row r="9269" spans="1:9" ht="13.5">
      <c r="A9269" s="128">
        <v>2016</v>
      </c>
      <c r="B9269" s="128" t="s">
        <v>138</v>
      </c>
      <c r="C9269" s="128" t="s">
        <v>27</v>
      </c>
      <c r="D9269" s="128" t="s">
        <v>76</v>
      </c>
      <c r="E9269" s="128" t="s">
        <v>134</v>
      </c>
      <c r="F9269" s="128">
        <v>1945607.08</v>
      </c>
      <c r="G9269" s="128">
        <v>892718.15</v>
      </c>
      <c r="H9269" s="128">
        <v>1052886.96</v>
      </c>
      <c r="I9269" s="128">
        <v>8992</v>
      </c>
    </row>
    <row r="9270" spans="1:9" ht="13.5">
      <c r="A9270" s="128">
        <v>2016</v>
      </c>
      <c r="B9270" s="128" t="s">
        <v>138</v>
      </c>
      <c r="C9270" s="128" t="s">
        <v>27</v>
      </c>
      <c r="D9270" s="128" t="s">
        <v>76</v>
      </c>
      <c r="E9270" s="128" t="s">
        <v>135</v>
      </c>
      <c r="F9270" s="128">
        <v>43698.95</v>
      </c>
      <c r="G9270" s="128">
        <v>12486.1</v>
      </c>
      <c r="H9270" s="128">
        <v>31212.85</v>
      </c>
      <c r="I9270" s="128">
        <v>74</v>
      </c>
    </row>
    <row r="9271" spans="1:9" ht="13.5">
      <c r="A9271" s="128">
        <v>2016</v>
      </c>
      <c r="B9271" s="128" t="s">
        <v>139</v>
      </c>
      <c r="C9271" s="128" t="s">
        <v>20</v>
      </c>
      <c r="D9271" s="128" t="s">
        <v>79</v>
      </c>
      <c r="E9271" s="128" t="s">
        <v>136</v>
      </c>
      <c r="F9271" s="128">
        <v>34498740.869999997</v>
      </c>
      <c r="G9271" s="128">
        <v>25903220.34</v>
      </c>
      <c r="H9271" s="128">
        <v>8587145.3699999992</v>
      </c>
      <c r="I9271" s="128">
        <v>491515</v>
      </c>
    </row>
    <row r="9272" spans="1:9" ht="13.5">
      <c r="A9272" s="128">
        <v>2016</v>
      </c>
      <c r="B9272" s="128" t="s">
        <v>139</v>
      </c>
      <c r="C9272" s="128" t="s">
        <v>20</v>
      </c>
      <c r="D9272" s="128" t="s">
        <v>79</v>
      </c>
      <c r="E9272" s="128" t="s">
        <v>132</v>
      </c>
      <c r="F9272" s="128">
        <v>4743636.83</v>
      </c>
      <c r="G9272" s="128">
        <v>3145500.04</v>
      </c>
      <c r="H9272" s="128">
        <v>1280344.49</v>
      </c>
      <c r="I9272" s="128">
        <v>24682</v>
      </c>
    </row>
    <row r="9273" spans="1:9" ht="13.5">
      <c r="A9273" s="128">
        <v>2016</v>
      </c>
      <c r="B9273" s="128" t="s">
        <v>139</v>
      </c>
      <c r="C9273" s="128" t="s">
        <v>20</v>
      </c>
      <c r="D9273" s="128" t="s">
        <v>79</v>
      </c>
      <c r="E9273" s="128" t="s">
        <v>133</v>
      </c>
      <c r="F9273" s="128">
        <v>3657010.42</v>
      </c>
      <c r="G9273" s="128">
        <v>1975061.81</v>
      </c>
      <c r="H9273" s="128">
        <v>1184444.27</v>
      </c>
      <c r="I9273" s="128">
        <v>28955</v>
      </c>
    </row>
    <row r="9274" spans="1:9" ht="13.5">
      <c r="A9274" s="128">
        <v>2016</v>
      </c>
      <c r="B9274" s="128" t="s">
        <v>139</v>
      </c>
      <c r="C9274" s="128" t="s">
        <v>20</v>
      </c>
      <c r="D9274" s="128" t="s">
        <v>79</v>
      </c>
      <c r="E9274" s="128" t="s">
        <v>134</v>
      </c>
      <c r="F9274" s="128">
        <v>10195757.699999999</v>
      </c>
      <c r="G9274" s="128">
        <v>4428998.93</v>
      </c>
      <c r="H9274" s="128">
        <v>2814118.76</v>
      </c>
      <c r="I9274" s="128">
        <v>47704</v>
      </c>
    </row>
    <row r="9275" spans="1:9" ht="13.5">
      <c r="A9275" s="128">
        <v>2016</v>
      </c>
      <c r="B9275" s="128" t="s">
        <v>139</v>
      </c>
      <c r="C9275" s="128" t="s">
        <v>20</v>
      </c>
      <c r="D9275" s="128" t="s">
        <v>79</v>
      </c>
      <c r="E9275" s="128" t="s">
        <v>135</v>
      </c>
      <c r="F9275" s="128">
        <v>78750675.540000007</v>
      </c>
      <c r="G9275" s="128">
        <v>18141047.850000001</v>
      </c>
      <c r="H9275" s="128">
        <v>6342754.0300000003</v>
      </c>
      <c r="I9275" s="128">
        <v>93303</v>
      </c>
    </row>
    <row r="9276" spans="1:9" ht="13.5">
      <c r="A9276" s="128">
        <v>2016</v>
      </c>
      <c r="B9276" s="128" t="s">
        <v>139</v>
      </c>
      <c r="C9276" s="128" t="s">
        <v>20</v>
      </c>
      <c r="D9276" s="128" t="s">
        <v>77</v>
      </c>
      <c r="E9276" s="128" t="s">
        <v>132</v>
      </c>
      <c r="F9276" s="128">
        <v>2769169.23</v>
      </c>
      <c r="G9276" s="128">
        <v>1773000.64</v>
      </c>
      <c r="H9276" s="128">
        <v>906181.73</v>
      </c>
      <c r="I9276" s="128">
        <v>14060</v>
      </c>
    </row>
    <row r="9277" spans="1:9" ht="13.5">
      <c r="A9277" s="128">
        <v>2016</v>
      </c>
      <c r="B9277" s="128" t="s">
        <v>139</v>
      </c>
      <c r="C9277" s="128" t="s">
        <v>20</v>
      </c>
      <c r="D9277" s="128" t="s">
        <v>77</v>
      </c>
      <c r="E9277" s="128" t="s">
        <v>133</v>
      </c>
      <c r="F9277" s="128">
        <v>4657898.3099999996</v>
      </c>
      <c r="G9277" s="128">
        <v>2533835.21</v>
      </c>
      <c r="H9277" s="128">
        <v>1866047.25</v>
      </c>
      <c r="I9277" s="128">
        <v>15649</v>
      </c>
    </row>
    <row r="9278" spans="1:9" ht="13.5">
      <c r="A9278" s="128">
        <v>2016</v>
      </c>
      <c r="B9278" s="128" t="s">
        <v>139</v>
      </c>
      <c r="C9278" s="128" t="s">
        <v>20</v>
      </c>
      <c r="D9278" s="128" t="s">
        <v>77</v>
      </c>
      <c r="E9278" s="128" t="s">
        <v>134</v>
      </c>
      <c r="F9278" s="128">
        <v>11595619.65</v>
      </c>
      <c r="G9278" s="128">
        <v>5048550.12</v>
      </c>
      <c r="H9278" s="128">
        <v>5147492.93</v>
      </c>
      <c r="I9278" s="128">
        <v>27688</v>
      </c>
    </row>
    <row r="9279" spans="1:9" ht="13.5">
      <c r="A9279" s="128">
        <v>2016</v>
      </c>
      <c r="B9279" s="128" t="s">
        <v>139</v>
      </c>
      <c r="C9279" s="128" t="s">
        <v>20</v>
      </c>
      <c r="D9279" s="128" t="s">
        <v>77</v>
      </c>
      <c r="E9279" s="128" t="s">
        <v>135</v>
      </c>
      <c r="F9279" s="128">
        <v>26551562.670000002</v>
      </c>
      <c r="G9279" s="128">
        <v>7113082.6200000001</v>
      </c>
      <c r="H9279" s="128">
        <v>8407757.0199999996</v>
      </c>
      <c r="I9279" s="128">
        <v>100636</v>
      </c>
    </row>
    <row r="9280" spans="1:9" ht="13.5">
      <c r="A9280" s="128">
        <v>2016</v>
      </c>
      <c r="B9280" s="128" t="s">
        <v>139</v>
      </c>
      <c r="C9280" s="128" t="s">
        <v>20</v>
      </c>
      <c r="D9280" s="128" t="s">
        <v>76</v>
      </c>
      <c r="E9280" s="128" t="s">
        <v>136</v>
      </c>
      <c r="F9280" s="128">
        <v>17065112.300000001</v>
      </c>
      <c r="G9280" s="128">
        <v>12818437.439999999</v>
      </c>
      <c r="H9280" s="128">
        <v>4246798.7</v>
      </c>
      <c r="I9280" s="128">
        <v>460324</v>
      </c>
    </row>
    <row r="9281" spans="1:9" ht="13.5">
      <c r="A9281" s="128">
        <v>2016</v>
      </c>
      <c r="B9281" s="128" t="s">
        <v>139</v>
      </c>
      <c r="C9281" s="128" t="s">
        <v>20</v>
      </c>
      <c r="D9281" s="128" t="s">
        <v>76</v>
      </c>
      <c r="E9281" s="128" t="s">
        <v>132</v>
      </c>
      <c r="F9281" s="128">
        <v>43242604.079999998</v>
      </c>
      <c r="G9281" s="128">
        <v>27446021.010000002</v>
      </c>
      <c r="H9281" s="128">
        <v>15796523.48</v>
      </c>
      <c r="I9281" s="128">
        <v>452438</v>
      </c>
    </row>
    <row r="9282" spans="1:9" ht="13.5">
      <c r="A9282" s="128">
        <v>2016</v>
      </c>
      <c r="B9282" s="128" t="s">
        <v>139</v>
      </c>
      <c r="C9282" s="128" t="s">
        <v>20</v>
      </c>
      <c r="D9282" s="128" t="s">
        <v>76</v>
      </c>
      <c r="E9282" s="128" t="s">
        <v>133</v>
      </c>
      <c r="F9282" s="128">
        <v>78202667.980000004</v>
      </c>
      <c r="G9282" s="128">
        <v>42874923.700000003</v>
      </c>
      <c r="H9282" s="128">
        <v>35327718.890000001</v>
      </c>
      <c r="I9282" s="128">
        <v>486310</v>
      </c>
    </row>
    <row r="9283" spans="1:9" ht="13.5">
      <c r="A9283" s="128">
        <v>2016</v>
      </c>
      <c r="B9283" s="128" t="s">
        <v>139</v>
      </c>
      <c r="C9283" s="128" t="s">
        <v>20</v>
      </c>
      <c r="D9283" s="128" t="s">
        <v>76</v>
      </c>
      <c r="E9283" s="128" t="s">
        <v>134</v>
      </c>
      <c r="F9283" s="128">
        <v>86600128.150000006</v>
      </c>
      <c r="G9283" s="128">
        <v>39635200.25</v>
      </c>
      <c r="H9283" s="128">
        <v>46964858.039999999</v>
      </c>
      <c r="I9283" s="128">
        <v>469743</v>
      </c>
    </row>
    <row r="9284" spans="1:9" ht="13.5">
      <c r="A9284" s="128">
        <v>2016</v>
      </c>
      <c r="B9284" s="128" t="s">
        <v>139</v>
      </c>
      <c r="C9284" s="128" t="s">
        <v>20</v>
      </c>
      <c r="D9284" s="128" t="s">
        <v>76</v>
      </c>
      <c r="E9284" s="128" t="s">
        <v>135</v>
      </c>
      <c r="F9284" s="128">
        <v>6882119.7800000003</v>
      </c>
      <c r="G9284" s="128">
        <v>2012738.54</v>
      </c>
      <c r="H9284" s="128">
        <v>4869381.24</v>
      </c>
      <c r="I9284" s="128">
        <v>15128</v>
      </c>
    </row>
    <row r="9285" spans="1:9" ht="13.5">
      <c r="A9285" s="128">
        <v>2016</v>
      </c>
      <c r="B9285" s="128" t="s">
        <v>139</v>
      </c>
      <c r="C9285" s="128" t="s">
        <v>21</v>
      </c>
      <c r="D9285" s="128" t="s">
        <v>79</v>
      </c>
      <c r="E9285" s="128" t="s">
        <v>136</v>
      </c>
      <c r="F9285" s="128">
        <v>8494386.8699999992</v>
      </c>
      <c r="G9285" s="128">
        <v>6376903.5599999996</v>
      </c>
      <c r="H9285" s="128">
        <v>2106381.39</v>
      </c>
      <c r="I9285" s="128">
        <v>169023</v>
      </c>
    </row>
    <row r="9286" spans="1:9" ht="13.5">
      <c r="A9286" s="128">
        <v>2016</v>
      </c>
      <c r="B9286" s="128" t="s">
        <v>139</v>
      </c>
      <c r="C9286" s="128" t="s">
        <v>21</v>
      </c>
      <c r="D9286" s="128" t="s">
        <v>79</v>
      </c>
      <c r="E9286" s="128" t="s">
        <v>132</v>
      </c>
      <c r="F9286" s="128">
        <v>1785863.64</v>
      </c>
      <c r="G9286" s="128">
        <v>1162519.92</v>
      </c>
      <c r="H9286" s="128">
        <v>467455.48</v>
      </c>
      <c r="I9286" s="128">
        <v>8318</v>
      </c>
    </row>
    <row r="9287" spans="1:9" ht="13.5">
      <c r="A9287" s="128">
        <v>2016</v>
      </c>
      <c r="B9287" s="128" t="s">
        <v>139</v>
      </c>
      <c r="C9287" s="128" t="s">
        <v>21</v>
      </c>
      <c r="D9287" s="128" t="s">
        <v>79</v>
      </c>
      <c r="E9287" s="128" t="s">
        <v>133</v>
      </c>
      <c r="F9287" s="128">
        <v>4524437.3099999996</v>
      </c>
      <c r="G9287" s="128">
        <v>2454784.5299999998</v>
      </c>
      <c r="H9287" s="128">
        <v>1539921.83</v>
      </c>
      <c r="I9287" s="128">
        <v>62895</v>
      </c>
    </row>
    <row r="9288" spans="1:9" ht="13.5">
      <c r="A9288" s="128">
        <v>2016</v>
      </c>
      <c r="B9288" s="128" t="s">
        <v>139</v>
      </c>
      <c r="C9288" s="128" t="s">
        <v>21</v>
      </c>
      <c r="D9288" s="128" t="s">
        <v>79</v>
      </c>
      <c r="E9288" s="128" t="s">
        <v>134</v>
      </c>
      <c r="F9288" s="128">
        <v>7369879.29</v>
      </c>
      <c r="G9288" s="128">
        <v>3139418.48</v>
      </c>
      <c r="H9288" s="128">
        <v>2684231.7200000002</v>
      </c>
      <c r="I9288" s="128">
        <v>45351</v>
      </c>
    </row>
    <row r="9289" spans="1:9" ht="13.5">
      <c r="A9289" s="128">
        <v>2016</v>
      </c>
      <c r="B9289" s="128" t="s">
        <v>139</v>
      </c>
      <c r="C9289" s="128" t="s">
        <v>21</v>
      </c>
      <c r="D9289" s="128" t="s">
        <v>79</v>
      </c>
      <c r="E9289" s="128" t="s">
        <v>135</v>
      </c>
      <c r="F9289" s="128">
        <v>21862561.620000001</v>
      </c>
      <c r="G9289" s="128">
        <v>5366562.34</v>
      </c>
      <c r="H9289" s="128">
        <v>2131664.2400000002</v>
      </c>
      <c r="I9289" s="128">
        <v>44177</v>
      </c>
    </row>
    <row r="9290" spans="1:9" ht="13.5">
      <c r="A9290" s="128">
        <v>2016</v>
      </c>
      <c r="B9290" s="128" t="s">
        <v>139</v>
      </c>
      <c r="C9290" s="128" t="s">
        <v>21</v>
      </c>
      <c r="D9290" s="128" t="s">
        <v>77</v>
      </c>
      <c r="E9290" s="128" t="s">
        <v>132</v>
      </c>
      <c r="F9290" s="128">
        <v>3349490.42</v>
      </c>
      <c r="G9290" s="128">
        <v>2208763.85</v>
      </c>
      <c r="H9290" s="128">
        <v>978927.96</v>
      </c>
      <c r="I9290" s="128">
        <v>20786</v>
      </c>
    </row>
    <row r="9291" spans="1:9" ht="13.5">
      <c r="A9291" s="128">
        <v>2016</v>
      </c>
      <c r="B9291" s="128" t="s">
        <v>139</v>
      </c>
      <c r="C9291" s="128" t="s">
        <v>21</v>
      </c>
      <c r="D9291" s="128" t="s">
        <v>77</v>
      </c>
      <c r="E9291" s="128" t="s">
        <v>133</v>
      </c>
      <c r="F9291" s="128">
        <v>5857882.4900000002</v>
      </c>
      <c r="G9291" s="128">
        <v>3198043.25</v>
      </c>
      <c r="H9291" s="128">
        <v>2113102.54</v>
      </c>
      <c r="I9291" s="128">
        <v>22076</v>
      </c>
    </row>
    <row r="9292" spans="1:9" ht="13.5">
      <c r="A9292" s="128">
        <v>2016</v>
      </c>
      <c r="B9292" s="128" t="s">
        <v>139</v>
      </c>
      <c r="C9292" s="128" t="s">
        <v>21</v>
      </c>
      <c r="D9292" s="128" t="s">
        <v>77</v>
      </c>
      <c r="E9292" s="128" t="s">
        <v>134</v>
      </c>
      <c r="F9292" s="128">
        <v>11170137.970000001</v>
      </c>
      <c r="G9292" s="128">
        <v>4839187.32</v>
      </c>
      <c r="H9292" s="128">
        <v>4453964.04</v>
      </c>
      <c r="I9292" s="128">
        <v>29105</v>
      </c>
    </row>
    <row r="9293" spans="1:9" ht="13.5">
      <c r="A9293" s="128">
        <v>2016</v>
      </c>
      <c r="B9293" s="128" t="s">
        <v>139</v>
      </c>
      <c r="C9293" s="128" t="s">
        <v>21</v>
      </c>
      <c r="D9293" s="128" t="s">
        <v>77</v>
      </c>
      <c r="E9293" s="128" t="s">
        <v>135</v>
      </c>
      <c r="F9293" s="128">
        <v>20597115.140000001</v>
      </c>
      <c r="G9293" s="128">
        <v>5950213.5</v>
      </c>
      <c r="H9293" s="128">
        <v>6798330.6399999997</v>
      </c>
      <c r="I9293" s="128">
        <v>83705</v>
      </c>
    </row>
    <row r="9294" spans="1:9" ht="13.5">
      <c r="A9294" s="128">
        <v>2016</v>
      </c>
      <c r="B9294" s="128" t="s">
        <v>139</v>
      </c>
      <c r="C9294" s="128" t="s">
        <v>21</v>
      </c>
      <c r="D9294" s="128" t="s">
        <v>76</v>
      </c>
      <c r="E9294" s="128" t="s">
        <v>136</v>
      </c>
      <c r="F9294" s="128">
        <v>17279363.399999999</v>
      </c>
      <c r="G9294" s="128">
        <v>12995879.960000001</v>
      </c>
      <c r="H9294" s="128">
        <v>4283565.9400000004</v>
      </c>
      <c r="I9294" s="128">
        <v>275863</v>
      </c>
    </row>
    <row r="9295" spans="1:9" ht="13.5">
      <c r="A9295" s="128">
        <v>2016</v>
      </c>
      <c r="B9295" s="128" t="s">
        <v>139</v>
      </c>
      <c r="C9295" s="128" t="s">
        <v>21</v>
      </c>
      <c r="D9295" s="128" t="s">
        <v>76</v>
      </c>
      <c r="E9295" s="128" t="s">
        <v>132</v>
      </c>
      <c r="F9295" s="128">
        <v>39800362.640000001</v>
      </c>
      <c r="G9295" s="128">
        <v>25248494.41</v>
      </c>
      <c r="H9295" s="128">
        <v>14551678.02</v>
      </c>
      <c r="I9295" s="128">
        <v>331100</v>
      </c>
    </row>
    <row r="9296" spans="1:9" ht="13.5">
      <c r="A9296" s="128">
        <v>2016</v>
      </c>
      <c r="B9296" s="128" t="s">
        <v>139</v>
      </c>
      <c r="C9296" s="128" t="s">
        <v>21</v>
      </c>
      <c r="D9296" s="128" t="s">
        <v>76</v>
      </c>
      <c r="E9296" s="128" t="s">
        <v>133</v>
      </c>
      <c r="F9296" s="128">
        <v>88717817.359999999</v>
      </c>
      <c r="G9296" s="128">
        <v>48687214.100000001</v>
      </c>
      <c r="H9296" s="128">
        <v>40030567.670000002</v>
      </c>
      <c r="I9296" s="128">
        <v>616868</v>
      </c>
    </row>
    <row r="9297" spans="1:9" ht="13.5">
      <c r="A9297" s="128">
        <v>2016</v>
      </c>
      <c r="B9297" s="128" t="s">
        <v>139</v>
      </c>
      <c r="C9297" s="128" t="s">
        <v>21</v>
      </c>
      <c r="D9297" s="128" t="s">
        <v>76</v>
      </c>
      <c r="E9297" s="128" t="s">
        <v>134</v>
      </c>
      <c r="F9297" s="128">
        <v>88128043.510000005</v>
      </c>
      <c r="G9297" s="128">
        <v>39538724.439999998</v>
      </c>
      <c r="H9297" s="128">
        <v>48589251.409999996</v>
      </c>
      <c r="I9297" s="128">
        <v>463229</v>
      </c>
    </row>
    <row r="9298" spans="1:9" ht="13.5">
      <c r="A9298" s="128">
        <v>2016</v>
      </c>
      <c r="B9298" s="128" t="s">
        <v>139</v>
      </c>
      <c r="C9298" s="128" t="s">
        <v>21</v>
      </c>
      <c r="D9298" s="128" t="s">
        <v>76</v>
      </c>
      <c r="E9298" s="128" t="s">
        <v>135</v>
      </c>
      <c r="F9298" s="128">
        <v>3174038.5</v>
      </c>
      <c r="G9298" s="128">
        <v>816947.38</v>
      </c>
      <c r="H9298" s="128">
        <v>2357088.9900000002</v>
      </c>
      <c r="I9298" s="128">
        <v>3800</v>
      </c>
    </row>
    <row r="9299" spans="1:9" ht="13.5">
      <c r="A9299" s="128">
        <v>2016</v>
      </c>
      <c r="B9299" s="128" t="s">
        <v>139</v>
      </c>
      <c r="C9299" s="128" t="s">
        <v>22</v>
      </c>
      <c r="D9299" s="128" t="s">
        <v>79</v>
      </c>
      <c r="E9299" s="128" t="s">
        <v>136</v>
      </c>
      <c r="F9299" s="128">
        <v>6758339.3600000003</v>
      </c>
      <c r="G9299" s="128">
        <v>5062048.99</v>
      </c>
      <c r="H9299" s="128">
        <v>1679760.39</v>
      </c>
      <c r="I9299" s="128">
        <v>92868</v>
      </c>
    </row>
    <row r="9300" spans="1:9" ht="13.5">
      <c r="A9300" s="128">
        <v>2016</v>
      </c>
      <c r="B9300" s="128" t="s">
        <v>139</v>
      </c>
      <c r="C9300" s="128" t="s">
        <v>22</v>
      </c>
      <c r="D9300" s="128" t="s">
        <v>79</v>
      </c>
      <c r="E9300" s="128" t="s">
        <v>132</v>
      </c>
      <c r="F9300" s="128">
        <v>5833718.5999999996</v>
      </c>
      <c r="G9300" s="128">
        <v>3811108.47</v>
      </c>
      <c r="H9300" s="128">
        <v>1678820.78</v>
      </c>
      <c r="I9300" s="128">
        <v>49008</v>
      </c>
    </row>
    <row r="9301" spans="1:9" ht="13.5">
      <c r="A9301" s="128">
        <v>2016</v>
      </c>
      <c r="B9301" s="128" t="s">
        <v>139</v>
      </c>
      <c r="C9301" s="128" t="s">
        <v>22</v>
      </c>
      <c r="D9301" s="128" t="s">
        <v>79</v>
      </c>
      <c r="E9301" s="128" t="s">
        <v>133</v>
      </c>
      <c r="F9301" s="128">
        <v>4281365.18</v>
      </c>
      <c r="G9301" s="128">
        <v>2279804.04</v>
      </c>
      <c r="H9301" s="128">
        <v>1328394.5</v>
      </c>
      <c r="I9301" s="128">
        <v>45491</v>
      </c>
    </row>
    <row r="9302" spans="1:9" ht="13.5">
      <c r="A9302" s="128">
        <v>2016</v>
      </c>
      <c r="B9302" s="128" t="s">
        <v>139</v>
      </c>
      <c r="C9302" s="128" t="s">
        <v>22</v>
      </c>
      <c r="D9302" s="128" t="s">
        <v>79</v>
      </c>
      <c r="E9302" s="128" t="s">
        <v>134</v>
      </c>
      <c r="F9302" s="128">
        <v>9286599.8100000005</v>
      </c>
      <c r="G9302" s="128">
        <v>4069174.28</v>
      </c>
      <c r="H9302" s="128">
        <v>3383995.15</v>
      </c>
      <c r="I9302" s="128">
        <v>48571</v>
      </c>
    </row>
    <row r="9303" spans="1:9" ht="13.5">
      <c r="A9303" s="128">
        <v>2016</v>
      </c>
      <c r="B9303" s="128" t="s">
        <v>139</v>
      </c>
      <c r="C9303" s="128" t="s">
        <v>22</v>
      </c>
      <c r="D9303" s="128" t="s">
        <v>79</v>
      </c>
      <c r="E9303" s="128" t="s">
        <v>135</v>
      </c>
      <c r="F9303" s="128">
        <v>36371328.200000003</v>
      </c>
      <c r="G9303" s="128">
        <v>8936599.2100000009</v>
      </c>
      <c r="H9303" s="128">
        <v>3193656.19</v>
      </c>
      <c r="I9303" s="128">
        <v>45384</v>
      </c>
    </row>
    <row r="9304" spans="1:9" ht="13.5">
      <c r="A9304" s="128">
        <v>2016</v>
      </c>
      <c r="B9304" s="128" t="s">
        <v>139</v>
      </c>
      <c r="C9304" s="128" t="s">
        <v>22</v>
      </c>
      <c r="D9304" s="128" t="s">
        <v>77</v>
      </c>
      <c r="E9304" s="128" t="s">
        <v>132</v>
      </c>
      <c r="F9304" s="128">
        <v>1397545.47</v>
      </c>
      <c r="G9304" s="128">
        <v>887439.2</v>
      </c>
      <c r="H9304" s="128">
        <v>426113.02</v>
      </c>
      <c r="I9304" s="128">
        <v>6707</v>
      </c>
    </row>
    <row r="9305" spans="1:9" ht="13.5">
      <c r="A9305" s="128">
        <v>2016</v>
      </c>
      <c r="B9305" s="128" t="s">
        <v>139</v>
      </c>
      <c r="C9305" s="128" t="s">
        <v>22</v>
      </c>
      <c r="D9305" s="128" t="s">
        <v>77</v>
      </c>
      <c r="E9305" s="128" t="s">
        <v>133</v>
      </c>
      <c r="F9305" s="128">
        <v>2415217.59</v>
      </c>
      <c r="G9305" s="128">
        <v>1305640.97</v>
      </c>
      <c r="H9305" s="128">
        <v>924877.7</v>
      </c>
      <c r="I9305" s="128">
        <v>10658</v>
      </c>
    </row>
    <row r="9306" spans="1:9" ht="13.5">
      <c r="A9306" s="128">
        <v>2016</v>
      </c>
      <c r="B9306" s="128" t="s">
        <v>139</v>
      </c>
      <c r="C9306" s="128" t="s">
        <v>22</v>
      </c>
      <c r="D9306" s="128" t="s">
        <v>77</v>
      </c>
      <c r="E9306" s="128" t="s">
        <v>134</v>
      </c>
      <c r="F9306" s="128">
        <v>8373884.8600000003</v>
      </c>
      <c r="G9306" s="128">
        <v>3573715.19</v>
      </c>
      <c r="H9306" s="128">
        <v>3515369.83</v>
      </c>
      <c r="I9306" s="128">
        <v>15620</v>
      </c>
    </row>
    <row r="9307" spans="1:9" ht="13.5">
      <c r="A9307" s="128">
        <v>2016</v>
      </c>
      <c r="B9307" s="128" t="s">
        <v>139</v>
      </c>
      <c r="C9307" s="128" t="s">
        <v>22</v>
      </c>
      <c r="D9307" s="128" t="s">
        <v>77</v>
      </c>
      <c r="E9307" s="128" t="s">
        <v>135</v>
      </c>
      <c r="F9307" s="128">
        <v>17343368.620000001</v>
      </c>
      <c r="G9307" s="128">
        <v>4843249.6900000004</v>
      </c>
      <c r="H9307" s="128">
        <v>5592169.46</v>
      </c>
      <c r="I9307" s="128">
        <v>47493</v>
      </c>
    </row>
    <row r="9308" spans="1:9" ht="13.5">
      <c r="A9308" s="128">
        <v>2016</v>
      </c>
      <c r="B9308" s="128" t="s">
        <v>139</v>
      </c>
      <c r="C9308" s="128" t="s">
        <v>22</v>
      </c>
      <c r="D9308" s="128" t="s">
        <v>76</v>
      </c>
      <c r="E9308" s="128" t="s">
        <v>136</v>
      </c>
      <c r="F9308" s="128">
        <v>12494789.939999999</v>
      </c>
      <c r="G9308" s="128">
        <v>9380231.1099999994</v>
      </c>
      <c r="H9308" s="128">
        <v>3114552.67</v>
      </c>
      <c r="I9308" s="128">
        <v>219991</v>
      </c>
    </row>
    <row r="9309" spans="1:9" ht="13.5">
      <c r="A9309" s="128">
        <v>2016</v>
      </c>
      <c r="B9309" s="128" t="s">
        <v>139</v>
      </c>
      <c r="C9309" s="128" t="s">
        <v>22</v>
      </c>
      <c r="D9309" s="128" t="s">
        <v>76</v>
      </c>
      <c r="E9309" s="128" t="s">
        <v>132</v>
      </c>
      <c r="F9309" s="128">
        <v>35256983.75</v>
      </c>
      <c r="G9309" s="128">
        <v>22449405.370000001</v>
      </c>
      <c r="H9309" s="128">
        <v>12807489.65</v>
      </c>
      <c r="I9309" s="128">
        <v>322395</v>
      </c>
    </row>
    <row r="9310" spans="1:9" ht="13.5">
      <c r="A9310" s="128">
        <v>2016</v>
      </c>
      <c r="B9310" s="128" t="s">
        <v>139</v>
      </c>
      <c r="C9310" s="128" t="s">
        <v>22</v>
      </c>
      <c r="D9310" s="128" t="s">
        <v>76</v>
      </c>
      <c r="E9310" s="128" t="s">
        <v>133</v>
      </c>
      <c r="F9310" s="128">
        <v>66335157.549999997</v>
      </c>
      <c r="G9310" s="128">
        <v>36621030.240000002</v>
      </c>
      <c r="H9310" s="128">
        <v>29713671.079999998</v>
      </c>
      <c r="I9310" s="128">
        <v>539268</v>
      </c>
    </row>
    <row r="9311" spans="1:9" ht="13.5">
      <c r="A9311" s="128">
        <v>2016</v>
      </c>
      <c r="B9311" s="128" t="s">
        <v>139</v>
      </c>
      <c r="C9311" s="128" t="s">
        <v>22</v>
      </c>
      <c r="D9311" s="128" t="s">
        <v>76</v>
      </c>
      <c r="E9311" s="128" t="s">
        <v>134</v>
      </c>
      <c r="F9311" s="128">
        <v>60439905.350000001</v>
      </c>
      <c r="G9311" s="128">
        <v>27674148.859999999</v>
      </c>
      <c r="H9311" s="128">
        <v>32765457.809999999</v>
      </c>
      <c r="I9311" s="128">
        <v>386576</v>
      </c>
    </row>
    <row r="9312" spans="1:9" ht="13.5">
      <c r="A9312" s="128">
        <v>2016</v>
      </c>
      <c r="B9312" s="128" t="s">
        <v>139</v>
      </c>
      <c r="C9312" s="128" t="s">
        <v>22</v>
      </c>
      <c r="D9312" s="128" t="s">
        <v>76</v>
      </c>
      <c r="E9312" s="128" t="s">
        <v>135</v>
      </c>
      <c r="F9312" s="128">
        <v>5605313.7699999996</v>
      </c>
      <c r="G9312" s="128">
        <v>1609856.3</v>
      </c>
      <c r="H9312" s="128">
        <v>3995455.72</v>
      </c>
      <c r="I9312" s="128">
        <v>6981</v>
      </c>
    </row>
    <row r="9313" spans="1:9" ht="13.5">
      <c r="A9313" s="128">
        <v>2016</v>
      </c>
      <c r="B9313" s="128" t="s">
        <v>139</v>
      </c>
      <c r="C9313" s="128" t="s">
        <v>23</v>
      </c>
      <c r="D9313" s="128" t="s">
        <v>79</v>
      </c>
      <c r="E9313" s="128" t="s">
        <v>136</v>
      </c>
      <c r="F9313" s="128">
        <v>1682937.79</v>
      </c>
      <c r="G9313" s="128">
        <v>1262799.3799999999</v>
      </c>
      <c r="H9313" s="128">
        <v>419919.21</v>
      </c>
      <c r="I9313" s="128">
        <v>18222</v>
      </c>
    </row>
    <row r="9314" spans="1:9" ht="13.5">
      <c r="A9314" s="128">
        <v>2016</v>
      </c>
      <c r="B9314" s="128" t="s">
        <v>139</v>
      </c>
      <c r="C9314" s="128" t="s">
        <v>23</v>
      </c>
      <c r="D9314" s="128" t="s">
        <v>79</v>
      </c>
      <c r="E9314" s="128" t="s">
        <v>132</v>
      </c>
      <c r="F9314" s="128">
        <v>772256.72</v>
      </c>
      <c r="G9314" s="128">
        <v>495660.08</v>
      </c>
      <c r="H9314" s="128">
        <v>230394.71</v>
      </c>
      <c r="I9314" s="128">
        <v>3401</v>
      </c>
    </row>
    <row r="9315" spans="1:9" ht="13.5">
      <c r="A9315" s="128">
        <v>2016</v>
      </c>
      <c r="B9315" s="128" t="s">
        <v>139</v>
      </c>
      <c r="C9315" s="128" t="s">
        <v>23</v>
      </c>
      <c r="D9315" s="128" t="s">
        <v>79</v>
      </c>
      <c r="E9315" s="128" t="s">
        <v>133</v>
      </c>
      <c r="F9315" s="128">
        <v>1401205.32</v>
      </c>
      <c r="G9315" s="128">
        <v>768881.14</v>
      </c>
      <c r="H9315" s="128">
        <v>580833.81000000006</v>
      </c>
      <c r="I9315" s="128">
        <v>17687</v>
      </c>
    </row>
    <row r="9316" spans="1:9" ht="13.5">
      <c r="A9316" s="128">
        <v>2016</v>
      </c>
      <c r="B9316" s="128" t="s">
        <v>139</v>
      </c>
      <c r="C9316" s="128" t="s">
        <v>23</v>
      </c>
      <c r="D9316" s="128" t="s">
        <v>79</v>
      </c>
      <c r="E9316" s="128" t="s">
        <v>134</v>
      </c>
      <c r="F9316" s="128">
        <v>2233583.73</v>
      </c>
      <c r="G9316" s="128">
        <v>966318.41</v>
      </c>
      <c r="H9316" s="128">
        <v>1138811.96</v>
      </c>
      <c r="I9316" s="128">
        <v>9057</v>
      </c>
    </row>
    <row r="9317" spans="1:9" ht="13.5">
      <c r="A9317" s="128">
        <v>2016</v>
      </c>
      <c r="B9317" s="128" t="s">
        <v>139</v>
      </c>
      <c r="C9317" s="128" t="s">
        <v>23</v>
      </c>
      <c r="D9317" s="128" t="s">
        <v>79</v>
      </c>
      <c r="E9317" s="128" t="s">
        <v>135</v>
      </c>
      <c r="F9317" s="128">
        <v>1812658.73</v>
      </c>
      <c r="G9317" s="128">
        <v>454577.41</v>
      </c>
      <c r="H9317" s="128">
        <v>249075.7</v>
      </c>
      <c r="I9317" s="128">
        <v>2909</v>
      </c>
    </row>
    <row r="9318" spans="1:9" ht="13.5">
      <c r="A9318" s="128">
        <v>2016</v>
      </c>
      <c r="B9318" s="128" t="s">
        <v>139</v>
      </c>
      <c r="C9318" s="128" t="s">
        <v>23</v>
      </c>
      <c r="D9318" s="128" t="s">
        <v>77</v>
      </c>
      <c r="E9318" s="128" t="s">
        <v>132</v>
      </c>
      <c r="F9318" s="128">
        <v>456458.66</v>
      </c>
      <c r="G9318" s="128">
        <v>305584.09999999998</v>
      </c>
      <c r="H9318" s="128">
        <v>114405.66</v>
      </c>
      <c r="I9318" s="128">
        <v>2290</v>
      </c>
    </row>
    <row r="9319" spans="1:9" ht="13.5">
      <c r="A9319" s="128">
        <v>2016</v>
      </c>
      <c r="B9319" s="128" t="s">
        <v>139</v>
      </c>
      <c r="C9319" s="128" t="s">
        <v>23</v>
      </c>
      <c r="D9319" s="128" t="s">
        <v>77</v>
      </c>
      <c r="E9319" s="128" t="s">
        <v>133</v>
      </c>
      <c r="F9319" s="128">
        <v>813621.23</v>
      </c>
      <c r="G9319" s="128">
        <v>441482.03</v>
      </c>
      <c r="H9319" s="128">
        <v>322329.84000000003</v>
      </c>
      <c r="I9319" s="128">
        <v>2866</v>
      </c>
    </row>
    <row r="9320" spans="1:9" ht="13.5">
      <c r="A9320" s="128">
        <v>2016</v>
      </c>
      <c r="B9320" s="128" t="s">
        <v>139</v>
      </c>
      <c r="C9320" s="128" t="s">
        <v>23</v>
      </c>
      <c r="D9320" s="128" t="s">
        <v>77</v>
      </c>
      <c r="E9320" s="128" t="s">
        <v>134</v>
      </c>
      <c r="F9320" s="128">
        <v>3600473.74</v>
      </c>
      <c r="G9320" s="128">
        <v>1519228.9</v>
      </c>
      <c r="H9320" s="128">
        <v>1602079.28</v>
      </c>
      <c r="I9320" s="128">
        <v>7207</v>
      </c>
    </row>
    <row r="9321" spans="1:9" ht="13.5">
      <c r="A9321" s="128">
        <v>2016</v>
      </c>
      <c r="B9321" s="128" t="s">
        <v>139</v>
      </c>
      <c r="C9321" s="128" t="s">
        <v>23</v>
      </c>
      <c r="D9321" s="128" t="s">
        <v>77</v>
      </c>
      <c r="E9321" s="128" t="s">
        <v>135</v>
      </c>
      <c r="F9321" s="128">
        <v>5022506.3099999996</v>
      </c>
      <c r="G9321" s="128">
        <v>1520508.45</v>
      </c>
      <c r="H9321" s="128">
        <v>1956475.45</v>
      </c>
      <c r="I9321" s="128">
        <v>21938</v>
      </c>
    </row>
    <row r="9322" spans="1:9" ht="13.5">
      <c r="A9322" s="128">
        <v>2016</v>
      </c>
      <c r="B9322" s="128" t="s">
        <v>139</v>
      </c>
      <c r="C9322" s="128" t="s">
        <v>23</v>
      </c>
      <c r="D9322" s="128" t="s">
        <v>76</v>
      </c>
      <c r="E9322" s="128" t="s">
        <v>136</v>
      </c>
      <c r="F9322" s="128">
        <v>4146102.12</v>
      </c>
      <c r="G9322" s="128">
        <v>3111890.05</v>
      </c>
      <c r="H9322" s="128">
        <v>1034212.05</v>
      </c>
      <c r="I9322" s="128">
        <v>70226</v>
      </c>
    </row>
    <row r="9323" spans="1:9" ht="13.5">
      <c r="A9323" s="128">
        <v>2016</v>
      </c>
      <c r="B9323" s="128" t="s">
        <v>139</v>
      </c>
      <c r="C9323" s="128" t="s">
        <v>23</v>
      </c>
      <c r="D9323" s="128" t="s">
        <v>76</v>
      </c>
      <c r="E9323" s="128" t="s">
        <v>132</v>
      </c>
      <c r="F9323" s="128">
        <v>6920924.5700000003</v>
      </c>
      <c r="G9323" s="128">
        <v>4365378.9000000004</v>
      </c>
      <c r="H9323" s="128">
        <v>2555534.39</v>
      </c>
      <c r="I9323" s="128">
        <v>67940</v>
      </c>
    </row>
    <row r="9324" spans="1:9" ht="13.5">
      <c r="A9324" s="128">
        <v>2016</v>
      </c>
      <c r="B9324" s="128" t="s">
        <v>139</v>
      </c>
      <c r="C9324" s="128" t="s">
        <v>23</v>
      </c>
      <c r="D9324" s="128" t="s">
        <v>76</v>
      </c>
      <c r="E9324" s="128" t="s">
        <v>133</v>
      </c>
      <c r="F9324" s="128">
        <v>21284283.969999999</v>
      </c>
      <c r="G9324" s="128">
        <v>11587145.109999999</v>
      </c>
      <c r="H9324" s="128">
        <v>9697131.2799999993</v>
      </c>
      <c r="I9324" s="128">
        <v>173500</v>
      </c>
    </row>
    <row r="9325" spans="1:9" ht="13.5">
      <c r="A9325" s="128">
        <v>2016</v>
      </c>
      <c r="B9325" s="128" t="s">
        <v>139</v>
      </c>
      <c r="C9325" s="128" t="s">
        <v>23</v>
      </c>
      <c r="D9325" s="128" t="s">
        <v>76</v>
      </c>
      <c r="E9325" s="128" t="s">
        <v>134</v>
      </c>
      <c r="F9325" s="128">
        <v>37003989.799999997</v>
      </c>
      <c r="G9325" s="128">
        <v>16464367.07</v>
      </c>
      <c r="H9325" s="128">
        <v>20539620.579999998</v>
      </c>
      <c r="I9325" s="128">
        <v>141470</v>
      </c>
    </row>
    <row r="9326" spans="1:9" ht="13.5">
      <c r="A9326" s="128">
        <v>2016</v>
      </c>
      <c r="B9326" s="128" t="s">
        <v>139</v>
      </c>
      <c r="C9326" s="128" t="s">
        <v>23</v>
      </c>
      <c r="D9326" s="128" t="s">
        <v>76</v>
      </c>
      <c r="E9326" s="128" t="s">
        <v>135</v>
      </c>
      <c r="F9326" s="128">
        <v>1569055.29</v>
      </c>
      <c r="G9326" s="128">
        <v>415091.75</v>
      </c>
      <c r="H9326" s="128">
        <v>1153963.54</v>
      </c>
      <c r="I9326" s="128">
        <v>1497</v>
      </c>
    </row>
    <row r="9327" spans="1:9" ht="13.5">
      <c r="A9327" s="128">
        <v>2016</v>
      </c>
      <c r="B9327" s="128" t="s">
        <v>139</v>
      </c>
      <c r="C9327" s="128" t="s">
        <v>24</v>
      </c>
      <c r="D9327" s="128" t="s">
        <v>79</v>
      </c>
      <c r="E9327" s="128" t="s">
        <v>136</v>
      </c>
      <c r="F9327" s="128">
        <v>2450590.42</v>
      </c>
      <c r="G9327" s="128">
        <v>1847655.68</v>
      </c>
      <c r="H9327" s="128">
        <v>602569.92000000004</v>
      </c>
      <c r="I9327" s="128">
        <v>50145</v>
      </c>
    </row>
    <row r="9328" spans="1:9" ht="13.5">
      <c r="A9328" s="128">
        <v>2016</v>
      </c>
      <c r="B9328" s="128" t="s">
        <v>139</v>
      </c>
      <c r="C9328" s="128" t="s">
        <v>24</v>
      </c>
      <c r="D9328" s="128" t="s">
        <v>79</v>
      </c>
      <c r="E9328" s="128" t="s">
        <v>132</v>
      </c>
      <c r="F9328" s="128">
        <v>482799.7</v>
      </c>
      <c r="G9328" s="128">
        <v>320331.15000000002</v>
      </c>
      <c r="H9328" s="128">
        <v>120502.52</v>
      </c>
      <c r="I9328" s="128">
        <v>2067</v>
      </c>
    </row>
    <row r="9329" spans="1:9" ht="13.5">
      <c r="A9329" s="128">
        <v>2016</v>
      </c>
      <c r="B9329" s="128" t="s">
        <v>139</v>
      </c>
      <c r="C9329" s="128" t="s">
        <v>24</v>
      </c>
      <c r="D9329" s="128" t="s">
        <v>79</v>
      </c>
      <c r="E9329" s="128" t="s">
        <v>133</v>
      </c>
      <c r="F9329" s="128">
        <v>1075202.0900000001</v>
      </c>
      <c r="G9329" s="128">
        <v>588952.38</v>
      </c>
      <c r="H9329" s="128">
        <v>330283.53999999998</v>
      </c>
      <c r="I9329" s="128">
        <v>10306</v>
      </c>
    </row>
    <row r="9330" spans="1:9" ht="13.5">
      <c r="A9330" s="128">
        <v>2016</v>
      </c>
      <c r="B9330" s="128" t="s">
        <v>139</v>
      </c>
      <c r="C9330" s="128" t="s">
        <v>24</v>
      </c>
      <c r="D9330" s="128" t="s">
        <v>79</v>
      </c>
      <c r="E9330" s="128" t="s">
        <v>134</v>
      </c>
      <c r="F9330" s="128">
        <v>2187884.66</v>
      </c>
      <c r="G9330" s="128">
        <v>958345.69</v>
      </c>
      <c r="H9330" s="128">
        <v>572706.48</v>
      </c>
      <c r="I9330" s="128">
        <v>8176</v>
      </c>
    </row>
    <row r="9331" spans="1:9" ht="13.5">
      <c r="A9331" s="128">
        <v>2016</v>
      </c>
      <c r="B9331" s="128" t="s">
        <v>139</v>
      </c>
      <c r="C9331" s="128" t="s">
        <v>24</v>
      </c>
      <c r="D9331" s="128" t="s">
        <v>79</v>
      </c>
      <c r="E9331" s="128" t="s">
        <v>135</v>
      </c>
      <c r="F9331" s="128">
        <v>7001020.0700000003</v>
      </c>
      <c r="G9331" s="128">
        <v>1674903.93</v>
      </c>
      <c r="H9331" s="128">
        <v>636389.57999999996</v>
      </c>
      <c r="I9331" s="128">
        <v>13148</v>
      </c>
    </row>
    <row r="9332" spans="1:9" ht="13.5">
      <c r="A9332" s="128">
        <v>2016</v>
      </c>
      <c r="B9332" s="128" t="s">
        <v>139</v>
      </c>
      <c r="C9332" s="128" t="s">
        <v>24</v>
      </c>
      <c r="D9332" s="128" t="s">
        <v>77</v>
      </c>
      <c r="E9332" s="128" t="s">
        <v>132</v>
      </c>
      <c r="F9332" s="128">
        <v>2025657.73</v>
      </c>
      <c r="G9332" s="128">
        <v>1399691.65</v>
      </c>
      <c r="H9332" s="128">
        <v>599835.99</v>
      </c>
      <c r="I9332" s="128">
        <v>11185</v>
      </c>
    </row>
    <row r="9333" spans="1:9" ht="13.5">
      <c r="A9333" s="128">
        <v>2016</v>
      </c>
      <c r="B9333" s="128" t="s">
        <v>139</v>
      </c>
      <c r="C9333" s="128" t="s">
        <v>24</v>
      </c>
      <c r="D9333" s="128" t="s">
        <v>77</v>
      </c>
      <c r="E9333" s="128" t="s">
        <v>133</v>
      </c>
      <c r="F9333" s="128">
        <v>3910173.37</v>
      </c>
      <c r="G9333" s="128">
        <v>2112226.1</v>
      </c>
      <c r="H9333" s="128">
        <v>1610253.99</v>
      </c>
      <c r="I9333" s="128">
        <v>27522</v>
      </c>
    </row>
    <row r="9334" spans="1:9" ht="13.5">
      <c r="A9334" s="128">
        <v>2016</v>
      </c>
      <c r="B9334" s="128" t="s">
        <v>139</v>
      </c>
      <c r="C9334" s="128" t="s">
        <v>24</v>
      </c>
      <c r="D9334" s="128" t="s">
        <v>77</v>
      </c>
      <c r="E9334" s="128" t="s">
        <v>134</v>
      </c>
      <c r="F9334" s="128">
        <v>7458475.4000000004</v>
      </c>
      <c r="G9334" s="128">
        <v>3319446.84</v>
      </c>
      <c r="H9334" s="128">
        <v>2948136.64</v>
      </c>
      <c r="I9334" s="128">
        <v>17337</v>
      </c>
    </row>
    <row r="9335" spans="1:9" ht="13.5">
      <c r="A9335" s="128">
        <v>2016</v>
      </c>
      <c r="B9335" s="128" t="s">
        <v>139</v>
      </c>
      <c r="C9335" s="128" t="s">
        <v>24</v>
      </c>
      <c r="D9335" s="128" t="s">
        <v>77</v>
      </c>
      <c r="E9335" s="128" t="s">
        <v>135</v>
      </c>
      <c r="F9335" s="128">
        <v>12995117.59</v>
      </c>
      <c r="G9335" s="128">
        <v>3419872.55</v>
      </c>
      <c r="H9335" s="128">
        <v>2243778.83</v>
      </c>
      <c r="I9335" s="128">
        <v>33676</v>
      </c>
    </row>
    <row r="9336" spans="1:9" ht="13.5">
      <c r="A9336" s="128">
        <v>2016</v>
      </c>
      <c r="B9336" s="128" t="s">
        <v>139</v>
      </c>
      <c r="C9336" s="128" t="s">
        <v>24</v>
      </c>
      <c r="D9336" s="128" t="s">
        <v>76</v>
      </c>
      <c r="E9336" s="128" t="s">
        <v>136</v>
      </c>
      <c r="F9336" s="128">
        <v>3899301.33</v>
      </c>
      <c r="G9336" s="128">
        <v>2934816.33</v>
      </c>
      <c r="H9336" s="128">
        <v>964502.8</v>
      </c>
      <c r="I9336" s="128">
        <v>35850</v>
      </c>
    </row>
    <row r="9337" spans="1:9" ht="13.5">
      <c r="A9337" s="128">
        <v>2016</v>
      </c>
      <c r="B9337" s="128" t="s">
        <v>139</v>
      </c>
      <c r="C9337" s="128" t="s">
        <v>24</v>
      </c>
      <c r="D9337" s="128" t="s">
        <v>76</v>
      </c>
      <c r="E9337" s="128" t="s">
        <v>132</v>
      </c>
      <c r="F9337" s="128">
        <v>6674082.7599999998</v>
      </c>
      <c r="G9337" s="128">
        <v>4320825.03</v>
      </c>
      <c r="H9337" s="128">
        <v>2353256.77</v>
      </c>
      <c r="I9337" s="128">
        <v>42799</v>
      </c>
    </row>
    <row r="9338" spans="1:9" ht="13.5">
      <c r="A9338" s="128">
        <v>2016</v>
      </c>
      <c r="B9338" s="128" t="s">
        <v>139</v>
      </c>
      <c r="C9338" s="128" t="s">
        <v>24</v>
      </c>
      <c r="D9338" s="128" t="s">
        <v>76</v>
      </c>
      <c r="E9338" s="128" t="s">
        <v>133</v>
      </c>
      <c r="F9338" s="128">
        <v>34944502.509999998</v>
      </c>
      <c r="G9338" s="128">
        <v>19365513.800000001</v>
      </c>
      <c r="H9338" s="128">
        <v>15578984.140000001</v>
      </c>
      <c r="I9338" s="128">
        <v>246851</v>
      </c>
    </row>
    <row r="9339" spans="1:9" ht="13.5">
      <c r="A9339" s="128">
        <v>2016</v>
      </c>
      <c r="B9339" s="128" t="s">
        <v>139</v>
      </c>
      <c r="C9339" s="128" t="s">
        <v>24</v>
      </c>
      <c r="D9339" s="128" t="s">
        <v>76</v>
      </c>
      <c r="E9339" s="128" t="s">
        <v>134</v>
      </c>
      <c r="F9339" s="128">
        <v>47229342.689999998</v>
      </c>
      <c r="G9339" s="128">
        <v>20918054.699999999</v>
      </c>
      <c r="H9339" s="128">
        <v>26311265.640000001</v>
      </c>
      <c r="I9339" s="128">
        <v>219820</v>
      </c>
    </row>
    <row r="9340" spans="1:9" ht="13.5">
      <c r="A9340" s="128">
        <v>2016</v>
      </c>
      <c r="B9340" s="128" t="s">
        <v>139</v>
      </c>
      <c r="C9340" s="128" t="s">
        <v>24</v>
      </c>
      <c r="D9340" s="128" t="s">
        <v>76</v>
      </c>
      <c r="E9340" s="128" t="s">
        <v>135</v>
      </c>
      <c r="F9340" s="128">
        <v>3181742.05</v>
      </c>
      <c r="G9340" s="128">
        <v>827124.81</v>
      </c>
      <c r="H9340" s="128">
        <v>2354617.25</v>
      </c>
      <c r="I9340" s="128">
        <v>2123</v>
      </c>
    </row>
    <row r="9341" spans="1:9" ht="13.5">
      <c r="A9341" s="128">
        <v>2016</v>
      </c>
      <c r="B9341" s="128" t="s">
        <v>139</v>
      </c>
      <c r="C9341" s="128" t="s">
        <v>25</v>
      </c>
      <c r="D9341" s="128" t="s">
        <v>79</v>
      </c>
      <c r="E9341" s="128" t="s">
        <v>136</v>
      </c>
      <c r="F9341" s="128">
        <v>501828.91</v>
      </c>
      <c r="G9341" s="128">
        <v>375917.69</v>
      </c>
      <c r="H9341" s="128">
        <v>124411.02</v>
      </c>
      <c r="I9341" s="128">
        <v>5922</v>
      </c>
    </row>
    <row r="9342" spans="1:9" ht="13.5">
      <c r="A9342" s="128">
        <v>2016</v>
      </c>
      <c r="B9342" s="128" t="s">
        <v>139</v>
      </c>
      <c r="C9342" s="128" t="s">
        <v>25</v>
      </c>
      <c r="D9342" s="128" t="s">
        <v>79</v>
      </c>
      <c r="E9342" s="128" t="s">
        <v>132</v>
      </c>
      <c r="F9342" s="128">
        <v>386019.47</v>
      </c>
      <c r="G9342" s="128">
        <v>241275.17</v>
      </c>
      <c r="H9342" s="128">
        <v>131913.25</v>
      </c>
      <c r="I9342" s="128">
        <v>1977</v>
      </c>
    </row>
    <row r="9343" spans="1:9" ht="13.5">
      <c r="A9343" s="128">
        <v>2016</v>
      </c>
      <c r="B9343" s="128" t="s">
        <v>139</v>
      </c>
      <c r="C9343" s="128" t="s">
        <v>25</v>
      </c>
      <c r="D9343" s="128" t="s">
        <v>79</v>
      </c>
      <c r="E9343" s="128" t="s">
        <v>133</v>
      </c>
      <c r="F9343" s="128">
        <v>208390.85</v>
      </c>
      <c r="G9343" s="128">
        <v>113591.46</v>
      </c>
      <c r="H9343" s="128">
        <v>67825.490000000005</v>
      </c>
      <c r="I9343" s="128">
        <v>868</v>
      </c>
    </row>
    <row r="9344" spans="1:9" ht="13.5">
      <c r="A9344" s="128">
        <v>2016</v>
      </c>
      <c r="B9344" s="128" t="s">
        <v>139</v>
      </c>
      <c r="C9344" s="128" t="s">
        <v>25</v>
      </c>
      <c r="D9344" s="128" t="s">
        <v>79</v>
      </c>
      <c r="E9344" s="128" t="s">
        <v>134</v>
      </c>
      <c r="F9344" s="128">
        <v>520217.3</v>
      </c>
      <c r="G9344" s="128">
        <v>232072.13</v>
      </c>
      <c r="H9344" s="128">
        <v>199605.13</v>
      </c>
      <c r="I9344" s="128">
        <v>2540</v>
      </c>
    </row>
    <row r="9345" spans="1:9" ht="13.5">
      <c r="A9345" s="128">
        <v>2016</v>
      </c>
      <c r="B9345" s="128" t="s">
        <v>139</v>
      </c>
      <c r="C9345" s="128" t="s">
        <v>25</v>
      </c>
      <c r="D9345" s="128" t="s">
        <v>79</v>
      </c>
      <c r="E9345" s="128" t="s">
        <v>135</v>
      </c>
      <c r="F9345" s="128">
        <v>1435348.11</v>
      </c>
      <c r="G9345" s="128">
        <v>328073.23</v>
      </c>
      <c r="H9345" s="128">
        <v>126456.03</v>
      </c>
      <c r="I9345" s="128">
        <v>1422</v>
      </c>
    </row>
    <row r="9346" spans="1:9" ht="13.5">
      <c r="A9346" s="128">
        <v>2016</v>
      </c>
      <c r="B9346" s="128" t="s">
        <v>139</v>
      </c>
      <c r="C9346" s="128" t="s">
        <v>25</v>
      </c>
      <c r="D9346" s="128" t="s">
        <v>77</v>
      </c>
      <c r="E9346" s="128" t="s">
        <v>132</v>
      </c>
      <c r="F9346" s="128">
        <v>191002.21</v>
      </c>
      <c r="G9346" s="128">
        <v>128286.27</v>
      </c>
      <c r="H9346" s="128">
        <v>50727.56</v>
      </c>
      <c r="I9346" s="128">
        <v>1200</v>
      </c>
    </row>
    <row r="9347" spans="1:9" ht="13.5">
      <c r="A9347" s="128">
        <v>2016</v>
      </c>
      <c r="B9347" s="128" t="s">
        <v>139</v>
      </c>
      <c r="C9347" s="128" t="s">
        <v>25</v>
      </c>
      <c r="D9347" s="128" t="s">
        <v>77</v>
      </c>
      <c r="E9347" s="128" t="s">
        <v>133</v>
      </c>
      <c r="F9347" s="128">
        <v>287232.21000000002</v>
      </c>
      <c r="G9347" s="128">
        <v>153788.54999999999</v>
      </c>
      <c r="H9347" s="128">
        <v>116838.23</v>
      </c>
      <c r="I9347" s="128">
        <v>882</v>
      </c>
    </row>
    <row r="9348" spans="1:9" ht="13.5">
      <c r="A9348" s="128">
        <v>2016</v>
      </c>
      <c r="B9348" s="128" t="s">
        <v>139</v>
      </c>
      <c r="C9348" s="128" t="s">
        <v>25</v>
      </c>
      <c r="D9348" s="128" t="s">
        <v>77</v>
      </c>
      <c r="E9348" s="128" t="s">
        <v>134</v>
      </c>
      <c r="F9348" s="128">
        <v>1089695.25</v>
      </c>
      <c r="G9348" s="128">
        <v>465106.7</v>
      </c>
      <c r="H9348" s="128">
        <v>475003.68</v>
      </c>
      <c r="I9348" s="128">
        <v>2137</v>
      </c>
    </row>
    <row r="9349" spans="1:9" ht="13.5">
      <c r="A9349" s="128">
        <v>2016</v>
      </c>
      <c r="B9349" s="128" t="s">
        <v>139</v>
      </c>
      <c r="C9349" s="128" t="s">
        <v>25</v>
      </c>
      <c r="D9349" s="128" t="s">
        <v>77</v>
      </c>
      <c r="E9349" s="128" t="s">
        <v>135</v>
      </c>
      <c r="F9349" s="128">
        <v>1272263.95</v>
      </c>
      <c r="G9349" s="128">
        <v>379021.2</v>
      </c>
      <c r="H9349" s="128">
        <v>443201.86</v>
      </c>
      <c r="I9349" s="128">
        <v>3644</v>
      </c>
    </row>
    <row r="9350" spans="1:9" ht="13.5">
      <c r="A9350" s="128">
        <v>2016</v>
      </c>
      <c r="B9350" s="128" t="s">
        <v>139</v>
      </c>
      <c r="C9350" s="128" t="s">
        <v>25</v>
      </c>
      <c r="D9350" s="128" t="s">
        <v>76</v>
      </c>
      <c r="E9350" s="128" t="s">
        <v>136</v>
      </c>
      <c r="F9350" s="128">
        <v>1859169.9</v>
      </c>
      <c r="G9350" s="128">
        <v>1394755.89</v>
      </c>
      <c r="H9350" s="128">
        <v>464414.01</v>
      </c>
      <c r="I9350" s="128">
        <v>30864</v>
      </c>
    </row>
    <row r="9351" spans="1:9" ht="13.5">
      <c r="A9351" s="128">
        <v>2016</v>
      </c>
      <c r="B9351" s="128" t="s">
        <v>139</v>
      </c>
      <c r="C9351" s="128" t="s">
        <v>25</v>
      </c>
      <c r="D9351" s="128" t="s">
        <v>76</v>
      </c>
      <c r="E9351" s="128" t="s">
        <v>132</v>
      </c>
      <c r="F9351" s="128">
        <v>2555367.0299999998</v>
      </c>
      <c r="G9351" s="128">
        <v>1624974.3</v>
      </c>
      <c r="H9351" s="128">
        <v>930392.88</v>
      </c>
      <c r="I9351" s="128">
        <v>19580</v>
      </c>
    </row>
    <row r="9352" spans="1:9" ht="13.5">
      <c r="A9352" s="128">
        <v>2016</v>
      </c>
      <c r="B9352" s="128" t="s">
        <v>139</v>
      </c>
      <c r="C9352" s="128" t="s">
        <v>25</v>
      </c>
      <c r="D9352" s="128" t="s">
        <v>76</v>
      </c>
      <c r="E9352" s="128" t="s">
        <v>133</v>
      </c>
      <c r="F9352" s="128">
        <v>7230920.21</v>
      </c>
      <c r="G9352" s="128">
        <v>3963088.7</v>
      </c>
      <c r="H9352" s="128">
        <v>3267831.32</v>
      </c>
      <c r="I9352" s="128">
        <v>47178</v>
      </c>
    </row>
    <row r="9353" spans="1:9" ht="13.5">
      <c r="A9353" s="128">
        <v>2016</v>
      </c>
      <c r="B9353" s="128" t="s">
        <v>139</v>
      </c>
      <c r="C9353" s="128" t="s">
        <v>25</v>
      </c>
      <c r="D9353" s="128" t="s">
        <v>76</v>
      </c>
      <c r="E9353" s="128" t="s">
        <v>134</v>
      </c>
      <c r="F9353" s="128">
        <v>9313919.5500000007</v>
      </c>
      <c r="G9353" s="128">
        <v>4255809.1500000004</v>
      </c>
      <c r="H9353" s="128">
        <v>5058110.3499999996</v>
      </c>
      <c r="I9353" s="128">
        <v>42405</v>
      </c>
    </row>
    <row r="9354" spans="1:9" ht="13.5">
      <c r="A9354" s="128">
        <v>2016</v>
      </c>
      <c r="B9354" s="128" t="s">
        <v>139</v>
      </c>
      <c r="C9354" s="128" t="s">
        <v>25</v>
      </c>
      <c r="D9354" s="128" t="s">
        <v>76</v>
      </c>
      <c r="E9354" s="128" t="s">
        <v>135</v>
      </c>
      <c r="F9354" s="128">
        <v>410930.81</v>
      </c>
      <c r="G9354" s="128">
        <v>112958.75</v>
      </c>
      <c r="H9354" s="128">
        <v>297972.06</v>
      </c>
      <c r="I9354" s="128">
        <v>349</v>
      </c>
    </row>
    <row r="9355" spans="1:9" ht="13.5">
      <c r="A9355" s="128">
        <v>2016</v>
      </c>
      <c r="B9355" s="128" t="s">
        <v>139</v>
      </c>
      <c r="C9355" s="128" t="s">
        <v>26</v>
      </c>
      <c r="D9355" s="128" t="s">
        <v>79</v>
      </c>
      <c r="E9355" s="128" t="s">
        <v>136</v>
      </c>
      <c r="F9355" s="128">
        <v>945091.51</v>
      </c>
      <c r="G9355" s="128">
        <v>709124.8</v>
      </c>
      <c r="H9355" s="128">
        <v>234370.8</v>
      </c>
      <c r="I9355" s="128">
        <v>9464</v>
      </c>
    </row>
    <row r="9356" spans="1:9" ht="13.5">
      <c r="A9356" s="128">
        <v>2016</v>
      </c>
      <c r="B9356" s="128" t="s">
        <v>139</v>
      </c>
      <c r="C9356" s="128" t="s">
        <v>26</v>
      </c>
      <c r="D9356" s="128" t="s">
        <v>79</v>
      </c>
      <c r="E9356" s="128" t="s">
        <v>132</v>
      </c>
      <c r="F9356" s="128">
        <v>139010.95000000001</v>
      </c>
      <c r="G9356" s="128">
        <v>94142.52</v>
      </c>
      <c r="H9356" s="128">
        <v>36619.949999999997</v>
      </c>
      <c r="I9356" s="128">
        <v>645</v>
      </c>
    </row>
    <row r="9357" spans="1:9" ht="13.5">
      <c r="A9357" s="128">
        <v>2016</v>
      </c>
      <c r="B9357" s="128" t="s">
        <v>139</v>
      </c>
      <c r="C9357" s="128" t="s">
        <v>26</v>
      </c>
      <c r="D9357" s="128" t="s">
        <v>79</v>
      </c>
      <c r="E9357" s="128" t="s">
        <v>133</v>
      </c>
      <c r="F9357" s="128">
        <v>96593.79</v>
      </c>
      <c r="G9357" s="128">
        <v>52758.63</v>
      </c>
      <c r="H9357" s="128">
        <v>26395.5</v>
      </c>
      <c r="I9357" s="128">
        <v>393</v>
      </c>
    </row>
    <row r="9358" spans="1:9" ht="13.5">
      <c r="A9358" s="128">
        <v>2016</v>
      </c>
      <c r="B9358" s="128" t="s">
        <v>139</v>
      </c>
      <c r="C9358" s="128" t="s">
        <v>26</v>
      </c>
      <c r="D9358" s="128" t="s">
        <v>79</v>
      </c>
      <c r="E9358" s="128" t="s">
        <v>134</v>
      </c>
      <c r="F9358" s="128">
        <v>572852.27</v>
      </c>
      <c r="G9358" s="128">
        <v>244783.67</v>
      </c>
      <c r="H9358" s="128">
        <v>139615.26999999999</v>
      </c>
      <c r="I9358" s="128">
        <v>2424</v>
      </c>
    </row>
    <row r="9359" spans="1:9" ht="13.5">
      <c r="A9359" s="128">
        <v>2016</v>
      </c>
      <c r="B9359" s="128" t="s">
        <v>139</v>
      </c>
      <c r="C9359" s="128" t="s">
        <v>26</v>
      </c>
      <c r="D9359" s="128" t="s">
        <v>79</v>
      </c>
      <c r="E9359" s="128" t="s">
        <v>135</v>
      </c>
      <c r="F9359" s="128">
        <v>5946810.2599999998</v>
      </c>
      <c r="G9359" s="128">
        <v>1342531.67</v>
      </c>
      <c r="H9359" s="128">
        <v>457775.95</v>
      </c>
      <c r="I9359" s="128">
        <v>6285</v>
      </c>
    </row>
    <row r="9360" spans="1:9" ht="13.5">
      <c r="A9360" s="128">
        <v>2016</v>
      </c>
      <c r="B9360" s="128" t="s">
        <v>139</v>
      </c>
      <c r="C9360" s="128" t="s">
        <v>26</v>
      </c>
      <c r="D9360" s="128" t="s">
        <v>77</v>
      </c>
      <c r="E9360" s="128" t="s">
        <v>132</v>
      </c>
      <c r="F9360" s="128">
        <v>47089.69</v>
      </c>
      <c r="G9360" s="128">
        <v>28913.05</v>
      </c>
      <c r="H9360" s="128">
        <v>15860.9</v>
      </c>
      <c r="I9360" s="128">
        <v>343</v>
      </c>
    </row>
    <row r="9361" spans="1:9" ht="13.5">
      <c r="A9361" s="128">
        <v>2016</v>
      </c>
      <c r="B9361" s="128" t="s">
        <v>139</v>
      </c>
      <c r="C9361" s="128" t="s">
        <v>26</v>
      </c>
      <c r="D9361" s="128" t="s">
        <v>77</v>
      </c>
      <c r="E9361" s="128" t="s">
        <v>133</v>
      </c>
      <c r="F9361" s="128">
        <v>138254.42000000001</v>
      </c>
      <c r="G9361" s="128">
        <v>75412</v>
      </c>
      <c r="H9361" s="128">
        <v>53613.14</v>
      </c>
      <c r="I9361" s="128">
        <v>379</v>
      </c>
    </row>
    <row r="9362" spans="1:9" ht="13.5">
      <c r="A9362" s="128">
        <v>2016</v>
      </c>
      <c r="B9362" s="128" t="s">
        <v>139</v>
      </c>
      <c r="C9362" s="128" t="s">
        <v>26</v>
      </c>
      <c r="D9362" s="128" t="s">
        <v>77</v>
      </c>
      <c r="E9362" s="128" t="s">
        <v>134</v>
      </c>
      <c r="F9362" s="128">
        <v>426610.45</v>
      </c>
      <c r="G9362" s="128">
        <v>183117.24</v>
      </c>
      <c r="H9362" s="128">
        <v>191064.43</v>
      </c>
      <c r="I9362" s="128">
        <v>1237</v>
      </c>
    </row>
    <row r="9363" spans="1:9" ht="13.5">
      <c r="A9363" s="128">
        <v>2016</v>
      </c>
      <c r="B9363" s="128" t="s">
        <v>139</v>
      </c>
      <c r="C9363" s="128" t="s">
        <v>26</v>
      </c>
      <c r="D9363" s="128" t="s">
        <v>77</v>
      </c>
      <c r="E9363" s="128" t="s">
        <v>135</v>
      </c>
      <c r="F9363" s="128">
        <v>2152010.77</v>
      </c>
      <c r="G9363" s="128">
        <v>576522.9</v>
      </c>
      <c r="H9363" s="128">
        <v>645661.18000000005</v>
      </c>
      <c r="I9363" s="128">
        <v>7688</v>
      </c>
    </row>
    <row r="9364" spans="1:9" ht="13.5">
      <c r="A9364" s="128">
        <v>2016</v>
      </c>
      <c r="B9364" s="128" t="s">
        <v>139</v>
      </c>
      <c r="C9364" s="128" t="s">
        <v>26</v>
      </c>
      <c r="D9364" s="128" t="s">
        <v>76</v>
      </c>
      <c r="E9364" s="128" t="s">
        <v>136</v>
      </c>
      <c r="F9364" s="128">
        <v>339499.08</v>
      </c>
      <c r="G9364" s="128">
        <v>255026.16</v>
      </c>
      <c r="H9364" s="128">
        <v>84472.89</v>
      </c>
      <c r="I9364" s="128">
        <v>13032</v>
      </c>
    </row>
    <row r="9365" spans="1:9" ht="13.5">
      <c r="A9365" s="128">
        <v>2016</v>
      </c>
      <c r="B9365" s="128" t="s">
        <v>139</v>
      </c>
      <c r="C9365" s="128" t="s">
        <v>26</v>
      </c>
      <c r="D9365" s="128" t="s">
        <v>76</v>
      </c>
      <c r="E9365" s="128" t="s">
        <v>132</v>
      </c>
      <c r="F9365" s="128">
        <v>1222712.95</v>
      </c>
      <c r="G9365" s="128">
        <v>778927.74</v>
      </c>
      <c r="H9365" s="128">
        <v>443776.71</v>
      </c>
      <c r="I9365" s="128">
        <v>13385</v>
      </c>
    </row>
    <row r="9366" spans="1:9" ht="13.5">
      <c r="A9366" s="128">
        <v>2016</v>
      </c>
      <c r="B9366" s="128" t="s">
        <v>139</v>
      </c>
      <c r="C9366" s="128" t="s">
        <v>26</v>
      </c>
      <c r="D9366" s="128" t="s">
        <v>76</v>
      </c>
      <c r="E9366" s="128" t="s">
        <v>133</v>
      </c>
      <c r="F9366" s="128">
        <v>2784633.56</v>
      </c>
      <c r="G9366" s="128">
        <v>1534975.28</v>
      </c>
      <c r="H9366" s="128">
        <v>1249653.69</v>
      </c>
      <c r="I9366" s="128">
        <v>19962</v>
      </c>
    </row>
    <row r="9367" spans="1:9" ht="13.5">
      <c r="A9367" s="128">
        <v>2016</v>
      </c>
      <c r="B9367" s="128" t="s">
        <v>139</v>
      </c>
      <c r="C9367" s="128" t="s">
        <v>26</v>
      </c>
      <c r="D9367" s="128" t="s">
        <v>76</v>
      </c>
      <c r="E9367" s="128" t="s">
        <v>134</v>
      </c>
      <c r="F9367" s="128">
        <v>2072256.94</v>
      </c>
      <c r="G9367" s="128">
        <v>947006.88</v>
      </c>
      <c r="H9367" s="128">
        <v>1125237.8400000001</v>
      </c>
      <c r="I9367" s="128">
        <v>12332</v>
      </c>
    </row>
    <row r="9368" spans="1:9" ht="13.5">
      <c r="A9368" s="128">
        <v>2016</v>
      </c>
      <c r="B9368" s="128" t="s">
        <v>139</v>
      </c>
      <c r="C9368" s="128" t="s">
        <v>26</v>
      </c>
      <c r="D9368" s="128" t="s">
        <v>76</v>
      </c>
      <c r="E9368" s="128" t="s">
        <v>135</v>
      </c>
      <c r="F9368" s="128">
        <v>250335.61</v>
      </c>
      <c r="G9368" s="128">
        <v>75062.75</v>
      </c>
      <c r="H9368" s="128">
        <v>175272.86</v>
      </c>
      <c r="I9368" s="128">
        <v>476</v>
      </c>
    </row>
    <row r="9369" spans="1:9" ht="13.5">
      <c r="A9369" s="128">
        <v>2016</v>
      </c>
      <c r="B9369" s="128" t="s">
        <v>139</v>
      </c>
      <c r="C9369" s="128" t="s">
        <v>27</v>
      </c>
      <c r="D9369" s="128" t="s">
        <v>79</v>
      </c>
      <c r="E9369" s="128" t="s">
        <v>136</v>
      </c>
      <c r="F9369" s="128">
        <v>319232.21999999997</v>
      </c>
      <c r="G9369" s="128">
        <v>239053.59</v>
      </c>
      <c r="H9369" s="128">
        <v>79626.78</v>
      </c>
      <c r="I9369" s="128">
        <v>1719</v>
      </c>
    </row>
    <row r="9370" spans="1:9" ht="13.5">
      <c r="A9370" s="128">
        <v>2016</v>
      </c>
      <c r="B9370" s="128" t="s">
        <v>139</v>
      </c>
      <c r="C9370" s="128" t="s">
        <v>27</v>
      </c>
      <c r="D9370" s="128" t="s">
        <v>79</v>
      </c>
      <c r="E9370" s="128" t="s">
        <v>132</v>
      </c>
      <c r="F9370" s="128">
        <v>72045.11</v>
      </c>
      <c r="G9370" s="128">
        <v>46792.83</v>
      </c>
      <c r="H9370" s="128">
        <v>23754.7</v>
      </c>
      <c r="I9370" s="128">
        <v>414</v>
      </c>
    </row>
    <row r="9371" spans="1:9" ht="13.5">
      <c r="A9371" s="128">
        <v>2016</v>
      </c>
      <c r="B9371" s="128" t="s">
        <v>139</v>
      </c>
      <c r="C9371" s="128" t="s">
        <v>27</v>
      </c>
      <c r="D9371" s="128" t="s">
        <v>79</v>
      </c>
      <c r="E9371" s="128" t="s">
        <v>133</v>
      </c>
      <c r="F9371" s="128">
        <v>43445.1</v>
      </c>
      <c r="G9371" s="128">
        <v>23683.45</v>
      </c>
      <c r="H9371" s="128">
        <v>13844.6</v>
      </c>
      <c r="I9371" s="128">
        <v>393</v>
      </c>
    </row>
    <row r="9372" spans="1:9" ht="13.5">
      <c r="A9372" s="128">
        <v>2016</v>
      </c>
      <c r="B9372" s="128" t="s">
        <v>139</v>
      </c>
      <c r="C9372" s="128" t="s">
        <v>27</v>
      </c>
      <c r="D9372" s="128" t="s">
        <v>79</v>
      </c>
      <c r="E9372" s="128" t="s">
        <v>134</v>
      </c>
      <c r="F9372" s="128">
        <v>116323.97</v>
      </c>
      <c r="G9372" s="128">
        <v>50456.26</v>
      </c>
      <c r="H9372" s="128">
        <v>41453.050000000003</v>
      </c>
      <c r="I9372" s="128">
        <v>497</v>
      </c>
    </row>
    <row r="9373" spans="1:9" ht="13.5">
      <c r="A9373" s="128">
        <v>2016</v>
      </c>
      <c r="B9373" s="128" t="s">
        <v>139</v>
      </c>
      <c r="C9373" s="128" t="s">
        <v>27</v>
      </c>
      <c r="D9373" s="128" t="s">
        <v>79</v>
      </c>
      <c r="E9373" s="128" t="s">
        <v>135</v>
      </c>
      <c r="F9373" s="128">
        <v>996726.53</v>
      </c>
      <c r="G9373" s="128">
        <v>247575.13</v>
      </c>
      <c r="H9373" s="128">
        <v>85684.7</v>
      </c>
      <c r="I9373" s="128">
        <v>893</v>
      </c>
    </row>
    <row r="9374" spans="1:9" ht="13.5">
      <c r="A9374" s="128">
        <v>2016</v>
      </c>
      <c r="B9374" s="128" t="s">
        <v>139</v>
      </c>
      <c r="C9374" s="128" t="s">
        <v>27</v>
      </c>
      <c r="D9374" s="128" t="s">
        <v>77</v>
      </c>
      <c r="E9374" s="128" t="s">
        <v>132</v>
      </c>
      <c r="F9374" s="128">
        <v>14667.05</v>
      </c>
      <c r="G9374" s="128">
        <v>9859.6</v>
      </c>
      <c r="H9374" s="128">
        <v>3855.26</v>
      </c>
      <c r="I9374" s="128">
        <v>152</v>
      </c>
    </row>
    <row r="9375" spans="1:9" ht="13.5">
      <c r="A9375" s="128">
        <v>2016</v>
      </c>
      <c r="B9375" s="128" t="s">
        <v>139</v>
      </c>
      <c r="C9375" s="128" t="s">
        <v>27</v>
      </c>
      <c r="D9375" s="128" t="s">
        <v>77</v>
      </c>
      <c r="E9375" s="128" t="s">
        <v>133</v>
      </c>
      <c r="F9375" s="128">
        <v>46849.120000000003</v>
      </c>
      <c r="G9375" s="128">
        <v>25482.3</v>
      </c>
      <c r="H9375" s="128">
        <v>16492.95</v>
      </c>
      <c r="I9375" s="128">
        <v>221</v>
      </c>
    </row>
    <row r="9376" spans="1:9" ht="13.5">
      <c r="A9376" s="128">
        <v>2016</v>
      </c>
      <c r="B9376" s="128" t="s">
        <v>139</v>
      </c>
      <c r="C9376" s="128" t="s">
        <v>27</v>
      </c>
      <c r="D9376" s="128" t="s">
        <v>77</v>
      </c>
      <c r="E9376" s="128" t="s">
        <v>134</v>
      </c>
      <c r="F9376" s="128">
        <v>125602.95</v>
      </c>
      <c r="G9376" s="128">
        <v>54461.1</v>
      </c>
      <c r="H9376" s="128">
        <v>53253.33</v>
      </c>
      <c r="I9376" s="128">
        <v>285</v>
      </c>
    </row>
    <row r="9377" spans="1:9" ht="13.5">
      <c r="A9377" s="128">
        <v>2016</v>
      </c>
      <c r="B9377" s="128" t="s">
        <v>139</v>
      </c>
      <c r="C9377" s="128" t="s">
        <v>27</v>
      </c>
      <c r="D9377" s="128" t="s">
        <v>77</v>
      </c>
      <c r="E9377" s="128" t="s">
        <v>135</v>
      </c>
      <c r="F9377" s="128">
        <v>513903.99</v>
      </c>
      <c r="G9377" s="128">
        <v>139852.95000000001</v>
      </c>
      <c r="H9377" s="128">
        <v>153930.54999999999</v>
      </c>
      <c r="I9377" s="128">
        <v>2318</v>
      </c>
    </row>
    <row r="9378" spans="1:9" ht="13.5">
      <c r="A9378" s="128">
        <v>2016</v>
      </c>
      <c r="B9378" s="128" t="s">
        <v>139</v>
      </c>
      <c r="C9378" s="128" t="s">
        <v>27</v>
      </c>
      <c r="D9378" s="128" t="s">
        <v>76</v>
      </c>
      <c r="E9378" s="128" t="s">
        <v>136</v>
      </c>
      <c r="F9378" s="128">
        <v>350589.37</v>
      </c>
      <c r="G9378" s="128">
        <v>262994.63</v>
      </c>
      <c r="H9378" s="128">
        <v>87594.73</v>
      </c>
      <c r="I9378" s="128">
        <v>3889</v>
      </c>
    </row>
    <row r="9379" spans="1:9" ht="13.5">
      <c r="A9379" s="128">
        <v>2016</v>
      </c>
      <c r="B9379" s="128" t="s">
        <v>139</v>
      </c>
      <c r="C9379" s="128" t="s">
        <v>27</v>
      </c>
      <c r="D9379" s="128" t="s">
        <v>76</v>
      </c>
      <c r="E9379" s="128" t="s">
        <v>132</v>
      </c>
      <c r="F9379" s="128">
        <v>434441.67</v>
      </c>
      <c r="G9379" s="128">
        <v>277391.84999999998</v>
      </c>
      <c r="H9379" s="128">
        <v>157042.20000000001</v>
      </c>
      <c r="I9379" s="128">
        <v>3531</v>
      </c>
    </row>
    <row r="9380" spans="1:9" ht="13.5">
      <c r="A9380" s="128">
        <v>2016</v>
      </c>
      <c r="B9380" s="128" t="s">
        <v>139</v>
      </c>
      <c r="C9380" s="128" t="s">
        <v>27</v>
      </c>
      <c r="D9380" s="128" t="s">
        <v>76</v>
      </c>
      <c r="E9380" s="128" t="s">
        <v>133</v>
      </c>
      <c r="F9380" s="128">
        <v>1013072.06</v>
      </c>
      <c r="G9380" s="128">
        <v>554099.43999999994</v>
      </c>
      <c r="H9380" s="128">
        <v>458966.76</v>
      </c>
      <c r="I9380" s="128">
        <v>5136</v>
      </c>
    </row>
    <row r="9381" spans="1:9" ht="13.5">
      <c r="A9381" s="128">
        <v>2016</v>
      </c>
      <c r="B9381" s="128" t="s">
        <v>139</v>
      </c>
      <c r="C9381" s="128" t="s">
        <v>27</v>
      </c>
      <c r="D9381" s="128" t="s">
        <v>76</v>
      </c>
      <c r="E9381" s="128" t="s">
        <v>134</v>
      </c>
      <c r="F9381" s="128">
        <v>1630759.11</v>
      </c>
      <c r="G9381" s="128">
        <v>749226.55</v>
      </c>
      <c r="H9381" s="128">
        <v>881528.76</v>
      </c>
      <c r="I9381" s="128">
        <v>7556</v>
      </c>
    </row>
    <row r="9382" spans="1:9" ht="13.5">
      <c r="A9382" s="128">
        <v>2016</v>
      </c>
      <c r="B9382" s="128" t="s">
        <v>139</v>
      </c>
      <c r="C9382" s="128" t="s">
        <v>27</v>
      </c>
      <c r="D9382" s="128" t="s">
        <v>76</v>
      </c>
      <c r="E9382" s="128" t="s">
        <v>135</v>
      </c>
      <c r="F9382" s="128">
        <v>46676.45</v>
      </c>
      <c r="G9382" s="128">
        <v>14105.25</v>
      </c>
      <c r="H9382" s="128">
        <v>32571.200000000001</v>
      </c>
      <c r="I9382" s="128">
        <v>63</v>
      </c>
    </row>
    <row r="9383" spans="1:9" ht="13.5">
      <c r="A9383" s="128">
        <v>2016</v>
      </c>
      <c r="B9383" s="128" t="s">
        <v>137</v>
      </c>
      <c r="C9383" s="128" t="s">
        <v>20</v>
      </c>
      <c r="D9383" s="128" t="s">
        <v>79</v>
      </c>
      <c r="E9383" s="128" t="s">
        <v>136</v>
      </c>
      <c r="F9383" s="128">
        <v>39039946.009999998</v>
      </c>
      <c r="G9383" s="128">
        <v>29319220.969999999</v>
      </c>
      <c r="H9383" s="128">
        <v>9719878.6500000004</v>
      </c>
      <c r="I9383" s="128">
        <v>559550</v>
      </c>
    </row>
    <row r="9384" spans="1:9" ht="13.5">
      <c r="A9384" s="128">
        <v>2016</v>
      </c>
      <c r="B9384" s="128" t="s">
        <v>137</v>
      </c>
      <c r="C9384" s="128" t="s">
        <v>20</v>
      </c>
      <c r="D9384" s="128" t="s">
        <v>79</v>
      </c>
      <c r="E9384" s="128" t="s">
        <v>132</v>
      </c>
      <c r="F9384" s="128">
        <v>4413491</v>
      </c>
      <c r="G9384" s="128">
        <v>2900095.64</v>
      </c>
      <c r="H9384" s="128">
        <v>1282648.97</v>
      </c>
      <c r="I9384" s="128">
        <v>29272</v>
      </c>
    </row>
    <row r="9385" spans="1:9" ht="13.5">
      <c r="A9385" s="128">
        <v>2016</v>
      </c>
      <c r="B9385" s="128" t="s">
        <v>137</v>
      </c>
      <c r="C9385" s="128" t="s">
        <v>20</v>
      </c>
      <c r="D9385" s="128" t="s">
        <v>79</v>
      </c>
      <c r="E9385" s="128" t="s">
        <v>133</v>
      </c>
      <c r="F9385" s="128">
        <v>5001132.91</v>
      </c>
      <c r="G9385" s="128">
        <v>2712316.63</v>
      </c>
      <c r="H9385" s="128">
        <v>1726087.26</v>
      </c>
      <c r="I9385" s="128">
        <v>41109</v>
      </c>
    </row>
    <row r="9386" spans="1:9" ht="13.5">
      <c r="A9386" s="128">
        <v>2016</v>
      </c>
      <c r="B9386" s="128" t="s">
        <v>137</v>
      </c>
      <c r="C9386" s="128" t="s">
        <v>20</v>
      </c>
      <c r="D9386" s="128" t="s">
        <v>79</v>
      </c>
      <c r="E9386" s="128" t="s">
        <v>134</v>
      </c>
      <c r="F9386" s="128">
        <v>11932455.130000001</v>
      </c>
      <c r="G9386" s="128">
        <v>5215801</v>
      </c>
      <c r="H9386" s="128">
        <v>3587978.33</v>
      </c>
      <c r="I9386" s="128">
        <v>57838</v>
      </c>
    </row>
    <row r="9387" spans="1:9" ht="13.5">
      <c r="A9387" s="128">
        <v>2016</v>
      </c>
      <c r="B9387" s="128" t="s">
        <v>137</v>
      </c>
      <c r="C9387" s="128" t="s">
        <v>20</v>
      </c>
      <c r="D9387" s="128" t="s">
        <v>79</v>
      </c>
      <c r="E9387" s="128" t="s">
        <v>135</v>
      </c>
      <c r="F9387" s="128">
        <v>80357153.689999998</v>
      </c>
      <c r="G9387" s="128">
        <v>18653063.27</v>
      </c>
      <c r="H9387" s="128">
        <v>6614889.1299999999</v>
      </c>
      <c r="I9387" s="128">
        <v>94959</v>
      </c>
    </row>
    <row r="9388" spans="1:9" ht="13.5">
      <c r="A9388" s="128">
        <v>2016</v>
      </c>
      <c r="B9388" s="128" t="s">
        <v>137</v>
      </c>
      <c r="C9388" s="128" t="s">
        <v>20</v>
      </c>
      <c r="D9388" s="128" t="s">
        <v>77</v>
      </c>
      <c r="E9388" s="128" t="s">
        <v>132</v>
      </c>
      <c r="F9388" s="128">
        <v>2747908.46</v>
      </c>
      <c r="G9388" s="128">
        <v>1783950.31</v>
      </c>
      <c r="H9388" s="128">
        <v>885273.66</v>
      </c>
      <c r="I9388" s="128">
        <v>11008</v>
      </c>
    </row>
    <row r="9389" spans="1:9" ht="13.5">
      <c r="A9389" s="128">
        <v>2016</v>
      </c>
      <c r="B9389" s="128" t="s">
        <v>137</v>
      </c>
      <c r="C9389" s="128" t="s">
        <v>20</v>
      </c>
      <c r="D9389" s="128" t="s">
        <v>77</v>
      </c>
      <c r="E9389" s="128" t="s">
        <v>133</v>
      </c>
      <c r="F9389" s="128">
        <v>5137586.08</v>
      </c>
      <c r="G9389" s="128">
        <v>2792160.43</v>
      </c>
      <c r="H9389" s="128">
        <v>2068636.22</v>
      </c>
      <c r="I9389" s="128">
        <v>16832</v>
      </c>
    </row>
    <row r="9390" spans="1:9" ht="13.5">
      <c r="A9390" s="128">
        <v>2016</v>
      </c>
      <c r="B9390" s="128" t="s">
        <v>137</v>
      </c>
      <c r="C9390" s="128" t="s">
        <v>20</v>
      </c>
      <c r="D9390" s="128" t="s">
        <v>77</v>
      </c>
      <c r="E9390" s="128" t="s">
        <v>134</v>
      </c>
      <c r="F9390" s="128">
        <v>13351426.82</v>
      </c>
      <c r="G9390" s="128">
        <v>5804164.8200000003</v>
      </c>
      <c r="H9390" s="128">
        <v>5891075.4800000004</v>
      </c>
      <c r="I9390" s="128">
        <v>30954</v>
      </c>
    </row>
    <row r="9391" spans="1:9" ht="13.5">
      <c r="A9391" s="128">
        <v>2016</v>
      </c>
      <c r="B9391" s="128" t="s">
        <v>137</v>
      </c>
      <c r="C9391" s="128" t="s">
        <v>20</v>
      </c>
      <c r="D9391" s="128" t="s">
        <v>77</v>
      </c>
      <c r="E9391" s="128" t="s">
        <v>135</v>
      </c>
      <c r="F9391" s="128">
        <v>33412424.77</v>
      </c>
      <c r="G9391" s="128">
        <v>8939712.3900000006</v>
      </c>
      <c r="H9391" s="128">
        <v>10586919.01</v>
      </c>
      <c r="I9391" s="128">
        <v>123699</v>
      </c>
    </row>
    <row r="9392" spans="1:9" ht="13.5">
      <c r="A9392" s="128">
        <v>2016</v>
      </c>
      <c r="B9392" s="128" t="s">
        <v>137</v>
      </c>
      <c r="C9392" s="128" t="s">
        <v>20</v>
      </c>
      <c r="D9392" s="128" t="s">
        <v>76</v>
      </c>
      <c r="E9392" s="128" t="s">
        <v>136</v>
      </c>
      <c r="F9392" s="128">
        <v>21086345.710000001</v>
      </c>
      <c r="G9392" s="128">
        <v>15840220.42</v>
      </c>
      <c r="H9392" s="128">
        <v>5246118.22</v>
      </c>
      <c r="I9392" s="128">
        <v>575656</v>
      </c>
    </row>
    <row r="9393" spans="1:9" ht="13.5">
      <c r="A9393" s="128">
        <v>2016</v>
      </c>
      <c r="B9393" s="128" t="s">
        <v>137</v>
      </c>
      <c r="C9393" s="128" t="s">
        <v>20</v>
      </c>
      <c r="D9393" s="128" t="s">
        <v>76</v>
      </c>
      <c r="E9393" s="128" t="s">
        <v>132</v>
      </c>
      <c r="F9393" s="128">
        <v>52257808.549999997</v>
      </c>
      <c r="G9393" s="128">
        <v>33158912.039999999</v>
      </c>
      <c r="H9393" s="128">
        <v>19098844.329999998</v>
      </c>
      <c r="I9393" s="128">
        <v>544321</v>
      </c>
    </row>
    <row r="9394" spans="1:9" ht="13.5">
      <c r="A9394" s="128">
        <v>2016</v>
      </c>
      <c r="B9394" s="128" t="s">
        <v>137</v>
      </c>
      <c r="C9394" s="128" t="s">
        <v>20</v>
      </c>
      <c r="D9394" s="128" t="s">
        <v>76</v>
      </c>
      <c r="E9394" s="128" t="s">
        <v>133</v>
      </c>
      <c r="F9394" s="128">
        <v>93679703.840000004</v>
      </c>
      <c r="G9394" s="128">
        <v>51322344.979999997</v>
      </c>
      <c r="H9394" s="128">
        <v>42357336.68</v>
      </c>
      <c r="I9394" s="128">
        <v>566011</v>
      </c>
    </row>
    <row r="9395" spans="1:9" ht="13.5">
      <c r="A9395" s="128">
        <v>2016</v>
      </c>
      <c r="B9395" s="128" t="s">
        <v>137</v>
      </c>
      <c r="C9395" s="128" t="s">
        <v>20</v>
      </c>
      <c r="D9395" s="128" t="s">
        <v>76</v>
      </c>
      <c r="E9395" s="128" t="s">
        <v>134</v>
      </c>
      <c r="F9395" s="128">
        <v>105182210.55</v>
      </c>
      <c r="G9395" s="128">
        <v>48108809.920000002</v>
      </c>
      <c r="H9395" s="128">
        <v>57073345.810000002</v>
      </c>
      <c r="I9395" s="128">
        <v>570514</v>
      </c>
    </row>
    <row r="9396" spans="1:9" ht="13.5">
      <c r="A9396" s="128">
        <v>2016</v>
      </c>
      <c r="B9396" s="128" t="s">
        <v>137</v>
      </c>
      <c r="C9396" s="128" t="s">
        <v>20</v>
      </c>
      <c r="D9396" s="128" t="s">
        <v>76</v>
      </c>
      <c r="E9396" s="128" t="s">
        <v>135</v>
      </c>
      <c r="F9396" s="128">
        <v>7616029.7199999997</v>
      </c>
      <c r="G9396" s="128">
        <v>2235447.84</v>
      </c>
      <c r="H9396" s="128">
        <v>5380581.8399999999</v>
      </c>
      <c r="I9396" s="128">
        <v>18004</v>
      </c>
    </row>
    <row r="9397" spans="1:9" ht="13.5">
      <c r="A9397" s="128">
        <v>2016</v>
      </c>
      <c r="B9397" s="128" t="s">
        <v>137</v>
      </c>
      <c r="C9397" s="128" t="s">
        <v>21</v>
      </c>
      <c r="D9397" s="128" t="s">
        <v>79</v>
      </c>
      <c r="E9397" s="128" t="s">
        <v>136</v>
      </c>
      <c r="F9397" s="128">
        <v>10451637.82</v>
      </c>
      <c r="G9397" s="128">
        <v>7851807.9000000004</v>
      </c>
      <c r="H9397" s="128">
        <v>2595623.1</v>
      </c>
      <c r="I9397" s="128">
        <v>204583</v>
      </c>
    </row>
    <row r="9398" spans="1:9" ht="13.5">
      <c r="A9398" s="128">
        <v>2016</v>
      </c>
      <c r="B9398" s="128" t="s">
        <v>137</v>
      </c>
      <c r="C9398" s="128" t="s">
        <v>21</v>
      </c>
      <c r="D9398" s="128" t="s">
        <v>79</v>
      </c>
      <c r="E9398" s="128" t="s">
        <v>132</v>
      </c>
      <c r="F9398" s="128">
        <v>2186097.54</v>
      </c>
      <c r="G9398" s="128">
        <v>1438501.9</v>
      </c>
      <c r="H9398" s="128">
        <v>573784.75</v>
      </c>
      <c r="I9398" s="128">
        <v>10381</v>
      </c>
    </row>
    <row r="9399" spans="1:9" ht="13.5">
      <c r="A9399" s="128">
        <v>2016</v>
      </c>
      <c r="B9399" s="128" t="s">
        <v>137</v>
      </c>
      <c r="C9399" s="128" t="s">
        <v>21</v>
      </c>
      <c r="D9399" s="128" t="s">
        <v>79</v>
      </c>
      <c r="E9399" s="128" t="s">
        <v>133</v>
      </c>
      <c r="F9399" s="128">
        <v>5308553.9800000004</v>
      </c>
      <c r="G9399" s="128">
        <v>2887838.01</v>
      </c>
      <c r="H9399" s="128">
        <v>1849902.84</v>
      </c>
      <c r="I9399" s="128">
        <v>62095</v>
      </c>
    </row>
    <row r="9400" spans="1:9" ht="13.5">
      <c r="A9400" s="128">
        <v>2016</v>
      </c>
      <c r="B9400" s="128" t="s">
        <v>137</v>
      </c>
      <c r="C9400" s="128" t="s">
        <v>21</v>
      </c>
      <c r="D9400" s="128" t="s">
        <v>79</v>
      </c>
      <c r="E9400" s="128" t="s">
        <v>134</v>
      </c>
      <c r="F9400" s="128">
        <v>9679529.7400000002</v>
      </c>
      <c r="G9400" s="128">
        <v>4124769.01</v>
      </c>
      <c r="H9400" s="128">
        <v>3775412.72</v>
      </c>
      <c r="I9400" s="128">
        <v>57619</v>
      </c>
    </row>
    <row r="9401" spans="1:9" ht="13.5">
      <c r="A9401" s="128">
        <v>2016</v>
      </c>
      <c r="B9401" s="128" t="s">
        <v>137</v>
      </c>
      <c r="C9401" s="128" t="s">
        <v>21</v>
      </c>
      <c r="D9401" s="128" t="s">
        <v>79</v>
      </c>
      <c r="E9401" s="128" t="s">
        <v>135</v>
      </c>
      <c r="F9401" s="128">
        <v>24601110.41</v>
      </c>
      <c r="G9401" s="128">
        <v>5977566.5899999999</v>
      </c>
      <c r="H9401" s="128">
        <v>2431560.7799999998</v>
      </c>
      <c r="I9401" s="128">
        <v>53496</v>
      </c>
    </row>
    <row r="9402" spans="1:9" ht="13.5">
      <c r="A9402" s="128">
        <v>2016</v>
      </c>
      <c r="B9402" s="128" t="s">
        <v>137</v>
      </c>
      <c r="C9402" s="128" t="s">
        <v>21</v>
      </c>
      <c r="D9402" s="128" t="s">
        <v>77</v>
      </c>
      <c r="E9402" s="128" t="s">
        <v>132</v>
      </c>
      <c r="F9402" s="128">
        <v>3520819.82</v>
      </c>
      <c r="G9402" s="128">
        <v>2342833.83</v>
      </c>
      <c r="H9402" s="128">
        <v>1022123.78</v>
      </c>
      <c r="I9402" s="128">
        <v>23058</v>
      </c>
    </row>
    <row r="9403" spans="1:9" ht="13.5">
      <c r="A9403" s="128">
        <v>2016</v>
      </c>
      <c r="B9403" s="128" t="s">
        <v>137</v>
      </c>
      <c r="C9403" s="128" t="s">
        <v>21</v>
      </c>
      <c r="D9403" s="128" t="s">
        <v>77</v>
      </c>
      <c r="E9403" s="128" t="s">
        <v>133</v>
      </c>
      <c r="F9403" s="128">
        <v>5643151.5700000003</v>
      </c>
      <c r="G9403" s="128">
        <v>3080567.8</v>
      </c>
      <c r="H9403" s="128">
        <v>2077234.92</v>
      </c>
      <c r="I9403" s="128">
        <v>21012</v>
      </c>
    </row>
    <row r="9404" spans="1:9" ht="13.5">
      <c r="A9404" s="128">
        <v>2016</v>
      </c>
      <c r="B9404" s="128" t="s">
        <v>137</v>
      </c>
      <c r="C9404" s="128" t="s">
        <v>21</v>
      </c>
      <c r="D9404" s="128" t="s">
        <v>77</v>
      </c>
      <c r="E9404" s="128" t="s">
        <v>134</v>
      </c>
      <c r="F9404" s="128">
        <v>12465676.18</v>
      </c>
      <c r="G9404" s="128">
        <v>5378817.4000000004</v>
      </c>
      <c r="H9404" s="128">
        <v>5002557.0999999996</v>
      </c>
      <c r="I9404" s="128">
        <v>33045</v>
      </c>
    </row>
    <row r="9405" spans="1:9" ht="13.5">
      <c r="A9405" s="128">
        <v>2016</v>
      </c>
      <c r="B9405" s="128" t="s">
        <v>137</v>
      </c>
      <c r="C9405" s="128" t="s">
        <v>21</v>
      </c>
      <c r="D9405" s="128" t="s">
        <v>77</v>
      </c>
      <c r="E9405" s="128" t="s">
        <v>135</v>
      </c>
      <c r="F9405" s="128">
        <v>25209087.370000001</v>
      </c>
      <c r="G9405" s="128">
        <v>7194211.2199999997</v>
      </c>
      <c r="H9405" s="128">
        <v>8367433.5099999998</v>
      </c>
      <c r="I9405" s="128">
        <v>101371</v>
      </c>
    </row>
    <row r="9406" spans="1:9" ht="13.5">
      <c r="A9406" s="128">
        <v>2016</v>
      </c>
      <c r="B9406" s="128" t="s">
        <v>137</v>
      </c>
      <c r="C9406" s="128" t="s">
        <v>21</v>
      </c>
      <c r="D9406" s="128" t="s">
        <v>76</v>
      </c>
      <c r="E9406" s="128" t="s">
        <v>136</v>
      </c>
      <c r="F9406" s="128">
        <v>18606051.489999998</v>
      </c>
      <c r="G9406" s="128">
        <v>13987791.470000001</v>
      </c>
      <c r="H9406" s="128">
        <v>4618512.95</v>
      </c>
      <c r="I9406" s="128">
        <v>298401</v>
      </c>
    </row>
    <row r="9407" spans="1:9" ht="13.5">
      <c r="A9407" s="128">
        <v>2016</v>
      </c>
      <c r="B9407" s="128" t="s">
        <v>137</v>
      </c>
      <c r="C9407" s="128" t="s">
        <v>21</v>
      </c>
      <c r="D9407" s="128" t="s">
        <v>76</v>
      </c>
      <c r="E9407" s="128" t="s">
        <v>132</v>
      </c>
      <c r="F9407" s="128">
        <v>43178556.240000002</v>
      </c>
      <c r="G9407" s="128">
        <v>27511612.32</v>
      </c>
      <c r="H9407" s="128">
        <v>15666882.300000001</v>
      </c>
      <c r="I9407" s="128">
        <v>382151</v>
      </c>
    </row>
    <row r="9408" spans="1:9" ht="13.5">
      <c r="A9408" s="128">
        <v>2016</v>
      </c>
      <c r="B9408" s="128" t="s">
        <v>137</v>
      </c>
      <c r="C9408" s="128" t="s">
        <v>21</v>
      </c>
      <c r="D9408" s="128" t="s">
        <v>76</v>
      </c>
      <c r="E9408" s="128" t="s">
        <v>133</v>
      </c>
      <c r="F9408" s="128">
        <v>105477586.67</v>
      </c>
      <c r="G9408" s="128">
        <v>57891229.369999997</v>
      </c>
      <c r="H9408" s="128">
        <v>47586321.369999997</v>
      </c>
      <c r="I9408" s="128">
        <v>711202</v>
      </c>
    </row>
    <row r="9409" spans="1:9" ht="13.5">
      <c r="A9409" s="128">
        <v>2016</v>
      </c>
      <c r="B9409" s="128" t="s">
        <v>137</v>
      </c>
      <c r="C9409" s="128" t="s">
        <v>21</v>
      </c>
      <c r="D9409" s="128" t="s">
        <v>76</v>
      </c>
      <c r="E9409" s="128" t="s">
        <v>134</v>
      </c>
      <c r="F9409" s="128">
        <v>104783695.45</v>
      </c>
      <c r="G9409" s="128">
        <v>46998307.780000001</v>
      </c>
      <c r="H9409" s="128">
        <v>57785342.829999998</v>
      </c>
      <c r="I9409" s="128">
        <v>551039</v>
      </c>
    </row>
    <row r="9410" spans="1:9" ht="13.5">
      <c r="A9410" s="128">
        <v>2016</v>
      </c>
      <c r="B9410" s="128" t="s">
        <v>137</v>
      </c>
      <c r="C9410" s="128" t="s">
        <v>21</v>
      </c>
      <c r="D9410" s="128" t="s">
        <v>76</v>
      </c>
      <c r="E9410" s="128" t="s">
        <v>135</v>
      </c>
      <c r="F9410" s="128">
        <v>3429580.45</v>
      </c>
      <c r="G9410" s="128">
        <v>865176.09</v>
      </c>
      <c r="H9410" s="128">
        <v>2564404.36</v>
      </c>
      <c r="I9410" s="128">
        <v>4093</v>
      </c>
    </row>
    <row r="9411" spans="1:9" ht="13.5">
      <c r="A9411" s="128">
        <v>2016</v>
      </c>
      <c r="B9411" s="128" t="s">
        <v>137</v>
      </c>
      <c r="C9411" s="128" t="s">
        <v>22</v>
      </c>
      <c r="D9411" s="128" t="s">
        <v>79</v>
      </c>
      <c r="E9411" s="128" t="s">
        <v>136</v>
      </c>
      <c r="F9411" s="128">
        <v>7059640.0800000001</v>
      </c>
      <c r="G9411" s="128">
        <v>5281871.03</v>
      </c>
      <c r="H9411" s="128">
        <v>1752159</v>
      </c>
      <c r="I9411" s="128">
        <v>106905</v>
      </c>
    </row>
    <row r="9412" spans="1:9" ht="13.5">
      <c r="A9412" s="128">
        <v>2016</v>
      </c>
      <c r="B9412" s="128" t="s">
        <v>137</v>
      </c>
      <c r="C9412" s="128" t="s">
        <v>22</v>
      </c>
      <c r="D9412" s="128" t="s">
        <v>79</v>
      </c>
      <c r="E9412" s="128" t="s">
        <v>132</v>
      </c>
      <c r="F9412" s="128">
        <v>4477898.71</v>
      </c>
      <c r="G9412" s="128">
        <v>2871637.85</v>
      </c>
      <c r="H9412" s="128">
        <v>1430759.63</v>
      </c>
      <c r="I9412" s="128">
        <v>47508</v>
      </c>
    </row>
    <row r="9413" spans="1:9" ht="13.5">
      <c r="A9413" s="128">
        <v>2016</v>
      </c>
      <c r="B9413" s="128" t="s">
        <v>137</v>
      </c>
      <c r="C9413" s="128" t="s">
        <v>22</v>
      </c>
      <c r="D9413" s="128" t="s">
        <v>79</v>
      </c>
      <c r="E9413" s="128" t="s">
        <v>133</v>
      </c>
      <c r="F9413" s="128">
        <v>5070832.0599999996</v>
      </c>
      <c r="G9413" s="128">
        <v>2705411.15</v>
      </c>
      <c r="H9413" s="128">
        <v>1674056.57</v>
      </c>
      <c r="I9413" s="128">
        <v>49822</v>
      </c>
    </row>
    <row r="9414" spans="1:9" ht="13.5">
      <c r="A9414" s="128">
        <v>2016</v>
      </c>
      <c r="B9414" s="128" t="s">
        <v>137</v>
      </c>
      <c r="C9414" s="128" t="s">
        <v>22</v>
      </c>
      <c r="D9414" s="128" t="s">
        <v>79</v>
      </c>
      <c r="E9414" s="128" t="s">
        <v>134</v>
      </c>
      <c r="F9414" s="128">
        <v>10533583.039999999</v>
      </c>
      <c r="G9414" s="128">
        <v>4624838.3499999996</v>
      </c>
      <c r="H9414" s="128">
        <v>4105176.96</v>
      </c>
      <c r="I9414" s="128">
        <v>59345</v>
      </c>
    </row>
    <row r="9415" spans="1:9" ht="13.5">
      <c r="A9415" s="128">
        <v>2016</v>
      </c>
      <c r="B9415" s="128" t="s">
        <v>137</v>
      </c>
      <c r="C9415" s="128" t="s">
        <v>22</v>
      </c>
      <c r="D9415" s="128" t="s">
        <v>79</v>
      </c>
      <c r="E9415" s="128" t="s">
        <v>135</v>
      </c>
      <c r="F9415" s="128">
        <v>36955462.359999999</v>
      </c>
      <c r="G9415" s="128">
        <v>8958777.6999999993</v>
      </c>
      <c r="H9415" s="128">
        <v>3287529.05</v>
      </c>
      <c r="I9415" s="128">
        <v>45917</v>
      </c>
    </row>
    <row r="9416" spans="1:9" ht="13.5">
      <c r="A9416" s="128">
        <v>2016</v>
      </c>
      <c r="B9416" s="128" t="s">
        <v>137</v>
      </c>
      <c r="C9416" s="128" t="s">
        <v>22</v>
      </c>
      <c r="D9416" s="128" t="s">
        <v>77</v>
      </c>
      <c r="E9416" s="128" t="s">
        <v>132</v>
      </c>
      <c r="F9416" s="128">
        <v>1515726.4</v>
      </c>
      <c r="G9416" s="128">
        <v>985870.96</v>
      </c>
      <c r="H9416" s="128">
        <v>451427.04</v>
      </c>
      <c r="I9416" s="128">
        <v>6450</v>
      </c>
    </row>
    <row r="9417" spans="1:9" ht="13.5">
      <c r="A9417" s="128">
        <v>2016</v>
      </c>
      <c r="B9417" s="128" t="s">
        <v>137</v>
      </c>
      <c r="C9417" s="128" t="s">
        <v>22</v>
      </c>
      <c r="D9417" s="128" t="s">
        <v>77</v>
      </c>
      <c r="E9417" s="128" t="s">
        <v>133</v>
      </c>
      <c r="F9417" s="128">
        <v>2676861.2599999998</v>
      </c>
      <c r="G9417" s="128">
        <v>1450214.56</v>
      </c>
      <c r="H9417" s="128">
        <v>968040.51</v>
      </c>
      <c r="I9417" s="128">
        <v>10857</v>
      </c>
    </row>
    <row r="9418" spans="1:9" ht="13.5">
      <c r="A9418" s="128">
        <v>2016</v>
      </c>
      <c r="B9418" s="128" t="s">
        <v>137</v>
      </c>
      <c r="C9418" s="128" t="s">
        <v>22</v>
      </c>
      <c r="D9418" s="128" t="s">
        <v>77</v>
      </c>
      <c r="E9418" s="128" t="s">
        <v>134</v>
      </c>
      <c r="F9418" s="128">
        <v>10006051.640000001</v>
      </c>
      <c r="G9418" s="128">
        <v>4255396.09</v>
      </c>
      <c r="H9418" s="128">
        <v>4174597.09</v>
      </c>
      <c r="I9418" s="128">
        <v>17516</v>
      </c>
    </row>
    <row r="9419" spans="1:9" ht="13.5">
      <c r="A9419" s="128">
        <v>2016</v>
      </c>
      <c r="B9419" s="128" t="s">
        <v>137</v>
      </c>
      <c r="C9419" s="128" t="s">
        <v>22</v>
      </c>
      <c r="D9419" s="128" t="s">
        <v>77</v>
      </c>
      <c r="E9419" s="128" t="s">
        <v>135</v>
      </c>
      <c r="F9419" s="128">
        <v>22164776.109999999</v>
      </c>
      <c r="G9419" s="128">
        <v>6128647.6699999999</v>
      </c>
      <c r="H9419" s="128">
        <v>6944225.7800000003</v>
      </c>
      <c r="I9419" s="128">
        <v>59489</v>
      </c>
    </row>
    <row r="9420" spans="1:9" ht="13.5">
      <c r="A9420" s="128">
        <v>2016</v>
      </c>
      <c r="B9420" s="128" t="s">
        <v>137</v>
      </c>
      <c r="C9420" s="128" t="s">
        <v>22</v>
      </c>
      <c r="D9420" s="128" t="s">
        <v>76</v>
      </c>
      <c r="E9420" s="128" t="s">
        <v>136</v>
      </c>
      <c r="F9420" s="128">
        <v>15026066.77</v>
      </c>
      <c r="G9420" s="128">
        <v>11277398.17</v>
      </c>
      <c r="H9420" s="128">
        <v>3748672.64</v>
      </c>
      <c r="I9420" s="128">
        <v>273060</v>
      </c>
    </row>
    <row r="9421" spans="1:9" ht="13.5">
      <c r="A9421" s="128">
        <v>2016</v>
      </c>
      <c r="B9421" s="128" t="s">
        <v>137</v>
      </c>
      <c r="C9421" s="128" t="s">
        <v>22</v>
      </c>
      <c r="D9421" s="128" t="s">
        <v>76</v>
      </c>
      <c r="E9421" s="128" t="s">
        <v>132</v>
      </c>
      <c r="F9421" s="128">
        <v>39885604.049999997</v>
      </c>
      <c r="G9421" s="128">
        <v>25385929.16</v>
      </c>
      <c r="H9421" s="128">
        <v>14499601.039999999</v>
      </c>
      <c r="I9421" s="128">
        <v>369591</v>
      </c>
    </row>
    <row r="9422" spans="1:9" ht="13.5">
      <c r="A9422" s="128">
        <v>2016</v>
      </c>
      <c r="B9422" s="128" t="s">
        <v>137</v>
      </c>
      <c r="C9422" s="128" t="s">
        <v>22</v>
      </c>
      <c r="D9422" s="128" t="s">
        <v>76</v>
      </c>
      <c r="E9422" s="128" t="s">
        <v>133</v>
      </c>
      <c r="F9422" s="128">
        <v>74798058.450000003</v>
      </c>
      <c r="G9422" s="128">
        <v>41297884.43</v>
      </c>
      <c r="H9422" s="128">
        <v>33499721.399999999</v>
      </c>
      <c r="I9422" s="128">
        <v>601641</v>
      </c>
    </row>
    <row r="9423" spans="1:9" ht="13.5">
      <c r="A9423" s="128">
        <v>2016</v>
      </c>
      <c r="B9423" s="128" t="s">
        <v>137</v>
      </c>
      <c r="C9423" s="128" t="s">
        <v>22</v>
      </c>
      <c r="D9423" s="128" t="s">
        <v>76</v>
      </c>
      <c r="E9423" s="128" t="s">
        <v>134</v>
      </c>
      <c r="F9423" s="128">
        <v>67408884.900000006</v>
      </c>
      <c r="G9423" s="128">
        <v>30838781.239999998</v>
      </c>
      <c r="H9423" s="128">
        <v>36569819.170000002</v>
      </c>
      <c r="I9423" s="128">
        <v>429423</v>
      </c>
    </row>
    <row r="9424" spans="1:9" ht="13.5">
      <c r="A9424" s="128">
        <v>2016</v>
      </c>
      <c r="B9424" s="128" t="s">
        <v>137</v>
      </c>
      <c r="C9424" s="128" t="s">
        <v>22</v>
      </c>
      <c r="D9424" s="128" t="s">
        <v>76</v>
      </c>
      <c r="E9424" s="128" t="s">
        <v>135</v>
      </c>
      <c r="F9424" s="128">
        <v>5877748.5999999996</v>
      </c>
      <c r="G9424" s="128">
        <v>1696972.15</v>
      </c>
      <c r="H9424" s="128">
        <v>4180776.33</v>
      </c>
      <c r="I9424" s="128">
        <v>7517</v>
      </c>
    </row>
    <row r="9425" spans="1:9" ht="13.5">
      <c r="A9425" s="128">
        <v>2016</v>
      </c>
      <c r="B9425" s="128" t="s">
        <v>137</v>
      </c>
      <c r="C9425" s="128" t="s">
        <v>23</v>
      </c>
      <c r="D9425" s="128" t="s">
        <v>79</v>
      </c>
      <c r="E9425" s="128" t="s">
        <v>136</v>
      </c>
      <c r="F9425" s="128">
        <v>2455544.75</v>
      </c>
      <c r="G9425" s="128">
        <v>1841922.01</v>
      </c>
      <c r="H9425" s="128">
        <v>612397.04</v>
      </c>
      <c r="I9425" s="128">
        <v>27119</v>
      </c>
    </row>
    <row r="9426" spans="1:9" ht="13.5">
      <c r="A9426" s="128">
        <v>2016</v>
      </c>
      <c r="B9426" s="128" t="s">
        <v>137</v>
      </c>
      <c r="C9426" s="128" t="s">
        <v>23</v>
      </c>
      <c r="D9426" s="128" t="s">
        <v>79</v>
      </c>
      <c r="E9426" s="128" t="s">
        <v>132</v>
      </c>
      <c r="F9426" s="128">
        <v>991093.64</v>
      </c>
      <c r="G9426" s="128">
        <v>637033.76</v>
      </c>
      <c r="H9426" s="128">
        <v>303199.61</v>
      </c>
      <c r="I9426" s="128">
        <v>4188</v>
      </c>
    </row>
    <row r="9427" spans="1:9" ht="13.5">
      <c r="A9427" s="128">
        <v>2016</v>
      </c>
      <c r="B9427" s="128" t="s">
        <v>137</v>
      </c>
      <c r="C9427" s="128" t="s">
        <v>23</v>
      </c>
      <c r="D9427" s="128" t="s">
        <v>79</v>
      </c>
      <c r="E9427" s="128" t="s">
        <v>133</v>
      </c>
      <c r="F9427" s="128">
        <v>2087140.45</v>
      </c>
      <c r="G9427" s="128">
        <v>1160548.98</v>
      </c>
      <c r="H9427" s="128">
        <v>877243.48</v>
      </c>
      <c r="I9427" s="128">
        <v>25382</v>
      </c>
    </row>
    <row r="9428" spans="1:9" ht="13.5">
      <c r="A9428" s="128">
        <v>2016</v>
      </c>
      <c r="B9428" s="128" t="s">
        <v>137</v>
      </c>
      <c r="C9428" s="128" t="s">
        <v>23</v>
      </c>
      <c r="D9428" s="128" t="s">
        <v>79</v>
      </c>
      <c r="E9428" s="128" t="s">
        <v>134</v>
      </c>
      <c r="F9428" s="128">
        <v>3341807.96</v>
      </c>
      <c r="G9428" s="128">
        <v>1443434.06</v>
      </c>
      <c r="H9428" s="128">
        <v>1772928.05</v>
      </c>
      <c r="I9428" s="128">
        <v>13293</v>
      </c>
    </row>
    <row r="9429" spans="1:9" ht="13.5">
      <c r="A9429" s="128">
        <v>2016</v>
      </c>
      <c r="B9429" s="128" t="s">
        <v>137</v>
      </c>
      <c r="C9429" s="128" t="s">
        <v>23</v>
      </c>
      <c r="D9429" s="128" t="s">
        <v>79</v>
      </c>
      <c r="E9429" s="128" t="s">
        <v>135</v>
      </c>
      <c r="F9429" s="128">
        <v>1879173.93</v>
      </c>
      <c r="G9429" s="128">
        <v>436710.68</v>
      </c>
      <c r="H9429" s="128">
        <v>270022.81</v>
      </c>
      <c r="I9429" s="128">
        <v>3358</v>
      </c>
    </row>
    <row r="9430" spans="1:9" ht="13.5">
      <c r="A9430" s="128">
        <v>2016</v>
      </c>
      <c r="B9430" s="128" t="s">
        <v>137</v>
      </c>
      <c r="C9430" s="128" t="s">
        <v>23</v>
      </c>
      <c r="D9430" s="128" t="s">
        <v>77</v>
      </c>
      <c r="E9430" s="128" t="s">
        <v>132</v>
      </c>
      <c r="F9430" s="128">
        <v>454483.35</v>
      </c>
      <c r="G9430" s="128">
        <v>300556.07</v>
      </c>
      <c r="H9430" s="128">
        <v>123130.58</v>
      </c>
      <c r="I9430" s="128">
        <v>1734</v>
      </c>
    </row>
    <row r="9431" spans="1:9" ht="13.5">
      <c r="A9431" s="128">
        <v>2016</v>
      </c>
      <c r="B9431" s="128" t="s">
        <v>137</v>
      </c>
      <c r="C9431" s="128" t="s">
        <v>23</v>
      </c>
      <c r="D9431" s="128" t="s">
        <v>77</v>
      </c>
      <c r="E9431" s="128" t="s">
        <v>133</v>
      </c>
      <c r="F9431" s="128">
        <v>1009930.26</v>
      </c>
      <c r="G9431" s="128">
        <v>547267.44999999995</v>
      </c>
      <c r="H9431" s="128">
        <v>401038.47</v>
      </c>
      <c r="I9431" s="128">
        <v>3466</v>
      </c>
    </row>
    <row r="9432" spans="1:9" ht="13.5">
      <c r="A9432" s="128">
        <v>2016</v>
      </c>
      <c r="B9432" s="128" t="s">
        <v>137</v>
      </c>
      <c r="C9432" s="128" t="s">
        <v>23</v>
      </c>
      <c r="D9432" s="128" t="s">
        <v>77</v>
      </c>
      <c r="E9432" s="128" t="s">
        <v>134</v>
      </c>
      <c r="F9432" s="128">
        <v>4093351.06</v>
      </c>
      <c r="G9432" s="128">
        <v>1727326.46</v>
      </c>
      <c r="H9432" s="128">
        <v>1804816.65</v>
      </c>
      <c r="I9432" s="128">
        <v>8660</v>
      </c>
    </row>
    <row r="9433" spans="1:9" ht="13.5">
      <c r="A9433" s="128">
        <v>2016</v>
      </c>
      <c r="B9433" s="128" t="s">
        <v>137</v>
      </c>
      <c r="C9433" s="128" t="s">
        <v>23</v>
      </c>
      <c r="D9433" s="128" t="s">
        <v>77</v>
      </c>
      <c r="E9433" s="128" t="s">
        <v>135</v>
      </c>
      <c r="F9433" s="128">
        <v>6188246.4100000001</v>
      </c>
      <c r="G9433" s="128">
        <v>1874107.63</v>
      </c>
      <c r="H9433" s="128">
        <v>2377611.44</v>
      </c>
      <c r="I9433" s="128">
        <v>26453</v>
      </c>
    </row>
    <row r="9434" spans="1:9" ht="13.5">
      <c r="A9434" s="128">
        <v>2016</v>
      </c>
      <c r="B9434" s="128" t="s">
        <v>137</v>
      </c>
      <c r="C9434" s="128" t="s">
        <v>23</v>
      </c>
      <c r="D9434" s="128" t="s">
        <v>76</v>
      </c>
      <c r="E9434" s="128" t="s">
        <v>136</v>
      </c>
      <c r="F9434" s="128">
        <v>4949386.47</v>
      </c>
      <c r="G9434" s="128">
        <v>3715870.36</v>
      </c>
      <c r="H9434" s="128">
        <v>1233515.8</v>
      </c>
      <c r="I9434" s="128">
        <v>74712</v>
      </c>
    </row>
    <row r="9435" spans="1:9" ht="13.5">
      <c r="A9435" s="128">
        <v>2016</v>
      </c>
      <c r="B9435" s="128" t="s">
        <v>137</v>
      </c>
      <c r="C9435" s="128" t="s">
        <v>23</v>
      </c>
      <c r="D9435" s="128" t="s">
        <v>76</v>
      </c>
      <c r="E9435" s="128" t="s">
        <v>132</v>
      </c>
      <c r="F9435" s="128">
        <v>7488040.1799999997</v>
      </c>
      <c r="G9435" s="128">
        <v>4711507.12</v>
      </c>
      <c r="H9435" s="128">
        <v>2776523.27</v>
      </c>
      <c r="I9435" s="128">
        <v>73178</v>
      </c>
    </row>
    <row r="9436" spans="1:9" ht="13.5">
      <c r="A9436" s="128">
        <v>2016</v>
      </c>
      <c r="B9436" s="128" t="s">
        <v>137</v>
      </c>
      <c r="C9436" s="128" t="s">
        <v>23</v>
      </c>
      <c r="D9436" s="128" t="s">
        <v>76</v>
      </c>
      <c r="E9436" s="128" t="s">
        <v>133</v>
      </c>
      <c r="F9436" s="128">
        <v>25504575.149999999</v>
      </c>
      <c r="G9436" s="128">
        <v>13890753.1</v>
      </c>
      <c r="H9436" s="128">
        <v>11613801.91</v>
      </c>
      <c r="I9436" s="128">
        <v>211102</v>
      </c>
    </row>
    <row r="9437" spans="1:9" ht="13.5">
      <c r="A9437" s="128">
        <v>2016</v>
      </c>
      <c r="B9437" s="128" t="s">
        <v>137</v>
      </c>
      <c r="C9437" s="128" t="s">
        <v>23</v>
      </c>
      <c r="D9437" s="128" t="s">
        <v>76</v>
      </c>
      <c r="E9437" s="128" t="s">
        <v>134</v>
      </c>
      <c r="F9437" s="128">
        <v>43471465.490000002</v>
      </c>
      <c r="G9437" s="128">
        <v>19330295.050000001</v>
      </c>
      <c r="H9437" s="128">
        <v>24141168.969999999</v>
      </c>
      <c r="I9437" s="128">
        <v>165822</v>
      </c>
    </row>
    <row r="9438" spans="1:9" ht="13.5">
      <c r="A9438" s="128">
        <v>2016</v>
      </c>
      <c r="B9438" s="128" t="s">
        <v>137</v>
      </c>
      <c r="C9438" s="128" t="s">
        <v>23</v>
      </c>
      <c r="D9438" s="128" t="s">
        <v>76</v>
      </c>
      <c r="E9438" s="128" t="s">
        <v>135</v>
      </c>
      <c r="F9438" s="128">
        <v>1720921.63</v>
      </c>
      <c r="G9438" s="128">
        <v>464117.4</v>
      </c>
      <c r="H9438" s="128">
        <v>1256804.23</v>
      </c>
      <c r="I9438" s="128">
        <v>1686</v>
      </c>
    </row>
    <row r="9439" spans="1:9" ht="13.5">
      <c r="A9439" s="128">
        <v>2016</v>
      </c>
      <c r="B9439" s="128" t="s">
        <v>137</v>
      </c>
      <c r="C9439" s="128" t="s">
        <v>24</v>
      </c>
      <c r="D9439" s="128" t="s">
        <v>79</v>
      </c>
      <c r="E9439" s="128" t="s">
        <v>136</v>
      </c>
      <c r="F9439" s="128">
        <v>1996009.97</v>
      </c>
      <c r="G9439" s="128">
        <v>1498624.46</v>
      </c>
      <c r="H9439" s="128">
        <v>494336.91</v>
      </c>
      <c r="I9439" s="128">
        <v>31050</v>
      </c>
    </row>
    <row r="9440" spans="1:9" ht="13.5">
      <c r="A9440" s="128">
        <v>2016</v>
      </c>
      <c r="B9440" s="128" t="s">
        <v>137</v>
      </c>
      <c r="C9440" s="128" t="s">
        <v>24</v>
      </c>
      <c r="D9440" s="128" t="s">
        <v>79</v>
      </c>
      <c r="E9440" s="128" t="s">
        <v>132</v>
      </c>
      <c r="F9440" s="128">
        <v>459991.44</v>
      </c>
      <c r="G9440" s="128">
        <v>303231.83</v>
      </c>
      <c r="H9440" s="128">
        <v>119141.24</v>
      </c>
      <c r="I9440" s="128">
        <v>2185</v>
      </c>
    </row>
    <row r="9441" spans="1:9" ht="13.5">
      <c r="A9441" s="128">
        <v>2016</v>
      </c>
      <c r="B9441" s="128" t="s">
        <v>137</v>
      </c>
      <c r="C9441" s="128" t="s">
        <v>24</v>
      </c>
      <c r="D9441" s="128" t="s">
        <v>79</v>
      </c>
      <c r="E9441" s="128" t="s">
        <v>133</v>
      </c>
      <c r="F9441" s="128">
        <v>1650364.77</v>
      </c>
      <c r="G9441" s="128">
        <v>884318.41</v>
      </c>
      <c r="H9441" s="128">
        <v>447427.71</v>
      </c>
      <c r="I9441" s="128">
        <v>21576</v>
      </c>
    </row>
    <row r="9442" spans="1:9" ht="13.5">
      <c r="A9442" s="128">
        <v>2016</v>
      </c>
      <c r="B9442" s="128" t="s">
        <v>137</v>
      </c>
      <c r="C9442" s="128" t="s">
        <v>24</v>
      </c>
      <c r="D9442" s="128" t="s">
        <v>79</v>
      </c>
      <c r="E9442" s="128" t="s">
        <v>134</v>
      </c>
      <c r="F9442" s="128">
        <v>2312459.58</v>
      </c>
      <c r="G9442" s="128">
        <v>1013475.9</v>
      </c>
      <c r="H9442" s="128">
        <v>609446.97</v>
      </c>
      <c r="I9442" s="128">
        <v>8351</v>
      </c>
    </row>
    <row r="9443" spans="1:9" ht="13.5">
      <c r="A9443" s="128">
        <v>2016</v>
      </c>
      <c r="B9443" s="128" t="s">
        <v>137</v>
      </c>
      <c r="C9443" s="128" t="s">
        <v>24</v>
      </c>
      <c r="D9443" s="128" t="s">
        <v>79</v>
      </c>
      <c r="E9443" s="128" t="s">
        <v>135</v>
      </c>
      <c r="F9443" s="128">
        <v>7245481.9400000004</v>
      </c>
      <c r="G9443" s="128">
        <v>1695878.99</v>
      </c>
      <c r="H9443" s="128">
        <v>656073.94999999995</v>
      </c>
      <c r="I9443" s="128">
        <v>11539</v>
      </c>
    </row>
    <row r="9444" spans="1:9" ht="13.5">
      <c r="A9444" s="128">
        <v>2016</v>
      </c>
      <c r="B9444" s="128" t="s">
        <v>137</v>
      </c>
      <c r="C9444" s="128" t="s">
        <v>24</v>
      </c>
      <c r="D9444" s="128" t="s">
        <v>77</v>
      </c>
      <c r="E9444" s="128" t="s">
        <v>132</v>
      </c>
      <c r="F9444" s="128">
        <v>2420550.4900000002</v>
      </c>
      <c r="G9444" s="128">
        <v>1658566.51</v>
      </c>
      <c r="H9444" s="128">
        <v>723294.38</v>
      </c>
      <c r="I9444" s="128">
        <v>13222</v>
      </c>
    </row>
    <row r="9445" spans="1:9" ht="13.5">
      <c r="A9445" s="128">
        <v>2016</v>
      </c>
      <c r="B9445" s="128" t="s">
        <v>137</v>
      </c>
      <c r="C9445" s="128" t="s">
        <v>24</v>
      </c>
      <c r="D9445" s="128" t="s">
        <v>77</v>
      </c>
      <c r="E9445" s="128" t="s">
        <v>133</v>
      </c>
      <c r="F9445" s="128">
        <v>4787199.93</v>
      </c>
      <c r="G9445" s="128">
        <v>2583251.09</v>
      </c>
      <c r="H9445" s="128">
        <v>1962679.72</v>
      </c>
      <c r="I9445" s="128">
        <v>33349</v>
      </c>
    </row>
    <row r="9446" spans="1:9" ht="13.5">
      <c r="A9446" s="128">
        <v>2016</v>
      </c>
      <c r="B9446" s="128" t="s">
        <v>137</v>
      </c>
      <c r="C9446" s="128" t="s">
        <v>24</v>
      </c>
      <c r="D9446" s="128" t="s">
        <v>77</v>
      </c>
      <c r="E9446" s="128" t="s">
        <v>134</v>
      </c>
      <c r="F9446" s="128">
        <v>8009323.9299999997</v>
      </c>
      <c r="G9446" s="128">
        <v>3565604.8</v>
      </c>
      <c r="H9446" s="128">
        <v>3163214.46</v>
      </c>
      <c r="I9446" s="128">
        <v>17606</v>
      </c>
    </row>
    <row r="9447" spans="1:9" ht="13.5">
      <c r="A9447" s="128">
        <v>2016</v>
      </c>
      <c r="B9447" s="128" t="s">
        <v>137</v>
      </c>
      <c r="C9447" s="128" t="s">
        <v>24</v>
      </c>
      <c r="D9447" s="128" t="s">
        <v>77</v>
      </c>
      <c r="E9447" s="128" t="s">
        <v>135</v>
      </c>
      <c r="F9447" s="128">
        <v>16110725.810000001</v>
      </c>
      <c r="G9447" s="128">
        <v>4161665.58</v>
      </c>
      <c r="H9447" s="128">
        <v>2872255.16</v>
      </c>
      <c r="I9447" s="128">
        <v>40018</v>
      </c>
    </row>
    <row r="9448" spans="1:9" ht="13.5">
      <c r="A9448" s="128">
        <v>2016</v>
      </c>
      <c r="B9448" s="128" t="s">
        <v>137</v>
      </c>
      <c r="C9448" s="128" t="s">
        <v>24</v>
      </c>
      <c r="D9448" s="128" t="s">
        <v>76</v>
      </c>
      <c r="E9448" s="128" t="s">
        <v>136</v>
      </c>
      <c r="F9448" s="128">
        <v>6430953.1600000001</v>
      </c>
      <c r="G9448" s="128">
        <v>4838702.3600000003</v>
      </c>
      <c r="H9448" s="128">
        <v>1592287.21</v>
      </c>
      <c r="I9448" s="128">
        <v>167783</v>
      </c>
    </row>
    <row r="9449" spans="1:9" ht="13.5">
      <c r="A9449" s="128">
        <v>2016</v>
      </c>
      <c r="B9449" s="128" t="s">
        <v>137</v>
      </c>
      <c r="C9449" s="128" t="s">
        <v>24</v>
      </c>
      <c r="D9449" s="128" t="s">
        <v>76</v>
      </c>
      <c r="E9449" s="128" t="s">
        <v>132</v>
      </c>
      <c r="F9449" s="128">
        <v>7698913.4699999997</v>
      </c>
      <c r="G9449" s="128">
        <v>5015467.8600000003</v>
      </c>
      <c r="H9449" s="128">
        <v>2683439.9700000002</v>
      </c>
      <c r="I9449" s="128">
        <v>52666</v>
      </c>
    </row>
    <row r="9450" spans="1:9" ht="13.5">
      <c r="A9450" s="128">
        <v>2016</v>
      </c>
      <c r="B9450" s="128" t="s">
        <v>137</v>
      </c>
      <c r="C9450" s="128" t="s">
        <v>24</v>
      </c>
      <c r="D9450" s="128" t="s">
        <v>76</v>
      </c>
      <c r="E9450" s="128" t="s">
        <v>133</v>
      </c>
      <c r="F9450" s="128">
        <v>41203031.799999997</v>
      </c>
      <c r="G9450" s="128">
        <v>22834992.84</v>
      </c>
      <c r="H9450" s="128">
        <v>18368033.109999999</v>
      </c>
      <c r="I9450" s="128">
        <v>285200</v>
      </c>
    </row>
    <row r="9451" spans="1:9" ht="13.5">
      <c r="A9451" s="128">
        <v>2016</v>
      </c>
      <c r="B9451" s="128" t="s">
        <v>137</v>
      </c>
      <c r="C9451" s="128" t="s">
        <v>24</v>
      </c>
      <c r="D9451" s="128" t="s">
        <v>76</v>
      </c>
      <c r="E9451" s="128" t="s">
        <v>134</v>
      </c>
      <c r="F9451" s="128">
        <v>54227783.909999996</v>
      </c>
      <c r="G9451" s="128">
        <v>23963901.02</v>
      </c>
      <c r="H9451" s="128">
        <v>30263874.280000001</v>
      </c>
      <c r="I9451" s="128">
        <v>259803</v>
      </c>
    </row>
    <row r="9452" spans="1:9" ht="13.5">
      <c r="A9452" s="128">
        <v>2016</v>
      </c>
      <c r="B9452" s="128" t="s">
        <v>137</v>
      </c>
      <c r="C9452" s="128" t="s">
        <v>24</v>
      </c>
      <c r="D9452" s="128" t="s">
        <v>76</v>
      </c>
      <c r="E9452" s="128" t="s">
        <v>135</v>
      </c>
      <c r="F9452" s="128">
        <v>3233583.87</v>
      </c>
      <c r="G9452" s="128">
        <v>856501.33</v>
      </c>
      <c r="H9452" s="128">
        <v>2377082.54</v>
      </c>
      <c r="I9452" s="128">
        <v>2174</v>
      </c>
    </row>
    <row r="9453" spans="1:9" ht="13.5">
      <c r="A9453" s="128">
        <v>2016</v>
      </c>
      <c r="B9453" s="128" t="s">
        <v>137</v>
      </c>
      <c r="C9453" s="128" t="s">
        <v>25</v>
      </c>
      <c r="D9453" s="128" t="s">
        <v>79</v>
      </c>
      <c r="E9453" s="128" t="s">
        <v>136</v>
      </c>
      <c r="F9453" s="128">
        <v>488539.59</v>
      </c>
      <c r="G9453" s="128">
        <v>367355.36</v>
      </c>
      <c r="H9453" s="128">
        <v>121152.93</v>
      </c>
      <c r="I9453" s="128">
        <v>5498</v>
      </c>
    </row>
    <row r="9454" spans="1:9" ht="13.5">
      <c r="A9454" s="128">
        <v>2016</v>
      </c>
      <c r="B9454" s="128" t="s">
        <v>137</v>
      </c>
      <c r="C9454" s="128" t="s">
        <v>25</v>
      </c>
      <c r="D9454" s="128" t="s">
        <v>79</v>
      </c>
      <c r="E9454" s="128" t="s">
        <v>132</v>
      </c>
      <c r="F9454" s="128">
        <v>499214.38</v>
      </c>
      <c r="G9454" s="128">
        <v>310509.51</v>
      </c>
      <c r="H9454" s="128">
        <v>175875.75</v>
      </c>
      <c r="I9454" s="128">
        <v>2788</v>
      </c>
    </row>
    <row r="9455" spans="1:9" ht="13.5">
      <c r="A9455" s="128">
        <v>2016</v>
      </c>
      <c r="B9455" s="128" t="s">
        <v>137</v>
      </c>
      <c r="C9455" s="128" t="s">
        <v>25</v>
      </c>
      <c r="D9455" s="128" t="s">
        <v>79</v>
      </c>
      <c r="E9455" s="128" t="s">
        <v>133</v>
      </c>
      <c r="F9455" s="128">
        <v>340751.07</v>
      </c>
      <c r="G9455" s="128">
        <v>189041.3</v>
      </c>
      <c r="H9455" s="128">
        <v>126921.75</v>
      </c>
      <c r="I9455" s="128">
        <v>2623</v>
      </c>
    </row>
    <row r="9456" spans="1:9" ht="13.5">
      <c r="A9456" s="128">
        <v>2016</v>
      </c>
      <c r="B9456" s="128" t="s">
        <v>137</v>
      </c>
      <c r="C9456" s="128" t="s">
        <v>25</v>
      </c>
      <c r="D9456" s="128" t="s">
        <v>79</v>
      </c>
      <c r="E9456" s="128" t="s">
        <v>134</v>
      </c>
      <c r="F9456" s="128">
        <v>708129.67</v>
      </c>
      <c r="G9456" s="128">
        <v>316236.79999999999</v>
      </c>
      <c r="H9456" s="128">
        <v>289995.15000000002</v>
      </c>
      <c r="I9456" s="128">
        <v>3419</v>
      </c>
    </row>
    <row r="9457" spans="1:9" ht="13.5">
      <c r="A9457" s="128">
        <v>2016</v>
      </c>
      <c r="B9457" s="128" t="s">
        <v>137</v>
      </c>
      <c r="C9457" s="128" t="s">
        <v>25</v>
      </c>
      <c r="D9457" s="128" t="s">
        <v>79</v>
      </c>
      <c r="E9457" s="128" t="s">
        <v>135</v>
      </c>
      <c r="F9457" s="128">
        <v>1508742.53</v>
      </c>
      <c r="G9457" s="128">
        <v>347992.65</v>
      </c>
      <c r="H9457" s="128">
        <v>144639.9</v>
      </c>
      <c r="I9457" s="128">
        <v>1560</v>
      </c>
    </row>
    <row r="9458" spans="1:9" ht="13.5">
      <c r="A9458" s="128">
        <v>2016</v>
      </c>
      <c r="B9458" s="128" t="s">
        <v>137</v>
      </c>
      <c r="C9458" s="128" t="s">
        <v>25</v>
      </c>
      <c r="D9458" s="128" t="s">
        <v>77</v>
      </c>
      <c r="E9458" s="128" t="s">
        <v>132</v>
      </c>
      <c r="F9458" s="128">
        <v>189003.56</v>
      </c>
      <c r="G9458" s="128">
        <v>128362.95</v>
      </c>
      <c r="H9458" s="128">
        <v>50063.05</v>
      </c>
      <c r="I9458" s="128">
        <v>1259</v>
      </c>
    </row>
    <row r="9459" spans="1:9" ht="13.5">
      <c r="A9459" s="128">
        <v>2016</v>
      </c>
      <c r="B9459" s="128" t="s">
        <v>137</v>
      </c>
      <c r="C9459" s="128" t="s">
        <v>25</v>
      </c>
      <c r="D9459" s="128" t="s">
        <v>77</v>
      </c>
      <c r="E9459" s="128" t="s">
        <v>133</v>
      </c>
      <c r="F9459" s="128">
        <v>280046.2</v>
      </c>
      <c r="G9459" s="128">
        <v>151718.65</v>
      </c>
      <c r="H9459" s="128">
        <v>115196.84</v>
      </c>
      <c r="I9459" s="128">
        <v>1234</v>
      </c>
    </row>
    <row r="9460" spans="1:9" ht="13.5">
      <c r="A9460" s="128">
        <v>2016</v>
      </c>
      <c r="B9460" s="128" t="s">
        <v>137</v>
      </c>
      <c r="C9460" s="128" t="s">
        <v>25</v>
      </c>
      <c r="D9460" s="128" t="s">
        <v>77</v>
      </c>
      <c r="E9460" s="128" t="s">
        <v>134</v>
      </c>
      <c r="F9460" s="128">
        <v>1339355.53</v>
      </c>
      <c r="G9460" s="128">
        <v>569476.98</v>
      </c>
      <c r="H9460" s="128">
        <v>567422.87</v>
      </c>
      <c r="I9460" s="128">
        <v>2635</v>
      </c>
    </row>
    <row r="9461" spans="1:9" ht="13.5">
      <c r="A9461" s="128">
        <v>2016</v>
      </c>
      <c r="B9461" s="128" t="s">
        <v>137</v>
      </c>
      <c r="C9461" s="128" t="s">
        <v>25</v>
      </c>
      <c r="D9461" s="128" t="s">
        <v>77</v>
      </c>
      <c r="E9461" s="128" t="s">
        <v>135</v>
      </c>
      <c r="F9461" s="128">
        <v>1641592.31</v>
      </c>
      <c r="G9461" s="128">
        <v>496504.55</v>
      </c>
      <c r="H9461" s="128">
        <v>577049.52</v>
      </c>
      <c r="I9461" s="128">
        <v>4696</v>
      </c>
    </row>
    <row r="9462" spans="1:9" ht="13.5">
      <c r="A9462" s="128">
        <v>2016</v>
      </c>
      <c r="B9462" s="128" t="s">
        <v>137</v>
      </c>
      <c r="C9462" s="128" t="s">
        <v>25</v>
      </c>
      <c r="D9462" s="128" t="s">
        <v>76</v>
      </c>
      <c r="E9462" s="128" t="s">
        <v>136</v>
      </c>
      <c r="F9462" s="128">
        <v>2091544.47</v>
      </c>
      <c r="G9462" s="128">
        <v>1569623.23</v>
      </c>
      <c r="H9462" s="128">
        <v>521921.74</v>
      </c>
      <c r="I9462" s="128">
        <v>36712</v>
      </c>
    </row>
    <row r="9463" spans="1:9" ht="13.5">
      <c r="A9463" s="128">
        <v>2016</v>
      </c>
      <c r="B9463" s="128" t="s">
        <v>137</v>
      </c>
      <c r="C9463" s="128" t="s">
        <v>25</v>
      </c>
      <c r="D9463" s="128" t="s">
        <v>76</v>
      </c>
      <c r="E9463" s="128" t="s">
        <v>132</v>
      </c>
      <c r="F9463" s="128">
        <v>2837777.75</v>
      </c>
      <c r="G9463" s="128">
        <v>1805006.4</v>
      </c>
      <c r="H9463" s="128">
        <v>1032770.85</v>
      </c>
      <c r="I9463" s="128">
        <v>23053</v>
      </c>
    </row>
    <row r="9464" spans="1:9" ht="13.5">
      <c r="A9464" s="128">
        <v>2016</v>
      </c>
      <c r="B9464" s="128" t="s">
        <v>137</v>
      </c>
      <c r="C9464" s="128" t="s">
        <v>25</v>
      </c>
      <c r="D9464" s="128" t="s">
        <v>76</v>
      </c>
      <c r="E9464" s="128" t="s">
        <v>133</v>
      </c>
      <c r="F9464" s="128">
        <v>8322529.2199999997</v>
      </c>
      <c r="G9464" s="128">
        <v>4556151.37</v>
      </c>
      <c r="H9464" s="128">
        <v>3766370.17</v>
      </c>
      <c r="I9464" s="128">
        <v>54475</v>
      </c>
    </row>
    <row r="9465" spans="1:9" ht="13.5">
      <c r="A9465" s="128">
        <v>2016</v>
      </c>
      <c r="B9465" s="128" t="s">
        <v>137</v>
      </c>
      <c r="C9465" s="128" t="s">
        <v>25</v>
      </c>
      <c r="D9465" s="128" t="s">
        <v>76</v>
      </c>
      <c r="E9465" s="128" t="s">
        <v>134</v>
      </c>
      <c r="F9465" s="128">
        <v>11234803.699999999</v>
      </c>
      <c r="G9465" s="128">
        <v>5125626.6399999997</v>
      </c>
      <c r="H9465" s="128">
        <v>6109175.0800000001</v>
      </c>
      <c r="I9465" s="128">
        <v>51385</v>
      </c>
    </row>
    <row r="9466" spans="1:9" ht="13.5">
      <c r="A9466" s="128">
        <v>2016</v>
      </c>
      <c r="B9466" s="128" t="s">
        <v>137</v>
      </c>
      <c r="C9466" s="128" t="s">
        <v>25</v>
      </c>
      <c r="D9466" s="128" t="s">
        <v>76</v>
      </c>
      <c r="E9466" s="128" t="s">
        <v>135</v>
      </c>
      <c r="F9466" s="128">
        <v>427876.13</v>
      </c>
      <c r="G9466" s="128">
        <v>117246.2</v>
      </c>
      <c r="H9466" s="128">
        <v>310629.93</v>
      </c>
      <c r="I9466" s="128">
        <v>340</v>
      </c>
    </row>
    <row r="9467" spans="1:9" ht="13.5">
      <c r="A9467" s="128">
        <v>2016</v>
      </c>
      <c r="B9467" s="128" t="s">
        <v>137</v>
      </c>
      <c r="C9467" s="128" t="s">
        <v>26</v>
      </c>
      <c r="D9467" s="128" t="s">
        <v>79</v>
      </c>
      <c r="E9467" s="128" t="s">
        <v>136</v>
      </c>
      <c r="F9467" s="128">
        <v>987009.72</v>
      </c>
      <c r="G9467" s="128">
        <v>738719.48</v>
      </c>
      <c r="H9467" s="128">
        <v>242992.44</v>
      </c>
      <c r="I9467" s="128">
        <v>8671</v>
      </c>
    </row>
    <row r="9468" spans="1:9" ht="13.5">
      <c r="A9468" s="128">
        <v>2016</v>
      </c>
      <c r="B9468" s="128" t="s">
        <v>137</v>
      </c>
      <c r="C9468" s="128" t="s">
        <v>26</v>
      </c>
      <c r="D9468" s="128" t="s">
        <v>79</v>
      </c>
      <c r="E9468" s="128" t="s">
        <v>132</v>
      </c>
      <c r="F9468" s="128">
        <v>165106.01999999999</v>
      </c>
      <c r="G9468" s="128">
        <v>110206.9</v>
      </c>
      <c r="H9468" s="128">
        <v>47494.8</v>
      </c>
      <c r="I9468" s="128">
        <v>1043</v>
      </c>
    </row>
    <row r="9469" spans="1:9" ht="13.5">
      <c r="A9469" s="128">
        <v>2016</v>
      </c>
      <c r="B9469" s="128" t="s">
        <v>137</v>
      </c>
      <c r="C9469" s="128" t="s">
        <v>26</v>
      </c>
      <c r="D9469" s="128" t="s">
        <v>79</v>
      </c>
      <c r="E9469" s="128" t="s">
        <v>133</v>
      </c>
      <c r="F9469" s="128">
        <v>179281.74</v>
      </c>
      <c r="G9469" s="128">
        <v>97729.51</v>
      </c>
      <c r="H9469" s="128">
        <v>50534.35</v>
      </c>
      <c r="I9469" s="128">
        <v>769</v>
      </c>
    </row>
    <row r="9470" spans="1:9" ht="13.5">
      <c r="A9470" s="128">
        <v>2016</v>
      </c>
      <c r="B9470" s="128" t="s">
        <v>137</v>
      </c>
      <c r="C9470" s="128" t="s">
        <v>26</v>
      </c>
      <c r="D9470" s="128" t="s">
        <v>79</v>
      </c>
      <c r="E9470" s="128" t="s">
        <v>134</v>
      </c>
      <c r="F9470" s="128">
        <v>769974.89</v>
      </c>
      <c r="G9470" s="128">
        <v>328019.86</v>
      </c>
      <c r="H9470" s="128">
        <v>185033.29</v>
      </c>
      <c r="I9470" s="128">
        <v>3080</v>
      </c>
    </row>
    <row r="9471" spans="1:9" ht="13.5">
      <c r="A9471" s="128">
        <v>2016</v>
      </c>
      <c r="B9471" s="128" t="s">
        <v>137</v>
      </c>
      <c r="C9471" s="128" t="s">
        <v>26</v>
      </c>
      <c r="D9471" s="128" t="s">
        <v>79</v>
      </c>
      <c r="E9471" s="128" t="s">
        <v>135</v>
      </c>
      <c r="F9471" s="128">
        <v>6556706.8099999996</v>
      </c>
      <c r="G9471" s="128">
        <v>1533492.22</v>
      </c>
      <c r="H9471" s="128">
        <v>528324.23</v>
      </c>
      <c r="I9471" s="128">
        <v>6830</v>
      </c>
    </row>
    <row r="9472" spans="1:9" ht="13.5">
      <c r="A9472" s="128">
        <v>2016</v>
      </c>
      <c r="B9472" s="128" t="s">
        <v>137</v>
      </c>
      <c r="C9472" s="128" t="s">
        <v>26</v>
      </c>
      <c r="D9472" s="128" t="s">
        <v>77</v>
      </c>
      <c r="E9472" s="128" t="s">
        <v>132</v>
      </c>
      <c r="F9472" s="128">
        <v>87833.37</v>
      </c>
      <c r="G9472" s="128">
        <v>56054.35</v>
      </c>
      <c r="H9472" s="128">
        <v>28600.77</v>
      </c>
      <c r="I9472" s="128">
        <v>433</v>
      </c>
    </row>
    <row r="9473" spans="1:9" ht="13.5">
      <c r="A9473" s="128">
        <v>2016</v>
      </c>
      <c r="B9473" s="128" t="s">
        <v>137</v>
      </c>
      <c r="C9473" s="128" t="s">
        <v>26</v>
      </c>
      <c r="D9473" s="128" t="s">
        <v>77</v>
      </c>
      <c r="E9473" s="128" t="s">
        <v>133</v>
      </c>
      <c r="F9473" s="128">
        <v>130324.66</v>
      </c>
      <c r="G9473" s="128">
        <v>71702.5</v>
      </c>
      <c r="H9473" s="128">
        <v>49146.57</v>
      </c>
      <c r="I9473" s="128">
        <v>332</v>
      </c>
    </row>
    <row r="9474" spans="1:9" ht="13.5">
      <c r="A9474" s="128">
        <v>2016</v>
      </c>
      <c r="B9474" s="128" t="s">
        <v>137</v>
      </c>
      <c r="C9474" s="128" t="s">
        <v>26</v>
      </c>
      <c r="D9474" s="128" t="s">
        <v>77</v>
      </c>
      <c r="E9474" s="128" t="s">
        <v>134</v>
      </c>
      <c r="F9474" s="128">
        <v>429421.9</v>
      </c>
      <c r="G9474" s="128">
        <v>184173.25</v>
      </c>
      <c r="H9474" s="128">
        <v>187293.18</v>
      </c>
      <c r="I9474" s="128">
        <v>1430</v>
      </c>
    </row>
    <row r="9475" spans="1:9" ht="13.5">
      <c r="A9475" s="128">
        <v>2016</v>
      </c>
      <c r="B9475" s="128" t="s">
        <v>137</v>
      </c>
      <c r="C9475" s="128" t="s">
        <v>26</v>
      </c>
      <c r="D9475" s="128" t="s">
        <v>77</v>
      </c>
      <c r="E9475" s="128" t="s">
        <v>135</v>
      </c>
      <c r="F9475" s="128">
        <v>2808454.64</v>
      </c>
      <c r="G9475" s="128">
        <v>751571.59</v>
      </c>
      <c r="H9475" s="128">
        <v>825091.81</v>
      </c>
      <c r="I9475" s="128">
        <v>9782</v>
      </c>
    </row>
    <row r="9476" spans="1:9" ht="13.5">
      <c r="A9476" s="128">
        <v>2016</v>
      </c>
      <c r="B9476" s="128" t="s">
        <v>137</v>
      </c>
      <c r="C9476" s="128" t="s">
        <v>26</v>
      </c>
      <c r="D9476" s="128" t="s">
        <v>76</v>
      </c>
      <c r="E9476" s="128" t="s">
        <v>136</v>
      </c>
      <c r="F9476" s="128">
        <v>438475.82</v>
      </c>
      <c r="G9476" s="128">
        <v>329486.15999999997</v>
      </c>
      <c r="H9476" s="128">
        <v>108989.21</v>
      </c>
      <c r="I9476" s="128">
        <v>14795</v>
      </c>
    </row>
    <row r="9477" spans="1:9" ht="13.5">
      <c r="A9477" s="128">
        <v>2016</v>
      </c>
      <c r="B9477" s="128" t="s">
        <v>137</v>
      </c>
      <c r="C9477" s="128" t="s">
        <v>26</v>
      </c>
      <c r="D9477" s="128" t="s">
        <v>76</v>
      </c>
      <c r="E9477" s="128" t="s">
        <v>132</v>
      </c>
      <c r="F9477" s="128">
        <v>1483815.11</v>
      </c>
      <c r="G9477" s="128">
        <v>946230.4</v>
      </c>
      <c r="H9477" s="128">
        <v>537579.31999999995</v>
      </c>
      <c r="I9477" s="128">
        <v>16153</v>
      </c>
    </row>
    <row r="9478" spans="1:9" ht="13.5">
      <c r="A9478" s="128">
        <v>2016</v>
      </c>
      <c r="B9478" s="128" t="s">
        <v>137</v>
      </c>
      <c r="C9478" s="128" t="s">
        <v>26</v>
      </c>
      <c r="D9478" s="128" t="s">
        <v>76</v>
      </c>
      <c r="E9478" s="128" t="s">
        <v>133</v>
      </c>
      <c r="F9478" s="128">
        <v>3649631.82</v>
      </c>
      <c r="G9478" s="128">
        <v>2008669.4</v>
      </c>
      <c r="H9478" s="128">
        <v>1640961.69</v>
      </c>
      <c r="I9478" s="128">
        <v>27948</v>
      </c>
    </row>
    <row r="9479" spans="1:9" ht="13.5">
      <c r="A9479" s="128">
        <v>2016</v>
      </c>
      <c r="B9479" s="128" t="s">
        <v>137</v>
      </c>
      <c r="C9479" s="128" t="s">
        <v>26</v>
      </c>
      <c r="D9479" s="128" t="s">
        <v>76</v>
      </c>
      <c r="E9479" s="128" t="s">
        <v>134</v>
      </c>
      <c r="F9479" s="128">
        <v>2577821.39</v>
      </c>
      <c r="G9479" s="128">
        <v>1176380.3500000001</v>
      </c>
      <c r="H9479" s="128">
        <v>1401441.64</v>
      </c>
      <c r="I9479" s="128">
        <v>14945</v>
      </c>
    </row>
    <row r="9480" spans="1:9" ht="13.5">
      <c r="A9480" s="128">
        <v>2016</v>
      </c>
      <c r="B9480" s="128" t="s">
        <v>137</v>
      </c>
      <c r="C9480" s="128" t="s">
        <v>26</v>
      </c>
      <c r="D9480" s="128" t="s">
        <v>76</v>
      </c>
      <c r="E9480" s="128" t="s">
        <v>135</v>
      </c>
      <c r="F9480" s="128">
        <v>343120.51</v>
      </c>
      <c r="G9480" s="128">
        <v>102080.65</v>
      </c>
      <c r="H9480" s="128">
        <v>241039.86</v>
      </c>
      <c r="I9480" s="128">
        <v>544</v>
      </c>
    </row>
    <row r="9481" spans="1:9" ht="13.5">
      <c r="A9481" s="128">
        <v>2016</v>
      </c>
      <c r="B9481" s="128" t="s">
        <v>137</v>
      </c>
      <c r="C9481" s="128" t="s">
        <v>27</v>
      </c>
      <c r="D9481" s="128" t="s">
        <v>79</v>
      </c>
      <c r="E9481" s="128" t="s">
        <v>136</v>
      </c>
      <c r="F9481" s="128">
        <v>253282.54</v>
      </c>
      <c r="G9481" s="128">
        <v>189995.94</v>
      </c>
      <c r="H9481" s="128">
        <v>63286.6</v>
      </c>
      <c r="I9481" s="128">
        <v>1748</v>
      </c>
    </row>
    <row r="9482" spans="1:9" ht="13.5">
      <c r="A9482" s="128">
        <v>2016</v>
      </c>
      <c r="B9482" s="128" t="s">
        <v>137</v>
      </c>
      <c r="C9482" s="128" t="s">
        <v>27</v>
      </c>
      <c r="D9482" s="128" t="s">
        <v>79</v>
      </c>
      <c r="E9482" s="128" t="s">
        <v>132</v>
      </c>
      <c r="F9482" s="128">
        <v>82566.350000000006</v>
      </c>
      <c r="G9482" s="128">
        <v>54291.199999999997</v>
      </c>
      <c r="H9482" s="128">
        <v>26273.1</v>
      </c>
      <c r="I9482" s="128">
        <v>503</v>
      </c>
    </row>
    <row r="9483" spans="1:9" ht="13.5">
      <c r="A9483" s="128">
        <v>2016</v>
      </c>
      <c r="B9483" s="128" t="s">
        <v>137</v>
      </c>
      <c r="C9483" s="128" t="s">
        <v>27</v>
      </c>
      <c r="D9483" s="128" t="s">
        <v>79</v>
      </c>
      <c r="E9483" s="128" t="s">
        <v>133</v>
      </c>
      <c r="F9483" s="128">
        <v>64330.57</v>
      </c>
      <c r="G9483" s="128">
        <v>34680.67</v>
      </c>
      <c r="H9483" s="128">
        <v>16259.65</v>
      </c>
      <c r="I9483" s="128">
        <v>410</v>
      </c>
    </row>
    <row r="9484" spans="1:9" ht="13.5">
      <c r="A9484" s="128">
        <v>2016</v>
      </c>
      <c r="B9484" s="128" t="s">
        <v>137</v>
      </c>
      <c r="C9484" s="128" t="s">
        <v>27</v>
      </c>
      <c r="D9484" s="128" t="s">
        <v>79</v>
      </c>
      <c r="E9484" s="128" t="s">
        <v>134</v>
      </c>
      <c r="F9484" s="128">
        <v>134617.34</v>
      </c>
      <c r="G9484" s="128">
        <v>59159.6</v>
      </c>
      <c r="H9484" s="128">
        <v>55641.2</v>
      </c>
      <c r="I9484" s="128">
        <v>641</v>
      </c>
    </row>
    <row r="9485" spans="1:9" ht="13.5">
      <c r="A9485" s="128">
        <v>2016</v>
      </c>
      <c r="B9485" s="128" t="s">
        <v>137</v>
      </c>
      <c r="C9485" s="128" t="s">
        <v>27</v>
      </c>
      <c r="D9485" s="128" t="s">
        <v>79</v>
      </c>
      <c r="E9485" s="128" t="s">
        <v>135</v>
      </c>
      <c r="F9485" s="128">
        <v>976205.07</v>
      </c>
      <c r="G9485" s="128">
        <v>240223.76</v>
      </c>
      <c r="H9485" s="128">
        <v>85340.5</v>
      </c>
      <c r="I9485" s="128">
        <v>873</v>
      </c>
    </row>
    <row r="9486" spans="1:9" ht="13.5">
      <c r="A9486" s="128">
        <v>2016</v>
      </c>
      <c r="B9486" s="128" t="s">
        <v>137</v>
      </c>
      <c r="C9486" s="128" t="s">
        <v>27</v>
      </c>
      <c r="D9486" s="128" t="s">
        <v>77</v>
      </c>
      <c r="E9486" s="128" t="s">
        <v>132</v>
      </c>
      <c r="F9486" s="128">
        <v>18800.439999999999</v>
      </c>
      <c r="G9486" s="128">
        <v>12659.45</v>
      </c>
      <c r="H9486" s="128">
        <v>4530.2</v>
      </c>
      <c r="I9486" s="128">
        <v>89</v>
      </c>
    </row>
    <row r="9487" spans="1:9" ht="13.5">
      <c r="A9487" s="128">
        <v>2016</v>
      </c>
      <c r="B9487" s="128" t="s">
        <v>137</v>
      </c>
      <c r="C9487" s="128" t="s">
        <v>27</v>
      </c>
      <c r="D9487" s="128" t="s">
        <v>77</v>
      </c>
      <c r="E9487" s="128" t="s">
        <v>133</v>
      </c>
      <c r="F9487" s="128">
        <v>39666.86</v>
      </c>
      <c r="G9487" s="128">
        <v>21797</v>
      </c>
      <c r="H9487" s="128">
        <v>14664.95</v>
      </c>
      <c r="I9487" s="128">
        <v>188</v>
      </c>
    </row>
    <row r="9488" spans="1:9" ht="13.5">
      <c r="A9488" s="128">
        <v>2016</v>
      </c>
      <c r="B9488" s="128" t="s">
        <v>137</v>
      </c>
      <c r="C9488" s="128" t="s">
        <v>27</v>
      </c>
      <c r="D9488" s="128" t="s">
        <v>77</v>
      </c>
      <c r="E9488" s="128" t="s">
        <v>134</v>
      </c>
      <c r="F9488" s="128">
        <v>153120.56</v>
      </c>
      <c r="G9488" s="128">
        <v>66616.179999999993</v>
      </c>
      <c r="H9488" s="128">
        <v>64173.42</v>
      </c>
      <c r="I9488" s="128">
        <v>327</v>
      </c>
    </row>
    <row r="9489" spans="1:9" ht="13.5">
      <c r="A9489" s="128">
        <v>2016</v>
      </c>
      <c r="B9489" s="128" t="s">
        <v>137</v>
      </c>
      <c r="C9489" s="128" t="s">
        <v>27</v>
      </c>
      <c r="D9489" s="128" t="s">
        <v>77</v>
      </c>
      <c r="E9489" s="128" t="s">
        <v>135</v>
      </c>
      <c r="F9489" s="128">
        <v>599950.66</v>
      </c>
      <c r="G9489" s="128">
        <v>157667.15</v>
      </c>
      <c r="H9489" s="128">
        <v>179639.06</v>
      </c>
      <c r="I9489" s="128">
        <v>2648</v>
      </c>
    </row>
    <row r="9490" spans="1:9" ht="13.5">
      <c r="A9490" s="128">
        <v>2016</v>
      </c>
      <c r="B9490" s="128" t="s">
        <v>137</v>
      </c>
      <c r="C9490" s="128" t="s">
        <v>27</v>
      </c>
      <c r="D9490" s="128" t="s">
        <v>76</v>
      </c>
      <c r="E9490" s="128" t="s">
        <v>136</v>
      </c>
      <c r="F9490" s="128">
        <v>267596.93</v>
      </c>
      <c r="G9490" s="128">
        <v>200841.72</v>
      </c>
      <c r="H9490" s="128">
        <v>66755.19</v>
      </c>
      <c r="I9490" s="128">
        <v>3218</v>
      </c>
    </row>
    <row r="9491" spans="1:9" ht="13.5">
      <c r="A9491" s="128">
        <v>2016</v>
      </c>
      <c r="B9491" s="128" t="s">
        <v>137</v>
      </c>
      <c r="C9491" s="128" t="s">
        <v>27</v>
      </c>
      <c r="D9491" s="128" t="s">
        <v>76</v>
      </c>
      <c r="E9491" s="128" t="s">
        <v>132</v>
      </c>
      <c r="F9491" s="128">
        <v>520519.5</v>
      </c>
      <c r="G9491" s="128">
        <v>334482.03000000003</v>
      </c>
      <c r="H9491" s="128">
        <v>186033.3</v>
      </c>
      <c r="I9491" s="128">
        <v>4377</v>
      </c>
    </row>
    <row r="9492" spans="1:9" ht="13.5">
      <c r="A9492" s="128">
        <v>2016</v>
      </c>
      <c r="B9492" s="128" t="s">
        <v>137</v>
      </c>
      <c r="C9492" s="128" t="s">
        <v>27</v>
      </c>
      <c r="D9492" s="128" t="s">
        <v>76</v>
      </c>
      <c r="E9492" s="128" t="s">
        <v>133</v>
      </c>
      <c r="F9492" s="128">
        <v>1268644.29</v>
      </c>
      <c r="G9492" s="128">
        <v>693302.7</v>
      </c>
      <c r="H9492" s="128">
        <v>575338.30000000005</v>
      </c>
      <c r="I9492" s="128">
        <v>6577</v>
      </c>
    </row>
    <row r="9493" spans="1:9" ht="13.5">
      <c r="A9493" s="128">
        <v>2016</v>
      </c>
      <c r="B9493" s="128" t="s">
        <v>137</v>
      </c>
      <c r="C9493" s="128" t="s">
        <v>27</v>
      </c>
      <c r="D9493" s="128" t="s">
        <v>76</v>
      </c>
      <c r="E9493" s="128" t="s">
        <v>134</v>
      </c>
      <c r="F9493" s="128">
        <v>2004218.89</v>
      </c>
      <c r="G9493" s="128">
        <v>917642.6</v>
      </c>
      <c r="H9493" s="128">
        <v>1086574.8700000001</v>
      </c>
      <c r="I9493" s="128">
        <v>9182</v>
      </c>
    </row>
    <row r="9494" spans="1:9" ht="13.5">
      <c r="A9494" s="128">
        <v>2016</v>
      </c>
      <c r="B9494" s="128" t="s">
        <v>137</v>
      </c>
      <c r="C9494" s="128" t="s">
        <v>27</v>
      </c>
      <c r="D9494" s="128" t="s">
        <v>76</v>
      </c>
      <c r="E9494" s="128" t="s">
        <v>135</v>
      </c>
      <c r="F9494" s="128">
        <v>45470.6</v>
      </c>
      <c r="G9494" s="128">
        <v>13460.1</v>
      </c>
      <c r="H9494" s="128">
        <v>32010.5</v>
      </c>
      <c r="I9494" s="128">
        <v>105</v>
      </c>
    </row>
    <row r="9495" spans="1:9" ht="13.5">
      <c r="A9495" s="128">
        <v>2017</v>
      </c>
      <c r="B9495" s="128" t="s">
        <v>131</v>
      </c>
      <c r="C9495" s="128" t="s">
        <v>20</v>
      </c>
      <c r="D9495" s="128" t="s">
        <v>79</v>
      </c>
      <c r="E9495" s="128" t="s">
        <v>136</v>
      </c>
      <c r="F9495" s="128">
        <v>35229042.469999999</v>
      </c>
      <c r="G9495" s="128">
        <v>26437276.809999999</v>
      </c>
      <c r="H9495" s="128">
        <v>8781528.7100000009</v>
      </c>
      <c r="I9495" s="128">
        <v>447810</v>
      </c>
    </row>
    <row r="9496" spans="1:9" ht="13.5">
      <c r="A9496" s="128">
        <v>2017</v>
      </c>
      <c r="B9496" s="128" t="s">
        <v>131</v>
      </c>
      <c r="C9496" s="128" t="s">
        <v>20</v>
      </c>
      <c r="D9496" s="128" t="s">
        <v>79</v>
      </c>
      <c r="E9496" s="128" t="s">
        <v>132</v>
      </c>
      <c r="F9496" s="128">
        <v>2739277.08</v>
      </c>
      <c r="G9496" s="128">
        <v>1827299.21</v>
      </c>
      <c r="H9496" s="128">
        <v>703819.35</v>
      </c>
      <c r="I9496" s="128">
        <v>13924</v>
      </c>
    </row>
    <row r="9497" spans="1:9" ht="13.5">
      <c r="A9497" s="128">
        <v>2017</v>
      </c>
      <c r="B9497" s="128" t="s">
        <v>131</v>
      </c>
      <c r="C9497" s="128" t="s">
        <v>20</v>
      </c>
      <c r="D9497" s="128" t="s">
        <v>79</v>
      </c>
      <c r="E9497" s="128" t="s">
        <v>133</v>
      </c>
      <c r="F9497" s="128">
        <v>2707141.61</v>
      </c>
      <c r="G9497" s="128">
        <v>1459122.75</v>
      </c>
      <c r="H9497" s="128">
        <v>728396.55</v>
      </c>
      <c r="I9497" s="128">
        <v>15127</v>
      </c>
    </row>
    <row r="9498" spans="1:9" ht="13.5">
      <c r="A9498" s="128">
        <v>2017</v>
      </c>
      <c r="B9498" s="128" t="s">
        <v>131</v>
      </c>
      <c r="C9498" s="128" t="s">
        <v>20</v>
      </c>
      <c r="D9498" s="128" t="s">
        <v>79</v>
      </c>
      <c r="E9498" s="128" t="s">
        <v>134</v>
      </c>
      <c r="F9498" s="128">
        <v>7993246.3799999999</v>
      </c>
      <c r="G9498" s="128">
        <v>3449393.91</v>
      </c>
      <c r="H9498" s="128">
        <v>1791175.6</v>
      </c>
      <c r="I9498" s="128">
        <v>31416</v>
      </c>
    </row>
    <row r="9499" spans="1:9" ht="13.5">
      <c r="A9499" s="128">
        <v>2017</v>
      </c>
      <c r="B9499" s="128" t="s">
        <v>131</v>
      </c>
      <c r="C9499" s="128" t="s">
        <v>20</v>
      </c>
      <c r="D9499" s="128" t="s">
        <v>79</v>
      </c>
      <c r="E9499" s="128" t="s">
        <v>135</v>
      </c>
      <c r="F9499" s="128">
        <v>79180525.670000002</v>
      </c>
      <c r="G9499" s="128">
        <v>17624490.379999999</v>
      </c>
      <c r="H9499" s="128">
        <v>6018835.6600000001</v>
      </c>
      <c r="I9499" s="128">
        <v>77927</v>
      </c>
    </row>
    <row r="9500" spans="1:9" ht="13.5">
      <c r="A9500" s="128">
        <v>2017</v>
      </c>
      <c r="B9500" s="128" t="s">
        <v>131</v>
      </c>
      <c r="C9500" s="128" t="s">
        <v>20</v>
      </c>
      <c r="D9500" s="128" t="s">
        <v>77</v>
      </c>
      <c r="E9500" s="128" t="s">
        <v>132</v>
      </c>
      <c r="F9500" s="128">
        <v>3313250.2</v>
      </c>
      <c r="G9500" s="128">
        <v>2160387.59</v>
      </c>
      <c r="H9500" s="128">
        <v>1068278.43</v>
      </c>
      <c r="I9500" s="128">
        <v>13346</v>
      </c>
    </row>
    <row r="9501" spans="1:9" ht="13.5">
      <c r="A9501" s="128">
        <v>2017</v>
      </c>
      <c r="B9501" s="128" t="s">
        <v>131</v>
      </c>
      <c r="C9501" s="128" t="s">
        <v>20</v>
      </c>
      <c r="D9501" s="128" t="s">
        <v>77</v>
      </c>
      <c r="E9501" s="128" t="s">
        <v>133</v>
      </c>
      <c r="F9501" s="128">
        <v>4463556.67</v>
      </c>
      <c r="G9501" s="128">
        <v>2407221.5699999998</v>
      </c>
      <c r="H9501" s="128">
        <v>1798287.2</v>
      </c>
      <c r="I9501" s="128">
        <v>14225</v>
      </c>
    </row>
    <row r="9502" spans="1:9" ht="13.5">
      <c r="A9502" s="128">
        <v>2017</v>
      </c>
      <c r="B9502" s="128" t="s">
        <v>131</v>
      </c>
      <c r="C9502" s="128" t="s">
        <v>20</v>
      </c>
      <c r="D9502" s="128" t="s">
        <v>77</v>
      </c>
      <c r="E9502" s="128" t="s">
        <v>134</v>
      </c>
      <c r="F9502" s="128">
        <v>15675712.039999999</v>
      </c>
      <c r="G9502" s="128">
        <v>6735639.5999999996</v>
      </c>
      <c r="H9502" s="128">
        <v>6974103.7300000004</v>
      </c>
      <c r="I9502" s="128">
        <v>35293</v>
      </c>
    </row>
    <row r="9503" spans="1:9" ht="13.5">
      <c r="A9503" s="128">
        <v>2017</v>
      </c>
      <c r="B9503" s="128" t="s">
        <v>131</v>
      </c>
      <c r="C9503" s="128" t="s">
        <v>20</v>
      </c>
      <c r="D9503" s="128" t="s">
        <v>77</v>
      </c>
      <c r="E9503" s="128" t="s">
        <v>135</v>
      </c>
      <c r="F9503" s="128">
        <v>40270051.039999999</v>
      </c>
      <c r="G9503" s="128">
        <v>10570787.060000001</v>
      </c>
      <c r="H9503" s="128">
        <v>12510340.57</v>
      </c>
      <c r="I9503" s="128">
        <v>142943</v>
      </c>
    </row>
    <row r="9504" spans="1:9" ht="13.5">
      <c r="A9504" s="128">
        <v>2017</v>
      </c>
      <c r="B9504" s="128" t="s">
        <v>131</v>
      </c>
      <c r="C9504" s="128" t="s">
        <v>20</v>
      </c>
      <c r="D9504" s="128" t="s">
        <v>76</v>
      </c>
      <c r="E9504" s="128" t="s">
        <v>136</v>
      </c>
      <c r="F9504" s="128">
        <v>25615944.66</v>
      </c>
      <c r="G9504" s="128">
        <v>19235076.219999999</v>
      </c>
      <c r="H9504" s="128">
        <v>6380928.6500000004</v>
      </c>
      <c r="I9504" s="128">
        <v>776829</v>
      </c>
    </row>
    <row r="9505" spans="1:9" ht="13.5">
      <c r="A9505" s="128">
        <v>2017</v>
      </c>
      <c r="B9505" s="128" t="s">
        <v>131</v>
      </c>
      <c r="C9505" s="128" t="s">
        <v>20</v>
      </c>
      <c r="D9505" s="128" t="s">
        <v>76</v>
      </c>
      <c r="E9505" s="128" t="s">
        <v>132</v>
      </c>
      <c r="F9505" s="128">
        <v>50758246.850000001</v>
      </c>
      <c r="G9505" s="128">
        <v>32033007.07</v>
      </c>
      <c r="H9505" s="128">
        <v>18725199.370000001</v>
      </c>
      <c r="I9505" s="128">
        <v>446796</v>
      </c>
    </row>
    <row r="9506" spans="1:9" ht="13.5">
      <c r="A9506" s="128">
        <v>2017</v>
      </c>
      <c r="B9506" s="128" t="s">
        <v>131</v>
      </c>
      <c r="C9506" s="128" t="s">
        <v>20</v>
      </c>
      <c r="D9506" s="128" t="s">
        <v>76</v>
      </c>
      <c r="E9506" s="128" t="s">
        <v>133</v>
      </c>
      <c r="F9506" s="128">
        <v>94269847.900000006</v>
      </c>
      <c r="G9506" s="128">
        <v>51569953.57</v>
      </c>
      <c r="H9506" s="128">
        <v>42699866.530000001</v>
      </c>
      <c r="I9506" s="128">
        <v>601351</v>
      </c>
    </row>
    <row r="9507" spans="1:9" ht="13.5">
      <c r="A9507" s="128">
        <v>2017</v>
      </c>
      <c r="B9507" s="128" t="s">
        <v>131</v>
      </c>
      <c r="C9507" s="128" t="s">
        <v>20</v>
      </c>
      <c r="D9507" s="128" t="s">
        <v>76</v>
      </c>
      <c r="E9507" s="128" t="s">
        <v>134</v>
      </c>
      <c r="F9507" s="128">
        <v>110792752.89</v>
      </c>
      <c r="G9507" s="128">
        <v>50468275.18</v>
      </c>
      <c r="H9507" s="128">
        <v>60324398.75</v>
      </c>
      <c r="I9507" s="128">
        <v>603510</v>
      </c>
    </row>
    <row r="9508" spans="1:9" ht="13.5">
      <c r="A9508" s="128">
        <v>2017</v>
      </c>
      <c r="B9508" s="128" t="s">
        <v>131</v>
      </c>
      <c r="C9508" s="128" t="s">
        <v>20</v>
      </c>
      <c r="D9508" s="128" t="s">
        <v>76</v>
      </c>
      <c r="E9508" s="128" t="s">
        <v>135</v>
      </c>
      <c r="F9508" s="128">
        <v>7022211.9100000001</v>
      </c>
      <c r="G9508" s="128">
        <v>2020656.69</v>
      </c>
      <c r="H9508" s="128">
        <v>5001555.22</v>
      </c>
      <c r="I9508" s="128">
        <v>14591</v>
      </c>
    </row>
    <row r="9509" spans="1:9" ht="13.5">
      <c r="A9509" s="128">
        <v>2017</v>
      </c>
      <c r="B9509" s="128" t="s">
        <v>131</v>
      </c>
      <c r="C9509" s="128" t="s">
        <v>21</v>
      </c>
      <c r="D9509" s="128" t="s">
        <v>79</v>
      </c>
      <c r="E9509" s="128" t="s">
        <v>136</v>
      </c>
      <c r="F9509" s="128">
        <v>9077075.9000000004</v>
      </c>
      <c r="G9509" s="128">
        <v>6808061.0800000001</v>
      </c>
      <c r="H9509" s="128">
        <v>2258862.83</v>
      </c>
      <c r="I9509" s="128">
        <v>177908</v>
      </c>
    </row>
    <row r="9510" spans="1:9" ht="13.5">
      <c r="A9510" s="128">
        <v>2017</v>
      </c>
      <c r="B9510" s="128" t="s">
        <v>131</v>
      </c>
      <c r="C9510" s="128" t="s">
        <v>21</v>
      </c>
      <c r="D9510" s="128" t="s">
        <v>79</v>
      </c>
      <c r="E9510" s="128" t="s">
        <v>132</v>
      </c>
      <c r="F9510" s="128">
        <v>1161379.6200000001</v>
      </c>
      <c r="G9510" s="128">
        <v>760703.34</v>
      </c>
      <c r="H9510" s="128">
        <v>300571.78999999998</v>
      </c>
      <c r="I9510" s="128">
        <v>6367</v>
      </c>
    </row>
    <row r="9511" spans="1:9" ht="13.5">
      <c r="A9511" s="128">
        <v>2017</v>
      </c>
      <c r="B9511" s="128" t="s">
        <v>131</v>
      </c>
      <c r="C9511" s="128" t="s">
        <v>21</v>
      </c>
      <c r="D9511" s="128" t="s">
        <v>79</v>
      </c>
      <c r="E9511" s="128" t="s">
        <v>133</v>
      </c>
      <c r="F9511" s="128">
        <v>3235651.39</v>
      </c>
      <c r="G9511" s="128">
        <v>1777597.11</v>
      </c>
      <c r="H9511" s="128">
        <v>937325.23</v>
      </c>
      <c r="I9511" s="128">
        <v>39340</v>
      </c>
    </row>
    <row r="9512" spans="1:9" ht="13.5">
      <c r="A9512" s="128">
        <v>2017</v>
      </c>
      <c r="B9512" s="128" t="s">
        <v>131</v>
      </c>
      <c r="C9512" s="128" t="s">
        <v>21</v>
      </c>
      <c r="D9512" s="128" t="s">
        <v>79</v>
      </c>
      <c r="E9512" s="128" t="s">
        <v>134</v>
      </c>
      <c r="F9512" s="128">
        <v>6049334.8700000001</v>
      </c>
      <c r="G9512" s="128">
        <v>2580866.4300000002</v>
      </c>
      <c r="H9512" s="128">
        <v>1472695.93</v>
      </c>
      <c r="I9512" s="128">
        <v>38709</v>
      </c>
    </row>
    <row r="9513" spans="1:9" ht="13.5">
      <c r="A9513" s="128">
        <v>2017</v>
      </c>
      <c r="B9513" s="128" t="s">
        <v>131</v>
      </c>
      <c r="C9513" s="128" t="s">
        <v>21</v>
      </c>
      <c r="D9513" s="128" t="s">
        <v>79</v>
      </c>
      <c r="E9513" s="128" t="s">
        <v>135</v>
      </c>
      <c r="F9513" s="128">
        <v>24199433.300000001</v>
      </c>
      <c r="G9513" s="128">
        <v>5692375.0199999996</v>
      </c>
      <c r="H9513" s="128">
        <v>2078626.37</v>
      </c>
      <c r="I9513" s="128">
        <v>27646</v>
      </c>
    </row>
    <row r="9514" spans="1:9" ht="13.5">
      <c r="A9514" s="128">
        <v>2017</v>
      </c>
      <c r="B9514" s="128" t="s">
        <v>131</v>
      </c>
      <c r="C9514" s="128" t="s">
        <v>21</v>
      </c>
      <c r="D9514" s="128" t="s">
        <v>77</v>
      </c>
      <c r="E9514" s="128" t="s">
        <v>132</v>
      </c>
      <c r="F9514" s="128">
        <v>3584131.64</v>
      </c>
      <c r="G9514" s="128">
        <v>2387526.48</v>
      </c>
      <c r="H9514" s="128">
        <v>1068067.03</v>
      </c>
      <c r="I9514" s="128">
        <v>20794</v>
      </c>
    </row>
    <row r="9515" spans="1:9" ht="13.5">
      <c r="A9515" s="128">
        <v>2017</v>
      </c>
      <c r="B9515" s="128" t="s">
        <v>131</v>
      </c>
      <c r="C9515" s="128" t="s">
        <v>21</v>
      </c>
      <c r="D9515" s="128" t="s">
        <v>77</v>
      </c>
      <c r="E9515" s="128" t="s">
        <v>133</v>
      </c>
      <c r="F9515" s="128">
        <v>6419806.1200000001</v>
      </c>
      <c r="G9515" s="128">
        <v>3481521.36</v>
      </c>
      <c r="H9515" s="128">
        <v>2493349.29</v>
      </c>
      <c r="I9515" s="128">
        <v>24988</v>
      </c>
    </row>
    <row r="9516" spans="1:9" ht="13.5">
      <c r="A9516" s="128">
        <v>2017</v>
      </c>
      <c r="B9516" s="128" t="s">
        <v>131</v>
      </c>
      <c r="C9516" s="128" t="s">
        <v>21</v>
      </c>
      <c r="D9516" s="128" t="s">
        <v>77</v>
      </c>
      <c r="E9516" s="128" t="s">
        <v>134</v>
      </c>
      <c r="F9516" s="128">
        <v>14777318.49</v>
      </c>
      <c r="G9516" s="128">
        <v>6380429.4199999999</v>
      </c>
      <c r="H9516" s="128">
        <v>6200333.1699999999</v>
      </c>
      <c r="I9516" s="128">
        <v>38173</v>
      </c>
    </row>
    <row r="9517" spans="1:9" ht="13.5">
      <c r="A9517" s="128">
        <v>2017</v>
      </c>
      <c r="B9517" s="128" t="s">
        <v>131</v>
      </c>
      <c r="C9517" s="128" t="s">
        <v>21</v>
      </c>
      <c r="D9517" s="128" t="s">
        <v>77</v>
      </c>
      <c r="E9517" s="128" t="s">
        <v>135</v>
      </c>
      <c r="F9517" s="128">
        <v>32931692.18</v>
      </c>
      <c r="G9517" s="128">
        <v>8900215.0700000003</v>
      </c>
      <c r="H9517" s="128">
        <v>10186648.98</v>
      </c>
      <c r="I9517" s="128">
        <v>125593</v>
      </c>
    </row>
    <row r="9518" spans="1:9" ht="13.5">
      <c r="A9518" s="128">
        <v>2017</v>
      </c>
      <c r="B9518" s="128" t="s">
        <v>131</v>
      </c>
      <c r="C9518" s="128" t="s">
        <v>21</v>
      </c>
      <c r="D9518" s="128" t="s">
        <v>76</v>
      </c>
      <c r="E9518" s="128" t="s">
        <v>136</v>
      </c>
      <c r="F9518" s="128">
        <v>18181015.199999999</v>
      </c>
      <c r="G9518" s="128">
        <v>13657213.140000001</v>
      </c>
      <c r="H9518" s="128">
        <v>4523804.43</v>
      </c>
      <c r="I9518" s="128">
        <v>257256</v>
      </c>
    </row>
    <row r="9519" spans="1:9" ht="13.5">
      <c r="A9519" s="128">
        <v>2017</v>
      </c>
      <c r="B9519" s="128" t="s">
        <v>131</v>
      </c>
      <c r="C9519" s="128" t="s">
        <v>21</v>
      </c>
      <c r="D9519" s="128" t="s">
        <v>76</v>
      </c>
      <c r="E9519" s="128" t="s">
        <v>132</v>
      </c>
      <c r="F9519" s="128">
        <v>44006650.57</v>
      </c>
      <c r="G9519" s="128">
        <v>27976485.190000001</v>
      </c>
      <c r="H9519" s="128">
        <v>16030122.17</v>
      </c>
      <c r="I9519" s="128">
        <v>387344</v>
      </c>
    </row>
    <row r="9520" spans="1:9" ht="13.5">
      <c r="A9520" s="128">
        <v>2017</v>
      </c>
      <c r="B9520" s="128" t="s">
        <v>131</v>
      </c>
      <c r="C9520" s="128" t="s">
        <v>21</v>
      </c>
      <c r="D9520" s="128" t="s">
        <v>76</v>
      </c>
      <c r="E9520" s="128" t="s">
        <v>133</v>
      </c>
      <c r="F9520" s="128">
        <v>106645248.77</v>
      </c>
      <c r="G9520" s="128">
        <v>58423915.409999996</v>
      </c>
      <c r="H9520" s="128">
        <v>48221200.310000002</v>
      </c>
      <c r="I9520" s="128">
        <v>730284</v>
      </c>
    </row>
    <row r="9521" spans="1:9" ht="13.5">
      <c r="A9521" s="128">
        <v>2017</v>
      </c>
      <c r="B9521" s="128" t="s">
        <v>131</v>
      </c>
      <c r="C9521" s="128" t="s">
        <v>21</v>
      </c>
      <c r="D9521" s="128" t="s">
        <v>76</v>
      </c>
      <c r="E9521" s="128" t="s">
        <v>134</v>
      </c>
      <c r="F9521" s="128">
        <v>104213700.64</v>
      </c>
      <c r="G9521" s="128">
        <v>46545060.280000001</v>
      </c>
      <c r="H9521" s="128">
        <v>57668206.799999997</v>
      </c>
      <c r="I9521" s="128">
        <v>551293</v>
      </c>
    </row>
    <row r="9522" spans="1:9" ht="13.5">
      <c r="A9522" s="128">
        <v>2017</v>
      </c>
      <c r="B9522" s="128" t="s">
        <v>131</v>
      </c>
      <c r="C9522" s="128" t="s">
        <v>21</v>
      </c>
      <c r="D9522" s="128" t="s">
        <v>76</v>
      </c>
      <c r="E9522" s="128" t="s">
        <v>135</v>
      </c>
      <c r="F9522" s="128">
        <v>3167866.81</v>
      </c>
      <c r="G9522" s="128">
        <v>813872.98</v>
      </c>
      <c r="H9522" s="128">
        <v>2353993.83</v>
      </c>
      <c r="I9522" s="128">
        <v>3652</v>
      </c>
    </row>
    <row r="9523" spans="1:9" ht="13.5">
      <c r="A9523" s="128">
        <v>2017</v>
      </c>
      <c r="B9523" s="128" t="s">
        <v>131</v>
      </c>
      <c r="C9523" s="128" t="s">
        <v>22</v>
      </c>
      <c r="D9523" s="128" t="s">
        <v>79</v>
      </c>
      <c r="E9523" s="128" t="s">
        <v>136</v>
      </c>
      <c r="F9523" s="128">
        <v>6642345.9299999997</v>
      </c>
      <c r="G9523" s="128">
        <v>4965975.05</v>
      </c>
      <c r="H9523" s="128">
        <v>1649823.34</v>
      </c>
      <c r="I9523" s="128">
        <v>101515</v>
      </c>
    </row>
    <row r="9524" spans="1:9" ht="13.5">
      <c r="A9524" s="128">
        <v>2017</v>
      </c>
      <c r="B9524" s="128" t="s">
        <v>131</v>
      </c>
      <c r="C9524" s="128" t="s">
        <v>22</v>
      </c>
      <c r="D9524" s="128" t="s">
        <v>79</v>
      </c>
      <c r="E9524" s="128" t="s">
        <v>132</v>
      </c>
      <c r="F9524" s="128">
        <v>1946816.92</v>
      </c>
      <c r="G9524" s="128">
        <v>1269249.1100000001</v>
      </c>
      <c r="H9524" s="128">
        <v>545965.06999999995</v>
      </c>
      <c r="I9524" s="128">
        <v>13213</v>
      </c>
    </row>
    <row r="9525" spans="1:9" ht="13.5">
      <c r="A9525" s="128">
        <v>2017</v>
      </c>
      <c r="B9525" s="128" t="s">
        <v>131</v>
      </c>
      <c r="C9525" s="128" t="s">
        <v>22</v>
      </c>
      <c r="D9525" s="128" t="s">
        <v>79</v>
      </c>
      <c r="E9525" s="128" t="s">
        <v>133</v>
      </c>
      <c r="F9525" s="128">
        <v>3044882.64</v>
      </c>
      <c r="G9525" s="128">
        <v>1624608.32</v>
      </c>
      <c r="H9525" s="128">
        <v>838471.05</v>
      </c>
      <c r="I9525" s="128">
        <v>31087</v>
      </c>
    </row>
    <row r="9526" spans="1:9" ht="13.5">
      <c r="A9526" s="128">
        <v>2017</v>
      </c>
      <c r="B9526" s="128" t="s">
        <v>131</v>
      </c>
      <c r="C9526" s="128" t="s">
        <v>22</v>
      </c>
      <c r="D9526" s="128" t="s">
        <v>79</v>
      </c>
      <c r="E9526" s="128" t="s">
        <v>134</v>
      </c>
      <c r="F9526" s="128">
        <v>5569920.6299999999</v>
      </c>
      <c r="G9526" s="128">
        <v>2422252.56</v>
      </c>
      <c r="H9526" s="128">
        <v>1496078.23</v>
      </c>
      <c r="I9526" s="128">
        <v>23444</v>
      </c>
    </row>
    <row r="9527" spans="1:9" ht="13.5">
      <c r="A9527" s="128">
        <v>2017</v>
      </c>
      <c r="B9527" s="128" t="s">
        <v>131</v>
      </c>
      <c r="C9527" s="128" t="s">
        <v>22</v>
      </c>
      <c r="D9527" s="128" t="s">
        <v>79</v>
      </c>
      <c r="E9527" s="128" t="s">
        <v>135</v>
      </c>
      <c r="F9527" s="128">
        <v>38622478.990000002</v>
      </c>
      <c r="G9527" s="128">
        <v>9032417.5199999996</v>
      </c>
      <c r="H9527" s="128">
        <v>3131034.89</v>
      </c>
      <c r="I9527" s="128">
        <v>46603</v>
      </c>
    </row>
    <row r="9528" spans="1:9" ht="13.5">
      <c r="A9528" s="128">
        <v>2017</v>
      </c>
      <c r="B9528" s="128" t="s">
        <v>131</v>
      </c>
      <c r="C9528" s="128" t="s">
        <v>22</v>
      </c>
      <c r="D9528" s="128" t="s">
        <v>77</v>
      </c>
      <c r="E9528" s="128" t="s">
        <v>132</v>
      </c>
      <c r="F9528" s="128">
        <v>1632998.24</v>
      </c>
      <c r="G9528" s="128">
        <v>1074071.51</v>
      </c>
      <c r="H9528" s="128">
        <v>523863.78</v>
      </c>
      <c r="I9528" s="128">
        <v>7231</v>
      </c>
    </row>
    <row r="9529" spans="1:9" ht="13.5">
      <c r="A9529" s="128">
        <v>2017</v>
      </c>
      <c r="B9529" s="128" t="s">
        <v>131</v>
      </c>
      <c r="C9529" s="128" t="s">
        <v>22</v>
      </c>
      <c r="D9529" s="128" t="s">
        <v>77</v>
      </c>
      <c r="E9529" s="128" t="s">
        <v>133</v>
      </c>
      <c r="F9529" s="128">
        <v>2976507.85</v>
      </c>
      <c r="G9529" s="128">
        <v>1610767.68</v>
      </c>
      <c r="H9529" s="128">
        <v>1107440.48</v>
      </c>
      <c r="I9529" s="128">
        <v>10619</v>
      </c>
    </row>
    <row r="9530" spans="1:9" ht="13.5">
      <c r="A9530" s="128">
        <v>2017</v>
      </c>
      <c r="B9530" s="128" t="s">
        <v>131</v>
      </c>
      <c r="C9530" s="128" t="s">
        <v>22</v>
      </c>
      <c r="D9530" s="128" t="s">
        <v>77</v>
      </c>
      <c r="E9530" s="128" t="s">
        <v>134</v>
      </c>
      <c r="F9530" s="128">
        <v>12898810.74</v>
      </c>
      <c r="G9530" s="128">
        <v>5470644.7999999998</v>
      </c>
      <c r="H9530" s="128">
        <v>5499659.9400000004</v>
      </c>
      <c r="I9530" s="128">
        <v>21165</v>
      </c>
    </row>
    <row r="9531" spans="1:9" ht="13.5">
      <c r="A9531" s="128">
        <v>2017</v>
      </c>
      <c r="B9531" s="128" t="s">
        <v>131</v>
      </c>
      <c r="C9531" s="128" t="s">
        <v>22</v>
      </c>
      <c r="D9531" s="128" t="s">
        <v>77</v>
      </c>
      <c r="E9531" s="128" t="s">
        <v>135</v>
      </c>
      <c r="F9531" s="128">
        <v>27452484.52</v>
      </c>
      <c r="G9531" s="128">
        <v>7406228.4800000004</v>
      </c>
      <c r="H9531" s="128">
        <v>8459361.4700000007</v>
      </c>
      <c r="I9531" s="128">
        <v>69411</v>
      </c>
    </row>
    <row r="9532" spans="1:9" ht="13.5">
      <c r="A9532" s="128">
        <v>2017</v>
      </c>
      <c r="B9532" s="128" t="s">
        <v>131</v>
      </c>
      <c r="C9532" s="128" t="s">
        <v>22</v>
      </c>
      <c r="D9532" s="128" t="s">
        <v>76</v>
      </c>
      <c r="E9532" s="128" t="s">
        <v>136</v>
      </c>
      <c r="F9532" s="128">
        <v>14594159.890000001</v>
      </c>
      <c r="G9532" s="128">
        <v>10953469.449999999</v>
      </c>
      <c r="H9532" s="128">
        <v>3640756.29</v>
      </c>
      <c r="I9532" s="128">
        <v>250333</v>
      </c>
    </row>
    <row r="9533" spans="1:9" ht="13.5">
      <c r="A9533" s="128">
        <v>2017</v>
      </c>
      <c r="B9533" s="128" t="s">
        <v>131</v>
      </c>
      <c r="C9533" s="128" t="s">
        <v>22</v>
      </c>
      <c r="D9533" s="128" t="s">
        <v>76</v>
      </c>
      <c r="E9533" s="128" t="s">
        <v>132</v>
      </c>
      <c r="F9533" s="128">
        <v>41846517.789999999</v>
      </c>
      <c r="G9533" s="128">
        <v>26582848.539999999</v>
      </c>
      <c r="H9533" s="128">
        <v>15263547.460000001</v>
      </c>
      <c r="I9533" s="128">
        <v>399011</v>
      </c>
    </row>
    <row r="9534" spans="1:9" ht="13.5">
      <c r="A9534" s="128">
        <v>2017</v>
      </c>
      <c r="B9534" s="128" t="s">
        <v>131</v>
      </c>
      <c r="C9534" s="128" t="s">
        <v>22</v>
      </c>
      <c r="D9534" s="128" t="s">
        <v>76</v>
      </c>
      <c r="E9534" s="128" t="s">
        <v>133</v>
      </c>
      <c r="F9534" s="128">
        <v>74169954.620000005</v>
      </c>
      <c r="G9534" s="128">
        <v>40836182.460000001</v>
      </c>
      <c r="H9534" s="128">
        <v>33333188.84</v>
      </c>
      <c r="I9534" s="128">
        <v>585978</v>
      </c>
    </row>
    <row r="9535" spans="1:9" ht="13.5">
      <c r="A9535" s="128">
        <v>2017</v>
      </c>
      <c r="B9535" s="128" t="s">
        <v>131</v>
      </c>
      <c r="C9535" s="128" t="s">
        <v>22</v>
      </c>
      <c r="D9535" s="128" t="s">
        <v>76</v>
      </c>
      <c r="E9535" s="128" t="s">
        <v>134</v>
      </c>
      <c r="F9535" s="128">
        <v>72993226.010000005</v>
      </c>
      <c r="G9535" s="128">
        <v>33171326.109999999</v>
      </c>
      <c r="H9535" s="128">
        <v>39821430.07</v>
      </c>
      <c r="I9535" s="128">
        <v>481341</v>
      </c>
    </row>
    <row r="9536" spans="1:9" ht="13.5">
      <c r="A9536" s="128">
        <v>2017</v>
      </c>
      <c r="B9536" s="128" t="s">
        <v>131</v>
      </c>
      <c r="C9536" s="128" t="s">
        <v>22</v>
      </c>
      <c r="D9536" s="128" t="s">
        <v>76</v>
      </c>
      <c r="E9536" s="128" t="s">
        <v>135</v>
      </c>
      <c r="F9536" s="128">
        <v>4816680.24</v>
      </c>
      <c r="G9536" s="128">
        <v>1396837.42</v>
      </c>
      <c r="H9536" s="128">
        <v>3419840.48</v>
      </c>
      <c r="I9536" s="128">
        <v>6731</v>
      </c>
    </row>
    <row r="9537" spans="1:9" ht="13.5">
      <c r="A9537" s="128">
        <v>2017</v>
      </c>
      <c r="B9537" s="128" t="s">
        <v>131</v>
      </c>
      <c r="C9537" s="128" t="s">
        <v>23</v>
      </c>
      <c r="D9537" s="128" t="s">
        <v>79</v>
      </c>
      <c r="E9537" s="128" t="s">
        <v>136</v>
      </c>
      <c r="F9537" s="128">
        <v>1974914.46</v>
      </c>
      <c r="G9537" s="128">
        <v>1478988.95</v>
      </c>
      <c r="H9537" s="128">
        <v>490954.56</v>
      </c>
      <c r="I9537" s="128">
        <v>19915</v>
      </c>
    </row>
    <row r="9538" spans="1:9" ht="13.5">
      <c r="A9538" s="128">
        <v>2017</v>
      </c>
      <c r="B9538" s="128" t="s">
        <v>131</v>
      </c>
      <c r="C9538" s="128" t="s">
        <v>23</v>
      </c>
      <c r="D9538" s="128" t="s">
        <v>79</v>
      </c>
      <c r="E9538" s="128" t="s">
        <v>132</v>
      </c>
      <c r="F9538" s="128">
        <v>364578.6</v>
      </c>
      <c r="G9538" s="128">
        <v>234718.56</v>
      </c>
      <c r="H9538" s="128">
        <v>104801.84</v>
      </c>
      <c r="I9538" s="128">
        <v>1341</v>
      </c>
    </row>
    <row r="9539" spans="1:9" ht="13.5">
      <c r="A9539" s="128">
        <v>2017</v>
      </c>
      <c r="B9539" s="128" t="s">
        <v>131</v>
      </c>
      <c r="C9539" s="128" t="s">
        <v>23</v>
      </c>
      <c r="D9539" s="128" t="s">
        <v>79</v>
      </c>
      <c r="E9539" s="128" t="s">
        <v>133</v>
      </c>
      <c r="F9539" s="128">
        <v>818518.17</v>
      </c>
      <c r="G9539" s="128">
        <v>453612.51</v>
      </c>
      <c r="H9539" s="128">
        <v>317374.21999999997</v>
      </c>
      <c r="I9539" s="128">
        <v>9224</v>
      </c>
    </row>
    <row r="9540" spans="1:9" ht="13.5">
      <c r="A9540" s="128">
        <v>2017</v>
      </c>
      <c r="B9540" s="128" t="s">
        <v>131</v>
      </c>
      <c r="C9540" s="128" t="s">
        <v>23</v>
      </c>
      <c r="D9540" s="128" t="s">
        <v>79</v>
      </c>
      <c r="E9540" s="128" t="s">
        <v>134</v>
      </c>
      <c r="F9540" s="128">
        <v>943664.62</v>
      </c>
      <c r="G9540" s="128">
        <v>408145.97</v>
      </c>
      <c r="H9540" s="128">
        <v>405584.12</v>
      </c>
      <c r="I9540" s="128">
        <v>3043</v>
      </c>
    </row>
    <row r="9541" spans="1:9" ht="13.5">
      <c r="A9541" s="128">
        <v>2017</v>
      </c>
      <c r="B9541" s="128" t="s">
        <v>131</v>
      </c>
      <c r="C9541" s="128" t="s">
        <v>23</v>
      </c>
      <c r="D9541" s="128" t="s">
        <v>79</v>
      </c>
      <c r="E9541" s="128" t="s">
        <v>135</v>
      </c>
      <c r="F9541" s="128">
        <v>1987297.42</v>
      </c>
      <c r="G9541" s="128">
        <v>465556.79</v>
      </c>
      <c r="H9541" s="128">
        <v>203939.08</v>
      </c>
      <c r="I9541" s="128">
        <v>2553</v>
      </c>
    </row>
    <row r="9542" spans="1:9" ht="13.5">
      <c r="A9542" s="128">
        <v>2017</v>
      </c>
      <c r="B9542" s="128" t="s">
        <v>131</v>
      </c>
      <c r="C9542" s="128" t="s">
        <v>23</v>
      </c>
      <c r="D9542" s="128" t="s">
        <v>77</v>
      </c>
      <c r="E9542" s="128" t="s">
        <v>132</v>
      </c>
      <c r="F9542" s="128">
        <v>377169.32</v>
      </c>
      <c r="G9542" s="128">
        <v>241868.98</v>
      </c>
      <c r="H9542" s="128">
        <v>127082.94</v>
      </c>
      <c r="I9542" s="128">
        <v>1686</v>
      </c>
    </row>
    <row r="9543" spans="1:9" ht="13.5">
      <c r="A9543" s="128">
        <v>2017</v>
      </c>
      <c r="B9543" s="128" t="s">
        <v>131</v>
      </c>
      <c r="C9543" s="128" t="s">
        <v>23</v>
      </c>
      <c r="D9543" s="128" t="s">
        <v>77</v>
      </c>
      <c r="E9543" s="128" t="s">
        <v>133</v>
      </c>
      <c r="F9543" s="128">
        <v>776884.9</v>
      </c>
      <c r="G9543" s="128">
        <v>410352.58</v>
      </c>
      <c r="H9543" s="128">
        <v>355140.47</v>
      </c>
      <c r="I9543" s="128">
        <v>-820</v>
      </c>
    </row>
    <row r="9544" spans="1:9" ht="13.5">
      <c r="A9544" s="128">
        <v>2017</v>
      </c>
      <c r="B9544" s="128" t="s">
        <v>131</v>
      </c>
      <c r="C9544" s="128" t="s">
        <v>23</v>
      </c>
      <c r="D9544" s="128" t="s">
        <v>77</v>
      </c>
      <c r="E9544" s="128" t="s">
        <v>134</v>
      </c>
      <c r="F9544" s="128">
        <v>5772804.4699999997</v>
      </c>
      <c r="G9544" s="128">
        <v>2447311.7799999998</v>
      </c>
      <c r="H9544" s="128">
        <v>2581492.52</v>
      </c>
      <c r="I9544" s="128">
        <v>11311</v>
      </c>
    </row>
    <row r="9545" spans="1:9" ht="13.5">
      <c r="A9545" s="128">
        <v>2017</v>
      </c>
      <c r="B9545" s="128" t="s">
        <v>131</v>
      </c>
      <c r="C9545" s="128" t="s">
        <v>23</v>
      </c>
      <c r="D9545" s="128" t="s">
        <v>77</v>
      </c>
      <c r="E9545" s="128" t="s">
        <v>135</v>
      </c>
      <c r="F9545" s="128">
        <v>8853352.75</v>
      </c>
      <c r="G9545" s="128">
        <v>2680256.59</v>
      </c>
      <c r="H9545" s="128">
        <v>3390488.1</v>
      </c>
      <c r="I9545" s="128">
        <v>33313</v>
      </c>
    </row>
    <row r="9546" spans="1:9" ht="13.5">
      <c r="A9546" s="128">
        <v>2017</v>
      </c>
      <c r="B9546" s="128" t="s">
        <v>131</v>
      </c>
      <c r="C9546" s="128" t="s">
        <v>23</v>
      </c>
      <c r="D9546" s="128" t="s">
        <v>76</v>
      </c>
      <c r="E9546" s="128" t="s">
        <v>136</v>
      </c>
      <c r="F9546" s="128">
        <v>5805000.3499999996</v>
      </c>
      <c r="G9546" s="128">
        <v>4357501.13</v>
      </c>
      <c r="H9546" s="128">
        <v>1447527.25</v>
      </c>
      <c r="I9546" s="128">
        <v>123613</v>
      </c>
    </row>
    <row r="9547" spans="1:9" ht="13.5">
      <c r="A9547" s="128">
        <v>2017</v>
      </c>
      <c r="B9547" s="128" t="s">
        <v>131</v>
      </c>
      <c r="C9547" s="128" t="s">
        <v>23</v>
      </c>
      <c r="D9547" s="128" t="s">
        <v>76</v>
      </c>
      <c r="E9547" s="128" t="s">
        <v>132</v>
      </c>
      <c r="F9547" s="128">
        <v>8009559.8899999997</v>
      </c>
      <c r="G9547" s="128">
        <v>5033758.93</v>
      </c>
      <c r="H9547" s="128">
        <v>2975786.76</v>
      </c>
      <c r="I9547" s="128">
        <v>75346</v>
      </c>
    </row>
    <row r="9548" spans="1:9" ht="13.5">
      <c r="A9548" s="128">
        <v>2017</v>
      </c>
      <c r="B9548" s="128" t="s">
        <v>131</v>
      </c>
      <c r="C9548" s="128" t="s">
        <v>23</v>
      </c>
      <c r="D9548" s="128" t="s">
        <v>76</v>
      </c>
      <c r="E9548" s="128" t="s">
        <v>133</v>
      </c>
      <c r="F9548" s="128">
        <v>27061624</v>
      </c>
      <c r="G9548" s="128">
        <v>14753713.060000001</v>
      </c>
      <c r="H9548" s="128">
        <v>12307888.310000001</v>
      </c>
      <c r="I9548" s="128">
        <v>227058</v>
      </c>
    </row>
    <row r="9549" spans="1:9" ht="13.5">
      <c r="A9549" s="128">
        <v>2017</v>
      </c>
      <c r="B9549" s="128" t="s">
        <v>131</v>
      </c>
      <c r="C9549" s="128" t="s">
        <v>23</v>
      </c>
      <c r="D9549" s="128" t="s">
        <v>76</v>
      </c>
      <c r="E9549" s="128" t="s">
        <v>134</v>
      </c>
      <c r="F9549" s="128">
        <v>43956818.030000001</v>
      </c>
      <c r="G9549" s="128">
        <v>19466955.289999999</v>
      </c>
      <c r="H9549" s="128">
        <v>24489859.940000001</v>
      </c>
      <c r="I9549" s="128">
        <v>174832</v>
      </c>
    </row>
    <row r="9550" spans="1:9" ht="13.5">
      <c r="A9550" s="128">
        <v>2017</v>
      </c>
      <c r="B9550" s="128" t="s">
        <v>131</v>
      </c>
      <c r="C9550" s="128" t="s">
        <v>23</v>
      </c>
      <c r="D9550" s="128" t="s">
        <v>76</v>
      </c>
      <c r="E9550" s="128" t="s">
        <v>135</v>
      </c>
      <c r="F9550" s="128">
        <v>1332704.99</v>
      </c>
      <c r="G9550" s="128">
        <v>352633.38</v>
      </c>
      <c r="H9550" s="128">
        <v>980071.61</v>
      </c>
      <c r="I9550" s="128">
        <v>1082</v>
      </c>
    </row>
    <row r="9551" spans="1:9" ht="13.5">
      <c r="A9551" s="128">
        <v>2017</v>
      </c>
      <c r="B9551" s="128" t="s">
        <v>131</v>
      </c>
      <c r="C9551" s="128" t="s">
        <v>24</v>
      </c>
      <c r="D9551" s="128" t="s">
        <v>79</v>
      </c>
      <c r="E9551" s="128" t="s">
        <v>136</v>
      </c>
      <c r="F9551" s="128">
        <v>2116060.77</v>
      </c>
      <c r="G9551" s="128">
        <v>1587611.38</v>
      </c>
      <c r="H9551" s="128">
        <v>525725.49</v>
      </c>
      <c r="I9551" s="128">
        <v>33292</v>
      </c>
    </row>
    <row r="9552" spans="1:9" ht="13.5">
      <c r="A9552" s="128">
        <v>2017</v>
      </c>
      <c r="B9552" s="128" t="s">
        <v>131</v>
      </c>
      <c r="C9552" s="128" t="s">
        <v>24</v>
      </c>
      <c r="D9552" s="128" t="s">
        <v>79</v>
      </c>
      <c r="E9552" s="128" t="s">
        <v>132</v>
      </c>
      <c r="F9552" s="128">
        <v>418069.8</v>
      </c>
      <c r="G9552" s="128">
        <v>280619.32</v>
      </c>
      <c r="H9552" s="128">
        <v>103716.47</v>
      </c>
      <c r="I9552" s="128">
        <v>2225</v>
      </c>
    </row>
    <row r="9553" spans="1:9" ht="13.5">
      <c r="A9553" s="128">
        <v>2017</v>
      </c>
      <c r="B9553" s="128" t="s">
        <v>131</v>
      </c>
      <c r="C9553" s="128" t="s">
        <v>24</v>
      </c>
      <c r="D9553" s="128" t="s">
        <v>79</v>
      </c>
      <c r="E9553" s="128" t="s">
        <v>133</v>
      </c>
      <c r="F9553" s="128">
        <v>1305367.78</v>
      </c>
      <c r="G9553" s="128">
        <v>684249.1</v>
      </c>
      <c r="H9553" s="128">
        <v>267289.81</v>
      </c>
      <c r="I9553" s="128">
        <v>18448</v>
      </c>
    </row>
    <row r="9554" spans="1:9" ht="13.5">
      <c r="A9554" s="128">
        <v>2017</v>
      </c>
      <c r="B9554" s="128" t="s">
        <v>131</v>
      </c>
      <c r="C9554" s="128" t="s">
        <v>24</v>
      </c>
      <c r="D9554" s="128" t="s">
        <v>79</v>
      </c>
      <c r="E9554" s="128" t="s">
        <v>134</v>
      </c>
      <c r="F9554" s="128">
        <v>1898176.86</v>
      </c>
      <c r="G9554" s="128">
        <v>826342.53</v>
      </c>
      <c r="H9554" s="128">
        <v>372348.85</v>
      </c>
      <c r="I9554" s="128">
        <v>6027</v>
      </c>
    </row>
    <row r="9555" spans="1:9" ht="13.5">
      <c r="A9555" s="128">
        <v>2017</v>
      </c>
      <c r="B9555" s="128" t="s">
        <v>131</v>
      </c>
      <c r="C9555" s="128" t="s">
        <v>24</v>
      </c>
      <c r="D9555" s="128" t="s">
        <v>79</v>
      </c>
      <c r="E9555" s="128" t="s">
        <v>135</v>
      </c>
      <c r="F9555" s="128">
        <v>7375140.0300000003</v>
      </c>
      <c r="G9555" s="128">
        <v>1664640.86</v>
      </c>
      <c r="H9555" s="128">
        <v>592032.6</v>
      </c>
      <c r="I9555" s="128">
        <v>10208</v>
      </c>
    </row>
    <row r="9556" spans="1:9" ht="13.5">
      <c r="A9556" s="128">
        <v>2017</v>
      </c>
      <c r="B9556" s="128" t="s">
        <v>131</v>
      </c>
      <c r="C9556" s="128" t="s">
        <v>24</v>
      </c>
      <c r="D9556" s="128" t="s">
        <v>77</v>
      </c>
      <c r="E9556" s="128" t="s">
        <v>132</v>
      </c>
      <c r="F9556" s="128">
        <v>2589307.71</v>
      </c>
      <c r="G9556" s="128">
        <v>1782228.43</v>
      </c>
      <c r="H9556" s="128">
        <v>768571.7</v>
      </c>
      <c r="I9556" s="128">
        <v>12974</v>
      </c>
    </row>
    <row r="9557" spans="1:9" ht="13.5">
      <c r="A9557" s="128">
        <v>2017</v>
      </c>
      <c r="B9557" s="128" t="s">
        <v>131</v>
      </c>
      <c r="C9557" s="128" t="s">
        <v>24</v>
      </c>
      <c r="D9557" s="128" t="s">
        <v>77</v>
      </c>
      <c r="E9557" s="128" t="s">
        <v>133</v>
      </c>
      <c r="F9557" s="128">
        <v>4571559.08</v>
      </c>
      <c r="G9557" s="128">
        <v>2459826.79</v>
      </c>
      <c r="H9557" s="128">
        <v>1914320.24</v>
      </c>
      <c r="I9557" s="128">
        <v>33531</v>
      </c>
    </row>
    <row r="9558" spans="1:9" ht="13.5">
      <c r="A9558" s="128">
        <v>2017</v>
      </c>
      <c r="B9558" s="128" t="s">
        <v>131</v>
      </c>
      <c r="C9558" s="128" t="s">
        <v>24</v>
      </c>
      <c r="D9558" s="128" t="s">
        <v>77</v>
      </c>
      <c r="E9558" s="128" t="s">
        <v>134</v>
      </c>
      <c r="F9558" s="128">
        <v>8930340.3100000005</v>
      </c>
      <c r="G9558" s="128">
        <v>3950544.39</v>
      </c>
      <c r="H9558" s="128">
        <v>3656119.5</v>
      </c>
      <c r="I9558" s="128">
        <v>20914</v>
      </c>
    </row>
    <row r="9559" spans="1:9" ht="13.5">
      <c r="A9559" s="128">
        <v>2017</v>
      </c>
      <c r="B9559" s="128" t="s">
        <v>131</v>
      </c>
      <c r="C9559" s="128" t="s">
        <v>24</v>
      </c>
      <c r="D9559" s="128" t="s">
        <v>77</v>
      </c>
      <c r="E9559" s="128" t="s">
        <v>135</v>
      </c>
      <c r="F9559" s="128">
        <v>16851736.649999999</v>
      </c>
      <c r="G9559" s="128">
        <v>4314084.45</v>
      </c>
      <c r="H9559" s="128">
        <v>3195514.41</v>
      </c>
      <c r="I9559" s="128">
        <v>43246</v>
      </c>
    </row>
    <row r="9560" spans="1:9" ht="13.5">
      <c r="A9560" s="128">
        <v>2017</v>
      </c>
      <c r="B9560" s="128" t="s">
        <v>131</v>
      </c>
      <c r="C9560" s="128" t="s">
        <v>24</v>
      </c>
      <c r="D9560" s="128" t="s">
        <v>76</v>
      </c>
      <c r="E9560" s="128" t="s">
        <v>136</v>
      </c>
      <c r="F9560" s="128">
        <v>7387148.0499999998</v>
      </c>
      <c r="G9560" s="128">
        <v>5549168.0700000003</v>
      </c>
      <c r="H9560" s="128">
        <v>1837978.62</v>
      </c>
      <c r="I9560" s="128">
        <v>128175</v>
      </c>
    </row>
    <row r="9561" spans="1:9" ht="13.5">
      <c r="A9561" s="128">
        <v>2017</v>
      </c>
      <c r="B9561" s="128" t="s">
        <v>131</v>
      </c>
      <c r="C9561" s="128" t="s">
        <v>24</v>
      </c>
      <c r="D9561" s="128" t="s">
        <v>76</v>
      </c>
      <c r="E9561" s="128" t="s">
        <v>132</v>
      </c>
      <c r="F9561" s="128">
        <v>7903284.1299999999</v>
      </c>
      <c r="G9561" s="128">
        <v>5119575.58</v>
      </c>
      <c r="H9561" s="128">
        <v>2783706.07</v>
      </c>
      <c r="I9561" s="128">
        <v>56945</v>
      </c>
    </row>
    <row r="9562" spans="1:9" ht="13.5">
      <c r="A9562" s="128">
        <v>2017</v>
      </c>
      <c r="B9562" s="128" t="s">
        <v>131</v>
      </c>
      <c r="C9562" s="128" t="s">
        <v>24</v>
      </c>
      <c r="D9562" s="128" t="s">
        <v>76</v>
      </c>
      <c r="E9562" s="128" t="s">
        <v>133</v>
      </c>
      <c r="F9562" s="128">
        <v>41677883.210000001</v>
      </c>
      <c r="G9562" s="128">
        <v>23106901.199999999</v>
      </c>
      <c r="H9562" s="128">
        <v>18570850.550000001</v>
      </c>
      <c r="I9562" s="128">
        <v>302294</v>
      </c>
    </row>
    <row r="9563" spans="1:9" ht="13.5">
      <c r="A9563" s="128">
        <v>2017</v>
      </c>
      <c r="B9563" s="128" t="s">
        <v>131</v>
      </c>
      <c r="C9563" s="128" t="s">
        <v>24</v>
      </c>
      <c r="D9563" s="128" t="s">
        <v>76</v>
      </c>
      <c r="E9563" s="128" t="s">
        <v>134</v>
      </c>
      <c r="F9563" s="128">
        <v>55503507.560000002</v>
      </c>
      <c r="G9563" s="128">
        <v>24527994.829999998</v>
      </c>
      <c r="H9563" s="128">
        <v>30975511.379999999</v>
      </c>
      <c r="I9563" s="128">
        <v>252881</v>
      </c>
    </row>
    <row r="9564" spans="1:9" ht="13.5">
      <c r="A9564" s="128">
        <v>2017</v>
      </c>
      <c r="B9564" s="128" t="s">
        <v>131</v>
      </c>
      <c r="C9564" s="128" t="s">
        <v>24</v>
      </c>
      <c r="D9564" s="128" t="s">
        <v>76</v>
      </c>
      <c r="E9564" s="128" t="s">
        <v>135</v>
      </c>
      <c r="F9564" s="128">
        <v>2776682.38</v>
      </c>
      <c r="G9564" s="128">
        <v>723081.87</v>
      </c>
      <c r="H9564" s="128">
        <v>2053600.51</v>
      </c>
      <c r="I9564" s="128">
        <v>1901</v>
      </c>
    </row>
    <row r="9565" spans="1:9" ht="13.5">
      <c r="A9565" s="128">
        <v>2017</v>
      </c>
      <c r="B9565" s="128" t="s">
        <v>131</v>
      </c>
      <c r="C9565" s="128" t="s">
        <v>25</v>
      </c>
      <c r="D9565" s="128" t="s">
        <v>79</v>
      </c>
      <c r="E9565" s="128" t="s">
        <v>136</v>
      </c>
      <c r="F9565" s="128">
        <v>412630.79</v>
      </c>
      <c r="G9565" s="128">
        <v>309644.15000000002</v>
      </c>
      <c r="H9565" s="128">
        <v>102990.64</v>
      </c>
      <c r="I9565" s="128">
        <v>3280</v>
      </c>
    </row>
    <row r="9566" spans="1:9" ht="13.5">
      <c r="A9566" s="128">
        <v>2017</v>
      </c>
      <c r="B9566" s="128" t="s">
        <v>131</v>
      </c>
      <c r="C9566" s="128" t="s">
        <v>25</v>
      </c>
      <c r="D9566" s="128" t="s">
        <v>79</v>
      </c>
      <c r="E9566" s="128" t="s">
        <v>132</v>
      </c>
      <c r="F9566" s="128">
        <v>160335.82999999999</v>
      </c>
      <c r="G9566" s="128">
        <v>102472.79</v>
      </c>
      <c r="H9566" s="128">
        <v>49299.83</v>
      </c>
      <c r="I9566" s="128">
        <v>714</v>
      </c>
    </row>
    <row r="9567" spans="1:9" ht="13.5">
      <c r="A9567" s="128">
        <v>2017</v>
      </c>
      <c r="B9567" s="128" t="s">
        <v>131</v>
      </c>
      <c r="C9567" s="128" t="s">
        <v>25</v>
      </c>
      <c r="D9567" s="128" t="s">
        <v>79</v>
      </c>
      <c r="E9567" s="128" t="s">
        <v>133</v>
      </c>
      <c r="F9567" s="128">
        <v>200699.53</v>
      </c>
      <c r="G9567" s="128">
        <v>111575.39</v>
      </c>
      <c r="H9567" s="128">
        <v>61703.06</v>
      </c>
      <c r="I9567" s="128">
        <v>1701</v>
      </c>
    </row>
    <row r="9568" spans="1:9" ht="13.5">
      <c r="A9568" s="128">
        <v>2017</v>
      </c>
      <c r="B9568" s="128" t="s">
        <v>131</v>
      </c>
      <c r="C9568" s="128" t="s">
        <v>25</v>
      </c>
      <c r="D9568" s="128" t="s">
        <v>79</v>
      </c>
      <c r="E9568" s="128" t="s">
        <v>134</v>
      </c>
      <c r="F9568" s="128">
        <v>278756.26</v>
      </c>
      <c r="G9568" s="128">
        <v>122518.2</v>
      </c>
      <c r="H9568" s="128">
        <v>72573.7</v>
      </c>
      <c r="I9568" s="128">
        <v>1135</v>
      </c>
    </row>
    <row r="9569" spans="1:9" ht="13.5">
      <c r="A9569" s="128">
        <v>2017</v>
      </c>
      <c r="B9569" s="128" t="s">
        <v>131</v>
      </c>
      <c r="C9569" s="128" t="s">
        <v>25</v>
      </c>
      <c r="D9569" s="128" t="s">
        <v>79</v>
      </c>
      <c r="E9569" s="128" t="s">
        <v>135</v>
      </c>
      <c r="F9569" s="128">
        <v>1438108.5</v>
      </c>
      <c r="G9569" s="128">
        <v>327814.59000000003</v>
      </c>
      <c r="H9569" s="128">
        <v>116554.71</v>
      </c>
      <c r="I9569" s="128">
        <v>1423</v>
      </c>
    </row>
    <row r="9570" spans="1:9" ht="13.5">
      <c r="A9570" s="128">
        <v>2017</v>
      </c>
      <c r="B9570" s="128" t="s">
        <v>131</v>
      </c>
      <c r="C9570" s="128" t="s">
        <v>25</v>
      </c>
      <c r="D9570" s="128" t="s">
        <v>77</v>
      </c>
      <c r="E9570" s="128" t="s">
        <v>132</v>
      </c>
      <c r="F9570" s="128">
        <v>180790.54</v>
      </c>
      <c r="G9570" s="128">
        <v>122089.91</v>
      </c>
      <c r="H9570" s="128">
        <v>50369.41</v>
      </c>
      <c r="I9570" s="128">
        <v>1282</v>
      </c>
    </row>
    <row r="9571" spans="1:9" ht="13.5">
      <c r="A9571" s="128">
        <v>2017</v>
      </c>
      <c r="B9571" s="128" t="s">
        <v>131</v>
      </c>
      <c r="C9571" s="128" t="s">
        <v>25</v>
      </c>
      <c r="D9571" s="128" t="s">
        <v>77</v>
      </c>
      <c r="E9571" s="128" t="s">
        <v>133</v>
      </c>
      <c r="F9571" s="128">
        <v>383943.85</v>
      </c>
      <c r="G9571" s="128">
        <v>207588.67</v>
      </c>
      <c r="H9571" s="128">
        <v>161942.69</v>
      </c>
      <c r="I9571" s="128">
        <v>1117</v>
      </c>
    </row>
    <row r="9572" spans="1:9" ht="13.5">
      <c r="A9572" s="128">
        <v>2017</v>
      </c>
      <c r="B9572" s="128" t="s">
        <v>131</v>
      </c>
      <c r="C9572" s="128" t="s">
        <v>25</v>
      </c>
      <c r="D9572" s="128" t="s">
        <v>77</v>
      </c>
      <c r="E9572" s="128" t="s">
        <v>134</v>
      </c>
      <c r="F9572" s="128">
        <v>1338184.54</v>
      </c>
      <c r="G9572" s="128">
        <v>569011.31000000006</v>
      </c>
      <c r="H9572" s="128">
        <v>595014.29</v>
      </c>
      <c r="I9572" s="128">
        <v>2667</v>
      </c>
    </row>
    <row r="9573" spans="1:9" ht="13.5">
      <c r="A9573" s="128">
        <v>2017</v>
      </c>
      <c r="B9573" s="128" t="s">
        <v>131</v>
      </c>
      <c r="C9573" s="128" t="s">
        <v>25</v>
      </c>
      <c r="D9573" s="128" t="s">
        <v>77</v>
      </c>
      <c r="E9573" s="128" t="s">
        <v>135</v>
      </c>
      <c r="F9573" s="128">
        <v>2189637.54</v>
      </c>
      <c r="G9573" s="128">
        <v>646579.03</v>
      </c>
      <c r="H9573" s="128">
        <v>782570.83</v>
      </c>
      <c r="I9573" s="128">
        <v>6421</v>
      </c>
    </row>
    <row r="9574" spans="1:9" ht="13.5">
      <c r="A9574" s="128">
        <v>2017</v>
      </c>
      <c r="B9574" s="128" t="s">
        <v>131</v>
      </c>
      <c r="C9574" s="128" t="s">
        <v>25</v>
      </c>
      <c r="D9574" s="128" t="s">
        <v>76</v>
      </c>
      <c r="E9574" s="128" t="s">
        <v>136</v>
      </c>
      <c r="F9574" s="128">
        <v>1911787.31</v>
      </c>
      <c r="G9574" s="128">
        <v>1434983.67</v>
      </c>
      <c r="H9574" s="128">
        <v>476803.39</v>
      </c>
      <c r="I9574" s="128">
        <v>30299</v>
      </c>
    </row>
    <row r="9575" spans="1:9" ht="13.5">
      <c r="A9575" s="128">
        <v>2017</v>
      </c>
      <c r="B9575" s="128" t="s">
        <v>131</v>
      </c>
      <c r="C9575" s="128" t="s">
        <v>25</v>
      </c>
      <c r="D9575" s="128" t="s">
        <v>76</v>
      </c>
      <c r="E9575" s="128" t="s">
        <v>132</v>
      </c>
      <c r="F9575" s="128">
        <v>2810678.39</v>
      </c>
      <c r="G9575" s="128">
        <v>1781187.12</v>
      </c>
      <c r="H9575" s="128">
        <v>1029489.07</v>
      </c>
      <c r="I9575" s="128">
        <v>21877</v>
      </c>
    </row>
    <row r="9576" spans="1:9" ht="13.5">
      <c r="A9576" s="128">
        <v>2017</v>
      </c>
      <c r="B9576" s="128" t="s">
        <v>131</v>
      </c>
      <c r="C9576" s="128" t="s">
        <v>25</v>
      </c>
      <c r="D9576" s="128" t="s">
        <v>76</v>
      </c>
      <c r="E9576" s="128" t="s">
        <v>133</v>
      </c>
      <c r="F9576" s="128">
        <v>8383741.3300000001</v>
      </c>
      <c r="G9576" s="128">
        <v>4578271.99</v>
      </c>
      <c r="H9576" s="128">
        <v>3805459.32</v>
      </c>
      <c r="I9576" s="128">
        <v>50983</v>
      </c>
    </row>
    <row r="9577" spans="1:9" ht="13.5">
      <c r="A9577" s="128">
        <v>2017</v>
      </c>
      <c r="B9577" s="128" t="s">
        <v>131</v>
      </c>
      <c r="C9577" s="128" t="s">
        <v>25</v>
      </c>
      <c r="D9577" s="128" t="s">
        <v>76</v>
      </c>
      <c r="E9577" s="128" t="s">
        <v>134</v>
      </c>
      <c r="F9577" s="128">
        <v>11338985.439999999</v>
      </c>
      <c r="G9577" s="128">
        <v>5162779.8</v>
      </c>
      <c r="H9577" s="128">
        <v>6176203.5800000001</v>
      </c>
      <c r="I9577" s="128">
        <v>52508</v>
      </c>
    </row>
    <row r="9578" spans="1:9" ht="13.5">
      <c r="A9578" s="128">
        <v>2017</v>
      </c>
      <c r="B9578" s="128" t="s">
        <v>131</v>
      </c>
      <c r="C9578" s="128" t="s">
        <v>25</v>
      </c>
      <c r="D9578" s="128" t="s">
        <v>76</v>
      </c>
      <c r="E9578" s="128" t="s">
        <v>135</v>
      </c>
      <c r="F9578" s="128">
        <v>460179.22</v>
      </c>
      <c r="G9578" s="128">
        <v>126422.72</v>
      </c>
      <c r="H9578" s="128">
        <v>333756.5</v>
      </c>
      <c r="I9578" s="128">
        <v>384</v>
      </c>
    </row>
    <row r="9579" spans="1:9" ht="13.5">
      <c r="A9579" s="128">
        <v>2017</v>
      </c>
      <c r="B9579" s="128" t="s">
        <v>131</v>
      </c>
      <c r="C9579" s="128" t="s">
        <v>26</v>
      </c>
      <c r="D9579" s="128" t="s">
        <v>79</v>
      </c>
      <c r="E9579" s="128" t="s">
        <v>136</v>
      </c>
      <c r="F9579" s="128">
        <v>1028999.63</v>
      </c>
      <c r="G9579" s="128">
        <v>759755.98</v>
      </c>
      <c r="H9579" s="128">
        <v>252198.98</v>
      </c>
      <c r="I9579" s="128">
        <v>7852</v>
      </c>
    </row>
    <row r="9580" spans="1:9" ht="13.5">
      <c r="A9580" s="128">
        <v>2017</v>
      </c>
      <c r="B9580" s="128" t="s">
        <v>131</v>
      </c>
      <c r="C9580" s="128" t="s">
        <v>26</v>
      </c>
      <c r="D9580" s="128" t="s">
        <v>79</v>
      </c>
      <c r="E9580" s="128" t="s">
        <v>132</v>
      </c>
      <c r="F9580" s="128">
        <v>197527.39</v>
      </c>
      <c r="G9580" s="128">
        <v>132209.49</v>
      </c>
      <c r="H9580" s="128">
        <v>53123.57</v>
      </c>
      <c r="I9580" s="128">
        <v>1026</v>
      </c>
    </row>
    <row r="9581" spans="1:9" ht="13.5">
      <c r="A9581" s="128">
        <v>2017</v>
      </c>
      <c r="B9581" s="128" t="s">
        <v>131</v>
      </c>
      <c r="C9581" s="128" t="s">
        <v>26</v>
      </c>
      <c r="D9581" s="128" t="s">
        <v>79</v>
      </c>
      <c r="E9581" s="128" t="s">
        <v>133</v>
      </c>
      <c r="F9581" s="128">
        <v>156699.49</v>
      </c>
      <c r="G9581" s="128">
        <v>85083.94</v>
      </c>
      <c r="H9581" s="128">
        <v>34946.400000000001</v>
      </c>
      <c r="I9581" s="128">
        <v>379</v>
      </c>
    </row>
    <row r="9582" spans="1:9" ht="13.5">
      <c r="A9582" s="128">
        <v>2017</v>
      </c>
      <c r="B9582" s="128" t="s">
        <v>131</v>
      </c>
      <c r="C9582" s="128" t="s">
        <v>26</v>
      </c>
      <c r="D9582" s="128" t="s">
        <v>79</v>
      </c>
      <c r="E9582" s="128" t="s">
        <v>134</v>
      </c>
      <c r="F9582" s="128">
        <v>706213.79</v>
      </c>
      <c r="G9582" s="128">
        <v>299113.33</v>
      </c>
      <c r="H9582" s="128">
        <v>126931</v>
      </c>
      <c r="I9582" s="128">
        <v>2306</v>
      </c>
    </row>
    <row r="9583" spans="1:9" ht="13.5">
      <c r="A9583" s="128">
        <v>2017</v>
      </c>
      <c r="B9583" s="128" t="s">
        <v>131</v>
      </c>
      <c r="C9583" s="128" t="s">
        <v>26</v>
      </c>
      <c r="D9583" s="128" t="s">
        <v>79</v>
      </c>
      <c r="E9583" s="128" t="s">
        <v>135</v>
      </c>
      <c r="F9583" s="128">
        <v>7242144.9000000004</v>
      </c>
      <c r="G9583" s="128">
        <v>1657796.68</v>
      </c>
      <c r="H9583" s="128">
        <v>555760.43000000005</v>
      </c>
      <c r="I9583" s="128">
        <v>7082</v>
      </c>
    </row>
    <row r="9584" spans="1:9" ht="13.5">
      <c r="A9584" s="128">
        <v>2017</v>
      </c>
      <c r="B9584" s="128" t="s">
        <v>131</v>
      </c>
      <c r="C9584" s="128" t="s">
        <v>26</v>
      </c>
      <c r="D9584" s="128" t="s">
        <v>77</v>
      </c>
      <c r="E9584" s="128" t="s">
        <v>132</v>
      </c>
      <c r="F9584" s="128">
        <v>55570.42</v>
      </c>
      <c r="G9584" s="128">
        <v>36161.839999999997</v>
      </c>
      <c r="H9584" s="128">
        <v>17750.990000000002</v>
      </c>
      <c r="I9584" s="128">
        <v>194</v>
      </c>
    </row>
    <row r="9585" spans="1:9" ht="13.5">
      <c r="A9585" s="128">
        <v>2017</v>
      </c>
      <c r="B9585" s="128" t="s">
        <v>131</v>
      </c>
      <c r="C9585" s="128" t="s">
        <v>26</v>
      </c>
      <c r="D9585" s="128" t="s">
        <v>77</v>
      </c>
      <c r="E9585" s="128" t="s">
        <v>133</v>
      </c>
      <c r="F9585" s="128">
        <v>123601.7</v>
      </c>
      <c r="G9585" s="128">
        <v>67359.06</v>
      </c>
      <c r="H9585" s="128">
        <v>48975.69</v>
      </c>
      <c r="I9585" s="128">
        <v>308</v>
      </c>
    </row>
    <row r="9586" spans="1:9" ht="13.5">
      <c r="A9586" s="128">
        <v>2017</v>
      </c>
      <c r="B9586" s="128" t="s">
        <v>131</v>
      </c>
      <c r="C9586" s="128" t="s">
        <v>26</v>
      </c>
      <c r="D9586" s="128" t="s">
        <v>77</v>
      </c>
      <c r="E9586" s="128" t="s">
        <v>134</v>
      </c>
      <c r="F9586" s="128">
        <v>487631.24</v>
      </c>
      <c r="G9586" s="128">
        <v>208710.7</v>
      </c>
      <c r="H9586" s="128">
        <v>223693.09</v>
      </c>
      <c r="I9586" s="128">
        <v>1560</v>
      </c>
    </row>
    <row r="9587" spans="1:9" ht="13.5">
      <c r="A9587" s="128">
        <v>2017</v>
      </c>
      <c r="B9587" s="128" t="s">
        <v>131</v>
      </c>
      <c r="C9587" s="128" t="s">
        <v>26</v>
      </c>
      <c r="D9587" s="128" t="s">
        <v>77</v>
      </c>
      <c r="E9587" s="128" t="s">
        <v>135</v>
      </c>
      <c r="F9587" s="128">
        <v>3043587.74</v>
      </c>
      <c r="G9587" s="128">
        <v>785615.93</v>
      </c>
      <c r="H9587" s="128">
        <v>886889.66</v>
      </c>
      <c r="I9587" s="128">
        <v>10564</v>
      </c>
    </row>
    <row r="9588" spans="1:9" ht="13.5">
      <c r="A9588" s="128">
        <v>2017</v>
      </c>
      <c r="B9588" s="128" t="s">
        <v>131</v>
      </c>
      <c r="C9588" s="128" t="s">
        <v>26</v>
      </c>
      <c r="D9588" s="128" t="s">
        <v>76</v>
      </c>
      <c r="E9588" s="128" t="s">
        <v>136</v>
      </c>
      <c r="F9588" s="128">
        <v>473075</v>
      </c>
      <c r="G9588" s="128">
        <v>355062.34</v>
      </c>
      <c r="H9588" s="128">
        <v>118012.65</v>
      </c>
      <c r="I9588" s="128">
        <v>13623</v>
      </c>
    </row>
    <row r="9589" spans="1:9" ht="13.5">
      <c r="A9589" s="128">
        <v>2017</v>
      </c>
      <c r="B9589" s="128" t="s">
        <v>131</v>
      </c>
      <c r="C9589" s="128" t="s">
        <v>26</v>
      </c>
      <c r="D9589" s="128" t="s">
        <v>76</v>
      </c>
      <c r="E9589" s="128" t="s">
        <v>132</v>
      </c>
      <c r="F9589" s="128">
        <v>1636324.33</v>
      </c>
      <c r="G9589" s="128">
        <v>1038047.08</v>
      </c>
      <c r="H9589" s="128">
        <v>598271.19999999995</v>
      </c>
      <c r="I9589" s="128">
        <v>15552</v>
      </c>
    </row>
    <row r="9590" spans="1:9" ht="13.5">
      <c r="A9590" s="128">
        <v>2017</v>
      </c>
      <c r="B9590" s="128" t="s">
        <v>131</v>
      </c>
      <c r="C9590" s="128" t="s">
        <v>26</v>
      </c>
      <c r="D9590" s="128" t="s">
        <v>76</v>
      </c>
      <c r="E9590" s="128" t="s">
        <v>133</v>
      </c>
      <c r="F9590" s="128">
        <v>3869311.68</v>
      </c>
      <c r="G9590" s="128">
        <v>2133367.4300000002</v>
      </c>
      <c r="H9590" s="128">
        <v>1735936.56</v>
      </c>
      <c r="I9590" s="128">
        <v>31714</v>
      </c>
    </row>
    <row r="9591" spans="1:9" ht="13.5">
      <c r="A9591" s="128">
        <v>2017</v>
      </c>
      <c r="B9591" s="128" t="s">
        <v>131</v>
      </c>
      <c r="C9591" s="128" t="s">
        <v>26</v>
      </c>
      <c r="D9591" s="128" t="s">
        <v>76</v>
      </c>
      <c r="E9591" s="128" t="s">
        <v>134</v>
      </c>
      <c r="F9591" s="128">
        <v>2711074.82</v>
      </c>
      <c r="G9591" s="128">
        <v>1234418.6599999999</v>
      </c>
      <c r="H9591" s="128">
        <v>1476614.58</v>
      </c>
      <c r="I9591" s="128">
        <v>15406</v>
      </c>
    </row>
    <row r="9592" spans="1:9" ht="13.5">
      <c r="A9592" s="128">
        <v>2017</v>
      </c>
      <c r="B9592" s="128" t="s">
        <v>131</v>
      </c>
      <c r="C9592" s="128" t="s">
        <v>26</v>
      </c>
      <c r="D9592" s="128" t="s">
        <v>76</v>
      </c>
      <c r="E9592" s="128" t="s">
        <v>135</v>
      </c>
      <c r="F9592" s="128">
        <v>287431.65000000002</v>
      </c>
      <c r="G9592" s="128">
        <v>81611.48</v>
      </c>
      <c r="H9592" s="128">
        <v>205820.17</v>
      </c>
      <c r="I9592" s="128">
        <v>452</v>
      </c>
    </row>
    <row r="9593" spans="1:9" ht="13.5">
      <c r="A9593" s="128">
        <v>2017</v>
      </c>
      <c r="B9593" s="128" t="s">
        <v>131</v>
      </c>
      <c r="C9593" s="128" t="s">
        <v>27</v>
      </c>
      <c r="D9593" s="128" t="s">
        <v>79</v>
      </c>
      <c r="E9593" s="128" t="s">
        <v>136</v>
      </c>
      <c r="F9593" s="128">
        <v>261233.46</v>
      </c>
      <c r="G9593" s="128">
        <v>195950.49</v>
      </c>
      <c r="H9593" s="128">
        <v>65283.97</v>
      </c>
      <c r="I9593" s="128">
        <v>1543</v>
      </c>
    </row>
    <row r="9594" spans="1:9" ht="13.5">
      <c r="A9594" s="128">
        <v>2017</v>
      </c>
      <c r="B9594" s="128" t="s">
        <v>131</v>
      </c>
      <c r="C9594" s="128" t="s">
        <v>27</v>
      </c>
      <c r="D9594" s="128" t="s">
        <v>79</v>
      </c>
      <c r="E9594" s="128" t="s">
        <v>132</v>
      </c>
      <c r="F9594" s="128">
        <v>51726.14</v>
      </c>
      <c r="G9594" s="128">
        <v>32877.919999999998</v>
      </c>
      <c r="H9594" s="128">
        <v>15620.63</v>
      </c>
      <c r="I9594" s="128">
        <v>193</v>
      </c>
    </row>
    <row r="9595" spans="1:9" ht="13.5">
      <c r="A9595" s="128">
        <v>2017</v>
      </c>
      <c r="B9595" s="128" t="s">
        <v>131</v>
      </c>
      <c r="C9595" s="128" t="s">
        <v>27</v>
      </c>
      <c r="D9595" s="128" t="s">
        <v>79</v>
      </c>
      <c r="E9595" s="128" t="s">
        <v>133</v>
      </c>
      <c r="F9595" s="128">
        <v>47731.5</v>
      </c>
      <c r="G9595" s="128">
        <v>26335.72</v>
      </c>
      <c r="H9595" s="128">
        <v>11392.65</v>
      </c>
      <c r="I9595" s="128">
        <v>385</v>
      </c>
    </row>
    <row r="9596" spans="1:9" ht="13.5">
      <c r="A9596" s="128">
        <v>2017</v>
      </c>
      <c r="B9596" s="128" t="s">
        <v>131</v>
      </c>
      <c r="C9596" s="128" t="s">
        <v>27</v>
      </c>
      <c r="D9596" s="128" t="s">
        <v>79</v>
      </c>
      <c r="E9596" s="128" t="s">
        <v>134</v>
      </c>
      <c r="F9596" s="128">
        <v>101845.93</v>
      </c>
      <c r="G9596" s="128">
        <v>44254.99</v>
      </c>
      <c r="H9596" s="128">
        <v>28702.51</v>
      </c>
      <c r="I9596" s="128">
        <v>380</v>
      </c>
    </row>
    <row r="9597" spans="1:9" ht="13.5">
      <c r="A9597" s="128">
        <v>2017</v>
      </c>
      <c r="B9597" s="128" t="s">
        <v>131</v>
      </c>
      <c r="C9597" s="128" t="s">
        <v>27</v>
      </c>
      <c r="D9597" s="128" t="s">
        <v>79</v>
      </c>
      <c r="E9597" s="128" t="s">
        <v>135</v>
      </c>
      <c r="F9597" s="128">
        <v>1034681.68</v>
      </c>
      <c r="G9597" s="128">
        <v>251854.56</v>
      </c>
      <c r="H9597" s="128">
        <v>87553.91</v>
      </c>
      <c r="I9597" s="128">
        <v>891</v>
      </c>
    </row>
    <row r="9598" spans="1:9" ht="13.5">
      <c r="A9598" s="128">
        <v>2017</v>
      </c>
      <c r="B9598" s="128" t="s">
        <v>131</v>
      </c>
      <c r="C9598" s="128" t="s">
        <v>27</v>
      </c>
      <c r="D9598" s="128" t="s">
        <v>77</v>
      </c>
      <c r="E9598" s="128" t="s">
        <v>132</v>
      </c>
      <c r="F9598" s="128">
        <v>31200.03</v>
      </c>
      <c r="G9598" s="128">
        <v>20349.48</v>
      </c>
      <c r="H9598" s="128">
        <v>10005.57</v>
      </c>
      <c r="I9598" s="128">
        <v>178</v>
      </c>
    </row>
    <row r="9599" spans="1:9" ht="13.5">
      <c r="A9599" s="128">
        <v>2017</v>
      </c>
      <c r="B9599" s="128" t="s">
        <v>131</v>
      </c>
      <c r="C9599" s="128" t="s">
        <v>27</v>
      </c>
      <c r="D9599" s="128" t="s">
        <v>77</v>
      </c>
      <c r="E9599" s="128" t="s">
        <v>133</v>
      </c>
      <c r="F9599" s="128">
        <v>53610.01</v>
      </c>
      <c r="G9599" s="128">
        <v>29412.65</v>
      </c>
      <c r="H9599" s="128">
        <v>21458.45</v>
      </c>
      <c r="I9599" s="128">
        <v>180</v>
      </c>
    </row>
    <row r="9600" spans="1:9" ht="13.5">
      <c r="A9600" s="128">
        <v>2017</v>
      </c>
      <c r="B9600" s="128" t="s">
        <v>131</v>
      </c>
      <c r="C9600" s="128" t="s">
        <v>27</v>
      </c>
      <c r="D9600" s="128" t="s">
        <v>77</v>
      </c>
      <c r="E9600" s="128" t="s">
        <v>134</v>
      </c>
      <c r="F9600" s="128">
        <v>190341.18</v>
      </c>
      <c r="G9600" s="128">
        <v>82335.48</v>
      </c>
      <c r="H9600" s="128">
        <v>83410.83</v>
      </c>
      <c r="I9600" s="128">
        <v>403</v>
      </c>
    </row>
    <row r="9601" spans="1:9" ht="13.5">
      <c r="A9601" s="128">
        <v>2017</v>
      </c>
      <c r="B9601" s="128" t="s">
        <v>131</v>
      </c>
      <c r="C9601" s="128" t="s">
        <v>27</v>
      </c>
      <c r="D9601" s="128" t="s">
        <v>77</v>
      </c>
      <c r="E9601" s="128" t="s">
        <v>135</v>
      </c>
      <c r="F9601" s="128">
        <v>545705.63</v>
      </c>
      <c r="G9601" s="128">
        <v>150276.03</v>
      </c>
      <c r="H9601" s="128">
        <v>175265.64</v>
      </c>
      <c r="I9601" s="128">
        <v>2201</v>
      </c>
    </row>
    <row r="9602" spans="1:9" ht="13.5">
      <c r="A9602" s="128">
        <v>2017</v>
      </c>
      <c r="B9602" s="128" t="s">
        <v>131</v>
      </c>
      <c r="C9602" s="128" t="s">
        <v>27</v>
      </c>
      <c r="D9602" s="128" t="s">
        <v>76</v>
      </c>
      <c r="E9602" s="128" t="s">
        <v>136</v>
      </c>
      <c r="F9602" s="128">
        <v>301398.84000000003</v>
      </c>
      <c r="G9602" s="128">
        <v>226153.25</v>
      </c>
      <c r="H9602" s="128">
        <v>75245.55</v>
      </c>
      <c r="I9602" s="128">
        <v>3733</v>
      </c>
    </row>
    <row r="9603" spans="1:9" ht="13.5">
      <c r="A9603" s="128">
        <v>2017</v>
      </c>
      <c r="B9603" s="128" t="s">
        <v>131</v>
      </c>
      <c r="C9603" s="128" t="s">
        <v>27</v>
      </c>
      <c r="D9603" s="128" t="s">
        <v>76</v>
      </c>
      <c r="E9603" s="128" t="s">
        <v>132</v>
      </c>
      <c r="F9603" s="128">
        <v>560022.11</v>
      </c>
      <c r="G9603" s="128">
        <v>355647.87</v>
      </c>
      <c r="H9603" s="128">
        <v>204369.99</v>
      </c>
      <c r="I9603" s="128">
        <v>3773</v>
      </c>
    </row>
    <row r="9604" spans="1:9" ht="13.5">
      <c r="A9604" s="128">
        <v>2017</v>
      </c>
      <c r="B9604" s="128" t="s">
        <v>131</v>
      </c>
      <c r="C9604" s="128" t="s">
        <v>27</v>
      </c>
      <c r="D9604" s="128" t="s">
        <v>76</v>
      </c>
      <c r="E9604" s="128" t="s">
        <v>133</v>
      </c>
      <c r="F9604" s="128">
        <v>1461534.28</v>
      </c>
      <c r="G9604" s="128">
        <v>798303.61</v>
      </c>
      <c r="H9604" s="128">
        <v>663229.16</v>
      </c>
      <c r="I9604" s="128">
        <v>7731</v>
      </c>
    </row>
    <row r="9605" spans="1:9" ht="13.5">
      <c r="A9605" s="128">
        <v>2017</v>
      </c>
      <c r="B9605" s="128" t="s">
        <v>131</v>
      </c>
      <c r="C9605" s="128" t="s">
        <v>27</v>
      </c>
      <c r="D9605" s="128" t="s">
        <v>76</v>
      </c>
      <c r="E9605" s="128" t="s">
        <v>134</v>
      </c>
      <c r="F9605" s="128">
        <v>2189737</v>
      </c>
      <c r="G9605" s="128">
        <v>1000039.84</v>
      </c>
      <c r="H9605" s="128">
        <v>1189691.1399999999</v>
      </c>
      <c r="I9605" s="128">
        <v>10720</v>
      </c>
    </row>
    <row r="9606" spans="1:9" ht="13.5">
      <c r="A9606" s="128">
        <v>2017</v>
      </c>
      <c r="B9606" s="128" t="s">
        <v>131</v>
      </c>
      <c r="C9606" s="128" t="s">
        <v>27</v>
      </c>
      <c r="D9606" s="128" t="s">
        <v>76</v>
      </c>
      <c r="E9606" s="128" t="s">
        <v>135</v>
      </c>
      <c r="F9606" s="128">
        <v>62844.06</v>
      </c>
      <c r="G9606" s="128">
        <v>19367.57</v>
      </c>
      <c r="H9606" s="128">
        <v>43476.49</v>
      </c>
      <c r="I9606" s="128">
        <v>82</v>
      </c>
    </row>
    <row r="9607" spans="1:9" ht="13.5">
      <c r="A9607" s="128">
        <v>2017</v>
      </c>
      <c r="B9607" s="128" t="s">
        <v>138</v>
      </c>
      <c r="C9607" s="128" t="s">
        <v>20</v>
      </c>
      <c r="D9607" s="128" t="s">
        <v>79</v>
      </c>
      <c r="E9607" s="128" t="s">
        <v>136</v>
      </c>
      <c r="F9607" s="128">
        <v>39858162.850000001</v>
      </c>
      <c r="G9607" s="128">
        <v>29912777.57</v>
      </c>
      <c r="H9607" s="128">
        <v>9932727.3399999999</v>
      </c>
      <c r="I9607" s="128">
        <v>570191</v>
      </c>
    </row>
    <row r="9608" spans="1:9" ht="13.5">
      <c r="A9608" s="128">
        <v>2017</v>
      </c>
      <c r="B9608" s="128" t="s">
        <v>138</v>
      </c>
      <c r="C9608" s="128" t="s">
        <v>20</v>
      </c>
      <c r="D9608" s="128" t="s">
        <v>79</v>
      </c>
      <c r="E9608" s="128" t="s">
        <v>132</v>
      </c>
      <c r="F9608" s="128">
        <v>2668885.5499999998</v>
      </c>
      <c r="G9608" s="128">
        <v>1775900.12</v>
      </c>
      <c r="H9608" s="128">
        <v>709799.53</v>
      </c>
      <c r="I9608" s="128">
        <v>14657</v>
      </c>
    </row>
    <row r="9609" spans="1:9" ht="13.5">
      <c r="A9609" s="128">
        <v>2017</v>
      </c>
      <c r="B9609" s="128" t="s">
        <v>138</v>
      </c>
      <c r="C9609" s="128" t="s">
        <v>20</v>
      </c>
      <c r="D9609" s="128" t="s">
        <v>79</v>
      </c>
      <c r="E9609" s="128" t="s">
        <v>133</v>
      </c>
      <c r="F9609" s="128">
        <v>2945070.99</v>
      </c>
      <c r="G9609" s="128">
        <v>1599002.16</v>
      </c>
      <c r="H9609" s="128">
        <v>900251.63</v>
      </c>
      <c r="I9609" s="128">
        <v>22525</v>
      </c>
    </row>
    <row r="9610" spans="1:9" ht="13.5">
      <c r="A9610" s="128">
        <v>2017</v>
      </c>
      <c r="B9610" s="128" t="s">
        <v>138</v>
      </c>
      <c r="C9610" s="128" t="s">
        <v>20</v>
      </c>
      <c r="D9610" s="128" t="s">
        <v>79</v>
      </c>
      <c r="E9610" s="128" t="s">
        <v>134</v>
      </c>
      <c r="F9610" s="128">
        <v>8426216.8800000008</v>
      </c>
      <c r="G9610" s="128">
        <v>3640639.12</v>
      </c>
      <c r="H9610" s="128">
        <v>2054604.55</v>
      </c>
      <c r="I9610" s="128">
        <v>36017</v>
      </c>
    </row>
    <row r="9611" spans="1:9" ht="13.5">
      <c r="A9611" s="128">
        <v>2017</v>
      </c>
      <c r="B9611" s="128" t="s">
        <v>138</v>
      </c>
      <c r="C9611" s="128" t="s">
        <v>20</v>
      </c>
      <c r="D9611" s="128" t="s">
        <v>79</v>
      </c>
      <c r="E9611" s="128" t="s">
        <v>135</v>
      </c>
      <c r="F9611" s="128">
        <v>79347451.129999995</v>
      </c>
      <c r="G9611" s="128">
        <v>17893544.039999999</v>
      </c>
      <c r="H9611" s="128">
        <v>6160455.96</v>
      </c>
      <c r="I9611" s="128">
        <v>82575</v>
      </c>
    </row>
    <row r="9612" spans="1:9" ht="13.5">
      <c r="A9612" s="128">
        <v>2017</v>
      </c>
      <c r="B9612" s="128" t="s">
        <v>138</v>
      </c>
      <c r="C9612" s="128" t="s">
        <v>20</v>
      </c>
      <c r="D9612" s="128" t="s">
        <v>77</v>
      </c>
      <c r="E9612" s="128" t="s">
        <v>132</v>
      </c>
      <c r="F9612" s="128">
        <v>3208106.66</v>
      </c>
      <c r="G9612" s="128">
        <v>2075361.98</v>
      </c>
      <c r="H9612" s="128">
        <v>1037690.9</v>
      </c>
      <c r="I9612" s="128">
        <v>12195</v>
      </c>
    </row>
    <row r="9613" spans="1:9" ht="13.5">
      <c r="A9613" s="128">
        <v>2017</v>
      </c>
      <c r="B9613" s="128" t="s">
        <v>138</v>
      </c>
      <c r="C9613" s="128" t="s">
        <v>20</v>
      </c>
      <c r="D9613" s="128" t="s">
        <v>77</v>
      </c>
      <c r="E9613" s="128" t="s">
        <v>133</v>
      </c>
      <c r="F9613" s="128">
        <v>4534680.95</v>
      </c>
      <c r="G9613" s="128">
        <v>2447598.54</v>
      </c>
      <c r="H9613" s="128">
        <v>1826973.13</v>
      </c>
      <c r="I9613" s="128">
        <v>14618</v>
      </c>
    </row>
    <row r="9614" spans="1:9" ht="13.5">
      <c r="A9614" s="128">
        <v>2017</v>
      </c>
      <c r="B9614" s="128" t="s">
        <v>138</v>
      </c>
      <c r="C9614" s="128" t="s">
        <v>20</v>
      </c>
      <c r="D9614" s="128" t="s">
        <v>77</v>
      </c>
      <c r="E9614" s="128" t="s">
        <v>134</v>
      </c>
      <c r="F9614" s="128">
        <v>14522009.67</v>
      </c>
      <c r="G9614" s="128">
        <v>6273655.2699999996</v>
      </c>
      <c r="H9614" s="128">
        <v>6503366.9199999999</v>
      </c>
      <c r="I9614" s="128">
        <v>33398</v>
      </c>
    </row>
    <row r="9615" spans="1:9" ht="13.5">
      <c r="A9615" s="128">
        <v>2017</v>
      </c>
      <c r="B9615" s="128" t="s">
        <v>138</v>
      </c>
      <c r="C9615" s="128" t="s">
        <v>20</v>
      </c>
      <c r="D9615" s="128" t="s">
        <v>77</v>
      </c>
      <c r="E9615" s="128" t="s">
        <v>135</v>
      </c>
      <c r="F9615" s="128">
        <v>36934173.159999996</v>
      </c>
      <c r="G9615" s="128">
        <v>9704194.2100000009</v>
      </c>
      <c r="H9615" s="128">
        <v>11428557.890000001</v>
      </c>
      <c r="I9615" s="128">
        <v>131603</v>
      </c>
    </row>
    <row r="9616" spans="1:9" ht="13.5">
      <c r="A9616" s="128">
        <v>2017</v>
      </c>
      <c r="B9616" s="128" t="s">
        <v>138</v>
      </c>
      <c r="C9616" s="128" t="s">
        <v>20</v>
      </c>
      <c r="D9616" s="128" t="s">
        <v>76</v>
      </c>
      <c r="E9616" s="128" t="s">
        <v>136</v>
      </c>
      <c r="F9616" s="128">
        <v>24022173.329999998</v>
      </c>
      <c r="G9616" s="128">
        <v>18051924.809999999</v>
      </c>
      <c r="H9616" s="128">
        <v>5970341.9699999997</v>
      </c>
      <c r="I9616" s="128">
        <v>703768</v>
      </c>
    </row>
    <row r="9617" spans="1:9" ht="13.5">
      <c r="A9617" s="128">
        <v>2017</v>
      </c>
      <c r="B9617" s="128" t="s">
        <v>138</v>
      </c>
      <c r="C9617" s="128" t="s">
        <v>20</v>
      </c>
      <c r="D9617" s="128" t="s">
        <v>76</v>
      </c>
      <c r="E9617" s="128" t="s">
        <v>132</v>
      </c>
      <c r="F9617" s="128">
        <v>49204713.719999999</v>
      </c>
      <c r="G9617" s="128">
        <v>31092686.489999998</v>
      </c>
      <c r="H9617" s="128">
        <v>18111910.850000001</v>
      </c>
      <c r="I9617" s="128">
        <v>455686</v>
      </c>
    </row>
    <row r="9618" spans="1:9" ht="13.5">
      <c r="A9618" s="128">
        <v>2017</v>
      </c>
      <c r="B9618" s="128" t="s">
        <v>138</v>
      </c>
      <c r="C9618" s="128" t="s">
        <v>20</v>
      </c>
      <c r="D9618" s="128" t="s">
        <v>76</v>
      </c>
      <c r="E9618" s="128" t="s">
        <v>133</v>
      </c>
      <c r="F9618" s="128">
        <v>91647692.469999999</v>
      </c>
      <c r="G9618" s="128">
        <v>50173470.420000002</v>
      </c>
      <c r="H9618" s="128">
        <v>41474186.189999998</v>
      </c>
      <c r="I9618" s="128">
        <v>569011</v>
      </c>
    </row>
    <row r="9619" spans="1:9" ht="13.5">
      <c r="A9619" s="128">
        <v>2017</v>
      </c>
      <c r="B9619" s="128" t="s">
        <v>138</v>
      </c>
      <c r="C9619" s="128" t="s">
        <v>20</v>
      </c>
      <c r="D9619" s="128" t="s">
        <v>76</v>
      </c>
      <c r="E9619" s="128" t="s">
        <v>134</v>
      </c>
      <c r="F9619" s="128">
        <v>104969383.58</v>
      </c>
      <c r="G9619" s="128">
        <v>47976825.460000001</v>
      </c>
      <c r="H9619" s="128">
        <v>56992460.590000004</v>
      </c>
      <c r="I9619" s="128">
        <v>562326</v>
      </c>
    </row>
    <row r="9620" spans="1:9" ht="13.5">
      <c r="A9620" s="128">
        <v>2017</v>
      </c>
      <c r="B9620" s="128" t="s">
        <v>138</v>
      </c>
      <c r="C9620" s="128" t="s">
        <v>20</v>
      </c>
      <c r="D9620" s="128" t="s">
        <v>76</v>
      </c>
      <c r="E9620" s="128" t="s">
        <v>135</v>
      </c>
      <c r="F9620" s="128">
        <v>7348667.21</v>
      </c>
      <c r="G9620" s="128">
        <v>2128899.9900000002</v>
      </c>
      <c r="H9620" s="128">
        <v>5219766.07</v>
      </c>
      <c r="I9620" s="128">
        <v>15887</v>
      </c>
    </row>
    <row r="9621" spans="1:9" ht="13.5">
      <c r="A9621" s="128">
        <v>2017</v>
      </c>
      <c r="B9621" s="128" t="s">
        <v>138</v>
      </c>
      <c r="C9621" s="128" t="s">
        <v>21</v>
      </c>
      <c r="D9621" s="128" t="s">
        <v>79</v>
      </c>
      <c r="E9621" s="128" t="s">
        <v>136</v>
      </c>
      <c r="F9621" s="128">
        <v>9930824.8900000006</v>
      </c>
      <c r="G9621" s="128">
        <v>7449336.3200000003</v>
      </c>
      <c r="H9621" s="128">
        <v>2470927.21</v>
      </c>
      <c r="I9621" s="128">
        <v>183652</v>
      </c>
    </row>
    <row r="9622" spans="1:9" ht="13.5">
      <c r="A9622" s="128">
        <v>2017</v>
      </c>
      <c r="B9622" s="128" t="s">
        <v>138</v>
      </c>
      <c r="C9622" s="128" t="s">
        <v>21</v>
      </c>
      <c r="D9622" s="128" t="s">
        <v>79</v>
      </c>
      <c r="E9622" s="128" t="s">
        <v>132</v>
      </c>
      <c r="F9622" s="128">
        <v>1759205.98</v>
      </c>
      <c r="G9622" s="128">
        <v>1150419.52</v>
      </c>
      <c r="H9622" s="128">
        <v>462195.4</v>
      </c>
      <c r="I9622" s="128">
        <v>12010</v>
      </c>
    </row>
    <row r="9623" spans="1:9" ht="13.5">
      <c r="A9623" s="128">
        <v>2017</v>
      </c>
      <c r="B9623" s="128" t="s">
        <v>138</v>
      </c>
      <c r="C9623" s="128" t="s">
        <v>21</v>
      </c>
      <c r="D9623" s="128" t="s">
        <v>79</v>
      </c>
      <c r="E9623" s="128" t="s">
        <v>133</v>
      </c>
      <c r="F9623" s="128">
        <v>3571851.01</v>
      </c>
      <c r="G9623" s="128">
        <v>1952580.2</v>
      </c>
      <c r="H9623" s="128">
        <v>1059733</v>
      </c>
      <c r="I9623" s="128">
        <v>41766</v>
      </c>
    </row>
    <row r="9624" spans="1:9" ht="13.5">
      <c r="A9624" s="128">
        <v>2017</v>
      </c>
      <c r="B9624" s="128" t="s">
        <v>138</v>
      </c>
      <c r="C9624" s="128" t="s">
        <v>21</v>
      </c>
      <c r="D9624" s="128" t="s">
        <v>79</v>
      </c>
      <c r="E9624" s="128" t="s">
        <v>134</v>
      </c>
      <c r="F9624" s="128">
        <v>6481713.4699999997</v>
      </c>
      <c r="G9624" s="128">
        <v>2764590.46</v>
      </c>
      <c r="H9624" s="128">
        <v>1848618.19</v>
      </c>
      <c r="I9624" s="128">
        <v>37261</v>
      </c>
    </row>
    <row r="9625" spans="1:9" ht="13.5">
      <c r="A9625" s="128">
        <v>2017</v>
      </c>
      <c r="B9625" s="128" t="s">
        <v>138</v>
      </c>
      <c r="C9625" s="128" t="s">
        <v>21</v>
      </c>
      <c r="D9625" s="128" t="s">
        <v>79</v>
      </c>
      <c r="E9625" s="128" t="s">
        <v>135</v>
      </c>
      <c r="F9625" s="128">
        <v>22137579.579999998</v>
      </c>
      <c r="G9625" s="128">
        <v>5319279.5999999996</v>
      </c>
      <c r="H9625" s="128">
        <v>2079871.96</v>
      </c>
      <c r="I9625" s="128">
        <v>31514</v>
      </c>
    </row>
    <row r="9626" spans="1:9" ht="13.5">
      <c r="A9626" s="128">
        <v>2017</v>
      </c>
      <c r="B9626" s="128" t="s">
        <v>138</v>
      </c>
      <c r="C9626" s="128" t="s">
        <v>21</v>
      </c>
      <c r="D9626" s="128" t="s">
        <v>77</v>
      </c>
      <c r="E9626" s="128" t="s">
        <v>132</v>
      </c>
      <c r="F9626" s="128">
        <v>3882510.26</v>
      </c>
      <c r="G9626" s="128">
        <v>2579884.86</v>
      </c>
      <c r="H9626" s="128">
        <v>1123032.78</v>
      </c>
      <c r="I9626" s="128">
        <v>25354</v>
      </c>
    </row>
    <row r="9627" spans="1:9" ht="13.5">
      <c r="A9627" s="128">
        <v>2017</v>
      </c>
      <c r="B9627" s="128" t="s">
        <v>138</v>
      </c>
      <c r="C9627" s="128" t="s">
        <v>21</v>
      </c>
      <c r="D9627" s="128" t="s">
        <v>77</v>
      </c>
      <c r="E9627" s="128" t="s">
        <v>133</v>
      </c>
      <c r="F9627" s="128">
        <v>6609742.21</v>
      </c>
      <c r="G9627" s="128">
        <v>3598152.69</v>
      </c>
      <c r="H9627" s="128">
        <v>2533617.2400000002</v>
      </c>
      <c r="I9627" s="128">
        <v>26987</v>
      </c>
    </row>
    <row r="9628" spans="1:9" ht="13.5">
      <c r="A9628" s="128">
        <v>2017</v>
      </c>
      <c r="B9628" s="128" t="s">
        <v>138</v>
      </c>
      <c r="C9628" s="128" t="s">
        <v>21</v>
      </c>
      <c r="D9628" s="128" t="s">
        <v>77</v>
      </c>
      <c r="E9628" s="128" t="s">
        <v>134</v>
      </c>
      <c r="F9628" s="128">
        <v>13377210.08</v>
      </c>
      <c r="G9628" s="128">
        <v>5779330.7699999996</v>
      </c>
      <c r="H9628" s="128">
        <v>5594849.4000000004</v>
      </c>
      <c r="I9628" s="128">
        <v>35578</v>
      </c>
    </row>
    <row r="9629" spans="1:9" ht="13.5">
      <c r="A9629" s="128">
        <v>2017</v>
      </c>
      <c r="B9629" s="128" t="s">
        <v>138</v>
      </c>
      <c r="C9629" s="128" t="s">
        <v>21</v>
      </c>
      <c r="D9629" s="128" t="s">
        <v>77</v>
      </c>
      <c r="E9629" s="128" t="s">
        <v>135</v>
      </c>
      <c r="F9629" s="128">
        <v>27285224.100000001</v>
      </c>
      <c r="G9629" s="128">
        <v>7355729.6299999999</v>
      </c>
      <c r="H9629" s="128">
        <v>8289919.2400000002</v>
      </c>
      <c r="I9629" s="128">
        <v>104950</v>
      </c>
    </row>
    <row r="9630" spans="1:9" ht="13.5">
      <c r="A9630" s="128">
        <v>2017</v>
      </c>
      <c r="B9630" s="128" t="s">
        <v>138</v>
      </c>
      <c r="C9630" s="128" t="s">
        <v>21</v>
      </c>
      <c r="D9630" s="128" t="s">
        <v>76</v>
      </c>
      <c r="E9630" s="128" t="s">
        <v>136</v>
      </c>
      <c r="F9630" s="128">
        <v>18809001.52</v>
      </c>
      <c r="G9630" s="128">
        <v>14155702.029999999</v>
      </c>
      <c r="H9630" s="128">
        <v>4653377.8899999997</v>
      </c>
      <c r="I9630" s="128">
        <v>300460</v>
      </c>
    </row>
    <row r="9631" spans="1:9" ht="13.5">
      <c r="A9631" s="128">
        <v>2017</v>
      </c>
      <c r="B9631" s="128" t="s">
        <v>138</v>
      </c>
      <c r="C9631" s="128" t="s">
        <v>21</v>
      </c>
      <c r="D9631" s="128" t="s">
        <v>76</v>
      </c>
      <c r="E9631" s="128" t="s">
        <v>132</v>
      </c>
      <c r="F9631" s="128">
        <v>42615406.119999997</v>
      </c>
      <c r="G9631" s="128">
        <v>27131977.829999998</v>
      </c>
      <c r="H9631" s="128">
        <v>15483387.640000001</v>
      </c>
      <c r="I9631" s="128">
        <v>384477</v>
      </c>
    </row>
    <row r="9632" spans="1:9" ht="13.5">
      <c r="A9632" s="128">
        <v>2017</v>
      </c>
      <c r="B9632" s="128" t="s">
        <v>138</v>
      </c>
      <c r="C9632" s="128" t="s">
        <v>21</v>
      </c>
      <c r="D9632" s="128" t="s">
        <v>76</v>
      </c>
      <c r="E9632" s="128" t="s">
        <v>133</v>
      </c>
      <c r="F9632" s="128">
        <v>106385609.12</v>
      </c>
      <c r="G9632" s="128">
        <v>58296467.649999999</v>
      </c>
      <c r="H9632" s="128">
        <v>48088990.82</v>
      </c>
      <c r="I9632" s="128">
        <v>729944</v>
      </c>
    </row>
    <row r="9633" spans="1:9" ht="13.5">
      <c r="A9633" s="128">
        <v>2017</v>
      </c>
      <c r="B9633" s="128" t="s">
        <v>138</v>
      </c>
      <c r="C9633" s="128" t="s">
        <v>21</v>
      </c>
      <c r="D9633" s="128" t="s">
        <v>76</v>
      </c>
      <c r="E9633" s="128" t="s">
        <v>134</v>
      </c>
      <c r="F9633" s="128">
        <v>105666211.73999999</v>
      </c>
      <c r="G9633" s="128">
        <v>47196668.210000001</v>
      </c>
      <c r="H9633" s="128">
        <v>58468807.490000002</v>
      </c>
      <c r="I9633" s="128">
        <v>551197</v>
      </c>
    </row>
    <row r="9634" spans="1:9" ht="13.5">
      <c r="A9634" s="128">
        <v>2017</v>
      </c>
      <c r="B9634" s="128" t="s">
        <v>138</v>
      </c>
      <c r="C9634" s="128" t="s">
        <v>21</v>
      </c>
      <c r="D9634" s="128" t="s">
        <v>76</v>
      </c>
      <c r="E9634" s="128" t="s">
        <v>135</v>
      </c>
      <c r="F9634" s="128">
        <v>3225386.11</v>
      </c>
      <c r="G9634" s="128">
        <v>839667.33</v>
      </c>
      <c r="H9634" s="128">
        <v>2385718.7799999998</v>
      </c>
      <c r="I9634" s="128">
        <v>3699</v>
      </c>
    </row>
    <row r="9635" spans="1:9" ht="13.5">
      <c r="A9635" s="128">
        <v>2017</v>
      </c>
      <c r="B9635" s="128" t="s">
        <v>138</v>
      </c>
      <c r="C9635" s="128" t="s">
        <v>22</v>
      </c>
      <c r="D9635" s="128" t="s">
        <v>79</v>
      </c>
      <c r="E9635" s="128" t="s">
        <v>136</v>
      </c>
      <c r="F9635" s="128">
        <v>6679793.71</v>
      </c>
      <c r="G9635" s="128">
        <v>4987685.8499999996</v>
      </c>
      <c r="H9635" s="128">
        <v>1658915.88</v>
      </c>
      <c r="I9635" s="128">
        <v>90248</v>
      </c>
    </row>
    <row r="9636" spans="1:9" ht="13.5">
      <c r="A9636" s="128">
        <v>2017</v>
      </c>
      <c r="B9636" s="128" t="s">
        <v>138</v>
      </c>
      <c r="C9636" s="128" t="s">
        <v>22</v>
      </c>
      <c r="D9636" s="128" t="s">
        <v>79</v>
      </c>
      <c r="E9636" s="128" t="s">
        <v>132</v>
      </c>
      <c r="F9636" s="128">
        <v>2536484.8199999998</v>
      </c>
      <c r="G9636" s="128">
        <v>1652622.75</v>
      </c>
      <c r="H9636" s="128">
        <v>719243.94</v>
      </c>
      <c r="I9636" s="128">
        <v>18932</v>
      </c>
    </row>
    <row r="9637" spans="1:9" ht="13.5">
      <c r="A9637" s="128">
        <v>2017</v>
      </c>
      <c r="B9637" s="128" t="s">
        <v>138</v>
      </c>
      <c r="C9637" s="128" t="s">
        <v>22</v>
      </c>
      <c r="D9637" s="128" t="s">
        <v>79</v>
      </c>
      <c r="E9637" s="128" t="s">
        <v>133</v>
      </c>
      <c r="F9637" s="128">
        <v>3237086.59</v>
      </c>
      <c r="G9637" s="128">
        <v>1731943.3</v>
      </c>
      <c r="H9637" s="128">
        <v>915502.33</v>
      </c>
      <c r="I9637" s="128">
        <v>36056</v>
      </c>
    </row>
    <row r="9638" spans="1:9" ht="13.5">
      <c r="A9638" s="128">
        <v>2017</v>
      </c>
      <c r="B9638" s="128" t="s">
        <v>138</v>
      </c>
      <c r="C9638" s="128" t="s">
        <v>22</v>
      </c>
      <c r="D9638" s="128" t="s">
        <v>79</v>
      </c>
      <c r="E9638" s="128" t="s">
        <v>134</v>
      </c>
      <c r="F9638" s="128">
        <v>6272863.3099999996</v>
      </c>
      <c r="G9638" s="128">
        <v>2734205.74</v>
      </c>
      <c r="H9638" s="128">
        <v>1871580</v>
      </c>
      <c r="I9638" s="128">
        <v>29839</v>
      </c>
    </row>
    <row r="9639" spans="1:9" ht="13.5">
      <c r="A9639" s="128">
        <v>2017</v>
      </c>
      <c r="B9639" s="128" t="s">
        <v>138</v>
      </c>
      <c r="C9639" s="128" t="s">
        <v>22</v>
      </c>
      <c r="D9639" s="128" t="s">
        <v>79</v>
      </c>
      <c r="E9639" s="128" t="s">
        <v>135</v>
      </c>
      <c r="F9639" s="128">
        <v>37023459.119999997</v>
      </c>
      <c r="G9639" s="128">
        <v>8810038.0800000001</v>
      </c>
      <c r="H9639" s="128">
        <v>3078791.26</v>
      </c>
      <c r="I9639" s="128">
        <v>42483</v>
      </c>
    </row>
    <row r="9640" spans="1:9" ht="13.5">
      <c r="A9640" s="128">
        <v>2017</v>
      </c>
      <c r="B9640" s="128" t="s">
        <v>138</v>
      </c>
      <c r="C9640" s="128" t="s">
        <v>22</v>
      </c>
      <c r="D9640" s="128" t="s">
        <v>77</v>
      </c>
      <c r="E9640" s="128" t="s">
        <v>132</v>
      </c>
      <c r="F9640" s="128">
        <v>1560673.71</v>
      </c>
      <c r="G9640" s="128">
        <v>1025328.05</v>
      </c>
      <c r="H9640" s="128">
        <v>461737.58</v>
      </c>
      <c r="I9640" s="128">
        <v>7699</v>
      </c>
    </row>
    <row r="9641" spans="1:9" ht="13.5">
      <c r="A9641" s="128">
        <v>2017</v>
      </c>
      <c r="B9641" s="128" t="s">
        <v>138</v>
      </c>
      <c r="C9641" s="128" t="s">
        <v>22</v>
      </c>
      <c r="D9641" s="128" t="s">
        <v>77</v>
      </c>
      <c r="E9641" s="128" t="s">
        <v>133</v>
      </c>
      <c r="F9641" s="128">
        <v>2998194.95</v>
      </c>
      <c r="G9641" s="128">
        <v>1619183.68</v>
      </c>
      <c r="H9641" s="128">
        <v>1058106.08</v>
      </c>
      <c r="I9641" s="128">
        <v>13346</v>
      </c>
    </row>
    <row r="9642" spans="1:9" ht="13.5">
      <c r="A9642" s="128">
        <v>2017</v>
      </c>
      <c r="B9642" s="128" t="s">
        <v>138</v>
      </c>
      <c r="C9642" s="128" t="s">
        <v>22</v>
      </c>
      <c r="D9642" s="128" t="s">
        <v>77</v>
      </c>
      <c r="E9642" s="128" t="s">
        <v>134</v>
      </c>
      <c r="F9642" s="128">
        <v>10832405.949999999</v>
      </c>
      <c r="G9642" s="128">
        <v>4614109.7699999996</v>
      </c>
      <c r="H9642" s="128">
        <v>4607266.3099999996</v>
      </c>
      <c r="I9642" s="128">
        <v>18987</v>
      </c>
    </row>
    <row r="9643" spans="1:9" ht="13.5">
      <c r="A9643" s="128">
        <v>2017</v>
      </c>
      <c r="B9643" s="128" t="s">
        <v>138</v>
      </c>
      <c r="C9643" s="128" t="s">
        <v>22</v>
      </c>
      <c r="D9643" s="128" t="s">
        <v>77</v>
      </c>
      <c r="E9643" s="128" t="s">
        <v>135</v>
      </c>
      <c r="F9643" s="128">
        <v>23918695.550000001</v>
      </c>
      <c r="G9643" s="128">
        <v>6496402.25</v>
      </c>
      <c r="H9643" s="128">
        <v>7363102.8099999996</v>
      </c>
      <c r="I9643" s="128">
        <v>62053</v>
      </c>
    </row>
    <row r="9644" spans="1:9" ht="13.5">
      <c r="A9644" s="128">
        <v>2017</v>
      </c>
      <c r="B9644" s="128" t="s">
        <v>138</v>
      </c>
      <c r="C9644" s="128" t="s">
        <v>22</v>
      </c>
      <c r="D9644" s="128" t="s">
        <v>76</v>
      </c>
      <c r="E9644" s="128" t="s">
        <v>136</v>
      </c>
      <c r="F9644" s="128">
        <v>15349370.51</v>
      </c>
      <c r="G9644" s="128">
        <v>11524704.880000001</v>
      </c>
      <c r="H9644" s="128">
        <v>3824711.27</v>
      </c>
      <c r="I9644" s="128">
        <v>291628</v>
      </c>
    </row>
    <row r="9645" spans="1:9" ht="13.5">
      <c r="A9645" s="128">
        <v>2017</v>
      </c>
      <c r="B9645" s="128" t="s">
        <v>138</v>
      </c>
      <c r="C9645" s="128" t="s">
        <v>22</v>
      </c>
      <c r="D9645" s="128" t="s">
        <v>76</v>
      </c>
      <c r="E9645" s="128" t="s">
        <v>132</v>
      </c>
      <c r="F9645" s="128">
        <v>40308610.049999997</v>
      </c>
      <c r="G9645" s="128">
        <v>25605850.309999999</v>
      </c>
      <c r="H9645" s="128">
        <v>14702683.77</v>
      </c>
      <c r="I9645" s="128">
        <v>381215</v>
      </c>
    </row>
    <row r="9646" spans="1:9" ht="13.5">
      <c r="A9646" s="128">
        <v>2017</v>
      </c>
      <c r="B9646" s="128" t="s">
        <v>138</v>
      </c>
      <c r="C9646" s="128" t="s">
        <v>22</v>
      </c>
      <c r="D9646" s="128" t="s">
        <v>76</v>
      </c>
      <c r="E9646" s="128" t="s">
        <v>133</v>
      </c>
      <c r="F9646" s="128">
        <v>72924036.599999994</v>
      </c>
      <c r="G9646" s="128">
        <v>40184976.539999999</v>
      </c>
      <c r="H9646" s="128">
        <v>32738514.75</v>
      </c>
      <c r="I9646" s="128">
        <v>577360</v>
      </c>
    </row>
    <row r="9647" spans="1:9" ht="13.5">
      <c r="A9647" s="128">
        <v>2017</v>
      </c>
      <c r="B9647" s="128" t="s">
        <v>138</v>
      </c>
      <c r="C9647" s="128" t="s">
        <v>22</v>
      </c>
      <c r="D9647" s="128" t="s">
        <v>76</v>
      </c>
      <c r="E9647" s="128" t="s">
        <v>134</v>
      </c>
      <c r="F9647" s="128">
        <v>68269869.310000002</v>
      </c>
      <c r="G9647" s="128">
        <v>31146861.579999998</v>
      </c>
      <c r="H9647" s="128">
        <v>37122970.030000001</v>
      </c>
      <c r="I9647" s="128">
        <v>432219</v>
      </c>
    </row>
    <row r="9648" spans="1:9" ht="13.5">
      <c r="A9648" s="128">
        <v>2017</v>
      </c>
      <c r="B9648" s="128" t="s">
        <v>138</v>
      </c>
      <c r="C9648" s="128" t="s">
        <v>22</v>
      </c>
      <c r="D9648" s="128" t="s">
        <v>76</v>
      </c>
      <c r="E9648" s="128" t="s">
        <v>135</v>
      </c>
      <c r="F9648" s="128">
        <v>5375789.1500000004</v>
      </c>
      <c r="G9648" s="128">
        <v>1545045.31</v>
      </c>
      <c r="H9648" s="128">
        <v>3830741.29</v>
      </c>
      <c r="I9648" s="128">
        <v>7181</v>
      </c>
    </row>
    <row r="9649" spans="1:9" ht="13.5">
      <c r="A9649" s="128">
        <v>2017</v>
      </c>
      <c r="B9649" s="128" t="s">
        <v>138</v>
      </c>
      <c r="C9649" s="128" t="s">
        <v>23</v>
      </c>
      <c r="D9649" s="128" t="s">
        <v>79</v>
      </c>
      <c r="E9649" s="128" t="s">
        <v>136</v>
      </c>
      <c r="F9649" s="128">
        <v>2380185.7400000002</v>
      </c>
      <c r="G9649" s="128">
        <v>1785021.77</v>
      </c>
      <c r="H9649" s="128">
        <v>594522.36</v>
      </c>
      <c r="I9649" s="128">
        <v>16644</v>
      </c>
    </row>
    <row r="9650" spans="1:9" ht="13.5">
      <c r="A9650" s="128">
        <v>2017</v>
      </c>
      <c r="B9650" s="128" t="s">
        <v>138</v>
      </c>
      <c r="C9650" s="128" t="s">
        <v>23</v>
      </c>
      <c r="D9650" s="128" t="s">
        <v>79</v>
      </c>
      <c r="E9650" s="128" t="s">
        <v>132</v>
      </c>
      <c r="F9650" s="128">
        <v>583356</v>
      </c>
      <c r="G9650" s="128">
        <v>374024.1</v>
      </c>
      <c r="H9650" s="128">
        <v>171823.91</v>
      </c>
      <c r="I9650" s="128">
        <v>2477</v>
      </c>
    </row>
    <row r="9651" spans="1:9" ht="13.5">
      <c r="A9651" s="128">
        <v>2017</v>
      </c>
      <c r="B9651" s="128" t="s">
        <v>138</v>
      </c>
      <c r="C9651" s="128" t="s">
        <v>23</v>
      </c>
      <c r="D9651" s="128" t="s">
        <v>79</v>
      </c>
      <c r="E9651" s="128" t="s">
        <v>133</v>
      </c>
      <c r="F9651" s="128">
        <v>851182.01</v>
      </c>
      <c r="G9651" s="128">
        <v>472786.93</v>
      </c>
      <c r="H9651" s="128">
        <v>327628.19</v>
      </c>
      <c r="I9651" s="128">
        <v>8911</v>
      </c>
    </row>
    <row r="9652" spans="1:9" ht="13.5">
      <c r="A9652" s="128">
        <v>2017</v>
      </c>
      <c r="B9652" s="128" t="s">
        <v>138</v>
      </c>
      <c r="C9652" s="128" t="s">
        <v>23</v>
      </c>
      <c r="D9652" s="128" t="s">
        <v>79</v>
      </c>
      <c r="E9652" s="128" t="s">
        <v>134</v>
      </c>
      <c r="F9652" s="128">
        <v>1234729.8</v>
      </c>
      <c r="G9652" s="128">
        <v>535510.48</v>
      </c>
      <c r="H9652" s="128">
        <v>574059.24</v>
      </c>
      <c r="I9652" s="128">
        <v>4152</v>
      </c>
    </row>
    <row r="9653" spans="1:9" ht="13.5">
      <c r="A9653" s="128">
        <v>2017</v>
      </c>
      <c r="B9653" s="128" t="s">
        <v>138</v>
      </c>
      <c r="C9653" s="128" t="s">
        <v>23</v>
      </c>
      <c r="D9653" s="128" t="s">
        <v>79</v>
      </c>
      <c r="E9653" s="128" t="s">
        <v>135</v>
      </c>
      <c r="F9653" s="128">
        <v>1804623.14</v>
      </c>
      <c r="G9653" s="128">
        <v>425889.13</v>
      </c>
      <c r="H9653" s="128">
        <v>203345.97</v>
      </c>
      <c r="I9653" s="128">
        <v>2471</v>
      </c>
    </row>
    <row r="9654" spans="1:9" ht="13.5">
      <c r="A9654" s="128">
        <v>2017</v>
      </c>
      <c r="B9654" s="128" t="s">
        <v>138</v>
      </c>
      <c r="C9654" s="128" t="s">
        <v>23</v>
      </c>
      <c r="D9654" s="128" t="s">
        <v>77</v>
      </c>
      <c r="E9654" s="128" t="s">
        <v>132</v>
      </c>
      <c r="F9654" s="128">
        <v>362251.83</v>
      </c>
      <c r="G9654" s="128">
        <v>233535.94</v>
      </c>
      <c r="H9654" s="128">
        <v>116057.34</v>
      </c>
      <c r="I9654" s="128">
        <v>1738</v>
      </c>
    </row>
    <row r="9655" spans="1:9" ht="13.5">
      <c r="A9655" s="128">
        <v>2017</v>
      </c>
      <c r="B9655" s="128" t="s">
        <v>138</v>
      </c>
      <c r="C9655" s="128" t="s">
        <v>23</v>
      </c>
      <c r="D9655" s="128" t="s">
        <v>77</v>
      </c>
      <c r="E9655" s="128" t="s">
        <v>133</v>
      </c>
      <c r="F9655" s="128">
        <v>965102.73</v>
      </c>
      <c r="G9655" s="128">
        <v>519481.22</v>
      </c>
      <c r="H9655" s="128">
        <v>398536.59</v>
      </c>
      <c r="I9655" s="128">
        <v>3238</v>
      </c>
    </row>
    <row r="9656" spans="1:9" ht="13.5">
      <c r="A9656" s="128">
        <v>2017</v>
      </c>
      <c r="B9656" s="128" t="s">
        <v>138</v>
      </c>
      <c r="C9656" s="128" t="s">
        <v>23</v>
      </c>
      <c r="D9656" s="128" t="s">
        <v>77</v>
      </c>
      <c r="E9656" s="128" t="s">
        <v>134</v>
      </c>
      <c r="F9656" s="128">
        <v>4460984.41</v>
      </c>
      <c r="G9656" s="128">
        <v>1890440.19</v>
      </c>
      <c r="H9656" s="128">
        <v>1975875.62</v>
      </c>
      <c r="I9656" s="128">
        <v>9071</v>
      </c>
    </row>
    <row r="9657" spans="1:9" ht="13.5">
      <c r="A9657" s="128">
        <v>2017</v>
      </c>
      <c r="B9657" s="128" t="s">
        <v>138</v>
      </c>
      <c r="C9657" s="128" t="s">
        <v>23</v>
      </c>
      <c r="D9657" s="128" t="s">
        <v>77</v>
      </c>
      <c r="E9657" s="128" t="s">
        <v>135</v>
      </c>
      <c r="F9657" s="128">
        <v>7188568.4800000004</v>
      </c>
      <c r="G9657" s="128">
        <v>2175015.73</v>
      </c>
      <c r="H9657" s="128">
        <v>2733935.17</v>
      </c>
      <c r="I9657" s="128">
        <v>26919</v>
      </c>
    </row>
    <row r="9658" spans="1:9" ht="13.5">
      <c r="A9658" s="128">
        <v>2017</v>
      </c>
      <c r="B9658" s="128" t="s">
        <v>138</v>
      </c>
      <c r="C9658" s="128" t="s">
        <v>23</v>
      </c>
      <c r="D9658" s="128" t="s">
        <v>76</v>
      </c>
      <c r="E9658" s="128" t="s">
        <v>136</v>
      </c>
      <c r="F9658" s="128">
        <v>6061002.7199999997</v>
      </c>
      <c r="G9658" s="128">
        <v>4547955.32</v>
      </c>
      <c r="H9658" s="128">
        <v>1513110.7</v>
      </c>
      <c r="I9658" s="128">
        <v>111279</v>
      </c>
    </row>
    <row r="9659" spans="1:9" ht="13.5">
      <c r="A9659" s="128">
        <v>2017</v>
      </c>
      <c r="B9659" s="128" t="s">
        <v>138</v>
      </c>
      <c r="C9659" s="128" t="s">
        <v>23</v>
      </c>
      <c r="D9659" s="128" t="s">
        <v>76</v>
      </c>
      <c r="E9659" s="128" t="s">
        <v>132</v>
      </c>
      <c r="F9659" s="128">
        <v>7830835.6900000004</v>
      </c>
      <c r="G9659" s="128">
        <v>4921758.6399999997</v>
      </c>
      <c r="H9659" s="128">
        <v>2909065.4</v>
      </c>
      <c r="I9659" s="128">
        <v>74479</v>
      </c>
    </row>
    <row r="9660" spans="1:9" ht="13.5">
      <c r="A9660" s="128">
        <v>2017</v>
      </c>
      <c r="B9660" s="128" t="s">
        <v>138</v>
      </c>
      <c r="C9660" s="128" t="s">
        <v>23</v>
      </c>
      <c r="D9660" s="128" t="s">
        <v>76</v>
      </c>
      <c r="E9660" s="128" t="s">
        <v>133</v>
      </c>
      <c r="F9660" s="128">
        <v>26786954.149999999</v>
      </c>
      <c r="G9660" s="128">
        <v>14585776.970000001</v>
      </c>
      <c r="H9660" s="128">
        <v>12201163.029999999</v>
      </c>
      <c r="I9660" s="128">
        <v>220905</v>
      </c>
    </row>
    <row r="9661" spans="1:9" ht="13.5">
      <c r="A9661" s="128">
        <v>2017</v>
      </c>
      <c r="B9661" s="128" t="s">
        <v>138</v>
      </c>
      <c r="C9661" s="128" t="s">
        <v>23</v>
      </c>
      <c r="D9661" s="128" t="s">
        <v>76</v>
      </c>
      <c r="E9661" s="128" t="s">
        <v>134</v>
      </c>
      <c r="F9661" s="128">
        <v>43351415.43</v>
      </c>
      <c r="G9661" s="128">
        <v>19243437.809999999</v>
      </c>
      <c r="H9661" s="128">
        <v>24107969.600000001</v>
      </c>
      <c r="I9661" s="128">
        <v>165882</v>
      </c>
    </row>
    <row r="9662" spans="1:9" ht="13.5">
      <c r="A9662" s="128">
        <v>2017</v>
      </c>
      <c r="B9662" s="128" t="s">
        <v>138</v>
      </c>
      <c r="C9662" s="128" t="s">
        <v>23</v>
      </c>
      <c r="D9662" s="128" t="s">
        <v>76</v>
      </c>
      <c r="E9662" s="128" t="s">
        <v>135</v>
      </c>
      <c r="F9662" s="128">
        <v>1570567.63</v>
      </c>
      <c r="G9662" s="128">
        <v>415780.12</v>
      </c>
      <c r="H9662" s="128">
        <v>1154787.93</v>
      </c>
      <c r="I9662" s="128">
        <v>1484</v>
      </c>
    </row>
    <row r="9663" spans="1:9" ht="13.5">
      <c r="A9663" s="128">
        <v>2017</v>
      </c>
      <c r="B9663" s="128" t="s">
        <v>138</v>
      </c>
      <c r="C9663" s="128" t="s">
        <v>24</v>
      </c>
      <c r="D9663" s="128" t="s">
        <v>79</v>
      </c>
      <c r="E9663" s="128" t="s">
        <v>136</v>
      </c>
      <c r="F9663" s="128">
        <v>2109013.67</v>
      </c>
      <c r="G9663" s="128">
        <v>1583143.9</v>
      </c>
      <c r="H9663" s="128">
        <v>524293.87</v>
      </c>
      <c r="I9663" s="128">
        <v>34916</v>
      </c>
    </row>
    <row r="9664" spans="1:9" ht="13.5">
      <c r="A9664" s="128">
        <v>2017</v>
      </c>
      <c r="B9664" s="128" t="s">
        <v>138</v>
      </c>
      <c r="C9664" s="128" t="s">
        <v>24</v>
      </c>
      <c r="D9664" s="128" t="s">
        <v>79</v>
      </c>
      <c r="E9664" s="128" t="s">
        <v>132</v>
      </c>
      <c r="F9664" s="128">
        <v>651728.63</v>
      </c>
      <c r="G9664" s="128">
        <v>420916.59</v>
      </c>
      <c r="H9664" s="128">
        <v>194914.1</v>
      </c>
      <c r="I9664" s="128">
        <v>9208</v>
      </c>
    </row>
    <row r="9665" spans="1:9" ht="13.5">
      <c r="A9665" s="128">
        <v>2017</v>
      </c>
      <c r="B9665" s="128" t="s">
        <v>138</v>
      </c>
      <c r="C9665" s="128" t="s">
        <v>24</v>
      </c>
      <c r="D9665" s="128" t="s">
        <v>79</v>
      </c>
      <c r="E9665" s="128" t="s">
        <v>133</v>
      </c>
      <c r="F9665" s="128">
        <v>1216367.58</v>
      </c>
      <c r="G9665" s="128">
        <v>641008.21</v>
      </c>
      <c r="H9665" s="128">
        <v>254688.37</v>
      </c>
      <c r="I9665" s="128">
        <v>14527</v>
      </c>
    </row>
    <row r="9666" spans="1:9" ht="13.5">
      <c r="A9666" s="128">
        <v>2017</v>
      </c>
      <c r="B9666" s="128" t="s">
        <v>138</v>
      </c>
      <c r="C9666" s="128" t="s">
        <v>24</v>
      </c>
      <c r="D9666" s="128" t="s">
        <v>79</v>
      </c>
      <c r="E9666" s="128" t="s">
        <v>134</v>
      </c>
      <c r="F9666" s="128">
        <v>1967147.15</v>
      </c>
      <c r="G9666" s="128">
        <v>859862</v>
      </c>
      <c r="H9666" s="128">
        <v>395722.97</v>
      </c>
      <c r="I9666" s="128">
        <v>6067</v>
      </c>
    </row>
    <row r="9667" spans="1:9" ht="13.5">
      <c r="A9667" s="128">
        <v>2017</v>
      </c>
      <c r="B9667" s="128" t="s">
        <v>138</v>
      </c>
      <c r="C9667" s="128" t="s">
        <v>24</v>
      </c>
      <c r="D9667" s="128" t="s">
        <v>79</v>
      </c>
      <c r="E9667" s="128" t="s">
        <v>135</v>
      </c>
      <c r="F9667" s="128">
        <v>7219773.9800000004</v>
      </c>
      <c r="G9667" s="128">
        <v>1657401.93</v>
      </c>
      <c r="H9667" s="128">
        <v>600991.67000000004</v>
      </c>
      <c r="I9667" s="128">
        <v>10805</v>
      </c>
    </row>
    <row r="9668" spans="1:9" ht="13.5">
      <c r="A9668" s="128">
        <v>2017</v>
      </c>
      <c r="B9668" s="128" t="s">
        <v>138</v>
      </c>
      <c r="C9668" s="128" t="s">
        <v>24</v>
      </c>
      <c r="D9668" s="128" t="s">
        <v>77</v>
      </c>
      <c r="E9668" s="128" t="s">
        <v>132</v>
      </c>
      <c r="F9668" s="128">
        <v>2772345.25</v>
      </c>
      <c r="G9668" s="128">
        <v>1893581</v>
      </c>
      <c r="H9668" s="128">
        <v>835067.83</v>
      </c>
      <c r="I9668" s="128">
        <v>15269</v>
      </c>
    </row>
    <row r="9669" spans="1:9" ht="13.5">
      <c r="A9669" s="128">
        <v>2017</v>
      </c>
      <c r="B9669" s="128" t="s">
        <v>138</v>
      </c>
      <c r="C9669" s="128" t="s">
        <v>24</v>
      </c>
      <c r="D9669" s="128" t="s">
        <v>77</v>
      </c>
      <c r="E9669" s="128" t="s">
        <v>133</v>
      </c>
      <c r="F9669" s="128">
        <v>4648104.37</v>
      </c>
      <c r="G9669" s="128">
        <v>2506509.4900000002</v>
      </c>
      <c r="H9669" s="128">
        <v>1954502.84</v>
      </c>
      <c r="I9669" s="128">
        <v>34841</v>
      </c>
    </row>
    <row r="9670" spans="1:9" ht="13.5">
      <c r="A9670" s="128">
        <v>2017</v>
      </c>
      <c r="B9670" s="128" t="s">
        <v>138</v>
      </c>
      <c r="C9670" s="128" t="s">
        <v>24</v>
      </c>
      <c r="D9670" s="128" t="s">
        <v>77</v>
      </c>
      <c r="E9670" s="128" t="s">
        <v>134</v>
      </c>
      <c r="F9670" s="128">
        <v>8787415.4199999999</v>
      </c>
      <c r="G9670" s="128">
        <v>3901471.8</v>
      </c>
      <c r="H9670" s="128">
        <v>3554721.26</v>
      </c>
      <c r="I9670" s="128">
        <v>19687</v>
      </c>
    </row>
    <row r="9671" spans="1:9" ht="13.5">
      <c r="A9671" s="128">
        <v>2017</v>
      </c>
      <c r="B9671" s="128" t="s">
        <v>138</v>
      </c>
      <c r="C9671" s="128" t="s">
        <v>24</v>
      </c>
      <c r="D9671" s="128" t="s">
        <v>77</v>
      </c>
      <c r="E9671" s="128" t="s">
        <v>135</v>
      </c>
      <c r="F9671" s="128">
        <v>15739823.5</v>
      </c>
      <c r="G9671" s="128">
        <v>3988664.91</v>
      </c>
      <c r="H9671" s="128">
        <v>2802607.41</v>
      </c>
      <c r="I9671" s="128">
        <v>39450</v>
      </c>
    </row>
    <row r="9672" spans="1:9" ht="13.5">
      <c r="A9672" s="128">
        <v>2017</v>
      </c>
      <c r="B9672" s="128" t="s">
        <v>138</v>
      </c>
      <c r="C9672" s="128" t="s">
        <v>24</v>
      </c>
      <c r="D9672" s="128" t="s">
        <v>76</v>
      </c>
      <c r="E9672" s="128" t="s">
        <v>136</v>
      </c>
      <c r="F9672" s="128">
        <v>6915587.3200000003</v>
      </c>
      <c r="G9672" s="128">
        <v>5203100.3099999996</v>
      </c>
      <c r="H9672" s="128">
        <v>1712509.06</v>
      </c>
      <c r="I9672" s="128">
        <v>134023</v>
      </c>
    </row>
    <row r="9673" spans="1:9" ht="13.5">
      <c r="A9673" s="128">
        <v>2017</v>
      </c>
      <c r="B9673" s="128" t="s">
        <v>138</v>
      </c>
      <c r="C9673" s="128" t="s">
        <v>24</v>
      </c>
      <c r="D9673" s="128" t="s">
        <v>76</v>
      </c>
      <c r="E9673" s="128" t="s">
        <v>132</v>
      </c>
      <c r="F9673" s="128">
        <v>7514308.79</v>
      </c>
      <c r="G9673" s="128">
        <v>4889412.24</v>
      </c>
      <c r="H9673" s="128">
        <v>2624888.81</v>
      </c>
      <c r="I9673" s="128">
        <v>56509</v>
      </c>
    </row>
    <row r="9674" spans="1:9" ht="13.5">
      <c r="A9674" s="128">
        <v>2017</v>
      </c>
      <c r="B9674" s="128" t="s">
        <v>138</v>
      </c>
      <c r="C9674" s="128" t="s">
        <v>24</v>
      </c>
      <c r="D9674" s="128" t="s">
        <v>76</v>
      </c>
      <c r="E9674" s="128" t="s">
        <v>133</v>
      </c>
      <c r="F9674" s="128">
        <v>41068256.07</v>
      </c>
      <c r="G9674" s="128">
        <v>22792561.190000001</v>
      </c>
      <c r="H9674" s="128">
        <v>18275613</v>
      </c>
      <c r="I9674" s="128">
        <v>290859</v>
      </c>
    </row>
    <row r="9675" spans="1:9" ht="13.5">
      <c r="A9675" s="128">
        <v>2017</v>
      </c>
      <c r="B9675" s="128" t="s">
        <v>138</v>
      </c>
      <c r="C9675" s="128" t="s">
        <v>24</v>
      </c>
      <c r="D9675" s="128" t="s">
        <v>76</v>
      </c>
      <c r="E9675" s="128" t="s">
        <v>134</v>
      </c>
      <c r="F9675" s="128">
        <v>52347542.530000001</v>
      </c>
      <c r="G9675" s="128">
        <v>23189715.59</v>
      </c>
      <c r="H9675" s="128">
        <v>29157806.370000001</v>
      </c>
      <c r="I9675" s="128">
        <v>237980</v>
      </c>
    </row>
    <row r="9676" spans="1:9" ht="13.5">
      <c r="A9676" s="128">
        <v>2017</v>
      </c>
      <c r="B9676" s="128" t="s">
        <v>138</v>
      </c>
      <c r="C9676" s="128" t="s">
        <v>24</v>
      </c>
      <c r="D9676" s="128" t="s">
        <v>76</v>
      </c>
      <c r="E9676" s="128" t="s">
        <v>135</v>
      </c>
      <c r="F9676" s="128">
        <v>2845302.32</v>
      </c>
      <c r="G9676" s="128">
        <v>749538.85</v>
      </c>
      <c r="H9676" s="128">
        <v>2095763.47</v>
      </c>
      <c r="I9676" s="128">
        <v>1991</v>
      </c>
    </row>
    <row r="9677" spans="1:9" ht="13.5">
      <c r="A9677" s="128">
        <v>2017</v>
      </c>
      <c r="B9677" s="128" t="s">
        <v>138</v>
      </c>
      <c r="C9677" s="128" t="s">
        <v>25</v>
      </c>
      <c r="D9677" s="128" t="s">
        <v>79</v>
      </c>
      <c r="E9677" s="128" t="s">
        <v>136</v>
      </c>
      <c r="F9677" s="128">
        <v>457008.67</v>
      </c>
      <c r="G9677" s="128">
        <v>343882.34</v>
      </c>
      <c r="H9677" s="128">
        <v>113114.42</v>
      </c>
      <c r="I9677" s="128">
        <v>3592</v>
      </c>
    </row>
    <row r="9678" spans="1:9" ht="13.5">
      <c r="A9678" s="128">
        <v>2017</v>
      </c>
      <c r="B9678" s="128" t="s">
        <v>138</v>
      </c>
      <c r="C9678" s="128" t="s">
        <v>25</v>
      </c>
      <c r="D9678" s="128" t="s">
        <v>79</v>
      </c>
      <c r="E9678" s="128" t="s">
        <v>132</v>
      </c>
      <c r="F9678" s="128">
        <v>248548.55</v>
      </c>
      <c r="G9678" s="128">
        <v>157176.74</v>
      </c>
      <c r="H9678" s="128">
        <v>80372.7</v>
      </c>
      <c r="I9678" s="128">
        <v>1348</v>
      </c>
    </row>
    <row r="9679" spans="1:9" ht="13.5">
      <c r="A9679" s="128">
        <v>2017</v>
      </c>
      <c r="B9679" s="128" t="s">
        <v>138</v>
      </c>
      <c r="C9679" s="128" t="s">
        <v>25</v>
      </c>
      <c r="D9679" s="128" t="s">
        <v>79</v>
      </c>
      <c r="E9679" s="128" t="s">
        <v>133</v>
      </c>
      <c r="F9679" s="128">
        <v>199538.87</v>
      </c>
      <c r="G9679" s="128">
        <v>110110.67</v>
      </c>
      <c r="H9679" s="128">
        <v>62289.279999999999</v>
      </c>
      <c r="I9679" s="128">
        <v>1100</v>
      </c>
    </row>
    <row r="9680" spans="1:9" ht="13.5">
      <c r="A9680" s="128">
        <v>2017</v>
      </c>
      <c r="B9680" s="128" t="s">
        <v>138</v>
      </c>
      <c r="C9680" s="128" t="s">
        <v>25</v>
      </c>
      <c r="D9680" s="128" t="s">
        <v>79</v>
      </c>
      <c r="E9680" s="128" t="s">
        <v>134</v>
      </c>
      <c r="F9680" s="128">
        <v>396473.43</v>
      </c>
      <c r="G9680" s="128">
        <v>177048.51</v>
      </c>
      <c r="H9680" s="128">
        <v>132300.51999999999</v>
      </c>
      <c r="I9680" s="128">
        <v>1880</v>
      </c>
    </row>
    <row r="9681" spans="1:9" ht="13.5">
      <c r="A9681" s="128">
        <v>2017</v>
      </c>
      <c r="B9681" s="128" t="s">
        <v>138</v>
      </c>
      <c r="C9681" s="128" t="s">
        <v>25</v>
      </c>
      <c r="D9681" s="128" t="s">
        <v>79</v>
      </c>
      <c r="E9681" s="128" t="s">
        <v>135</v>
      </c>
      <c r="F9681" s="128">
        <v>1538764.96</v>
      </c>
      <c r="G9681" s="128">
        <v>352878.29</v>
      </c>
      <c r="H9681" s="128">
        <v>124524.11</v>
      </c>
      <c r="I9681" s="128">
        <v>1343</v>
      </c>
    </row>
    <row r="9682" spans="1:9" ht="13.5">
      <c r="A9682" s="128">
        <v>2017</v>
      </c>
      <c r="B9682" s="128" t="s">
        <v>138</v>
      </c>
      <c r="C9682" s="128" t="s">
        <v>25</v>
      </c>
      <c r="D9682" s="128" t="s">
        <v>77</v>
      </c>
      <c r="E9682" s="128" t="s">
        <v>132</v>
      </c>
      <c r="F9682" s="128">
        <v>194336.58</v>
      </c>
      <c r="G9682" s="128">
        <v>131074.56</v>
      </c>
      <c r="H9682" s="128">
        <v>49634.96</v>
      </c>
      <c r="I9682" s="128">
        <v>1237</v>
      </c>
    </row>
    <row r="9683" spans="1:9" ht="13.5">
      <c r="A9683" s="128">
        <v>2017</v>
      </c>
      <c r="B9683" s="128" t="s">
        <v>138</v>
      </c>
      <c r="C9683" s="128" t="s">
        <v>25</v>
      </c>
      <c r="D9683" s="128" t="s">
        <v>77</v>
      </c>
      <c r="E9683" s="128" t="s">
        <v>133</v>
      </c>
      <c r="F9683" s="128">
        <v>363759.71</v>
      </c>
      <c r="G9683" s="128">
        <v>197253.39</v>
      </c>
      <c r="H9683" s="128">
        <v>149332.63</v>
      </c>
      <c r="I9683" s="128">
        <v>1229</v>
      </c>
    </row>
    <row r="9684" spans="1:9" ht="13.5">
      <c r="A9684" s="128">
        <v>2017</v>
      </c>
      <c r="B9684" s="128" t="s">
        <v>138</v>
      </c>
      <c r="C9684" s="128" t="s">
        <v>25</v>
      </c>
      <c r="D9684" s="128" t="s">
        <v>77</v>
      </c>
      <c r="E9684" s="128" t="s">
        <v>134</v>
      </c>
      <c r="F9684" s="128">
        <v>1215463.6200000001</v>
      </c>
      <c r="G9684" s="128">
        <v>513053.3</v>
      </c>
      <c r="H9684" s="128">
        <v>542953.48</v>
      </c>
      <c r="I9684" s="128">
        <v>2196</v>
      </c>
    </row>
    <row r="9685" spans="1:9" ht="13.5">
      <c r="A9685" s="128">
        <v>2017</v>
      </c>
      <c r="B9685" s="128" t="s">
        <v>138</v>
      </c>
      <c r="C9685" s="128" t="s">
        <v>25</v>
      </c>
      <c r="D9685" s="128" t="s">
        <v>77</v>
      </c>
      <c r="E9685" s="128" t="s">
        <v>135</v>
      </c>
      <c r="F9685" s="128">
        <v>1726423.11</v>
      </c>
      <c r="G9685" s="128">
        <v>523453.92</v>
      </c>
      <c r="H9685" s="128">
        <v>618872.55000000005</v>
      </c>
      <c r="I9685" s="128">
        <v>4967</v>
      </c>
    </row>
    <row r="9686" spans="1:9" ht="13.5">
      <c r="A9686" s="128">
        <v>2017</v>
      </c>
      <c r="B9686" s="128" t="s">
        <v>138</v>
      </c>
      <c r="C9686" s="128" t="s">
        <v>25</v>
      </c>
      <c r="D9686" s="128" t="s">
        <v>76</v>
      </c>
      <c r="E9686" s="128" t="s">
        <v>136</v>
      </c>
      <c r="F9686" s="128">
        <v>2289419.46</v>
      </c>
      <c r="G9686" s="128">
        <v>1718556.96</v>
      </c>
      <c r="H9686" s="128">
        <v>570862.57999999996</v>
      </c>
      <c r="I9686" s="128">
        <v>31319</v>
      </c>
    </row>
    <row r="9687" spans="1:9" ht="13.5">
      <c r="A9687" s="128">
        <v>2017</v>
      </c>
      <c r="B9687" s="128" t="s">
        <v>138</v>
      </c>
      <c r="C9687" s="128" t="s">
        <v>25</v>
      </c>
      <c r="D9687" s="128" t="s">
        <v>76</v>
      </c>
      <c r="E9687" s="128" t="s">
        <v>132</v>
      </c>
      <c r="F9687" s="128">
        <v>2924710.84</v>
      </c>
      <c r="G9687" s="128">
        <v>1853549.83</v>
      </c>
      <c r="H9687" s="128">
        <v>1071157.18</v>
      </c>
      <c r="I9687" s="128">
        <v>23061</v>
      </c>
    </row>
    <row r="9688" spans="1:9" ht="13.5">
      <c r="A9688" s="128">
        <v>2017</v>
      </c>
      <c r="B9688" s="128" t="s">
        <v>138</v>
      </c>
      <c r="C9688" s="128" t="s">
        <v>25</v>
      </c>
      <c r="D9688" s="128" t="s">
        <v>76</v>
      </c>
      <c r="E9688" s="128" t="s">
        <v>133</v>
      </c>
      <c r="F9688" s="128">
        <v>8335933.0899999999</v>
      </c>
      <c r="G9688" s="128">
        <v>4558405.1100000003</v>
      </c>
      <c r="H9688" s="128">
        <v>3777523.45</v>
      </c>
      <c r="I9688" s="128">
        <v>53594</v>
      </c>
    </row>
    <row r="9689" spans="1:9" ht="13.5">
      <c r="A9689" s="128">
        <v>2017</v>
      </c>
      <c r="B9689" s="128" t="s">
        <v>138</v>
      </c>
      <c r="C9689" s="128" t="s">
        <v>25</v>
      </c>
      <c r="D9689" s="128" t="s">
        <v>76</v>
      </c>
      <c r="E9689" s="128" t="s">
        <v>134</v>
      </c>
      <c r="F9689" s="128">
        <v>11479274.779999999</v>
      </c>
      <c r="G9689" s="128">
        <v>5239642.0199999996</v>
      </c>
      <c r="H9689" s="128">
        <v>6239631.71</v>
      </c>
      <c r="I9689" s="128">
        <v>53491</v>
      </c>
    </row>
    <row r="9690" spans="1:9" ht="13.5">
      <c r="A9690" s="128">
        <v>2017</v>
      </c>
      <c r="B9690" s="128" t="s">
        <v>138</v>
      </c>
      <c r="C9690" s="128" t="s">
        <v>25</v>
      </c>
      <c r="D9690" s="128" t="s">
        <v>76</v>
      </c>
      <c r="E9690" s="128" t="s">
        <v>135</v>
      </c>
      <c r="F9690" s="128">
        <v>485006.43</v>
      </c>
      <c r="G9690" s="128">
        <v>132226.6</v>
      </c>
      <c r="H9690" s="128">
        <v>352779.83</v>
      </c>
      <c r="I9690" s="128">
        <v>400</v>
      </c>
    </row>
    <row r="9691" spans="1:9" ht="13.5">
      <c r="A9691" s="128">
        <v>2017</v>
      </c>
      <c r="B9691" s="128" t="s">
        <v>138</v>
      </c>
      <c r="C9691" s="128" t="s">
        <v>26</v>
      </c>
      <c r="D9691" s="128" t="s">
        <v>79</v>
      </c>
      <c r="E9691" s="128" t="s">
        <v>136</v>
      </c>
      <c r="F9691" s="128">
        <v>1153879.54</v>
      </c>
      <c r="G9691" s="128">
        <v>865217.5</v>
      </c>
      <c r="H9691" s="128">
        <v>286818.24</v>
      </c>
      <c r="I9691" s="128">
        <v>10863</v>
      </c>
    </row>
    <row r="9692" spans="1:9" ht="13.5">
      <c r="A9692" s="128">
        <v>2017</v>
      </c>
      <c r="B9692" s="128" t="s">
        <v>138</v>
      </c>
      <c r="C9692" s="128" t="s">
        <v>26</v>
      </c>
      <c r="D9692" s="128" t="s">
        <v>79</v>
      </c>
      <c r="E9692" s="128" t="s">
        <v>132</v>
      </c>
      <c r="F9692" s="128">
        <v>145684.13</v>
      </c>
      <c r="G9692" s="128">
        <v>100336.02</v>
      </c>
      <c r="H9692" s="128">
        <v>36196.15</v>
      </c>
      <c r="I9692" s="128">
        <v>512</v>
      </c>
    </row>
    <row r="9693" spans="1:9" ht="13.5">
      <c r="A9693" s="128">
        <v>2017</v>
      </c>
      <c r="B9693" s="128" t="s">
        <v>138</v>
      </c>
      <c r="C9693" s="128" t="s">
        <v>26</v>
      </c>
      <c r="D9693" s="128" t="s">
        <v>79</v>
      </c>
      <c r="E9693" s="128" t="s">
        <v>133</v>
      </c>
      <c r="F9693" s="128">
        <v>135632.91</v>
      </c>
      <c r="G9693" s="128">
        <v>74580.61</v>
      </c>
      <c r="H9693" s="128">
        <v>31351.45</v>
      </c>
      <c r="I9693" s="128">
        <v>485</v>
      </c>
    </row>
    <row r="9694" spans="1:9" ht="13.5">
      <c r="A9694" s="128">
        <v>2017</v>
      </c>
      <c r="B9694" s="128" t="s">
        <v>138</v>
      </c>
      <c r="C9694" s="128" t="s">
        <v>26</v>
      </c>
      <c r="D9694" s="128" t="s">
        <v>79</v>
      </c>
      <c r="E9694" s="128" t="s">
        <v>134</v>
      </c>
      <c r="F9694" s="128">
        <v>636835.93999999994</v>
      </c>
      <c r="G9694" s="128">
        <v>270928.21999999997</v>
      </c>
      <c r="H9694" s="128">
        <v>120314.06</v>
      </c>
      <c r="I9694" s="128">
        <v>2539</v>
      </c>
    </row>
    <row r="9695" spans="1:9" ht="13.5">
      <c r="A9695" s="128">
        <v>2017</v>
      </c>
      <c r="B9695" s="128" t="s">
        <v>138</v>
      </c>
      <c r="C9695" s="128" t="s">
        <v>26</v>
      </c>
      <c r="D9695" s="128" t="s">
        <v>79</v>
      </c>
      <c r="E9695" s="128" t="s">
        <v>135</v>
      </c>
      <c r="F9695" s="128">
        <v>6776905.79</v>
      </c>
      <c r="G9695" s="128">
        <v>1569750.84</v>
      </c>
      <c r="H9695" s="128">
        <v>530147.19999999995</v>
      </c>
      <c r="I9695" s="128">
        <v>6598</v>
      </c>
    </row>
    <row r="9696" spans="1:9" ht="13.5">
      <c r="A9696" s="128">
        <v>2017</v>
      </c>
      <c r="B9696" s="128" t="s">
        <v>138</v>
      </c>
      <c r="C9696" s="128" t="s">
        <v>26</v>
      </c>
      <c r="D9696" s="128" t="s">
        <v>77</v>
      </c>
      <c r="E9696" s="128" t="s">
        <v>132</v>
      </c>
      <c r="F9696" s="128">
        <v>57254.03</v>
      </c>
      <c r="G9696" s="128">
        <v>30415.8</v>
      </c>
      <c r="H9696" s="128">
        <v>14243.32</v>
      </c>
      <c r="I9696" s="128">
        <v>209</v>
      </c>
    </row>
    <row r="9697" spans="1:9" ht="13.5">
      <c r="A9697" s="128">
        <v>2017</v>
      </c>
      <c r="B9697" s="128" t="s">
        <v>138</v>
      </c>
      <c r="C9697" s="128" t="s">
        <v>26</v>
      </c>
      <c r="D9697" s="128" t="s">
        <v>77</v>
      </c>
      <c r="E9697" s="128" t="s">
        <v>133</v>
      </c>
      <c r="F9697" s="128">
        <v>207694.33</v>
      </c>
      <c r="G9697" s="128">
        <v>112096.48</v>
      </c>
      <c r="H9697" s="128">
        <v>84559.57</v>
      </c>
      <c r="I9697" s="128">
        <v>400</v>
      </c>
    </row>
    <row r="9698" spans="1:9" ht="13.5">
      <c r="A9698" s="128">
        <v>2017</v>
      </c>
      <c r="B9698" s="128" t="s">
        <v>138</v>
      </c>
      <c r="C9698" s="128" t="s">
        <v>26</v>
      </c>
      <c r="D9698" s="128" t="s">
        <v>77</v>
      </c>
      <c r="E9698" s="128" t="s">
        <v>134</v>
      </c>
      <c r="F9698" s="128">
        <v>482135.16</v>
      </c>
      <c r="G9698" s="128">
        <v>208115.79</v>
      </c>
      <c r="H9698" s="128">
        <v>215728.72</v>
      </c>
      <c r="I9698" s="128">
        <v>1292</v>
      </c>
    </row>
    <row r="9699" spans="1:9" ht="13.5">
      <c r="A9699" s="128">
        <v>2017</v>
      </c>
      <c r="B9699" s="128" t="s">
        <v>138</v>
      </c>
      <c r="C9699" s="128" t="s">
        <v>26</v>
      </c>
      <c r="D9699" s="128" t="s">
        <v>77</v>
      </c>
      <c r="E9699" s="128" t="s">
        <v>135</v>
      </c>
      <c r="F9699" s="128">
        <v>2773010.75</v>
      </c>
      <c r="G9699" s="128">
        <v>726297.32</v>
      </c>
      <c r="H9699" s="128">
        <v>804534.84</v>
      </c>
      <c r="I9699" s="128">
        <v>9550</v>
      </c>
    </row>
    <row r="9700" spans="1:9" ht="13.5">
      <c r="A9700" s="128">
        <v>2017</v>
      </c>
      <c r="B9700" s="128" t="s">
        <v>138</v>
      </c>
      <c r="C9700" s="128" t="s">
        <v>26</v>
      </c>
      <c r="D9700" s="128" t="s">
        <v>76</v>
      </c>
      <c r="E9700" s="128" t="s">
        <v>136</v>
      </c>
      <c r="F9700" s="128">
        <v>459311.05</v>
      </c>
      <c r="G9700" s="128">
        <v>345184.28</v>
      </c>
      <c r="H9700" s="128">
        <v>114126.77</v>
      </c>
      <c r="I9700" s="128">
        <v>13188</v>
      </c>
    </row>
    <row r="9701" spans="1:9" ht="13.5">
      <c r="A9701" s="128">
        <v>2017</v>
      </c>
      <c r="B9701" s="128" t="s">
        <v>138</v>
      </c>
      <c r="C9701" s="128" t="s">
        <v>26</v>
      </c>
      <c r="D9701" s="128" t="s">
        <v>76</v>
      </c>
      <c r="E9701" s="128" t="s">
        <v>132</v>
      </c>
      <c r="F9701" s="128">
        <v>1474962.2</v>
      </c>
      <c r="G9701" s="128">
        <v>938168.54</v>
      </c>
      <c r="H9701" s="128">
        <v>536787.65</v>
      </c>
      <c r="I9701" s="128">
        <v>15077</v>
      </c>
    </row>
    <row r="9702" spans="1:9" ht="13.5">
      <c r="A9702" s="128">
        <v>2017</v>
      </c>
      <c r="B9702" s="128" t="s">
        <v>138</v>
      </c>
      <c r="C9702" s="128" t="s">
        <v>26</v>
      </c>
      <c r="D9702" s="128" t="s">
        <v>76</v>
      </c>
      <c r="E9702" s="128" t="s">
        <v>133</v>
      </c>
      <c r="F9702" s="128">
        <v>3591400.71</v>
      </c>
      <c r="G9702" s="128">
        <v>1977780.35</v>
      </c>
      <c r="H9702" s="128">
        <v>1613613.02</v>
      </c>
      <c r="I9702" s="128">
        <v>29442</v>
      </c>
    </row>
    <row r="9703" spans="1:9" ht="13.5">
      <c r="A9703" s="128">
        <v>2017</v>
      </c>
      <c r="B9703" s="128" t="s">
        <v>138</v>
      </c>
      <c r="C9703" s="128" t="s">
        <v>26</v>
      </c>
      <c r="D9703" s="128" t="s">
        <v>76</v>
      </c>
      <c r="E9703" s="128" t="s">
        <v>134</v>
      </c>
      <c r="F9703" s="128">
        <v>2644869.19</v>
      </c>
      <c r="G9703" s="128">
        <v>1204435.51</v>
      </c>
      <c r="H9703" s="128">
        <v>1440426.35</v>
      </c>
      <c r="I9703" s="128">
        <v>15234</v>
      </c>
    </row>
    <row r="9704" spans="1:9" ht="13.5">
      <c r="A9704" s="128">
        <v>2017</v>
      </c>
      <c r="B9704" s="128" t="s">
        <v>138</v>
      </c>
      <c r="C9704" s="128" t="s">
        <v>26</v>
      </c>
      <c r="D9704" s="128" t="s">
        <v>76</v>
      </c>
      <c r="E9704" s="128" t="s">
        <v>135</v>
      </c>
      <c r="F9704" s="128">
        <v>290273.82</v>
      </c>
      <c r="G9704" s="128">
        <v>84593.4</v>
      </c>
      <c r="H9704" s="128">
        <v>205680.42</v>
      </c>
      <c r="I9704" s="128">
        <v>507</v>
      </c>
    </row>
    <row r="9705" spans="1:9" ht="13.5">
      <c r="A9705" s="128">
        <v>2017</v>
      </c>
      <c r="B9705" s="128" t="s">
        <v>138</v>
      </c>
      <c r="C9705" s="128" t="s">
        <v>27</v>
      </c>
      <c r="D9705" s="128" t="s">
        <v>79</v>
      </c>
      <c r="E9705" s="128" t="s">
        <v>136</v>
      </c>
      <c r="F9705" s="128">
        <v>284146.32</v>
      </c>
      <c r="G9705" s="128">
        <v>213002.27</v>
      </c>
      <c r="H9705" s="128">
        <v>70911.55</v>
      </c>
      <c r="I9705" s="128">
        <v>1423</v>
      </c>
    </row>
    <row r="9706" spans="1:9" ht="13.5">
      <c r="A9706" s="128">
        <v>2017</v>
      </c>
      <c r="B9706" s="128" t="s">
        <v>138</v>
      </c>
      <c r="C9706" s="128" t="s">
        <v>27</v>
      </c>
      <c r="D9706" s="128" t="s">
        <v>79</v>
      </c>
      <c r="E9706" s="128" t="s">
        <v>132</v>
      </c>
      <c r="F9706" s="128">
        <v>50006.14</v>
      </c>
      <c r="G9706" s="128">
        <v>31394.55</v>
      </c>
      <c r="H9706" s="128">
        <v>13409.1</v>
      </c>
      <c r="I9706" s="128">
        <v>217</v>
      </c>
    </row>
    <row r="9707" spans="1:9" ht="13.5">
      <c r="A9707" s="128">
        <v>2017</v>
      </c>
      <c r="B9707" s="128" t="s">
        <v>138</v>
      </c>
      <c r="C9707" s="128" t="s">
        <v>27</v>
      </c>
      <c r="D9707" s="128" t="s">
        <v>79</v>
      </c>
      <c r="E9707" s="128" t="s">
        <v>133</v>
      </c>
      <c r="F9707" s="128">
        <v>49434.9</v>
      </c>
      <c r="G9707" s="128">
        <v>26719.53</v>
      </c>
      <c r="H9707" s="128">
        <v>11204.7</v>
      </c>
      <c r="I9707" s="128">
        <v>344</v>
      </c>
    </row>
    <row r="9708" spans="1:9" ht="13.5">
      <c r="A9708" s="128">
        <v>2017</v>
      </c>
      <c r="B9708" s="128" t="s">
        <v>138</v>
      </c>
      <c r="C9708" s="128" t="s">
        <v>27</v>
      </c>
      <c r="D9708" s="128" t="s">
        <v>79</v>
      </c>
      <c r="E9708" s="128" t="s">
        <v>134</v>
      </c>
      <c r="F9708" s="128">
        <v>118192.01</v>
      </c>
      <c r="G9708" s="128">
        <v>51207.41</v>
      </c>
      <c r="H9708" s="128">
        <v>33671.65</v>
      </c>
      <c r="I9708" s="128">
        <v>404</v>
      </c>
    </row>
    <row r="9709" spans="1:9" ht="13.5">
      <c r="A9709" s="128">
        <v>2017</v>
      </c>
      <c r="B9709" s="128" t="s">
        <v>138</v>
      </c>
      <c r="C9709" s="128" t="s">
        <v>27</v>
      </c>
      <c r="D9709" s="128" t="s">
        <v>79</v>
      </c>
      <c r="E9709" s="128" t="s">
        <v>135</v>
      </c>
      <c r="F9709" s="128">
        <v>1112143.48</v>
      </c>
      <c r="G9709" s="128">
        <v>257402.86</v>
      </c>
      <c r="H9709" s="128">
        <v>88043.199999999997</v>
      </c>
      <c r="I9709" s="128">
        <v>886</v>
      </c>
    </row>
    <row r="9710" spans="1:9" ht="13.5">
      <c r="A9710" s="128">
        <v>2017</v>
      </c>
      <c r="B9710" s="128" t="s">
        <v>138</v>
      </c>
      <c r="C9710" s="128" t="s">
        <v>27</v>
      </c>
      <c r="D9710" s="128" t="s">
        <v>77</v>
      </c>
      <c r="E9710" s="128" t="s">
        <v>132</v>
      </c>
      <c r="F9710" s="128">
        <v>43278.559999999998</v>
      </c>
      <c r="G9710" s="128">
        <v>28520.799999999999</v>
      </c>
      <c r="H9710" s="128">
        <v>12799.85</v>
      </c>
      <c r="I9710" s="128">
        <v>139</v>
      </c>
    </row>
    <row r="9711" spans="1:9" ht="13.5">
      <c r="A9711" s="128">
        <v>2017</v>
      </c>
      <c r="B9711" s="128" t="s">
        <v>138</v>
      </c>
      <c r="C9711" s="128" t="s">
        <v>27</v>
      </c>
      <c r="D9711" s="128" t="s">
        <v>77</v>
      </c>
      <c r="E9711" s="128" t="s">
        <v>133</v>
      </c>
      <c r="F9711" s="128">
        <v>80605.95</v>
      </c>
      <c r="G9711" s="128">
        <v>43115.1</v>
      </c>
      <c r="H9711" s="128">
        <v>31952.880000000001</v>
      </c>
      <c r="I9711" s="128">
        <v>276</v>
      </c>
    </row>
    <row r="9712" spans="1:9" ht="13.5">
      <c r="A9712" s="128">
        <v>2017</v>
      </c>
      <c r="B9712" s="128" t="s">
        <v>138</v>
      </c>
      <c r="C9712" s="128" t="s">
        <v>27</v>
      </c>
      <c r="D9712" s="128" t="s">
        <v>77</v>
      </c>
      <c r="E9712" s="128" t="s">
        <v>134</v>
      </c>
      <c r="F9712" s="128">
        <v>197684.68</v>
      </c>
      <c r="G9712" s="128">
        <v>84831.7</v>
      </c>
      <c r="H9712" s="128">
        <v>86320.03</v>
      </c>
      <c r="I9712" s="128">
        <v>477</v>
      </c>
    </row>
    <row r="9713" spans="1:9" ht="13.5">
      <c r="A9713" s="128">
        <v>2017</v>
      </c>
      <c r="B9713" s="128" t="s">
        <v>138</v>
      </c>
      <c r="C9713" s="128" t="s">
        <v>27</v>
      </c>
      <c r="D9713" s="128" t="s">
        <v>77</v>
      </c>
      <c r="E9713" s="128" t="s">
        <v>135</v>
      </c>
      <c r="F9713" s="128">
        <v>432842.86</v>
      </c>
      <c r="G9713" s="128">
        <v>118657.3</v>
      </c>
      <c r="H9713" s="128">
        <v>134134.84</v>
      </c>
      <c r="I9713" s="128">
        <v>1791</v>
      </c>
    </row>
    <row r="9714" spans="1:9" ht="13.5">
      <c r="A9714" s="128">
        <v>2017</v>
      </c>
      <c r="B9714" s="128" t="s">
        <v>138</v>
      </c>
      <c r="C9714" s="128" t="s">
        <v>27</v>
      </c>
      <c r="D9714" s="128" t="s">
        <v>76</v>
      </c>
      <c r="E9714" s="128" t="s">
        <v>136</v>
      </c>
      <c r="F9714" s="128">
        <v>227841.25</v>
      </c>
      <c r="G9714" s="128">
        <v>171166.25</v>
      </c>
      <c r="H9714" s="128">
        <v>56675</v>
      </c>
      <c r="I9714" s="128">
        <v>3384</v>
      </c>
    </row>
    <row r="9715" spans="1:9" ht="13.5">
      <c r="A9715" s="128">
        <v>2017</v>
      </c>
      <c r="B9715" s="128" t="s">
        <v>138</v>
      </c>
      <c r="C9715" s="128" t="s">
        <v>27</v>
      </c>
      <c r="D9715" s="128" t="s">
        <v>76</v>
      </c>
      <c r="E9715" s="128" t="s">
        <v>132</v>
      </c>
      <c r="F9715" s="128">
        <v>488744.35</v>
      </c>
      <c r="G9715" s="128">
        <v>311645.09999999998</v>
      </c>
      <c r="H9715" s="128">
        <v>177096.05</v>
      </c>
      <c r="I9715" s="128">
        <v>3841</v>
      </c>
    </row>
    <row r="9716" spans="1:9" ht="13.5">
      <c r="A9716" s="128">
        <v>2017</v>
      </c>
      <c r="B9716" s="128" t="s">
        <v>138</v>
      </c>
      <c r="C9716" s="128" t="s">
        <v>27</v>
      </c>
      <c r="D9716" s="128" t="s">
        <v>76</v>
      </c>
      <c r="E9716" s="128" t="s">
        <v>133</v>
      </c>
      <c r="F9716" s="128">
        <v>1216189.42</v>
      </c>
      <c r="G9716" s="128">
        <v>663763.16</v>
      </c>
      <c r="H9716" s="128">
        <v>552421.89</v>
      </c>
      <c r="I9716" s="128">
        <v>6189</v>
      </c>
    </row>
    <row r="9717" spans="1:9" ht="13.5">
      <c r="A9717" s="128">
        <v>2017</v>
      </c>
      <c r="B9717" s="128" t="s">
        <v>138</v>
      </c>
      <c r="C9717" s="128" t="s">
        <v>27</v>
      </c>
      <c r="D9717" s="128" t="s">
        <v>76</v>
      </c>
      <c r="E9717" s="128" t="s">
        <v>134</v>
      </c>
      <c r="F9717" s="128">
        <v>1969246.21</v>
      </c>
      <c r="G9717" s="128">
        <v>901086.9</v>
      </c>
      <c r="H9717" s="128">
        <v>1068154.6299999999</v>
      </c>
      <c r="I9717" s="128">
        <v>9431</v>
      </c>
    </row>
    <row r="9718" spans="1:9" ht="13.5">
      <c r="A9718" s="128">
        <v>2017</v>
      </c>
      <c r="B9718" s="128" t="s">
        <v>138</v>
      </c>
      <c r="C9718" s="128" t="s">
        <v>27</v>
      </c>
      <c r="D9718" s="128" t="s">
        <v>76</v>
      </c>
      <c r="E9718" s="128" t="s">
        <v>135</v>
      </c>
      <c r="F9718" s="128">
        <v>52400.4</v>
      </c>
      <c r="G9718" s="128">
        <v>14862.8</v>
      </c>
      <c r="H9718" s="128">
        <v>37537.599999999999</v>
      </c>
      <c r="I9718" s="128">
        <v>45</v>
      </c>
    </row>
    <row r="9719" spans="1:9" ht="13.5">
      <c r="A9719" s="128">
        <v>2017</v>
      </c>
      <c r="B9719" s="128" t="s">
        <v>139</v>
      </c>
      <c r="C9719" s="128" t="s">
        <v>20</v>
      </c>
      <c r="D9719" s="128" t="s">
        <v>79</v>
      </c>
      <c r="E9719" s="128" t="s">
        <v>136</v>
      </c>
      <c r="F9719" s="128">
        <v>36899507.299999997</v>
      </c>
      <c r="G9719" s="128">
        <v>27697418.050000001</v>
      </c>
      <c r="H9719" s="128">
        <v>9185015.4700000007</v>
      </c>
      <c r="I9719" s="128">
        <v>509984</v>
      </c>
    </row>
    <row r="9720" spans="1:9" ht="13.5">
      <c r="A9720" s="128">
        <v>2017</v>
      </c>
      <c r="B9720" s="128" t="s">
        <v>139</v>
      </c>
      <c r="C9720" s="128" t="s">
        <v>20</v>
      </c>
      <c r="D9720" s="128" t="s">
        <v>79</v>
      </c>
      <c r="E9720" s="128" t="s">
        <v>132</v>
      </c>
      <c r="F9720" s="128">
        <v>3653461.36</v>
      </c>
      <c r="G9720" s="128">
        <v>2402699.63</v>
      </c>
      <c r="H9720" s="128">
        <v>1035968</v>
      </c>
      <c r="I9720" s="128">
        <v>22370</v>
      </c>
    </row>
    <row r="9721" spans="1:9" ht="13.5">
      <c r="A9721" s="128">
        <v>2017</v>
      </c>
      <c r="B9721" s="128" t="s">
        <v>139</v>
      </c>
      <c r="C9721" s="128" t="s">
        <v>20</v>
      </c>
      <c r="D9721" s="128" t="s">
        <v>79</v>
      </c>
      <c r="E9721" s="128" t="s">
        <v>133</v>
      </c>
      <c r="F9721" s="128">
        <v>4292835.71</v>
      </c>
      <c r="G9721" s="128">
        <v>2331991.73</v>
      </c>
      <c r="H9721" s="128">
        <v>1420406.52</v>
      </c>
      <c r="I9721" s="128">
        <v>32285</v>
      </c>
    </row>
    <row r="9722" spans="1:9" ht="13.5">
      <c r="A9722" s="128">
        <v>2017</v>
      </c>
      <c r="B9722" s="128" t="s">
        <v>139</v>
      </c>
      <c r="C9722" s="128" t="s">
        <v>20</v>
      </c>
      <c r="D9722" s="128" t="s">
        <v>79</v>
      </c>
      <c r="E9722" s="128" t="s">
        <v>134</v>
      </c>
      <c r="F9722" s="128">
        <v>10889795.710000001</v>
      </c>
      <c r="G9722" s="128">
        <v>4739822.5</v>
      </c>
      <c r="H9722" s="128">
        <v>3040432.33</v>
      </c>
      <c r="I9722" s="128">
        <v>51153</v>
      </c>
    </row>
    <row r="9723" spans="1:9" ht="13.5">
      <c r="A9723" s="128">
        <v>2017</v>
      </c>
      <c r="B9723" s="128" t="s">
        <v>139</v>
      </c>
      <c r="C9723" s="128" t="s">
        <v>20</v>
      </c>
      <c r="D9723" s="128" t="s">
        <v>79</v>
      </c>
      <c r="E9723" s="128" t="s">
        <v>135</v>
      </c>
      <c r="F9723" s="128">
        <v>84348263.590000004</v>
      </c>
      <c r="G9723" s="128">
        <v>19181406.350000001</v>
      </c>
      <c r="H9723" s="128">
        <v>6683237.4500000002</v>
      </c>
      <c r="I9723" s="128">
        <v>94436</v>
      </c>
    </row>
    <row r="9724" spans="1:9" ht="13.5">
      <c r="A9724" s="128">
        <v>2017</v>
      </c>
      <c r="B9724" s="128" t="s">
        <v>139</v>
      </c>
      <c r="C9724" s="128" t="s">
        <v>20</v>
      </c>
      <c r="D9724" s="128" t="s">
        <v>77</v>
      </c>
      <c r="E9724" s="128" t="s">
        <v>132</v>
      </c>
      <c r="F9724" s="128">
        <v>2441024.2400000002</v>
      </c>
      <c r="G9724" s="128">
        <v>1577667.57</v>
      </c>
      <c r="H9724" s="128">
        <v>786477.44</v>
      </c>
      <c r="I9724" s="128">
        <v>9439</v>
      </c>
    </row>
    <row r="9725" spans="1:9" ht="13.5">
      <c r="A9725" s="128">
        <v>2017</v>
      </c>
      <c r="B9725" s="128" t="s">
        <v>139</v>
      </c>
      <c r="C9725" s="128" t="s">
        <v>20</v>
      </c>
      <c r="D9725" s="128" t="s">
        <v>77</v>
      </c>
      <c r="E9725" s="128" t="s">
        <v>133</v>
      </c>
      <c r="F9725" s="128">
        <v>4000395.15</v>
      </c>
      <c r="G9725" s="128">
        <v>2161225.7400000002</v>
      </c>
      <c r="H9725" s="128">
        <v>1614016.51</v>
      </c>
      <c r="I9725" s="128">
        <v>13188</v>
      </c>
    </row>
    <row r="9726" spans="1:9" ht="13.5">
      <c r="A9726" s="128">
        <v>2017</v>
      </c>
      <c r="B9726" s="128" t="s">
        <v>139</v>
      </c>
      <c r="C9726" s="128" t="s">
        <v>20</v>
      </c>
      <c r="D9726" s="128" t="s">
        <v>77</v>
      </c>
      <c r="E9726" s="128" t="s">
        <v>134</v>
      </c>
      <c r="F9726" s="128">
        <v>12359033.18</v>
      </c>
      <c r="G9726" s="128">
        <v>5347090.51</v>
      </c>
      <c r="H9726" s="128">
        <v>5478944.0300000003</v>
      </c>
      <c r="I9726" s="128">
        <v>28492</v>
      </c>
    </row>
    <row r="9727" spans="1:9" ht="13.5">
      <c r="A9727" s="128">
        <v>2017</v>
      </c>
      <c r="B9727" s="128" t="s">
        <v>139</v>
      </c>
      <c r="C9727" s="128" t="s">
        <v>20</v>
      </c>
      <c r="D9727" s="128" t="s">
        <v>77</v>
      </c>
      <c r="E9727" s="128" t="s">
        <v>135</v>
      </c>
      <c r="F9727" s="128">
        <v>31123631.98</v>
      </c>
      <c r="G9727" s="128">
        <v>8284803.25</v>
      </c>
      <c r="H9727" s="128">
        <v>9762884.8800000008</v>
      </c>
      <c r="I9727" s="128">
        <v>113426</v>
      </c>
    </row>
    <row r="9728" spans="1:9" ht="13.5">
      <c r="A9728" s="128">
        <v>2017</v>
      </c>
      <c r="B9728" s="128" t="s">
        <v>139</v>
      </c>
      <c r="C9728" s="128" t="s">
        <v>20</v>
      </c>
      <c r="D9728" s="128" t="s">
        <v>76</v>
      </c>
      <c r="E9728" s="128" t="s">
        <v>136</v>
      </c>
      <c r="F9728" s="128">
        <v>19976966.93</v>
      </c>
      <c r="G9728" s="128">
        <v>15002061.869999999</v>
      </c>
      <c r="H9728" s="128">
        <v>4974899.66</v>
      </c>
      <c r="I9728" s="128">
        <v>579076</v>
      </c>
    </row>
    <row r="9729" spans="1:9" ht="13.5">
      <c r="A9729" s="128">
        <v>2017</v>
      </c>
      <c r="B9729" s="128" t="s">
        <v>139</v>
      </c>
      <c r="C9729" s="128" t="s">
        <v>20</v>
      </c>
      <c r="D9729" s="128" t="s">
        <v>76</v>
      </c>
      <c r="E9729" s="128" t="s">
        <v>132</v>
      </c>
      <c r="F9729" s="128">
        <v>47213893.299999997</v>
      </c>
      <c r="G9729" s="128">
        <v>29929892.640000001</v>
      </c>
      <c r="H9729" s="128">
        <v>17283944.489999998</v>
      </c>
      <c r="I9729" s="128">
        <v>502415</v>
      </c>
    </row>
    <row r="9730" spans="1:9" ht="13.5">
      <c r="A9730" s="128">
        <v>2017</v>
      </c>
      <c r="B9730" s="128" t="s">
        <v>139</v>
      </c>
      <c r="C9730" s="128" t="s">
        <v>20</v>
      </c>
      <c r="D9730" s="128" t="s">
        <v>76</v>
      </c>
      <c r="E9730" s="128" t="s">
        <v>133</v>
      </c>
      <c r="F9730" s="128">
        <v>84148802.510000005</v>
      </c>
      <c r="G9730" s="128">
        <v>46087641.759999998</v>
      </c>
      <c r="H9730" s="128">
        <v>38061108.920000002</v>
      </c>
      <c r="I9730" s="128">
        <v>519119</v>
      </c>
    </row>
    <row r="9731" spans="1:9" ht="13.5">
      <c r="A9731" s="128">
        <v>2017</v>
      </c>
      <c r="B9731" s="128" t="s">
        <v>139</v>
      </c>
      <c r="C9731" s="128" t="s">
        <v>20</v>
      </c>
      <c r="D9731" s="128" t="s">
        <v>76</v>
      </c>
      <c r="E9731" s="128" t="s">
        <v>134</v>
      </c>
      <c r="F9731" s="128">
        <v>95048723.700000003</v>
      </c>
      <c r="G9731" s="128">
        <v>43453794.579999998</v>
      </c>
      <c r="H9731" s="128">
        <v>51594747.810000002</v>
      </c>
      <c r="I9731" s="128">
        <v>504527</v>
      </c>
    </row>
    <row r="9732" spans="1:9" ht="13.5">
      <c r="A9732" s="128">
        <v>2017</v>
      </c>
      <c r="B9732" s="128" t="s">
        <v>139</v>
      </c>
      <c r="C9732" s="128" t="s">
        <v>20</v>
      </c>
      <c r="D9732" s="128" t="s">
        <v>76</v>
      </c>
      <c r="E9732" s="128" t="s">
        <v>135</v>
      </c>
      <c r="F9732" s="128">
        <v>7186180.3799999999</v>
      </c>
      <c r="G9732" s="128">
        <v>2074743.62</v>
      </c>
      <c r="H9732" s="128">
        <v>5111435.37</v>
      </c>
      <c r="I9732" s="128">
        <v>15340</v>
      </c>
    </row>
    <row r="9733" spans="1:9" ht="13.5">
      <c r="A9733" s="128">
        <v>2017</v>
      </c>
      <c r="B9733" s="128" t="s">
        <v>139</v>
      </c>
      <c r="C9733" s="128" t="s">
        <v>21</v>
      </c>
      <c r="D9733" s="128" t="s">
        <v>79</v>
      </c>
      <c r="E9733" s="128" t="s">
        <v>136</v>
      </c>
      <c r="F9733" s="128">
        <v>9645893.6300000008</v>
      </c>
      <c r="G9733" s="128">
        <v>7240693.6900000004</v>
      </c>
      <c r="H9733" s="128">
        <v>2396066.46</v>
      </c>
      <c r="I9733" s="128">
        <v>186781</v>
      </c>
    </row>
    <row r="9734" spans="1:9" ht="13.5">
      <c r="A9734" s="128">
        <v>2017</v>
      </c>
      <c r="B9734" s="128" t="s">
        <v>139</v>
      </c>
      <c r="C9734" s="128" t="s">
        <v>21</v>
      </c>
      <c r="D9734" s="128" t="s">
        <v>79</v>
      </c>
      <c r="E9734" s="128" t="s">
        <v>132</v>
      </c>
      <c r="F9734" s="128">
        <v>1990364.84</v>
      </c>
      <c r="G9734" s="128">
        <v>1296046.49</v>
      </c>
      <c r="H9734" s="128">
        <v>536672.19999999995</v>
      </c>
      <c r="I9734" s="128">
        <v>16264</v>
      </c>
    </row>
    <row r="9735" spans="1:9" ht="13.5">
      <c r="A9735" s="128">
        <v>2017</v>
      </c>
      <c r="B9735" s="128" t="s">
        <v>139</v>
      </c>
      <c r="C9735" s="128" t="s">
        <v>21</v>
      </c>
      <c r="D9735" s="128" t="s">
        <v>79</v>
      </c>
      <c r="E9735" s="128" t="s">
        <v>133</v>
      </c>
      <c r="F9735" s="128">
        <v>3996002.95</v>
      </c>
      <c r="G9735" s="128">
        <v>2168637.06</v>
      </c>
      <c r="H9735" s="128">
        <v>1281056.04</v>
      </c>
      <c r="I9735" s="128">
        <v>41684</v>
      </c>
    </row>
    <row r="9736" spans="1:9" ht="13.5">
      <c r="A9736" s="128">
        <v>2017</v>
      </c>
      <c r="B9736" s="128" t="s">
        <v>139</v>
      </c>
      <c r="C9736" s="128" t="s">
        <v>21</v>
      </c>
      <c r="D9736" s="128" t="s">
        <v>79</v>
      </c>
      <c r="E9736" s="128" t="s">
        <v>134</v>
      </c>
      <c r="F9736" s="128">
        <v>8199329.5999999996</v>
      </c>
      <c r="G9736" s="128">
        <v>3483722.47</v>
      </c>
      <c r="H9736" s="128">
        <v>2929833.59</v>
      </c>
      <c r="I9736" s="128">
        <v>45870</v>
      </c>
    </row>
    <row r="9737" spans="1:9" ht="13.5">
      <c r="A9737" s="128">
        <v>2017</v>
      </c>
      <c r="B9737" s="128" t="s">
        <v>139</v>
      </c>
      <c r="C9737" s="128" t="s">
        <v>21</v>
      </c>
      <c r="D9737" s="128" t="s">
        <v>79</v>
      </c>
      <c r="E9737" s="128" t="s">
        <v>135</v>
      </c>
      <c r="F9737" s="128">
        <v>25354899.07</v>
      </c>
      <c r="G9737" s="128">
        <v>6120907.5999999996</v>
      </c>
      <c r="H9737" s="128">
        <v>2380976.14</v>
      </c>
      <c r="I9737" s="128">
        <v>41700</v>
      </c>
    </row>
    <row r="9738" spans="1:9" ht="13.5">
      <c r="A9738" s="128">
        <v>2017</v>
      </c>
      <c r="B9738" s="128" t="s">
        <v>139</v>
      </c>
      <c r="C9738" s="128" t="s">
        <v>21</v>
      </c>
      <c r="D9738" s="128" t="s">
        <v>77</v>
      </c>
      <c r="E9738" s="128" t="s">
        <v>132</v>
      </c>
      <c r="F9738" s="128">
        <v>3515475.32</v>
      </c>
      <c r="G9738" s="128">
        <v>2347239.16</v>
      </c>
      <c r="H9738" s="128">
        <v>989277.5</v>
      </c>
      <c r="I9738" s="128">
        <v>24625</v>
      </c>
    </row>
    <row r="9739" spans="1:9" ht="13.5">
      <c r="A9739" s="128">
        <v>2017</v>
      </c>
      <c r="B9739" s="128" t="s">
        <v>139</v>
      </c>
      <c r="C9739" s="128" t="s">
        <v>21</v>
      </c>
      <c r="D9739" s="128" t="s">
        <v>77</v>
      </c>
      <c r="E9739" s="128" t="s">
        <v>133</v>
      </c>
      <c r="F9739" s="128">
        <v>5725548.3700000001</v>
      </c>
      <c r="G9739" s="128">
        <v>3105318.31</v>
      </c>
      <c r="H9739" s="128">
        <v>2159251.79</v>
      </c>
      <c r="I9739" s="128">
        <v>23069</v>
      </c>
    </row>
    <row r="9740" spans="1:9" ht="13.5">
      <c r="A9740" s="128">
        <v>2017</v>
      </c>
      <c r="B9740" s="128" t="s">
        <v>139</v>
      </c>
      <c r="C9740" s="128" t="s">
        <v>21</v>
      </c>
      <c r="D9740" s="128" t="s">
        <v>77</v>
      </c>
      <c r="E9740" s="128" t="s">
        <v>134</v>
      </c>
      <c r="F9740" s="128">
        <v>12251218.84</v>
      </c>
      <c r="G9740" s="128">
        <v>5306495.62</v>
      </c>
      <c r="H9740" s="128">
        <v>5015139.1900000004</v>
      </c>
      <c r="I9740" s="128">
        <v>32027</v>
      </c>
    </row>
    <row r="9741" spans="1:9" ht="13.5">
      <c r="A9741" s="128">
        <v>2017</v>
      </c>
      <c r="B9741" s="128" t="s">
        <v>139</v>
      </c>
      <c r="C9741" s="128" t="s">
        <v>21</v>
      </c>
      <c r="D9741" s="128" t="s">
        <v>77</v>
      </c>
      <c r="E9741" s="128" t="s">
        <v>135</v>
      </c>
      <c r="F9741" s="128">
        <v>23440229.280000001</v>
      </c>
      <c r="G9741" s="128">
        <v>6483235.8499999996</v>
      </c>
      <c r="H9741" s="128">
        <v>7229400.6900000004</v>
      </c>
      <c r="I9741" s="128">
        <v>93837</v>
      </c>
    </row>
    <row r="9742" spans="1:9" ht="13.5">
      <c r="A9742" s="128">
        <v>2017</v>
      </c>
      <c r="B9742" s="128" t="s">
        <v>139</v>
      </c>
      <c r="C9742" s="128" t="s">
        <v>21</v>
      </c>
      <c r="D9742" s="128" t="s">
        <v>76</v>
      </c>
      <c r="E9742" s="128" t="s">
        <v>136</v>
      </c>
      <c r="F9742" s="128">
        <v>18080034.960000001</v>
      </c>
      <c r="G9742" s="128">
        <v>13586168.16</v>
      </c>
      <c r="H9742" s="128">
        <v>4493843.2300000004</v>
      </c>
      <c r="I9742" s="128">
        <v>285146</v>
      </c>
    </row>
    <row r="9743" spans="1:9" ht="13.5">
      <c r="A9743" s="128">
        <v>2017</v>
      </c>
      <c r="B9743" s="128" t="s">
        <v>139</v>
      </c>
      <c r="C9743" s="128" t="s">
        <v>21</v>
      </c>
      <c r="D9743" s="128" t="s">
        <v>76</v>
      </c>
      <c r="E9743" s="128" t="s">
        <v>132</v>
      </c>
      <c r="F9743" s="128">
        <v>40400609.649999999</v>
      </c>
      <c r="G9743" s="128">
        <v>25725080.539999999</v>
      </c>
      <c r="H9743" s="128">
        <v>14675422.09</v>
      </c>
      <c r="I9743" s="128">
        <v>358471</v>
      </c>
    </row>
    <row r="9744" spans="1:9" ht="13.5">
      <c r="A9744" s="128">
        <v>2017</v>
      </c>
      <c r="B9744" s="128" t="s">
        <v>139</v>
      </c>
      <c r="C9744" s="128" t="s">
        <v>21</v>
      </c>
      <c r="D9744" s="128" t="s">
        <v>76</v>
      </c>
      <c r="E9744" s="128" t="s">
        <v>133</v>
      </c>
      <c r="F9744" s="128">
        <v>100217213.76000001</v>
      </c>
      <c r="G9744" s="128">
        <v>54939957.509999998</v>
      </c>
      <c r="H9744" s="128">
        <v>45276990.68</v>
      </c>
      <c r="I9744" s="128">
        <v>691529</v>
      </c>
    </row>
    <row r="9745" spans="1:9" ht="13.5">
      <c r="A9745" s="128">
        <v>2017</v>
      </c>
      <c r="B9745" s="128" t="s">
        <v>139</v>
      </c>
      <c r="C9745" s="128" t="s">
        <v>21</v>
      </c>
      <c r="D9745" s="128" t="s">
        <v>76</v>
      </c>
      <c r="E9745" s="128" t="s">
        <v>134</v>
      </c>
      <c r="F9745" s="128">
        <v>97226928.780000001</v>
      </c>
      <c r="G9745" s="128">
        <v>43487479.310000002</v>
      </c>
      <c r="H9745" s="128">
        <v>53738764.939999998</v>
      </c>
      <c r="I9745" s="128">
        <v>512274</v>
      </c>
    </row>
    <row r="9746" spans="1:9" ht="13.5">
      <c r="A9746" s="128">
        <v>2017</v>
      </c>
      <c r="B9746" s="128" t="s">
        <v>139</v>
      </c>
      <c r="C9746" s="128" t="s">
        <v>21</v>
      </c>
      <c r="D9746" s="128" t="s">
        <v>76</v>
      </c>
      <c r="E9746" s="128" t="s">
        <v>135</v>
      </c>
      <c r="F9746" s="128">
        <v>3389353.48</v>
      </c>
      <c r="G9746" s="128">
        <v>882102.48</v>
      </c>
      <c r="H9746" s="128">
        <v>2507248.69</v>
      </c>
      <c r="I9746" s="128">
        <v>3908</v>
      </c>
    </row>
    <row r="9747" spans="1:9" ht="13.5">
      <c r="A9747" s="128">
        <v>2017</v>
      </c>
      <c r="B9747" s="128" t="s">
        <v>139</v>
      </c>
      <c r="C9747" s="128" t="s">
        <v>22</v>
      </c>
      <c r="D9747" s="128" t="s">
        <v>79</v>
      </c>
      <c r="E9747" s="128" t="s">
        <v>136</v>
      </c>
      <c r="F9747" s="128">
        <v>7241050.7699999996</v>
      </c>
      <c r="G9747" s="128">
        <v>5436898.3300000001</v>
      </c>
      <c r="H9747" s="128">
        <v>1787087.71</v>
      </c>
      <c r="I9747" s="128">
        <v>96287</v>
      </c>
    </row>
    <row r="9748" spans="1:9" ht="13.5">
      <c r="A9748" s="128">
        <v>2017</v>
      </c>
      <c r="B9748" s="128" t="s">
        <v>139</v>
      </c>
      <c r="C9748" s="128" t="s">
        <v>22</v>
      </c>
      <c r="D9748" s="128" t="s">
        <v>79</v>
      </c>
      <c r="E9748" s="128" t="s">
        <v>132</v>
      </c>
      <c r="F9748" s="128">
        <v>3908678.99</v>
      </c>
      <c r="G9748" s="128">
        <v>2513196.58</v>
      </c>
      <c r="H9748" s="128">
        <v>1221687.1499999999</v>
      </c>
      <c r="I9748" s="128">
        <v>38818</v>
      </c>
    </row>
    <row r="9749" spans="1:9" ht="13.5">
      <c r="A9749" s="128">
        <v>2017</v>
      </c>
      <c r="B9749" s="128" t="s">
        <v>139</v>
      </c>
      <c r="C9749" s="128" t="s">
        <v>22</v>
      </c>
      <c r="D9749" s="128" t="s">
        <v>79</v>
      </c>
      <c r="E9749" s="128" t="s">
        <v>133</v>
      </c>
      <c r="F9749" s="128">
        <v>4052573.55</v>
      </c>
      <c r="G9749" s="128">
        <v>2162021.2400000002</v>
      </c>
      <c r="H9749" s="128">
        <v>1294410.42</v>
      </c>
      <c r="I9749" s="128">
        <v>38929</v>
      </c>
    </row>
    <row r="9750" spans="1:9" ht="13.5">
      <c r="A9750" s="128">
        <v>2017</v>
      </c>
      <c r="B9750" s="128" t="s">
        <v>139</v>
      </c>
      <c r="C9750" s="128" t="s">
        <v>22</v>
      </c>
      <c r="D9750" s="128" t="s">
        <v>79</v>
      </c>
      <c r="E9750" s="128" t="s">
        <v>134</v>
      </c>
      <c r="F9750" s="128">
        <v>9156095.5600000005</v>
      </c>
      <c r="G9750" s="128">
        <v>4013063.17</v>
      </c>
      <c r="H9750" s="128">
        <v>3334565.24</v>
      </c>
      <c r="I9750" s="128">
        <v>47566</v>
      </c>
    </row>
    <row r="9751" spans="1:9" ht="13.5">
      <c r="A9751" s="128">
        <v>2017</v>
      </c>
      <c r="B9751" s="128" t="s">
        <v>139</v>
      </c>
      <c r="C9751" s="128" t="s">
        <v>22</v>
      </c>
      <c r="D9751" s="128" t="s">
        <v>79</v>
      </c>
      <c r="E9751" s="128" t="s">
        <v>135</v>
      </c>
      <c r="F9751" s="128">
        <v>40892901.710000001</v>
      </c>
      <c r="G9751" s="128">
        <v>9796079</v>
      </c>
      <c r="H9751" s="128">
        <v>3597825.81</v>
      </c>
      <c r="I9751" s="128">
        <v>46907</v>
      </c>
    </row>
    <row r="9752" spans="1:9" ht="13.5">
      <c r="A9752" s="128">
        <v>2017</v>
      </c>
      <c r="B9752" s="128" t="s">
        <v>139</v>
      </c>
      <c r="C9752" s="128" t="s">
        <v>22</v>
      </c>
      <c r="D9752" s="128" t="s">
        <v>77</v>
      </c>
      <c r="E9752" s="128" t="s">
        <v>132</v>
      </c>
      <c r="F9752" s="128">
        <v>1415666.78</v>
      </c>
      <c r="G9752" s="128">
        <v>932204.2</v>
      </c>
      <c r="H9752" s="128">
        <v>404552.67</v>
      </c>
      <c r="I9752" s="128">
        <v>6561</v>
      </c>
    </row>
    <row r="9753" spans="1:9" ht="13.5">
      <c r="A9753" s="128">
        <v>2017</v>
      </c>
      <c r="B9753" s="128" t="s">
        <v>139</v>
      </c>
      <c r="C9753" s="128" t="s">
        <v>22</v>
      </c>
      <c r="D9753" s="128" t="s">
        <v>77</v>
      </c>
      <c r="E9753" s="128" t="s">
        <v>133</v>
      </c>
      <c r="F9753" s="128">
        <v>2664713.7200000002</v>
      </c>
      <c r="G9753" s="128">
        <v>1443419.09</v>
      </c>
      <c r="H9753" s="128">
        <v>988651.18</v>
      </c>
      <c r="I9753" s="128">
        <v>10869</v>
      </c>
    </row>
    <row r="9754" spans="1:9" ht="13.5">
      <c r="A9754" s="128">
        <v>2017</v>
      </c>
      <c r="B9754" s="128" t="s">
        <v>139</v>
      </c>
      <c r="C9754" s="128" t="s">
        <v>22</v>
      </c>
      <c r="D9754" s="128" t="s">
        <v>77</v>
      </c>
      <c r="E9754" s="128" t="s">
        <v>134</v>
      </c>
      <c r="F9754" s="128">
        <v>9839082.5500000007</v>
      </c>
      <c r="G9754" s="128">
        <v>4185101.2</v>
      </c>
      <c r="H9754" s="128">
        <v>4152820.65</v>
      </c>
      <c r="I9754" s="128">
        <v>16594</v>
      </c>
    </row>
    <row r="9755" spans="1:9" ht="13.5">
      <c r="A9755" s="128">
        <v>2017</v>
      </c>
      <c r="B9755" s="128" t="s">
        <v>139</v>
      </c>
      <c r="C9755" s="128" t="s">
        <v>22</v>
      </c>
      <c r="D9755" s="128" t="s">
        <v>77</v>
      </c>
      <c r="E9755" s="128" t="s">
        <v>135</v>
      </c>
      <c r="F9755" s="128">
        <v>21662917.710000001</v>
      </c>
      <c r="G9755" s="128">
        <v>5940198.2400000002</v>
      </c>
      <c r="H9755" s="128">
        <v>6718995.2000000002</v>
      </c>
      <c r="I9755" s="128">
        <v>55697</v>
      </c>
    </row>
    <row r="9756" spans="1:9" ht="13.5">
      <c r="A9756" s="128">
        <v>2017</v>
      </c>
      <c r="B9756" s="128" t="s">
        <v>139</v>
      </c>
      <c r="C9756" s="128" t="s">
        <v>22</v>
      </c>
      <c r="D9756" s="128" t="s">
        <v>76</v>
      </c>
      <c r="E9756" s="128" t="s">
        <v>136</v>
      </c>
      <c r="F9756" s="128">
        <v>14993755.85</v>
      </c>
      <c r="G9756" s="128">
        <v>11253444.890000001</v>
      </c>
      <c r="H9756" s="128">
        <v>3740308.39</v>
      </c>
      <c r="I9756" s="128">
        <v>252164</v>
      </c>
    </row>
    <row r="9757" spans="1:9" ht="13.5">
      <c r="A9757" s="128">
        <v>2017</v>
      </c>
      <c r="B9757" s="128" t="s">
        <v>139</v>
      </c>
      <c r="C9757" s="128" t="s">
        <v>22</v>
      </c>
      <c r="D9757" s="128" t="s">
        <v>76</v>
      </c>
      <c r="E9757" s="128" t="s">
        <v>132</v>
      </c>
      <c r="F9757" s="128">
        <v>38253188.649999999</v>
      </c>
      <c r="G9757" s="128">
        <v>24333137.850000001</v>
      </c>
      <c r="H9757" s="128">
        <v>13919771.01</v>
      </c>
      <c r="I9757" s="128">
        <v>356507</v>
      </c>
    </row>
    <row r="9758" spans="1:9" ht="13.5">
      <c r="A9758" s="128">
        <v>2017</v>
      </c>
      <c r="B9758" s="128" t="s">
        <v>139</v>
      </c>
      <c r="C9758" s="128" t="s">
        <v>22</v>
      </c>
      <c r="D9758" s="128" t="s">
        <v>76</v>
      </c>
      <c r="E9758" s="128" t="s">
        <v>133</v>
      </c>
      <c r="F9758" s="128">
        <v>68594577.579999998</v>
      </c>
      <c r="G9758" s="128">
        <v>37840008.960000001</v>
      </c>
      <c r="H9758" s="128">
        <v>30753876.359999999</v>
      </c>
      <c r="I9758" s="128">
        <v>552209</v>
      </c>
    </row>
    <row r="9759" spans="1:9" ht="13.5">
      <c r="A9759" s="128">
        <v>2017</v>
      </c>
      <c r="B9759" s="128" t="s">
        <v>139</v>
      </c>
      <c r="C9759" s="128" t="s">
        <v>22</v>
      </c>
      <c r="D9759" s="128" t="s">
        <v>76</v>
      </c>
      <c r="E9759" s="128" t="s">
        <v>134</v>
      </c>
      <c r="F9759" s="128">
        <v>64660323.700000003</v>
      </c>
      <c r="G9759" s="128">
        <v>29533118.75</v>
      </c>
      <c r="H9759" s="128">
        <v>35127039.289999999</v>
      </c>
      <c r="I9759" s="128">
        <v>414566</v>
      </c>
    </row>
    <row r="9760" spans="1:9" ht="13.5">
      <c r="A9760" s="128">
        <v>2017</v>
      </c>
      <c r="B9760" s="128" t="s">
        <v>139</v>
      </c>
      <c r="C9760" s="128" t="s">
        <v>22</v>
      </c>
      <c r="D9760" s="128" t="s">
        <v>76</v>
      </c>
      <c r="E9760" s="128" t="s">
        <v>135</v>
      </c>
      <c r="F9760" s="128">
        <v>5079791.99</v>
      </c>
      <c r="G9760" s="128">
        <v>1438684.62</v>
      </c>
      <c r="H9760" s="128">
        <v>3641104.01</v>
      </c>
      <c r="I9760" s="128">
        <v>6969</v>
      </c>
    </row>
    <row r="9761" spans="1:9" ht="13.5">
      <c r="A9761" s="128">
        <v>2017</v>
      </c>
      <c r="B9761" s="128" t="s">
        <v>139</v>
      </c>
      <c r="C9761" s="128" t="s">
        <v>23</v>
      </c>
      <c r="D9761" s="128" t="s">
        <v>79</v>
      </c>
      <c r="E9761" s="128" t="s">
        <v>136</v>
      </c>
      <c r="F9761" s="128">
        <v>2351341.71</v>
      </c>
      <c r="G9761" s="128">
        <v>1764556.43</v>
      </c>
      <c r="H9761" s="128">
        <v>586531.98</v>
      </c>
      <c r="I9761" s="128">
        <v>19462</v>
      </c>
    </row>
    <row r="9762" spans="1:9" ht="13.5">
      <c r="A9762" s="128">
        <v>2017</v>
      </c>
      <c r="B9762" s="128" t="s">
        <v>139</v>
      </c>
      <c r="C9762" s="128" t="s">
        <v>23</v>
      </c>
      <c r="D9762" s="128" t="s">
        <v>79</v>
      </c>
      <c r="E9762" s="128" t="s">
        <v>132</v>
      </c>
      <c r="F9762" s="128">
        <v>832328.39</v>
      </c>
      <c r="G9762" s="128">
        <v>526510.85</v>
      </c>
      <c r="H9762" s="128">
        <v>265386.53000000003</v>
      </c>
      <c r="I9762" s="128">
        <v>3782</v>
      </c>
    </row>
    <row r="9763" spans="1:9" ht="13.5">
      <c r="A9763" s="128">
        <v>2017</v>
      </c>
      <c r="B9763" s="128" t="s">
        <v>139</v>
      </c>
      <c r="C9763" s="128" t="s">
        <v>23</v>
      </c>
      <c r="D9763" s="128" t="s">
        <v>79</v>
      </c>
      <c r="E9763" s="128" t="s">
        <v>133</v>
      </c>
      <c r="F9763" s="128">
        <v>1595789.33</v>
      </c>
      <c r="G9763" s="128">
        <v>889290.96</v>
      </c>
      <c r="H9763" s="128">
        <v>655774.81999999995</v>
      </c>
      <c r="I9763" s="128">
        <v>20140</v>
      </c>
    </row>
    <row r="9764" spans="1:9" ht="13.5">
      <c r="A9764" s="128">
        <v>2017</v>
      </c>
      <c r="B9764" s="128" t="s">
        <v>139</v>
      </c>
      <c r="C9764" s="128" t="s">
        <v>23</v>
      </c>
      <c r="D9764" s="128" t="s">
        <v>79</v>
      </c>
      <c r="E9764" s="128" t="s">
        <v>134</v>
      </c>
      <c r="F9764" s="128">
        <v>2789092.71</v>
      </c>
      <c r="G9764" s="128">
        <v>1199389.54</v>
      </c>
      <c r="H9764" s="128">
        <v>1431679.73</v>
      </c>
      <c r="I9764" s="128">
        <v>9869</v>
      </c>
    </row>
    <row r="9765" spans="1:9" ht="13.5">
      <c r="A9765" s="128">
        <v>2017</v>
      </c>
      <c r="B9765" s="128" t="s">
        <v>139</v>
      </c>
      <c r="C9765" s="128" t="s">
        <v>23</v>
      </c>
      <c r="D9765" s="128" t="s">
        <v>79</v>
      </c>
      <c r="E9765" s="128" t="s">
        <v>135</v>
      </c>
      <c r="F9765" s="128">
        <v>2217640.9700000002</v>
      </c>
      <c r="G9765" s="128">
        <v>523517.69</v>
      </c>
      <c r="H9765" s="128">
        <v>294312.45</v>
      </c>
      <c r="I9765" s="128">
        <v>3334</v>
      </c>
    </row>
    <row r="9766" spans="1:9" ht="13.5">
      <c r="A9766" s="128">
        <v>2017</v>
      </c>
      <c r="B9766" s="128" t="s">
        <v>139</v>
      </c>
      <c r="C9766" s="128" t="s">
        <v>23</v>
      </c>
      <c r="D9766" s="128" t="s">
        <v>77</v>
      </c>
      <c r="E9766" s="128" t="s">
        <v>132</v>
      </c>
      <c r="F9766" s="128">
        <v>352799.61</v>
      </c>
      <c r="G9766" s="128">
        <v>230727.98</v>
      </c>
      <c r="H9766" s="128">
        <v>112972.75</v>
      </c>
      <c r="I9766" s="128">
        <v>1415</v>
      </c>
    </row>
    <row r="9767" spans="1:9" ht="13.5">
      <c r="A9767" s="128">
        <v>2017</v>
      </c>
      <c r="B9767" s="128" t="s">
        <v>139</v>
      </c>
      <c r="C9767" s="128" t="s">
        <v>23</v>
      </c>
      <c r="D9767" s="128" t="s">
        <v>77</v>
      </c>
      <c r="E9767" s="128" t="s">
        <v>133</v>
      </c>
      <c r="F9767" s="128">
        <v>848777.32</v>
      </c>
      <c r="G9767" s="128">
        <v>457982.17</v>
      </c>
      <c r="H9767" s="128">
        <v>343244.11</v>
      </c>
      <c r="I9767" s="128">
        <v>3047</v>
      </c>
    </row>
    <row r="9768" spans="1:9" ht="13.5">
      <c r="A9768" s="128">
        <v>2017</v>
      </c>
      <c r="B9768" s="128" t="s">
        <v>139</v>
      </c>
      <c r="C9768" s="128" t="s">
        <v>23</v>
      </c>
      <c r="D9768" s="128" t="s">
        <v>77</v>
      </c>
      <c r="E9768" s="128" t="s">
        <v>134</v>
      </c>
      <c r="F9768" s="128">
        <v>3964539.07</v>
      </c>
      <c r="G9768" s="128">
        <v>1682868.09</v>
      </c>
      <c r="H9768" s="128">
        <v>1763065.35</v>
      </c>
      <c r="I9768" s="128">
        <v>8203</v>
      </c>
    </row>
    <row r="9769" spans="1:9" ht="13.5">
      <c r="A9769" s="128">
        <v>2017</v>
      </c>
      <c r="B9769" s="128" t="s">
        <v>139</v>
      </c>
      <c r="C9769" s="128" t="s">
        <v>23</v>
      </c>
      <c r="D9769" s="128" t="s">
        <v>77</v>
      </c>
      <c r="E9769" s="128" t="s">
        <v>135</v>
      </c>
      <c r="F9769" s="128">
        <v>5923069.7400000002</v>
      </c>
      <c r="G9769" s="128">
        <v>1793397.92</v>
      </c>
      <c r="H9769" s="128">
        <v>2282987.5</v>
      </c>
      <c r="I9769" s="128">
        <v>23804</v>
      </c>
    </row>
    <row r="9770" spans="1:9" ht="13.5">
      <c r="A9770" s="128">
        <v>2017</v>
      </c>
      <c r="B9770" s="128" t="s">
        <v>139</v>
      </c>
      <c r="C9770" s="128" t="s">
        <v>23</v>
      </c>
      <c r="D9770" s="128" t="s">
        <v>76</v>
      </c>
      <c r="E9770" s="128" t="s">
        <v>136</v>
      </c>
      <c r="F9770" s="128">
        <v>5276115.79</v>
      </c>
      <c r="G9770" s="128">
        <v>3960472.01</v>
      </c>
      <c r="H9770" s="128">
        <v>1315643.81</v>
      </c>
      <c r="I9770" s="128">
        <v>96796</v>
      </c>
    </row>
    <row r="9771" spans="1:9" ht="13.5">
      <c r="A9771" s="128">
        <v>2017</v>
      </c>
      <c r="B9771" s="128" t="s">
        <v>139</v>
      </c>
      <c r="C9771" s="128" t="s">
        <v>23</v>
      </c>
      <c r="D9771" s="128" t="s">
        <v>76</v>
      </c>
      <c r="E9771" s="128" t="s">
        <v>132</v>
      </c>
      <c r="F9771" s="128">
        <v>7078232.1100000003</v>
      </c>
      <c r="G9771" s="128">
        <v>4449037.5599999996</v>
      </c>
      <c r="H9771" s="128">
        <v>2629187.7599999998</v>
      </c>
      <c r="I9771" s="128">
        <v>69056</v>
      </c>
    </row>
    <row r="9772" spans="1:9" ht="13.5">
      <c r="A9772" s="128">
        <v>2017</v>
      </c>
      <c r="B9772" s="128" t="s">
        <v>139</v>
      </c>
      <c r="C9772" s="128" t="s">
        <v>23</v>
      </c>
      <c r="D9772" s="128" t="s">
        <v>76</v>
      </c>
      <c r="E9772" s="128" t="s">
        <v>133</v>
      </c>
      <c r="F9772" s="128">
        <v>24219125.460000001</v>
      </c>
      <c r="G9772" s="128">
        <v>13179638.57</v>
      </c>
      <c r="H9772" s="128">
        <v>11039412.369999999</v>
      </c>
      <c r="I9772" s="128">
        <v>196587</v>
      </c>
    </row>
    <row r="9773" spans="1:9" ht="13.5">
      <c r="A9773" s="128">
        <v>2017</v>
      </c>
      <c r="B9773" s="128" t="s">
        <v>139</v>
      </c>
      <c r="C9773" s="128" t="s">
        <v>23</v>
      </c>
      <c r="D9773" s="128" t="s">
        <v>76</v>
      </c>
      <c r="E9773" s="128" t="s">
        <v>134</v>
      </c>
      <c r="F9773" s="128">
        <v>40442383.359999999</v>
      </c>
      <c r="G9773" s="128">
        <v>17943882.41</v>
      </c>
      <c r="H9773" s="128">
        <v>22498494.920000002</v>
      </c>
      <c r="I9773" s="128">
        <v>150410</v>
      </c>
    </row>
    <row r="9774" spans="1:9" ht="13.5">
      <c r="A9774" s="128">
        <v>2017</v>
      </c>
      <c r="B9774" s="128" t="s">
        <v>139</v>
      </c>
      <c r="C9774" s="128" t="s">
        <v>23</v>
      </c>
      <c r="D9774" s="128" t="s">
        <v>76</v>
      </c>
      <c r="E9774" s="128" t="s">
        <v>135</v>
      </c>
      <c r="F9774" s="128">
        <v>1525417.89</v>
      </c>
      <c r="G9774" s="128">
        <v>397847.64</v>
      </c>
      <c r="H9774" s="128">
        <v>1127570.25</v>
      </c>
      <c r="I9774" s="128">
        <v>1371</v>
      </c>
    </row>
    <row r="9775" spans="1:9" ht="13.5">
      <c r="A9775" s="128">
        <v>2017</v>
      </c>
      <c r="B9775" s="128" t="s">
        <v>139</v>
      </c>
      <c r="C9775" s="128" t="s">
        <v>24</v>
      </c>
      <c r="D9775" s="128" t="s">
        <v>79</v>
      </c>
      <c r="E9775" s="128" t="s">
        <v>136</v>
      </c>
      <c r="F9775" s="128">
        <v>2754410.54</v>
      </c>
      <c r="G9775" s="128">
        <v>2067769.61</v>
      </c>
      <c r="H9775" s="128">
        <v>684279.23</v>
      </c>
      <c r="I9775" s="128">
        <v>45652</v>
      </c>
    </row>
    <row r="9776" spans="1:9" ht="13.5">
      <c r="A9776" s="128">
        <v>2017</v>
      </c>
      <c r="B9776" s="128" t="s">
        <v>139</v>
      </c>
      <c r="C9776" s="128" t="s">
        <v>24</v>
      </c>
      <c r="D9776" s="128" t="s">
        <v>79</v>
      </c>
      <c r="E9776" s="128" t="s">
        <v>132</v>
      </c>
      <c r="F9776" s="128">
        <v>576767.32999999996</v>
      </c>
      <c r="G9776" s="128">
        <v>382154.83</v>
      </c>
      <c r="H9776" s="128">
        <v>158175.73000000001</v>
      </c>
      <c r="I9776" s="128">
        <v>4031</v>
      </c>
    </row>
    <row r="9777" spans="1:9" ht="13.5">
      <c r="A9777" s="128">
        <v>2017</v>
      </c>
      <c r="B9777" s="128" t="s">
        <v>139</v>
      </c>
      <c r="C9777" s="128" t="s">
        <v>24</v>
      </c>
      <c r="D9777" s="128" t="s">
        <v>79</v>
      </c>
      <c r="E9777" s="128" t="s">
        <v>133</v>
      </c>
      <c r="F9777" s="128">
        <v>1363949.9</v>
      </c>
      <c r="G9777" s="128">
        <v>724954.89</v>
      </c>
      <c r="H9777" s="128">
        <v>335707.02</v>
      </c>
      <c r="I9777" s="128">
        <v>13305</v>
      </c>
    </row>
    <row r="9778" spans="1:9" ht="13.5">
      <c r="A9778" s="128">
        <v>2017</v>
      </c>
      <c r="B9778" s="128" t="s">
        <v>139</v>
      </c>
      <c r="C9778" s="128" t="s">
        <v>24</v>
      </c>
      <c r="D9778" s="128" t="s">
        <v>79</v>
      </c>
      <c r="E9778" s="128" t="s">
        <v>134</v>
      </c>
      <c r="F9778" s="128">
        <v>2625518.39</v>
      </c>
      <c r="G9778" s="128">
        <v>1155390.79</v>
      </c>
      <c r="H9778" s="128">
        <v>656265.53</v>
      </c>
      <c r="I9778" s="128">
        <v>8724</v>
      </c>
    </row>
    <row r="9779" spans="1:9" ht="13.5">
      <c r="A9779" s="128">
        <v>2017</v>
      </c>
      <c r="B9779" s="128" t="s">
        <v>139</v>
      </c>
      <c r="C9779" s="128" t="s">
        <v>24</v>
      </c>
      <c r="D9779" s="128" t="s">
        <v>79</v>
      </c>
      <c r="E9779" s="128" t="s">
        <v>135</v>
      </c>
      <c r="F9779" s="128">
        <v>7645171.0300000003</v>
      </c>
      <c r="G9779" s="128">
        <v>1746784.6</v>
      </c>
      <c r="H9779" s="128">
        <v>670813.18999999994</v>
      </c>
      <c r="I9779" s="128">
        <v>11599</v>
      </c>
    </row>
    <row r="9780" spans="1:9" ht="13.5">
      <c r="A9780" s="128">
        <v>2017</v>
      </c>
      <c r="B9780" s="128" t="s">
        <v>139</v>
      </c>
      <c r="C9780" s="128" t="s">
        <v>24</v>
      </c>
      <c r="D9780" s="128" t="s">
        <v>77</v>
      </c>
      <c r="E9780" s="128" t="s">
        <v>132</v>
      </c>
      <c r="F9780" s="128">
        <v>2337783.66</v>
      </c>
      <c r="G9780" s="128">
        <v>1597227.16</v>
      </c>
      <c r="H9780" s="128">
        <v>706972.87</v>
      </c>
      <c r="I9780" s="128">
        <v>13169</v>
      </c>
    </row>
    <row r="9781" spans="1:9" ht="13.5">
      <c r="A9781" s="128">
        <v>2017</v>
      </c>
      <c r="B9781" s="128" t="s">
        <v>139</v>
      </c>
      <c r="C9781" s="128" t="s">
        <v>24</v>
      </c>
      <c r="D9781" s="128" t="s">
        <v>77</v>
      </c>
      <c r="E9781" s="128" t="s">
        <v>133</v>
      </c>
      <c r="F9781" s="128">
        <v>4296377.4800000004</v>
      </c>
      <c r="G9781" s="128">
        <v>2318866</v>
      </c>
      <c r="H9781" s="128">
        <v>1769844.45</v>
      </c>
      <c r="I9781" s="128">
        <v>29350</v>
      </c>
    </row>
    <row r="9782" spans="1:9" ht="13.5">
      <c r="A9782" s="128">
        <v>2017</v>
      </c>
      <c r="B9782" s="128" t="s">
        <v>139</v>
      </c>
      <c r="C9782" s="128" t="s">
        <v>24</v>
      </c>
      <c r="D9782" s="128" t="s">
        <v>77</v>
      </c>
      <c r="E9782" s="128" t="s">
        <v>134</v>
      </c>
      <c r="F9782" s="128">
        <v>7587081.3700000001</v>
      </c>
      <c r="G9782" s="128">
        <v>3366228.59</v>
      </c>
      <c r="H9782" s="128">
        <v>3017174.81</v>
      </c>
      <c r="I9782" s="128">
        <v>16692</v>
      </c>
    </row>
    <row r="9783" spans="1:9" ht="13.5">
      <c r="A9783" s="128">
        <v>2017</v>
      </c>
      <c r="B9783" s="128" t="s">
        <v>139</v>
      </c>
      <c r="C9783" s="128" t="s">
        <v>24</v>
      </c>
      <c r="D9783" s="128" t="s">
        <v>77</v>
      </c>
      <c r="E9783" s="128" t="s">
        <v>135</v>
      </c>
      <c r="F9783" s="128">
        <v>15137920.970000001</v>
      </c>
      <c r="G9783" s="128">
        <v>3911440.24</v>
      </c>
      <c r="H9783" s="128">
        <v>2714787.92</v>
      </c>
      <c r="I9783" s="128">
        <v>41306</v>
      </c>
    </row>
    <row r="9784" spans="1:9" ht="13.5">
      <c r="A9784" s="128">
        <v>2017</v>
      </c>
      <c r="B9784" s="128" t="s">
        <v>139</v>
      </c>
      <c r="C9784" s="128" t="s">
        <v>24</v>
      </c>
      <c r="D9784" s="128" t="s">
        <v>76</v>
      </c>
      <c r="E9784" s="128" t="s">
        <v>136</v>
      </c>
      <c r="F9784" s="128">
        <v>5863185.1500000004</v>
      </c>
      <c r="G9784" s="128">
        <v>4408167.41</v>
      </c>
      <c r="H9784" s="128">
        <v>1455104.93</v>
      </c>
      <c r="I9784" s="128">
        <v>74948</v>
      </c>
    </row>
    <row r="9785" spans="1:9" ht="13.5">
      <c r="A9785" s="128">
        <v>2017</v>
      </c>
      <c r="B9785" s="128" t="s">
        <v>139</v>
      </c>
      <c r="C9785" s="128" t="s">
        <v>24</v>
      </c>
      <c r="D9785" s="128" t="s">
        <v>76</v>
      </c>
      <c r="E9785" s="128" t="s">
        <v>132</v>
      </c>
      <c r="F9785" s="128">
        <v>7050910.4400000004</v>
      </c>
      <c r="G9785" s="128">
        <v>4590391.04</v>
      </c>
      <c r="H9785" s="128">
        <v>2460511.56</v>
      </c>
      <c r="I9785" s="128">
        <v>48068</v>
      </c>
    </row>
    <row r="9786" spans="1:9" ht="13.5">
      <c r="A9786" s="128">
        <v>2017</v>
      </c>
      <c r="B9786" s="128" t="s">
        <v>139</v>
      </c>
      <c r="C9786" s="128" t="s">
        <v>24</v>
      </c>
      <c r="D9786" s="128" t="s">
        <v>76</v>
      </c>
      <c r="E9786" s="128" t="s">
        <v>133</v>
      </c>
      <c r="F9786" s="128">
        <v>37386746.700000003</v>
      </c>
      <c r="G9786" s="128">
        <v>20753349.140000001</v>
      </c>
      <c r="H9786" s="128">
        <v>16633375.35</v>
      </c>
      <c r="I9786" s="128">
        <v>269009</v>
      </c>
    </row>
    <row r="9787" spans="1:9" ht="13.5">
      <c r="A9787" s="128">
        <v>2017</v>
      </c>
      <c r="B9787" s="128" t="s">
        <v>139</v>
      </c>
      <c r="C9787" s="128" t="s">
        <v>24</v>
      </c>
      <c r="D9787" s="128" t="s">
        <v>76</v>
      </c>
      <c r="E9787" s="128" t="s">
        <v>134</v>
      </c>
      <c r="F9787" s="128">
        <v>49361455.530000001</v>
      </c>
      <c r="G9787" s="128">
        <v>21817378.57</v>
      </c>
      <c r="H9787" s="128">
        <v>27543893.449999999</v>
      </c>
      <c r="I9787" s="128">
        <v>227750</v>
      </c>
    </row>
    <row r="9788" spans="1:9" ht="13.5">
      <c r="A9788" s="128">
        <v>2017</v>
      </c>
      <c r="B9788" s="128" t="s">
        <v>139</v>
      </c>
      <c r="C9788" s="128" t="s">
        <v>24</v>
      </c>
      <c r="D9788" s="128" t="s">
        <v>76</v>
      </c>
      <c r="E9788" s="128" t="s">
        <v>135</v>
      </c>
      <c r="F9788" s="128">
        <v>2899482.09</v>
      </c>
      <c r="G9788" s="128">
        <v>758060.15</v>
      </c>
      <c r="H9788" s="128">
        <v>2141422.09</v>
      </c>
      <c r="I9788" s="128">
        <v>1926</v>
      </c>
    </row>
    <row r="9789" spans="1:9" ht="13.5">
      <c r="A9789" s="128">
        <v>2017</v>
      </c>
      <c r="B9789" s="128" t="s">
        <v>139</v>
      </c>
      <c r="C9789" s="128" t="s">
        <v>25</v>
      </c>
      <c r="D9789" s="128" t="s">
        <v>79</v>
      </c>
      <c r="E9789" s="128" t="s">
        <v>136</v>
      </c>
      <c r="F9789" s="128">
        <v>510228.83</v>
      </c>
      <c r="G9789" s="128">
        <v>383263.87</v>
      </c>
      <c r="H9789" s="128">
        <v>126956.76</v>
      </c>
      <c r="I9789" s="128">
        <v>5623</v>
      </c>
    </row>
    <row r="9790" spans="1:9" ht="13.5">
      <c r="A9790" s="128">
        <v>2017</v>
      </c>
      <c r="B9790" s="128" t="s">
        <v>139</v>
      </c>
      <c r="C9790" s="128" t="s">
        <v>25</v>
      </c>
      <c r="D9790" s="128" t="s">
        <v>79</v>
      </c>
      <c r="E9790" s="128" t="s">
        <v>132</v>
      </c>
      <c r="F9790" s="128">
        <v>364133.79</v>
      </c>
      <c r="G9790" s="128">
        <v>229061.13</v>
      </c>
      <c r="H9790" s="128">
        <v>125320.45</v>
      </c>
      <c r="I9790" s="128">
        <v>2189</v>
      </c>
    </row>
    <row r="9791" spans="1:9" ht="13.5">
      <c r="A9791" s="128">
        <v>2017</v>
      </c>
      <c r="B9791" s="128" t="s">
        <v>139</v>
      </c>
      <c r="C9791" s="128" t="s">
        <v>25</v>
      </c>
      <c r="D9791" s="128" t="s">
        <v>79</v>
      </c>
      <c r="E9791" s="128" t="s">
        <v>133</v>
      </c>
      <c r="F9791" s="128">
        <v>327571.14</v>
      </c>
      <c r="G9791" s="128">
        <v>182510.16</v>
      </c>
      <c r="H9791" s="128">
        <v>117128.88</v>
      </c>
      <c r="I9791" s="128">
        <v>2992</v>
      </c>
    </row>
    <row r="9792" spans="1:9" ht="13.5">
      <c r="A9792" s="128">
        <v>2017</v>
      </c>
      <c r="B9792" s="128" t="s">
        <v>139</v>
      </c>
      <c r="C9792" s="128" t="s">
        <v>25</v>
      </c>
      <c r="D9792" s="128" t="s">
        <v>79</v>
      </c>
      <c r="E9792" s="128" t="s">
        <v>134</v>
      </c>
      <c r="F9792" s="128">
        <v>614780.64</v>
      </c>
      <c r="G9792" s="128">
        <v>275175.02</v>
      </c>
      <c r="H9792" s="128">
        <v>225901.65</v>
      </c>
      <c r="I9792" s="128">
        <v>2932</v>
      </c>
    </row>
    <row r="9793" spans="1:9" ht="13.5">
      <c r="A9793" s="128">
        <v>2017</v>
      </c>
      <c r="B9793" s="128" t="s">
        <v>139</v>
      </c>
      <c r="C9793" s="128" t="s">
        <v>25</v>
      </c>
      <c r="D9793" s="128" t="s">
        <v>79</v>
      </c>
      <c r="E9793" s="128" t="s">
        <v>135</v>
      </c>
      <c r="F9793" s="128">
        <v>1244884.1000000001</v>
      </c>
      <c r="G9793" s="128">
        <v>300592.52</v>
      </c>
      <c r="H9793" s="128">
        <v>115567.15</v>
      </c>
      <c r="I9793" s="128">
        <v>1571</v>
      </c>
    </row>
    <row r="9794" spans="1:9" ht="13.5">
      <c r="A9794" s="128">
        <v>2017</v>
      </c>
      <c r="B9794" s="128" t="s">
        <v>139</v>
      </c>
      <c r="C9794" s="128" t="s">
        <v>25</v>
      </c>
      <c r="D9794" s="128" t="s">
        <v>77</v>
      </c>
      <c r="E9794" s="128" t="s">
        <v>132</v>
      </c>
      <c r="F9794" s="128">
        <v>165157.54999999999</v>
      </c>
      <c r="G9794" s="128">
        <v>111400.65</v>
      </c>
      <c r="H9794" s="128">
        <v>44025.33</v>
      </c>
      <c r="I9794" s="128">
        <v>1094</v>
      </c>
    </row>
    <row r="9795" spans="1:9" ht="13.5">
      <c r="A9795" s="128">
        <v>2017</v>
      </c>
      <c r="B9795" s="128" t="s">
        <v>139</v>
      </c>
      <c r="C9795" s="128" t="s">
        <v>25</v>
      </c>
      <c r="D9795" s="128" t="s">
        <v>77</v>
      </c>
      <c r="E9795" s="128" t="s">
        <v>133</v>
      </c>
      <c r="F9795" s="128">
        <v>326460.65999999997</v>
      </c>
      <c r="G9795" s="128">
        <v>176587.9</v>
      </c>
      <c r="H9795" s="128">
        <v>134904.62</v>
      </c>
      <c r="I9795" s="128">
        <v>1087</v>
      </c>
    </row>
    <row r="9796" spans="1:9" ht="13.5">
      <c r="A9796" s="128">
        <v>2017</v>
      </c>
      <c r="B9796" s="128" t="s">
        <v>139</v>
      </c>
      <c r="C9796" s="128" t="s">
        <v>25</v>
      </c>
      <c r="D9796" s="128" t="s">
        <v>77</v>
      </c>
      <c r="E9796" s="128" t="s">
        <v>134</v>
      </c>
      <c r="F9796" s="128">
        <v>1242751.67</v>
      </c>
      <c r="G9796" s="128">
        <v>530477.39</v>
      </c>
      <c r="H9796" s="128">
        <v>534589.39</v>
      </c>
      <c r="I9796" s="128">
        <v>2332</v>
      </c>
    </row>
    <row r="9797" spans="1:9" ht="13.5">
      <c r="A9797" s="128">
        <v>2017</v>
      </c>
      <c r="B9797" s="128" t="s">
        <v>139</v>
      </c>
      <c r="C9797" s="128" t="s">
        <v>25</v>
      </c>
      <c r="D9797" s="128" t="s">
        <v>77</v>
      </c>
      <c r="E9797" s="128" t="s">
        <v>135</v>
      </c>
      <c r="F9797" s="128">
        <v>1521238.92</v>
      </c>
      <c r="G9797" s="128">
        <v>462008.7</v>
      </c>
      <c r="H9797" s="128">
        <v>540892.39</v>
      </c>
      <c r="I9797" s="128">
        <v>4064</v>
      </c>
    </row>
    <row r="9798" spans="1:9" ht="13.5">
      <c r="A9798" s="128">
        <v>2017</v>
      </c>
      <c r="B9798" s="128" t="s">
        <v>139</v>
      </c>
      <c r="C9798" s="128" t="s">
        <v>25</v>
      </c>
      <c r="D9798" s="128" t="s">
        <v>76</v>
      </c>
      <c r="E9798" s="128" t="s">
        <v>136</v>
      </c>
      <c r="F9798" s="128">
        <v>1817973.96</v>
      </c>
      <c r="G9798" s="128">
        <v>1364219.09</v>
      </c>
      <c r="H9798" s="128">
        <v>453754.5</v>
      </c>
      <c r="I9798" s="128">
        <v>31589</v>
      </c>
    </row>
    <row r="9799" spans="1:9" ht="13.5">
      <c r="A9799" s="128">
        <v>2017</v>
      </c>
      <c r="B9799" s="128" t="s">
        <v>139</v>
      </c>
      <c r="C9799" s="128" t="s">
        <v>25</v>
      </c>
      <c r="D9799" s="128" t="s">
        <v>76</v>
      </c>
      <c r="E9799" s="128" t="s">
        <v>132</v>
      </c>
      <c r="F9799" s="128">
        <v>2465851.61</v>
      </c>
      <c r="G9799" s="128">
        <v>1564115.56</v>
      </c>
      <c r="H9799" s="128">
        <v>901722.8</v>
      </c>
      <c r="I9799" s="128">
        <v>18918</v>
      </c>
    </row>
    <row r="9800" spans="1:9" ht="13.5">
      <c r="A9800" s="128">
        <v>2017</v>
      </c>
      <c r="B9800" s="128" t="s">
        <v>139</v>
      </c>
      <c r="C9800" s="128" t="s">
        <v>25</v>
      </c>
      <c r="D9800" s="128" t="s">
        <v>76</v>
      </c>
      <c r="E9800" s="128" t="s">
        <v>133</v>
      </c>
      <c r="F9800" s="128">
        <v>7222430.2300000004</v>
      </c>
      <c r="G9800" s="128">
        <v>3942762.78</v>
      </c>
      <c r="H9800" s="128">
        <v>3279644.1</v>
      </c>
      <c r="I9800" s="128">
        <v>45784</v>
      </c>
    </row>
    <row r="9801" spans="1:9" ht="13.5">
      <c r="A9801" s="128">
        <v>2017</v>
      </c>
      <c r="B9801" s="128" t="s">
        <v>139</v>
      </c>
      <c r="C9801" s="128" t="s">
        <v>25</v>
      </c>
      <c r="D9801" s="128" t="s">
        <v>76</v>
      </c>
      <c r="E9801" s="128" t="s">
        <v>134</v>
      </c>
      <c r="F9801" s="128">
        <v>9932125.5099999998</v>
      </c>
      <c r="G9801" s="128">
        <v>4549429.01</v>
      </c>
      <c r="H9801" s="128">
        <v>5382693.9000000004</v>
      </c>
      <c r="I9801" s="128">
        <v>45523</v>
      </c>
    </row>
    <row r="9802" spans="1:9" ht="13.5">
      <c r="A9802" s="128">
        <v>2017</v>
      </c>
      <c r="B9802" s="128" t="s">
        <v>139</v>
      </c>
      <c r="C9802" s="128" t="s">
        <v>25</v>
      </c>
      <c r="D9802" s="128" t="s">
        <v>76</v>
      </c>
      <c r="E9802" s="128" t="s">
        <v>135</v>
      </c>
      <c r="F9802" s="128">
        <v>444219.85</v>
      </c>
      <c r="G9802" s="128">
        <v>120636.45</v>
      </c>
      <c r="H9802" s="128">
        <v>323583.40000000002</v>
      </c>
      <c r="I9802" s="128">
        <v>354</v>
      </c>
    </row>
    <row r="9803" spans="1:9" ht="13.5">
      <c r="A9803" s="128">
        <v>2017</v>
      </c>
      <c r="B9803" s="128" t="s">
        <v>139</v>
      </c>
      <c r="C9803" s="128" t="s">
        <v>26</v>
      </c>
      <c r="D9803" s="128" t="s">
        <v>79</v>
      </c>
      <c r="E9803" s="128" t="s">
        <v>136</v>
      </c>
      <c r="F9803" s="128">
        <v>960681.46</v>
      </c>
      <c r="G9803" s="128">
        <v>716506.69</v>
      </c>
      <c r="H9803" s="128">
        <v>237310.47</v>
      </c>
      <c r="I9803" s="128">
        <v>9331</v>
      </c>
    </row>
    <row r="9804" spans="1:9" ht="13.5">
      <c r="A9804" s="128">
        <v>2017</v>
      </c>
      <c r="B9804" s="128" t="s">
        <v>139</v>
      </c>
      <c r="C9804" s="128" t="s">
        <v>26</v>
      </c>
      <c r="D9804" s="128" t="s">
        <v>79</v>
      </c>
      <c r="E9804" s="128" t="s">
        <v>132</v>
      </c>
      <c r="F9804" s="128">
        <v>134712.17000000001</v>
      </c>
      <c r="G9804" s="128">
        <v>92141.67</v>
      </c>
      <c r="H9804" s="128">
        <v>35004.300000000003</v>
      </c>
      <c r="I9804" s="128">
        <v>592</v>
      </c>
    </row>
    <row r="9805" spans="1:9" ht="13.5">
      <c r="A9805" s="128">
        <v>2017</v>
      </c>
      <c r="B9805" s="128" t="s">
        <v>139</v>
      </c>
      <c r="C9805" s="128" t="s">
        <v>26</v>
      </c>
      <c r="D9805" s="128" t="s">
        <v>79</v>
      </c>
      <c r="E9805" s="128" t="s">
        <v>133</v>
      </c>
      <c r="F9805" s="128">
        <v>160611.16</v>
      </c>
      <c r="G9805" s="128">
        <v>87792.81</v>
      </c>
      <c r="H9805" s="128">
        <v>40030.85</v>
      </c>
      <c r="I9805" s="128">
        <v>554</v>
      </c>
    </row>
    <row r="9806" spans="1:9" ht="13.5">
      <c r="A9806" s="128">
        <v>2017</v>
      </c>
      <c r="B9806" s="128" t="s">
        <v>139</v>
      </c>
      <c r="C9806" s="128" t="s">
        <v>26</v>
      </c>
      <c r="D9806" s="128" t="s">
        <v>79</v>
      </c>
      <c r="E9806" s="128" t="s">
        <v>134</v>
      </c>
      <c r="F9806" s="128">
        <v>731570.18</v>
      </c>
      <c r="G9806" s="128">
        <v>312468.65000000002</v>
      </c>
      <c r="H9806" s="128">
        <v>155345.70000000001</v>
      </c>
      <c r="I9806" s="128">
        <v>2763</v>
      </c>
    </row>
    <row r="9807" spans="1:9" ht="13.5">
      <c r="A9807" s="128">
        <v>2017</v>
      </c>
      <c r="B9807" s="128" t="s">
        <v>139</v>
      </c>
      <c r="C9807" s="128" t="s">
        <v>26</v>
      </c>
      <c r="D9807" s="128" t="s">
        <v>79</v>
      </c>
      <c r="E9807" s="128" t="s">
        <v>135</v>
      </c>
      <c r="F9807" s="128">
        <v>6292950.5800000001</v>
      </c>
      <c r="G9807" s="128">
        <v>1457378.16</v>
      </c>
      <c r="H9807" s="128">
        <v>493723.11</v>
      </c>
      <c r="I9807" s="128">
        <v>6395</v>
      </c>
    </row>
    <row r="9808" spans="1:9" ht="13.5">
      <c r="A9808" s="128">
        <v>2017</v>
      </c>
      <c r="B9808" s="128" t="s">
        <v>139</v>
      </c>
      <c r="C9808" s="128" t="s">
        <v>26</v>
      </c>
      <c r="D9808" s="128" t="s">
        <v>77</v>
      </c>
      <c r="E9808" s="128" t="s">
        <v>132</v>
      </c>
      <c r="F9808" s="128">
        <v>60913.06</v>
      </c>
      <c r="G9808" s="128">
        <v>39558.959999999999</v>
      </c>
      <c r="H9808" s="128">
        <v>18332.21</v>
      </c>
      <c r="I9808" s="128">
        <v>232</v>
      </c>
    </row>
    <row r="9809" spans="1:9" ht="13.5">
      <c r="A9809" s="128">
        <v>2017</v>
      </c>
      <c r="B9809" s="128" t="s">
        <v>139</v>
      </c>
      <c r="C9809" s="128" t="s">
        <v>26</v>
      </c>
      <c r="D9809" s="128" t="s">
        <v>77</v>
      </c>
      <c r="E9809" s="128" t="s">
        <v>133</v>
      </c>
      <c r="F9809" s="128">
        <v>181387.57</v>
      </c>
      <c r="G9809" s="128">
        <v>99288.95</v>
      </c>
      <c r="H9809" s="128">
        <v>73715.72</v>
      </c>
      <c r="I9809" s="128">
        <v>315</v>
      </c>
    </row>
    <row r="9810" spans="1:9" ht="13.5">
      <c r="A9810" s="128">
        <v>2017</v>
      </c>
      <c r="B9810" s="128" t="s">
        <v>139</v>
      </c>
      <c r="C9810" s="128" t="s">
        <v>26</v>
      </c>
      <c r="D9810" s="128" t="s">
        <v>77</v>
      </c>
      <c r="E9810" s="128" t="s">
        <v>134</v>
      </c>
      <c r="F9810" s="128">
        <v>429281.28000000003</v>
      </c>
      <c r="G9810" s="128">
        <v>183988.6</v>
      </c>
      <c r="H9810" s="128">
        <v>187698.89</v>
      </c>
      <c r="I9810" s="128">
        <v>1202</v>
      </c>
    </row>
    <row r="9811" spans="1:9" ht="13.5">
      <c r="A9811" s="128">
        <v>2017</v>
      </c>
      <c r="B9811" s="128" t="s">
        <v>139</v>
      </c>
      <c r="C9811" s="128" t="s">
        <v>26</v>
      </c>
      <c r="D9811" s="128" t="s">
        <v>77</v>
      </c>
      <c r="E9811" s="128" t="s">
        <v>135</v>
      </c>
      <c r="F9811" s="128">
        <v>2456096.5299999998</v>
      </c>
      <c r="G9811" s="128">
        <v>638570.68000000005</v>
      </c>
      <c r="H9811" s="128">
        <v>691668.79</v>
      </c>
      <c r="I9811" s="128">
        <v>8574</v>
      </c>
    </row>
    <row r="9812" spans="1:9" ht="13.5">
      <c r="A9812" s="128">
        <v>2017</v>
      </c>
      <c r="B9812" s="128" t="s">
        <v>139</v>
      </c>
      <c r="C9812" s="128" t="s">
        <v>26</v>
      </c>
      <c r="D9812" s="128" t="s">
        <v>76</v>
      </c>
      <c r="E9812" s="128" t="s">
        <v>136</v>
      </c>
      <c r="F9812" s="128">
        <v>432497.67</v>
      </c>
      <c r="G9812" s="128">
        <v>324790.07</v>
      </c>
      <c r="H9812" s="128">
        <v>107707.6</v>
      </c>
      <c r="I9812" s="128">
        <v>13006</v>
      </c>
    </row>
    <row r="9813" spans="1:9" ht="13.5">
      <c r="A9813" s="128">
        <v>2017</v>
      </c>
      <c r="B9813" s="128" t="s">
        <v>139</v>
      </c>
      <c r="C9813" s="128" t="s">
        <v>26</v>
      </c>
      <c r="D9813" s="128" t="s">
        <v>76</v>
      </c>
      <c r="E9813" s="128" t="s">
        <v>132</v>
      </c>
      <c r="F9813" s="128">
        <v>1381014.12</v>
      </c>
      <c r="G9813" s="128">
        <v>878153.42</v>
      </c>
      <c r="H9813" s="128">
        <v>502853.75</v>
      </c>
      <c r="I9813" s="128">
        <v>15226</v>
      </c>
    </row>
    <row r="9814" spans="1:9" ht="13.5">
      <c r="A9814" s="128">
        <v>2017</v>
      </c>
      <c r="B9814" s="128" t="s">
        <v>139</v>
      </c>
      <c r="C9814" s="128" t="s">
        <v>26</v>
      </c>
      <c r="D9814" s="128" t="s">
        <v>76</v>
      </c>
      <c r="E9814" s="128" t="s">
        <v>133</v>
      </c>
      <c r="F9814" s="128">
        <v>3144179.62</v>
      </c>
      <c r="G9814" s="128">
        <v>1726117.42</v>
      </c>
      <c r="H9814" s="128">
        <v>1418024</v>
      </c>
      <c r="I9814" s="128">
        <v>24464</v>
      </c>
    </row>
    <row r="9815" spans="1:9" ht="13.5">
      <c r="A9815" s="128">
        <v>2017</v>
      </c>
      <c r="B9815" s="128" t="s">
        <v>139</v>
      </c>
      <c r="C9815" s="128" t="s">
        <v>26</v>
      </c>
      <c r="D9815" s="128" t="s">
        <v>76</v>
      </c>
      <c r="E9815" s="128" t="s">
        <v>134</v>
      </c>
      <c r="F9815" s="128">
        <v>2287345.2200000002</v>
      </c>
      <c r="G9815" s="128">
        <v>1042849.25</v>
      </c>
      <c r="H9815" s="128">
        <v>1244479.3</v>
      </c>
      <c r="I9815" s="128">
        <v>13280</v>
      </c>
    </row>
    <row r="9816" spans="1:9" ht="13.5">
      <c r="A9816" s="128">
        <v>2017</v>
      </c>
      <c r="B9816" s="128" t="s">
        <v>139</v>
      </c>
      <c r="C9816" s="128" t="s">
        <v>26</v>
      </c>
      <c r="D9816" s="128" t="s">
        <v>76</v>
      </c>
      <c r="E9816" s="128" t="s">
        <v>135</v>
      </c>
      <c r="F9816" s="128">
        <v>271202.53999999998</v>
      </c>
      <c r="G9816" s="128">
        <v>79232.55</v>
      </c>
      <c r="H9816" s="128">
        <v>191969.99</v>
      </c>
      <c r="I9816" s="128">
        <v>479</v>
      </c>
    </row>
    <row r="9817" spans="1:9" ht="13.5">
      <c r="A9817" s="128">
        <v>2017</v>
      </c>
      <c r="B9817" s="128" t="s">
        <v>139</v>
      </c>
      <c r="C9817" s="128" t="s">
        <v>27</v>
      </c>
      <c r="D9817" s="128" t="s">
        <v>79</v>
      </c>
      <c r="E9817" s="128" t="s">
        <v>136</v>
      </c>
      <c r="F9817" s="128">
        <v>378922.08</v>
      </c>
      <c r="G9817" s="128">
        <v>283370.26</v>
      </c>
      <c r="H9817" s="128">
        <v>94191.87</v>
      </c>
      <c r="I9817" s="128">
        <v>2377</v>
      </c>
    </row>
    <row r="9818" spans="1:9" ht="13.5">
      <c r="A9818" s="128">
        <v>2017</v>
      </c>
      <c r="B9818" s="128" t="s">
        <v>139</v>
      </c>
      <c r="C9818" s="128" t="s">
        <v>27</v>
      </c>
      <c r="D9818" s="128" t="s">
        <v>79</v>
      </c>
      <c r="E9818" s="128" t="s">
        <v>132</v>
      </c>
      <c r="F9818" s="128">
        <v>122721.33</v>
      </c>
      <c r="G9818" s="128">
        <v>77422.83</v>
      </c>
      <c r="H9818" s="128">
        <v>41769.08</v>
      </c>
      <c r="I9818" s="128">
        <v>678</v>
      </c>
    </row>
    <row r="9819" spans="1:9" ht="13.5">
      <c r="A9819" s="128">
        <v>2017</v>
      </c>
      <c r="B9819" s="128" t="s">
        <v>139</v>
      </c>
      <c r="C9819" s="128" t="s">
        <v>27</v>
      </c>
      <c r="D9819" s="128" t="s">
        <v>79</v>
      </c>
      <c r="E9819" s="128" t="s">
        <v>133</v>
      </c>
      <c r="F9819" s="128">
        <v>94877.93</v>
      </c>
      <c r="G9819" s="128">
        <v>51580.65</v>
      </c>
      <c r="H9819" s="128">
        <v>26613.7</v>
      </c>
      <c r="I9819" s="128">
        <v>616</v>
      </c>
    </row>
    <row r="9820" spans="1:9" ht="13.5">
      <c r="A9820" s="128">
        <v>2017</v>
      </c>
      <c r="B9820" s="128" t="s">
        <v>139</v>
      </c>
      <c r="C9820" s="128" t="s">
        <v>27</v>
      </c>
      <c r="D9820" s="128" t="s">
        <v>79</v>
      </c>
      <c r="E9820" s="128" t="s">
        <v>134</v>
      </c>
      <c r="F9820" s="128">
        <v>198697.38</v>
      </c>
      <c r="G9820" s="128">
        <v>87477.06</v>
      </c>
      <c r="H9820" s="128">
        <v>76717.55</v>
      </c>
      <c r="I9820" s="128">
        <v>971</v>
      </c>
    </row>
    <row r="9821" spans="1:9" ht="13.5">
      <c r="A9821" s="128">
        <v>2017</v>
      </c>
      <c r="B9821" s="128" t="s">
        <v>139</v>
      </c>
      <c r="C9821" s="128" t="s">
        <v>27</v>
      </c>
      <c r="D9821" s="128" t="s">
        <v>79</v>
      </c>
      <c r="E9821" s="128" t="s">
        <v>135</v>
      </c>
      <c r="F9821" s="128">
        <v>1124657.6000000001</v>
      </c>
      <c r="G9821" s="128">
        <v>262269.78999999998</v>
      </c>
      <c r="H9821" s="128">
        <v>96675.45</v>
      </c>
      <c r="I9821" s="128">
        <v>1074</v>
      </c>
    </row>
    <row r="9822" spans="1:9" ht="13.5">
      <c r="A9822" s="128">
        <v>2017</v>
      </c>
      <c r="B9822" s="128" t="s">
        <v>139</v>
      </c>
      <c r="C9822" s="128" t="s">
        <v>27</v>
      </c>
      <c r="D9822" s="128" t="s">
        <v>77</v>
      </c>
      <c r="E9822" s="128" t="s">
        <v>132</v>
      </c>
      <c r="F9822" s="128">
        <v>28398.74</v>
      </c>
      <c r="G9822" s="128">
        <v>18477.75</v>
      </c>
      <c r="H9822" s="128">
        <v>7821.35</v>
      </c>
      <c r="I9822" s="128">
        <v>184</v>
      </c>
    </row>
    <row r="9823" spans="1:9" ht="13.5">
      <c r="A9823" s="128">
        <v>2017</v>
      </c>
      <c r="B9823" s="128" t="s">
        <v>139</v>
      </c>
      <c r="C9823" s="128" t="s">
        <v>27</v>
      </c>
      <c r="D9823" s="128" t="s">
        <v>77</v>
      </c>
      <c r="E9823" s="128" t="s">
        <v>133</v>
      </c>
      <c r="F9823" s="128">
        <v>72434.17</v>
      </c>
      <c r="G9823" s="128">
        <v>39136.9</v>
      </c>
      <c r="H9823" s="128">
        <v>26747.200000000001</v>
      </c>
      <c r="I9823" s="128">
        <v>247</v>
      </c>
    </row>
    <row r="9824" spans="1:9" ht="13.5">
      <c r="A9824" s="128">
        <v>2017</v>
      </c>
      <c r="B9824" s="128" t="s">
        <v>139</v>
      </c>
      <c r="C9824" s="128" t="s">
        <v>27</v>
      </c>
      <c r="D9824" s="128" t="s">
        <v>77</v>
      </c>
      <c r="E9824" s="128" t="s">
        <v>134</v>
      </c>
      <c r="F9824" s="128">
        <v>222574.16</v>
      </c>
      <c r="G9824" s="128">
        <v>97278.61</v>
      </c>
      <c r="H9824" s="128">
        <v>94928.07</v>
      </c>
      <c r="I9824" s="128">
        <v>437</v>
      </c>
    </row>
    <row r="9825" spans="1:9" ht="13.5">
      <c r="A9825" s="128">
        <v>2017</v>
      </c>
      <c r="B9825" s="128" t="s">
        <v>139</v>
      </c>
      <c r="C9825" s="128" t="s">
        <v>27</v>
      </c>
      <c r="D9825" s="128" t="s">
        <v>77</v>
      </c>
      <c r="E9825" s="128" t="s">
        <v>135</v>
      </c>
      <c r="F9825" s="128">
        <v>449640.03</v>
      </c>
      <c r="G9825" s="128">
        <v>124602.8</v>
      </c>
      <c r="H9825" s="128">
        <v>141016.66</v>
      </c>
      <c r="I9825" s="128">
        <v>1797</v>
      </c>
    </row>
    <row r="9826" spans="1:9" ht="13.5">
      <c r="A9826" s="128">
        <v>2017</v>
      </c>
      <c r="B9826" s="128" t="s">
        <v>139</v>
      </c>
      <c r="C9826" s="128" t="s">
        <v>27</v>
      </c>
      <c r="D9826" s="128" t="s">
        <v>76</v>
      </c>
      <c r="E9826" s="128" t="s">
        <v>136</v>
      </c>
      <c r="F9826" s="128">
        <v>266074.75</v>
      </c>
      <c r="G9826" s="128">
        <v>199979.09</v>
      </c>
      <c r="H9826" s="128">
        <v>66095.66</v>
      </c>
      <c r="I9826" s="128">
        <v>3520</v>
      </c>
    </row>
    <row r="9827" spans="1:9" ht="13.5">
      <c r="A9827" s="128">
        <v>2017</v>
      </c>
      <c r="B9827" s="128" t="s">
        <v>139</v>
      </c>
      <c r="C9827" s="128" t="s">
        <v>27</v>
      </c>
      <c r="D9827" s="128" t="s">
        <v>76</v>
      </c>
      <c r="E9827" s="128" t="s">
        <v>132</v>
      </c>
      <c r="F9827" s="128">
        <v>534543.53</v>
      </c>
      <c r="G9827" s="128">
        <v>339093.2</v>
      </c>
      <c r="H9827" s="128">
        <v>195447.74</v>
      </c>
      <c r="I9827" s="128">
        <v>3887</v>
      </c>
    </row>
    <row r="9828" spans="1:9" ht="13.5">
      <c r="A9828" s="128">
        <v>2017</v>
      </c>
      <c r="B9828" s="128" t="s">
        <v>139</v>
      </c>
      <c r="C9828" s="128" t="s">
        <v>27</v>
      </c>
      <c r="D9828" s="128" t="s">
        <v>76</v>
      </c>
      <c r="E9828" s="128" t="s">
        <v>133</v>
      </c>
      <c r="F9828" s="128">
        <v>1209576.46</v>
      </c>
      <c r="G9828" s="128">
        <v>660337.9</v>
      </c>
      <c r="H9828" s="128">
        <v>549234.68999999994</v>
      </c>
      <c r="I9828" s="128">
        <v>5979</v>
      </c>
    </row>
    <row r="9829" spans="1:9" ht="13.5">
      <c r="A9829" s="128">
        <v>2017</v>
      </c>
      <c r="B9829" s="128" t="s">
        <v>139</v>
      </c>
      <c r="C9829" s="128" t="s">
        <v>27</v>
      </c>
      <c r="D9829" s="128" t="s">
        <v>76</v>
      </c>
      <c r="E9829" s="128" t="s">
        <v>134</v>
      </c>
      <c r="F9829" s="128">
        <v>1815346.69</v>
      </c>
      <c r="G9829" s="128">
        <v>832608.4</v>
      </c>
      <c r="H9829" s="128">
        <v>982721.1</v>
      </c>
      <c r="I9829" s="128">
        <v>8141</v>
      </c>
    </row>
    <row r="9830" spans="1:9" ht="13.5">
      <c r="A9830" s="128">
        <v>2017</v>
      </c>
      <c r="B9830" s="128" t="s">
        <v>139</v>
      </c>
      <c r="C9830" s="128" t="s">
        <v>27</v>
      </c>
      <c r="D9830" s="128" t="s">
        <v>76</v>
      </c>
      <c r="E9830" s="128" t="s">
        <v>135</v>
      </c>
      <c r="F9830" s="128">
        <v>49835.82</v>
      </c>
      <c r="G9830" s="128">
        <v>14223.31</v>
      </c>
      <c r="H9830" s="128">
        <v>35612.519999999997</v>
      </c>
      <c r="I9830" s="128">
        <v>67</v>
      </c>
    </row>
    <row r="9831" spans="1:9" ht="13.5">
      <c r="A9831" s="128">
        <v>2017</v>
      </c>
      <c r="B9831" s="128" t="s">
        <v>137</v>
      </c>
      <c r="C9831" s="128" t="s">
        <v>20</v>
      </c>
      <c r="D9831" s="128" t="s">
        <v>79</v>
      </c>
      <c r="E9831" s="128" t="s">
        <v>136</v>
      </c>
      <c r="F9831" s="128">
        <v>39723207.390000001</v>
      </c>
      <c r="G9831" s="128">
        <v>29824471.02</v>
      </c>
      <c r="H9831" s="128">
        <v>9890398.7699999996</v>
      </c>
      <c r="I9831" s="128">
        <v>557752</v>
      </c>
    </row>
    <row r="9832" spans="1:9" ht="13.5">
      <c r="A9832" s="128">
        <v>2017</v>
      </c>
      <c r="B9832" s="128" t="s">
        <v>137</v>
      </c>
      <c r="C9832" s="128" t="s">
        <v>20</v>
      </c>
      <c r="D9832" s="128" t="s">
        <v>79</v>
      </c>
      <c r="E9832" s="128" t="s">
        <v>132</v>
      </c>
      <c r="F9832" s="128">
        <v>2977703.91</v>
      </c>
      <c r="G9832" s="128">
        <v>1982397.21</v>
      </c>
      <c r="H9832" s="128">
        <v>771412.11</v>
      </c>
      <c r="I9832" s="128">
        <v>16560</v>
      </c>
    </row>
    <row r="9833" spans="1:9" ht="13.5">
      <c r="A9833" s="128">
        <v>2017</v>
      </c>
      <c r="B9833" s="128" t="s">
        <v>137</v>
      </c>
      <c r="C9833" s="128" t="s">
        <v>20</v>
      </c>
      <c r="D9833" s="128" t="s">
        <v>79</v>
      </c>
      <c r="E9833" s="128" t="s">
        <v>133</v>
      </c>
      <c r="F9833" s="128">
        <v>2996139.68</v>
      </c>
      <c r="G9833" s="128">
        <v>1619237.69</v>
      </c>
      <c r="H9833" s="128">
        <v>872775.61</v>
      </c>
      <c r="I9833" s="128">
        <v>19234</v>
      </c>
    </row>
    <row r="9834" spans="1:9" ht="13.5">
      <c r="A9834" s="128">
        <v>2017</v>
      </c>
      <c r="B9834" s="128" t="s">
        <v>137</v>
      </c>
      <c r="C9834" s="128" t="s">
        <v>20</v>
      </c>
      <c r="D9834" s="128" t="s">
        <v>79</v>
      </c>
      <c r="E9834" s="128" t="s">
        <v>134</v>
      </c>
      <c r="F9834" s="128">
        <v>8334391.4800000004</v>
      </c>
      <c r="G9834" s="128">
        <v>3605192.27</v>
      </c>
      <c r="H9834" s="128">
        <v>1945518.09</v>
      </c>
      <c r="I9834" s="128">
        <v>33282</v>
      </c>
    </row>
    <row r="9835" spans="1:9" ht="13.5">
      <c r="A9835" s="128">
        <v>2017</v>
      </c>
      <c r="B9835" s="128" t="s">
        <v>137</v>
      </c>
      <c r="C9835" s="128" t="s">
        <v>20</v>
      </c>
      <c r="D9835" s="128" t="s">
        <v>79</v>
      </c>
      <c r="E9835" s="128" t="s">
        <v>135</v>
      </c>
      <c r="F9835" s="128">
        <v>80630708.810000002</v>
      </c>
      <c r="G9835" s="128">
        <v>17750323.93</v>
      </c>
      <c r="H9835" s="128">
        <v>6096959.0099999998</v>
      </c>
      <c r="I9835" s="128">
        <v>79733</v>
      </c>
    </row>
    <row r="9836" spans="1:9" ht="13.5">
      <c r="A9836" s="128">
        <v>2017</v>
      </c>
      <c r="B9836" s="128" t="s">
        <v>137</v>
      </c>
      <c r="C9836" s="128" t="s">
        <v>20</v>
      </c>
      <c r="D9836" s="128" t="s">
        <v>77</v>
      </c>
      <c r="E9836" s="128" t="s">
        <v>132</v>
      </c>
      <c r="F9836" s="128">
        <v>3486029.98</v>
      </c>
      <c r="G9836" s="128">
        <v>2241796.25</v>
      </c>
      <c r="H9836" s="128">
        <v>1127305.58</v>
      </c>
      <c r="I9836" s="128">
        <v>14936</v>
      </c>
    </row>
    <row r="9837" spans="1:9" ht="13.5">
      <c r="A9837" s="128">
        <v>2017</v>
      </c>
      <c r="B9837" s="128" t="s">
        <v>137</v>
      </c>
      <c r="C9837" s="128" t="s">
        <v>20</v>
      </c>
      <c r="D9837" s="128" t="s">
        <v>77</v>
      </c>
      <c r="E9837" s="128" t="s">
        <v>133</v>
      </c>
      <c r="F9837" s="128">
        <v>4829380.8600000003</v>
      </c>
      <c r="G9837" s="128">
        <v>2608522.62</v>
      </c>
      <c r="H9837" s="128">
        <v>1938547.5</v>
      </c>
      <c r="I9837" s="128">
        <v>15950</v>
      </c>
    </row>
    <row r="9838" spans="1:9" ht="13.5">
      <c r="A9838" s="128">
        <v>2017</v>
      </c>
      <c r="B9838" s="128" t="s">
        <v>137</v>
      </c>
      <c r="C9838" s="128" t="s">
        <v>20</v>
      </c>
      <c r="D9838" s="128" t="s">
        <v>77</v>
      </c>
      <c r="E9838" s="128" t="s">
        <v>134</v>
      </c>
      <c r="F9838" s="128">
        <v>15232778.210000001</v>
      </c>
      <c r="G9838" s="128">
        <v>6571919.2300000004</v>
      </c>
      <c r="H9838" s="128">
        <v>6796564.6900000004</v>
      </c>
      <c r="I9838" s="128">
        <v>35265</v>
      </c>
    </row>
    <row r="9839" spans="1:9" ht="13.5">
      <c r="A9839" s="128">
        <v>2017</v>
      </c>
      <c r="B9839" s="128" t="s">
        <v>137</v>
      </c>
      <c r="C9839" s="128" t="s">
        <v>20</v>
      </c>
      <c r="D9839" s="128" t="s">
        <v>77</v>
      </c>
      <c r="E9839" s="128" t="s">
        <v>135</v>
      </c>
      <c r="F9839" s="128">
        <v>39167535.039999999</v>
      </c>
      <c r="G9839" s="128">
        <v>10213500.24</v>
      </c>
      <c r="H9839" s="128">
        <v>12045578.07</v>
      </c>
      <c r="I9839" s="128">
        <v>139786</v>
      </c>
    </row>
    <row r="9840" spans="1:9" ht="13.5">
      <c r="A9840" s="128">
        <v>2017</v>
      </c>
      <c r="B9840" s="128" t="s">
        <v>137</v>
      </c>
      <c r="C9840" s="128" t="s">
        <v>20</v>
      </c>
      <c r="D9840" s="128" t="s">
        <v>76</v>
      </c>
      <c r="E9840" s="128" t="s">
        <v>136</v>
      </c>
      <c r="F9840" s="128">
        <v>25535261.379999999</v>
      </c>
      <c r="G9840" s="128">
        <v>19172950.649999999</v>
      </c>
      <c r="H9840" s="128">
        <v>6362347.8099999996</v>
      </c>
      <c r="I9840" s="128">
        <v>774930</v>
      </c>
    </row>
    <row r="9841" spans="1:9" ht="13.5">
      <c r="A9841" s="128">
        <v>2017</v>
      </c>
      <c r="B9841" s="128" t="s">
        <v>137</v>
      </c>
      <c r="C9841" s="128" t="s">
        <v>20</v>
      </c>
      <c r="D9841" s="128" t="s">
        <v>76</v>
      </c>
      <c r="E9841" s="128" t="s">
        <v>132</v>
      </c>
      <c r="F9841" s="128">
        <v>53403992.710000001</v>
      </c>
      <c r="G9841" s="128">
        <v>33708993.289999999</v>
      </c>
      <c r="H9841" s="128">
        <v>19694923.34</v>
      </c>
      <c r="I9841" s="128">
        <v>478135</v>
      </c>
    </row>
    <row r="9842" spans="1:9" ht="13.5">
      <c r="A9842" s="128">
        <v>2017</v>
      </c>
      <c r="B9842" s="128" t="s">
        <v>137</v>
      </c>
      <c r="C9842" s="128" t="s">
        <v>20</v>
      </c>
      <c r="D9842" s="128" t="s">
        <v>76</v>
      </c>
      <c r="E9842" s="128" t="s">
        <v>133</v>
      </c>
      <c r="F9842" s="128">
        <v>96270590.400000006</v>
      </c>
      <c r="G9842" s="128">
        <v>52716990.530000001</v>
      </c>
      <c r="H9842" s="128">
        <v>43553575.219999999</v>
      </c>
      <c r="I9842" s="128">
        <v>599654</v>
      </c>
    </row>
    <row r="9843" spans="1:9" ht="13.5">
      <c r="A9843" s="128">
        <v>2017</v>
      </c>
      <c r="B9843" s="128" t="s">
        <v>137</v>
      </c>
      <c r="C9843" s="128" t="s">
        <v>20</v>
      </c>
      <c r="D9843" s="128" t="s">
        <v>76</v>
      </c>
      <c r="E9843" s="128" t="s">
        <v>134</v>
      </c>
      <c r="F9843" s="128">
        <v>110713543.5</v>
      </c>
      <c r="G9843" s="128">
        <v>50519227.939999998</v>
      </c>
      <c r="H9843" s="128">
        <v>60194248.670000002</v>
      </c>
      <c r="I9843" s="128">
        <v>602149</v>
      </c>
    </row>
    <row r="9844" spans="1:9" ht="13.5">
      <c r="A9844" s="128">
        <v>2017</v>
      </c>
      <c r="B9844" s="128" t="s">
        <v>137</v>
      </c>
      <c r="C9844" s="128" t="s">
        <v>20</v>
      </c>
      <c r="D9844" s="128" t="s">
        <v>76</v>
      </c>
      <c r="E9844" s="128" t="s">
        <v>135</v>
      </c>
      <c r="F9844" s="128">
        <v>7280351.4500000002</v>
      </c>
      <c r="G9844" s="128">
        <v>2092130.39</v>
      </c>
      <c r="H9844" s="128">
        <v>5188221.0599999996</v>
      </c>
      <c r="I9844" s="128">
        <v>16264</v>
      </c>
    </row>
    <row r="9845" spans="1:9" ht="13.5">
      <c r="A9845" s="128">
        <v>2017</v>
      </c>
      <c r="B9845" s="128" t="s">
        <v>137</v>
      </c>
      <c r="C9845" s="128" t="s">
        <v>21</v>
      </c>
      <c r="D9845" s="128" t="s">
        <v>79</v>
      </c>
      <c r="E9845" s="128" t="s">
        <v>136</v>
      </c>
      <c r="F9845" s="128">
        <v>9673395.5299999993</v>
      </c>
      <c r="G9845" s="128">
        <v>7259017.21</v>
      </c>
      <c r="H9845" s="128">
        <v>2407459.96</v>
      </c>
      <c r="I9845" s="128">
        <v>184519</v>
      </c>
    </row>
    <row r="9846" spans="1:9" ht="13.5">
      <c r="A9846" s="128">
        <v>2017</v>
      </c>
      <c r="B9846" s="128" t="s">
        <v>137</v>
      </c>
      <c r="C9846" s="128" t="s">
        <v>21</v>
      </c>
      <c r="D9846" s="128" t="s">
        <v>79</v>
      </c>
      <c r="E9846" s="128" t="s">
        <v>132</v>
      </c>
      <c r="F9846" s="128">
        <v>1542888.22</v>
      </c>
      <c r="G9846" s="128">
        <v>1016990.55</v>
      </c>
      <c r="H9846" s="128">
        <v>403751.98</v>
      </c>
      <c r="I9846" s="128">
        <v>9647</v>
      </c>
    </row>
    <row r="9847" spans="1:9" ht="13.5">
      <c r="A9847" s="128">
        <v>2017</v>
      </c>
      <c r="B9847" s="128" t="s">
        <v>137</v>
      </c>
      <c r="C9847" s="128" t="s">
        <v>21</v>
      </c>
      <c r="D9847" s="128" t="s">
        <v>79</v>
      </c>
      <c r="E9847" s="128" t="s">
        <v>133</v>
      </c>
      <c r="F9847" s="128">
        <v>3537935.57</v>
      </c>
      <c r="G9847" s="128">
        <v>1945949.5</v>
      </c>
      <c r="H9847" s="128">
        <v>1058541.9099999999</v>
      </c>
      <c r="I9847" s="128">
        <v>47146</v>
      </c>
    </row>
    <row r="9848" spans="1:9" ht="13.5">
      <c r="A9848" s="128">
        <v>2017</v>
      </c>
      <c r="B9848" s="128" t="s">
        <v>137</v>
      </c>
      <c r="C9848" s="128" t="s">
        <v>21</v>
      </c>
      <c r="D9848" s="128" t="s">
        <v>79</v>
      </c>
      <c r="E9848" s="128" t="s">
        <v>134</v>
      </c>
      <c r="F9848" s="128">
        <v>6102462.9500000002</v>
      </c>
      <c r="G9848" s="128">
        <v>2593131.86</v>
      </c>
      <c r="H9848" s="128">
        <v>1568480.71</v>
      </c>
      <c r="I9848" s="128">
        <v>35791</v>
      </c>
    </row>
    <row r="9849" spans="1:9" ht="13.5">
      <c r="A9849" s="128">
        <v>2017</v>
      </c>
      <c r="B9849" s="128" t="s">
        <v>137</v>
      </c>
      <c r="C9849" s="128" t="s">
        <v>21</v>
      </c>
      <c r="D9849" s="128" t="s">
        <v>79</v>
      </c>
      <c r="E9849" s="128" t="s">
        <v>135</v>
      </c>
      <c r="F9849" s="128">
        <v>22696773.620000001</v>
      </c>
      <c r="G9849" s="128">
        <v>5378646.6699999999</v>
      </c>
      <c r="H9849" s="128">
        <v>1997101.79</v>
      </c>
      <c r="I9849" s="128">
        <v>30700</v>
      </c>
    </row>
    <row r="9850" spans="1:9" ht="13.5">
      <c r="A9850" s="128">
        <v>2017</v>
      </c>
      <c r="B9850" s="128" t="s">
        <v>137</v>
      </c>
      <c r="C9850" s="128" t="s">
        <v>21</v>
      </c>
      <c r="D9850" s="128" t="s">
        <v>77</v>
      </c>
      <c r="E9850" s="128" t="s">
        <v>132</v>
      </c>
      <c r="F9850" s="128">
        <v>4219116.16</v>
      </c>
      <c r="G9850" s="128">
        <v>2804707.08</v>
      </c>
      <c r="H9850" s="128">
        <v>1202255.78</v>
      </c>
      <c r="I9850" s="128">
        <v>27762</v>
      </c>
    </row>
    <row r="9851" spans="1:9" ht="13.5">
      <c r="A9851" s="128">
        <v>2017</v>
      </c>
      <c r="B9851" s="128" t="s">
        <v>137</v>
      </c>
      <c r="C9851" s="128" t="s">
        <v>21</v>
      </c>
      <c r="D9851" s="128" t="s">
        <v>77</v>
      </c>
      <c r="E9851" s="128" t="s">
        <v>133</v>
      </c>
      <c r="F9851" s="128">
        <v>6954773.0300000003</v>
      </c>
      <c r="G9851" s="128">
        <v>3777628.69</v>
      </c>
      <c r="H9851" s="128">
        <v>2688988.31</v>
      </c>
      <c r="I9851" s="128">
        <v>29092</v>
      </c>
    </row>
    <row r="9852" spans="1:9" ht="13.5">
      <c r="A9852" s="128">
        <v>2017</v>
      </c>
      <c r="B9852" s="128" t="s">
        <v>137</v>
      </c>
      <c r="C9852" s="128" t="s">
        <v>21</v>
      </c>
      <c r="D9852" s="128" t="s">
        <v>77</v>
      </c>
      <c r="E9852" s="128" t="s">
        <v>134</v>
      </c>
      <c r="F9852" s="128">
        <v>14166321.84</v>
      </c>
      <c r="G9852" s="128">
        <v>6122594.29</v>
      </c>
      <c r="H9852" s="128">
        <v>5935921.71</v>
      </c>
      <c r="I9852" s="128">
        <v>38506</v>
      </c>
    </row>
    <row r="9853" spans="1:9" ht="13.5">
      <c r="A9853" s="128">
        <v>2017</v>
      </c>
      <c r="B9853" s="128" t="s">
        <v>137</v>
      </c>
      <c r="C9853" s="128" t="s">
        <v>21</v>
      </c>
      <c r="D9853" s="128" t="s">
        <v>77</v>
      </c>
      <c r="E9853" s="128" t="s">
        <v>135</v>
      </c>
      <c r="F9853" s="128">
        <v>28934207.940000001</v>
      </c>
      <c r="G9853" s="128">
        <v>7825146.9500000002</v>
      </c>
      <c r="H9853" s="128">
        <v>8911951.1199999992</v>
      </c>
      <c r="I9853" s="128">
        <v>110859</v>
      </c>
    </row>
    <row r="9854" spans="1:9" ht="13.5">
      <c r="A9854" s="128">
        <v>2017</v>
      </c>
      <c r="B9854" s="128" t="s">
        <v>137</v>
      </c>
      <c r="C9854" s="128" t="s">
        <v>21</v>
      </c>
      <c r="D9854" s="128" t="s">
        <v>76</v>
      </c>
      <c r="E9854" s="128" t="s">
        <v>136</v>
      </c>
      <c r="F9854" s="128">
        <v>19952902.050000001</v>
      </c>
      <c r="G9854" s="128">
        <v>14991490.67</v>
      </c>
      <c r="H9854" s="128">
        <v>4961410.25</v>
      </c>
      <c r="I9854" s="128">
        <v>322054</v>
      </c>
    </row>
    <row r="9855" spans="1:9" ht="13.5">
      <c r="A9855" s="128">
        <v>2017</v>
      </c>
      <c r="B9855" s="128" t="s">
        <v>137</v>
      </c>
      <c r="C9855" s="128" t="s">
        <v>21</v>
      </c>
      <c r="D9855" s="128" t="s">
        <v>76</v>
      </c>
      <c r="E9855" s="128" t="s">
        <v>132</v>
      </c>
      <c r="F9855" s="128">
        <v>44838769.060000002</v>
      </c>
      <c r="G9855" s="128">
        <v>28513127.329999998</v>
      </c>
      <c r="H9855" s="128">
        <v>16325506.93</v>
      </c>
      <c r="I9855" s="128">
        <v>404523</v>
      </c>
    </row>
    <row r="9856" spans="1:9" ht="13.5">
      <c r="A9856" s="128">
        <v>2017</v>
      </c>
      <c r="B9856" s="128" t="s">
        <v>137</v>
      </c>
      <c r="C9856" s="128" t="s">
        <v>21</v>
      </c>
      <c r="D9856" s="128" t="s">
        <v>76</v>
      </c>
      <c r="E9856" s="128" t="s">
        <v>133</v>
      </c>
      <c r="F9856" s="128">
        <v>110976550.12</v>
      </c>
      <c r="G9856" s="128">
        <v>60805485.740000002</v>
      </c>
      <c r="H9856" s="128">
        <v>50171605.359999999</v>
      </c>
      <c r="I9856" s="128">
        <v>769787</v>
      </c>
    </row>
    <row r="9857" spans="1:9" ht="13.5">
      <c r="A9857" s="128">
        <v>2017</v>
      </c>
      <c r="B9857" s="128" t="s">
        <v>137</v>
      </c>
      <c r="C9857" s="128" t="s">
        <v>21</v>
      </c>
      <c r="D9857" s="128" t="s">
        <v>76</v>
      </c>
      <c r="E9857" s="128" t="s">
        <v>134</v>
      </c>
      <c r="F9857" s="128">
        <v>106195066.02</v>
      </c>
      <c r="G9857" s="128">
        <v>47418735.240000002</v>
      </c>
      <c r="H9857" s="128">
        <v>58776244.18</v>
      </c>
      <c r="I9857" s="128">
        <v>564564</v>
      </c>
    </row>
    <row r="9858" spans="1:9" ht="13.5">
      <c r="A9858" s="128">
        <v>2017</v>
      </c>
      <c r="B9858" s="128" t="s">
        <v>137</v>
      </c>
      <c r="C9858" s="128" t="s">
        <v>21</v>
      </c>
      <c r="D9858" s="128" t="s">
        <v>76</v>
      </c>
      <c r="E9858" s="128" t="s">
        <v>135</v>
      </c>
      <c r="F9858" s="128">
        <v>3117766.49</v>
      </c>
      <c r="G9858" s="128">
        <v>814526.55</v>
      </c>
      <c r="H9858" s="128">
        <v>2303239.94</v>
      </c>
      <c r="I9858" s="128">
        <v>4008</v>
      </c>
    </row>
    <row r="9859" spans="1:9" ht="13.5">
      <c r="A9859" s="128">
        <v>2017</v>
      </c>
      <c r="B9859" s="128" t="s">
        <v>137</v>
      </c>
      <c r="C9859" s="128" t="s">
        <v>22</v>
      </c>
      <c r="D9859" s="128" t="s">
        <v>79</v>
      </c>
      <c r="E9859" s="128" t="s">
        <v>136</v>
      </c>
      <c r="F9859" s="128">
        <v>6903151.9699999997</v>
      </c>
      <c r="G9859" s="128">
        <v>5155084.34</v>
      </c>
      <c r="H9859" s="128">
        <v>1710932.03</v>
      </c>
      <c r="I9859" s="128">
        <v>97098</v>
      </c>
    </row>
    <row r="9860" spans="1:9" ht="13.5">
      <c r="A9860" s="128">
        <v>2017</v>
      </c>
      <c r="B9860" s="128" t="s">
        <v>137</v>
      </c>
      <c r="C9860" s="128" t="s">
        <v>22</v>
      </c>
      <c r="D9860" s="128" t="s">
        <v>79</v>
      </c>
      <c r="E9860" s="128" t="s">
        <v>132</v>
      </c>
      <c r="F9860" s="128">
        <v>2564810.83</v>
      </c>
      <c r="G9860" s="128">
        <v>1667026.92</v>
      </c>
      <c r="H9860" s="128">
        <v>750191.54</v>
      </c>
      <c r="I9860" s="128">
        <v>23204</v>
      </c>
    </row>
    <row r="9861" spans="1:9" ht="13.5">
      <c r="A9861" s="128">
        <v>2017</v>
      </c>
      <c r="B9861" s="128" t="s">
        <v>137</v>
      </c>
      <c r="C9861" s="128" t="s">
        <v>22</v>
      </c>
      <c r="D9861" s="128" t="s">
        <v>79</v>
      </c>
      <c r="E9861" s="128" t="s">
        <v>133</v>
      </c>
      <c r="F9861" s="128">
        <v>3160886.44</v>
      </c>
      <c r="G9861" s="128">
        <v>1693938.93</v>
      </c>
      <c r="H9861" s="128">
        <v>894711.38</v>
      </c>
      <c r="I9861" s="128">
        <v>36213</v>
      </c>
    </row>
    <row r="9862" spans="1:9" ht="13.5">
      <c r="A9862" s="128">
        <v>2017</v>
      </c>
      <c r="B9862" s="128" t="s">
        <v>137</v>
      </c>
      <c r="C9862" s="128" t="s">
        <v>22</v>
      </c>
      <c r="D9862" s="128" t="s">
        <v>79</v>
      </c>
      <c r="E9862" s="128" t="s">
        <v>134</v>
      </c>
      <c r="F9862" s="128">
        <v>5514531.7699999996</v>
      </c>
      <c r="G9862" s="128">
        <v>2402311.5499999998</v>
      </c>
      <c r="H9862" s="128">
        <v>1530612.39</v>
      </c>
      <c r="I9862" s="128">
        <v>25214</v>
      </c>
    </row>
    <row r="9863" spans="1:9" ht="13.5">
      <c r="A9863" s="128">
        <v>2017</v>
      </c>
      <c r="B9863" s="128" t="s">
        <v>137</v>
      </c>
      <c r="C9863" s="128" t="s">
        <v>22</v>
      </c>
      <c r="D9863" s="128" t="s">
        <v>79</v>
      </c>
      <c r="E9863" s="128" t="s">
        <v>135</v>
      </c>
      <c r="F9863" s="128">
        <v>37431316.07</v>
      </c>
      <c r="G9863" s="128">
        <v>8858638.3100000005</v>
      </c>
      <c r="H9863" s="128">
        <v>3106917.98</v>
      </c>
      <c r="I9863" s="128">
        <v>42700</v>
      </c>
    </row>
    <row r="9864" spans="1:9" ht="13.5">
      <c r="A9864" s="128">
        <v>2017</v>
      </c>
      <c r="B9864" s="128" t="s">
        <v>137</v>
      </c>
      <c r="C9864" s="128" t="s">
        <v>22</v>
      </c>
      <c r="D9864" s="128" t="s">
        <v>77</v>
      </c>
      <c r="E9864" s="128" t="s">
        <v>132</v>
      </c>
      <c r="F9864" s="128">
        <v>1998762.97</v>
      </c>
      <c r="G9864" s="128">
        <v>1295858.25</v>
      </c>
      <c r="H9864" s="128">
        <v>596819.4</v>
      </c>
      <c r="I9864" s="128">
        <v>10507</v>
      </c>
    </row>
    <row r="9865" spans="1:9" ht="13.5">
      <c r="A9865" s="128">
        <v>2017</v>
      </c>
      <c r="B9865" s="128" t="s">
        <v>137</v>
      </c>
      <c r="C9865" s="128" t="s">
        <v>22</v>
      </c>
      <c r="D9865" s="128" t="s">
        <v>77</v>
      </c>
      <c r="E9865" s="128" t="s">
        <v>133</v>
      </c>
      <c r="F9865" s="128">
        <v>2909623</v>
      </c>
      <c r="G9865" s="128">
        <v>1574316.62</v>
      </c>
      <c r="H9865" s="128">
        <v>1076077.73</v>
      </c>
      <c r="I9865" s="128">
        <v>11745</v>
      </c>
    </row>
    <row r="9866" spans="1:9" ht="13.5">
      <c r="A9866" s="128">
        <v>2017</v>
      </c>
      <c r="B9866" s="128" t="s">
        <v>137</v>
      </c>
      <c r="C9866" s="128" t="s">
        <v>22</v>
      </c>
      <c r="D9866" s="128" t="s">
        <v>77</v>
      </c>
      <c r="E9866" s="128" t="s">
        <v>134</v>
      </c>
      <c r="F9866" s="128">
        <v>11982180.300000001</v>
      </c>
      <c r="G9866" s="128">
        <v>5100124.32</v>
      </c>
      <c r="H9866" s="128">
        <v>5089071.97</v>
      </c>
      <c r="I9866" s="128">
        <v>20879</v>
      </c>
    </row>
    <row r="9867" spans="1:9" ht="13.5">
      <c r="A9867" s="128">
        <v>2017</v>
      </c>
      <c r="B9867" s="128" t="s">
        <v>137</v>
      </c>
      <c r="C9867" s="128" t="s">
        <v>22</v>
      </c>
      <c r="D9867" s="128" t="s">
        <v>77</v>
      </c>
      <c r="E9867" s="128" t="s">
        <v>135</v>
      </c>
      <c r="F9867" s="128">
        <v>25711188.469999999</v>
      </c>
      <c r="G9867" s="128">
        <v>6895537.9299999997</v>
      </c>
      <c r="H9867" s="128">
        <v>7902996.9299999997</v>
      </c>
      <c r="I9867" s="128">
        <v>67324</v>
      </c>
    </row>
    <row r="9868" spans="1:9" ht="13.5">
      <c r="A9868" s="128">
        <v>2017</v>
      </c>
      <c r="B9868" s="128" t="s">
        <v>137</v>
      </c>
      <c r="C9868" s="128" t="s">
        <v>22</v>
      </c>
      <c r="D9868" s="128" t="s">
        <v>76</v>
      </c>
      <c r="E9868" s="128" t="s">
        <v>136</v>
      </c>
      <c r="F9868" s="128">
        <v>15557832.640000001</v>
      </c>
      <c r="G9868" s="128">
        <v>11677566.02</v>
      </c>
      <c r="H9868" s="128">
        <v>3880434.97</v>
      </c>
      <c r="I9868" s="128">
        <v>288881</v>
      </c>
    </row>
    <row r="9869" spans="1:9" ht="13.5">
      <c r="A9869" s="128">
        <v>2017</v>
      </c>
      <c r="B9869" s="128" t="s">
        <v>137</v>
      </c>
      <c r="C9869" s="128" t="s">
        <v>22</v>
      </c>
      <c r="D9869" s="128" t="s">
        <v>76</v>
      </c>
      <c r="E9869" s="128" t="s">
        <v>132</v>
      </c>
      <c r="F9869" s="128">
        <v>42752637.130000003</v>
      </c>
      <c r="G9869" s="128">
        <v>27151049.039999999</v>
      </c>
      <c r="H9869" s="128">
        <v>15601497.029999999</v>
      </c>
      <c r="I9869" s="128">
        <v>407214</v>
      </c>
    </row>
    <row r="9870" spans="1:9" ht="13.5">
      <c r="A9870" s="128">
        <v>2017</v>
      </c>
      <c r="B9870" s="128" t="s">
        <v>137</v>
      </c>
      <c r="C9870" s="128" t="s">
        <v>22</v>
      </c>
      <c r="D9870" s="128" t="s">
        <v>76</v>
      </c>
      <c r="E9870" s="128" t="s">
        <v>133</v>
      </c>
      <c r="F9870" s="128">
        <v>74351631.030000001</v>
      </c>
      <c r="G9870" s="128">
        <v>40947156.490000002</v>
      </c>
      <c r="H9870" s="128">
        <v>33403982.780000001</v>
      </c>
      <c r="I9870" s="128">
        <v>595526</v>
      </c>
    </row>
    <row r="9871" spans="1:9" ht="13.5">
      <c r="A9871" s="128">
        <v>2017</v>
      </c>
      <c r="B9871" s="128" t="s">
        <v>137</v>
      </c>
      <c r="C9871" s="128" t="s">
        <v>22</v>
      </c>
      <c r="D9871" s="128" t="s">
        <v>76</v>
      </c>
      <c r="E9871" s="128" t="s">
        <v>134</v>
      </c>
      <c r="F9871" s="128">
        <v>72428867.349999994</v>
      </c>
      <c r="G9871" s="128">
        <v>32974183.359999999</v>
      </c>
      <c r="H9871" s="128">
        <v>39454340.310000002</v>
      </c>
      <c r="I9871" s="128">
        <v>470149</v>
      </c>
    </row>
    <row r="9872" spans="1:9" ht="13.5">
      <c r="A9872" s="128">
        <v>2017</v>
      </c>
      <c r="B9872" s="128" t="s">
        <v>137</v>
      </c>
      <c r="C9872" s="128" t="s">
        <v>22</v>
      </c>
      <c r="D9872" s="128" t="s">
        <v>76</v>
      </c>
      <c r="E9872" s="128" t="s">
        <v>135</v>
      </c>
      <c r="F9872" s="128">
        <v>5375301.7000000002</v>
      </c>
      <c r="G9872" s="128">
        <v>1546925.4</v>
      </c>
      <c r="H9872" s="128">
        <v>3828375.34</v>
      </c>
      <c r="I9872" s="128">
        <v>7563</v>
      </c>
    </row>
    <row r="9873" spans="1:9" ht="13.5">
      <c r="A9873" s="128">
        <v>2017</v>
      </c>
      <c r="B9873" s="128" t="s">
        <v>137</v>
      </c>
      <c r="C9873" s="128" t="s">
        <v>23</v>
      </c>
      <c r="D9873" s="128" t="s">
        <v>79</v>
      </c>
      <c r="E9873" s="128" t="s">
        <v>136</v>
      </c>
      <c r="F9873" s="128">
        <v>2109279.3199999998</v>
      </c>
      <c r="G9873" s="128">
        <v>1582651.35</v>
      </c>
      <c r="H9873" s="128">
        <v>525397.85</v>
      </c>
      <c r="I9873" s="128">
        <v>17968</v>
      </c>
    </row>
    <row r="9874" spans="1:9" ht="13.5">
      <c r="A9874" s="128">
        <v>2017</v>
      </c>
      <c r="B9874" s="128" t="s">
        <v>137</v>
      </c>
      <c r="C9874" s="128" t="s">
        <v>23</v>
      </c>
      <c r="D9874" s="128" t="s">
        <v>79</v>
      </c>
      <c r="E9874" s="128" t="s">
        <v>132</v>
      </c>
      <c r="F9874" s="128">
        <v>510529.87</v>
      </c>
      <c r="G9874" s="128">
        <v>330655.83</v>
      </c>
      <c r="H9874" s="128">
        <v>149703.04999999999</v>
      </c>
      <c r="I9874" s="128">
        <v>2307</v>
      </c>
    </row>
    <row r="9875" spans="1:9" ht="13.5">
      <c r="A9875" s="128">
        <v>2017</v>
      </c>
      <c r="B9875" s="128" t="s">
        <v>137</v>
      </c>
      <c r="C9875" s="128" t="s">
        <v>23</v>
      </c>
      <c r="D9875" s="128" t="s">
        <v>79</v>
      </c>
      <c r="E9875" s="128" t="s">
        <v>133</v>
      </c>
      <c r="F9875" s="128">
        <v>1103076.25</v>
      </c>
      <c r="G9875" s="128">
        <v>612646.57999999996</v>
      </c>
      <c r="H9875" s="128">
        <v>440708.51</v>
      </c>
      <c r="I9875" s="128">
        <v>14118</v>
      </c>
    </row>
    <row r="9876" spans="1:9" ht="13.5">
      <c r="A9876" s="128">
        <v>2017</v>
      </c>
      <c r="B9876" s="128" t="s">
        <v>137</v>
      </c>
      <c r="C9876" s="128" t="s">
        <v>23</v>
      </c>
      <c r="D9876" s="128" t="s">
        <v>79</v>
      </c>
      <c r="E9876" s="128" t="s">
        <v>134</v>
      </c>
      <c r="F9876" s="128">
        <v>1731978.02</v>
      </c>
      <c r="G9876" s="128">
        <v>744109.91</v>
      </c>
      <c r="H9876" s="128">
        <v>855361.13</v>
      </c>
      <c r="I9876" s="128">
        <v>6931</v>
      </c>
    </row>
    <row r="9877" spans="1:9" ht="13.5">
      <c r="A9877" s="128">
        <v>2017</v>
      </c>
      <c r="B9877" s="128" t="s">
        <v>137</v>
      </c>
      <c r="C9877" s="128" t="s">
        <v>23</v>
      </c>
      <c r="D9877" s="128" t="s">
        <v>79</v>
      </c>
      <c r="E9877" s="128" t="s">
        <v>135</v>
      </c>
      <c r="F9877" s="128">
        <v>2077663.19</v>
      </c>
      <c r="G9877" s="128">
        <v>500678.1</v>
      </c>
      <c r="H9877" s="128">
        <v>274872.73</v>
      </c>
      <c r="I9877" s="128">
        <v>3246</v>
      </c>
    </row>
    <row r="9878" spans="1:9" ht="13.5">
      <c r="A9878" s="128">
        <v>2017</v>
      </c>
      <c r="B9878" s="128" t="s">
        <v>137</v>
      </c>
      <c r="C9878" s="128" t="s">
        <v>23</v>
      </c>
      <c r="D9878" s="128" t="s">
        <v>77</v>
      </c>
      <c r="E9878" s="128" t="s">
        <v>132</v>
      </c>
      <c r="F9878" s="128">
        <v>400776.57</v>
      </c>
      <c r="G9878" s="128">
        <v>254633.1</v>
      </c>
      <c r="H9878" s="128">
        <v>128303.6</v>
      </c>
      <c r="I9878" s="128">
        <v>2116</v>
      </c>
    </row>
    <row r="9879" spans="1:9" ht="13.5">
      <c r="A9879" s="128">
        <v>2017</v>
      </c>
      <c r="B9879" s="128" t="s">
        <v>137</v>
      </c>
      <c r="C9879" s="128" t="s">
        <v>23</v>
      </c>
      <c r="D9879" s="128" t="s">
        <v>77</v>
      </c>
      <c r="E9879" s="128" t="s">
        <v>133</v>
      </c>
      <c r="F9879" s="128">
        <v>1139390.54</v>
      </c>
      <c r="G9879" s="128">
        <v>620885.44999999995</v>
      </c>
      <c r="H9879" s="128">
        <v>423647.63</v>
      </c>
      <c r="I9879" s="128">
        <v>7560</v>
      </c>
    </row>
    <row r="9880" spans="1:9" ht="13.5">
      <c r="A9880" s="128">
        <v>2017</v>
      </c>
      <c r="B9880" s="128" t="s">
        <v>137</v>
      </c>
      <c r="C9880" s="128" t="s">
        <v>23</v>
      </c>
      <c r="D9880" s="128" t="s">
        <v>77</v>
      </c>
      <c r="E9880" s="128" t="s">
        <v>134</v>
      </c>
      <c r="F9880" s="128">
        <v>5079996.4400000004</v>
      </c>
      <c r="G9880" s="128">
        <v>2159938.21</v>
      </c>
      <c r="H9880" s="128">
        <v>2258832.2000000002</v>
      </c>
      <c r="I9880" s="128">
        <v>10196</v>
      </c>
    </row>
    <row r="9881" spans="1:9" ht="13.5">
      <c r="A9881" s="128">
        <v>2017</v>
      </c>
      <c r="B9881" s="128" t="s">
        <v>137</v>
      </c>
      <c r="C9881" s="128" t="s">
        <v>23</v>
      </c>
      <c r="D9881" s="128" t="s">
        <v>77</v>
      </c>
      <c r="E9881" s="128" t="s">
        <v>135</v>
      </c>
      <c r="F9881" s="128">
        <v>8013811.2599999998</v>
      </c>
      <c r="G9881" s="128">
        <v>2418780.1</v>
      </c>
      <c r="H9881" s="128">
        <v>3035901.36</v>
      </c>
      <c r="I9881" s="128">
        <v>29113</v>
      </c>
    </row>
    <row r="9882" spans="1:9" ht="13.5">
      <c r="A9882" s="128">
        <v>2017</v>
      </c>
      <c r="B9882" s="128" t="s">
        <v>137</v>
      </c>
      <c r="C9882" s="128" t="s">
        <v>23</v>
      </c>
      <c r="D9882" s="128" t="s">
        <v>76</v>
      </c>
      <c r="E9882" s="128" t="s">
        <v>136</v>
      </c>
      <c r="F9882" s="128">
        <v>5576947.0800000001</v>
      </c>
      <c r="G9882" s="128">
        <v>4188690.38</v>
      </c>
      <c r="H9882" s="128">
        <v>1388541.52</v>
      </c>
      <c r="I9882" s="128">
        <v>88479</v>
      </c>
    </row>
    <row r="9883" spans="1:9" ht="13.5">
      <c r="A9883" s="128">
        <v>2017</v>
      </c>
      <c r="B9883" s="128" t="s">
        <v>137</v>
      </c>
      <c r="C9883" s="128" t="s">
        <v>23</v>
      </c>
      <c r="D9883" s="128" t="s">
        <v>76</v>
      </c>
      <c r="E9883" s="128" t="s">
        <v>132</v>
      </c>
      <c r="F9883" s="128">
        <v>8133463.5999999996</v>
      </c>
      <c r="G9883" s="128">
        <v>5105938.84</v>
      </c>
      <c r="H9883" s="128">
        <v>3027516.47</v>
      </c>
      <c r="I9883" s="128">
        <v>77861</v>
      </c>
    </row>
    <row r="9884" spans="1:9" ht="13.5">
      <c r="A9884" s="128">
        <v>2017</v>
      </c>
      <c r="B9884" s="128" t="s">
        <v>137</v>
      </c>
      <c r="C9884" s="128" t="s">
        <v>23</v>
      </c>
      <c r="D9884" s="128" t="s">
        <v>76</v>
      </c>
      <c r="E9884" s="128" t="s">
        <v>133</v>
      </c>
      <c r="F9884" s="128">
        <v>27063715.239999998</v>
      </c>
      <c r="G9884" s="128">
        <v>14734716.050000001</v>
      </c>
      <c r="H9884" s="128">
        <v>12328986.630000001</v>
      </c>
      <c r="I9884" s="128">
        <v>221513</v>
      </c>
    </row>
    <row r="9885" spans="1:9" ht="13.5">
      <c r="A9885" s="128">
        <v>2017</v>
      </c>
      <c r="B9885" s="128" t="s">
        <v>137</v>
      </c>
      <c r="C9885" s="128" t="s">
        <v>23</v>
      </c>
      <c r="D9885" s="128" t="s">
        <v>76</v>
      </c>
      <c r="E9885" s="128" t="s">
        <v>134</v>
      </c>
      <c r="F9885" s="128">
        <v>43422021.369999997</v>
      </c>
      <c r="G9885" s="128">
        <v>19281766.199999999</v>
      </c>
      <c r="H9885" s="128">
        <v>24140247.039999999</v>
      </c>
      <c r="I9885" s="128">
        <v>168455</v>
      </c>
    </row>
    <row r="9886" spans="1:9" ht="13.5">
      <c r="A9886" s="128">
        <v>2017</v>
      </c>
      <c r="B9886" s="128" t="s">
        <v>137</v>
      </c>
      <c r="C9886" s="128" t="s">
        <v>23</v>
      </c>
      <c r="D9886" s="128" t="s">
        <v>76</v>
      </c>
      <c r="E9886" s="128" t="s">
        <v>135</v>
      </c>
      <c r="F9886" s="128">
        <v>1417010.23</v>
      </c>
      <c r="G9886" s="128">
        <v>377485.1</v>
      </c>
      <c r="H9886" s="128">
        <v>1039525.13</v>
      </c>
      <c r="I9886" s="128">
        <v>1440</v>
      </c>
    </row>
    <row r="9887" spans="1:9" ht="13.5">
      <c r="A9887" s="128">
        <v>2017</v>
      </c>
      <c r="B9887" s="128" t="s">
        <v>137</v>
      </c>
      <c r="C9887" s="128" t="s">
        <v>24</v>
      </c>
      <c r="D9887" s="128" t="s">
        <v>79</v>
      </c>
      <c r="E9887" s="128" t="s">
        <v>136</v>
      </c>
      <c r="F9887" s="128">
        <v>2448805.85</v>
      </c>
      <c r="G9887" s="128">
        <v>1838515.11</v>
      </c>
      <c r="H9887" s="128">
        <v>609450.74</v>
      </c>
      <c r="I9887" s="128">
        <v>45121</v>
      </c>
    </row>
    <row r="9888" spans="1:9" ht="13.5">
      <c r="A9888" s="128">
        <v>2017</v>
      </c>
      <c r="B9888" s="128" t="s">
        <v>137</v>
      </c>
      <c r="C9888" s="128" t="s">
        <v>24</v>
      </c>
      <c r="D9888" s="128" t="s">
        <v>79</v>
      </c>
      <c r="E9888" s="128" t="s">
        <v>132</v>
      </c>
      <c r="F9888" s="128">
        <v>472125.48</v>
      </c>
      <c r="G9888" s="128">
        <v>313638.24</v>
      </c>
      <c r="H9888" s="128">
        <v>119815.32</v>
      </c>
      <c r="I9888" s="128">
        <v>3129</v>
      </c>
    </row>
    <row r="9889" spans="1:9" ht="13.5">
      <c r="A9889" s="128">
        <v>2017</v>
      </c>
      <c r="B9889" s="128" t="s">
        <v>137</v>
      </c>
      <c r="C9889" s="128" t="s">
        <v>24</v>
      </c>
      <c r="D9889" s="128" t="s">
        <v>79</v>
      </c>
      <c r="E9889" s="128" t="s">
        <v>133</v>
      </c>
      <c r="F9889" s="128">
        <v>1281970.99</v>
      </c>
      <c r="G9889" s="128">
        <v>675827.65</v>
      </c>
      <c r="H9889" s="128">
        <v>253399.11</v>
      </c>
      <c r="I9889" s="128">
        <v>17960</v>
      </c>
    </row>
    <row r="9890" spans="1:9" ht="13.5">
      <c r="A9890" s="128">
        <v>2017</v>
      </c>
      <c r="B9890" s="128" t="s">
        <v>137</v>
      </c>
      <c r="C9890" s="128" t="s">
        <v>24</v>
      </c>
      <c r="D9890" s="128" t="s">
        <v>79</v>
      </c>
      <c r="E9890" s="128" t="s">
        <v>134</v>
      </c>
      <c r="F9890" s="128">
        <v>1941330.72</v>
      </c>
      <c r="G9890" s="128">
        <v>846390.2</v>
      </c>
      <c r="H9890" s="128">
        <v>354829.27</v>
      </c>
      <c r="I9890" s="128">
        <v>6191</v>
      </c>
    </row>
    <row r="9891" spans="1:9" ht="13.5">
      <c r="A9891" s="128">
        <v>2017</v>
      </c>
      <c r="B9891" s="128" t="s">
        <v>137</v>
      </c>
      <c r="C9891" s="128" t="s">
        <v>24</v>
      </c>
      <c r="D9891" s="128" t="s">
        <v>79</v>
      </c>
      <c r="E9891" s="128" t="s">
        <v>135</v>
      </c>
      <c r="F9891" s="128">
        <v>6944362.0300000003</v>
      </c>
      <c r="G9891" s="128">
        <v>1565631.85</v>
      </c>
      <c r="H9891" s="128">
        <v>561730.49</v>
      </c>
      <c r="I9891" s="128">
        <v>10486</v>
      </c>
    </row>
    <row r="9892" spans="1:9" ht="13.5">
      <c r="A9892" s="128">
        <v>2017</v>
      </c>
      <c r="B9892" s="128" t="s">
        <v>137</v>
      </c>
      <c r="C9892" s="128" t="s">
        <v>24</v>
      </c>
      <c r="D9892" s="128" t="s">
        <v>77</v>
      </c>
      <c r="E9892" s="128" t="s">
        <v>132</v>
      </c>
      <c r="F9892" s="128">
        <v>2656354.98</v>
      </c>
      <c r="G9892" s="128">
        <v>1818566.2</v>
      </c>
      <c r="H9892" s="128">
        <v>798288.53</v>
      </c>
      <c r="I9892" s="128">
        <v>15593</v>
      </c>
    </row>
    <row r="9893" spans="1:9" ht="13.5">
      <c r="A9893" s="128">
        <v>2017</v>
      </c>
      <c r="B9893" s="128" t="s">
        <v>137</v>
      </c>
      <c r="C9893" s="128" t="s">
        <v>24</v>
      </c>
      <c r="D9893" s="128" t="s">
        <v>77</v>
      </c>
      <c r="E9893" s="128" t="s">
        <v>133</v>
      </c>
      <c r="F9893" s="128">
        <v>4657991.97</v>
      </c>
      <c r="G9893" s="128">
        <v>2510911.94</v>
      </c>
      <c r="H9893" s="128">
        <v>1934490.44</v>
      </c>
      <c r="I9893" s="128">
        <v>36781</v>
      </c>
    </row>
    <row r="9894" spans="1:9" ht="13.5">
      <c r="A9894" s="128">
        <v>2017</v>
      </c>
      <c r="B9894" s="128" t="s">
        <v>137</v>
      </c>
      <c r="C9894" s="128" t="s">
        <v>24</v>
      </c>
      <c r="D9894" s="128" t="s">
        <v>77</v>
      </c>
      <c r="E9894" s="128" t="s">
        <v>134</v>
      </c>
      <c r="F9894" s="128">
        <v>9082367.9399999995</v>
      </c>
      <c r="G9894" s="128">
        <v>4036179.46</v>
      </c>
      <c r="H9894" s="128">
        <v>3685037.85</v>
      </c>
      <c r="I9894" s="128">
        <v>20929</v>
      </c>
    </row>
    <row r="9895" spans="1:9" ht="13.5">
      <c r="A9895" s="128">
        <v>2017</v>
      </c>
      <c r="B9895" s="128" t="s">
        <v>137</v>
      </c>
      <c r="C9895" s="128" t="s">
        <v>24</v>
      </c>
      <c r="D9895" s="128" t="s">
        <v>77</v>
      </c>
      <c r="E9895" s="128" t="s">
        <v>135</v>
      </c>
      <c r="F9895" s="128">
        <v>16533642.460000001</v>
      </c>
      <c r="G9895" s="128">
        <v>4217318.7</v>
      </c>
      <c r="H9895" s="128">
        <v>3108198.49</v>
      </c>
      <c r="I9895" s="128">
        <v>43585</v>
      </c>
    </row>
    <row r="9896" spans="1:9" ht="13.5">
      <c r="A9896" s="128">
        <v>2017</v>
      </c>
      <c r="B9896" s="128" t="s">
        <v>137</v>
      </c>
      <c r="C9896" s="128" t="s">
        <v>24</v>
      </c>
      <c r="D9896" s="128" t="s">
        <v>76</v>
      </c>
      <c r="E9896" s="128" t="s">
        <v>136</v>
      </c>
      <c r="F9896" s="128">
        <v>8510782.6199999992</v>
      </c>
      <c r="G9896" s="128">
        <v>6399427.46</v>
      </c>
      <c r="H9896" s="128">
        <v>2111508.63</v>
      </c>
      <c r="I9896" s="128">
        <v>159475</v>
      </c>
    </row>
    <row r="9897" spans="1:9" ht="13.5">
      <c r="A9897" s="128">
        <v>2017</v>
      </c>
      <c r="B9897" s="128" t="s">
        <v>137</v>
      </c>
      <c r="C9897" s="128" t="s">
        <v>24</v>
      </c>
      <c r="D9897" s="128" t="s">
        <v>76</v>
      </c>
      <c r="E9897" s="128" t="s">
        <v>132</v>
      </c>
      <c r="F9897" s="128">
        <v>7792185.9900000002</v>
      </c>
      <c r="G9897" s="128">
        <v>5060745.51</v>
      </c>
      <c r="H9897" s="128">
        <v>2731433.68</v>
      </c>
      <c r="I9897" s="128">
        <v>61259</v>
      </c>
    </row>
    <row r="9898" spans="1:9" ht="13.5">
      <c r="A9898" s="128">
        <v>2017</v>
      </c>
      <c r="B9898" s="128" t="s">
        <v>137</v>
      </c>
      <c r="C9898" s="128" t="s">
        <v>24</v>
      </c>
      <c r="D9898" s="128" t="s">
        <v>76</v>
      </c>
      <c r="E9898" s="128" t="s">
        <v>133</v>
      </c>
      <c r="F9898" s="128">
        <v>43176244.18</v>
      </c>
      <c r="G9898" s="128">
        <v>23989275.23</v>
      </c>
      <c r="H9898" s="128">
        <v>19186892.23</v>
      </c>
      <c r="I9898" s="128">
        <v>332181</v>
      </c>
    </row>
    <row r="9899" spans="1:9" ht="13.5">
      <c r="A9899" s="128">
        <v>2017</v>
      </c>
      <c r="B9899" s="128" t="s">
        <v>137</v>
      </c>
      <c r="C9899" s="128" t="s">
        <v>24</v>
      </c>
      <c r="D9899" s="128" t="s">
        <v>76</v>
      </c>
      <c r="E9899" s="128" t="s">
        <v>134</v>
      </c>
      <c r="F9899" s="128">
        <v>56183779.960000001</v>
      </c>
      <c r="G9899" s="128">
        <v>24808613.399999999</v>
      </c>
      <c r="H9899" s="128">
        <v>31375162.420000002</v>
      </c>
      <c r="I9899" s="128">
        <v>258812</v>
      </c>
    </row>
    <row r="9900" spans="1:9" ht="13.5">
      <c r="A9900" s="128">
        <v>2017</v>
      </c>
      <c r="B9900" s="128" t="s">
        <v>137</v>
      </c>
      <c r="C9900" s="128" t="s">
        <v>24</v>
      </c>
      <c r="D9900" s="128" t="s">
        <v>76</v>
      </c>
      <c r="E9900" s="128" t="s">
        <v>135</v>
      </c>
      <c r="F9900" s="128">
        <v>2984899.17</v>
      </c>
      <c r="G9900" s="128">
        <v>785546.95</v>
      </c>
      <c r="H9900" s="128">
        <v>2199352.12</v>
      </c>
      <c r="I9900" s="128">
        <v>2060</v>
      </c>
    </row>
    <row r="9901" spans="1:9" ht="13.5">
      <c r="A9901" s="128">
        <v>2017</v>
      </c>
      <c r="B9901" s="128" t="s">
        <v>137</v>
      </c>
      <c r="C9901" s="128" t="s">
        <v>25</v>
      </c>
      <c r="D9901" s="128" t="s">
        <v>79</v>
      </c>
      <c r="E9901" s="128" t="s">
        <v>136</v>
      </c>
      <c r="F9901" s="128">
        <v>422344.47</v>
      </c>
      <c r="G9901" s="128">
        <v>317436.25</v>
      </c>
      <c r="H9901" s="128">
        <v>104859.91</v>
      </c>
      <c r="I9901" s="128">
        <v>3558</v>
      </c>
    </row>
    <row r="9902" spans="1:9" ht="13.5">
      <c r="A9902" s="128">
        <v>2017</v>
      </c>
      <c r="B9902" s="128" t="s">
        <v>137</v>
      </c>
      <c r="C9902" s="128" t="s">
        <v>25</v>
      </c>
      <c r="D9902" s="128" t="s">
        <v>79</v>
      </c>
      <c r="E9902" s="128" t="s">
        <v>132</v>
      </c>
      <c r="F9902" s="128">
        <v>201444.3</v>
      </c>
      <c r="G9902" s="128">
        <v>129080.71</v>
      </c>
      <c r="H9902" s="128">
        <v>60617.1</v>
      </c>
      <c r="I9902" s="128">
        <v>1051</v>
      </c>
    </row>
    <row r="9903" spans="1:9" ht="13.5">
      <c r="A9903" s="128">
        <v>2017</v>
      </c>
      <c r="B9903" s="128" t="s">
        <v>137</v>
      </c>
      <c r="C9903" s="128" t="s">
        <v>25</v>
      </c>
      <c r="D9903" s="128" t="s">
        <v>79</v>
      </c>
      <c r="E9903" s="128" t="s">
        <v>133</v>
      </c>
      <c r="F9903" s="128">
        <v>239158.38</v>
      </c>
      <c r="G9903" s="128">
        <v>133961.60000000001</v>
      </c>
      <c r="H9903" s="128">
        <v>82698.39</v>
      </c>
      <c r="I9903" s="128">
        <v>2825</v>
      </c>
    </row>
    <row r="9904" spans="1:9" ht="13.5">
      <c r="A9904" s="128">
        <v>2017</v>
      </c>
      <c r="B9904" s="128" t="s">
        <v>137</v>
      </c>
      <c r="C9904" s="128" t="s">
        <v>25</v>
      </c>
      <c r="D9904" s="128" t="s">
        <v>79</v>
      </c>
      <c r="E9904" s="128" t="s">
        <v>134</v>
      </c>
      <c r="F9904" s="128">
        <v>398151.81</v>
      </c>
      <c r="G9904" s="128">
        <v>177187.44</v>
      </c>
      <c r="H9904" s="128">
        <v>129160.61</v>
      </c>
      <c r="I9904" s="128">
        <v>1722</v>
      </c>
    </row>
    <row r="9905" spans="1:9" ht="13.5">
      <c r="A9905" s="128">
        <v>2017</v>
      </c>
      <c r="B9905" s="128" t="s">
        <v>137</v>
      </c>
      <c r="C9905" s="128" t="s">
        <v>25</v>
      </c>
      <c r="D9905" s="128" t="s">
        <v>79</v>
      </c>
      <c r="E9905" s="128" t="s">
        <v>135</v>
      </c>
      <c r="F9905" s="128">
        <v>1660771.81</v>
      </c>
      <c r="G9905" s="128">
        <v>381410.71</v>
      </c>
      <c r="H9905" s="128">
        <v>140390.51999999999</v>
      </c>
      <c r="I9905" s="128">
        <v>1434</v>
      </c>
    </row>
    <row r="9906" spans="1:9" ht="13.5">
      <c r="A9906" s="128">
        <v>2017</v>
      </c>
      <c r="B9906" s="128" t="s">
        <v>137</v>
      </c>
      <c r="C9906" s="128" t="s">
        <v>25</v>
      </c>
      <c r="D9906" s="128" t="s">
        <v>77</v>
      </c>
      <c r="E9906" s="128" t="s">
        <v>132</v>
      </c>
      <c r="F9906" s="128">
        <v>200209.84</v>
      </c>
      <c r="G9906" s="128">
        <v>133520.85</v>
      </c>
      <c r="H9906" s="128">
        <v>55298.48</v>
      </c>
      <c r="I9906" s="128">
        <v>1354</v>
      </c>
    </row>
    <row r="9907" spans="1:9" ht="13.5">
      <c r="A9907" s="128">
        <v>2017</v>
      </c>
      <c r="B9907" s="128" t="s">
        <v>137</v>
      </c>
      <c r="C9907" s="128" t="s">
        <v>25</v>
      </c>
      <c r="D9907" s="128" t="s">
        <v>77</v>
      </c>
      <c r="E9907" s="128" t="s">
        <v>133</v>
      </c>
      <c r="F9907" s="128">
        <v>380639.08</v>
      </c>
      <c r="G9907" s="128">
        <v>206008.32000000001</v>
      </c>
      <c r="H9907" s="128">
        <v>157972.71</v>
      </c>
      <c r="I9907" s="128">
        <v>1068</v>
      </c>
    </row>
    <row r="9908" spans="1:9" ht="13.5">
      <c r="A9908" s="128">
        <v>2017</v>
      </c>
      <c r="B9908" s="128" t="s">
        <v>137</v>
      </c>
      <c r="C9908" s="128" t="s">
        <v>25</v>
      </c>
      <c r="D9908" s="128" t="s">
        <v>77</v>
      </c>
      <c r="E9908" s="128" t="s">
        <v>134</v>
      </c>
      <c r="F9908" s="128">
        <v>1123867.17</v>
      </c>
      <c r="G9908" s="128">
        <v>476445.92</v>
      </c>
      <c r="H9908" s="128">
        <v>490768.74</v>
      </c>
      <c r="I9908" s="128">
        <v>2389</v>
      </c>
    </row>
    <row r="9909" spans="1:9" ht="13.5">
      <c r="A9909" s="128">
        <v>2017</v>
      </c>
      <c r="B9909" s="128" t="s">
        <v>137</v>
      </c>
      <c r="C9909" s="128" t="s">
        <v>25</v>
      </c>
      <c r="D9909" s="128" t="s">
        <v>77</v>
      </c>
      <c r="E9909" s="128" t="s">
        <v>135</v>
      </c>
      <c r="F9909" s="128">
        <v>2047220.87</v>
      </c>
      <c r="G9909" s="128">
        <v>606812.1</v>
      </c>
      <c r="H9909" s="128">
        <v>724676.58</v>
      </c>
      <c r="I9909" s="128">
        <v>6132</v>
      </c>
    </row>
    <row r="9910" spans="1:9" ht="13.5">
      <c r="A9910" s="128">
        <v>2017</v>
      </c>
      <c r="B9910" s="128" t="s">
        <v>137</v>
      </c>
      <c r="C9910" s="128" t="s">
        <v>25</v>
      </c>
      <c r="D9910" s="128" t="s">
        <v>76</v>
      </c>
      <c r="E9910" s="128" t="s">
        <v>136</v>
      </c>
      <c r="F9910" s="128">
        <v>2243129.75</v>
      </c>
      <c r="G9910" s="128">
        <v>1684167.17</v>
      </c>
      <c r="H9910" s="128">
        <v>558961.89</v>
      </c>
      <c r="I9910" s="128">
        <v>39684</v>
      </c>
    </row>
    <row r="9911" spans="1:9" ht="13.5">
      <c r="A9911" s="128">
        <v>2017</v>
      </c>
      <c r="B9911" s="128" t="s">
        <v>137</v>
      </c>
      <c r="C9911" s="128" t="s">
        <v>25</v>
      </c>
      <c r="D9911" s="128" t="s">
        <v>76</v>
      </c>
      <c r="E9911" s="128" t="s">
        <v>132</v>
      </c>
      <c r="F9911" s="128">
        <v>3152879.6</v>
      </c>
      <c r="G9911" s="128">
        <v>1998129.81</v>
      </c>
      <c r="H9911" s="128">
        <v>1154747.0900000001</v>
      </c>
      <c r="I9911" s="128">
        <v>25269</v>
      </c>
    </row>
    <row r="9912" spans="1:9" ht="13.5">
      <c r="A9912" s="128">
        <v>2017</v>
      </c>
      <c r="B9912" s="128" t="s">
        <v>137</v>
      </c>
      <c r="C9912" s="128" t="s">
        <v>25</v>
      </c>
      <c r="D9912" s="128" t="s">
        <v>76</v>
      </c>
      <c r="E9912" s="128" t="s">
        <v>133</v>
      </c>
      <c r="F9912" s="128">
        <v>8419093.8699999992</v>
      </c>
      <c r="G9912" s="128">
        <v>4606395.67</v>
      </c>
      <c r="H9912" s="128">
        <v>3812690.43</v>
      </c>
      <c r="I9912" s="128">
        <v>55227</v>
      </c>
    </row>
    <row r="9913" spans="1:9" ht="13.5">
      <c r="A9913" s="128">
        <v>2017</v>
      </c>
      <c r="B9913" s="128" t="s">
        <v>137</v>
      </c>
      <c r="C9913" s="128" t="s">
        <v>25</v>
      </c>
      <c r="D9913" s="128" t="s">
        <v>76</v>
      </c>
      <c r="E9913" s="128" t="s">
        <v>134</v>
      </c>
      <c r="F9913" s="128">
        <v>11067137.27</v>
      </c>
      <c r="G9913" s="128">
        <v>5044666.6399999997</v>
      </c>
      <c r="H9913" s="128">
        <v>6022465.79</v>
      </c>
      <c r="I9913" s="128">
        <v>52237</v>
      </c>
    </row>
    <row r="9914" spans="1:9" ht="13.5">
      <c r="A9914" s="128">
        <v>2017</v>
      </c>
      <c r="B9914" s="128" t="s">
        <v>137</v>
      </c>
      <c r="C9914" s="128" t="s">
        <v>25</v>
      </c>
      <c r="D9914" s="128" t="s">
        <v>76</v>
      </c>
      <c r="E9914" s="128" t="s">
        <v>135</v>
      </c>
      <c r="F9914" s="128">
        <v>401549.19</v>
      </c>
      <c r="G9914" s="128">
        <v>110525.1</v>
      </c>
      <c r="H9914" s="128">
        <v>291024.09000000003</v>
      </c>
      <c r="I9914" s="128">
        <v>352</v>
      </c>
    </row>
    <row r="9915" spans="1:9" ht="13.5">
      <c r="A9915" s="128">
        <v>2017</v>
      </c>
      <c r="B9915" s="128" t="s">
        <v>137</v>
      </c>
      <c r="C9915" s="128" t="s">
        <v>26</v>
      </c>
      <c r="D9915" s="128" t="s">
        <v>79</v>
      </c>
      <c r="E9915" s="128" t="s">
        <v>136</v>
      </c>
      <c r="F9915" s="128">
        <v>1090623.71</v>
      </c>
      <c r="G9915" s="128">
        <v>818469.21</v>
      </c>
      <c r="H9915" s="128">
        <v>268654.59999999998</v>
      </c>
      <c r="I9915" s="128">
        <v>9485</v>
      </c>
    </row>
    <row r="9916" spans="1:9" ht="13.5">
      <c r="A9916" s="128">
        <v>2017</v>
      </c>
      <c r="B9916" s="128" t="s">
        <v>137</v>
      </c>
      <c r="C9916" s="128" t="s">
        <v>26</v>
      </c>
      <c r="D9916" s="128" t="s">
        <v>79</v>
      </c>
      <c r="E9916" s="128" t="s">
        <v>132</v>
      </c>
      <c r="F9916" s="128">
        <v>101988.23</v>
      </c>
      <c r="G9916" s="128">
        <v>69610.070000000007</v>
      </c>
      <c r="H9916" s="128">
        <v>24949.8</v>
      </c>
      <c r="I9916" s="128">
        <v>446</v>
      </c>
    </row>
    <row r="9917" spans="1:9" ht="13.5">
      <c r="A9917" s="128">
        <v>2017</v>
      </c>
      <c r="B9917" s="128" t="s">
        <v>137</v>
      </c>
      <c r="C9917" s="128" t="s">
        <v>26</v>
      </c>
      <c r="D9917" s="128" t="s">
        <v>79</v>
      </c>
      <c r="E9917" s="128" t="s">
        <v>133</v>
      </c>
      <c r="F9917" s="128">
        <v>137601.45000000001</v>
      </c>
      <c r="G9917" s="128">
        <v>76246.81</v>
      </c>
      <c r="H9917" s="128">
        <v>28205.05</v>
      </c>
      <c r="I9917" s="128">
        <v>496</v>
      </c>
    </row>
    <row r="9918" spans="1:9" ht="13.5">
      <c r="A9918" s="128">
        <v>2017</v>
      </c>
      <c r="B9918" s="128" t="s">
        <v>137</v>
      </c>
      <c r="C9918" s="128" t="s">
        <v>26</v>
      </c>
      <c r="D9918" s="128" t="s">
        <v>79</v>
      </c>
      <c r="E9918" s="128" t="s">
        <v>134</v>
      </c>
      <c r="F9918" s="128">
        <v>642928.74</v>
      </c>
      <c r="G9918" s="128">
        <v>271801.25</v>
      </c>
      <c r="H9918" s="128">
        <v>111194.25</v>
      </c>
      <c r="I9918" s="128">
        <v>2259</v>
      </c>
    </row>
    <row r="9919" spans="1:9" ht="13.5">
      <c r="A9919" s="128">
        <v>2017</v>
      </c>
      <c r="B9919" s="128" t="s">
        <v>137</v>
      </c>
      <c r="C9919" s="128" t="s">
        <v>26</v>
      </c>
      <c r="D9919" s="128" t="s">
        <v>79</v>
      </c>
      <c r="E9919" s="128" t="s">
        <v>135</v>
      </c>
      <c r="F9919" s="128">
        <v>6677757.8099999996</v>
      </c>
      <c r="G9919" s="128">
        <v>1518735.47</v>
      </c>
      <c r="H9919" s="128">
        <v>511918</v>
      </c>
      <c r="I9919" s="128">
        <v>6784</v>
      </c>
    </row>
    <row r="9920" spans="1:9" ht="13.5">
      <c r="A9920" s="128">
        <v>2017</v>
      </c>
      <c r="B9920" s="128" t="s">
        <v>137</v>
      </c>
      <c r="C9920" s="128" t="s">
        <v>26</v>
      </c>
      <c r="D9920" s="128" t="s">
        <v>77</v>
      </c>
      <c r="E9920" s="128" t="s">
        <v>132</v>
      </c>
      <c r="F9920" s="128">
        <v>85743.24</v>
      </c>
      <c r="G9920" s="128">
        <v>53846.2</v>
      </c>
      <c r="H9920" s="128">
        <v>25335.55</v>
      </c>
      <c r="I9920" s="128">
        <v>434</v>
      </c>
    </row>
    <row r="9921" spans="1:9" ht="13.5">
      <c r="A9921" s="128">
        <v>2017</v>
      </c>
      <c r="B9921" s="128" t="s">
        <v>137</v>
      </c>
      <c r="C9921" s="128" t="s">
        <v>26</v>
      </c>
      <c r="D9921" s="128" t="s">
        <v>77</v>
      </c>
      <c r="E9921" s="128" t="s">
        <v>133</v>
      </c>
      <c r="F9921" s="128">
        <v>162104.57</v>
      </c>
      <c r="G9921" s="128">
        <v>88926.51</v>
      </c>
      <c r="H9921" s="128">
        <v>64408.15</v>
      </c>
      <c r="I9921" s="128">
        <v>464</v>
      </c>
    </row>
    <row r="9922" spans="1:9" ht="13.5">
      <c r="A9922" s="128">
        <v>2017</v>
      </c>
      <c r="B9922" s="128" t="s">
        <v>137</v>
      </c>
      <c r="C9922" s="128" t="s">
        <v>26</v>
      </c>
      <c r="D9922" s="128" t="s">
        <v>77</v>
      </c>
      <c r="E9922" s="128" t="s">
        <v>134</v>
      </c>
      <c r="F9922" s="128">
        <v>450913.67</v>
      </c>
      <c r="G9922" s="128">
        <v>193250.95</v>
      </c>
      <c r="H9922" s="128">
        <v>204606.2</v>
      </c>
      <c r="I9922" s="128">
        <v>1398</v>
      </c>
    </row>
    <row r="9923" spans="1:9" ht="13.5">
      <c r="A9923" s="128">
        <v>2017</v>
      </c>
      <c r="B9923" s="128" t="s">
        <v>137</v>
      </c>
      <c r="C9923" s="128" t="s">
        <v>26</v>
      </c>
      <c r="D9923" s="128" t="s">
        <v>77</v>
      </c>
      <c r="E9923" s="128" t="s">
        <v>135</v>
      </c>
      <c r="F9923" s="128">
        <v>2819484.57</v>
      </c>
      <c r="G9923" s="128">
        <v>735475.86</v>
      </c>
      <c r="H9923" s="128">
        <v>821976.24</v>
      </c>
      <c r="I9923" s="128">
        <v>9778</v>
      </c>
    </row>
    <row r="9924" spans="1:9" ht="13.5">
      <c r="A9924" s="128">
        <v>2017</v>
      </c>
      <c r="B9924" s="128" t="s">
        <v>137</v>
      </c>
      <c r="C9924" s="128" t="s">
        <v>26</v>
      </c>
      <c r="D9924" s="128" t="s">
        <v>76</v>
      </c>
      <c r="E9924" s="128" t="s">
        <v>136</v>
      </c>
      <c r="F9924" s="128">
        <v>467916.31</v>
      </c>
      <c r="G9924" s="128">
        <v>351698.7</v>
      </c>
      <c r="H9924" s="128">
        <v>116232.57</v>
      </c>
      <c r="I9924" s="128">
        <v>14663</v>
      </c>
    </row>
    <row r="9925" spans="1:9" ht="13.5">
      <c r="A9925" s="128">
        <v>2017</v>
      </c>
      <c r="B9925" s="128" t="s">
        <v>137</v>
      </c>
      <c r="C9925" s="128" t="s">
        <v>26</v>
      </c>
      <c r="D9925" s="128" t="s">
        <v>76</v>
      </c>
      <c r="E9925" s="128" t="s">
        <v>132</v>
      </c>
      <c r="F9925" s="128">
        <v>1532892.77</v>
      </c>
      <c r="G9925" s="128">
        <v>973006.75</v>
      </c>
      <c r="H9925" s="128">
        <v>559884.68999999994</v>
      </c>
      <c r="I9925" s="128">
        <v>15331</v>
      </c>
    </row>
    <row r="9926" spans="1:9" ht="13.5">
      <c r="A9926" s="128">
        <v>2017</v>
      </c>
      <c r="B9926" s="128" t="s">
        <v>137</v>
      </c>
      <c r="C9926" s="128" t="s">
        <v>26</v>
      </c>
      <c r="D9926" s="128" t="s">
        <v>76</v>
      </c>
      <c r="E9926" s="128" t="s">
        <v>133</v>
      </c>
      <c r="F9926" s="128">
        <v>3537725.01</v>
      </c>
      <c r="G9926" s="128">
        <v>1948881.14</v>
      </c>
      <c r="H9926" s="128">
        <v>1588840.05</v>
      </c>
      <c r="I9926" s="128">
        <v>27813</v>
      </c>
    </row>
    <row r="9927" spans="1:9" ht="13.5">
      <c r="A9927" s="128">
        <v>2017</v>
      </c>
      <c r="B9927" s="128" t="s">
        <v>137</v>
      </c>
      <c r="C9927" s="128" t="s">
        <v>26</v>
      </c>
      <c r="D9927" s="128" t="s">
        <v>76</v>
      </c>
      <c r="E9927" s="128" t="s">
        <v>134</v>
      </c>
      <c r="F9927" s="128">
        <v>2482712.7599999998</v>
      </c>
      <c r="G9927" s="128">
        <v>1127714.58</v>
      </c>
      <c r="H9927" s="128">
        <v>1354972.49</v>
      </c>
      <c r="I9927" s="128">
        <v>14671</v>
      </c>
    </row>
    <row r="9928" spans="1:9" ht="13.5">
      <c r="A9928" s="128">
        <v>2017</v>
      </c>
      <c r="B9928" s="128" t="s">
        <v>137</v>
      </c>
      <c r="C9928" s="128" t="s">
        <v>26</v>
      </c>
      <c r="D9928" s="128" t="s">
        <v>76</v>
      </c>
      <c r="E9928" s="128" t="s">
        <v>135</v>
      </c>
      <c r="F9928" s="128">
        <v>250859.05</v>
      </c>
      <c r="G9928" s="128">
        <v>73601.649999999994</v>
      </c>
      <c r="H9928" s="128">
        <v>177257.4</v>
      </c>
      <c r="I9928" s="128">
        <v>479</v>
      </c>
    </row>
    <row r="9929" spans="1:9" ht="13.5">
      <c r="A9929" s="128">
        <v>2017</v>
      </c>
      <c r="B9929" s="128" t="s">
        <v>137</v>
      </c>
      <c r="C9929" s="128" t="s">
        <v>27</v>
      </c>
      <c r="D9929" s="128" t="s">
        <v>79</v>
      </c>
      <c r="E9929" s="128" t="s">
        <v>136</v>
      </c>
      <c r="F9929" s="128">
        <v>355952.65</v>
      </c>
      <c r="G9929" s="128">
        <v>267150.34999999998</v>
      </c>
      <c r="H9929" s="128">
        <v>88802.3</v>
      </c>
      <c r="I9929" s="128">
        <v>1982</v>
      </c>
    </row>
    <row r="9930" spans="1:9" ht="13.5">
      <c r="A9930" s="128">
        <v>2017</v>
      </c>
      <c r="B9930" s="128" t="s">
        <v>137</v>
      </c>
      <c r="C9930" s="128" t="s">
        <v>27</v>
      </c>
      <c r="D9930" s="128" t="s">
        <v>79</v>
      </c>
      <c r="E9930" s="128" t="s">
        <v>132</v>
      </c>
      <c r="F9930" s="128">
        <v>62157.8</v>
      </c>
      <c r="G9930" s="128">
        <v>39424.99</v>
      </c>
      <c r="H9930" s="128">
        <v>20163</v>
      </c>
      <c r="I9930" s="128">
        <v>261</v>
      </c>
    </row>
    <row r="9931" spans="1:9" ht="13.5">
      <c r="A9931" s="128">
        <v>2017</v>
      </c>
      <c r="B9931" s="128" t="s">
        <v>137</v>
      </c>
      <c r="C9931" s="128" t="s">
        <v>27</v>
      </c>
      <c r="D9931" s="128" t="s">
        <v>79</v>
      </c>
      <c r="E9931" s="128" t="s">
        <v>133</v>
      </c>
      <c r="F9931" s="128">
        <v>48812.75</v>
      </c>
      <c r="G9931" s="128">
        <v>26635.66</v>
      </c>
      <c r="H9931" s="128">
        <v>10877.2</v>
      </c>
      <c r="I9931" s="128">
        <v>398</v>
      </c>
    </row>
    <row r="9932" spans="1:9" ht="13.5">
      <c r="A9932" s="128">
        <v>2017</v>
      </c>
      <c r="B9932" s="128" t="s">
        <v>137</v>
      </c>
      <c r="C9932" s="128" t="s">
        <v>27</v>
      </c>
      <c r="D9932" s="128" t="s">
        <v>79</v>
      </c>
      <c r="E9932" s="128" t="s">
        <v>134</v>
      </c>
      <c r="F9932" s="128">
        <v>98904.01</v>
      </c>
      <c r="G9932" s="128">
        <v>43220.09</v>
      </c>
      <c r="H9932" s="128">
        <v>31686.75</v>
      </c>
      <c r="I9932" s="128">
        <v>337</v>
      </c>
    </row>
    <row r="9933" spans="1:9" ht="13.5">
      <c r="A9933" s="128">
        <v>2017</v>
      </c>
      <c r="B9933" s="128" t="s">
        <v>137</v>
      </c>
      <c r="C9933" s="128" t="s">
        <v>27</v>
      </c>
      <c r="D9933" s="128" t="s">
        <v>79</v>
      </c>
      <c r="E9933" s="128" t="s">
        <v>135</v>
      </c>
      <c r="F9933" s="128">
        <v>962076.91</v>
      </c>
      <c r="G9933" s="128">
        <v>234012.95</v>
      </c>
      <c r="H9933" s="128">
        <v>82913.95</v>
      </c>
      <c r="I9933" s="128">
        <v>900</v>
      </c>
    </row>
    <row r="9934" spans="1:9" ht="13.5">
      <c r="A9934" s="128">
        <v>2017</v>
      </c>
      <c r="B9934" s="128" t="s">
        <v>137</v>
      </c>
      <c r="C9934" s="128" t="s">
        <v>27</v>
      </c>
      <c r="D9934" s="128" t="s">
        <v>77</v>
      </c>
      <c r="E9934" s="128" t="s">
        <v>132</v>
      </c>
      <c r="F9934" s="128">
        <v>32827.11</v>
      </c>
      <c r="G9934" s="128">
        <v>21549.9</v>
      </c>
      <c r="H9934" s="128">
        <v>8945.6</v>
      </c>
      <c r="I9934" s="128">
        <v>254</v>
      </c>
    </row>
    <row r="9935" spans="1:9" ht="13.5">
      <c r="A9935" s="128">
        <v>2017</v>
      </c>
      <c r="B9935" s="128" t="s">
        <v>137</v>
      </c>
      <c r="C9935" s="128" t="s">
        <v>27</v>
      </c>
      <c r="D9935" s="128" t="s">
        <v>77</v>
      </c>
      <c r="E9935" s="128" t="s">
        <v>133</v>
      </c>
      <c r="F9935" s="128">
        <v>70094.81</v>
      </c>
      <c r="G9935" s="128">
        <v>38436.26</v>
      </c>
      <c r="H9935" s="128">
        <v>28501.73</v>
      </c>
      <c r="I9935" s="128">
        <v>300</v>
      </c>
    </row>
    <row r="9936" spans="1:9" ht="13.5">
      <c r="A9936" s="128">
        <v>2017</v>
      </c>
      <c r="B9936" s="128" t="s">
        <v>137</v>
      </c>
      <c r="C9936" s="128" t="s">
        <v>27</v>
      </c>
      <c r="D9936" s="128" t="s">
        <v>77</v>
      </c>
      <c r="E9936" s="128" t="s">
        <v>134</v>
      </c>
      <c r="F9936" s="128">
        <v>178685.64</v>
      </c>
      <c r="G9936" s="128">
        <v>77076.7</v>
      </c>
      <c r="H9936" s="128">
        <v>79931.490000000005</v>
      </c>
      <c r="I9936" s="128">
        <v>425</v>
      </c>
    </row>
    <row r="9937" spans="1:9" ht="13.5">
      <c r="A9937" s="128">
        <v>2017</v>
      </c>
      <c r="B9937" s="128" t="s">
        <v>137</v>
      </c>
      <c r="C9937" s="128" t="s">
        <v>27</v>
      </c>
      <c r="D9937" s="128" t="s">
        <v>77</v>
      </c>
      <c r="E9937" s="128" t="s">
        <v>135</v>
      </c>
      <c r="F9937" s="128">
        <v>475903.49</v>
      </c>
      <c r="G9937" s="128">
        <v>132284.70000000001</v>
      </c>
      <c r="H9937" s="128">
        <v>152416.42000000001</v>
      </c>
      <c r="I9937" s="128">
        <v>2004</v>
      </c>
    </row>
    <row r="9938" spans="1:9" ht="13.5">
      <c r="A9938" s="128">
        <v>2017</v>
      </c>
      <c r="B9938" s="128" t="s">
        <v>137</v>
      </c>
      <c r="C9938" s="128" t="s">
        <v>27</v>
      </c>
      <c r="D9938" s="128" t="s">
        <v>76</v>
      </c>
      <c r="E9938" s="128" t="s">
        <v>136</v>
      </c>
      <c r="F9938" s="128">
        <v>314826.96000000002</v>
      </c>
      <c r="G9938" s="128">
        <v>236314.22</v>
      </c>
      <c r="H9938" s="128">
        <v>78512.740000000005</v>
      </c>
      <c r="I9938" s="128">
        <v>4008</v>
      </c>
    </row>
    <row r="9939" spans="1:9" ht="13.5">
      <c r="A9939" s="128">
        <v>2017</v>
      </c>
      <c r="B9939" s="128" t="s">
        <v>137</v>
      </c>
      <c r="C9939" s="128" t="s">
        <v>27</v>
      </c>
      <c r="D9939" s="128" t="s">
        <v>76</v>
      </c>
      <c r="E9939" s="128" t="s">
        <v>132</v>
      </c>
      <c r="F9939" s="128">
        <v>591928.38</v>
      </c>
      <c r="G9939" s="128">
        <v>376529.74</v>
      </c>
      <c r="H9939" s="128">
        <v>215397.64</v>
      </c>
      <c r="I9939" s="128">
        <v>4009</v>
      </c>
    </row>
    <row r="9940" spans="1:9" ht="13.5">
      <c r="A9940" s="128">
        <v>2017</v>
      </c>
      <c r="B9940" s="128" t="s">
        <v>137</v>
      </c>
      <c r="C9940" s="128" t="s">
        <v>27</v>
      </c>
      <c r="D9940" s="128" t="s">
        <v>76</v>
      </c>
      <c r="E9940" s="128" t="s">
        <v>133</v>
      </c>
      <c r="F9940" s="128">
        <v>1233664.98</v>
      </c>
      <c r="G9940" s="128">
        <v>669366.4</v>
      </c>
      <c r="H9940" s="128">
        <v>564298.31999999995</v>
      </c>
      <c r="I9940" s="128">
        <v>5764</v>
      </c>
    </row>
    <row r="9941" spans="1:9" ht="13.5">
      <c r="A9941" s="128">
        <v>2017</v>
      </c>
      <c r="B9941" s="128" t="s">
        <v>137</v>
      </c>
      <c r="C9941" s="128" t="s">
        <v>27</v>
      </c>
      <c r="D9941" s="128" t="s">
        <v>76</v>
      </c>
      <c r="E9941" s="128" t="s">
        <v>134</v>
      </c>
      <c r="F9941" s="128">
        <v>2087678.32</v>
      </c>
      <c r="G9941" s="128">
        <v>958785.71</v>
      </c>
      <c r="H9941" s="128">
        <v>1128888.76</v>
      </c>
      <c r="I9941" s="128">
        <v>9527</v>
      </c>
    </row>
    <row r="9942" spans="1:9" ht="13.5">
      <c r="A9942" s="128">
        <v>2017</v>
      </c>
      <c r="B9942" s="128" t="s">
        <v>137</v>
      </c>
      <c r="C9942" s="128" t="s">
        <v>27</v>
      </c>
      <c r="D9942" s="128" t="s">
        <v>76</v>
      </c>
      <c r="E9942" s="128" t="s">
        <v>135</v>
      </c>
      <c r="F9942" s="128">
        <v>52857.760000000002</v>
      </c>
      <c r="G9942" s="128">
        <v>15800.9</v>
      </c>
      <c r="H9942" s="128">
        <v>37056.86</v>
      </c>
      <c r="I9942" s="128">
        <v>71</v>
      </c>
    </row>
    <row r="9943" spans="1:9" ht="13.5">
      <c r="A9943" s="128">
        <v>2018</v>
      </c>
      <c r="B9943" s="128" t="s">
        <v>131</v>
      </c>
      <c r="C9943" s="128" t="s">
        <v>20</v>
      </c>
      <c r="D9943" s="128" t="s">
        <v>79</v>
      </c>
      <c r="E9943" s="128" t="s">
        <v>136</v>
      </c>
      <c r="F9943" s="128">
        <v>32942284.170000002</v>
      </c>
      <c r="G9943" s="128">
        <v>24720497.82</v>
      </c>
      <c r="H9943" s="128">
        <v>8190755.4299999997</v>
      </c>
      <c r="I9943" s="128">
        <v>329823</v>
      </c>
    </row>
    <row r="9944" spans="1:9" ht="13.5">
      <c r="A9944" s="128">
        <v>2018</v>
      </c>
      <c r="B9944" s="128" t="s">
        <v>131</v>
      </c>
      <c r="C9944" s="128" t="s">
        <v>20</v>
      </c>
      <c r="D9944" s="128" t="s">
        <v>79</v>
      </c>
      <c r="E9944" s="128" t="s">
        <v>132</v>
      </c>
      <c r="F9944" s="128">
        <v>3516726.42</v>
      </c>
      <c r="G9944" s="128">
        <v>2317052.56</v>
      </c>
      <c r="H9944" s="128">
        <v>918517.64</v>
      </c>
      <c r="I9944" s="128">
        <v>18288</v>
      </c>
    </row>
    <row r="9945" spans="1:9" ht="13.5">
      <c r="A9945" s="128">
        <v>2018</v>
      </c>
      <c r="B9945" s="128" t="s">
        <v>131</v>
      </c>
      <c r="C9945" s="128" t="s">
        <v>20</v>
      </c>
      <c r="D9945" s="128" t="s">
        <v>79</v>
      </c>
      <c r="E9945" s="128" t="s">
        <v>133</v>
      </c>
      <c r="F9945" s="128">
        <v>3373634.42</v>
      </c>
      <c r="G9945" s="128">
        <v>1820652.97</v>
      </c>
      <c r="H9945" s="128">
        <v>1083502.93</v>
      </c>
      <c r="I9945" s="128">
        <v>16737</v>
      </c>
    </row>
    <row r="9946" spans="1:9" ht="13.5">
      <c r="A9946" s="128">
        <v>2018</v>
      </c>
      <c r="B9946" s="128" t="s">
        <v>131</v>
      </c>
      <c r="C9946" s="128" t="s">
        <v>20</v>
      </c>
      <c r="D9946" s="128" t="s">
        <v>79</v>
      </c>
      <c r="E9946" s="128" t="s">
        <v>134</v>
      </c>
      <c r="F9946" s="128">
        <v>8465778.0700000003</v>
      </c>
      <c r="G9946" s="128">
        <v>3692915.98</v>
      </c>
      <c r="H9946" s="128">
        <v>2225452.73</v>
      </c>
      <c r="I9946" s="128">
        <v>36603</v>
      </c>
    </row>
    <row r="9947" spans="1:9" ht="13.5">
      <c r="A9947" s="128">
        <v>2018</v>
      </c>
      <c r="B9947" s="128" t="s">
        <v>131</v>
      </c>
      <c r="C9947" s="128" t="s">
        <v>20</v>
      </c>
      <c r="D9947" s="128" t="s">
        <v>79</v>
      </c>
      <c r="E9947" s="128" t="s">
        <v>135</v>
      </c>
      <c r="F9947" s="128">
        <v>79665941.069999993</v>
      </c>
      <c r="G9947" s="128">
        <v>17226475.399999999</v>
      </c>
      <c r="H9947" s="128">
        <v>5999162.4400000004</v>
      </c>
      <c r="I9947" s="128">
        <v>77216</v>
      </c>
    </row>
    <row r="9948" spans="1:9" ht="13.5">
      <c r="A9948" s="128">
        <v>2018</v>
      </c>
      <c r="B9948" s="128" t="s">
        <v>131</v>
      </c>
      <c r="C9948" s="128" t="s">
        <v>20</v>
      </c>
      <c r="D9948" s="128" t="s">
        <v>77</v>
      </c>
      <c r="E9948" s="128" t="s">
        <v>132</v>
      </c>
      <c r="F9948" s="128">
        <v>3168502.26</v>
      </c>
      <c r="G9948" s="128">
        <v>2075174.8</v>
      </c>
      <c r="H9948" s="128">
        <v>990020.59</v>
      </c>
      <c r="I9948" s="128">
        <v>15156</v>
      </c>
    </row>
    <row r="9949" spans="1:9" ht="13.5">
      <c r="A9949" s="128">
        <v>2018</v>
      </c>
      <c r="B9949" s="128" t="s">
        <v>131</v>
      </c>
      <c r="C9949" s="128" t="s">
        <v>20</v>
      </c>
      <c r="D9949" s="128" t="s">
        <v>77</v>
      </c>
      <c r="E9949" s="128" t="s">
        <v>133</v>
      </c>
      <c r="F9949" s="128">
        <v>4752396.17</v>
      </c>
      <c r="G9949" s="128">
        <v>2546578.04</v>
      </c>
      <c r="H9949" s="128">
        <v>2021694.68</v>
      </c>
      <c r="I9949" s="128">
        <v>7974</v>
      </c>
    </row>
    <row r="9950" spans="1:9" ht="13.5">
      <c r="A9950" s="128">
        <v>2018</v>
      </c>
      <c r="B9950" s="128" t="s">
        <v>131</v>
      </c>
      <c r="C9950" s="128" t="s">
        <v>20</v>
      </c>
      <c r="D9950" s="128" t="s">
        <v>77</v>
      </c>
      <c r="E9950" s="128" t="s">
        <v>134</v>
      </c>
      <c r="F9950" s="128">
        <v>17416506.010000002</v>
      </c>
      <c r="G9950" s="128">
        <v>7483544.21</v>
      </c>
      <c r="H9950" s="128">
        <v>7653699.6299999999</v>
      </c>
      <c r="I9950" s="128">
        <v>38959</v>
      </c>
    </row>
    <row r="9951" spans="1:9" ht="13.5">
      <c r="A9951" s="128">
        <v>2018</v>
      </c>
      <c r="B9951" s="128" t="s">
        <v>131</v>
      </c>
      <c r="C9951" s="128" t="s">
        <v>20</v>
      </c>
      <c r="D9951" s="128" t="s">
        <v>77</v>
      </c>
      <c r="E9951" s="128" t="s">
        <v>135</v>
      </c>
      <c r="F9951" s="128">
        <v>44553713.090000004</v>
      </c>
      <c r="G9951" s="128">
        <v>11755838.16</v>
      </c>
      <c r="H9951" s="128">
        <v>13904255.5</v>
      </c>
      <c r="I9951" s="128">
        <v>151369</v>
      </c>
    </row>
    <row r="9952" spans="1:9" ht="13.5">
      <c r="A9952" s="128">
        <v>2018</v>
      </c>
      <c r="B9952" s="128" t="s">
        <v>131</v>
      </c>
      <c r="C9952" s="128" t="s">
        <v>20</v>
      </c>
      <c r="D9952" s="128" t="s">
        <v>76</v>
      </c>
      <c r="E9952" s="128" t="s">
        <v>136</v>
      </c>
      <c r="F9952" s="128">
        <v>28732207.32</v>
      </c>
      <c r="G9952" s="128">
        <v>21575607.370000001</v>
      </c>
      <c r="H9952" s="128">
        <v>7156597.5199999996</v>
      </c>
      <c r="I9952" s="128">
        <v>874114</v>
      </c>
    </row>
    <row r="9953" spans="1:9" ht="13.5">
      <c r="A9953" s="128">
        <v>2018</v>
      </c>
      <c r="B9953" s="128" t="s">
        <v>131</v>
      </c>
      <c r="C9953" s="128" t="s">
        <v>20</v>
      </c>
      <c r="D9953" s="128" t="s">
        <v>76</v>
      </c>
      <c r="E9953" s="128" t="s">
        <v>132</v>
      </c>
      <c r="F9953" s="128">
        <v>52246813.5</v>
      </c>
      <c r="G9953" s="128">
        <v>33109351.75</v>
      </c>
      <c r="H9953" s="128">
        <v>19137351.539999999</v>
      </c>
      <c r="I9953" s="128">
        <v>498008</v>
      </c>
    </row>
    <row r="9954" spans="1:9" ht="13.5">
      <c r="A9954" s="128">
        <v>2018</v>
      </c>
      <c r="B9954" s="128" t="s">
        <v>131</v>
      </c>
      <c r="C9954" s="128" t="s">
        <v>20</v>
      </c>
      <c r="D9954" s="128" t="s">
        <v>76</v>
      </c>
      <c r="E9954" s="128" t="s">
        <v>133</v>
      </c>
      <c r="F9954" s="128">
        <v>97627922.599999994</v>
      </c>
      <c r="G9954" s="128">
        <v>53415140.520000003</v>
      </c>
      <c r="H9954" s="128">
        <v>44212744.270000003</v>
      </c>
      <c r="I9954" s="128">
        <v>610106</v>
      </c>
    </row>
    <row r="9955" spans="1:9" ht="13.5">
      <c r="A9955" s="128">
        <v>2018</v>
      </c>
      <c r="B9955" s="128" t="s">
        <v>131</v>
      </c>
      <c r="C9955" s="128" t="s">
        <v>20</v>
      </c>
      <c r="D9955" s="128" t="s">
        <v>76</v>
      </c>
      <c r="E9955" s="128" t="s">
        <v>134</v>
      </c>
      <c r="F9955" s="128">
        <v>113562470.65000001</v>
      </c>
      <c r="G9955" s="128">
        <v>51637499.280000001</v>
      </c>
      <c r="H9955" s="128">
        <v>61924863.240000002</v>
      </c>
      <c r="I9955" s="128">
        <v>621457</v>
      </c>
    </row>
    <row r="9956" spans="1:9" ht="13.5">
      <c r="A9956" s="128">
        <v>2018</v>
      </c>
      <c r="B9956" s="128" t="s">
        <v>131</v>
      </c>
      <c r="C9956" s="128" t="s">
        <v>20</v>
      </c>
      <c r="D9956" s="128" t="s">
        <v>76</v>
      </c>
      <c r="E9956" s="128" t="s">
        <v>135</v>
      </c>
      <c r="F9956" s="128">
        <v>7082581.8499999996</v>
      </c>
      <c r="G9956" s="128">
        <v>2032874.09</v>
      </c>
      <c r="H9956" s="128">
        <v>5049706.91</v>
      </c>
      <c r="I9956" s="128">
        <v>15213</v>
      </c>
    </row>
    <row r="9957" spans="1:9" ht="13.5">
      <c r="A9957" s="128">
        <v>2018</v>
      </c>
      <c r="B9957" s="128" t="s">
        <v>131</v>
      </c>
      <c r="C9957" s="128" t="s">
        <v>21</v>
      </c>
      <c r="D9957" s="128" t="s">
        <v>79</v>
      </c>
      <c r="E9957" s="128" t="s">
        <v>136</v>
      </c>
      <c r="F9957" s="128">
        <v>9161215.7300000004</v>
      </c>
      <c r="G9957" s="128">
        <v>6874735.8499999996</v>
      </c>
      <c r="H9957" s="128">
        <v>2280756.09</v>
      </c>
      <c r="I9957" s="128">
        <v>159763</v>
      </c>
    </row>
    <row r="9958" spans="1:9" ht="13.5">
      <c r="A9958" s="128">
        <v>2018</v>
      </c>
      <c r="B9958" s="128" t="s">
        <v>131</v>
      </c>
      <c r="C9958" s="128" t="s">
        <v>21</v>
      </c>
      <c r="D9958" s="128" t="s">
        <v>79</v>
      </c>
      <c r="E9958" s="128" t="s">
        <v>132</v>
      </c>
      <c r="F9958" s="128">
        <v>1917686.24</v>
      </c>
      <c r="G9958" s="128">
        <v>1256116.3400000001</v>
      </c>
      <c r="H9958" s="128">
        <v>495270.78</v>
      </c>
      <c r="I9958" s="128">
        <v>8111</v>
      </c>
    </row>
    <row r="9959" spans="1:9" ht="13.5">
      <c r="A9959" s="128">
        <v>2018</v>
      </c>
      <c r="B9959" s="128" t="s">
        <v>131</v>
      </c>
      <c r="C9959" s="128" t="s">
        <v>21</v>
      </c>
      <c r="D9959" s="128" t="s">
        <v>79</v>
      </c>
      <c r="E9959" s="128" t="s">
        <v>133</v>
      </c>
      <c r="F9959" s="128">
        <v>3804243.87</v>
      </c>
      <c r="G9959" s="128">
        <v>2090005.15</v>
      </c>
      <c r="H9959" s="128">
        <v>1240957.6000000001</v>
      </c>
      <c r="I9959" s="128">
        <v>47269</v>
      </c>
    </row>
    <row r="9960" spans="1:9" ht="13.5">
      <c r="A9960" s="128">
        <v>2018</v>
      </c>
      <c r="B9960" s="128" t="s">
        <v>131</v>
      </c>
      <c r="C9960" s="128" t="s">
        <v>21</v>
      </c>
      <c r="D9960" s="128" t="s">
        <v>79</v>
      </c>
      <c r="E9960" s="128" t="s">
        <v>134</v>
      </c>
      <c r="F9960" s="128">
        <v>7894563.8700000001</v>
      </c>
      <c r="G9960" s="128">
        <v>3389731.64</v>
      </c>
      <c r="H9960" s="128">
        <v>2407986.96</v>
      </c>
      <c r="I9960" s="128">
        <v>49822</v>
      </c>
    </row>
    <row r="9961" spans="1:9" ht="13.5">
      <c r="A9961" s="128">
        <v>2018</v>
      </c>
      <c r="B9961" s="128" t="s">
        <v>131</v>
      </c>
      <c r="C9961" s="128" t="s">
        <v>21</v>
      </c>
      <c r="D9961" s="128" t="s">
        <v>79</v>
      </c>
      <c r="E9961" s="128" t="s">
        <v>135</v>
      </c>
      <c r="F9961" s="128">
        <v>25290440.620000001</v>
      </c>
      <c r="G9961" s="128">
        <v>5783157.1500000004</v>
      </c>
      <c r="H9961" s="128">
        <v>2218416.7999999998</v>
      </c>
      <c r="I9961" s="128">
        <v>25827</v>
      </c>
    </row>
    <row r="9962" spans="1:9" ht="13.5">
      <c r="A9962" s="128">
        <v>2018</v>
      </c>
      <c r="B9962" s="128" t="s">
        <v>131</v>
      </c>
      <c r="C9962" s="128" t="s">
        <v>21</v>
      </c>
      <c r="D9962" s="128" t="s">
        <v>77</v>
      </c>
      <c r="E9962" s="128" t="s">
        <v>132</v>
      </c>
      <c r="F9962" s="128">
        <v>3676550.95</v>
      </c>
      <c r="G9962" s="128">
        <v>2454373.4300000002</v>
      </c>
      <c r="H9962" s="128">
        <v>1068542.03</v>
      </c>
      <c r="I9962" s="128">
        <v>19082</v>
      </c>
    </row>
    <row r="9963" spans="1:9" ht="13.5">
      <c r="A9963" s="128">
        <v>2018</v>
      </c>
      <c r="B9963" s="128" t="s">
        <v>131</v>
      </c>
      <c r="C9963" s="128" t="s">
        <v>21</v>
      </c>
      <c r="D9963" s="128" t="s">
        <v>77</v>
      </c>
      <c r="E9963" s="128" t="s">
        <v>133</v>
      </c>
      <c r="F9963" s="128">
        <v>6446745.0599999996</v>
      </c>
      <c r="G9963" s="128">
        <v>3482596.03</v>
      </c>
      <c r="H9963" s="128">
        <v>2580883.9300000002</v>
      </c>
      <c r="I9963" s="128">
        <v>15627</v>
      </c>
    </row>
    <row r="9964" spans="1:9" ht="13.5">
      <c r="A9964" s="128">
        <v>2018</v>
      </c>
      <c r="B9964" s="128" t="s">
        <v>131</v>
      </c>
      <c r="C9964" s="128" t="s">
        <v>21</v>
      </c>
      <c r="D9964" s="128" t="s">
        <v>77</v>
      </c>
      <c r="E9964" s="128" t="s">
        <v>134</v>
      </c>
      <c r="F9964" s="128">
        <v>16653926.199999999</v>
      </c>
      <c r="G9964" s="128">
        <v>7167203.1500000004</v>
      </c>
      <c r="H9964" s="128">
        <v>6874584.2699999996</v>
      </c>
      <c r="I9964" s="128">
        <v>41298</v>
      </c>
    </row>
    <row r="9965" spans="1:9" ht="13.5">
      <c r="A9965" s="128">
        <v>2018</v>
      </c>
      <c r="B9965" s="128" t="s">
        <v>131</v>
      </c>
      <c r="C9965" s="128" t="s">
        <v>21</v>
      </c>
      <c r="D9965" s="128" t="s">
        <v>77</v>
      </c>
      <c r="E9965" s="128" t="s">
        <v>135</v>
      </c>
      <c r="F9965" s="128">
        <v>36741293.75</v>
      </c>
      <c r="G9965" s="128">
        <v>9975564.9499999993</v>
      </c>
      <c r="H9965" s="128">
        <v>11550749.92</v>
      </c>
      <c r="I9965" s="128">
        <v>136685</v>
      </c>
    </row>
    <row r="9966" spans="1:9" ht="13.5">
      <c r="A9966" s="128">
        <v>2018</v>
      </c>
      <c r="B9966" s="128" t="s">
        <v>131</v>
      </c>
      <c r="C9966" s="128" t="s">
        <v>21</v>
      </c>
      <c r="D9966" s="128" t="s">
        <v>76</v>
      </c>
      <c r="E9966" s="128" t="s">
        <v>136</v>
      </c>
      <c r="F9966" s="128">
        <v>19493489.289999999</v>
      </c>
      <c r="G9966" s="128">
        <v>14645259.82</v>
      </c>
      <c r="H9966" s="128">
        <v>4848314.93</v>
      </c>
      <c r="I9966" s="128">
        <v>293117</v>
      </c>
    </row>
    <row r="9967" spans="1:9" ht="13.5">
      <c r="A9967" s="128">
        <v>2018</v>
      </c>
      <c r="B9967" s="128" t="s">
        <v>131</v>
      </c>
      <c r="C9967" s="128" t="s">
        <v>21</v>
      </c>
      <c r="D9967" s="128" t="s">
        <v>76</v>
      </c>
      <c r="E9967" s="128" t="s">
        <v>132</v>
      </c>
      <c r="F9967" s="128">
        <v>46316619.899999999</v>
      </c>
      <c r="G9967" s="128">
        <v>29555742</v>
      </c>
      <c r="H9967" s="128">
        <v>16760636.560000001</v>
      </c>
      <c r="I9967" s="128">
        <v>393943</v>
      </c>
    </row>
    <row r="9968" spans="1:9" ht="13.5">
      <c r="A9968" s="128">
        <v>2018</v>
      </c>
      <c r="B9968" s="128" t="s">
        <v>131</v>
      </c>
      <c r="C9968" s="128" t="s">
        <v>21</v>
      </c>
      <c r="D9968" s="128" t="s">
        <v>76</v>
      </c>
      <c r="E9968" s="128" t="s">
        <v>133</v>
      </c>
      <c r="F9968" s="128">
        <v>110358672.95999999</v>
      </c>
      <c r="G9968" s="128">
        <v>60501496.530000001</v>
      </c>
      <c r="H9968" s="128">
        <v>49857133.659999996</v>
      </c>
      <c r="I9968" s="128">
        <v>744807</v>
      </c>
    </row>
    <row r="9969" spans="1:9" ht="13.5">
      <c r="A9969" s="128">
        <v>2018</v>
      </c>
      <c r="B9969" s="128" t="s">
        <v>131</v>
      </c>
      <c r="C9969" s="128" t="s">
        <v>21</v>
      </c>
      <c r="D9969" s="128" t="s">
        <v>76</v>
      </c>
      <c r="E9969" s="128" t="s">
        <v>134</v>
      </c>
      <c r="F9969" s="128">
        <v>102948764.90000001</v>
      </c>
      <c r="G9969" s="128">
        <v>46076706.210000001</v>
      </c>
      <c r="H9969" s="128">
        <v>56871717.829999998</v>
      </c>
      <c r="I9969" s="128">
        <v>550344</v>
      </c>
    </row>
    <row r="9970" spans="1:9" ht="13.5">
      <c r="A9970" s="128">
        <v>2018</v>
      </c>
      <c r="B9970" s="128" t="s">
        <v>131</v>
      </c>
      <c r="C9970" s="128" t="s">
        <v>21</v>
      </c>
      <c r="D9970" s="128" t="s">
        <v>76</v>
      </c>
      <c r="E9970" s="128" t="s">
        <v>135</v>
      </c>
      <c r="F9970" s="128">
        <v>3702014.73</v>
      </c>
      <c r="G9970" s="128">
        <v>996160.7</v>
      </c>
      <c r="H9970" s="128">
        <v>2705854.03</v>
      </c>
      <c r="I9970" s="128">
        <v>4396</v>
      </c>
    </row>
    <row r="9971" spans="1:9" ht="13.5">
      <c r="A9971" s="128">
        <v>2018</v>
      </c>
      <c r="B9971" s="128" t="s">
        <v>131</v>
      </c>
      <c r="C9971" s="128" t="s">
        <v>22</v>
      </c>
      <c r="D9971" s="128" t="s">
        <v>79</v>
      </c>
      <c r="E9971" s="128" t="s">
        <v>136</v>
      </c>
      <c r="F9971" s="128">
        <v>6420625.7999999998</v>
      </c>
      <c r="G9971" s="128">
        <v>4805727.71</v>
      </c>
      <c r="H9971" s="128">
        <v>1595972.91</v>
      </c>
      <c r="I9971" s="128">
        <v>92908</v>
      </c>
    </row>
    <row r="9972" spans="1:9" ht="13.5">
      <c r="A9972" s="128">
        <v>2018</v>
      </c>
      <c r="B9972" s="128" t="s">
        <v>131</v>
      </c>
      <c r="C9972" s="128" t="s">
        <v>22</v>
      </c>
      <c r="D9972" s="128" t="s">
        <v>79</v>
      </c>
      <c r="E9972" s="128" t="s">
        <v>132</v>
      </c>
      <c r="F9972" s="128">
        <v>2636593.02</v>
      </c>
      <c r="G9972" s="128">
        <v>1709942.91</v>
      </c>
      <c r="H9972" s="128">
        <v>800144.94</v>
      </c>
      <c r="I9972" s="128">
        <v>21078</v>
      </c>
    </row>
    <row r="9973" spans="1:9" ht="13.5">
      <c r="A9973" s="128">
        <v>2018</v>
      </c>
      <c r="B9973" s="128" t="s">
        <v>131</v>
      </c>
      <c r="C9973" s="128" t="s">
        <v>22</v>
      </c>
      <c r="D9973" s="128" t="s">
        <v>79</v>
      </c>
      <c r="E9973" s="128" t="s">
        <v>133</v>
      </c>
      <c r="F9973" s="128">
        <v>2978429.2</v>
      </c>
      <c r="G9973" s="128">
        <v>1608795.45</v>
      </c>
      <c r="H9973" s="128">
        <v>1058436.8899999999</v>
      </c>
      <c r="I9973" s="128">
        <v>18414</v>
      </c>
    </row>
    <row r="9974" spans="1:9" ht="13.5">
      <c r="A9974" s="128">
        <v>2018</v>
      </c>
      <c r="B9974" s="128" t="s">
        <v>131</v>
      </c>
      <c r="C9974" s="128" t="s">
        <v>22</v>
      </c>
      <c r="D9974" s="128" t="s">
        <v>79</v>
      </c>
      <c r="E9974" s="128" t="s">
        <v>134</v>
      </c>
      <c r="F9974" s="128">
        <v>7257752.2400000002</v>
      </c>
      <c r="G9974" s="128">
        <v>3167020.49</v>
      </c>
      <c r="H9974" s="128">
        <v>2352461.67</v>
      </c>
      <c r="I9974" s="128">
        <v>40211</v>
      </c>
    </row>
    <row r="9975" spans="1:9" ht="13.5">
      <c r="A9975" s="128">
        <v>2018</v>
      </c>
      <c r="B9975" s="128" t="s">
        <v>131</v>
      </c>
      <c r="C9975" s="128" t="s">
        <v>22</v>
      </c>
      <c r="D9975" s="128" t="s">
        <v>79</v>
      </c>
      <c r="E9975" s="128" t="s">
        <v>135</v>
      </c>
      <c r="F9975" s="128">
        <v>36638300.170000002</v>
      </c>
      <c r="G9975" s="128">
        <v>8412093.2799999993</v>
      </c>
      <c r="H9975" s="128">
        <v>3043799.73</v>
      </c>
      <c r="I9975" s="128">
        <v>37787</v>
      </c>
    </row>
    <row r="9976" spans="1:9" ht="13.5">
      <c r="A9976" s="128">
        <v>2018</v>
      </c>
      <c r="B9976" s="128" t="s">
        <v>131</v>
      </c>
      <c r="C9976" s="128" t="s">
        <v>22</v>
      </c>
      <c r="D9976" s="128" t="s">
        <v>77</v>
      </c>
      <c r="E9976" s="128" t="s">
        <v>132</v>
      </c>
      <c r="F9976" s="128">
        <v>2070532.71</v>
      </c>
      <c r="G9976" s="128">
        <v>1371864.71</v>
      </c>
      <c r="H9976" s="128">
        <v>621376.11</v>
      </c>
      <c r="I9976" s="128">
        <v>10490</v>
      </c>
    </row>
    <row r="9977" spans="1:9" ht="13.5">
      <c r="A9977" s="128">
        <v>2018</v>
      </c>
      <c r="B9977" s="128" t="s">
        <v>131</v>
      </c>
      <c r="C9977" s="128" t="s">
        <v>22</v>
      </c>
      <c r="D9977" s="128" t="s">
        <v>77</v>
      </c>
      <c r="E9977" s="128" t="s">
        <v>133</v>
      </c>
      <c r="F9977" s="128">
        <v>2991032.66</v>
      </c>
      <c r="G9977" s="128">
        <v>1605572.44</v>
      </c>
      <c r="H9977" s="128">
        <v>1275220.6399999999</v>
      </c>
      <c r="I9977" s="128">
        <v>2688</v>
      </c>
    </row>
    <row r="9978" spans="1:9" ht="13.5">
      <c r="A9978" s="128">
        <v>2018</v>
      </c>
      <c r="B9978" s="128" t="s">
        <v>131</v>
      </c>
      <c r="C9978" s="128" t="s">
        <v>22</v>
      </c>
      <c r="D9978" s="128" t="s">
        <v>77</v>
      </c>
      <c r="E9978" s="128" t="s">
        <v>134</v>
      </c>
      <c r="F9978" s="128">
        <v>15783376.439999999</v>
      </c>
      <c r="G9978" s="128">
        <v>6673964.6900000004</v>
      </c>
      <c r="H9978" s="128">
        <v>6663180.71</v>
      </c>
      <c r="I9978" s="128">
        <v>24256</v>
      </c>
    </row>
    <row r="9979" spans="1:9" ht="13.5">
      <c r="A9979" s="128">
        <v>2018</v>
      </c>
      <c r="B9979" s="128" t="s">
        <v>131</v>
      </c>
      <c r="C9979" s="128" t="s">
        <v>22</v>
      </c>
      <c r="D9979" s="128" t="s">
        <v>77</v>
      </c>
      <c r="E9979" s="128" t="s">
        <v>135</v>
      </c>
      <c r="F9979" s="128">
        <v>32009225.550000001</v>
      </c>
      <c r="G9979" s="128">
        <v>8620081.9800000004</v>
      </c>
      <c r="H9979" s="128">
        <v>9800592.4399999995</v>
      </c>
      <c r="I9979" s="128">
        <v>80312</v>
      </c>
    </row>
    <row r="9980" spans="1:9" ht="13.5">
      <c r="A9980" s="128">
        <v>2018</v>
      </c>
      <c r="B9980" s="128" t="s">
        <v>131</v>
      </c>
      <c r="C9980" s="128" t="s">
        <v>22</v>
      </c>
      <c r="D9980" s="128" t="s">
        <v>76</v>
      </c>
      <c r="E9980" s="128" t="s">
        <v>136</v>
      </c>
      <c r="F9980" s="128">
        <v>16861390.829999998</v>
      </c>
      <c r="G9980" s="128">
        <v>12653838.369999999</v>
      </c>
      <c r="H9980" s="128">
        <v>4207514.96</v>
      </c>
      <c r="I9980" s="128">
        <v>275463</v>
      </c>
    </row>
    <row r="9981" spans="1:9" ht="13.5">
      <c r="A9981" s="128">
        <v>2018</v>
      </c>
      <c r="B9981" s="128" t="s">
        <v>131</v>
      </c>
      <c r="C9981" s="128" t="s">
        <v>22</v>
      </c>
      <c r="D9981" s="128" t="s">
        <v>76</v>
      </c>
      <c r="E9981" s="128" t="s">
        <v>132</v>
      </c>
      <c r="F9981" s="128">
        <v>43085422.850000001</v>
      </c>
      <c r="G9981" s="128">
        <v>27493063.920000002</v>
      </c>
      <c r="H9981" s="128">
        <v>15592223.800000001</v>
      </c>
      <c r="I9981" s="128">
        <v>407941</v>
      </c>
    </row>
    <row r="9982" spans="1:9" ht="13.5">
      <c r="A9982" s="128">
        <v>2018</v>
      </c>
      <c r="B9982" s="128" t="s">
        <v>131</v>
      </c>
      <c r="C9982" s="128" t="s">
        <v>22</v>
      </c>
      <c r="D9982" s="128" t="s">
        <v>76</v>
      </c>
      <c r="E9982" s="128" t="s">
        <v>133</v>
      </c>
      <c r="F9982" s="128">
        <v>75320382.719999999</v>
      </c>
      <c r="G9982" s="128">
        <v>41550039.840000004</v>
      </c>
      <c r="H9982" s="128">
        <v>33769581.840000004</v>
      </c>
      <c r="I9982" s="128">
        <v>617864</v>
      </c>
    </row>
    <row r="9983" spans="1:9" ht="13.5">
      <c r="A9983" s="128">
        <v>2018</v>
      </c>
      <c r="B9983" s="128" t="s">
        <v>131</v>
      </c>
      <c r="C9983" s="128" t="s">
        <v>22</v>
      </c>
      <c r="D9983" s="128" t="s">
        <v>76</v>
      </c>
      <c r="E9983" s="128" t="s">
        <v>134</v>
      </c>
      <c r="F9983" s="128">
        <v>74473139.120000005</v>
      </c>
      <c r="G9983" s="128">
        <v>33801581.649999999</v>
      </c>
      <c r="H9983" s="128">
        <v>40671091.270000003</v>
      </c>
      <c r="I9983" s="128">
        <v>485656</v>
      </c>
    </row>
    <row r="9984" spans="1:9" ht="13.5">
      <c r="A9984" s="128">
        <v>2018</v>
      </c>
      <c r="B9984" s="128" t="s">
        <v>131</v>
      </c>
      <c r="C9984" s="128" t="s">
        <v>22</v>
      </c>
      <c r="D9984" s="128" t="s">
        <v>76</v>
      </c>
      <c r="E9984" s="128" t="s">
        <v>135</v>
      </c>
      <c r="F9984" s="128">
        <v>5251385.16</v>
      </c>
      <c r="G9984" s="128">
        <v>1491029.69</v>
      </c>
      <c r="H9984" s="128">
        <v>3760355.45</v>
      </c>
      <c r="I9984" s="128">
        <v>7678</v>
      </c>
    </row>
    <row r="9985" spans="1:9" ht="13.5">
      <c r="A9985" s="128">
        <v>2018</v>
      </c>
      <c r="B9985" s="128" t="s">
        <v>131</v>
      </c>
      <c r="C9985" s="128" t="s">
        <v>23</v>
      </c>
      <c r="D9985" s="128" t="s">
        <v>79</v>
      </c>
      <c r="E9985" s="128" t="s">
        <v>136</v>
      </c>
      <c r="F9985" s="128">
        <v>1996643.44</v>
      </c>
      <c r="G9985" s="128">
        <v>1497402.68</v>
      </c>
      <c r="H9985" s="128">
        <v>495412.12</v>
      </c>
      <c r="I9985" s="128">
        <v>17209</v>
      </c>
    </row>
    <row r="9986" spans="1:9" ht="13.5">
      <c r="A9986" s="128">
        <v>2018</v>
      </c>
      <c r="B9986" s="128" t="s">
        <v>131</v>
      </c>
      <c r="C9986" s="128" t="s">
        <v>23</v>
      </c>
      <c r="D9986" s="128" t="s">
        <v>79</v>
      </c>
      <c r="E9986" s="128" t="s">
        <v>132</v>
      </c>
      <c r="F9986" s="128">
        <v>698652.28</v>
      </c>
      <c r="G9986" s="128">
        <v>456649.68</v>
      </c>
      <c r="H9986" s="128">
        <v>189071.99</v>
      </c>
      <c r="I9986" s="128">
        <v>2021</v>
      </c>
    </row>
    <row r="9987" spans="1:9" ht="13.5">
      <c r="A9987" s="128">
        <v>2018</v>
      </c>
      <c r="B9987" s="128" t="s">
        <v>131</v>
      </c>
      <c r="C9987" s="128" t="s">
        <v>23</v>
      </c>
      <c r="D9987" s="128" t="s">
        <v>79</v>
      </c>
      <c r="E9987" s="128" t="s">
        <v>133</v>
      </c>
      <c r="F9987" s="128">
        <v>1289025.26</v>
      </c>
      <c r="G9987" s="128">
        <v>715947.73</v>
      </c>
      <c r="H9987" s="128">
        <v>522523.78</v>
      </c>
      <c r="I9987" s="128">
        <v>14449</v>
      </c>
    </row>
    <row r="9988" spans="1:9" ht="13.5">
      <c r="A9988" s="128">
        <v>2018</v>
      </c>
      <c r="B9988" s="128" t="s">
        <v>131</v>
      </c>
      <c r="C9988" s="128" t="s">
        <v>23</v>
      </c>
      <c r="D9988" s="128" t="s">
        <v>79</v>
      </c>
      <c r="E9988" s="128" t="s">
        <v>134</v>
      </c>
      <c r="F9988" s="128">
        <v>2524447.5499999998</v>
      </c>
      <c r="G9988" s="128">
        <v>1090363.8700000001</v>
      </c>
      <c r="H9988" s="128">
        <v>1312695.45</v>
      </c>
      <c r="I9988" s="128">
        <v>10187</v>
      </c>
    </row>
    <row r="9989" spans="1:9" ht="13.5">
      <c r="A9989" s="128">
        <v>2018</v>
      </c>
      <c r="B9989" s="128" t="s">
        <v>131</v>
      </c>
      <c r="C9989" s="128" t="s">
        <v>23</v>
      </c>
      <c r="D9989" s="128" t="s">
        <v>79</v>
      </c>
      <c r="E9989" s="128" t="s">
        <v>135</v>
      </c>
      <c r="F9989" s="128">
        <v>2281425.12</v>
      </c>
      <c r="G9989" s="128">
        <v>520844.82</v>
      </c>
      <c r="H9989" s="128">
        <v>324909.62</v>
      </c>
      <c r="I9989" s="128">
        <v>3456</v>
      </c>
    </row>
    <row r="9990" spans="1:9" ht="13.5">
      <c r="A9990" s="128">
        <v>2018</v>
      </c>
      <c r="B9990" s="128" t="s">
        <v>131</v>
      </c>
      <c r="C9990" s="128" t="s">
        <v>23</v>
      </c>
      <c r="D9990" s="128" t="s">
        <v>77</v>
      </c>
      <c r="E9990" s="128" t="s">
        <v>132</v>
      </c>
      <c r="F9990" s="128">
        <v>415708.11</v>
      </c>
      <c r="G9990" s="128">
        <v>268591.46000000002</v>
      </c>
      <c r="H9990" s="128">
        <v>125233.72</v>
      </c>
      <c r="I9990" s="128">
        <v>2103</v>
      </c>
    </row>
    <row r="9991" spans="1:9" ht="13.5">
      <c r="A9991" s="128">
        <v>2018</v>
      </c>
      <c r="B9991" s="128" t="s">
        <v>131</v>
      </c>
      <c r="C9991" s="128" t="s">
        <v>23</v>
      </c>
      <c r="D9991" s="128" t="s">
        <v>77</v>
      </c>
      <c r="E9991" s="128" t="s">
        <v>133</v>
      </c>
      <c r="F9991" s="128">
        <v>970108.91</v>
      </c>
      <c r="G9991" s="128">
        <v>517334.62</v>
      </c>
      <c r="H9991" s="128">
        <v>423104.93</v>
      </c>
      <c r="I9991" s="128">
        <v>2172</v>
      </c>
    </row>
    <row r="9992" spans="1:9" ht="13.5">
      <c r="A9992" s="128">
        <v>2018</v>
      </c>
      <c r="B9992" s="128" t="s">
        <v>131</v>
      </c>
      <c r="C9992" s="128" t="s">
        <v>23</v>
      </c>
      <c r="D9992" s="128" t="s">
        <v>77</v>
      </c>
      <c r="E9992" s="128" t="s">
        <v>134</v>
      </c>
      <c r="F9992" s="128">
        <v>5917030.9900000002</v>
      </c>
      <c r="G9992" s="128">
        <v>2496395.9</v>
      </c>
      <c r="H9992" s="128">
        <v>2601601.98</v>
      </c>
      <c r="I9992" s="128">
        <v>10902</v>
      </c>
    </row>
    <row r="9993" spans="1:9" ht="13.5">
      <c r="A9993" s="128">
        <v>2018</v>
      </c>
      <c r="B9993" s="128" t="s">
        <v>131</v>
      </c>
      <c r="C9993" s="128" t="s">
        <v>23</v>
      </c>
      <c r="D9993" s="128" t="s">
        <v>77</v>
      </c>
      <c r="E9993" s="128" t="s">
        <v>135</v>
      </c>
      <c r="F9993" s="128">
        <v>9597436.4800000004</v>
      </c>
      <c r="G9993" s="128">
        <v>2811417.59</v>
      </c>
      <c r="H9993" s="128">
        <v>3518498.27</v>
      </c>
      <c r="I9993" s="128">
        <v>36448</v>
      </c>
    </row>
    <row r="9994" spans="1:9" ht="13.5">
      <c r="A9994" s="128">
        <v>2018</v>
      </c>
      <c r="B9994" s="128" t="s">
        <v>131</v>
      </c>
      <c r="C9994" s="128" t="s">
        <v>23</v>
      </c>
      <c r="D9994" s="128" t="s">
        <v>76</v>
      </c>
      <c r="E9994" s="128" t="s">
        <v>136</v>
      </c>
      <c r="F9994" s="128">
        <v>7133890.8399999999</v>
      </c>
      <c r="G9994" s="128">
        <v>5354028.38</v>
      </c>
      <c r="H9994" s="128">
        <v>1779862.46</v>
      </c>
      <c r="I9994" s="128">
        <v>113499</v>
      </c>
    </row>
    <row r="9995" spans="1:9" ht="13.5">
      <c r="A9995" s="128">
        <v>2018</v>
      </c>
      <c r="B9995" s="128" t="s">
        <v>131</v>
      </c>
      <c r="C9995" s="128" t="s">
        <v>23</v>
      </c>
      <c r="D9995" s="128" t="s">
        <v>76</v>
      </c>
      <c r="E9995" s="128" t="s">
        <v>132</v>
      </c>
      <c r="F9995" s="128">
        <v>8365499.0899999999</v>
      </c>
      <c r="G9995" s="128">
        <v>5249671.17</v>
      </c>
      <c r="H9995" s="128">
        <v>3115809.25</v>
      </c>
      <c r="I9995" s="128">
        <v>79202</v>
      </c>
    </row>
    <row r="9996" spans="1:9" ht="13.5">
      <c r="A9996" s="128">
        <v>2018</v>
      </c>
      <c r="B9996" s="128" t="s">
        <v>131</v>
      </c>
      <c r="C9996" s="128" t="s">
        <v>23</v>
      </c>
      <c r="D9996" s="128" t="s">
        <v>76</v>
      </c>
      <c r="E9996" s="128" t="s">
        <v>133</v>
      </c>
      <c r="F9996" s="128">
        <v>27685980.149999999</v>
      </c>
      <c r="G9996" s="128">
        <v>15071608.869999999</v>
      </c>
      <c r="H9996" s="128">
        <v>12614361.310000001</v>
      </c>
      <c r="I9996" s="128">
        <v>221200</v>
      </c>
    </row>
    <row r="9997" spans="1:9" ht="13.5">
      <c r="A9997" s="128">
        <v>2018</v>
      </c>
      <c r="B9997" s="128" t="s">
        <v>131</v>
      </c>
      <c r="C9997" s="128" t="s">
        <v>23</v>
      </c>
      <c r="D9997" s="128" t="s">
        <v>76</v>
      </c>
      <c r="E9997" s="128" t="s">
        <v>134</v>
      </c>
      <c r="F9997" s="128">
        <v>44020482.399999999</v>
      </c>
      <c r="G9997" s="128">
        <v>19539231.219999999</v>
      </c>
      <c r="H9997" s="128">
        <v>24481246.18</v>
      </c>
      <c r="I9997" s="128">
        <v>167738</v>
      </c>
    </row>
    <row r="9998" spans="1:9" ht="13.5">
      <c r="A9998" s="128">
        <v>2018</v>
      </c>
      <c r="B9998" s="128" t="s">
        <v>131</v>
      </c>
      <c r="C9998" s="128" t="s">
        <v>23</v>
      </c>
      <c r="D9998" s="128" t="s">
        <v>76</v>
      </c>
      <c r="E9998" s="128" t="s">
        <v>135</v>
      </c>
      <c r="F9998" s="128">
        <v>1379775.48</v>
      </c>
      <c r="G9998" s="128">
        <v>356584.85</v>
      </c>
      <c r="H9998" s="128">
        <v>1023190.63</v>
      </c>
      <c r="I9998" s="128">
        <v>1032</v>
      </c>
    </row>
    <row r="9999" spans="1:9" ht="13.5">
      <c r="A9999" s="128">
        <v>2018</v>
      </c>
      <c r="B9999" s="128" t="s">
        <v>131</v>
      </c>
      <c r="C9999" s="128" t="s">
        <v>24</v>
      </c>
      <c r="D9999" s="128" t="s">
        <v>79</v>
      </c>
      <c r="E9999" s="128" t="s">
        <v>136</v>
      </c>
      <c r="F9999" s="128">
        <v>2388571.65</v>
      </c>
      <c r="G9999" s="128">
        <v>1790787.91</v>
      </c>
      <c r="H9999" s="128">
        <v>593488.17000000004</v>
      </c>
      <c r="I9999" s="128">
        <v>39935</v>
      </c>
    </row>
    <row r="10000" spans="1:9" ht="13.5">
      <c r="A10000" s="128">
        <v>2018</v>
      </c>
      <c r="B10000" s="128" t="s">
        <v>131</v>
      </c>
      <c r="C10000" s="128" t="s">
        <v>24</v>
      </c>
      <c r="D10000" s="128" t="s">
        <v>79</v>
      </c>
      <c r="E10000" s="128" t="s">
        <v>132</v>
      </c>
      <c r="F10000" s="128">
        <v>440704.24</v>
      </c>
      <c r="G10000" s="128">
        <v>289636.27</v>
      </c>
      <c r="H10000" s="128">
        <v>112088.01</v>
      </c>
      <c r="I10000" s="128">
        <v>1943</v>
      </c>
    </row>
    <row r="10001" spans="1:9" ht="13.5">
      <c r="A10001" s="128">
        <v>2018</v>
      </c>
      <c r="B10001" s="128" t="s">
        <v>131</v>
      </c>
      <c r="C10001" s="128" t="s">
        <v>24</v>
      </c>
      <c r="D10001" s="128" t="s">
        <v>79</v>
      </c>
      <c r="E10001" s="128" t="s">
        <v>133</v>
      </c>
      <c r="F10001" s="128">
        <v>748201.49</v>
      </c>
      <c r="G10001" s="128">
        <v>406588.69</v>
      </c>
      <c r="H10001" s="128">
        <v>202874.12</v>
      </c>
      <c r="I10001" s="128">
        <v>2161</v>
      </c>
    </row>
    <row r="10002" spans="1:9" ht="13.5">
      <c r="A10002" s="128">
        <v>2018</v>
      </c>
      <c r="B10002" s="128" t="s">
        <v>131</v>
      </c>
      <c r="C10002" s="128" t="s">
        <v>24</v>
      </c>
      <c r="D10002" s="128" t="s">
        <v>79</v>
      </c>
      <c r="E10002" s="128" t="s">
        <v>134</v>
      </c>
      <c r="F10002" s="128">
        <v>2436434.88</v>
      </c>
      <c r="G10002" s="128">
        <v>1075200.75</v>
      </c>
      <c r="H10002" s="128">
        <v>548076.23</v>
      </c>
      <c r="I10002" s="128">
        <v>21375</v>
      </c>
    </row>
    <row r="10003" spans="1:9" ht="13.5">
      <c r="A10003" s="128">
        <v>2018</v>
      </c>
      <c r="B10003" s="128" t="s">
        <v>131</v>
      </c>
      <c r="C10003" s="128" t="s">
        <v>24</v>
      </c>
      <c r="D10003" s="128" t="s">
        <v>79</v>
      </c>
      <c r="E10003" s="128" t="s">
        <v>135</v>
      </c>
      <c r="F10003" s="128">
        <v>7635211.79</v>
      </c>
      <c r="G10003" s="128">
        <v>1620280.5</v>
      </c>
      <c r="H10003" s="128">
        <v>608369.39</v>
      </c>
      <c r="I10003" s="128">
        <v>8913</v>
      </c>
    </row>
    <row r="10004" spans="1:9" ht="13.5">
      <c r="A10004" s="128">
        <v>2018</v>
      </c>
      <c r="B10004" s="128" t="s">
        <v>131</v>
      </c>
      <c r="C10004" s="128" t="s">
        <v>24</v>
      </c>
      <c r="D10004" s="128" t="s">
        <v>77</v>
      </c>
      <c r="E10004" s="128" t="s">
        <v>132</v>
      </c>
      <c r="F10004" s="128">
        <v>2146036.79</v>
      </c>
      <c r="G10004" s="128">
        <v>1450978.69</v>
      </c>
      <c r="H10004" s="128">
        <v>653466.35</v>
      </c>
      <c r="I10004" s="128">
        <v>10308</v>
      </c>
    </row>
    <row r="10005" spans="1:9" ht="13.5">
      <c r="A10005" s="128">
        <v>2018</v>
      </c>
      <c r="B10005" s="128" t="s">
        <v>131</v>
      </c>
      <c r="C10005" s="128" t="s">
        <v>24</v>
      </c>
      <c r="D10005" s="128" t="s">
        <v>77</v>
      </c>
      <c r="E10005" s="128" t="s">
        <v>133</v>
      </c>
      <c r="F10005" s="128">
        <v>5097192.76</v>
      </c>
      <c r="G10005" s="128">
        <v>2734342.07</v>
      </c>
      <c r="H10005" s="128">
        <v>2119789.46</v>
      </c>
      <c r="I10005" s="128">
        <v>32763</v>
      </c>
    </row>
    <row r="10006" spans="1:9" ht="13.5">
      <c r="A10006" s="128">
        <v>2018</v>
      </c>
      <c r="B10006" s="128" t="s">
        <v>131</v>
      </c>
      <c r="C10006" s="128" t="s">
        <v>24</v>
      </c>
      <c r="D10006" s="128" t="s">
        <v>77</v>
      </c>
      <c r="E10006" s="128" t="s">
        <v>134</v>
      </c>
      <c r="F10006" s="128">
        <v>9627893.4399999995</v>
      </c>
      <c r="G10006" s="128">
        <v>4259726.99</v>
      </c>
      <c r="H10006" s="128">
        <v>3906318</v>
      </c>
      <c r="I10006" s="128">
        <v>22081</v>
      </c>
    </row>
    <row r="10007" spans="1:9" ht="13.5">
      <c r="A10007" s="128">
        <v>2018</v>
      </c>
      <c r="B10007" s="128" t="s">
        <v>131</v>
      </c>
      <c r="C10007" s="128" t="s">
        <v>24</v>
      </c>
      <c r="D10007" s="128" t="s">
        <v>77</v>
      </c>
      <c r="E10007" s="128" t="s">
        <v>135</v>
      </c>
      <c r="F10007" s="128">
        <v>18541478.620000001</v>
      </c>
      <c r="G10007" s="128">
        <v>4568175.05</v>
      </c>
      <c r="H10007" s="128">
        <v>3474503.08</v>
      </c>
      <c r="I10007" s="128">
        <v>46847</v>
      </c>
    </row>
    <row r="10008" spans="1:9" ht="13.5">
      <c r="A10008" s="128">
        <v>2018</v>
      </c>
      <c r="B10008" s="128" t="s">
        <v>131</v>
      </c>
      <c r="C10008" s="128" t="s">
        <v>24</v>
      </c>
      <c r="D10008" s="128" t="s">
        <v>76</v>
      </c>
      <c r="E10008" s="128" t="s">
        <v>136</v>
      </c>
      <c r="F10008" s="128">
        <v>9005978.3800000008</v>
      </c>
      <c r="G10008" s="128">
        <v>6759196.2599999998</v>
      </c>
      <c r="H10008" s="128">
        <v>2246788.91</v>
      </c>
      <c r="I10008" s="128">
        <v>157667</v>
      </c>
    </row>
    <row r="10009" spans="1:9" ht="13.5">
      <c r="A10009" s="128">
        <v>2018</v>
      </c>
      <c r="B10009" s="128" t="s">
        <v>131</v>
      </c>
      <c r="C10009" s="128" t="s">
        <v>24</v>
      </c>
      <c r="D10009" s="128" t="s">
        <v>76</v>
      </c>
      <c r="E10009" s="128" t="s">
        <v>132</v>
      </c>
      <c r="F10009" s="128">
        <v>9484333.8800000008</v>
      </c>
      <c r="G10009" s="128">
        <v>6195250.2300000004</v>
      </c>
      <c r="H10009" s="128">
        <v>3289078.08</v>
      </c>
      <c r="I10009" s="128">
        <v>69075</v>
      </c>
    </row>
    <row r="10010" spans="1:9" ht="13.5">
      <c r="A10010" s="128">
        <v>2018</v>
      </c>
      <c r="B10010" s="128" t="s">
        <v>131</v>
      </c>
      <c r="C10010" s="128" t="s">
        <v>24</v>
      </c>
      <c r="D10010" s="128" t="s">
        <v>76</v>
      </c>
      <c r="E10010" s="128" t="s">
        <v>133</v>
      </c>
      <c r="F10010" s="128">
        <v>41700630.960000001</v>
      </c>
      <c r="G10010" s="128">
        <v>23066777.68</v>
      </c>
      <c r="H10010" s="128">
        <v>18633782.140000001</v>
      </c>
      <c r="I10010" s="128">
        <v>306489</v>
      </c>
    </row>
    <row r="10011" spans="1:9" ht="13.5">
      <c r="A10011" s="128">
        <v>2018</v>
      </c>
      <c r="B10011" s="128" t="s">
        <v>131</v>
      </c>
      <c r="C10011" s="128" t="s">
        <v>24</v>
      </c>
      <c r="D10011" s="128" t="s">
        <v>76</v>
      </c>
      <c r="E10011" s="128" t="s">
        <v>134</v>
      </c>
      <c r="F10011" s="128">
        <v>55904613.25</v>
      </c>
      <c r="G10011" s="128">
        <v>24710707.23</v>
      </c>
      <c r="H10011" s="128">
        <v>31193898.550000001</v>
      </c>
      <c r="I10011" s="128">
        <v>255973</v>
      </c>
    </row>
    <row r="10012" spans="1:9" ht="13.5">
      <c r="A10012" s="128">
        <v>2018</v>
      </c>
      <c r="B10012" s="128" t="s">
        <v>131</v>
      </c>
      <c r="C10012" s="128" t="s">
        <v>24</v>
      </c>
      <c r="D10012" s="128" t="s">
        <v>76</v>
      </c>
      <c r="E10012" s="128" t="s">
        <v>135</v>
      </c>
      <c r="F10012" s="128">
        <v>2646945.58</v>
      </c>
      <c r="G10012" s="128">
        <v>697658.05</v>
      </c>
      <c r="H10012" s="128">
        <v>1949287.13</v>
      </c>
      <c r="I10012" s="128">
        <v>2165</v>
      </c>
    </row>
    <row r="10013" spans="1:9" ht="13.5">
      <c r="A10013" s="128">
        <v>2018</v>
      </c>
      <c r="B10013" s="128" t="s">
        <v>131</v>
      </c>
      <c r="C10013" s="128" t="s">
        <v>25</v>
      </c>
      <c r="D10013" s="128" t="s">
        <v>79</v>
      </c>
      <c r="E10013" s="128" t="s">
        <v>136</v>
      </c>
      <c r="F10013" s="128">
        <v>467071.7</v>
      </c>
      <c r="G10013" s="128">
        <v>350356.4</v>
      </c>
      <c r="H10013" s="128">
        <v>116075.29</v>
      </c>
      <c r="I10013" s="128">
        <v>3523</v>
      </c>
    </row>
    <row r="10014" spans="1:9" ht="13.5">
      <c r="A10014" s="128">
        <v>2018</v>
      </c>
      <c r="B10014" s="128" t="s">
        <v>131</v>
      </c>
      <c r="C10014" s="128" t="s">
        <v>25</v>
      </c>
      <c r="D10014" s="128" t="s">
        <v>79</v>
      </c>
      <c r="E10014" s="128" t="s">
        <v>132</v>
      </c>
      <c r="F10014" s="128">
        <v>245096.86</v>
      </c>
      <c r="G10014" s="128">
        <v>159154.13</v>
      </c>
      <c r="H10014" s="128">
        <v>71892.399999999994</v>
      </c>
      <c r="I10014" s="128">
        <v>1330</v>
      </c>
    </row>
    <row r="10015" spans="1:9" ht="13.5">
      <c r="A10015" s="128">
        <v>2018</v>
      </c>
      <c r="B10015" s="128" t="s">
        <v>131</v>
      </c>
      <c r="C10015" s="128" t="s">
        <v>25</v>
      </c>
      <c r="D10015" s="128" t="s">
        <v>79</v>
      </c>
      <c r="E10015" s="128" t="s">
        <v>133</v>
      </c>
      <c r="F10015" s="128">
        <v>283203.05</v>
      </c>
      <c r="G10015" s="128">
        <v>157103.53</v>
      </c>
      <c r="H10015" s="128">
        <v>103749.86</v>
      </c>
      <c r="I10015" s="128">
        <v>2458</v>
      </c>
    </row>
    <row r="10016" spans="1:9" ht="13.5">
      <c r="A10016" s="128">
        <v>2018</v>
      </c>
      <c r="B10016" s="128" t="s">
        <v>131</v>
      </c>
      <c r="C10016" s="128" t="s">
        <v>25</v>
      </c>
      <c r="D10016" s="128" t="s">
        <v>79</v>
      </c>
      <c r="E10016" s="128" t="s">
        <v>134</v>
      </c>
      <c r="F10016" s="128">
        <v>383202.27</v>
      </c>
      <c r="G10016" s="128">
        <v>169079.57</v>
      </c>
      <c r="H10016" s="128">
        <v>123957.9</v>
      </c>
      <c r="I10016" s="128">
        <v>1860</v>
      </c>
    </row>
    <row r="10017" spans="1:9" ht="13.5">
      <c r="A10017" s="128">
        <v>2018</v>
      </c>
      <c r="B10017" s="128" t="s">
        <v>131</v>
      </c>
      <c r="C10017" s="128" t="s">
        <v>25</v>
      </c>
      <c r="D10017" s="128" t="s">
        <v>79</v>
      </c>
      <c r="E10017" s="128" t="s">
        <v>135</v>
      </c>
      <c r="F10017" s="128">
        <v>1456413</v>
      </c>
      <c r="G10017" s="128">
        <v>330926.32</v>
      </c>
      <c r="H10017" s="128">
        <v>128141.57</v>
      </c>
      <c r="I10017" s="128">
        <v>1318</v>
      </c>
    </row>
    <row r="10018" spans="1:9" ht="13.5">
      <c r="A10018" s="128">
        <v>2018</v>
      </c>
      <c r="B10018" s="128" t="s">
        <v>131</v>
      </c>
      <c r="C10018" s="128" t="s">
        <v>25</v>
      </c>
      <c r="D10018" s="128" t="s">
        <v>77</v>
      </c>
      <c r="E10018" s="128" t="s">
        <v>132</v>
      </c>
      <c r="F10018" s="128">
        <v>204021.15</v>
      </c>
      <c r="G10018" s="128">
        <v>136127.93</v>
      </c>
      <c r="H10018" s="128">
        <v>59493.59</v>
      </c>
      <c r="I10018" s="128">
        <v>1059</v>
      </c>
    </row>
    <row r="10019" spans="1:9" ht="13.5">
      <c r="A10019" s="128">
        <v>2018</v>
      </c>
      <c r="B10019" s="128" t="s">
        <v>131</v>
      </c>
      <c r="C10019" s="128" t="s">
        <v>25</v>
      </c>
      <c r="D10019" s="128" t="s">
        <v>77</v>
      </c>
      <c r="E10019" s="128" t="s">
        <v>133</v>
      </c>
      <c r="F10019" s="128">
        <v>427126.3</v>
      </c>
      <c r="G10019" s="128">
        <v>227915.1</v>
      </c>
      <c r="H10019" s="128">
        <v>194245</v>
      </c>
      <c r="I10019" s="128">
        <v>35</v>
      </c>
    </row>
    <row r="10020" spans="1:9" ht="13.5">
      <c r="A10020" s="128">
        <v>2018</v>
      </c>
      <c r="B10020" s="128" t="s">
        <v>131</v>
      </c>
      <c r="C10020" s="128" t="s">
        <v>25</v>
      </c>
      <c r="D10020" s="128" t="s">
        <v>77</v>
      </c>
      <c r="E10020" s="128" t="s">
        <v>134</v>
      </c>
      <c r="F10020" s="128">
        <v>1858622.79</v>
      </c>
      <c r="G10020" s="128">
        <v>799631.22</v>
      </c>
      <c r="H10020" s="128">
        <v>843867.03</v>
      </c>
      <c r="I10020" s="128">
        <v>3265</v>
      </c>
    </row>
    <row r="10021" spans="1:9" ht="13.5">
      <c r="A10021" s="128">
        <v>2018</v>
      </c>
      <c r="B10021" s="128" t="s">
        <v>131</v>
      </c>
      <c r="C10021" s="128" t="s">
        <v>25</v>
      </c>
      <c r="D10021" s="128" t="s">
        <v>77</v>
      </c>
      <c r="E10021" s="128" t="s">
        <v>135</v>
      </c>
      <c r="F10021" s="128">
        <v>2699423.14</v>
      </c>
      <c r="G10021" s="128">
        <v>761145.19</v>
      </c>
      <c r="H10021" s="128">
        <v>919793.13</v>
      </c>
      <c r="I10021" s="128">
        <v>7475</v>
      </c>
    </row>
    <row r="10022" spans="1:9" ht="13.5">
      <c r="A10022" s="128">
        <v>2018</v>
      </c>
      <c r="B10022" s="128" t="s">
        <v>131</v>
      </c>
      <c r="C10022" s="128" t="s">
        <v>25</v>
      </c>
      <c r="D10022" s="128" t="s">
        <v>76</v>
      </c>
      <c r="E10022" s="128" t="s">
        <v>136</v>
      </c>
      <c r="F10022" s="128">
        <v>2036623.42</v>
      </c>
      <c r="G10022" s="128">
        <v>1528909.16</v>
      </c>
      <c r="H10022" s="128">
        <v>507714.26</v>
      </c>
      <c r="I10022" s="128">
        <v>31978</v>
      </c>
    </row>
    <row r="10023" spans="1:9" ht="13.5">
      <c r="A10023" s="128">
        <v>2018</v>
      </c>
      <c r="B10023" s="128" t="s">
        <v>131</v>
      </c>
      <c r="C10023" s="128" t="s">
        <v>25</v>
      </c>
      <c r="D10023" s="128" t="s">
        <v>76</v>
      </c>
      <c r="E10023" s="128" t="s">
        <v>132</v>
      </c>
      <c r="F10023" s="128">
        <v>2714023.18</v>
      </c>
      <c r="G10023" s="128">
        <v>1724297.82</v>
      </c>
      <c r="H10023" s="128">
        <v>989725.26</v>
      </c>
      <c r="I10023" s="128">
        <v>19737</v>
      </c>
    </row>
    <row r="10024" spans="1:9" ht="13.5">
      <c r="A10024" s="128">
        <v>2018</v>
      </c>
      <c r="B10024" s="128" t="s">
        <v>131</v>
      </c>
      <c r="C10024" s="128" t="s">
        <v>25</v>
      </c>
      <c r="D10024" s="128" t="s">
        <v>76</v>
      </c>
      <c r="E10024" s="128" t="s">
        <v>133</v>
      </c>
      <c r="F10024" s="128">
        <v>8427218.5600000005</v>
      </c>
      <c r="G10024" s="128">
        <v>4600952.72</v>
      </c>
      <c r="H10024" s="128">
        <v>3826260.81</v>
      </c>
      <c r="I10024" s="128">
        <v>52889</v>
      </c>
    </row>
    <row r="10025" spans="1:9" ht="13.5">
      <c r="A10025" s="128">
        <v>2018</v>
      </c>
      <c r="B10025" s="128" t="s">
        <v>131</v>
      </c>
      <c r="C10025" s="128" t="s">
        <v>25</v>
      </c>
      <c r="D10025" s="128" t="s">
        <v>76</v>
      </c>
      <c r="E10025" s="128" t="s">
        <v>134</v>
      </c>
      <c r="F10025" s="128">
        <v>10566187.16</v>
      </c>
      <c r="G10025" s="128">
        <v>4804457.8899999997</v>
      </c>
      <c r="H10025" s="128">
        <v>5761728.4199999999</v>
      </c>
      <c r="I10025" s="128">
        <v>48855</v>
      </c>
    </row>
    <row r="10026" spans="1:9" ht="13.5">
      <c r="A10026" s="128">
        <v>2018</v>
      </c>
      <c r="B10026" s="128" t="s">
        <v>131</v>
      </c>
      <c r="C10026" s="128" t="s">
        <v>25</v>
      </c>
      <c r="D10026" s="128" t="s">
        <v>76</v>
      </c>
      <c r="E10026" s="128" t="s">
        <v>135</v>
      </c>
      <c r="F10026" s="128">
        <v>404206.72</v>
      </c>
      <c r="G10026" s="128">
        <v>111461.9</v>
      </c>
      <c r="H10026" s="128">
        <v>292744.82</v>
      </c>
      <c r="I10026" s="128">
        <v>402</v>
      </c>
    </row>
    <row r="10027" spans="1:9" ht="13.5">
      <c r="A10027" s="128">
        <v>2018</v>
      </c>
      <c r="B10027" s="128" t="s">
        <v>131</v>
      </c>
      <c r="C10027" s="128" t="s">
        <v>26</v>
      </c>
      <c r="D10027" s="128" t="s">
        <v>79</v>
      </c>
      <c r="E10027" s="128" t="s">
        <v>136</v>
      </c>
      <c r="F10027" s="128">
        <v>1038225.62</v>
      </c>
      <c r="G10027" s="128">
        <v>771750.12</v>
      </c>
      <c r="H10027" s="128">
        <v>251257.01</v>
      </c>
      <c r="I10027" s="128">
        <v>8534</v>
      </c>
    </row>
    <row r="10028" spans="1:9" ht="13.5">
      <c r="A10028" s="128">
        <v>2018</v>
      </c>
      <c r="B10028" s="128" t="s">
        <v>131</v>
      </c>
      <c r="C10028" s="128" t="s">
        <v>26</v>
      </c>
      <c r="D10028" s="128" t="s">
        <v>79</v>
      </c>
      <c r="E10028" s="128" t="s">
        <v>132</v>
      </c>
      <c r="F10028" s="128">
        <v>142609.43</v>
      </c>
      <c r="G10028" s="128">
        <v>95510.2</v>
      </c>
      <c r="H10028" s="128">
        <v>35874.83</v>
      </c>
      <c r="I10028" s="128">
        <v>618</v>
      </c>
    </row>
    <row r="10029" spans="1:9" ht="13.5">
      <c r="A10029" s="128">
        <v>2018</v>
      </c>
      <c r="B10029" s="128" t="s">
        <v>131</v>
      </c>
      <c r="C10029" s="128" t="s">
        <v>26</v>
      </c>
      <c r="D10029" s="128" t="s">
        <v>79</v>
      </c>
      <c r="E10029" s="128" t="s">
        <v>133</v>
      </c>
      <c r="F10029" s="128">
        <v>172488.94</v>
      </c>
      <c r="G10029" s="128">
        <v>94250.75</v>
      </c>
      <c r="H10029" s="128">
        <v>37374.910000000003</v>
      </c>
      <c r="I10029" s="128">
        <v>492</v>
      </c>
    </row>
    <row r="10030" spans="1:9" ht="13.5">
      <c r="A10030" s="128">
        <v>2018</v>
      </c>
      <c r="B10030" s="128" t="s">
        <v>131</v>
      </c>
      <c r="C10030" s="128" t="s">
        <v>26</v>
      </c>
      <c r="D10030" s="128" t="s">
        <v>79</v>
      </c>
      <c r="E10030" s="128" t="s">
        <v>134</v>
      </c>
      <c r="F10030" s="128">
        <v>536771.86</v>
      </c>
      <c r="G10030" s="128">
        <v>229646.24</v>
      </c>
      <c r="H10030" s="128">
        <v>113738.92</v>
      </c>
      <c r="I10030" s="128">
        <v>2320</v>
      </c>
    </row>
    <row r="10031" spans="1:9" ht="13.5">
      <c r="A10031" s="128">
        <v>2018</v>
      </c>
      <c r="B10031" s="128" t="s">
        <v>131</v>
      </c>
      <c r="C10031" s="128" t="s">
        <v>26</v>
      </c>
      <c r="D10031" s="128" t="s">
        <v>79</v>
      </c>
      <c r="E10031" s="128" t="s">
        <v>135</v>
      </c>
      <c r="F10031" s="128">
        <v>6901007.96</v>
      </c>
      <c r="G10031" s="128">
        <v>1526954.35</v>
      </c>
      <c r="H10031" s="128">
        <v>515141.02</v>
      </c>
      <c r="I10031" s="128">
        <v>6676</v>
      </c>
    </row>
    <row r="10032" spans="1:9" ht="13.5">
      <c r="A10032" s="128">
        <v>2018</v>
      </c>
      <c r="B10032" s="128" t="s">
        <v>131</v>
      </c>
      <c r="C10032" s="128" t="s">
        <v>26</v>
      </c>
      <c r="D10032" s="128" t="s">
        <v>77</v>
      </c>
      <c r="E10032" s="128" t="s">
        <v>132</v>
      </c>
      <c r="F10032" s="128">
        <v>82242.05</v>
      </c>
      <c r="G10032" s="128">
        <v>53110.94</v>
      </c>
      <c r="H10032" s="128">
        <v>25906.19</v>
      </c>
      <c r="I10032" s="128">
        <v>364</v>
      </c>
    </row>
    <row r="10033" spans="1:9" ht="13.5">
      <c r="A10033" s="128">
        <v>2018</v>
      </c>
      <c r="B10033" s="128" t="s">
        <v>131</v>
      </c>
      <c r="C10033" s="128" t="s">
        <v>26</v>
      </c>
      <c r="D10033" s="128" t="s">
        <v>77</v>
      </c>
      <c r="E10033" s="128" t="s">
        <v>133</v>
      </c>
      <c r="F10033" s="128">
        <v>88323.55</v>
      </c>
      <c r="G10033" s="128">
        <v>45302.1</v>
      </c>
      <c r="H10033" s="128">
        <v>44561.87</v>
      </c>
      <c r="I10033" s="128">
        <v>-215</v>
      </c>
    </row>
    <row r="10034" spans="1:9" ht="13.5">
      <c r="A10034" s="128">
        <v>2018</v>
      </c>
      <c r="B10034" s="128" t="s">
        <v>131</v>
      </c>
      <c r="C10034" s="128" t="s">
        <v>26</v>
      </c>
      <c r="D10034" s="128" t="s">
        <v>77</v>
      </c>
      <c r="E10034" s="128" t="s">
        <v>134</v>
      </c>
      <c r="F10034" s="128">
        <v>644411.89</v>
      </c>
      <c r="G10034" s="128">
        <v>274277.59000000003</v>
      </c>
      <c r="H10034" s="128">
        <v>271793.23</v>
      </c>
      <c r="I10034" s="128">
        <v>1689</v>
      </c>
    </row>
    <row r="10035" spans="1:9" ht="13.5">
      <c r="A10035" s="128">
        <v>2018</v>
      </c>
      <c r="B10035" s="128" t="s">
        <v>131</v>
      </c>
      <c r="C10035" s="128" t="s">
        <v>26</v>
      </c>
      <c r="D10035" s="128" t="s">
        <v>77</v>
      </c>
      <c r="E10035" s="128" t="s">
        <v>135</v>
      </c>
      <c r="F10035" s="128">
        <v>3306139.61</v>
      </c>
      <c r="G10035" s="128">
        <v>871012.02</v>
      </c>
      <c r="H10035" s="128">
        <v>969191.22</v>
      </c>
      <c r="I10035" s="128">
        <v>11076</v>
      </c>
    </row>
    <row r="10036" spans="1:9" ht="13.5">
      <c r="A10036" s="128">
        <v>2018</v>
      </c>
      <c r="B10036" s="128" t="s">
        <v>131</v>
      </c>
      <c r="C10036" s="128" t="s">
        <v>26</v>
      </c>
      <c r="D10036" s="128" t="s">
        <v>76</v>
      </c>
      <c r="E10036" s="128" t="s">
        <v>136</v>
      </c>
      <c r="F10036" s="128">
        <v>549709.77</v>
      </c>
      <c r="G10036" s="128">
        <v>412317.17</v>
      </c>
      <c r="H10036" s="128">
        <v>137392.6</v>
      </c>
      <c r="I10036" s="128">
        <v>15561</v>
      </c>
    </row>
    <row r="10037" spans="1:9" ht="13.5">
      <c r="A10037" s="128">
        <v>2018</v>
      </c>
      <c r="B10037" s="128" t="s">
        <v>131</v>
      </c>
      <c r="C10037" s="128" t="s">
        <v>26</v>
      </c>
      <c r="D10037" s="128" t="s">
        <v>76</v>
      </c>
      <c r="E10037" s="128" t="s">
        <v>132</v>
      </c>
      <c r="F10037" s="128">
        <v>1444695.79</v>
      </c>
      <c r="G10037" s="128">
        <v>920105.17</v>
      </c>
      <c r="H10037" s="128">
        <v>524586.47</v>
      </c>
      <c r="I10037" s="128">
        <v>14640</v>
      </c>
    </row>
    <row r="10038" spans="1:9" ht="13.5">
      <c r="A10038" s="128">
        <v>2018</v>
      </c>
      <c r="B10038" s="128" t="s">
        <v>131</v>
      </c>
      <c r="C10038" s="128" t="s">
        <v>26</v>
      </c>
      <c r="D10038" s="128" t="s">
        <v>76</v>
      </c>
      <c r="E10038" s="128" t="s">
        <v>133</v>
      </c>
      <c r="F10038" s="128">
        <v>3834479.78</v>
      </c>
      <c r="G10038" s="128">
        <v>2113853.1</v>
      </c>
      <c r="H10038" s="128">
        <v>1720621.47</v>
      </c>
      <c r="I10038" s="128">
        <v>32610</v>
      </c>
    </row>
    <row r="10039" spans="1:9" ht="13.5">
      <c r="A10039" s="128">
        <v>2018</v>
      </c>
      <c r="B10039" s="128" t="s">
        <v>131</v>
      </c>
      <c r="C10039" s="128" t="s">
        <v>26</v>
      </c>
      <c r="D10039" s="128" t="s">
        <v>76</v>
      </c>
      <c r="E10039" s="128" t="s">
        <v>134</v>
      </c>
      <c r="F10039" s="128">
        <v>2853282.31</v>
      </c>
      <c r="G10039" s="128">
        <v>1296531.5</v>
      </c>
      <c r="H10039" s="128">
        <v>1556726.31</v>
      </c>
      <c r="I10039" s="128">
        <v>16770</v>
      </c>
    </row>
    <row r="10040" spans="1:9" ht="13.5">
      <c r="A10040" s="128">
        <v>2018</v>
      </c>
      <c r="B10040" s="128" t="s">
        <v>131</v>
      </c>
      <c r="C10040" s="128" t="s">
        <v>26</v>
      </c>
      <c r="D10040" s="128" t="s">
        <v>76</v>
      </c>
      <c r="E10040" s="128" t="s">
        <v>135</v>
      </c>
      <c r="F10040" s="128">
        <v>248669.5</v>
      </c>
      <c r="G10040" s="128">
        <v>74926.100000000006</v>
      </c>
      <c r="H10040" s="128">
        <v>173743.4</v>
      </c>
      <c r="I10040" s="128">
        <v>591</v>
      </c>
    </row>
    <row r="10041" spans="1:9" ht="13.5">
      <c r="A10041" s="128">
        <v>2018</v>
      </c>
      <c r="B10041" s="128" t="s">
        <v>131</v>
      </c>
      <c r="C10041" s="128" t="s">
        <v>27</v>
      </c>
      <c r="D10041" s="128" t="s">
        <v>79</v>
      </c>
      <c r="E10041" s="128" t="s">
        <v>136</v>
      </c>
      <c r="F10041" s="128">
        <v>239342.59</v>
      </c>
      <c r="G10041" s="128">
        <v>179515.08</v>
      </c>
      <c r="H10041" s="128">
        <v>59827.25</v>
      </c>
      <c r="I10041" s="128">
        <v>1228</v>
      </c>
    </row>
    <row r="10042" spans="1:9" ht="13.5">
      <c r="A10042" s="128">
        <v>2018</v>
      </c>
      <c r="B10042" s="128" t="s">
        <v>131</v>
      </c>
      <c r="C10042" s="128" t="s">
        <v>27</v>
      </c>
      <c r="D10042" s="128" t="s">
        <v>79</v>
      </c>
      <c r="E10042" s="128" t="s">
        <v>132</v>
      </c>
      <c r="F10042" s="128">
        <v>62573.52</v>
      </c>
      <c r="G10042" s="128">
        <v>40433.300000000003</v>
      </c>
      <c r="H10042" s="128">
        <v>19427.349999999999</v>
      </c>
      <c r="I10042" s="128">
        <v>345</v>
      </c>
    </row>
    <row r="10043" spans="1:9" ht="13.5">
      <c r="A10043" s="128">
        <v>2018</v>
      </c>
      <c r="B10043" s="128" t="s">
        <v>131</v>
      </c>
      <c r="C10043" s="128" t="s">
        <v>27</v>
      </c>
      <c r="D10043" s="128" t="s">
        <v>79</v>
      </c>
      <c r="E10043" s="128" t="s">
        <v>133</v>
      </c>
      <c r="F10043" s="128">
        <v>51859.67</v>
      </c>
      <c r="G10043" s="128">
        <v>28340.69</v>
      </c>
      <c r="H10043" s="128">
        <v>16102.05</v>
      </c>
      <c r="I10043" s="128">
        <v>222</v>
      </c>
    </row>
    <row r="10044" spans="1:9" ht="13.5">
      <c r="A10044" s="128">
        <v>2018</v>
      </c>
      <c r="B10044" s="128" t="s">
        <v>131</v>
      </c>
      <c r="C10044" s="128" t="s">
        <v>27</v>
      </c>
      <c r="D10044" s="128" t="s">
        <v>79</v>
      </c>
      <c r="E10044" s="128" t="s">
        <v>134</v>
      </c>
      <c r="F10044" s="128">
        <v>135895.56</v>
      </c>
      <c r="G10044" s="128">
        <v>59372.5</v>
      </c>
      <c r="H10044" s="128">
        <v>46529.15</v>
      </c>
      <c r="I10044" s="128">
        <v>546</v>
      </c>
    </row>
    <row r="10045" spans="1:9" ht="13.5">
      <c r="A10045" s="128">
        <v>2018</v>
      </c>
      <c r="B10045" s="128" t="s">
        <v>131</v>
      </c>
      <c r="C10045" s="128" t="s">
        <v>27</v>
      </c>
      <c r="D10045" s="128" t="s">
        <v>79</v>
      </c>
      <c r="E10045" s="128" t="s">
        <v>135</v>
      </c>
      <c r="F10045" s="128">
        <v>1076551.8600000001</v>
      </c>
      <c r="G10045" s="128">
        <v>244966.08</v>
      </c>
      <c r="H10045" s="128">
        <v>87091</v>
      </c>
      <c r="I10045" s="128">
        <v>848</v>
      </c>
    </row>
    <row r="10046" spans="1:9" ht="13.5">
      <c r="A10046" s="128">
        <v>2018</v>
      </c>
      <c r="B10046" s="128" t="s">
        <v>131</v>
      </c>
      <c r="C10046" s="128" t="s">
        <v>27</v>
      </c>
      <c r="D10046" s="128" t="s">
        <v>77</v>
      </c>
      <c r="E10046" s="128" t="s">
        <v>132</v>
      </c>
      <c r="F10046" s="128">
        <v>38702.74</v>
      </c>
      <c r="G10046" s="128">
        <v>24991.89</v>
      </c>
      <c r="H10046" s="128">
        <v>10582.95</v>
      </c>
      <c r="I10046" s="128">
        <v>178</v>
      </c>
    </row>
    <row r="10047" spans="1:9" ht="13.5">
      <c r="A10047" s="128">
        <v>2018</v>
      </c>
      <c r="B10047" s="128" t="s">
        <v>131</v>
      </c>
      <c r="C10047" s="128" t="s">
        <v>27</v>
      </c>
      <c r="D10047" s="128" t="s">
        <v>77</v>
      </c>
      <c r="E10047" s="128" t="s">
        <v>133</v>
      </c>
      <c r="F10047" s="128">
        <v>71235.199999999997</v>
      </c>
      <c r="G10047" s="128">
        <v>39195.949999999997</v>
      </c>
      <c r="H10047" s="128">
        <v>24230.91</v>
      </c>
      <c r="I10047" s="128">
        <v>288</v>
      </c>
    </row>
    <row r="10048" spans="1:9" ht="13.5">
      <c r="A10048" s="128">
        <v>2018</v>
      </c>
      <c r="B10048" s="128" t="s">
        <v>131</v>
      </c>
      <c r="C10048" s="128" t="s">
        <v>27</v>
      </c>
      <c r="D10048" s="128" t="s">
        <v>77</v>
      </c>
      <c r="E10048" s="128" t="s">
        <v>134</v>
      </c>
      <c r="F10048" s="128">
        <v>248117.17</v>
      </c>
      <c r="G10048" s="128">
        <v>107775.79</v>
      </c>
      <c r="H10048" s="128">
        <v>101694.75</v>
      </c>
      <c r="I10048" s="128">
        <v>602</v>
      </c>
    </row>
    <row r="10049" spans="1:9" ht="13.5">
      <c r="A10049" s="128">
        <v>2018</v>
      </c>
      <c r="B10049" s="128" t="s">
        <v>131</v>
      </c>
      <c r="C10049" s="128" t="s">
        <v>27</v>
      </c>
      <c r="D10049" s="128" t="s">
        <v>77</v>
      </c>
      <c r="E10049" s="128" t="s">
        <v>135</v>
      </c>
      <c r="F10049" s="128">
        <v>662918.66</v>
      </c>
      <c r="G10049" s="128">
        <v>185578.54</v>
      </c>
      <c r="H10049" s="128">
        <v>214252.12</v>
      </c>
      <c r="I10049" s="128">
        <v>2375</v>
      </c>
    </row>
    <row r="10050" spans="1:9" ht="13.5">
      <c r="A10050" s="128">
        <v>2018</v>
      </c>
      <c r="B10050" s="128" t="s">
        <v>131</v>
      </c>
      <c r="C10050" s="128" t="s">
        <v>27</v>
      </c>
      <c r="D10050" s="128" t="s">
        <v>76</v>
      </c>
      <c r="E10050" s="128" t="s">
        <v>136</v>
      </c>
      <c r="F10050" s="128">
        <v>512862.18</v>
      </c>
      <c r="G10050" s="128">
        <v>384789.34</v>
      </c>
      <c r="H10050" s="128">
        <v>128072.84</v>
      </c>
      <c r="I10050" s="128">
        <v>7474</v>
      </c>
    </row>
    <row r="10051" spans="1:9" ht="13.5">
      <c r="A10051" s="128">
        <v>2018</v>
      </c>
      <c r="B10051" s="128" t="s">
        <v>131</v>
      </c>
      <c r="C10051" s="128" t="s">
        <v>27</v>
      </c>
      <c r="D10051" s="128" t="s">
        <v>76</v>
      </c>
      <c r="E10051" s="128" t="s">
        <v>132</v>
      </c>
      <c r="F10051" s="128">
        <v>469507.33</v>
      </c>
      <c r="G10051" s="128">
        <v>298520.98</v>
      </c>
      <c r="H10051" s="128">
        <v>170986.6</v>
      </c>
      <c r="I10051" s="128">
        <v>3617</v>
      </c>
    </row>
    <row r="10052" spans="1:9" ht="13.5">
      <c r="A10052" s="128">
        <v>2018</v>
      </c>
      <c r="B10052" s="128" t="s">
        <v>131</v>
      </c>
      <c r="C10052" s="128" t="s">
        <v>27</v>
      </c>
      <c r="D10052" s="128" t="s">
        <v>76</v>
      </c>
      <c r="E10052" s="128" t="s">
        <v>133</v>
      </c>
      <c r="F10052" s="128">
        <v>1282515.3500000001</v>
      </c>
      <c r="G10052" s="128">
        <v>698163.6</v>
      </c>
      <c r="H10052" s="128">
        <v>584349.81999999995</v>
      </c>
      <c r="I10052" s="128">
        <v>5962</v>
      </c>
    </row>
    <row r="10053" spans="1:9" ht="13.5">
      <c r="A10053" s="128">
        <v>2018</v>
      </c>
      <c r="B10053" s="128" t="s">
        <v>131</v>
      </c>
      <c r="C10053" s="128" t="s">
        <v>27</v>
      </c>
      <c r="D10053" s="128" t="s">
        <v>76</v>
      </c>
      <c r="E10053" s="128" t="s">
        <v>134</v>
      </c>
      <c r="F10053" s="128">
        <v>2219565.4500000002</v>
      </c>
      <c r="G10053" s="128">
        <v>1009769.05</v>
      </c>
      <c r="H10053" s="128">
        <v>1209773.17</v>
      </c>
      <c r="I10053" s="128">
        <v>9868</v>
      </c>
    </row>
    <row r="10054" spans="1:9" ht="13.5">
      <c r="A10054" s="128">
        <v>2018</v>
      </c>
      <c r="B10054" s="128" t="s">
        <v>131</v>
      </c>
      <c r="C10054" s="128" t="s">
        <v>27</v>
      </c>
      <c r="D10054" s="128" t="s">
        <v>76</v>
      </c>
      <c r="E10054" s="128" t="s">
        <v>135</v>
      </c>
      <c r="F10054" s="128">
        <v>67952.149999999994</v>
      </c>
      <c r="G10054" s="128">
        <v>19994.25</v>
      </c>
      <c r="H10054" s="128">
        <v>47957.9</v>
      </c>
      <c r="I10054" s="128">
        <v>90</v>
      </c>
    </row>
    <row r="10055" spans="1:9" ht="13.5">
      <c r="A10055" s="128">
        <v>2018</v>
      </c>
      <c r="B10055" s="128" t="s">
        <v>138</v>
      </c>
      <c r="C10055" s="128" t="s">
        <v>20</v>
      </c>
      <c r="D10055" s="128" t="s">
        <v>79</v>
      </c>
      <c r="E10055" s="128" t="s">
        <v>136</v>
      </c>
      <c r="F10055" s="128">
        <v>36689608.479999997</v>
      </c>
      <c r="G10055" s="128">
        <v>27525371.440000001</v>
      </c>
      <c r="H10055" s="128">
        <v>9127590.8800000008</v>
      </c>
      <c r="I10055" s="128">
        <v>421936</v>
      </c>
    </row>
    <row r="10056" spans="1:9" ht="13.5">
      <c r="A10056" s="128">
        <v>2018</v>
      </c>
      <c r="B10056" s="128" t="s">
        <v>138</v>
      </c>
      <c r="C10056" s="128" t="s">
        <v>20</v>
      </c>
      <c r="D10056" s="128" t="s">
        <v>79</v>
      </c>
      <c r="E10056" s="128" t="s">
        <v>132</v>
      </c>
      <c r="F10056" s="128">
        <v>2797839.2</v>
      </c>
      <c r="G10056" s="128">
        <v>1871835.65</v>
      </c>
      <c r="H10056" s="128">
        <v>713808.47</v>
      </c>
      <c r="I10056" s="128">
        <v>13327</v>
      </c>
    </row>
    <row r="10057" spans="1:9" ht="13.5">
      <c r="A10057" s="128">
        <v>2018</v>
      </c>
      <c r="B10057" s="128" t="s">
        <v>138</v>
      </c>
      <c r="C10057" s="128" t="s">
        <v>20</v>
      </c>
      <c r="D10057" s="128" t="s">
        <v>79</v>
      </c>
      <c r="E10057" s="128" t="s">
        <v>133</v>
      </c>
      <c r="F10057" s="128">
        <v>2927451.91</v>
      </c>
      <c r="G10057" s="128">
        <v>1584830.75</v>
      </c>
      <c r="H10057" s="128">
        <v>840191.83</v>
      </c>
      <c r="I10057" s="128">
        <v>17354</v>
      </c>
    </row>
    <row r="10058" spans="1:9" ht="13.5">
      <c r="A10058" s="128">
        <v>2018</v>
      </c>
      <c r="B10058" s="128" t="s">
        <v>138</v>
      </c>
      <c r="C10058" s="128" t="s">
        <v>20</v>
      </c>
      <c r="D10058" s="128" t="s">
        <v>79</v>
      </c>
      <c r="E10058" s="128" t="s">
        <v>134</v>
      </c>
      <c r="F10058" s="128">
        <v>8161054.8499999996</v>
      </c>
      <c r="G10058" s="128">
        <v>3525103.29</v>
      </c>
      <c r="H10058" s="128">
        <v>1932047.41</v>
      </c>
      <c r="I10058" s="128">
        <v>32402</v>
      </c>
    </row>
    <row r="10059" spans="1:9" ht="13.5">
      <c r="A10059" s="128">
        <v>2018</v>
      </c>
      <c r="B10059" s="128" t="s">
        <v>138</v>
      </c>
      <c r="C10059" s="128" t="s">
        <v>20</v>
      </c>
      <c r="D10059" s="128" t="s">
        <v>79</v>
      </c>
      <c r="E10059" s="128" t="s">
        <v>135</v>
      </c>
      <c r="F10059" s="128">
        <v>81362935.450000003</v>
      </c>
      <c r="G10059" s="128">
        <v>17842294.32</v>
      </c>
      <c r="H10059" s="128">
        <v>6151362.5599999996</v>
      </c>
      <c r="I10059" s="128">
        <v>79105</v>
      </c>
    </row>
    <row r="10060" spans="1:9" ht="13.5">
      <c r="A10060" s="128">
        <v>2018</v>
      </c>
      <c r="B10060" s="128" t="s">
        <v>138</v>
      </c>
      <c r="C10060" s="128" t="s">
        <v>20</v>
      </c>
      <c r="D10060" s="128" t="s">
        <v>77</v>
      </c>
      <c r="E10060" s="128" t="s">
        <v>132</v>
      </c>
      <c r="F10060" s="128">
        <v>3279082.85</v>
      </c>
      <c r="G10060" s="128">
        <v>2129734.35</v>
      </c>
      <c r="H10060" s="128">
        <v>1046235.7</v>
      </c>
      <c r="I10060" s="128">
        <v>13749</v>
      </c>
    </row>
    <row r="10061" spans="1:9" ht="13.5">
      <c r="A10061" s="128">
        <v>2018</v>
      </c>
      <c r="B10061" s="128" t="s">
        <v>138</v>
      </c>
      <c r="C10061" s="128" t="s">
        <v>20</v>
      </c>
      <c r="D10061" s="128" t="s">
        <v>77</v>
      </c>
      <c r="E10061" s="128" t="s">
        <v>133</v>
      </c>
      <c r="F10061" s="128">
        <v>4803799.4800000004</v>
      </c>
      <c r="G10061" s="128">
        <v>2581498.25</v>
      </c>
      <c r="H10061" s="128">
        <v>1966465.1</v>
      </c>
      <c r="I10061" s="128">
        <v>14286</v>
      </c>
    </row>
    <row r="10062" spans="1:9" ht="13.5">
      <c r="A10062" s="128">
        <v>2018</v>
      </c>
      <c r="B10062" s="128" t="s">
        <v>138</v>
      </c>
      <c r="C10062" s="128" t="s">
        <v>20</v>
      </c>
      <c r="D10062" s="128" t="s">
        <v>77</v>
      </c>
      <c r="E10062" s="128" t="s">
        <v>134</v>
      </c>
      <c r="F10062" s="128">
        <v>16345324.960000001</v>
      </c>
      <c r="G10062" s="128">
        <v>7026309.0700000003</v>
      </c>
      <c r="H10062" s="128">
        <v>7289981.1100000003</v>
      </c>
      <c r="I10062" s="128">
        <v>35775</v>
      </c>
    </row>
    <row r="10063" spans="1:9" ht="13.5">
      <c r="A10063" s="128">
        <v>2018</v>
      </c>
      <c r="B10063" s="128" t="s">
        <v>138</v>
      </c>
      <c r="C10063" s="128" t="s">
        <v>20</v>
      </c>
      <c r="D10063" s="128" t="s">
        <v>77</v>
      </c>
      <c r="E10063" s="128" t="s">
        <v>135</v>
      </c>
      <c r="F10063" s="128">
        <v>41933906.579999998</v>
      </c>
      <c r="G10063" s="128">
        <v>11021438.060000001</v>
      </c>
      <c r="H10063" s="128">
        <v>13046885.630000001</v>
      </c>
      <c r="I10063" s="128">
        <v>143647</v>
      </c>
    </row>
    <row r="10064" spans="1:9" ht="13.5">
      <c r="A10064" s="128">
        <v>2018</v>
      </c>
      <c r="B10064" s="128" t="s">
        <v>138</v>
      </c>
      <c r="C10064" s="128" t="s">
        <v>20</v>
      </c>
      <c r="D10064" s="128" t="s">
        <v>76</v>
      </c>
      <c r="E10064" s="128" t="s">
        <v>136</v>
      </c>
      <c r="F10064" s="128">
        <v>27789044.039999999</v>
      </c>
      <c r="G10064" s="128">
        <v>20861139.93</v>
      </c>
      <c r="H10064" s="128">
        <v>6927916.4299999997</v>
      </c>
      <c r="I10064" s="128">
        <v>847054</v>
      </c>
    </row>
    <row r="10065" spans="1:9" ht="13.5">
      <c r="A10065" s="128">
        <v>2018</v>
      </c>
      <c r="B10065" s="128" t="s">
        <v>138</v>
      </c>
      <c r="C10065" s="128" t="s">
        <v>20</v>
      </c>
      <c r="D10065" s="128" t="s">
        <v>76</v>
      </c>
      <c r="E10065" s="128" t="s">
        <v>132</v>
      </c>
      <c r="F10065" s="128">
        <v>49886025.799999997</v>
      </c>
      <c r="G10065" s="128">
        <v>31480539.530000001</v>
      </c>
      <c r="H10065" s="128">
        <v>18405407.809999999</v>
      </c>
      <c r="I10065" s="128">
        <v>426764</v>
      </c>
    </row>
    <row r="10066" spans="1:9" ht="13.5">
      <c r="A10066" s="128">
        <v>2018</v>
      </c>
      <c r="B10066" s="128" t="s">
        <v>138</v>
      </c>
      <c r="C10066" s="128" t="s">
        <v>20</v>
      </c>
      <c r="D10066" s="128" t="s">
        <v>76</v>
      </c>
      <c r="E10066" s="128" t="s">
        <v>133</v>
      </c>
      <c r="F10066" s="128">
        <v>96426370.319999993</v>
      </c>
      <c r="G10066" s="128">
        <v>52680705.960000001</v>
      </c>
      <c r="H10066" s="128">
        <v>43745632.280000001</v>
      </c>
      <c r="I10066" s="128">
        <v>577001</v>
      </c>
    </row>
    <row r="10067" spans="1:9" ht="13.5">
      <c r="A10067" s="128">
        <v>2018</v>
      </c>
      <c r="B10067" s="128" t="s">
        <v>138</v>
      </c>
      <c r="C10067" s="128" t="s">
        <v>20</v>
      </c>
      <c r="D10067" s="128" t="s">
        <v>76</v>
      </c>
      <c r="E10067" s="128" t="s">
        <v>134</v>
      </c>
      <c r="F10067" s="128">
        <v>111983594.84999999</v>
      </c>
      <c r="G10067" s="128">
        <v>50994731.829999998</v>
      </c>
      <c r="H10067" s="128">
        <v>60988729.670000002</v>
      </c>
      <c r="I10067" s="128">
        <v>601116</v>
      </c>
    </row>
    <row r="10068" spans="1:9" ht="13.5">
      <c r="A10068" s="128">
        <v>2018</v>
      </c>
      <c r="B10068" s="128" t="s">
        <v>138</v>
      </c>
      <c r="C10068" s="128" t="s">
        <v>20</v>
      </c>
      <c r="D10068" s="128" t="s">
        <v>76</v>
      </c>
      <c r="E10068" s="128" t="s">
        <v>135</v>
      </c>
      <c r="F10068" s="128">
        <v>6980268.1600000001</v>
      </c>
      <c r="G10068" s="128">
        <v>2004062.32</v>
      </c>
      <c r="H10068" s="128">
        <v>4976205.4400000004</v>
      </c>
      <c r="I10068" s="128">
        <v>14716</v>
      </c>
    </row>
    <row r="10069" spans="1:9" ht="13.5">
      <c r="A10069" s="128">
        <v>2018</v>
      </c>
      <c r="B10069" s="128" t="s">
        <v>138</v>
      </c>
      <c r="C10069" s="128" t="s">
        <v>21</v>
      </c>
      <c r="D10069" s="128" t="s">
        <v>79</v>
      </c>
      <c r="E10069" s="128" t="s">
        <v>136</v>
      </c>
      <c r="F10069" s="128">
        <v>9592492.4000000004</v>
      </c>
      <c r="G10069" s="128">
        <v>7195215.8399999999</v>
      </c>
      <c r="H10069" s="128">
        <v>2386844.86</v>
      </c>
      <c r="I10069" s="128">
        <v>170080</v>
      </c>
    </row>
    <row r="10070" spans="1:9" ht="13.5">
      <c r="A10070" s="128">
        <v>2018</v>
      </c>
      <c r="B10070" s="128" t="s">
        <v>138</v>
      </c>
      <c r="C10070" s="128" t="s">
        <v>21</v>
      </c>
      <c r="D10070" s="128" t="s">
        <v>79</v>
      </c>
      <c r="E10070" s="128" t="s">
        <v>132</v>
      </c>
      <c r="F10070" s="128">
        <v>1614069.01</v>
      </c>
      <c r="G10070" s="128">
        <v>1065949.2</v>
      </c>
      <c r="H10070" s="128">
        <v>411612.6</v>
      </c>
      <c r="I10070" s="128">
        <v>6979</v>
      </c>
    </row>
    <row r="10071" spans="1:9" ht="13.5">
      <c r="A10071" s="128">
        <v>2018</v>
      </c>
      <c r="B10071" s="128" t="s">
        <v>138</v>
      </c>
      <c r="C10071" s="128" t="s">
        <v>21</v>
      </c>
      <c r="D10071" s="128" t="s">
        <v>79</v>
      </c>
      <c r="E10071" s="128" t="s">
        <v>133</v>
      </c>
      <c r="F10071" s="128">
        <v>3775302.98</v>
      </c>
      <c r="G10071" s="128">
        <v>2074180.52</v>
      </c>
      <c r="H10071" s="128">
        <v>1166386.56</v>
      </c>
      <c r="I10071" s="128">
        <v>48263</v>
      </c>
    </row>
    <row r="10072" spans="1:9" ht="13.5">
      <c r="A10072" s="128">
        <v>2018</v>
      </c>
      <c r="B10072" s="128" t="s">
        <v>138</v>
      </c>
      <c r="C10072" s="128" t="s">
        <v>21</v>
      </c>
      <c r="D10072" s="128" t="s">
        <v>79</v>
      </c>
      <c r="E10072" s="128" t="s">
        <v>134</v>
      </c>
      <c r="F10072" s="128">
        <v>6498654.0599999996</v>
      </c>
      <c r="G10072" s="128">
        <v>2788573.11</v>
      </c>
      <c r="H10072" s="128">
        <v>1803791.24</v>
      </c>
      <c r="I10072" s="128">
        <v>43396</v>
      </c>
    </row>
    <row r="10073" spans="1:9" ht="13.5">
      <c r="A10073" s="128">
        <v>2018</v>
      </c>
      <c r="B10073" s="128" t="s">
        <v>138</v>
      </c>
      <c r="C10073" s="128" t="s">
        <v>21</v>
      </c>
      <c r="D10073" s="128" t="s">
        <v>79</v>
      </c>
      <c r="E10073" s="128" t="s">
        <v>135</v>
      </c>
      <c r="F10073" s="128">
        <v>24732602.989999998</v>
      </c>
      <c r="G10073" s="128">
        <v>5777491.29</v>
      </c>
      <c r="H10073" s="128">
        <v>2129702.4300000002</v>
      </c>
      <c r="I10073" s="128">
        <v>27795</v>
      </c>
    </row>
    <row r="10074" spans="1:9" ht="13.5">
      <c r="A10074" s="128">
        <v>2018</v>
      </c>
      <c r="B10074" s="128" t="s">
        <v>138</v>
      </c>
      <c r="C10074" s="128" t="s">
        <v>21</v>
      </c>
      <c r="D10074" s="128" t="s">
        <v>77</v>
      </c>
      <c r="E10074" s="128" t="s">
        <v>132</v>
      </c>
      <c r="F10074" s="128">
        <v>3678875.14</v>
      </c>
      <c r="G10074" s="128">
        <v>2447278.09</v>
      </c>
      <c r="H10074" s="128">
        <v>1077988.55</v>
      </c>
      <c r="I10074" s="128">
        <v>19037</v>
      </c>
    </row>
    <row r="10075" spans="1:9" ht="13.5">
      <c r="A10075" s="128">
        <v>2018</v>
      </c>
      <c r="B10075" s="128" t="s">
        <v>138</v>
      </c>
      <c r="C10075" s="128" t="s">
        <v>21</v>
      </c>
      <c r="D10075" s="128" t="s">
        <v>77</v>
      </c>
      <c r="E10075" s="128" t="s">
        <v>133</v>
      </c>
      <c r="F10075" s="128">
        <v>6436310.54</v>
      </c>
      <c r="G10075" s="128">
        <v>3488221.7</v>
      </c>
      <c r="H10075" s="128">
        <v>2514186.9900000002</v>
      </c>
      <c r="I10075" s="128">
        <v>24635</v>
      </c>
    </row>
    <row r="10076" spans="1:9" ht="13.5">
      <c r="A10076" s="128">
        <v>2018</v>
      </c>
      <c r="B10076" s="128" t="s">
        <v>138</v>
      </c>
      <c r="C10076" s="128" t="s">
        <v>21</v>
      </c>
      <c r="D10076" s="128" t="s">
        <v>77</v>
      </c>
      <c r="E10076" s="128" t="s">
        <v>134</v>
      </c>
      <c r="F10076" s="128">
        <v>15992072.279999999</v>
      </c>
      <c r="G10076" s="128">
        <v>6911115.3700000001</v>
      </c>
      <c r="H10076" s="128">
        <v>6681936.1799999997</v>
      </c>
      <c r="I10076" s="128">
        <v>39902</v>
      </c>
    </row>
    <row r="10077" spans="1:9" ht="13.5">
      <c r="A10077" s="128">
        <v>2018</v>
      </c>
      <c r="B10077" s="128" t="s">
        <v>138</v>
      </c>
      <c r="C10077" s="128" t="s">
        <v>21</v>
      </c>
      <c r="D10077" s="128" t="s">
        <v>77</v>
      </c>
      <c r="E10077" s="128" t="s">
        <v>135</v>
      </c>
      <c r="F10077" s="128">
        <v>34659562.009999998</v>
      </c>
      <c r="G10077" s="128">
        <v>9398040.25</v>
      </c>
      <c r="H10077" s="128">
        <v>10856336.050000001</v>
      </c>
      <c r="I10077" s="128">
        <v>130587</v>
      </c>
    </row>
    <row r="10078" spans="1:9" ht="13.5">
      <c r="A10078" s="128">
        <v>2018</v>
      </c>
      <c r="B10078" s="128" t="s">
        <v>138</v>
      </c>
      <c r="C10078" s="128" t="s">
        <v>21</v>
      </c>
      <c r="D10078" s="128" t="s">
        <v>76</v>
      </c>
      <c r="E10078" s="128" t="s">
        <v>136</v>
      </c>
      <c r="F10078" s="128">
        <v>19385859.620000001</v>
      </c>
      <c r="G10078" s="128">
        <v>14578918.6</v>
      </c>
      <c r="H10078" s="128">
        <v>4807023.4800000004</v>
      </c>
      <c r="I10078" s="128">
        <v>281314</v>
      </c>
    </row>
    <row r="10079" spans="1:9" ht="13.5">
      <c r="A10079" s="128">
        <v>2018</v>
      </c>
      <c r="B10079" s="128" t="s">
        <v>138</v>
      </c>
      <c r="C10079" s="128" t="s">
        <v>21</v>
      </c>
      <c r="D10079" s="128" t="s">
        <v>76</v>
      </c>
      <c r="E10079" s="128" t="s">
        <v>132</v>
      </c>
      <c r="F10079" s="128">
        <v>45527231.140000001</v>
      </c>
      <c r="G10079" s="128">
        <v>28927687.390000001</v>
      </c>
      <c r="H10079" s="128">
        <v>16599467.73</v>
      </c>
      <c r="I10079" s="128">
        <v>379971</v>
      </c>
    </row>
    <row r="10080" spans="1:9" ht="13.5">
      <c r="A10080" s="128">
        <v>2018</v>
      </c>
      <c r="B10080" s="128" t="s">
        <v>138</v>
      </c>
      <c r="C10080" s="128" t="s">
        <v>21</v>
      </c>
      <c r="D10080" s="128" t="s">
        <v>76</v>
      </c>
      <c r="E10080" s="128" t="s">
        <v>133</v>
      </c>
      <c r="F10080" s="128">
        <v>108333450.33</v>
      </c>
      <c r="G10080" s="128">
        <v>59281372.579999998</v>
      </c>
      <c r="H10080" s="128">
        <v>49051988.369999997</v>
      </c>
      <c r="I10080" s="128">
        <v>725483</v>
      </c>
    </row>
    <row r="10081" spans="1:9" ht="13.5">
      <c r="A10081" s="128">
        <v>2018</v>
      </c>
      <c r="B10081" s="128" t="s">
        <v>138</v>
      </c>
      <c r="C10081" s="128" t="s">
        <v>21</v>
      </c>
      <c r="D10081" s="128" t="s">
        <v>76</v>
      </c>
      <c r="E10081" s="128" t="s">
        <v>134</v>
      </c>
      <c r="F10081" s="128">
        <v>104219538.06999999</v>
      </c>
      <c r="G10081" s="128">
        <v>46612884.509999998</v>
      </c>
      <c r="H10081" s="128">
        <v>57606361.740000002</v>
      </c>
      <c r="I10081" s="128">
        <v>557889</v>
      </c>
    </row>
    <row r="10082" spans="1:9" ht="13.5">
      <c r="A10082" s="128">
        <v>2018</v>
      </c>
      <c r="B10082" s="128" t="s">
        <v>138</v>
      </c>
      <c r="C10082" s="128" t="s">
        <v>21</v>
      </c>
      <c r="D10082" s="128" t="s">
        <v>76</v>
      </c>
      <c r="E10082" s="128" t="s">
        <v>135</v>
      </c>
      <c r="F10082" s="128">
        <v>3343287.63</v>
      </c>
      <c r="G10082" s="128">
        <v>898916.74</v>
      </c>
      <c r="H10082" s="128">
        <v>2444370.59</v>
      </c>
      <c r="I10082" s="128">
        <v>4054</v>
      </c>
    </row>
    <row r="10083" spans="1:9" ht="13.5">
      <c r="A10083" s="128">
        <v>2018</v>
      </c>
      <c r="B10083" s="128" t="s">
        <v>138</v>
      </c>
      <c r="C10083" s="128" t="s">
        <v>22</v>
      </c>
      <c r="D10083" s="128" t="s">
        <v>79</v>
      </c>
      <c r="E10083" s="128" t="s">
        <v>136</v>
      </c>
      <c r="F10083" s="128">
        <v>6987346.7000000002</v>
      </c>
      <c r="G10083" s="128">
        <v>5228096.29</v>
      </c>
      <c r="H10083" s="128">
        <v>1731945.49</v>
      </c>
      <c r="I10083" s="128">
        <v>100172</v>
      </c>
    </row>
    <row r="10084" spans="1:9" ht="13.5">
      <c r="A10084" s="128">
        <v>2018</v>
      </c>
      <c r="B10084" s="128" t="s">
        <v>138</v>
      </c>
      <c r="C10084" s="128" t="s">
        <v>22</v>
      </c>
      <c r="D10084" s="128" t="s">
        <v>79</v>
      </c>
      <c r="E10084" s="128" t="s">
        <v>132</v>
      </c>
      <c r="F10084" s="128">
        <v>2006916.56</v>
      </c>
      <c r="G10084" s="128">
        <v>1308238.6599999999</v>
      </c>
      <c r="H10084" s="128">
        <v>566054.57999999996</v>
      </c>
      <c r="I10084" s="128">
        <v>14086</v>
      </c>
    </row>
    <row r="10085" spans="1:9" ht="13.5">
      <c r="A10085" s="128">
        <v>2018</v>
      </c>
      <c r="B10085" s="128" t="s">
        <v>138</v>
      </c>
      <c r="C10085" s="128" t="s">
        <v>22</v>
      </c>
      <c r="D10085" s="128" t="s">
        <v>79</v>
      </c>
      <c r="E10085" s="128" t="s">
        <v>133</v>
      </c>
      <c r="F10085" s="128">
        <v>3103668.39</v>
      </c>
      <c r="G10085" s="128">
        <v>1666506.4</v>
      </c>
      <c r="H10085" s="128">
        <v>907931.22</v>
      </c>
      <c r="I10085" s="128">
        <v>32014</v>
      </c>
    </row>
    <row r="10086" spans="1:9" ht="13.5">
      <c r="A10086" s="128">
        <v>2018</v>
      </c>
      <c r="B10086" s="128" t="s">
        <v>138</v>
      </c>
      <c r="C10086" s="128" t="s">
        <v>22</v>
      </c>
      <c r="D10086" s="128" t="s">
        <v>79</v>
      </c>
      <c r="E10086" s="128" t="s">
        <v>134</v>
      </c>
      <c r="F10086" s="128">
        <v>5687509.0599999996</v>
      </c>
      <c r="G10086" s="128">
        <v>2476331.9300000002</v>
      </c>
      <c r="H10086" s="128">
        <v>1702132.03</v>
      </c>
      <c r="I10086" s="128">
        <v>27034</v>
      </c>
    </row>
    <row r="10087" spans="1:9" ht="13.5">
      <c r="A10087" s="128">
        <v>2018</v>
      </c>
      <c r="B10087" s="128" t="s">
        <v>138</v>
      </c>
      <c r="C10087" s="128" t="s">
        <v>22</v>
      </c>
      <c r="D10087" s="128" t="s">
        <v>79</v>
      </c>
      <c r="E10087" s="128" t="s">
        <v>135</v>
      </c>
      <c r="F10087" s="128">
        <v>37550176.829999998</v>
      </c>
      <c r="G10087" s="128">
        <v>8604722.9700000007</v>
      </c>
      <c r="H10087" s="128">
        <v>2997831.44</v>
      </c>
      <c r="I10087" s="128">
        <v>40108</v>
      </c>
    </row>
    <row r="10088" spans="1:9" ht="13.5">
      <c r="A10088" s="128">
        <v>2018</v>
      </c>
      <c r="B10088" s="128" t="s">
        <v>138</v>
      </c>
      <c r="C10088" s="128" t="s">
        <v>22</v>
      </c>
      <c r="D10088" s="128" t="s">
        <v>77</v>
      </c>
      <c r="E10088" s="128" t="s">
        <v>132</v>
      </c>
      <c r="F10088" s="128">
        <v>1847024.79</v>
      </c>
      <c r="G10088" s="128">
        <v>1213755.07</v>
      </c>
      <c r="H10088" s="128">
        <v>565309.36</v>
      </c>
      <c r="I10088" s="128">
        <v>9458</v>
      </c>
    </row>
    <row r="10089" spans="1:9" ht="13.5">
      <c r="A10089" s="128">
        <v>2018</v>
      </c>
      <c r="B10089" s="128" t="s">
        <v>138</v>
      </c>
      <c r="C10089" s="128" t="s">
        <v>22</v>
      </c>
      <c r="D10089" s="128" t="s">
        <v>77</v>
      </c>
      <c r="E10089" s="128" t="s">
        <v>133</v>
      </c>
      <c r="F10089" s="128">
        <v>3022354.54</v>
      </c>
      <c r="G10089" s="128">
        <v>1634058.33</v>
      </c>
      <c r="H10089" s="128">
        <v>1143238.3400000001</v>
      </c>
      <c r="I10089" s="128">
        <v>11069</v>
      </c>
    </row>
    <row r="10090" spans="1:9" ht="13.5">
      <c r="A10090" s="128">
        <v>2018</v>
      </c>
      <c r="B10090" s="128" t="s">
        <v>138</v>
      </c>
      <c r="C10090" s="128" t="s">
        <v>22</v>
      </c>
      <c r="D10090" s="128" t="s">
        <v>77</v>
      </c>
      <c r="E10090" s="128" t="s">
        <v>134</v>
      </c>
      <c r="F10090" s="128">
        <v>14021661.359999999</v>
      </c>
      <c r="G10090" s="128">
        <v>5934610.6299999999</v>
      </c>
      <c r="H10090" s="128">
        <v>5974593.3600000003</v>
      </c>
      <c r="I10090" s="128">
        <v>21943</v>
      </c>
    </row>
    <row r="10091" spans="1:9" ht="13.5">
      <c r="A10091" s="128">
        <v>2018</v>
      </c>
      <c r="B10091" s="128" t="s">
        <v>138</v>
      </c>
      <c r="C10091" s="128" t="s">
        <v>22</v>
      </c>
      <c r="D10091" s="128" t="s">
        <v>77</v>
      </c>
      <c r="E10091" s="128" t="s">
        <v>135</v>
      </c>
      <c r="F10091" s="128">
        <v>28501710.84</v>
      </c>
      <c r="G10091" s="128">
        <v>7775097.4100000001</v>
      </c>
      <c r="H10091" s="128">
        <v>8902384.3100000005</v>
      </c>
      <c r="I10091" s="128">
        <v>70752</v>
      </c>
    </row>
    <row r="10092" spans="1:9" ht="13.5">
      <c r="A10092" s="128">
        <v>2018</v>
      </c>
      <c r="B10092" s="128" t="s">
        <v>138</v>
      </c>
      <c r="C10092" s="128" t="s">
        <v>22</v>
      </c>
      <c r="D10092" s="128" t="s">
        <v>76</v>
      </c>
      <c r="E10092" s="128" t="s">
        <v>136</v>
      </c>
      <c r="F10092" s="128">
        <v>18449274.760000002</v>
      </c>
      <c r="G10092" s="128">
        <v>13844819.6</v>
      </c>
      <c r="H10092" s="128">
        <v>4604764.5599999996</v>
      </c>
      <c r="I10092" s="128">
        <v>311833</v>
      </c>
    </row>
    <row r="10093" spans="1:9" ht="13.5">
      <c r="A10093" s="128">
        <v>2018</v>
      </c>
      <c r="B10093" s="128" t="s">
        <v>138</v>
      </c>
      <c r="C10093" s="128" t="s">
        <v>22</v>
      </c>
      <c r="D10093" s="128" t="s">
        <v>76</v>
      </c>
      <c r="E10093" s="128" t="s">
        <v>132</v>
      </c>
      <c r="F10093" s="128">
        <v>42792339.479999997</v>
      </c>
      <c r="G10093" s="128">
        <v>27185984.010000002</v>
      </c>
      <c r="H10093" s="128">
        <v>15606254.01</v>
      </c>
      <c r="I10093" s="128">
        <v>411219</v>
      </c>
    </row>
    <row r="10094" spans="1:9" ht="13.5">
      <c r="A10094" s="128">
        <v>2018</v>
      </c>
      <c r="B10094" s="128" t="s">
        <v>138</v>
      </c>
      <c r="C10094" s="128" t="s">
        <v>22</v>
      </c>
      <c r="D10094" s="128" t="s">
        <v>76</v>
      </c>
      <c r="E10094" s="128" t="s">
        <v>133</v>
      </c>
      <c r="F10094" s="128">
        <v>74160747.900000006</v>
      </c>
      <c r="G10094" s="128">
        <v>40822188.420000002</v>
      </c>
      <c r="H10094" s="128">
        <v>33337879.399999999</v>
      </c>
      <c r="I10094" s="128">
        <v>587824</v>
      </c>
    </row>
    <row r="10095" spans="1:9" ht="13.5">
      <c r="A10095" s="128">
        <v>2018</v>
      </c>
      <c r="B10095" s="128" t="s">
        <v>138</v>
      </c>
      <c r="C10095" s="128" t="s">
        <v>22</v>
      </c>
      <c r="D10095" s="128" t="s">
        <v>76</v>
      </c>
      <c r="E10095" s="128" t="s">
        <v>134</v>
      </c>
      <c r="F10095" s="128">
        <v>70671522.680000007</v>
      </c>
      <c r="G10095" s="128">
        <v>32084604.010000002</v>
      </c>
      <c r="H10095" s="128">
        <v>38586467.359999999</v>
      </c>
      <c r="I10095" s="128">
        <v>460184</v>
      </c>
    </row>
    <row r="10096" spans="1:9" ht="13.5">
      <c r="A10096" s="128">
        <v>2018</v>
      </c>
      <c r="B10096" s="128" t="s">
        <v>138</v>
      </c>
      <c r="C10096" s="128" t="s">
        <v>22</v>
      </c>
      <c r="D10096" s="128" t="s">
        <v>76</v>
      </c>
      <c r="E10096" s="128" t="s">
        <v>135</v>
      </c>
      <c r="F10096" s="128">
        <v>5054095.54</v>
      </c>
      <c r="G10096" s="128">
        <v>1442095.11</v>
      </c>
      <c r="H10096" s="128">
        <v>3612000.41</v>
      </c>
      <c r="I10096" s="128">
        <v>6761</v>
      </c>
    </row>
    <row r="10097" spans="1:9" ht="13.5">
      <c r="A10097" s="128">
        <v>2018</v>
      </c>
      <c r="B10097" s="128" t="s">
        <v>138</v>
      </c>
      <c r="C10097" s="128" t="s">
        <v>23</v>
      </c>
      <c r="D10097" s="128" t="s">
        <v>79</v>
      </c>
      <c r="E10097" s="128" t="s">
        <v>136</v>
      </c>
      <c r="F10097" s="128">
        <v>2058594.62</v>
      </c>
      <c r="G10097" s="128">
        <v>1543269.64</v>
      </c>
      <c r="H10097" s="128">
        <v>513879.03</v>
      </c>
      <c r="I10097" s="128">
        <v>15183</v>
      </c>
    </row>
    <row r="10098" spans="1:9" ht="13.5">
      <c r="A10098" s="128">
        <v>2018</v>
      </c>
      <c r="B10098" s="128" t="s">
        <v>138</v>
      </c>
      <c r="C10098" s="128" t="s">
        <v>23</v>
      </c>
      <c r="D10098" s="128" t="s">
        <v>79</v>
      </c>
      <c r="E10098" s="128" t="s">
        <v>132</v>
      </c>
      <c r="F10098" s="128">
        <v>682522.65</v>
      </c>
      <c r="G10098" s="128">
        <v>441570.94</v>
      </c>
      <c r="H10098" s="128">
        <v>190951.97</v>
      </c>
      <c r="I10098" s="128">
        <v>1646</v>
      </c>
    </row>
    <row r="10099" spans="1:9" ht="13.5">
      <c r="A10099" s="128">
        <v>2018</v>
      </c>
      <c r="B10099" s="128" t="s">
        <v>138</v>
      </c>
      <c r="C10099" s="128" t="s">
        <v>23</v>
      </c>
      <c r="D10099" s="128" t="s">
        <v>79</v>
      </c>
      <c r="E10099" s="128" t="s">
        <v>133</v>
      </c>
      <c r="F10099" s="128">
        <v>1112333.55</v>
      </c>
      <c r="G10099" s="128">
        <v>622561.25</v>
      </c>
      <c r="H10099" s="128">
        <v>436925.09</v>
      </c>
      <c r="I10099" s="128">
        <v>15099</v>
      </c>
    </row>
    <row r="10100" spans="1:9" ht="13.5">
      <c r="A10100" s="128">
        <v>2018</v>
      </c>
      <c r="B10100" s="128" t="s">
        <v>138</v>
      </c>
      <c r="C10100" s="128" t="s">
        <v>23</v>
      </c>
      <c r="D10100" s="128" t="s">
        <v>79</v>
      </c>
      <c r="E10100" s="128" t="s">
        <v>134</v>
      </c>
      <c r="F10100" s="128">
        <v>1558264.83</v>
      </c>
      <c r="G10100" s="128">
        <v>666275.81000000006</v>
      </c>
      <c r="H10100" s="128">
        <v>760874.6</v>
      </c>
      <c r="I10100" s="128">
        <v>6535</v>
      </c>
    </row>
    <row r="10101" spans="1:9" ht="13.5">
      <c r="A10101" s="128">
        <v>2018</v>
      </c>
      <c r="B10101" s="128" t="s">
        <v>138</v>
      </c>
      <c r="C10101" s="128" t="s">
        <v>23</v>
      </c>
      <c r="D10101" s="128" t="s">
        <v>79</v>
      </c>
      <c r="E10101" s="128" t="s">
        <v>135</v>
      </c>
      <c r="F10101" s="128">
        <v>2111259.38</v>
      </c>
      <c r="G10101" s="128">
        <v>490575.09</v>
      </c>
      <c r="H10101" s="128">
        <v>253408.64000000001</v>
      </c>
      <c r="I10101" s="128">
        <v>2971</v>
      </c>
    </row>
    <row r="10102" spans="1:9" ht="13.5">
      <c r="A10102" s="128">
        <v>2018</v>
      </c>
      <c r="B10102" s="128" t="s">
        <v>138</v>
      </c>
      <c r="C10102" s="128" t="s">
        <v>23</v>
      </c>
      <c r="D10102" s="128" t="s">
        <v>77</v>
      </c>
      <c r="E10102" s="128" t="s">
        <v>132</v>
      </c>
      <c r="F10102" s="128">
        <v>425257.11</v>
      </c>
      <c r="G10102" s="128">
        <v>271796.77</v>
      </c>
      <c r="H10102" s="128">
        <v>139552.44</v>
      </c>
      <c r="I10102" s="128">
        <v>2083</v>
      </c>
    </row>
    <row r="10103" spans="1:9" ht="13.5">
      <c r="A10103" s="128">
        <v>2018</v>
      </c>
      <c r="B10103" s="128" t="s">
        <v>138</v>
      </c>
      <c r="C10103" s="128" t="s">
        <v>23</v>
      </c>
      <c r="D10103" s="128" t="s">
        <v>77</v>
      </c>
      <c r="E10103" s="128" t="s">
        <v>133</v>
      </c>
      <c r="F10103" s="128">
        <v>882898.55</v>
      </c>
      <c r="G10103" s="128">
        <v>474569.61</v>
      </c>
      <c r="H10103" s="128">
        <v>357790.37</v>
      </c>
      <c r="I10103" s="128">
        <v>2830</v>
      </c>
    </row>
    <row r="10104" spans="1:9" ht="13.5">
      <c r="A10104" s="128">
        <v>2018</v>
      </c>
      <c r="B10104" s="128" t="s">
        <v>138</v>
      </c>
      <c r="C10104" s="128" t="s">
        <v>23</v>
      </c>
      <c r="D10104" s="128" t="s">
        <v>77</v>
      </c>
      <c r="E10104" s="128" t="s">
        <v>134</v>
      </c>
      <c r="F10104" s="128">
        <v>6094906.2699999996</v>
      </c>
      <c r="G10104" s="128">
        <v>2564137.5</v>
      </c>
      <c r="H10104" s="128">
        <v>2688281.68</v>
      </c>
      <c r="I10104" s="128">
        <v>10803</v>
      </c>
    </row>
    <row r="10105" spans="1:9" ht="13.5">
      <c r="A10105" s="128">
        <v>2018</v>
      </c>
      <c r="B10105" s="128" t="s">
        <v>138</v>
      </c>
      <c r="C10105" s="128" t="s">
        <v>23</v>
      </c>
      <c r="D10105" s="128" t="s">
        <v>77</v>
      </c>
      <c r="E10105" s="128" t="s">
        <v>135</v>
      </c>
      <c r="F10105" s="128">
        <v>9057471.1799999997</v>
      </c>
      <c r="G10105" s="128">
        <v>2752851.22</v>
      </c>
      <c r="H10105" s="128">
        <v>3442161.11</v>
      </c>
      <c r="I10105" s="128">
        <v>32861</v>
      </c>
    </row>
    <row r="10106" spans="1:9" ht="13.5">
      <c r="A10106" s="128">
        <v>2018</v>
      </c>
      <c r="B10106" s="128" t="s">
        <v>138</v>
      </c>
      <c r="C10106" s="128" t="s">
        <v>23</v>
      </c>
      <c r="D10106" s="128" t="s">
        <v>76</v>
      </c>
      <c r="E10106" s="128" t="s">
        <v>136</v>
      </c>
      <c r="F10106" s="128">
        <v>6336424.0199999996</v>
      </c>
      <c r="G10106" s="128">
        <v>4756021.84</v>
      </c>
      <c r="H10106" s="128">
        <v>1580427.58</v>
      </c>
      <c r="I10106" s="128">
        <v>88188</v>
      </c>
    </row>
    <row r="10107" spans="1:9" ht="13.5">
      <c r="A10107" s="128">
        <v>2018</v>
      </c>
      <c r="B10107" s="128" t="s">
        <v>138</v>
      </c>
      <c r="C10107" s="128" t="s">
        <v>23</v>
      </c>
      <c r="D10107" s="128" t="s">
        <v>76</v>
      </c>
      <c r="E10107" s="128" t="s">
        <v>132</v>
      </c>
      <c r="F10107" s="128">
        <v>7848699.1900000004</v>
      </c>
      <c r="G10107" s="128">
        <v>4912392.2300000004</v>
      </c>
      <c r="H10107" s="128">
        <v>2936304.02</v>
      </c>
      <c r="I10107" s="128">
        <v>75006</v>
      </c>
    </row>
    <row r="10108" spans="1:9" ht="13.5">
      <c r="A10108" s="128">
        <v>2018</v>
      </c>
      <c r="B10108" s="128" t="s">
        <v>138</v>
      </c>
      <c r="C10108" s="128" t="s">
        <v>23</v>
      </c>
      <c r="D10108" s="128" t="s">
        <v>76</v>
      </c>
      <c r="E10108" s="128" t="s">
        <v>133</v>
      </c>
      <c r="F10108" s="128">
        <v>27260431.530000001</v>
      </c>
      <c r="G10108" s="128">
        <v>14830784.84</v>
      </c>
      <c r="H10108" s="128">
        <v>12429632.74</v>
      </c>
      <c r="I10108" s="128">
        <v>219040</v>
      </c>
    </row>
    <row r="10109" spans="1:9" ht="13.5">
      <c r="A10109" s="128">
        <v>2018</v>
      </c>
      <c r="B10109" s="128" t="s">
        <v>138</v>
      </c>
      <c r="C10109" s="128" t="s">
        <v>23</v>
      </c>
      <c r="D10109" s="128" t="s">
        <v>76</v>
      </c>
      <c r="E10109" s="128" t="s">
        <v>134</v>
      </c>
      <c r="F10109" s="128">
        <v>43799348.219999999</v>
      </c>
      <c r="G10109" s="128">
        <v>19398277.920000002</v>
      </c>
      <c r="H10109" s="128">
        <v>24401065.960000001</v>
      </c>
      <c r="I10109" s="128">
        <v>167673</v>
      </c>
    </row>
    <row r="10110" spans="1:9" ht="13.5">
      <c r="A10110" s="128">
        <v>2018</v>
      </c>
      <c r="B10110" s="128" t="s">
        <v>138</v>
      </c>
      <c r="C10110" s="128" t="s">
        <v>23</v>
      </c>
      <c r="D10110" s="128" t="s">
        <v>76</v>
      </c>
      <c r="E10110" s="128" t="s">
        <v>135</v>
      </c>
      <c r="F10110" s="128">
        <v>1321589.67</v>
      </c>
      <c r="G10110" s="128">
        <v>345333.05</v>
      </c>
      <c r="H10110" s="128">
        <v>976256.62</v>
      </c>
      <c r="I10110" s="128">
        <v>1024</v>
      </c>
    </row>
    <row r="10111" spans="1:9" ht="13.5">
      <c r="A10111" s="128">
        <v>2018</v>
      </c>
      <c r="B10111" s="128" t="s">
        <v>138</v>
      </c>
      <c r="C10111" s="128" t="s">
        <v>24</v>
      </c>
      <c r="D10111" s="128" t="s">
        <v>79</v>
      </c>
      <c r="E10111" s="128" t="s">
        <v>136</v>
      </c>
      <c r="F10111" s="128">
        <v>2085509.25</v>
      </c>
      <c r="G10111" s="128">
        <v>1564570.16</v>
      </c>
      <c r="H10111" s="128">
        <v>518024.2</v>
      </c>
      <c r="I10111" s="128">
        <v>30361</v>
      </c>
    </row>
    <row r="10112" spans="1:9" ht="13.5">
      <c r="A10112" s="128">
        <v>2018</v>
      </c>
      <c r="B10112" s="128" t="s">
        <v>138</v>
      </c>
      <c r="C10112" s="128" t="s">
        <v>24</v>
      </c>
      <c r="D10112" s="128" t="s">
        <v>79</v>
      </c>
      <c r="E10112" s="128" t="s">
        <v>132</v>
      </c>
      <c r="F10112" s="128">
        <v>387673.42</v>
      </c>
      <c r="G10112" s="128">
        <v>260258.46</v>
      </c>
      <c r="H10112" s="128">
        <v>94486.399999999994</v>
      </c>
      <c r="I10112" s="128">
        <v>1838</v>
      </c>
    </row>
    <row r="10113" spans="1:9" ht="13.5">
      <c r="A10113" s="128">
        <v>2018</v>
      </c>
      <c r="B10113" s="128" t="s">
        <v>138</v>
      </c>
      <c r="C10113" s="128" t="s">
        <v>24</v>
      </c>
      <c r="D10113" s="128" t="s">
        <v>79</v>
      </c>
      <c r="E10113" s="128" t="s">
        <v>133</v>
      </c>
      <c r="F10113" s="128">
        <v>1186647.28</v>
      </c>
      <c r="G10113" s="128">
        <v>623265.36</v>
      </c>
      <c r="H10113" s="128">
        <v>239821.23</v>
      </c>
      <c r="I10113" s="128">
        <v>17164</v>
      </c>
    </row>
    <row r="10114" spans="1:9" ht="13.5">
      <c r="A10114" s="128">
        <v>2018</v>
      </c>
      <c r="B10114" s="128" t="s">
        <v>138</v>
      </c>
      <c r="C10114" s="128" t="s">
        <v>24</v>
      </c>
      <c r="D10114" s="128" t="s">
        <v>79</v>
      </c>
      <c r="E10114" s="128" t="s">
        <v>134</v>
      </c>
      <c r="F10114" s="128">
        <v>1708350.01</v>
      </c>
      <c r="G10114" s="128">
        <v>741970.18</v>
      </c>
      <c r="H10114" s="128">
        <v>348888.38</v>
      </c>
      <c r="I10114" s="128">
        <v>5378</v>
      </c>
    </row>
    <row r="10115" spans="1:9" ht="13.5">
      <c r="A10115" s="128">
        <v>2018</v>
      </c>
      <c r="B10115" s="128" t="s">
        <v>138</v>
      </c>
      <c r="C10115" s="128" t="s">
        <v>24</v>
      </c>
      <c r="D10115" s="128" t="s">
        <v>79</v>
      </c>
      <c r="E10115" s="128" t="s">
        <v>135</v>
      </c>
      <c r="F10115" s="128">
        <v>7016375.8799999999</v>
      </c>
      <c r="G10115" s="128">
        <v>1554240.8</v>
      </c>
      <c r="H10115" s="128">
        <v>574223.80000000005</v>
      </c>
      <c r="I10115" s="128">
        <v>9028</v>
      </c>
    </row>
    <row r="10116" spans="1:9" ht="13.5">
      <c r="A10116" s="128">
        <v>2018</v>
      </c>
      <c r="B10116" s="128" t="s">
        <v>138</v>
      </c>
      <c r="C10116" s="128" t="s">
        <v>24</v>
      </c>
      <c r="D10116" s="128" t="s">
        <v>77</v>
      </c>
      <c r="E10116" s="128" t="s">
        <v>132</v>
      </c>
      <c r="F10116" s="128">
        <v>2572761.96</v>
      </c>
      <c r="G10116" s="128">
        <v>1751419.44</v>
      </c>
      <c r="H10116" s="128">
        <v>776992.97</v>
      </c>
      <c r="I10116" s="128">
        <v>12507</v>
      </c>
    </row>
    <row r="10117" spans="1:9" ht="13.5">
      <c r="A10117" s="128">
        <v>2018</v>
      </c>
      <c r="B10117" s="128" t="s">
        <v>138</v>
      </c>
      <c r="C10117" s="128" t="s">
        <v>24</v>
      </c>
      <c r="D10117" s="128" t="s">
        <v>77</v>
      </c>
      <c r="E10117" s="128" t="s">
        <v>133</v>
      </c>
      <c r="F10117" s="128">
        <v>4536639.2</v>
      </c>
      <c r="G10117" s="128">
        <v>2436124.1800000002</v>
      </c>
      <c r="H10117" s="128">
        <v>1895795.11</v>
      </c>
      <c r="I10117" s="128">
        <v>32796</v>
      </c>
    </row>
    <row r="10118" spans="1:9" ht="13.5">
      <c r="A10118" s="128">
        <v>2018</v>
      </c>
      <c r="B10118" s="128" t="s">
        <v>138</v>
      </c>
      <c r="C10118" s="128" t="s">
        <v>24</v>
      </c>
      <c r="D10118" s="128" t="s">
        <v>77</v>
      </c>
      <c r="E10118" s="128" t="s">
        <v>134</v>
      </c>
      <c r="F10118" s="128">
        <v>8774195.5</v>
      </c>
      <c r="G10118" s="128">
        <v>3884043</v>
      </c>
      <c r="H10118" s="128">
        <v>3577589.05</v>
      </c>
      <c r="I10118" s="128">
        <v>20423</v>
      </c>
    </row>
    <row r="10119" spans="1:9" ht="13.5">
      <c r="A10119" s="128">
        <v>2018</v>
      </c>
      <c r="B10119" s="128" t="s">
        <v>138</v>
      </c>
      <c r="C10119" s="128" t="s">
        <v>24</v>
      </c>
      <c r="D10119" s="128" t="s">
        <v>77</v>
      </c>
      <c r="E10119" s="128" t="s">
        <v>135</v>
      </c>
      <c r="F10119" s="128">
        <v>17049120.309999999</v>
      </c>
      <c r="G10119" s="128">
        <v>4209539.16</v>
      </c>
      <c r="H10119" s="128">
        <v>3157648.72</v>
      </c>
      <c r="I10119" s="128">
        <v>42662</v>
      </c>
    </row>
    <row r="10120" spans="1:9" ht="13.5">
      <c r="A10120" s="128">
        <v>2018</v>
      </c>
      <c r="B10120" s="128" t="s">
        <v>138</v>
      </c>
      <c r="C10120" s="128" t="s">
        <v>24</v>
      </c>
      <c r="D10120" s="128" t="s">
        <v>76</v>
      </c>
      <c r="E10120" s="128" t="s">
        <v>136</v>
      </c>
      <c r="F10120" s="128">
        <v>6844905.4400000004</v>
      </c>
      <c r="G10120" s="128">
        <v>5141493.0999999996</v>
      </c>
      <c r="H10120" s="128">
        <v>1703413.28</v>
      </c>
      <c r="I10120" s="128">
        <v>108813</v>
      </c>
    </row>
    <row r="10121" spans="1:9" ht="13.5">
      <c r="A10121" s="128">
        <v>2018</v>
      </c>
      <c r="B10121" s="128" t="s">
        <v>138</v>
      </c>
      <c r="C10121" s="128" t="s">
        <v>24</v>
      </c>
      <c r="D10121" s="128" t="s">
        <v>76</v>
      </c>
      <c r="E10121" s="128" t="s">
        <v>132</v>
      </c>
      <c r="F10121" s="128">
        <v>8281652.4000000004</v>
      </c>
      <c r="G10121" s="128">
        <v>5369319.2800000003</v>
      </c>
      <c r="H10121" s="128">
        <v>2912318.62</v>
      </c>
      <c r="I10121" s="128">
        <v>60997</v>
      </c>
    </row>
    <row r="10122" spans="1:9" ht="13.5">
      <c r="A10122" s="128">
        <v>2018</v>
      </c>
      <c r="B10122" s="128" t="s">
        <v>138</v>
      </c>
      <c r="C10122" s="128" t="s">
        <v>24</v>
      </c>
      <c r="D10122" s="128" t="s">
        <v>76</v>
      </c>
      <c r="E10122" s="128" t="s">
        <v>133</v>
      </c>
      <c r="F10122" s="128">
        <v>42612923.450000003</v>
      </c>
      <c r="G10122" s="128">
        <v>23621396.579999998</v>
      </c>
      <c r="H10122" s="128">
        <v>18991428.25</v>
      </c>
      <c r="I10122" s="128">
        <v>305798</v>
      </c>
    </row>
    <row r="10123" spans="1:9" ht="13.5">
      <c r="A10123" s="128">
        <v>2018</v>
      </c>
      <c r="B10123" s="128" t="s">
        <v>138</v>
      </c>
      <c r="C10123" s="128" t="s">
        <v>24</v>
      </c>
      <c r="D10123" s="128" t="s">
        <v>76</v>
      </c>
      <c r="E10123" s="128" t="s">
        <v>134</v>
      </c>
      <c r="F10123" s="128">
        <v>54965605.219999999</v>
      </c>
      <c r="G10123" s="128">
        <v>24350751.48</v>
      </c>
      <c r="H10123" s="128">
        <v>30614853.600000001</v>
      </c>
      <c r="I10123" s="128">
        <v>250148</v>
      </c>
    </row>
    <row r="10124" spans="1:9" ht="13.5">
      <c r="A10124" s="128">
        <v>2018</v>
      </c>
      <c r="B10124" s="128" t="s">
        <v>138</v>
      </c>
      <c r="C10124" s="128" t="s">
        <v>24</v>
      </c>
      <c r="D10124" s="128" t="s">
        <v>76</v>
      </c>
      <c r="E10124" s="128" t="s">
        <v>135</v>
      </c>
      <c r="F10124" s="128">
        <v>2521037.4500000002</v>
      </c>
      <c r="G10124" s="128">
        <v>664809.85</v>
      </c>
      <c r="H10124" s="128">
        <v>1856227.6</v>
      </c>
      <c r="I10124" s="128">
        <v>1760</v>
      </c>
    </row>
    <row r="10125" spans="1:9" ht="13.5">
      <c r="A10125" s="128">
        <v>2018</v>
      </c>
      <c r="B10125" s="128" t="s">
        <v>138</v>
      </c>
      <c r="C10125" s="128" t="s">
        <v>25</v>
      </c>
      <c r="D10125" s="128" t="s">
        <v>79</v>
      </c>
      <c r="E10125" s="128" t="s">
        <v>136</v>
      </c>
      <c r="F10125" s="128">
        <v>426463.23</v>
      </c>
      <c r="G10125" s="128">
        <v>320187.52000000002</v>
      </c>
      <c r="H10125" s="128">
        <v>106275.71</v>
      </c>
      <c r="I10125" s="128">
        <v>3564</v>
      </c>
    </row>
    <row r="10126" spans="1:9" ht="13.5">
      <c r="A10126" s="128">
        <v>2018</v>
      </c>
      <c r="B10126" s="128" t="s">
        <v>138</v>
      </c>
      <c r="C10126" s="128" t="s">
        <v>25</v>
      </c>
      <c r="D10126" s="128" t="s">
        <v>79</v>
      </c>
      <c r="E10126" s="128" t="s">
        <v>132</v>
      </c>
      <c r="F10126" s="128">
        <v>174635.75</v>
      </c>
      <c r="G10126" s="128">
        <v>111879.36</v>
      </c>
      <c r="H10126" s="128">
        <v>56732.65</v>
      </c>
      <c r="I10126" s="128">
        <v>1051</v>
      </c>
    </row>
    <row r="10127" spans="1:9" ht="13.5">
      <c r="A10127" s="128">
        <v>2018</v>
      </c>
      <c r="B10127" s="128" t="s">
        <v>138</v>
      </c>
      <c r="C10127" s="128" t="s">
        <v>25</v>
      </c>
      <c r="D10127" s="128" t="s">
        <v>79</v>
      </c>
      <c r="E10127" s="128" t="s">
        <v>133</v>
      </c>
      <c r="F10127" s="128">
        <v>267468.31</v>
      </c>
      <c r="G10127" s="128">
        <v>149339.72</v>
      </c>
      <c r="H10127" s="128">
        <v>92291.95</v>
      </c>
      <c r="I10127" s="128">
        <v>2580</v>
      </c>
    </row>
    <row r="10128" spans="1:9" ht="13.5">
      <c r="A10128" s="128">
        <v>2018</v>
      </c>
      <c r="B10128" s="128" t="s">
        <v>138</v>
      </c>
      <c r="C10128" s="128" t="s">
        <v>25</v>
      </c>
      <c r="D10128" s="128" t="s">
        <v>79</v>
      </c>
      <c r="E10128" s="128" t="s">
        <v>134</v>
      </c>
      <c r="F10128" s="128">
        <v>374826.37</v>
      </c>
      <c r="G10128" s="128">
        <v>165236.29999999999</v>
      </c>
      <c r="H10128" s="128">
        <v>113074.18</v>
      </c>
      <c r="I10128" s="128">
        <v>1480</v>
      </c>
    </row>
    <row r="10129" spans="1:9" ht="13.5">
      <c r="A10129" s="128">
        <v>2018</v>
      </c>
      <c r="B10129" s="128" t="s">
        <v>138</v>
      </c>
      <c r="C10129" s="128" t="s">
        <v>25</v>
      </c>
      <c r="D10129" s="128" t="s">
        <v>79</v>
      </c>
      <c r="E10129" s="128" t="s">
        <v>135</v>
      </c>
      <c r="F10129" s="128">
        <v>1611568.45</v>
      </c>
      <c r="G10129" s="128">
        <v>362975.67</v>
      </c>
      <c r="H10129" s="128">
        <v>130914.08</v>
      </c>
      <c r="I10129" s="128">
        <v>1380</v>
      </c>
    </row>
    <row r="10130" spans="1:9" ht="13.5">
      <c r="A10130" s="128">
        <v>2018</v>
      </c>
      <c r="B10130" s="128" t="s">
        <v>138</v>
      </c>
      <c r="C10130" s="128" t="s">
        <v>25</v>
      </c>
      <c r="D10130" s="128" t="s">
        <v>77</v>
      </c>
      <c r="E10130" s="128" t="s">
        <v>132</v>
      </c>
      <c r="F10130" s="128">
        <v>210368.28</v>
      </c>
      <c r="G10130" s="128">
        <v>138902.79999999999</v>
      </c>
      <c r="H10130" s="128">
        <v>63053.7</v>
      </c>
      <c r="I10130" s="128">
        <v>1026</v>
      </c>
    </row>
    <row r="10131" spans="1:9" ht="13.5">
      <c r="A10131" s="128">
        <v>2018</v>
      </c>
      <c r="B10131" s="128" t="s">
        <v>138</v>
      </c>
      <c r="C10131" s="128" t="s">
        <v>25</v>
      </c>
      <c r="D10131" s="128" t="s">
        <v>77</v>
      </c>
      <c r="E10131" s="128" t="s">
        <v>133</v>
      </c>
      <c r="F10131" s="128">
        <v>433702.12</v>
      </c>
      <c r="G10131" s="128">
        <v>235252.4</v>
      </c>
      <c r="H10131" s="128">
        <v>182286.04</v>
      </c>
      <c r="I10131" s="128">
        <v>1434</v>
      </c>
    </row>
    <row r="10132" spans="1:9" ht="13.5">
      <c r="A10132" s="128">
        <v>2018</v>
      </c>
      <c r="B10132" s="128" t="s">
        <v>138</v>
      </c>
      <c r="C10132" s="128" t="s">
        <v>25</v>
      </c>
      <c r="D10132" s="128" t="s">
        <v>77</v>
      </c>
      <c r="E10132" s="128" t="s">
        <v>134</v>
      </c>
      <c r="F10132" s="128">
        <v>1500405.77</v>
      </c>
      <c r="G10132" s="128">
        <v>633616.1</v>
      </c>
      <c r="H10132" s="128">
        <v>683395.72</v>
      </c>
      <c r="I10132" s="128">
        <v>3000</v>
      </c>
    </row>
    <row r="10133" spans="1:9" ht="13.5">
      <c r="A10133" s="128">
        <v>2018</v>
      </c>
      <c r="B10133" s="128" t="s">
        <v>138</v>
      </c>
      <c r="C10133" s="128" t="s">
        <v>25</v>
      </c>
      <c r="D10133" s="128" t="s">
        <v>77</v>
      </c>
      <c r="E10133" s="128" t="s">
        <v>135</v>
      </c>
      <c r="F10133" s="128">
        <v>2776962.69</v>
      </c>
      <c r="G10133" s="128">
        <v>799528.7</v>
      </c>
      <c r="H10133" s="128">
        <v>971482.8</v>
      </c>
      <c r="I10133" s="128">
        <v>7916</v>
      </c>
    </row>
    <row r="10134" spans="1:9" ht="13.5">
      <c r="A10134" s="128">
        <v>2018</v>
      </c>
      <c r="B10134" s="128" t="s">
        <v>138</v>
      </c>
      <c r="C10134" s="128" t="s">
        <v>25</v>
      </c>
      <c r="D10134" s="128" t="s">
        <v>76</v>
      </c>
      <c r="E10134" s="128" t="s">
        <v>136</v>
      </c>
      <c r="F10134" s="128">
        <v>2153887.15</v>
      </c>
      <c r="G10134" s="128">
        <v>1616693.07</v>
      </c>
      <c r="H10134" s="128">
        <v>537223.03</v>
      </c>
      <c r="I10134" s="128">
        <v>34871</v>
      </c>
    </row>
    <row r="10135" spans="1:9" ht="13.5">
      <c r="A10135" s="128">
        <v>2018</v>
      </c>
      <c r="B10135" s="128" t="s">
        <v>138</v>
      </c>
      <c r="C10135" s="128" t="s">
        <v>25</v>
      </c>
      <c r="D10135" s="128" t="s">
        <v>76</v>
      </c>
      <c r="E10135" s="128" t="s">
        <v>132</v>
      </c>
      <c r="F10135" s="128">
        <v>3114089.59</v>
      </c>
      <c r="G10135" s="128">
        <v>1973009.86</v>
      </c>
      <c r="H10135" s="128">
        <v>1141079.58</v>
      </c>
      <c r="I10135" s="128">
        <v>22673</v>
      </c>
    </row>
    <row r="10136" spans="1:9" ht="13.5">
      <c r="A10136" s="128">
        <v>2018</v>
      </c>
      <c r="B10136" s="128" t="s">
        <v>138</v>
      </c>
      <c r="C10136" s="128" t="s">
        <v>25</v>
      </c>
      <c r="D10136" s="128" t="s">
        <v>76</v>
      </c>
      <c r="E10136" s="128" t="s">
        <v>133</v>
      </c>
      <c r="F10136" s="128">
        <v>8809566.6799999997</v>
      </c>
      <c r="G10136" s="128">
        <v>4808849.04</v>
      </c>
      <c r="H10136" s="128">
        <v>4000709.43</v>
      </c>
      <c r="I10136" s="128">
        <v>53993</v>
      </c>
    </row>
    <row r="10137" spans="1:9" ht="13.5">
      <c r="A10137" s="128">
        <v>2018</v>
      </c>
      <c r="B10137" s="128" t="s">
        <v>138</v>
      </c>
      <c r="C10137" s="128" t="s">
        <v>25</v>
      </c>
      <c r="D10137" s="128" t="s">
        <v>76</v>
      </c>
      <c r="E10137" s="128" t="s">
        <v>134</v>
      </c>
      <c r="F10137" s="128">
        <v>11988725.15</v>
      </c>
      <c r="G10137" s="128">
        <v>5462614.8899999997</v>
      </c>
      <c r="H10137" s="128">
        <v>6526110.6100000003</v>
      </c>
      <c r="I10137" s="128">
        <v>56152</v>
      </c>
    </row>
    <row r="10138" spans="1:9" ht="13.5">
      <c r="A10138" s="128">
        <v>2018</v>
      </c>
      <c r="B10138" s="128" t="s">
        <v>138</v>
      </c>
      <c r="C10138" s="128" t="s">
        <v>25</v>
      </c>
      <c r="D10138" s="128" t="s">
        <v>76</v>
      </c>
      <c r="E10138" s="128" t="s">
        <v>135</v>
      </c>
      <c r="F10138" s="128">
        <v>404161.02</v>
      </c>
      <c r="G10138" s="128">
        <v>109965.25</v>
      </c>
      <c r="H10138" s="128">
        <v>294195.77</v>
      </c>
      <c r="I10138" s="128">
        <v>329</v>
      </c>
    </row>
    <row r="10139" spans="1:9" ht="13.5">
      <c r="A10139" s="128">
        <v>2018</v>
      </c>
      <c r="B10139" s="128" t="s">
        <v>138</v>
      </c>
      <c r="C10139" s="128" t="s">
        <v>26</v>
      </c>
      <c r="D10139" s="128" t="s">
        <v>79</v>
      </c>
      <c r="E10139" s="128" t="s">
        <v>136</v>
      </c>
      <c r="F10139" s="128">
        <v>961507.54</v>
      </c>
      <c r="G10139" s="128">
        <v>717181.47</v>
      </c>
      <c r="H10139" s="128">
        <v>237293.17</v>
      </c>
      <c r="I10139" s="128">
        <v>8000</v>
      </c>
    </row>
    <row r="10140" spans="1:9" ht="13.5">
      <c r="A10140" s="128">
        <v>2018</v>
      </c>
      <c r="B10140" s="128" t="s">
        <v>138</v>
      </c>
      <c r="C10140" s="128" t="s">
        <v>26</v>
      </c>
      <c r="D10140" s="128" t="s">
        <v>79</v>
      </c>
      <c r="E10140" s="128" t="s">
        <v>132</v>
      </c>
      <c r="F10140" s="128">
        <v>143996.04999999999</v>
      </c>
      <c r="G10140" s="128">
        <v>98684.29</v>
      </c>
      <c r="H10140" s="128">
        <v>34138.050000000003</v>
      </c>
      <c r="I10140" s="128">
        <v>455</v>
      </c>
    </row>
    <row r="10141" spans="1:9" ht="13.5">
      <c r="A10141" s="128">
        <v>2018</v>
      </c>
      <c r="B10141" s="128" t="s">
        <v>138</v>
      </c>
      <c r="C10141" s="128" t="s">
        <v>26</v>
      </c>
      <c r="D10141" s="128" t="s">
        <v>79</v>
      </c>
      <c r="E10141" s="128" t="s">
        <v>133</v>
      </c>
      <c r="F10141" s="128">
        <v>162899.26999999999</v>
      </c>
      <c r="G10141" s="128">
        <v>88722.36</v>
      </c>
      <c r="H10141" s="128">
        <v>34777</v>
      </c>
      <c r="I10141" s="128">
        <v>402</v>
      </c>
    </row>
    <row r="10142" spans="1:9" ht="13.5">
      <c r="A10142" s="128">
        <v>2018</v>
      </c>
      <c r="B10142" s="128" t="s">
        <v>138</v>
      </c>
      <c r="C10142" s="128" t="s">
        <v>26</v>
      </c>
      <c r="D10142" s="128" t="s">
        <v>79</v>
      </c>
      <c r="E10142" s="128" t="s">
        <v>134</v>
      </c>
      <c r="F10142" s="128">
        <v>587338</v>
      </c>
      <c r="G10142" s="128">
        <v>249774.59</v>
      </c>
      <c r="H10142" s="128">
        <v>105749.47</v>
      </c>
      <c r="I10142" s="128">
        <v>2289</v>
      </c>
    </row>
    <row r="10143" spans="1:9" ht="13.5">
      <c r="A10143" s="128">
        <v>2018</v>
      </c>
      <c r="B10143" s="128" t="s">
        <v>138</v>
      </c>
      <c r="C10143" s="128" t="s">
        <v>26</v>
      </c>
      <c r="D10143" s="128" t="s">
        <v>79</v>
      </c>
      <c r="E10143" s="128" t="s">
        <v>135</v>
      </c>
      <c r="F10143" s="128">
        <v>6807155.7999999998</v>
      </c>
      <c r="G10143" s="128">
        <v>1544031.58</v>
      </c>
      <c r="H10143" s="128">
        <v>520054.67</v>
      </c>
      <c r="I10143" s="128">
        <v>6856</v>
      </c>
    </row>
    <row r="10144" spans="1:9" ht="13.5">
      <c r="A10144" s="128">
        <v>2018</v>
      </c>
      <c r="B10144" s="128" t="s">
        <v>138</v>
      </c>
      <c r="C10144" s="128" t="s">
        <v>26</v>
      </c>
      <c r="D10144" s="128" t="s">
        <v>77</v>
      </c>
      <c r="E10144" s="128" t="s">
        <v>132</v>
      </c>
      <c r="F10144" s="128">
        <v>77132.84</v>
      </c>
      <c r="G10144" s="128">
        <v>48458.05</v>
      </c>
      <c r="H10144" s="128">
        <v>25002.7</v>
      </c>
      <c r="I10144" s="128">
        <v>317</v>
      </c>
    </row>
    <row r="10145" spans="1:9" ht="13.5">
      <c r="A10145" s="128">
        <v>2018</v>
      </c>
      <c r="B10145" s="128" t="s">
        <v>138</v>
      </c>
      <c r="C10145" s="128" t="s">
        <v>26</v>
      </c>
      <c r="D10145" s="128" t="s">
        <v>77</v>
      </c>
      <c r="E10145" s="128" t="s">
        <v>133</v>
      </c>
      <c r="F10145" s="128">
        <v>180061.22</v>
      </c>
      <c r="G10145" s="128">
        <v>97396.1</v>
      </c>
      <c r="H10145" s="128">
        <v>69250.13</v>
      </c>
      <c r="I10145" s="128">
        <v>545</v>
      </c>
    </row>
    <row r="10146" spans="1:9" ht="13.5">
      <c r="A10146" s="128">
        <v>2018</v>
      </c>
      <c r="B10146" s="128" t="s">
        <v>138</v>
      </c>
      <c r="C10146" s="128" t="s">
        <v>26</v>
      </c>
      <c r="D10146" s="128" t="s">
        <v>77</v>
      </c>
      <c r="E10146" s="128" t="s">
        <v>134</v>
      </c>
      <c r="F10146" s="128">
        <v>536265.66</v>
      </c>
      <c r="G10146" s="128">
        <v>230670.8</v>
      </c>
      <c r="H10146" s="128">
        <v>244800.38</v>
      </c>
      <c r="I10146" s="128">
        <v>1566</v>
      </c>
    </row>
    <row r="10147" spans="1:9" ht="13.5">
      <c r="A10147" s="128">
        <v>2018</v>
      </c>
      <c r="B10147" s="128" t="s">
        <v>138</v>
      </c>
      <c r="C10147" s="128" t="s">
        <v>26</v>
      </c>
      <c r="D10147" s="128" t="s">
        <v>77</v>
      </c>
      <c r="E10147" s="128" t="s">
        <v>135</v>
      </c>
      <c r="F10147" s="128">
        <v>3032353.98</v>
      </c>
      <c r="G10147" s="128">
        <v>805132.74</v>
      </c>
      <c r="H10147" s="128">
        <v>906161.67</v>
      </c>
      <c r="I10147" s="128">
        <v>10531</v>
      </c>
    </row>
    <row r="10148" spans="1:9" ht="13.5">
      <c r="A10148" s="128">
        <v>2018</v>
      </c>
      <c r="B10148" s="128" t="s">
        <v>138</v>
      </c>
      <c r="C10148" s="128" t="s">
        <v>26</v>
      </c>
      <c r="D10148" s="128" t="s">
        <v>76</v>
      </c>
      <c r="E10148" s="128" t="s">
        <v>136</v>
      </c>
      <c r="F10148" s="128">
        <v>540096.5</v>
      </c>
      <c r="G10148" s="128">
        <v>406286.83</v>
      </c>
      <c r="H10148" s="128">
        <v>133809.54999999999</v>
      </c>
      <c r="I10148" s="128">
        <v>17944</v>
      </c>
    </row>
    <row r="10149" spans="1:9" ht="13.5">
      <c r="A10149" s="128">
        <v>2018</v>
      </c>
      <c r="B10149" s="128" t="s">
        <v>138</v>
      </c>
      <c r="C10149" s="128" t="s">
        <v>26</v>
      </c>
      <c r="D10149" s="128" t="s">
        <v>76</v>
      </c>
      <c r="E10149" s="128" t="s">
        <v>132</v>
      </c>
      <c r="F10149" s="128">
        <v>1623675.16</v>
      </c>
      <c r="G10149" s="128">
        <v>1030634.75</v>
      </c>
      <c r="H10149" s="128">
        <v>593036.77</v>
      </c>
      <c r="I10149" s="128">
        <v>16412</v>
      </c>
    </row>
    <row r="10150" spans="1:9" ht="13.5">
      <c r="A10150" s="128">
        <v>2018</v>
      </c>
      <c r="B10150" s="128" t="s">
        <v>138</v>
      </c>
      <c r="C10150" s="128" t="s">
        <v>26</v>
      </c>
      <c r="D10150" s="128" t="s">
        <v>76</v>
      </c>
      <c r="E10150" s="128" t="s">
        <v>133</v>
      </c>
      <c r="F10150" s="128">
        <v>3749716.58</v>
      </c>
      <c r="G10150" s="128">
        <v>2062097.07</v>
      </c>
      <c r="H10150" s="128">
        <v>1687614.97</v>
      </c>
      <c r="I10150" s="128">
        <v>30132</v>
      </c>
    </row>
    <row r="10151" spans="1:9" ht="13.5">
      <c r="A10151" s="128">
        <v>2018</v>
      </c>
      <c r="B10151" s="128" t="s">
        <v>138</v>
      </c>
      <c r="C10151" s="128" t="s">
        <v>26</v>
      </c>
      <c r="D10151" s="128" t="s">
        <v>76</v>
      </c>
      <c r="E10151" s="128" t="s">
        <v>134</v>
      </c>
      <c r="F10151" s="128">
        <v>2822077.7</v>
      </c>
      <c r="G10151" s="128">
        <v>1284721.8500000001</v>
      </c>
      <c r="H10151" s="128">
        <v>1537336.46</v>
      </c>
      <c r="I10151" s="128">
        <v>16095</v>
      </c>
    </row>
    <row r="10152" spans="1:9" ht="13.5">
      <c r="A10152" s="128">
        <v>2018</v>
      </c>
      <c r="B10152" s="128" t="s">
        <v>138</v>
      </c>
      <c r="C10152" s="128" t="s">
        <v>26</v>
      </c>
      <c r="D10152" s="128" t="s">
        <v>76</v>
      </c>
      <c r="E10152" s="128" t="s">
        <v>135</v>
      </c>
      <c r="F10152" s="128">
        <v>278915.46999999997</v>
      </c>
      <c r="G10152" s="128">
        <v>84466.15</v>
      </c>
      <c r="H10152" s="128">
        <v>194449.3</v>
      </c>
      <c r="I10152" s="128">
        <v>522</v>
      </c>
    </row>
    <row r="10153" spans="1:9" ht="13.5">
      <c r="A10153" s="128">
        <v>2018</v>
      </c>
      <c r="B10153" s="128" t="s">
        <v>138</v>
      </c>
      <c r="C10153" s="128" t="s">
        <v>27</v>
      </c>
      <c r="D10153" s="128" t="s">
        <v>79</v>
      </c>
      <c r="E10153" s="128" t="s">
        <v>136</v>
      </c>
      <c r="F10153" s="128">
        <v>307322.03999999998</v>
      </c>
      <c r="G10153" s="128">
        <v>230387.29</v>
      </c>
      <c r="H10153" s="128">
        <v>76691.75</v>
      </c>
      <c r="I10153" s="128">
        <v>1325</v>
      </c>
    </row>
    <row r="10154" spans="1:9" ht="13.5">
      <c r="A10154" s="128">
        <v>2018</v>
      </c>
      <c r="B10154" s="128" t="s">
        <v>138</v>
      </c>
      <c r="C10154" s="128" t="s">
        <v>27</v>
      </c>
      <c r="D10154" s="128" t="s">
        <v>79</v>
      </c>
      <c r="E10154" s="128" t="s">
        <v>132</v>
      </c>
      <c r="F10154" s="128">
        <v>48381.2</v>
      </c>
      <c r="G10154" s="128">
        <v>31054.25</v>
      </c>
      <c r="H10154" s="128">
        <v>14563.75</v>
      </c>
      <c r="I10154" s="128">
        <v>299</v>
      </c>
    </row>
    <row r="10155" spans="1:9" ht="13.5">
      <c r="A10155" s="128">
        <v>2018</v>
      </c>
      <c r="B10155" s="128" t="s">
        <v>138</v>
      </c>
      <c r="C10155" s="128" t="s">
        <v>27</v>
      </c>
      <c r="D10155" s="128" t="s">
        <v>79</v>
      </c>
      <c r="E10155" s="128" t="s">
        <v>133</v>
      </c>
      <c r="F10155" s="128">
        <v>63944.25</v>
      </c>
      <c r="G10155" s="128">
        <v>34652.239999999998</v>
      </c>
      <c r="H10155" s="128">
        <v>17205.5</v>
      </c>
      <c r="I10155" s="128">
        <v>393</v>
      </c>
    </row>
    <row r="10156" spans="1:9" ht="13.5">
      <c r="A10156" s="128">
        <v>2018</v>
      </c>
      <c r="B10156" s="128" t="s">
        <v>138</v>
      </c>
      <c r="C10156" s="128" t="s">
        <v>27</v>
      </c>
      <c r="D10156" s="128" t="s">
        <v>79</v>
      </c>
      <c r="E10156" s="128" t="s">
        <v>134</v>
      </c>
      <c r="F10156" s="128">
        <v>100833.33</v>
      </c>
      <c r="G10156" s="128">
        <v>45011.78</v>
      </c>
      <c r="H10156" s="128">
        <v>30459.75</v>
      </c>
      <c r="I10156" s="128">
        <v>398</v>
      </c>
    </row>
    <row r="10157" spans="1:9" ht="13.5">
      <c r="A10157" s="128">
        <v>2018</v>
      </c>
      <c r="B10157" s="128" t="s">
        <v>138</v>
      </c>
      <c r="C10157" s="128" t="s">
        <v>27</v>
      </c>
      <c r="D10157" s="128" t="s">
        <v>79</v>
      </c>
      <c r="E10157" s="128" t="s">
        <v>135</v>
      </c>
      <c r="F10157" s="128">
        <v>1114204.76</v>
      </c>
      <c r="G10157" s="128">
        <v>261056.81</v>
      </c>
      <c r="H10157" s="128">
        <v>93119.1</v>
      </c>
      <c r="I10157" s="128">
        <v>1019</v>
      </c>
    </row>
    <row r="10158" spans="1:9" ht="13.5">
      <c r="A10158" s="128">
        <v>2018</v>
      </c>
      <c r="B10158" s="128" t="s">
        <v>138</v>
      </c>
      <c r="C10158" s="128" t="s">
        <v>27</v>
      </c>
      <c r="D10158" s="128" t="s">
        <v>77</v>
      </c>
      <c r="E10158" s="128" t="s">
        <v>132</v>
      </c>
      <c r="F10158" s="128">
        <v>35353.69</v>
      </c>
      <c r="G10158" s="128">
        <v>23126.2</v>
      </c>
      <c r="H10158" s="128">
        <v>10763.6</v>
      </c>
      <c r="I10158" s="128">
        <v>195</v>
      </c>
    </row>
    <row r="10159" spans="1:9" ht="13.5">
      <c r="A10159" s="128">
        <v>2018</v>
      </c>
      <c r="B10159" s="128" t="s">
        <v>138</v>
      </c>
      <c r="C10159" s="128" t="s">
        <v>27</v>
      </c>
      <c r="D10159" s="128" t="s">
        <v>77</v>
      </c>
      <c r="E10159" s="128" t="s">
        <v>133</v>
      </c>
      <c r="F10159" s="128">
        <v>135980.9</v>
      </c>
      <c r="G10159" s="128">
        <v>74400.350000000006</v>
      </c>
      <c r="H10159" s="128">
        <v>44606.82</v>
      </c>
      <c r="I10159" s="128">
        <v>526</v>
      </c>
    </row>
    <row r="10160" spans="1:9" ht="13.5">
      <c r="A10160" s="128">
        <v>2018</v>
      </c>
      <c r="B10160" s="128" t="s">
        <v>138</v>
      </c>
      <c r="C10160" s="128" t="s">
        <v>27</v>
      </c>
      <c r="D10160" s="128" t="s">
        <v>77</v>
      </c>
      <c r="E10160" s="128" t="s">
        <v>134</v>
      </c>
      <c r="F10160" s="128">
        <v>244697.67</v>
      </c>
      <c r="G10160" s="128">
        <v>108740.25</v>
      </c>
      <c r="H10160" s="128">
        <v>95573.07</v>
      </c>
      <c r="I10160" s="128">
        <v>693</v>
      </c>
    </row>
    <row r="10161" spans="1:9" ht="13.5">
      <c r="A10161" s="128">
        <v>2018</v>
      </c>
      <c r="B10161" s="128" t="s">
        <v>138</v>
      </c>
      <c r="C10161" s="128" t="s">
        <v>27</v>
      </c>
      <c r="D10161" s="128" t="s">
        <v>77</v>
      </c>
      <c r="E10161" s="128" t="s">
        <v>135</v>
      </c>
      <c r="F10161" s="128">
        <v>425202.23</v>
      </c>
      <c r="G10161" s="128">
        <v>118692.4</v>
      </c>
      <c r="H10161" s="128">
        <v>136659.35</v>
      </c>
      <c r="I10161" s="128">
        <v>1707</v>
      </c>
    </row>
    <row r="10162" spans="1:9" ht="13.5">
      <c r="A10162" s="128">
        <v>2018</v>
      </c>
      <c r="B10162" s="128" t="s">
        <v>138</v>
      </c>
      <c r="C10162" s="128" t="s">
        <v>27</v>
      </c>
      <c r="D10162" s="128" t="s">
        <v>76</v>
      </c>
      <c r="E10162" s="128" t="s">
        <v>136</v>
      </c>
      <c r="F10162" s="128">
        <v>610523.03</v>
      </c>
      <c r="G10162" s="128">
        <v>458391.95</v>
      </c>
      <c r="H10162" s="128">
        <v>152131.07999999999</v>
      </c>
      <c r="I10162" s="128">
        <v>6917</v>
      </c>
    </row>
    <row r="10163" spans="1:9" ht="13.5">
      <c r="A10163" s="128">
        <v>2018</v>
      </c>
      <c r="B10163" s="128" t="s">
        <v>138</v>
      </c>
      <c r="C10163" s="128" t="s">
        <v>27</v>
      </c>
      <c r="D10163" s="128" t="s">
        <v>76</v>
      </c>
      <c r="E10163" s="128" t="s">
        <v>132</v>
      </c>
      <c r="F10163" s="128">
        <v>528923.42000000004</v>
      </c>
      <c r="G10163" s="128">
        <v>335832.72</v>
      </c>
      <c r="H10163" s="128">
        <v>193090.25</v>
      </c>
      <c r="I10163" s="128">
        <v>3773</v>
      </c>
    </row>
    <row r="10164" spans="1:9" ht="13.5">
      <c r="A10164" s="128">
        <v>2018</v>
      </c>
      <c r="B10164" s="128" t="s">
        <v>138</v>
      </c>
      <c r="C10164" s="128" t="s">
        <v>27</v>
      </c>
      <c r="D10164" s="128" t="s">
        <v>76</v>
      </c>
      <c r="E10164" s="128" t="s">
        <v>133</v>
      </c>
      <c r="F10164" s="128">
        <v>1313960.26</v>
      </c>
      <c r="G10164" s="128">
        <v>714418.54</v>
      </c>
      <c r="H10164" s="128">
        <v>599532.06999999995</v>
      </c>
      <c r="I10164" s="128">
        <v>6117</v>
      </c>
    </row>
    <row r="10165" spans="1:9" ht="13.5">
      <c r="A10165" s="128">
        <v>2018</v>
      </c>
      <c r="B10165" s="128" t="s">
        <v>138</v>
      </c>
      <c r="C10165" s="128" t="s">
        <v>27</v>
      </c>
      <c r="D10165" s="128" t="s">
        <v>76</v>
      </c>
      <c r="E10165" s="128" t="s">
        <v>134</v>
      </c>
      <c r="F10165" s="128">
        <v>2055074.61</v>
      </c>
      <c r="G10165" s="128">
        <v>937225.9</v>
      </c>
      <c r="H10165" s="128">
        <v>1117831.3999999999</v>
      </c>
      <c r="I10165" s="128">
        <v>9456</v>
      </c>
    </row>
    <row r="10166" spans="1:9" ht="13.5">
      <c r="A10166" s="128">
        <v>2018</v>
      </c>
      <c r="B10166" s="128" t="s">
        <v>138</v>
      </c>
      <c r="C10166" s="128" t="s">
        <v>27</v>
      </c>
      <c r="D10166" s="128" t="s">
        <v>76</v>
      </c>
      <c r="E10166" s="128" t="s">
        <v>135</v>
      </c>
      <c r="F10166" s="128">
        <v>50651.7</v>
      </c>
      <c r="G10166" s="128">
        <v>15185.9</v>
      </c>
      <c r="H10166" s="128">
        <v>35465.800000000003</v>
      </c>
      <c r="I10166" s="128">
        <v>70</v>
      </c>
    </row>
    <row r="10167" spans="1:9" ht="13.5">
      <c r="A10167" s="128">
        <v>2018</v>
      </c>
      <c r="B10167" s="128" t="s">
        <v>139</v>
      </c>
      <c r="C10167" s="128" t="s">
        <v>20</v>
      </c>
      <c r="D10167" s="128" t="s">
        <v>79</v>
      </c>
      <c r="E10167" s="128" t="s">
        <v>136</v>
      </c>
      <c r="F10167" s="128">
        <v>35032079.920000002</v>
      </c>
      <c r="G10167" s="128">
        <v>26299203.719999999</v>
      </c>
      <c r="H10167" s="128">
        <v>8717351.2899999991</v>
      </c>
      <c r="I10167" s="128">
        <v>433407</v>
      </c>
    </row>
    <row r="10168" spans="1:9" ht="13.5">
      <c r="A10168" s="128">
        <v>2018</v>
      </c>
      <c r="B10168" s="128" t="s">
        <v>139</v>
      </c>
      <c r="C10168" s="128" t="s">
        <v>20</v>
      </c>
      <c r="D10168" s="128" t="s">
        <v>79</v>
      </c>
      <c r="E10168" s="128" t="s">
        <v>132</v>
      </c>
      <c r="F10168" s="128">
        <v>2460387.35</v>
      </c>
      <c r="G10168" s="128">
        <v>1653756.84</v>
      </c>
      <c r="H10168" s="128">
        <v>619692.16</v>
      </c>
      <c r="I10168" s="128">
        <v>11336</v>
      </c>
    </row>
    <row r="10169" spans="1:9" ht="13.5">
      <c r="A10169" s="128">
        <v>2018</v>
      </c>
      <c r="B10169" s="128" t="s">
        <v>139</v>
      </c>
      <c r="C10169" s="128" t="s">
        <v>20</v>
      </c>
      <c r="D10169" s="128" t="s">
        <v>79</v>
      </c>
      <c r="E10169" s="128" t="s">
        <v>133</v>
      </c>
      <c r="F10169" s="128">
        <v>2550217.1800000002</v>
      </c>
      <c r="G10169" s="128">
        <v>1373710.24</v>
      </c>
      <c r="H10169" s="128">
        <v>701546.88</v>
      </c>
      <c r="I10169" s="128">
        <v>12772</v>
      </c>
    </row>
    <row r="10170" spans="1:9" ht="13.5">
      <c r="A10170" s="128">
        <v>2018</v>
      </c>
      <c r="B10170" s="128" t="s">
        <v>139</v>
      </c>
      <c r="C10170" s="128" t="s">
        <v>20</v>
      </c>
      <c r="D10170" s="128" t="s">
        <v>79</v>
      </c>
      <c r="E10170" s="128" t="s">
        <v>134</v>
      </c>
      <c r="F10170" s="128">
        <v>6891562.1799999997</v>
      </c>
      <c r="G10170" s="128">
        <v>2979202.78</v>
      </c>
      <c r="H10170" s="128">
        <v>1549328.09</v>
      </c>
      <c r="I10170" s="128">
        <v>27192</v>
      </c>
    </row>
    <row r="10171" spans="1:9" ht="13.5">
      <c r="A10171" s="128">
        <v>2018</v>
      </c>
      <c r="B10171" s="128" t="s">
        <v>139</v>
      </c>
      <c r="C10171" s="128" t="s">
        <v>20</v>
      </c>
      <c r="D10171" s="128" t="s">
        <v>79</v>
      </c>
      <c r="E10171" s="128" t="s">
        <v>135</v>
      </c>
      <c r="F10171" s="128">
        <v>73518433.840000004</v>
      </c>
      <c r="G10171" s="128">
        <v>16321990.27</v>
      </c>
      <c r="H10171" s="128">
        <v>5548491.5599999996</v>
      </c>
      <c r="I10171" s="128">
        <v>69873</v>
      </c>
    </row>
    <row r="10172" spans="1:9" ht="13.5">
      <c r="A10172" s="128">
        <v>2018</v>
      </c>
      <c r="B10172" s="128" t="s">
        <v>139</v>
      </c>
      <c r="C10172" s="128" t="s">
        <v>20</v>
      </c>
      <c r="D10172" s="128" t="s">
        <v>77</v>
      </c>
      <c r="E10172" s="128" t="s">
        <v>132</v>
      </c>
      <c r="F10172" s="128">
        <v>2961302.17</v>
      </c>
      <c r="G10172" s="128">
        <v>1924417.54</v>
      </c>
      <c r="H10172" s="128">
        <v>956578</v>
      </c>
      <c r="I10172" s="128">
        <v>12424</v>
      </c>
    </row>
    <row r="10173" spans="1:9" ht="13.5">
      <c r="A10173" s="128">
        <v>2018</v>
      </c>
      <c r="B10173" s="128" t="s">
        <v>139</v>
      </c>
      <c r="C10173" s="128" t="s">
        <v>20</v>
      </c>
      <c r="D10173" s="128" t="s">
        <v>77</v>
      </c>
      <c r="E10173" s="128" t="s">
        <v>133</v>
      </c>
      <c r="F10173" s="128">
        <v>4209822.97</v>
      </c>
      <c r="G10173" s="128">
        <v>2263577.71</v>
      </c>
      <c r="H10173" s="128">
        <v>1720534.9</v>
      </c>
      <c r="I10173" s="128">
        <v>12690</v>
      </c>
    </row>
    <row r="10174" spans="1:9" ht="13.5">
      <c r="A10174" s="128">
        <v>2018</v>
      </c>
      <c r="B10174" s="128" t="s">
        <v>139</v>
      </c>
      <c r="C10174" s="128" t="s">
        <v>20</v>
      </c>
      <c r="D10174" s="128" t="s">
        <v>77</v>
      </c>
      <c r="E10174" s="128" t="s">
        <v>134</v>
      </c>
      <c r="F10174" s="128">
        <v>14479999.4</v>
      </c>
      <c r="G10174" s="128">
        <v>6228092.5499999998</v>
      </c>
      <c r="H10174" s="128">
        <v>6467186.8200000003</v>
      </c>
      <c r="I10174" s="128">
        <v>33188</v>
      </c>
    </row>
    <row r="10175" spans="1:9" ht="13.5">
      <c r="A10175" s="128">
        <v>2018</v>
      </c>
      <c r="B10175" s="128" t="s">
        <v>139</v>
      </c>
      <c r="C10175" s="128" t="s">
        <v>20</v>
      </c>
      <c r="D10175" s="128" t="s">
        <v>77</v>
      </c>
      <c r="E10175" s="128" t="s">
        <v>135</v>
      </c>
      <c r="F10175" s="128">
        <v>36430912.259999998</v>
      </c>
      <c r="G10175" s="128">
        <v>9561753.0199999996</v>
      </c>
      <c r="H10175" s="128">
        <v>11327003.640000001</v>
      </c>
      <c r="I10175" s="128">
        <v>128158</v>
      </c>
    </row>
    <row r="10176" spans="1:9" ht="13.5">
      <c r="A10176" s="128">
        <v>2018</v>
      </c>
      <c r="B10176" s="128" t="s">
        <v>139</v>
      </c>
      <c r="C10176" s="128" t="s">
        <v>20</v>
      </c>
      <c r="D10176" s="128" t="s">
        <v>76</v>
      </c>
      <c r="E10176" s="128" t="s">
        <v>136</v>
      </c>
      <c r="F10176" s="128">
        <v>26405202.879999999</v>
      </c>
      <c r="G10176" s="128">
        <v>19821070.789999999</v>
      </c>
      <c r="H10176" s="128">
        <v>6584191.3200000003</v>
      </c>
      <c r="I10176" s="128">
        <v>814644</v>
      </c>
    </row>
    <row r="10177" spans="1:9" ht="13.5">
      <c r="A10177" s="128">
        <v>2018</v>
      </c>
      <c r="B10177" s="128" t="s">
        <v>139</v>
      </c>
      <c r="C10177" s="128" t="s">
        <v>20</v>
      </c>
      <c r="D10177" s="128" t="s">
        <v>76</v>
      </c>
      <c r="E10177" s="128" t="s">
        <v>132</v>
      </c>
      <c r="F10177" s="128">
        <v>47832295.409999996</v>
      </c>
      <c r="G10177" s="128">
        <v>30198306.84</v>
      </c>
      <c r="H10177" s="128">
        <v>17633930.510000002</v>
      </c>
      <c r="I10177" s="128">
        <v>413748</v>
      </c>
    </row>
    <row r="10178" spans="1:9" ht="13.5">
      <c r="A10178" s="128">
        <v>2018</v>
      </c>
      <c r="B10178" s="128" t="s">
        <v>139</v>
      </c>
      <c r="C10178" s="128" t="s">
        <v>20</v>
      </c>
      <c r="D10178" s="128" t="s">
        <v>76</v>
      </c>
      <c r="E10178" s="128" t="s">
        <v>133</v>
      </c>
      <c r="F10178" s="128">
        <v>88545431.189999998</v>
      </c>
      <c r="G10178" s="128">
        <v>48363423.369999997</v>
      </c>
      <c r="H10178" s="128">
        <v>40181989.030000001</v>
      </c>
      <c r="I10178" s="128">
        <v>542644</v>
      </c>
    </row>
    <row r="10179" spans="1:9" ht="13.5">
      <c r="A10179" s="128">
        <v>2018</v>
      </c>
      <c r="B10179" s="128" t="s">
        <v>139</v>
      </c>
      <c r="C10179" s="128" t="s">
        <v>20</v>
      </c>
      <c r="D10179" s="128" t="s">
        <v>76</v>
      </c>
      <c r="E10179" s="128" t="s">
        <v>134</v>
      </c>
      <c r="F10179" s="128">
        <v>101928996.19</v>
      </c>
      <c r="G10179" s="128">
        <v>46485205.200000003</v>
      </c>
      <c r="H10179" s="128">
        <v>55443697.049999997</v>
      </c>
      <c r="I10179" s="128">
        <v>544686</v>
      </c>
    </row>
    <row r="10180" spans="1:9" ht="13.5">
      <c r="A10180" s="128">
        <v>2018</v>
      </c>
      <c r="B10180" s="128" t="s">
        <v>139</v>
      </c>
      <c r="C10180" s="128" t="s">
        <v>20</v>
      </c>
      <c r="D10180" s="128" t="s">
        <v>76</v>
      </c>
      <c r="E10180" s="128" t="s">
        <v>135</v>
      </c>
      <c r="F10180" s="128">
        <v>7171571.1100000003</v>
      </c>
      <c r="G10180" s="128">
        <v>2066500.5</v>
      </c>
      <c r="H10180" s="128">
        <v>5105070.6100000003</v>
      </c>
      <c r="I10180" s="128">
        <v>14056</v>
      </c>
    </row>
    <row r="10181" spans="1:9" ht="13.5">
      <c r="A10181" s="128">
        <v>2018</v>
      </c>
      <c r="B10181" s="128" t="s">
        <v>139</v>
      </c>
      <c r="C10181" s="128" t="s">
        <v>21</v>
      </c>
      <c r="D10181" s="128" t="s">
        <v>79</v>
      </c>
      <c r="E10181" s="128" t="s">
        <v>136</v>
      </c>
      <c r="F10181" s="128">
        <v>8871810.3200000003</v>
      </c>
      <c r="G10181" s="128">
        <v>6650187.4299999997</v>
      </c>
      <c r="H10181" s="128">
        <v>2204800.9700000002</v>
      </c>
      <c r="I10181" s="128">
        <v>156679</v>
      </c>
    </row>
    <row r="10182" spans="1:9" ht="13.5">
      <c r="A10182" s="128">
        <v>2018</v>
      </c>
      <c r="B10182" s="128" t="s">
        <v>139</v>
      </c>
      <c r="C10182" s="128" t="s">
        <v>21</v>
      </c>
      <c r="D10182" s="128" t="s">
        <v>79</v>
      </c>
      <c r="E10182" s="128" t="s">
        <v>132</v>
      </c>
      <c r="F10182" s="128">
        <v>1371794.26</v>
      </c>
      <c r="G10182" s="128">
        <v>905430.86</v>
      </c>
      <c r="H10182" s="128">
        <v>352508</v>
      </c>
      <c r="I10182" s="128">
        <v>6558</v>
      </c>
    </row>
    <row r="10183" spans="1:9" ht="13.5">
      <c r="A10183" s="128">
        <v>2018</v>
      </c>
      <c r="B10183" s="128" t="s">
        <v>139</v>
      </c>
      <c r="C10183" s="128" t="s">
        <v>21</v>
      </c>
      <c r="D10183" s="128" t="s">
        <v>79</v>
      </c>
      <c r="E10183" s="128" t="s">
        <v>133</v>
      </c>
      <c r="F10183" s="128">
        <v>3205182.23</v>
      </c>
      <c r="G10183" s="128">
        <v>1764529.53</v>
      </c>
      <c r="H10183" s="128">
        <v>949002.2</v>
      </c>
      <c r="I10183" s="128">
        <v>41123</v>
      </c>
    </row>
    <row r="10184" spans="1:9" ht="13.5">
      <c r="A10184" s="128">
        <v>2018</v>
      </c>
      <c r="B10184" s="128" t="s">
        <v>139</v>
      </c>
      <c r="C10184" s="128" t="s">
        <v>21</v>
      </c>
      <c r="D10184" s="128" t="s">
        <v>79</v>
      </c>
      <c r="E10184" s="128" t="s">
        <v>134</v>
      </c>
      <c r="F10184" s="128">
        <v>5517402.5499999998</v>
      </c>
      <c r="G10184" s="128">
        <v>2365444.13</v>
      </c>
      <c r="H10184" s="128">
        <v>1369730.67</v>
      </c>
      <c r="I10184" s="128">
        <v>37921</v>
      </c>
    </row>
    <row r="10185" spans="1:9" ht="13.5">
      <c r="A10185" s="128">
        <v>2018</v>
      </c>
      <c r="B10185" s="128" t="s">
        <v>139</v>
      </c>
      <c r="C10185" s="128" t="s">
        <v>21</v>
      </c>
      <c r="D10185" s="128" t="s">
        <v>79</v>
      </c>
      <c r="E10185" s="128" t="s">
        <v>135</v>
      </c>
      <c r="F10185" s="128">
        <v>23553423.370000001</v>
      </c>
      <c r="G10185" s="128">
        <v>5496340.7400000002</v>
      </c>
      <c r="H10185" s="128">
        <v>1994524.42</v>
      </c>
      <c r="I10185" s="128">
        <v>26100</v>
      </c>
    </row>
    <row r="10186" spans="1:9" ht="13.5">
      <c r="A10186" s="128">
        <v>2018</v>
      </c>
      <c r="B10186" s="128" t="s">
        <v>139</v>
      </c>
      <c r="C10186" s="128" t="s">
        <v>21</v>
      </c>
      <c r="D10186" s="128" t="s">
        <v>77</v>
      </c>
      <c r="E10186" s="128" t="s">
        <v>132</v>
      </c>
      <c r="F10186" s="128">
        <v>3559982.44</v>
      </c>
      <c r="G10186" s="128">
        <v>2366272.48</v>
      </c>
      <c r="H10186" s="128">
        <v>1055030.5</v>
      </c>
      <c r="I10186" s="128">
        <v>16506</v>
      </c>
    </row>
    <row r="10187" spans="1:9" ht="13.5">
      <c r="A10187" s="128">
        <v>2018</v>
      </c>
      <c r="B10187" s="128" t="s">
        <v>139</v>
      </c>
      <c r="C10187" s="128" t="s">
        <v>21</v>
      </c>
      <c r="D10187" s="128" t="s">
        <v>77</v>
      </c>
      <c r="E10187" s="128" t="s">
        <v>133</v>
      </c>
      <c r="F10187" s="128">
        <v>6202559.6900000004</v>
      </c>
      <c r="G10187" s="128">
        <v>3362290.3</v>
      </c>
      <c r="H10187" s="128">
        <v>2439525.89</v>
      </c>
      <c r="I10187" s="128">
        <v>23767</v>
      </c>
    </row>
    <row r="10188" spans="1:9" ht="13.5">
      <c r="A10188" s="128">
        <v>2018</v>
      </c>
      <c r="B10188" s="128" t="s">
        <v>139</v>
      </c>
      <c r="C10188" s="128" t="s">
        <v>21</v>
      </c>
      <c r="D10188" s="128" t="s">
        <v>77</v>
      </c>
      <c r="E10188" s="128" t="s">
        <v>134</v>
      </c>
      <c r="F10188" s="128">
        <v>14105937.1</v>
      </c>
      <c r="G10188" s="128">
        <v>6091239.9100000001</v>
      </c>
      <c r="H10188" s="128">
        <v>5892514.3499999996</v>
      </c>
      <c r="I10188" s="128">
        <v>36042</v>
      </c>
    </row>
    <row r="10189" spans="1:9" ht="13.5">
      <c r="A10189" s="128">
        <v>2018</v>
      </c>
      <c r="B10189" s="128" t="s">
        <v>139</v>
      </c>
      <c r="C10189" s="128" t="s">
        <v>21</v>
      </c>
      <c r="D10189" s="128" t="s">
        <v>77</v>
      </c>
      <c r="E10189" s="128" t="s">
        <v>135</v>
      </c>
      <c r="F10189" s="128">
        <v>30575331.940000001</v>
      </c>
      <c r="G10189" s="128">
        <v>8295893.1500000004</v>
      </c>
      <c r="H10189" s="128">
        <v>9546625.4199999999</v>
      </c>
      <c r="I10189" s="128">
        <v>114759</v>
      </c>
    </row>
    <row r="10190" spans="1:9" ht="13.5">
      <c r="A10190" s="128">
        <v>2018</v>
      </c>
      <c r="B10190" s="128" t="s">
        <v>139</v>
      </c>
      <c r="C10190" s="128" t="s">
        <v>21</v>
      </c>
      <c r="D10190" s="128" t="s">
        <v>76</v>
      </c>
      <c r="E10190" s="128" t="s">
        <v>136</v>
      </c>
      <c r="F10190" s="128">
        <v>16969067.710000001</v>
      </c>
      <c r="G10190" s="128">
        <v>12749470.310000001</v>
      </c>
      <c r="H10190" s="128">
        <v>4219621.8499999996</v>
      </c>
      <c r="I10190" s="128">
        <v>228857</v>
      </c>
    </row>
    <row r="10191" spans="1:9" ht="13.5">
      <c r="A10191" s="128">
        <v>2018</v>
      </c>
      <c r="B10191" s="128" t="s">
        <v>139</v>
      </c>
      <c r="C10191" s="128" t="s">
        <v>21</v>
      </c>
      <c r="D10191" s="128" t="s">
        <v>76</v>
      </c>
      <c r="E10191" s="128" t="s">
        <v>132</v>
      </c>
      <c r="F10191" s="128">
        <v>41676542.229999997</v>
      </c>
      <c r="G10191" s="128">
        <v>26527998.98</v>
      </c>
      <c r="H10191" s="128">
        <v>15148424.5</v>
      </c>
      <c r="I10191" s="128">
        <v>363095</v>
      </c>
    </row>
    <row r="10192" spans="1:9" ht="13.5">
      <c r="A10192" s="128">
        <v>2018</v>
      </c>
      <c r="B10192" s="128" t="s">
        <v>139</v>
      </c>
      <c r="C10192" s="128" t="s">
        <v>21</v>
      </c>
      <c r="D10192" s="128" t="s">
        <v>76</v>
      </c>
      <c r="E10192" s="128" t="s">
        <v>133</v>
      </c>
      <c r="F10192" s="128">
        <v>102234934.48999999</v>
      </c>
      <c r="G10192" s="128">
        <v>55951452.109999999</v>
      </c>
      <c r="H10192" s="128">
        <v>46283417.780000001</v>
      </c>
      <c r="I10192" s="128">
        <v>688662</v>
      </c>
    </row>
    <row r="10193" spans="1:9" ht="13.5">
      <c r="A10193" s="128">
        <v>2018</v>
      </c>
      <c r="B10193" s="128" t="s">
        <v>139</v>
      </c>
      <c r="C10193" s="128" t="s">
        <v>21</v>
      </c>
      <c r="D10193" s="128" t="s">
        <v>76</v>
      </c>
      <c r="E10193" s="128" t="s">
        <v>134</v>
      </c>
      <c r="F10193" s="128">
        <v>98892849.650000006</v>
      </c>
      <c r="G10193" s="128">
        <v>44219157.060000002</v>
      </c>
      <c r="H10193" s="128">
        <v>54673347.920000002</v>
      </c>
      <c r="I10193" s="128">
        <v>514232</v>
      </c>
    </row>
    <row r="10194" spans="1:9" ht="13.5">
      <c r="A10194" s="128">
        <v>2018</v>
      </c>
      <c r="B10194" s="128" t="s">
        <v>139</v>
      </c>
      <c r="C10194" s="128" t="s">
        <v>21</v>
      </c>
      <c r="D10194" s="128" t="s">
        <v>76</v>
      </c>
      <c r="E10194" s="128" t="s">
        <v>135</v>
      </c>
      <c r="F10194" s="128">
        <v>3313196.52</v>
      </c>
      <c r="G10194" s="128">
        <v>864888.73</v>
      </c>
      <c r="H10194" s="128">
        <v>2448307.79</v>
      </c>
      <c r="I10194" s="128">
        <v>3857</v>
      </c>
    </row>
    <row r="10195" spans="1:9" ht="13.5">
      <c r="A10195" s="128">
        <v>2018</v>
      </c>
      <c r="B10195" s="128" t="s">
        <v>139</v>
      </c>
      <c r="C10195" s="128" t="s">
        <v>22</v>
      </c>
      <c r="D10195" s="128" t="s">
        <v>79</v>
      </c>
      <c r="E10195" s="128" t="s">
        <v>136</v>
      </c>
      <c r="F10195" s="128">
        <v>6272378.9299999997</v>
      </c>
      <c r="G10195" s="128">
        <v>4683648.29</v>
      </c>
      <c r="H10195" s="128">
        <v>1552516.6</v>
      </c>
      <c r="I10195" s="128">
        <v>91837</v>
      </c>
    </row>
    <row r="10196" spans="1:9" ht="13.5">
      <c r="A10196" s="128">
        <v>2018</v>
      </c>
      <c r="B10196" s="128" t="s">
        <v>139</v>
      </c>
      <c r="C10196" s="128" t="s">
        <v>22</v>
      </c>
      <c r="D10196" s="128" t="s">
        <v>79</v>
      </c>
      <c r="E10196" s="128" t="s">
        <v>132</v>
      </c>
      <c r="F10196" s="128">
        <v>1779158.4</v>
      </c>
      <c r="G10196" s="128">
        <v>1161654.0900000001</v>
      </c>
      <c r="H10196" s="128">
        <v>497348.89</v>
      </c>
      <c r="I10196" s="128">
        <v>13713</v>
      </c>
    </row>
    <row r="10197" spans="1:9" ht="13.5">
      <c r="A10197" s="128">
        <v>2018</v>
      </c>
      <c r="B10197" s="128" t="s">
        <v>139</v>
      </c>
      <c r="C10197" s="128" t="s">
        <v>22</v>
      </c>
      <c r="D10197" s="128" t="s">
        <v>79</v>
      </c>
      <c r="E10197" s="128" t="s">
        <v>133</v>
      </c>
      <c r="F10197" s="128">
        <v>2642740.87</v>
      </c>
      <c r="G10197" s="128">
        <v>1416348.01</v>
      </c>
      <c r="H10197" s="128">
        <v>719381.61</v>
      </c>
      <c r="I10197" s="128">
        <v>27294</v>
      </c>
    </row>
    <row r="10198" spans="1:9" ht="13.5">
      <c r="A10198" s="128">
        <v>2018</v>
      </c>
      <c r="B10198" s="128" t="s">
        <v>139</v>
      </c>
      <c r="C10198" s="128" t="s">
        <v>22</v>
      </c>
      <c r="D10198" s="128" t="s">
        <v>79</v>
      </c>
      <c r="E10198" s="128" t="s">
        <v>134</v>
      </c>
      <c r="F10198" s="128">
        <v>5206604.4000000004</v>
      </c>
      <c r="G10198" s="128">
        <v>2266672.5499999998</v>
      </c>
      <c r="H10198" s="128">
        <v>1414959.33</v>
      </c>
      <c r="I10198" s="128">
        <v>22595</v>
      </c>
    </row>
    <row r="10199" spans="1:9" ht="13.5">
      <c r="A10199" s="128">
        <v>2018</v>
      </c>
      <c r="B10199" s="128" t="s">
        <v>139</v>
      </c>
      <c r="C10199" s="128" t="s">
        <v>22</v>
      </c>
      <c r="D10199" s="128" t="s">
        <v>79</v>
      </c>
      <c r="E10199" s="128" t="s">
        <v>135</v>
      </c>
      <c r="F10199" s="128">
        <v>36246576.039999999</v>
      </c>
      <c r="G10199" s="128">
        <v>8401129.3399999999</v>
      </c>
      <c r="H10199" s="128">
        <v>2892950.26</v>
      </c>
      <c r="I10199" s="128">
        <v>38584</v>
      </c>
    </row>
    <row r="10200" spans="1:9" ht="13.5">
      <c r="A10200" s="128">
        <v>2018</v>
      </c>
      <c r="B10200" s="128" t="s">
        <v>139</v>
      </c>
      <c r="C10200" s="128" t="s">
        <v>22</v>
      </c>
      <c r="D10200" s="128" t="s">
        <v>77</v>
      </c>
      <c r="E10200" s="128" t="s">
        <v>132</v>
      </c>
      <c r="F10200" s="128">
        <v>1949497.29</v>
      </c>
      <c r="G10200" s="128">
        <v>1282169.3999999999</v>
      </c>
      <c r="H10200" s="128">
        <v>595915.43999999994</v>
      </c>
      <c r="I10200" s="128">
        <v>9599</v>
      </c>
    </row>
    <row r="10201" spans="1:9" ht="13.5">
      <c r="A10201" s="128">
        <v>2018</v>
      </c>
      <c r="B10201" s="128" t="s">
        <v>139</v>
      </c>
      <c r="C10201" s="128" t="s">
        <v>22</v>
      </c>
      <c r="D10201" s="128" t="s">
        <v>77</v>
      </c>
      <c r="E10201" s="128" t="s">
        <v>133</v>
      </c>
      <c r="F10201" s="128">
        <v>2974162.9</v>
      </c>
      <c r="G10201" s="128">
        <v>1605286.46</v>
      </c>
      <c r="H10201" s="128">
        <v>1136645.43</v>
      </c>
      <c r="I10201" s="128">
        <v>10331</v>
      </c>
    </row>
    <row r="10202" spans="1:9" ht="13.5">
      <c r="A10202" s="128">
        <v>2018</v>
      </c>
      <c r="B10202" s="128" t="s">
        <v>139</v>
      </c>
      <c r="C10202" s="128" t="s">
        <v>22</v>
      </c>
      <c r="D10202" s="128" t="s">
        <v>77</v>
      </c>
      <c r="E10202" s="128" t="s">
        <v>134</v>
      </c>
      <c r="F10202" s="128">
        <v>12529181.390000001</v>
      </c>
      <c r="G10202" s="128">
        <v>5298016.9000000004</v>
      </c>
      <c r="H10202" s="128">
        <v>5303565.62</v>
      </c>
      <c r="I10202" s="128">
        <v>20025</v>
      </c>
    </row>
    <row r="10203" spans="1:9" ht="13.5">
      <c r="A10203" s="128">
        <v>2018</v>
      </c>
      <c r="B10203" s="128" t="s">
        <v>139</v>
      </c>
      <c r="C10203" s="128" t="s">
        <v>22</v>
      </c>
      <c r="D10203" s="128" t="s">
        <v>77</v>
      </c>
      <c r="E10203" s="128" t="s">
        <v>135</v>
      </c>
      <c r="F10203" s="128">
        <v>26419534.399999999</v>
      </c>
      <c r="G10203" s="128">
        <v>7201654.7400000002</v>
      </c>
      <c r="H10203" s="128">
        <v>8185081.9699999997</v>
      </c>
      <c r="I10203" s="128">
        <v>65021</v>
      </c>
    </row>
    <row r="10204" spans="1:9" ht="13.5">
      <c r="A10204" s="128">
        <v>2018</v>
      </c>
      <c r="B10204" s="128" t="s">
        <v>139</v>
      </c>
      <c r="C10204" s="128" t="s">
        <v>22</v>
      </c>
      <c r="D10204" s="128" t="s">
        <v>76</v>
      </c>
      <c r="E10204" s="128" t="s">
        <v>136</v>
      </c>
      <c r="F10204" s="128">
        <v>16686572.92</v>
      </c>
      <c r="G10204" s="128">
        <v>12521368.57</v>
      </c>
      <c r="H10204" s="128">
        <v>4165218.81</v>
      </c>
      <c r="I10204" s="128">
        <v>303362</v>
      </c>
    </row>
    <row r="10205" spans="1:9" ht="13.5">
      <c r="A10205" s="128">
        <v>2018</v>
      </c>
      <c r="B10205" s="128" t="s">
        <v>139</v>
      </c>
      <c r="C10205" s="128" t="s">
        <v>22</v>
      </c>
      <c r="D10205" s="128" t="s">
        <v>76</v>
      </c>
      <c r="E10205" s="128" t="s">
        <v>132</v>
      </c>
      <c r="F10205" s="128">
        <v>40849674.25</v>
      </c>
      <c r="G10205" s="128">
        <v>25946990.010000002</v>
      </c>
      <c r="H10205" s="128">
        <v>14902394.75</v>
      </c>
      <c r="I10205" s="128">
        <v>389908</v>
      </c>
    </row>
    <row r="10206" spans="1:9" ht="13.5">
      <c r="A10206" s="128">
        <v>2018</v>
      </c>
      <c r="B10206" s="128" t="s">
        <v>139</v>
      </c>
      <c r="C10206" s="128" t="s">
        <v>22</v>
      </c>
      <c r="D10206" s="128" t="s">
        <v>76</v>
      </c>
      <c r="E10206" s="128" t="s">
        <v>133</v>
      </c>
      <c r="F10206" s="128">
        <v>72111888.040000007</v>
      </c>
      <c r="G10206" s="128">
        <v>39656904.009999998</v>
      </c>
      <c r="H10206" s="128">
        <v>32454274.210000001</v>
      </c>
      <c r="I10206" s="128">
        <v>561049</v>
      </c>
    </row>
    <row r="10207" spans="1:9" ht="13.5">
      <c r="A10207" s="128">
        <v>2018</v>
      </c>
      <c r="B10207" s="128" t="s">
        <v>139</v>
      </c>
      <c r="C10207" s="128" t="s">
        <v>22</v>
      </c>
      <c r="D10207" s="128" t="s">
        <v>76</v>
      </c>
      <c r="E10207" s="128" t="s">
        <v>134</v>
      </c>
      <c r="F10207" s="128">
        <v>67876423.120000005</v>
      </c>
      <c r="G10207" s="128">
        <v>30837866.460000001</v>
      </c>
      <c r="H10207" s="128">
        <v>37038123.509999998</v>
      </c>
      <c r="I10207" s="128">
        <v>441831</v>
      </c>
    </row>
    <row r="10208" spans="1:9" ht="13.5">
      <c r="A10208" s="128">
        <v>2018</v>
      </c>
      <c r="B10208" s="128" t="s">
        <v>139</v>
      </c>
      <c r="C10208" s="128" t="s">
        <v>22</v>
      </c>
      <c r="D10208" s="128" t="s">
        <v>76</v>
      </c>
      <c r="E10208" s="128" t="s">
        <v>135</v>
      </c>
      <c r="F10208" s="128">
        <v>4890722.95</v>
      </c>
      <c r="G10208" s="128">
        <v>1401877.72</v>
      </c>
      <c r="H10208" s="128">
        <v>3488843.65</v>
      </c>
      <c r="I10208" s="128">
        <v>6602</v>
      </c>
    </row>
    <row r="10209" spans="1:9" ht="13.5">
      <c r="A10209" s="128">
        <v>2018</v>
      </c>
      <c r="B10209" s="128" t="s">
        <v>139</v>
      </c>
      <c r="C10209" s="128" t="s">
        <v>23</v>
      </c>
      <c r="D10209" s="128" t="s">
        <v>79</v>
      </c>
      <c r="E10209" s="128" t="s">
        <v>136</v>
      </c>
      <c r="F10209" s="128">
        <v>1895177.96</v>
      </c>
      <c r="G10209" s="128">
        <v>1417693.99</v>
      </c>
      <c r="H10209" s="128">
        <v>470821</v>
      </c>
      <c r="I10209" s="128">
        <v>19023</v>
      </c>
    </row>
    <row r="10210" spans="1:9" ht="13.5">
      <c r="A10210" s="128">
        <v>2018</v>
      </c>
      <c r="B10210" s="128" t="s">
        <v>139</v>
      </c>
      <c r="C10210" s="128" t="s">
        <v>23</v>
      </c>
      <c r="D10210" s="128" t="s">
        <v>79</v>
      </c>
      <c r="E10210" s="128" t="s">
        <v>132</v>
      </c>
      <c r="F10210" s="128">
        <v>448341.48</v>
      </c>
      <c r="G10210" s="128">
        <v>290641.52</v>
      </c>
      <c r="H10210" s="128">
        <v>123026.45</v>
      </c>
      <c r="I10210" s="128">
        <v>1496</v>
      </c>
    </row>
    <row r="10211" spans="1:9" ht="13.5">
      <c r="A10211" s="128">
        <v>2018</v>
      </c>
      <c r="B10211" s="128" t="s">
        <v>139</v>
      </c>
      <c r="C10211" s="128" t="s">
        <v>23</v>
      </c>
      <c r="D10211" s="128" t="s">
        <v>79</v>
      </c>
      <c r="E10211" s="128" t="s">
        <v>133</v>
      </c>
      <c r="F10211" s="128">
        <v>850294.01</v>
      </c>
      <c r="G10211" s="128">
        <v>479379.89</v>
      </c>
      <c r="H10211" s="128">
        <v>320709.01</v>
      </c>
      <c r="I10211" s="128">
        <v>12049</v>
      </c>
    </row>
    <row r="10212" spans="1:9" ht="13.5">
      <c r="A10212" s="128">
        <v>2018</v>
      </c>
      <c r="B10212" s="128" t="s">
        <v>139</v>
      </c>
      <c r="C10212" s="128" t="s">
        <v>23</v>
      </c>
      <c r="D10212" s="128" t="s">
        <v>79</v>
      </c>
      <c r="E10212" s="128" t="s">
        <v>134</v>
      </c>
      <c r="F10212" s="128">
        <v>756494.63</v>
      </c>
      <c r="G10212" s="128">
        <v>328026.38</v>
      </c>
      <c r="H10212" s="128">
        <v>302928.14</v>
      </c>
      <c r="I10212" s="128">
        <v>2872</v>
      </c>
    </row>
    <row r="10213" spans="1:9" ht="13.5">
      <c r="A10213" s="128">
        <v>2018</v>
      </c>
      <c r="B10213" s="128" t="s">
        <v>139</v>
      </c>
      <c r="C10213" s="128" t="s">
        <v>23</v>
      </c>
      <c r="D10213" s="128" t="s">
        <v>79</v>
      </c>
      <c r="E10213" s="128" t="s">
        <v>135</v>
      </c>
      <c r="F10213" s="128">
        <v>1957656.56</v>
      </c>
      <c r="G10213" s="128">
        <v>445720.78</v>
      </c>
      <c r="H10213" s="128">
        <v>187260.27</v>
      </c>
      <c r="I10213" s="128">
        <v>2225</v>
      </c>
    </row>
    <row r="10214" spans="1:9" ht="13.5">
      <c r="A10214" s="128">
        <v>2018</v>
      </c>
      <c r="B10214" s="128" t="s">
        <v>139</v>
      </c>
      <c r="C10214" s="128" t="s">
        <v>23</v>
      </c>
      <c r="D10214" s="128" t="s">
        <v>77</v>
      </c>
      <c r="E10214" s="128" t="s">
        <v>132</v>
      </c>
      <c r="F10214" s="128">
        <v>398375.27</v>
      </c>
      <c r="G10214" s="128">
        <v>254809.55</v>
      </c>
      <c r="H10214" s="128">
        <v>131111</v>
      </c>
      <c r="I10214" s="128">
        <v>1868</v>
      </c>
    </row>
    <row r="10215" spans="1:9" ht="13.5">
      <c r="A10215" s="128">
        <v>2018</v>
      </c>
      <c r="B10215" s="128" t="s">
        <v>139</v>
      </c>
      <c r="C10215" s="128" t="s">
        <v>23</v>
      </c>
      <c r="D10215" s="128" t="s">
        <v>77</v>
      </c>
      <c r="E10215" s="128" t="s">
        <v>133</v>
      </c>
      <c r="F10215" s="128">
        <v>888861.95</v>
      </c>
      <c r="G10215" s="128">
        <v>476909.89</v>
      </c>
      <c r="H10215" s="128">
        <v>365791.58</v>
      </c>
      <c r="I10215" s="128">
        <v>2819</v>
      </c>
    </row>
    <row r="10216" spans="1:9" ht="13.5">
      <c r="A10216" s="128">
        <v>2018</v>
      </c>
      <c r="B10216" s="128" t="s">
        <v>139</v>
      </c>
      <c r="C10216" s="128" t="s">
        <v>23</v>
      </c>
      <c r="D10216" s="128" t="s">
        <v>77</v>
      </c>
      <c r="E10216" s="128" t="s">
        <v>134</v>
      </c>
      <c r="F10216" s="128">
        <v>5297281.47</v>
      </c>
      <c r="G10216" s="128">
        <v>2232809.98</v>
      </c>
      <c r="H10216" s="128">
        <v>2335037.7000000002</v>
      </c>
      <c r="I10216" s="128">
        <v>9453</v>
      </c>
    </row>
    <row r="10217" spans="1:9" ht="13.5">
      <c r="A10217" s="128">
        <v>2018</v>
      </c>
      <c r="B10217" s="128" t="s">
        <v>139</v>
      </c>
      <c r="C10217" s="128" t="s">
        <v>23</v>
      </c>
      <c r="D10217" s="128" t="s">
        <v>77</v>
      </c>
      <c r="E10217" s="128" t="s">
        <v>135</v>
      </c>
      <c r="F10217" s="128">
        <v>7951157.3399999999</v>
      </c>
      <c r="G10217" s="128">
        <v>2453491.71</v>
      </c>
      <c r="H10217" s="128">
        <v>3073934.55</v>
      </c>
      <c r="I10217" s="128">
        <v>28289</v>
      </c>
    </row>
    <row r="10218" spans="1:9" ht="13.5">
      <c r="A10218" s="128">
        <v>2018</v>
      </c>
      <c r="B10218" s="128" t="s">
        <v>139</v>
      </c>
      <c r="C10218" s="128" t="s">
        <v>23</v>
      </c>
      <c r="D10218" s="128" t="s">
        <v>76</v>
      </c>
      <c r="E10218" s="128" t="s">
        <v>136</v>
      </c>
      <c r="F10218" s="128">
        <v>5882873.9699999997</v>
      </c>
      <c r="G10218" s="128">
        <v>4415554.7300000004</v>
      </c>
      <c r="H10218" s="128">
        <v>1467319.91</v>
      </c>
      <c r="I10218" s="128">
        <v>110831</v>
      </c>
    </row>
    <row r="10219" spans="1:9" ht="13.5">
      <c r="A10219" s="128">
        <v>2018</v>
      </c>
      <c r="B10219" s="128" t="s">
        <v>139</v>
      </c>
      <c r="C10219" s="128" t="s">
        <v>23</v>
      </c>
      <c r="D10219" s="128" t="s">
        <v>76</v>
      </c>
      <c r="E10219" s="128" t="s">
        <v>132</v>
      </c>
      <c r="F10219" s="128">
        <v>7439139.3399999999</v>
      </c>
      <c r="G10219" s="128">
        <v>4664349.62</v>
      </c>
      <c r="H10219" s="128">
        <v>2774788.73</v>
      </c>
      <c r="I10219" s="128">
        <v>70495</v>
      </c>
    </row>
    <row r="10220" spans="1:9" ht="13.5">
      <c r="A10220" s="128">
        <v>2018</v>
      </c>
      <c r="B10220" s="128" t="s">
        <v>139</v>
      </c>
      <c r="C10220" s="128" t="s">
        <v>23</v>
      </c>
      <c r="D10220" s="128" t="s">
        <v>76</v>
      </c>
      <c r="E10220" s="128" t="s">
        <v>133</v>
      </c>
      <c r="F10220" s="128">
        <v>25555978.530000001</v>
      </c>
      <c r="G10220" s="128">
        <v>13910206.43</v>
      </c>
      <c r="H10220" s="128">
        <v>11645754.65</v>
      </c>
      <c r="I10220" s="128">
        <v>206966</v>
      </c>
    </row>
    <row r="10221" spans="1:9" ht="13.5">
      <c r="A10221" s="128">
        <v>2018</v>
      </c>
      <c r="B10221" s="128" t="s">
        <v>139</v>
      </c>
      <c r="C10221" s="128" t="s">
        <v>23</v>
      </c>
      <c r="D10221" s="128" t="s">
        <v>76</v>
      </c>
      <c r="E10221" s="128" t="s">
        <v>134</v>
      </c>
      <c r="F10221" s="128">
        <v>42624688.530000001</v>
      </c>
      <c r="G10221" s="128">
        <v>18867982.32</v>
      </c>
      <c r="H10221" s="128">
        <v>23756703.66</v>
      </c>
      <c r="I10221" s="128">
        <v>162917</v>
      </c>
    </row>
    <row r="10222" spans="1:9" ht="13.5">
      <c r="A10222" s="128">
        <v>2018</v>
      </c>
      <c r="B10222" s="128" t="s">
        <v>139</v>
      </c>
      <c r="C10222" s="128" t="s">
        <v>23</v>
      </c>
      <c r="D10222" s="128" t="s">
        <v>76</v>
      </c>
      <c r="E10222" s="128" t="s">
        <v>135</v>
      </c>
      <c r="F10222" s="128">
        <v>1419845.87</v>
      </c>
      <c r="G10222" s="128">
        <v>369895.15</v>
      </c>
      <c r="H10222" s="128">
        <v>1049950.72</v>
      </c>
      <c r="I10222" s="128">
        <v>1049</v>
      </c>
    </row>
    <row r="10223" spans="1:9" ht="13.5">
      <c r="A10223" s="128">
        <v>2018</v>
      </c>
      <c r="B10223" s="128" t="s">
        <v>139</v>
      </c>
      <c r="C10223" s="128" t="s">
        <v>24</v>
      </c>
      <c r="D10223" s="128" t="s">
        <v>79</v>
      </c>
      <c r="E10223" s="128" t="s">
        <v>136</v>
      </c>
      <c r="F10223" s="128">
        <v>2201917.9700000002</v>
      </c>
      <c r="G10223" s="128">
        <v>1653272.3</v>
      </c>
      <c r="H10223" s="128">
        <v>548022.55000000005</v>
      </c>
      <c r="I10223" s="128">
        <v>35862</v>
      </c>
    </row>
    <row r="10224" spans="1:9" ht="13.5">
      <c r="A10224" s="128">
        <v>2018</v>
      </c>
      <c r="B10224" s="128" t="s">
        <v>139</v>
      </c>
      <c r="C10224" s="128" t="s">
        <v>24</v>
      </c>
      <c r="D10224" s="128" t="s">
        <v>79</v>
      </c>
      <c r="E10224" s="128" t="s">
        <v>132</v>
      </c>
      <c r="F10224" s="128">
        <v>362954.25</v>
      </c>
      <c r="G10224" s="128">
        <v>243024.03</v>
      </c>
      <c r="H10224" s="128">
        <v>88368.29</v>
      </c>
      <c r="I10224" s="128">
        <v>1648</v>
      </c>
    </row>
    <row r="10225" spans="1:9" ht="13.5">
      <c r="A10225" s="128">
        <v>2018</v>
      </c>
      <c r="B10225" s="128" t="s">
        <v>139</v>
      </c>
      <c r="C10225" s="128" t="s">
        <v>24</v>
      </c>
      <c r="D10225" s="128" t="s">
        <v>79</v>
      </c>
      <c r="E10225" s="128" t="s">
        <v>133</v>
      </c>
      <c r="F10225" s="128">
        <v>1095740.49</v>
      </c>
      <c r="G10225" s="128">
        <v>574519</v>
      </c>
      <c r="H10225" s="128">
        <v>214155.73</v>
      </c>
      <c r="I10225" s="128">
        <v>15103</v>
      </c>
    </row>
    <row r="10226" spans="1:9" ht="13.5">
      <c r="A10226" s="128">
        <v>2018</v>
      </c>
      <c r="B10226" s="128" t="s">
        <v>139</v>
      </c>
      <c r="C10226" s="128" t="s">
        <v>24</v>
      </c>
      <c r="D10226" s="128" t="s">
        <v>79</v>
      </c>
      <c r="E10226" s="128" t="s">
        <v>134</v>
      </c>
      <c r="F10226" s="128">
        <v>1648754.54</v>
      </c>
      <c r="G10226" s="128">
        <v>718233.59</v>
      </c>
      <c r="H10226" s="128">
        <v>321742.31</v>
      </c>
      <c r="I10226" s="128">
        <v>5356</v>
      </c>
    </row>
    <row r="10227" spans="1:9" ht="13.5">
      <c r="A10227" s="128">
        <v>2018</v>
      </c>
      <c r="B10227" s="128" t="s">
        <v>139</v>
      </c>
      <c r="C10227" s="128" t="s">
        <v>24</v>
      </c>
      <c r="D10227" s="128" t="s">
        <v>79</v>
      </c>
      <c r="E10227" s="128" t="s">
        <v>135</v>
      </c>
      <c r="F10227" s="128">
        <v>6764016.5499999998</v>
      </c>
      <c r="G10227" s="128">
        <v>1492516.64</v>
      </c>
      <c r="H10227" s="128">
        <v>539545.06000000006</v>
      </c>
      <c r="I10227" s="128">
        <v>8885</v>
      </c>
    </row>
    <row r="10228" spans="1:9" ht="13.5">
      <c r="A10228" s="128">
        <v>2018</v>
      </c>
      <c r="B10228" s="128" t="s">
        <v>139</v>
      </c>
      <c r="C10228" s="128" t="s">
        <v>24</v>
      </c>
      <c r="D10228" s="128" t="s">
        <v>77</v>
      </c>
      <c r="E10228" s="128" t="s">
        <v>132</v>
      </c>
      <c r="F10228" s="128">
        <v>2352641.94</v>
      </c>
      <c r="G10228" s="128">
        <v>1620389.77</v>
      </c>
      <c r="H10228" s="128">
        <v>697739.32</v>
      </c>
      <c r="I10228" s="128">
        <v>11829</v>
      </c>
    </row>
    <row r="10229" spans="1:9" ht="13.5">
      <c r="A10229" s="128">
        <v>2018</v>
      </c>
      <c r="B10229" s="128" t="s">
        <v>139</v>
      </c>
      <c r="C10229" s="128" t="s">
        <v>24</v>
      </c>
      <c r="D10229" s="128" t="s">
        <v>77</v>
      </c>
      <c r="E10229" s="128" t="s">
        <v>133</v>
      </c>
      <c r="F10229" s="128">
        <v>4282707.6399999997</v>
      </c>
      <c r="G10229" s="128">
        <v>2304042.2799999998</v>
      </c>
      <c r="H10229" s="128">
        <v>1790028.09</v>
      </c>
      <c r="I10229" s="128">
        <v>30377</v>
      </c>
    </row>
    <row r="10230" spans="1:9" ht="13.5">
      <c r="A10230" s="128">
        <v>2018</v>
      </c>
      <c r="B10230" s="128" t="s">
        <v>139</v>
      </c>
      <c r="C10230" s="128" t="s">
        <v>24</v>
      </c>
      <c r="D10230" s="128" t="s">
        <v>77</v>
      </c>
      <c r="E10230" s="128" t="s">
        <v>134</v>
      </c>
      <c r="F10230" s="128">
        <v>8394797.3900000006</v>
      </c>
      <c r="G10230" s="128">
        <v>3719403.41</v>
      </c>
      <c r="H10230" s="128">
        <v>3421036.46</v>
      </c>
      <c r="I10230" s="128">
        <v>19058</v>
      </c>
    </row>
    <row r="10231" spans="1:9" ht="13.5">
      <c r="A10231" s="128">
        <v>2018</v>
      </c>
      <c r="B10231" s="128" t="s">
        <v>139</v>
      </c>
      <c r="C10231" s="128" t="s">
        <v>24</v>
      </c>
      <c r="D10231" s="128" t="s">
        <v>77</v>
      </c>
      <c r="E10231" s="128" t="s">
        <v>135</v>
      </c>
      <c r="F10231" s="128">
        <v>15215476.73</v>
      </c>
      <c r="G10231" s="128">
        <v>3905025.01</v>
      </c>
      <c r="H10231" s="128">
        <v>2912360.27</v>
      </c>
      <c r="I10231" s="128">
        <v>39563</v>
      </c>
    </row>
    <row r="10232" spans="1:9" ht="13.5">
      <c r="A10232" s="128">
        <v>2018</v>
      </c>
      <c r="B10232" s="128" t="s">
        <v>139</v>
      </c>
      <c r="C10232" s="128" t="s">
        <v>24</v>
      </c>
      <c r="D10232" s="128" t="s">
        <v>76</v>
      </c>
      <c r="E10232" s="128" t="s">
        <v>136</v>
      </c>
      <c r="F10232" s="128">
        <v>7295167.0999999996</v>
      </c>
      <c r="G10232" s="128">
        <v>5478806.8700000001</v>
      </c>
      <c r="H10232" s="128">
        <v>1816360.56</v>
      </c>
      <c r="I10232" s="128">
        <v>122847</v>
      </c>
    </row>
    <row r="10233" spans="1:9" ht="13.5">
      <c r="A10233" s="128">
        <v>2018</v>
      </c>
      <c r="B10233" s="128" t="s">
        <v>139</v>
      </c>
      <c r="C10233" s="128" t="s">
        <v>24</v>
      </c>
      <c r="D10233" s="128" t="s">
        <v>76</v>
      </c>
      <c r="E10233" s="128" t="s">
        <v>132</v>
      </c>
      <c r="F10233" s="128">
        <v>7672059.2599999998</v>
      </c>
      <c r="G10233" s="128">
        <v>4969141.5999999996</v>
      </c>
      <c r="H10233" s="128">
        <v>2702911.75</v>
      </c>
      <c r="I10233" s="128">
        <v>54750</v>
      </c>
    </row>
    <row r="10234" spans="1:9" ht="13.5">
      <c r="A10234" s="128">
        <v>2018</v>
      </c>
      <c r="B10234" s="128" t="s">
        <v>139</v>
      </c>
      <c r="C10234" s="128" t="s">
        <v>24</v>
      </c>
      <c r="D10234" s="128" t="s">
        <v>76</v>
      </c>
      <c r="E10234" s="128" t="s">
        <v>133</v>
      </c>
      <c r="F10234" s="128">
        <v>38758016.240000002</v>
      </c>
      <c r="G10234" s="128">
        <v>21507740.469999999</v>
      </c>
      <c r="H10234" s="128">
        <v>17250184.719999999</v>
      </c>
      <c r="I10234" s="128">
        <v>275744</v>
      </c>
    </row>
    <row r="10235" spans="1:9" ht="13.5">
      <c r="A10235" s="128">
        <v>2018</v>
      </c>
      <c r="B10235" s="128" t="s">
        <v>139</v>
      </c>
      <c r="C10235" s="128" t="s">
        <v>24</v>
      </c>
      <c r="D10235" s="128" t="s">
        <v>76</v>
      </c>
      <c r="E10235" s="128" t="s">
        <v>134</v>
      </c>
      <c r="F10235" s="128">
        <v>51938310.490000002</v>
      </c>
      <c r="G10235" s="128">
        <v>23005077.039999999</v>
      </c>
      <c r="H10235" s="128">
        <v>28933231.620000001</v>
      </c>
      <c r="I10235" s="128">
        <v>235282</v>
      </c>
    </row>
    <row r="10236" spans="1:9" ht="13.5">
      <c r="A10236" s="128">
        <v>2018</v>
      </c>
      <c r="B10236" s="128" t="s">
        <v>139</v>
      </c>
      <c r="C10236" s="128" t="s">
        <v>24</v>
      </c>
      <c r="D10236" s="128" t="s">
        <v>76</v>
      </c>
      <c r="E10236" s="128" t="s">
        <v>135</v>
      </c>
      <c r="F10236" s="128">
        <v>2720486.27</v>
      </c>
      <c r="G10236" s="128">
        <v>710448.85</v>
      </c>
      <c r="H10236" s="128">
        <v>2010037.42</v>
      </c>
      <c r="I10236" s="128">
        <v>1855</v>
      </c>
    </row>
    <row r="10237" spans="1:9" ht="13.5">
      <c r="A10237" s="128">
        <v>2018</v>
      </c>
      <c r="B10237" s="128" t="s">
        <v>139</v>
      </c>
      <c r="C10237" s="128" t="s">
        <v>25</v>
      </c>
      <c r="D10237" s="128" t="s">
        <v>79</v>
      </c>
      <c r="E10237" s="128" t="s">
        <v>136</v>
      </c>
      <c r="F10237" s="128">
        <v>405032.21</v>
      </c>
      <c r="G10237" s="128">
        <v>304952.51</v>
      </c>
      <c r="H10237" s="128">
        <v>100080.15</v>
      </c>
      <c r="I10237" s="128">
        <v>3282</v>
      </c>
    </row>
    <row r="10238" spans="1:9" ht="13.5">
      <c r="A10238" s="128">
        <v>2018</v>
      </c>
      <c r="B10238" s="128" t="s">
        <v>139</v>
      </c>
      <c r="C10238" s="128" t="s">
        <v>25</v>
      </c>
      <c r="D10238" s="128" t="s">
        <v>79</v>
      </c>
      <c r="E10238" s="128" t="s">
        <v>132</v>
      </c>
      <c r="F10238" s="128">
        <v>181748.96</v>
      </c>
      <c r="G10238" s="128">
        <v>117820.75</v>
      </c>
      <c r="H10238" s="128">
        <v>55202.95</v>
      </c>
      <c r="I10238" s="128">
        <v>863</v>
      </c>
    </row>
    <row r="10239" spans="1:9" ht="13.5">
      <c r="A10239" s="128">
        <v>2018</v>
      </c>
      <c r="B10239" s="128" t="s">
        <v>139</v>
      </c>
      <c r="C10239" s="128" t="s">
        <v>25</v>
      </c>
      <c r="D10239" s="128" t="s">
        <v>79</v>
      </c>
      <c r="E10239" s="128" t="s">
        <v>133</v>
      </c>
      <c r="F10239" s="128">
        <v>223387.74</v>
      </c>
      <c r="G10239" s="128">
        <v>125671.03999999999</v>
      </c>
      <c r="H10239" s="128">
        <v>75036.95</v>
      </c>
      <c r="I10239" s="128">
        <v>2422</v>
      </c>
    </row>
    <row r="10240" spans="1:9" ht="13.5">
      <c r="A10240" s="128">
        <v>2018</v>
      </c>
      <c r="B10240" s="128" t="s">
        <v>139</v>
      </c>
      <c r="C10240" s="128" t="s">
        <v>25</v>
      </c>
      <c r="D10240" s="128" t="s">
        <v>79</v>
      </c>
      <c r="E10240" s="128" t="s">
        <v>134</v>
      </c>
      <c r="F10240" s="128">
        <v>277259.71000000002</v>
      </c>
      <c r="G10240" s="128">
        <v>122964.19</v>
      </c>
      <c r="H10240" s="128">
        <v>63996.34</v>
      </c>
      <c r="I10240" s="128">
        <v>1017</v>
      </c>
    </row>
    <row r="10241" spans="1:9" ht="13.5">
      <c r="A10241" s="128">
        <v>2018</v>
      </c>
      <c r="B10241" s="128" t="s">
        <v>139</v>
      </c>
      <c r="C10241" s="128" t="s">
        <v>25</v>
      </c>
      <c r="D10241" s="128" t="s">
        <v>79</v>
      </c>
      <c r="E10241" s="128" t="s">
        <v>135</v>
      </c>
      <c r="F10241" s="128">
        <v>1460348.4</v>
      </c>
      <c r="G10241" s="128">
        <v>324927.92</v>
      </c>
      <c r="H10241" s="128">
        <v>111972.07</v>
      </c>
      <c r="I10241" s="128">
        <v>1285</v>
      </c>
    </row>
    <row r="10242" spans="1:9" ht="13.5">
      <c r="A10242" s="128">
        <v>2018</v>
      </c>
      <c r="B10242" s="128" t="s">
        <v>139</v>
      </c>
      <c r="C10242" s="128" t="s">
        <v>25</v>
      </c>
      <c r="D10242" s="128" t="s">
        <v>77</v>
      </c>
      <c r="E10242" s="128" t="s">
        <v>132</v>
      </c>
      <c r="F10242" s="128">
        <v>186480.06</v>
      </c>
      <c r="G10242" s="128">
        <v>124078.67</v>
      </c>
      <c r="H10242" s="128">
        <v>54038.32</v>
      </c>
      <c r="I10242" s="128">
        <v>854</v>
      </c>
    </row>
    <row r="10243" spans="1:9" ht="13.5">
      <c r="A10243" s="128">
        <v>2018</v>
      </c>
      <c r="B10243" s="128" t="s">
        <v>139</v>
      </c>
      <c r="C10243" s="128" t="s">
        <v>25</v>
      </c>
      <c r="D10243" s="128" t="s">
        <v>77</v>
      </c>
      <c r="E10243" s="128" t="s">
        <v>133</v>
      </c>
      <c r="F10243" s="128">
        <v>396815.24</v>
      </c>
      <c r="G10243" s="128">
        <v>214346.31</v>
      </c>
      <c r="H10243" s="128">
        <v>166300.13</v>
      </c>
      <c r="I10243" s="128">
        <v>1127</v>
      </c>
    </row>
    <row r="10244" spans="1:9" ht="13.5">
      <c r="A10244" s="128">
        <v>2018</v>
      </c>
      <c r="B10244" s="128" t="s">
        <v>139</v>
      </c>
      <c r="C10244" s="128" t="s">
        <v>25</v>
      </c>
      <c r="D10244" s="128" t="s">
        <v>77</v>
      </c>
      <c r="E10244" s="128" t="s">
        <v>134</v>
      </c>
      <c r="F10244" s="128">
        <v>1418613.82</v>
      </c>
      <c r="G10244" s="128">
        <v>602618.5</v>
      </c>
      <c r="H10244" s="128">
        <v>626525.46</v>
      </c>
      <c r="I10244" s="128">
        <v>2448</v>
      </c>
    </row>
    <row r="10245" spans="1:9" ht="13.5">
      <c r="A10245" s="128">
        <v>2018</v>
      </c>
      <c r="B10245" s="128" t="s">
        <v>139</v>
      </c>
      <c r="C10245" s="128" t="s">
        <v>25</v>
      </c>
      <c r="D10245" s="128" t="s">
        <v>77</v>
      </c>
      <c r="E10245" s="128" t="s">
        <v>135</v>
      </c>
      <c r="F10245" s="128">
        <v>2311986.09</v>
      </c>
      <c r="G10245" s="128">
        <v>679538.1</v>
      </c>
      <c r="H10245" s="128">
        <v>819645.68</v>
      </c>
      <c r="I10245" s="128">
        <v>6625</v>
      </c>
    </row>
    <row r="10246" spans="1:9" ht="13.5">
      <c r="A10246" s="128">
        <v>2018</v>
      </c>
      <c r="B10246" s="128" t="s">
        <v>139</v>
      </c>
      <c r="C10246" s="128" t="s">
        <v>25</v>
      </c>
      <c r="D10246" s="128" t="s">
        <v>76</v>
      </c>
      <c r="E10246" s="128" t="s">
        <v>136</v>
      </c>
      <c r="F10246" s="128">
        <v>1870090.91</v>
      </c>
      <c r="G10246" s="128">
        <v>1402924.74</v>
      </c>
      <c r="H10246" s="128">
        <v>467167.36</v>
      </c>
      <c r="I10246" s="128">
        <v>29310</v>
      </c>
    </row>
    <row r="10247" spans="1:9" ht="13.5">
      <c r="A10247" s="128">
        <v>2018</v>
      </c>
      <c r="B10247" s="128" t="s">
        <v>139</v>
      </c>
      <c r="C10247" s="128" t="s">
        <v>25</v>
      </c>
      <c r="D10247" s="128" t="s">
        <v>76</v>
      </c>
      <c r="E10247" s="128" t="s">
        <v>132</v>
      </c>
      <c r="F10247" s="128">
        <v>2644938.9900000002</v>
      </c>
      <c r="G10247" s="128">
        <v>1674125.49</v>
      </c>
      <c r="H10247" s="128">
        <v>970812.65</v>
      </c>
      <c r="I10247" s="128">
        <v>20094</v>
      </c>
    </row>
    <row r="10248" spans="1:9" ht="13.5">
      <c r="A10248" s="128">
        <v>2018</v>
      </c>
      <c r="B10248" s="128" t="s">
        <v>139</v>
      </c>
      <c r="C10248" s="128" t="s">
        <v>25</v>
      </c>
      <c r="D10248" s="128" t="s">
        <v>76</v>
      </c>
      <c r="E10248" s="128" t="s">
        <v>133</v>
      </c>
      <c r="F10248" s="128">
        <v>7816882.6799999997</v>
      </c>
      <c r="G10248" s="128">
        <v>4264075.8</v>
      </c>
      <c r="H10248" s="128">
        <v>3552805.69</v>
      </c>
      <c r="I10248" s="128">
        <v>47725</v>
      </c>
    </row>
    <row r="10249" spans="1:9" ht="13.5">
      <c r="A10249" s="128">
        <v>2018</v>
      </c>
      <c r="B10249" s="128" t="s">
        <v>139</v>
      </c>
      <c r="C10249" s="128" t="s">
        <v>25</v>
      </c>
      <c r="D10249" s="128" t="s">
        <v>76</v>
      </c>
      <c r="E10249" s="128" t="s">
        <v>134</v>
      </c>
      <c r="F10249" s="128">
        <v>10032926.85</v>
      </c>
      <c r="G10249" s="128">
        <v>4572378.6399999997</v>
      </c>
      <c r="H10249" s="128">
        <v>5460548.5</v>
      </c>
      <c r="I10249" s="128">
        <v>46346</v>
      </c>
    </row>
    <row r="10250" spans="1:9" ht="13.5">
      <c r="A10250" s="128">
        <v>2018</v>
      </c>
      <c r="B10250" s="128" t="s">
        <v>139</v>
      </c>
      <c r="C10250" s="128" t="s">
        <v>25</v>
      </c>
      <c r="D10250" s="128" t="s">
        <v>76</v>
      </c>
      <c r="E10250" s="128" t="s">
        <v>135</v>
      </c>
      <c r="F10250" s="128">
        <v>390109.33</v>
      </c>
      <c r="G10250" s="128">
        <v>105774.15</v>
      </c>
      <c r="H10250" s="128">
        <v>284335.18</v>
      </c>
      <c r="I10250" s="128">
        <v>306</v>
      </c>
    </row>
    <row r="10251" spans="1:9" ht="13.5">
      <c r="A10251" s="128">
        <v>2018</v>
      </c>
      <c r="B10251" s="128" t="s">
        <v>139</v>
      </c>
      <c r="C10251" s="128" t="s">
        <v>26</v>
      </c>
      <c r="D10251" s="128" t="s">
        <v>79</v>
      </c>
      <c r="E10251" s="128" t="s">
        <v>136</v>
      </c>
      <c r="F10251" s="128">
        <v>945981.11</v>
      </c>
      <c r="G10251" s="128">
        <v>700267.25</v>
      </c>
      <c r="H10251" s="128">
        <v>232351.89</v>
      </c>
      <c r="I10251" s="128">
        <v>7082</v>
      </c>
    </row>
    <row r="10252" spans="1:9" ht="13.5">
      <c r="A10252" s="128">
        <v>2018</v>
      </c>
      <c r="B10252" s="128" t="s">
        <v>139</v>
      </c>
      <c r="C10252" s="128" t="s">
        <v>26</v>
      </c>
      <c r="D10252" s="128" t="s">
        <v>79</v>
      </c>
      <c r="E10252" s="128" t="s">
        <v>132</v>
      </c>
      <c r="F10252" s="128">
        <v>117392.71</v>
      </c>
      <c r="G10252" s="128">
        <v>80982.25</v>
      </c>
      <c r="H10252" s="128">
        <v>28181.05</v>
      </c>
      <c r="I10252" s="128">
        <v>391</v>
      </c>
    </row>
    <row r="10253" spans="1:9" ht="13.5">
      <c r="A10253" s="128">
        <v>2018</v>
      </c>
      <c r="B10253" s="128" t="s">
        <v>139</v>
      </c>
      <c r="C10253" s="128" t="s">
        <v>26</v>
      </c>
      <c r="D10253" s="128" t="s">
        <v>79</v>
      </c>
      <c r="E10253" s="128" t="s">
        <v>133</v>
      </c>
      <c r="F10253" s="128">
        <v>117771.61</v>
      </c>
      <c r="G10253" s="128">
        <v>64266.55</v>
      </c>
      <c r="H10253" s="128">
        <v>22544.400000000001</v>
      </c>
      <c r="I10253" s="128">
        <v>351</v>
      </c>
    </row>
    <row r="10254" spans="1:9" ht="13.5">
      <c r="A10254" s="128">
        <v>2018</v>
      </c>
      <c r="B10254" s="128" t="s">
        <v>139</v>
      </c>
      <c r="C10254" s="128" t="s">
        <v>26</v>
      </c>
      <c r="D10254" s="128" t="s">
        <v>79</v>
      </c>
      <c r="E10254" s="128" t="s">
        <v>134</v>
      </c>
      <c r="F10254" s="128">
        <v>512961.13</v>
      </c>
      <c r="G10254" s="128">
        <v>218582.66</v>
      </c>
      <c r="H10254" s="128">
        <v>93695.05</v>
      </c>
      <c r="I10254" s="128">
        <v>2414</v>
      </c>
    </row>
    <row r="10255" spans="1:9" ht="13.5">
      <c r="A10255" s="128">
        <v>2018</v>
      </c>
      <c r="B10255" s="128" t="s">
        <v>139</v>
      </c>
      <c r="C10255" s="128" t="s">
        <v>26</v>
      </c>
      <c r="D10255" s="128" t="s">
        <v>79</v>
      </c>
      <c r="E10255" s="128" t="s">
        <v>135</v>
      </c>
      <c r="F10255" s="128">
        <v>6178394.2000000002</v>
      </c>
      <c r="G10255" s="128">
        <v>1401069.07</v>
      </c>
      <c r="H10255" s="128">
        <v>472624.8</v>
      </c>
      <c r="I10255" s="128">
        <v>6387</v>
      </c>
    </row>
    <row r="10256" spans="1:9" ht="13.5">
      <c r="A10256" s="128">
        <v>2018</v>
      </c>
      <c r="B10256" s="128" t="s">
        <v>139</v>
      </c>
      <c r="C10256" s="128" t="s">
        <v>26</v>
      </c>
      <c r="D10256" s="128" t="s">
        <v>77</v>
      </c>
      <c r="E10256" s="128" t="s">
        <v>132</v>
      </c>
      <c r="F10256" s="128">
        <v>55365.81</v>
      </c>
      <c r="G10256" s="128">
        <v>35225.360000000001</v>
      </c>
      <c r="H10256" s="128">
        <v>17736.009999999998</v>
      </c>
      <c r="I10256" s="128">
        <v>222</v>
      </c>
    </row>
    <row r="10257" spans="1:9" ht="13.5">
      <c r="A10257" s="128">
        <v>2018</v>
      </c>
      <c r="B10257" s="128" t="s">
        <v>139</v>
      </c>
      <c r="C10257" s="128" t="s">
        <v>26</v>
      </c>
      <c r="D10257" s="128" t="s">
        <v>77</v>
      </c>
      <c r="E10257" s="128" t="s">
        <v>133</v>
      </c>
      <c r="F10257" s="128">
        <v>121442.26</v>
      </c>
      <c r="G10257" s="128">
        <v>65860.399999999994</v>
      </c>
      <c r="H10257" s="128">
        <v>43655.28</v>
      </c>
      <c r="I10257" s="128">
        <v>366</v>
      </c>
    </row>
    <row r="10258" spans="1:9" ht="13.5">
      <c r="A10258" s="128">
        <v>2018</v>
      </c>
      <c r="B10258" s="128" t="s">
        <v>139</v>
      </c>
      <c r="C10258" s="128" t="s">
        <v>26</v>
      </c>
      <c r="D10258" s="128" t="s">
        <v>77</v>
      </c>
      <c r="E10258" s="128" t="s">
        <v>134</v>
      </c>
      <c r="F10258" s="128">
        <v>532605.81999999995</v>
      </c>
      <c r="G10258" s="128">
        <v>227292.76</v>
      </c>
      <c r="H10258" s="128">
        <v>239189.17</v>
      </c>
      <c r="I10258" s="128">
        <v>1297</v>
      </c>
    </row>
    <row r="10259" spans="1:9" ht="13.5">
      <c r="A10259" s="128">
        <v>2018</v>
      </c>
      <c r="B10259" s="128" t="s">
        <v>139</v>
      </c>
      <c r="C10259" s="128" t="s">
        <v>26</v>
      </c>
      <c r="D10259" s="128" t="s">
        <v>77</v>
      </c>
      <c r="E10259" s="128" t="s">
        <v>135</v>
      </c>
      <c r="F10259" s="128">
        <v>2544145.12</v>
      </c>
      <c r="G10259" s="128">
        <v>668479.77</v>
      </c>
      <c r="H10259" s="128">
        <v>746155.23</v>
      </c>
      <c r="I10259" s="128">
        <v>9099</v>
      </c>
    </row>
    <row r="10260" spans="1:9" ht="13.5">
      <c r="A10260" s="128">
        <v>2018</v>
      </c>
      <c r="B10260" s="128" t="s">
        <v>139</v>
      </c>
      <c r="C10260" s="128" t="s">
        <v>26</v>
      </c>
      <c r="D10260" s="128" t="s">
        <v>76</v>
      </c>
      <c r="E10260" s="128" t="s">
        <v>136</v>
      </c>
      <c r="F10260" s="128">
        <v>479758.41</v>
      </c>
      <c r="G10260" s="128">
        <v>360186.15</v>
      </c>
      <c r="H10260" s="128">
        <v>119572.26</v>
      </c>
      <c r="I10260" s="128">
        <v>16284</v>
      </c>
    </row>
    <row r="10261" spans="1:9" ht="13.5">
      <c r="A10261" s="128">
        <v>2018</v>
      </c>
      <c r="B10261" s="128" t="s">
        <v>139</v>
      </c>
      <c r="C10261" s="128" t="s">
        <v>26</v>
      </c>
      <c r="D10261" s="128" t="s">
        <v>76</v>
      </c>
      <c r="E10261" s="128" t="s">
        <v>132</v>
      </c>
      <c r="F10261" s="128">
        <v>1513191.67</v>
      </c>
      <c r="G10261" s="128">
        <v>959722.02</v>
      </c>
      <c r="H10261" s="128">
        <v>553467.32999999996</v>
      </c>
      <c r="I10261" s="128">
        <v>16611</v>
      </c>
    </row>
    <row r="10262" spans="1:9" ht="13.5">
      <c r="A10262" s="128">
        <v>2018</v>
      </c>
      <c r="B10262" s="128" t="s">
        <v>139</v>
      </c>
      <c r="C10262" s="128" t="s">
        <v>26</v>
      </c>
      <c r="D10262" s="128" t="s">
        <v>76</v>
      </c>
      <c r="E10262" s="128" t="s">
        <v>133</v>
      </c>
      <c r="F10262" s="128">
        <v>3244388.86</v>
      </c>
      <c r="G10262" s="128">
        <v>1782015.9</v>
      </c>
      <c r="H10262" s="128">
        <v>1462369.58</v>
      </c>
      <c r="I10262" s="128">
        <v>24906</v>
      </c>
    </row>
    <row r="10263" spans="1:9" ht="13.5">
      <c r="A10263" s="128">
        <v>2018</v>
      </c>
      <c r="B10263" s="128" t="s">
        <v>139</v>
      </c>
      <c r="C10263" s="128" t="s">
        <v>26</v>
      </c>
      <c r="D10263" s="128" t="s">
        <v>76</v>
      </c>
      <c r="E10263" s="128" t="s">
        <v>134</v>
      </c>
      <c r="F10263" s="128">
        <v>2493495.9300000002</v>
      </c>
      <c r="G10263" s="128">
        <v>1134715.26</v>
      </c>
      <c r="H10263" s="128">
        <v>1358760.52</v>
      </c>
      <c r="I10263" s="128">
        <v>14257</v>
      </c>
    </row>
    <row r="10264" spans="1:9" ht="13.5">
      <c r="A10264" s="128">
        <v>2018</v>
      </c>
      <c r="B10264" s="128" t="s">
        <v>139</v>
      </c>
      <c r="C10264" s="128" t="s">
        <v>26</v>
      </c>
      <c r="D10264" s="128" t="s">
        <v>76</v>
      </c>
      <c r="E10264" s="128" t="s">
        <v>135</v>
      </c>
      <c r="F10264" s="128">
        <v>292186.34000000003</v>
      </c>
      <c r="G10264" s="128">
        <v>84918.03</v>
      </c>
      <c r="H10264" s="128">
        <v>207268.31</v>
      </c>
      <c r="I10264" s="128">
        <v>560</v>
      </c>
    </row>
    <row r="10265" spans="1:9" ht="13.5">
      <c r="A10265" s="128">
        <v>2018</v>
      </c>
      <c r="B10265" s="128" t="s">
        <v>139</v>
      </c>
      <c r="C10265" s="128" t="s">
        <v>27</v>
      </c>
      <c r="D10265" s="128" t="s">
        <v>79</v>
      </c>
      <c r="E10265" s="128" t="s">
        <v>136</v>
      </c>
      <c r="F10265" s="128">
        <v>270989.46999999997</v>
      </c>
      <c r="G10265" s="128">
        <v>202755.41</v>
      </c>
      <c r="H10265" s="128">
        <v>67508.92</v>
      </c>
      <c r="I10265" s="128">
        <v>1076</v>
      </c>
    </row>
    <row r="10266" spans="1:9" ht="13.5">
      <c r="A10266" s="128">
        <v>2018</v>
      </c>
      <c r="B10266" s="128" t="s">
        <v>139</v>
      </c>
      <c r="C10266" s="128" t="s">
        <v>27</v>
      </c>
      <c r="D10266" s="128" t="s">
        <v>79</v>
      </c>
      <c r="E10266" s="128" t="s">
        <v>132</v>
      </c>
      <c r="F10266" s="128">
        <v>45752.22</v>
      </c>
      <c r="G10266" s="128">
        <v>29393.4</v>
      </c>
      <c r="H10266" s="128">
        <v>13540.25</v>
      </c>
      <c r="I10266" s="128">
        <v>202</v>
      </c>
    </row>
    <row r="10267" spans="1:9" ht="13.5">
      <c r="A10267" s="128">
        <v>2018</v>
      </c>
      <c r="B10267" s="128" t="s">
        <v>139</v>
      </c>
      <c r="C10267" s="128" t="s">
        <v>27</v>
      </c>
      <c r="D10267" s="128" t="s">
        <v>79</v>
      </c>
      <c r="E10267" s="128" t="s">
        <v>133</v>
      </c>
      <c r="F10267" s="128">
        <v>42950.25</v>
      </c>
      <c r="G10267" s="128">
        <v>23624.09</v>
      </c>
      <c r="H10267" s="128">
        <v>10050.950000000001</v>
      </c>
      <c r="I10267" s="128">
        <v>291</v>
      </c>
    </row>
    <row r="10268" spans="1:9" ht="13.5">
      <c r="A10268" s="128">
        <v>2018</v>
      </c>
      <c r="B10268" s="128" t="s">
        <v>139</v>
      </c>
      <c r="C10268" s="128" t="s">
        <v>27</v>
      </c>
      <c r="D10268" s="128" t="s">
        <v>79</v>
      </c>
      <c r="E10268" s="128" t="s">
        <v>134</v>
      </c>
      <c r="F10268" s="128">
        <v>91200.27</v>
      </c>
      <c r="G10268" s="128">
        <v>40202.22</v>
      </c>
      <c r="H10268" s="128">
        <v>29234.45</v>
      </c>
      <c r="I10268" s="128">
        <v>467</v>
      </c>
    </row>
    <row r="10269" spans="1:9" ht="13.5">
      <c r="A10269" s="128">
        <v>2018</v>
      </c>
      <c r="B10269" s="128" t="s">
        <v>139</v>
      </c>
      <c r="C10269" s="128" t="s">
        <v>27</v>
      </c>
      <c r="D10269" s="128" t="s">
        <v>79</v>
      </c>
      <c r="E10269" s="128" t="s">
        <v>135</v>
      </c>
      <c r="F10269" s="128">
        <v>1009211.65</v>
      </c>
      <c r="G10269" s="128">
        <v>239397.08</v>
      </c>
      <c r="H10269" s="128">
        <v>81132.55</v>
      </c>
      <c r="I10269" s="128">
        <v>858</v>
      </c>
    </row>
    <row r="10270" spans="1:9" ht="13.5">
      <c r="A10270" s="128">
        <v>2018</v>
      </c>
      <c r="B10270" s="128" t="s">
        <v>139</v>
      </c>
      <c r="C10270" s="128" t="s">
        <v>27</v>
      </c>
      <c r="D10270" s="128" t="s">
        <v>77</v>
      </c>
      <c r="E10270" s="128" t="s">
        <v>132</v>
      </c>
      <c r="F10270" s="128">
        <v>48951.8</v>
      </c>
      <c r="G10270" s="128">
        <v>32405.35</v>
      </c>
      <c r="H10270" s="128">
        <v>14548.18</v>
      </c>
      <c r="I10270" s="128">
        <v>229</v>
      </c>
    </row>
    <row r="10271" spans="1:9" ht="13.5">
      <c r="A10271" s="128">
        <v>2018</v>
      </c>
      <c r="B10271" s="128" t="s">
        <v>139</v>
      </c>
      <c r="C10271" s="128" t="s">
        <v>27</v>
      </c>
      <c r="D10271" s="128" t="s">
        <v>77</v>
      </c>
      <c r="E10271" s="128" t="s">
        <v>133</v>
      </c>
      <c r="F10271" s="128">
        <v>102171.64</v>
      </c>
      <c r="G10271" s="128">
        <v>55597.7</v>
      </c>
      <c r="H10271" s="128">
        <v>40218.69</v>
      </c>
      <c r="I10271" s="128">
        <v>323</v>
      </c>
    </row>
    <row r="10272" spans="1:9" ht="13.5">
      <c r="A10272" s="128">
        <v>2018</v>
      </c>
      <c r="B10272" s="128" t="s">
        <v>139</v>
      </c>
      <c r="C10272" s="128" t="s">
        <v>27</v>
      </c>
      <c r="D10272" s="128" t="s">
        <v>77</v>
      </c>
      <c r="E10272" s="128" t="s">
        <v>134</v>
      </c>
      <c r="F10272" s="128">
        <v>182454.06</v>
      </c>
      <c r="G10272" s="128">
        <v>78164.55</v>
      </c>
      <c r="H10272" s="128">
        <v>77112.639999999999</v>
      </c>
      <c r="I10272" s="128">
        <v>481</v>
      </c>
    </row>
    <row r="10273" spans="1:9" ht="13.5">
      <c r="A10273" s="128">
        <v>2018</v>
      </c>
      <c r="B10273" s="128" t="s">
        <v>139</v>
      </c>
      <c r="C10273" s="128" t="s">
        <v>27</v>
      </c>
      <c r="D10273" s="128" t="s">
        <v>77</v>
      </c>
      <c r="E10273" s="128" t="s">
        <v>135</v>
      </c>
      <c r="F10273" s="128">
        <v>544489.22</v>
      </c>
      <c r="G10273" s="128">
        <v>150263.29999999999</v>
      </c>
      <c r="H10273" s="128">
        <v>173502.86</v>
      </c>
      <c r="I10273" s="128">
        <v>1922</v>
      </c>
    </row>
    <row r="10274" spans="1:9" ht="13.5">
      <c r="A10274" s="128">
        <v>2018</v>
      </c>
      <c r="B10274" s="128" t="s">
        <v>139</v>
      </c>
      <c r="C10274" s="128" t="s">
        <v>27</v>
      </c>
      <c r="D10274" s="128" t="s">
        <v>76</v>
      </c>
      <c r="E10274" s="128" t="s">
        <v>136</v>
      </c>
      <c r="F10274" s="128">
        <v>333119.33</v>
      </c>
      <c r="G10274" s="128">
        <v>250372.83</v>
      </c>
      <c r="H10274" s="128">
        <v>82746.509999999995</v>
      </c>
      <c r="I10274" s="128">
        <v>4157</v>
      </c>
    </row>
    <row r="10275" spans="1:9" ht="13.5">
      <c r="A10275" s="128">
        <v>2018</v>
      </c>
      <c r="B10275" s="128" t="s">
        <v>139</v>
      </c>
      <c r="C10275" s="128" t="s">
        <v>27</v>
      </c>
      <c r="D10275" s="128" t="s">
        <v>76</v>
      </c>
      <c r="E10275" s="128" t="s">
        <v>132</v>
      </c>
      <c r="F10275" s="128">
        <v>545021.03</v>
      </c>
      <c r="G10275" s="128">
        <v>344946.34</v>
      </c>
      <c r="H10275" s="128">
        <v>200073.69</v>
      </c>
      <c r="I10275" s="128">
        <v>4060</v>
      </c>
    </row>
    <row r="10276" spans="1:9" ht="13.5">
      <c r="A10276" s="128">
        <v>2018</v>
      </c>
      <c r="B10276" s="128" t="s">
        <v>139</v>
      </c>
      <c r="C10276" s="128" t="s">
        <v>27</v>
      </c>
      <c r="D10276" s="128" t="s">
        <v>76</v>
      </c>
      <c r="E10276" s="128" t="s">
        <v>133</v>
      </c>
      <c r="F10276" s="128">
        <v>1278225.5</v>
      </c>
      <c r="G10276" s="128">
        <v>693934.18</v>
      </c>
      <c r="H10276" s="128">
        <v>584289.81999999995</v>
      </c>
      <c r="I10276" s="128">
        <v>5888</v>
      </c>
    </row>
    <row r="10277" spans="1:9" ht="13.5">
      <c r="A10277" s="128">
        <v>2018</v>
      </c>
      <c r="B10277" s="128" t="s">
        <v>139</v>
      </c>
      <c r="C10277" s="128" t="s">
        <v>27</v>
      </c>
      <c r="D10277" s="128" t="s">
        <v>76</v>
      </c>
      <c r="E10277" s="128" t="s">
        <v>134</v>
      </c>
      <c r="F10277" s="128">
        <v>2079110.86</v>
      </c>
      <c r="G10277" s="128">
        <v>951777.5</v>
      </c>
      <c r="H10277" s="128">
        <v>1127331.1599999999</v>
      </c>
      <c r="I10277" s="128">
        <v>9072</v>
      </c>
    </row>
    <row r="10278" spans="1:9" ht="13.5">
      <c r="A10278" s="128">
        <v>2018</v>
      </c>
      <c r="B10278" s="128" t="s">
        <v>139</v>
      </c>
      <c r="C10278" s="128" t="s">
        <v>27</v>
      </c>
      <c r="D10278" s="128" t="s">
        <v>76</v>
      </c>
      <c r="E10278" s="128" t="s">
        <v>135</v>
      </c>
      <c r="F10278" s="128">
        <v>47636.4</v>
      </c>
      <c r="G10278" s="128">
        <v>14273.9</v>
      </c>
      <c r="H10278" s="128">
        <v>33362.5</v>
      </c>
      <c r="I10278" s="128">
        <v>57</v>
      </c>
    </row>
    <row r="10279" spans="1:9" ht="13.5">
      <c r="A10279" s="128">
        <v>2018</v>
      </c>
      <c r="B10279" s="128" t="s">
        <v>137</v>
      </c>
      <c r="C10279" s="128" t="s">
        <v>20</v>
      </c>
      <c r="D10279" s="128" t="s">
        <v>79</v>
      </c>
      <c r="E10279" s="128" t="s">
        <v>136</v>
      </c>
      <c r="F10279" s="128">
        <v>35533481.090000004</v>
      </c>
      <c r="G10279" s="128">
        <v>26659199.460000001</v>
      </c>
      <c r="H10279" s="128">
        <v>8850877.9299999997</v>
      </c>
      <c r="I10279" s="128">
        <v>379130</v>
      </c>
    </row>
    <row r="10280" spans="1:9" ht="13.5">
      <c r="A10280" s="128">
        <v>2018</v>
      </c>
      <c r="B10280" s="128" t="s">
        <v>137</v>
      </c>
      <c r="C10280" s="128" t="s">
        <v>20</v>
      </c>
      <c r="D10280" s="128" t="s">
        <v>79</v>
      </c>
      <c r="E10280" s="128" t="s">
        <v>132</v>
      </c>
      <c r="F10280" s="128">
        <v>3784167.16</v>
      </c>
      <c r="G10280" s="128">
        <v>2489556.9700000002</v>
      </c>
      <c r="H10280" s="128">
        <v>911473.59</v>
      </c>
      <c r="I10280" s="128">
        <v>16025</v>
      </c>
    </row>
    <row r="10281" spans="1:9" ht="13.5">
      <c r="A10281" s="128">
        <v>2018</v>
      </c>
      <c r="B10281" s="128" t="s">
        <v>137</v>
      </c>
      <c r="C10281" s="128" t="s">
        <v>20</v>
      </c>
      <c r="D10281" s="128" t="s">
        <v>79</v>
      </c>
      <c r="E10281" s="128" t="s">
        <v>133</v>
      </c>
      <c r="F10281" s="128">
        <v>2756586.2</v>
      </c>
      <c r="G10281" s="128">
        <v>1485319.94</v>
      </c>
      <c r="H10281" s="128">
        <v>775628.15</v>
      </c>
      <c r="I10281" s="128">
        <v>12977</v>
      </c>
    </row>
    <row r="10282" spans="1:9" ht="13.5">
      <c r="A10282" s="128">
        <v>2018</v>
      </c>
      <c r="B10282" s="128" t="s">
        <v>137</v>
      </c>
      <c r="C10282" s="128" t="s">
        <v>20</v>
      </c>
      <c r="D10282" s="128" t="s">
        <v>79</v>
      </c>
      <c r="E10282" s="128" t="s">
        <v>134</v>
      </c>
      <c r="F10282" s="128">
        <v>7559280.7999999998</v>
      </c>
      <c r="G10282" s="128">
        <v>3268753.18</v>
      </c>
      <c r="H10282" s="128">
        <v>1680359.14</v>
      </c>
      <c r="I10282" s="128">
        <v>31302</v>
      </c>
    </row>
    <row r="10283" spans="1:9" ht="13.5">
      <c r="A10283" s="128">
        <v>2018</v>
      </c>
      <c r="B10283" s="128" t="s">
        <v>137</v>
      </c>
      <c r="C10283" s="128" t="s">
        <v>20</v>
      </c>
      <c r="D10283" s="128" t="s">
        <v>79</v>
      </c>
      <c r="E10283" s="128" t="s">
        <v>135</v>
      </c>
      <c r="F10283" s="128">
        <v>80899779.659999996</v>
      </c>
      <c r="G10283" s="128">
        <v>17507097.140000001</v>
      </c>
      <c r="H10283" s="128">
        <v>5966603.9100000001</v>
      </c>
      <c r="I10283" s="128">
        <v>77879</v>
      </c>
    </row>
    <row r="10284" spans="1:9" ht="13.5">
      <c r="A10284" s="128">
        <v>2018</v>
      </c>
      <c r="B10284" s="128" t="s">
        <v>137</v>
      </c>
      <c r="C10284" s="128" t="s">
        <v>20</v>
      </c>
      <c r="D10284" s="128" t="s">
        <v>77</v>
      </c>
      <c r="E10284" s="128" t="s">
        <v>132</v>
      </c>
      <c r="F10284" s="128">
        <v>3587502.69</v>
      </c>
      <c r="G10284" s="128">
        <v>2344714.96</v>
      </c>
      <c r="H10284" s="128">
        <v>1119255.95</v>
      </c>
      <c r="I10284" s="128">
        <v>16162</v>
      </c>
    </row>
    <row r="10285" spans="1:9" ht="13.5">
      <c r="A10285" s="128">
        <v>2018</v>
      </c>
      <c r="B10285" s="128" t="s">
        <v>137</v>
      </c>
      <c r="C10285" s="128" t="s">
        <v>20</v>
      </c>
      <c r="D10285" s="128" t="s">
        <v>77</v>
      </c>
      <c r="E10285" s="128" t="s">
        <v>133</v>
      </c>
      <c r="F10285" s="128">
        <v>5720127.1200000001</v>
      </c>
      <c r="G10285" s="128">
        <v>3093880.13</v>
      </c>
      <c r="H10285" s="128">
        <v>2237873.91</v>
      </c>
      <c r="I10285" s="128">
        <v>27421</v>
      </c>
    </row>
    <row r="10286" spans="1:9" ht="13.5">
      <c r="A10286" s="128">
        <v>2018</v>
      </c>
      <c r="B10286" s="128" t="s">
        <v>137</v>
      </c>
      <c r="C10286" s="128" t="s">
        <v>20</v>
      </c>
      <c r="D10286" s="128" t="s">
        <v>77</v>
      </c>
      <c r="E10286" s="128" t="s">
        <v>134</v>
      </c>
      <c r="F10286" s="128">
        <v>17901990.309999999</v>
      </c>
      <c r="G10286" s="128">
        <v>7700696.71</v>
      </c>
      <c r="H10286" s="128">
        <v>7735604.5599999996</v>
      </c>
      <c r="I10286" s="128">
        <v>42383</v>
      </c>
    </row>
    <row r="10287" spans="1:9" ht="13.5">
      <c r="A10287" s="128">
        <v>2018</v>
      </c>
      <c r="B10287" s="128" t="s">
        <v>137</v>
      </c>
      <c r="C10287" s="128" t="s">
        <v>20</v>
      </c>
      <c r="D10287" s="128" t="s">
        <v>77</v>
      </c>
      <c r="E10287" s="128" t="s">
        <v>135</v>
      </c>
      <c r="F10287" s="128">
        <v>43338200.170000002</v>
      </c>
      <c r="G10287" s="128">
        <v>11463465.59</v>
      </c>
      <c r="H10287" s="128">
        <v>13580107.15</v>
      </c>
      <c r="I10287" s="128">
        <v>146959</v>
      </c>
    </row>
    <row r="10288" spans="1:9" ht="13.5">
      <c r="A10288" s="128">
        <v>2018</v>
      </c>
      <c r="B10288" s="128" t="s">
        <v>137</v>
      </c>
      <c r="C10288" s="128" t="s">
        <v>20</v>
      </c>
      <c r="D10288" s="128" t="s">
        <v>76</v>
      </c>
      <c r="E10288" s="128" t="s">
        <v>136</v>
      </c>
      <c r="F10288" s="128">
        <v>29741219.850000001</v>
      </c>
      <c r="G10288" s="128">
        <v>22331573.170000002</v>
      </c>
      <c r="H10288" s="128">
        <v>7409707.7000000002</v>
      </c>
      <c r="I10288" s="128">
        <v>894510</v>
      </c>
    </row>
    <row r="10289" spans="1:9" ht="13.5">
      <c r="A10289" s="128">
        <v>2018</v>
      </c>
      <c r="B10289" s="128" t="s">
        <v>137</v>
      </c>
      <c r="C10289" s="128" t="s">
        <v>20</v>
      </c>
      <c r="D10289" s="128" t="s">
        <v>76</v>
      </c>
      <c r="E10289" s="128" t="s">
        <v>132</v>
      </c>
      <c r="F10289" s="128">
        <v>54576324.159999996</v>
      </c>
      <c r="G10289" s="128">
        <v>34562382.210000001</v>
      </c>
      <c r="H10289" s="128">
        <v>20013862.030000001</v>
      </c>
      <c r="I10289" s="128">
        <v>509848</v>
      </c>
    </row>
    <row r="10290" spans="1:9" ht="13.5">
      <c r="A10290" s="128">
        <v>2018</v>
      </c>
      <c r="B10290" s="128" t="s">
        <v>137</v>
      </c>
      <c r="C10290" s="128" t="s">
        <v>20</v>
      </c>
      <c r="D10290" s="128" t="s">
        <v>76</v>
      </c>
      <c r="E10290" s="128" t="s">
        <v>133</v>
      </c>
      <c r="F10290" s="128">
        <v>99917038.280000001</v>
      </c>
      <c r="G10290" s="128">
        <v>54627071.789999999</v>
      </c>
      <c r="H10290" s="128">
        <v>45289941.159999996</v>
      </c>
      <c r="I10290" s="128">
        <v>595988</v>
      </c>
    </row>
    <row r="10291" spans="1:9" ht="13.5">
      <c r="A10291" s="128">
        <v>2018</v>
      </c>
      <c r="B10291" s="128" t="s">
        <v>137</v>
      </c>
      <c r="C10291" s="128" t="s">
        <v>20</v>
      </c>
      <c r="D10291" s="128" t="s">
        <v>76</v>
      </c>
      <c r="E10291" s="128" t="s">
        <v>134</v>
      </c>
      <c r="F10291" s="128">
        <v>116000402.59999999</v>
      </c>
      <c r="G10291" s="128">
        <v>52781642.039999999</v>
      </c>
      <c r="H10291" s="128">
        <v>63218654.57</v>
      </c>
      <c r="I10291" s="128">
        <v>625956</v>
      </c>
    </row>
    <row r="10292" spans="1:9" ht="13.5">
      <c r="A10292" s="128">
        <v>2018</v>
      </c>
      <c r="B10292" s="128" t="s">
        <v>137</v>
      </c>
      <c r="C10292" s="128" t="s">
        <v>20</v>
      </c>
      <c r="D10292" s="128" t="s">
        <v>76</v>
      </c>
      <c r="E10292" s="128" t="s">
        <v>135</v>
      </c>
      <c r="F10292" s="128">
        <v>7231752.7300000004</v>
      </c>
      <c r="G10292" s="128">
        <v>2089180.66</v>
      </c>
      <c r="H10292" s="128">
        <v>5142571.63</v>
      </c>
      <c r="I10292" s="128">
        <v>14969</v>
      </c>
    </row>
    <row r="10293" spans="1:9" ht="13.5">
      <c r="A10293" s="128">
        <v>2018</v>
      </c>
      <c r="B10293" s="128" t="s">
        <v>137</v>
      </c>
      <c r="C10293" s="128" t="s">
        <v>21</v>
      </c>
      <c r="D10293" s="128" t="s">
        <v>79</v>
      </c>
      <c r="E10293" s="128" t="s">
        <v>136</v>
      </c>
      <c r="F10293" s="128">
        <v>9000707.4499999993</v>
      </c>
      <c r="G10293" s="128">
        <v>6753346.1200000001</v>
      </c>
      <c r="H10293" s="128">
        <v>2236687.92</v>
      </c>
      <c r="I10293" s="128">
        <v>159919</v>
      </c>
    </row>
    <row r="10294" spans="1:9" ht="13.5">
      <c r="A10294" s="128">
        <v>2018</v>
      </c>
      <c r="B10294" s="128" t="s">
        <v>137</v>
      </c>
      <c r="C10294" s="128" t="s">
        <v>21</v>
      </c>
      <c r="D10294" s="128" t="s">
        <v>79</v>
      </c>
      <c r="E10294" s="128" t="s">
        <v>132</v>
      </c>
      <c r="F10294" s="128">
        <v>1773902.5</v>
      </c>
      <c r="G10294" s="128">
        <v>1167647.25</v>
      </c>
      <c r="H10294" s="128">
        <v>431441.14</v>
      </c>
      <c r="I10294" s="128">
        <v>6788</v>
      </c>
    </row>
    <row r="10295" spans="1:9" ht="13.5">
      <c r="A10295" s="128">
        <v>2018</v>
      </c>
      <c r="B10295" s="128" t="s">
        <v>137</v>
      </c>
      <c r="C10295" s="128" t="s">
        <v>21</v>
      </c>
      <c r="D10295" s="128" t="s">
        <v>79</v>
      </c>
      <c r="E10295" s="128" t="s">
        <v>133</v>
      </c>
      <c r="F10295" s="128">
        <v>3345965.2</v>
      </c>
      <c r="G10295" s="128">
        <v>1838877.89</v>
      </c>
      <c r="H10295" s="128">
        <v>986190.86</v>
      </c>
      <c r="I10295" s="128">
        <v>43592</v>
      </c>
    </row>
    <row r="10296" spans="1:9" ht="13.5">
      <c r="A10296" s="128">
        <v>2018</v>
      </c>
      <c r="B10296" s="128" t="s">
        <v>137</v>
      </c>
      <c r="C10296" s="128" t="s">
        <v>21</v>
      </c>
      <c r="D10296" s="128" t="s">
        <v>79</v>
      </c>
      <c r="E10296" s="128" t="s">
        <v>134</v>
      </c>
      <c r="F10296" s="128">
        <v>6099674.1600000001</v>
      </c>
      <c r="G10296" s="128">
        <v>2615930.46</v>
      </c>
      <c r="H10296" s="128">
        <v>1525239.61</v>
      </c>
      <c r="I10296" s="128">
        <v>41596</v>
      </c>
    </row>
    <row r="10297" spans="1:9" ht="13.5">
      <c r="A10297" s="128">
        <v>2018</v>
      </c>
      <c r="B10297" s="128" t="s">
        <v>137</v>
      </c>
      <c r="C10297" s="128" t="s">
        <v>21</v>
      </c>
      <c r="D10297" s="128" t="s">
        <v>79</v>
      </c>
      <c r="E10297" s="128" t="s">
        <v>135</v>
      </c>
      <c r="F10297" s="128">
        <v>24368061.07</v>
      </c>
      <c r="G10297" s="128">
        <v>5587239.3200000003</v>
      </c>
      <c r="H10297" s="128">
        <v>2049944.59</v>
      </c>
      <c r="I10297" s="128">
        <v>27247</v>
      </c>
    </row>
    <row r="10298" spans="1:9" ht="13.5">
      <c r="A10298" s="128">
        <v>2018</v>
      </c>
      <c r="B10298" s="128" t="s">
        <v>137</v>
      </c>
      <c r="C10298" s="128" t="s">
        <v>21</v>
      </c>
      <c r="D10298" s="128" t="s">
        <v>77</v>
      </c>
      <c r="E10298" s="128" t="s">
        <v>132</v>
      </c>
      <c r="F10298" s="128">
        <v>3957366.66</v>
      </c>
      <c r="G10298" s="128">
        <v>2631519.56</v>
      </c>
      <c r="H10298" s="128">
        <v>1144456.3</v>
      </c>
      <c r="I10298" s="128">
        <v>21400</v>
      </c>
    </row>
    <row r="10299" spans="1:9" ht="13.5">
      <c r="A10299" s="128">
        <v>2018</v>
      </c>
      <c r="B10299" s="128" t="s">
        <v>137</v>
      </c>
      <c r="C10299" s="128" t="s">
        <v>21</v>
      </c>
      <c r="D10299" s="128" t="s">
        <v>77</v>
      </c>
      <c r="E10299" s="128" t="s">
        <v>133</v>
      </c>
      <c r="F10299" s="128">
        <v>7320944.7999999998</v>
      </c>
      <c r="G10299" s="128">
        <v>3979526.19</v>
      </c>
      <c r="H10299" s="128">
        <v>2753027.56</v>
      </c>
      <c r="I10299" s="128">
        <v>41747</v>
      </c>
    </row>
    <row r="10300" spans="1:9" ht="13.5">
      <c r="A10300" s="128">
        <v>2018</v>
      </c>
      <c r="B10300" s="128" t="s">
        <v>137</v>
      </c>
      <c r="C10300" s="128" t="s">
        <v>21</v>
      </c>
      <c r="D10300" s="128" t="s">
        <v>77</v>
      </c>
      <c r="E10300" s="128" t="s">
        <v>134</v>
      </c>
      <c r="F10300" s="128">
        <v>17173661.219999999</v>
      </c>
      <c r="G10300" s="128">
        <v>7407402.4299999997</v>
      </c>
      <c r="H10300" s="128">
        <v>7040807.0300000003</v>
      </c>
      <c r="I10300" s="128">
        <v>42826</v>
      </c>
    </row>
    <row r="10301" spans="1:9" ht="13.5">
      <c r="A10301" s="128">
        <v>2018</v>
      </c>
      <c r="B10301" s="128" t="s">
        <v>137</v>
      </c>
      <c r="C10301" s="128" t="s">
        <v>21</v>
      </c>
      <c r="D10301" s="128" t="s">
        <v>77</v>
      </c>
      <c r="E10301" s="128" t="s">
        <v>135</v>
      </c>
      <c r="F10301" s="128">
        <v>35128529.229999997</v>
      </c>
      <c r="G10301" s="128">
        <v>9475963.9700000007</v>
      </c>
      <c r="H10301" s="128">
        <v>10951029.289999999</v>
      </c>
      <c r="I10301" s="128">
        <v>129904</v>
      </c>
    </row>
    <row r="10302" spans="1:9" ht="13.5">
      <c r="A10302" s="128">
        <v>2018</v>
      </c>
      <c r="B10302" s="128" t="s">
        <v>137</v>
      </c>
      <c r="C10302" s="128" t="s">
        <v>21</v>
      </c>
      <c r="D10302" s="128" t="s">
        <v>76</v>
      </c>
      <c r="E10302" s="128" t="s">
        <v>136</v>
      </c>
      <c r="F10302" s="128">
        <v>20155228.82</v>
      </c>
      <c r="G10302" s="128">
        <v>15141565.25</v>
      </c>
      <c r="H10302" s="128">
        <v>5013866.38</v>
      </c>
      <c r="I10302" s="128">
        <v>287433</v>
      </c>
    </row>
    <row r="10303" spans="1:9" ht="13.5">
      <c r="A10303" s="128">
        <v>2018</v>
      </c>
      <c r="B10303" s="128" t="s">
        <v>137</v>
      </c>
      <c r="C10303" s="128" t="s">
        <v>21</v>
      </c>
      <c r="D10303" s="128" t="s">
        <v>76</v>
      </c>
      <c r="E10303" s="128" t="s">
        <v>132</v>
      </c>
      <c r="F10303" s="128">
        <v>47395791.479999997</v>
      </c>
      <c r="G10303" s="128">
        <v>30244369.550000001</v>
      </c>
      <c r="H10303" s="128">
        <v>17151210.579999998</v>
      </c>
      <c r="I10303" s="128">
        <v>406168</v>
      </c>
    </row>
    <row r="10304" spans="1:9" ht="13.5">
      <c r="A10304" s="128">
        <v>2018</v>
      </c>
      <c r="B10304" s="128" t="s">
        <v>137</v>
      </c>
      <c r="C10304" s="128" t="s">
        <v>21</v>
      </c>
      <c r="D10304" s="128" t="s">
        <v>76</v>
      </c>
      <c r="E10304" s="128" t="s">
        <v>133</v>
      </c>
      <c r="F10304" s="128">
        <v>111004786.37</v>
      </c>
      <c r="G10304" s="128">
        <v>60893956.960000001</v>
      </c>
      <c r="H10304" s="128">
        <v>50110782.25</v>
      </c>
      <c r="I10304" s="128">
        <v>731008</v>
      </c>
    </row>
    <row r="10305" spans="1:9" ht="13.5">
      <c r="A10305" s="128">
        <v>2018</v>
      </c>
      <c r="B10305" s="128" t="s">
        <v>137</v>
      </c>
      <c r="C10305" s="128" t="s">
        <v>21</v>
      </c>
      <c r="D10305" s="128" t="s">
        <v>76</v>
      </c>
      <c r="E10305" s="128" t="s">
        <v>134</v>
      </c>
      <c r="F10305" s="128">
        <v>105670406.61</v>
      </c>
      <c r="G10305" s="128">
        <v>47294139.240000002</v>
      </c>
      <c r="H10305" s="128">
        <v>58375950.399999999</v>
      </c>
      <c r="I10305" s="128">
        <v>557503</v>
      </c>
    </row>
    <row r="10306" spans="1:9" ht="13.5">
      <c r="A10306" s="128">
        <v>2018</v>
      </c>
      <c r="B10306" s="128" t="s">
        <v>137</v>
      </c>
      <c r="C10306" s="128" t="s">
        <v>21</v>
      </c>
      <c r="D10306" s="128" t="s">
        <v>76</v>
      </c>
      <c r="E10306" s="128" t="s">
        <v>135</v>
      </c>
      <c r="F10306" s="128">
        <v>3436272.27</v>
      </c>
      <c r="G10306" s="128">
        <v>923998.03</v>
      </c>
      <c r="H10306" s="128">
        <v>2512274.2400000002</v>
      </c>
      <c r="I10306" s="128">
        <v>4278</v>
      </c>
    </row>
    <row r="10307" spans="1:9" ht="13.5">
      <c r="A10307" s="128">
        <v>2018</v>
      </c>
      <c r="B10307" s="128" t="s">
        <v>137</v>
      </c>
      <c r="C10307" s="128" t="s">
        <v>22</v>
      </c>
      <c r="D10307" s="128" t="s">
        <v>79</v>
      </c>
      <c r="E10307" s="128" t="s">
        <v>136</v>
      </c>
      <c r="F10307" s="128">
        <v>6690916.3899999997</v>
      </c>
      <c r="G10307" s="128">
        <v>4984554.8600000003</v>
      </c>
      <c r="H10307" s="128">
        <v>1653890.57</v>
      </c>
      <c r="I10307" s="128">
        <v>92638</v>
      </c>
    </row>
    <row r="10308" spans="1:9" ht="13.5">
      <c r="A10308" s="128">
        <v>2018</v>
      </c>
      <c r="B10308" s="128" t="s">
        <v>137</v>
      </c>
      <c r="C10308" s="128" t="s">
        <v>22</v>
      </c>
      <c r="D10308" s="128" t="s">
        <v>79</v>
      </c>
      <c r="E10308" s="128" t="s">
        <v>132</v>
      </c>
      <c r="F10308" s="128">
        <v>2182503.7000000002</v>
      </c>
      <c r="G10308" s="128">
        <v>1421725</v>
      </c>
      <c r="H10308" s="128">
        <v>581796.77</v>
      </c>
      <c r="I10308" s="128">
        <v>13386</v>
      </c>
    </row>
    <row r="10309" spans="1:9" ht="13.5">
      <c r="A10309" s="128">
        <v>2018</v>
      </c>
      <c r="B10309" s="128" t="s">
        <v>137</v>
      </c>
      <c r="C10309" s="128" t="s">
        <v>22</v>
      </c>
      <c r="D10309" s="128" t="s">
        <v>79</v>
      </c>
      <c r="E10309" s="128" t="s">
        <v>133</v>
      </c>
      <c r="F10309" s="128">
        <v>2627360.02</v>
      </c>
      <c r="G10309" s="128">
        <v>1412495.74</v>
      </c>
      <c r="H10309" s="128">
        <v>747724.44</v>
      </c>
      <c r="I10309" s="128">
        <v>22979</v>
      </c>
    </row>
    <row r="10310" spans="1:9" ht="13.5">
      <c r="A10310" s="128">
        <v>2018</v>
      </c>
      <c r="B10310" s="128" t="s">
        <v>137</v>
      </c>
      <c r="C10310" s="128" t="s">
        <v>22</v>
      </c>
      <c r="D10310" s="128" t="s">
        <v>79</v>
      </c>
      <c r="E10310" s="128" t="s">
        <v>134</v>
      </c>
      <c r="F10310" s="128">
        <v>5730211.7199999997</v>
      </c>
      <c r="G10310" s="128">
        <v>2491346.64</v>
      </c>
      <c r="H10310" s="128">
        <v>1654901.69</v>
      </c>
      <c r="I10310" s="128">
        <v>28577</v>
      </c>
    </row>
    <row r="10311" spans="1:9" ht="13.5">
      <c r="A10311" s="128">
        <v>2018</v>
      </c>
      <c r="B10311" s="128" t="s">
        <v>137</v>
      </c>
      <c r="C10311" s="128" t="s">
        <v>22</v>
      </c>
      <c r="D10311" s="128" t="s">
        <v>79</v>
      </c>
      <c r="E10311" s="128" t="s">
        <v>135</v>
      </c>
      <c r="F10311" s="128">
        <v>35836510.869999997</v>
      </c>
      <c r="G10311" s="128">
        <v>8232249.5</v>
      </c>
      <c r="H10311" s="128">
        <v>2829252.55</v>
      </c>
      <c r="I10311" s="128">
        <v>37792</v>
      </c>
    </row>
    <row r="10312" spans="1:9" ht="13.5">
      <c r="A10312" s="128">
        <v>2018</v>
      </c>
      <c r="B10312" s="128" t="s">
        <v>137</v>
      </c>
      <c r="C10312" s="128" t="s">
        <v>22</v>
      </c>
      <c r="D10312" s="128" t="s">
        <v>77</v>
      </c>
      <c r="E10312" s="128" t="s">
        <v>132</v>
      </c>
      <c r="F10312" s="128">
        <v>2193681.91</v>
      </c>
      <c r="G10312" s="128">
        <v>1437791.47</v>
      </c>
      <c r="H10312" s="128">
        <v>666753.38</v>
      </c>
      <c r="I10312" s="128">
        <v>10909</v>
      </c>
    </row>
    <row r="10313" spans="1:9" ht="13.5">
      <c r="A10313" s="128">
        <v>2018</v>
      </c>
      <c r="B10313" s="128" t="s">
        <v>137</v>
      </c>
      <c r="C10313" s="128" t="s">
        <v>22</v>
      </c>
      <c r="D10313" s="128" t="s">
        <v>77</v>
      </c>
      <c r="E10313" s="128" t="s">
        <v>133</v>
      </c>
      <c r="F10313" s="128">
        <v>4351791.4400000004</v>
      </c>
      <c r="G10313" s="128">
        <v>2381207.31</v>
      </c>
      <c r="H10313" s="128">
        <v>1544199.72</v>
      </c>
      <c r="I10313" s="128">
        <v>37836</v>
      </c>
    </row>
    <row r="10314" spans="1:9" ht="13.5">
      <c r="A10314" s="128">
        <v>2018</v>
      </c>
      <c r="B10314" s="128" t="s">
        <v>137</v>
      </c>
      <c r="C10314" s="128" t="s">
        <v>22</v>
      </c>
      <c r="D10314" s="128" t="s">
        <v>77</v>
      </c>
      <c r="E10314" s="128" t="s">
        <v>134</v>
      </c>
      <c r="F10314" s="128">
        <v>15147809.699999999</v>
      </c>
      <c r="G10314" s="128">
        <v>6398741.7999999998</v>
      </c>
      <c r="H10314" s="128">
        <v>6396524.79</v>
      </c>
      <c r="I10314" s="128">
        <v>24016</v>
      </c>
    </row>
    <row r="10315" spans="1:9" ht="13.5">
      <c r="A10315" s="128">
        <v>2018</v>
      </c>
      <c r="B10315" s="128" t="s">
        <v>137</v>
      </c>
      <c r="C10315" s="128" t="s">
        <v>22</v>
      </c>
      <c r="D10315" s="128" t="s">
        <v>77</v>
      </c>
      <c r="E10315" s="128" t="s">
        <v>135</v>
      </c>
      <c r="F10315" s="128">
        <v>30458179.760000002</v>
      </c>
      <c r="G10315" s="128">
        <v>8322956.1600000001</v>
      </c>
      <c r="H10315" s="128">
        <v>9464736.2400000002</v>
      </c>
      <c r="I10315" s="128">
        <v>75101</v>
      </c>
    </row>
    <row r="10316" spans="1:9" ht="13.5">
      <c r="A10316" s="128">
        <v>2018</v>
      </c>
      <c r="B10316" s="128" t="s">
        <v>137</v>
      </c>
      <c r="C10316" s="128" t="s">
        <v>22</v>
      </c>
      <c r="D10316" s="128" t="s">
        <v>76</v>
      </c>
      <c r="E10316" s="128" t="s">
        <v>136</v>
      </c>
      <c r="F10316" s="128">
        <v>17826194.620000001</v>
      </c>
      <c r="G10316" s="128">
        <v>13375140.220000001</v>
      </c>
      <c r="H10316" s="128">
        <v>4450813.75</v>
      </c>
      <c r="I10316" s="128">
        <v>337049</v>
      </c>
    </row>
    <row r="10317" spans="1:9" ht="13.5">
      <c r="A10317" s="128">
        <v>2018</v>
      </c>
      <c r="B10317" s="128" t="s">
        <v>137</v>
      </c>
      <c r="C10317" s="128" t="s">
        <v>22</v>
      </c>
      <c r="D10317" s="128" t="s">
        <v>76</v>
      </c>
      <c r="E10317" s="128" t="s">
        <v>132</v>
      </c>
      <c r="F10317" s="128">
        <v>44410521.479999997</v>
      </c>
      <c r="G10317" s="128">
        <v>28322927.149999999</v>
      </c>
      <c r="H10317" s="128">
        <v>16087345.27</v>
      </c>
      <c r="I10317" s="128">
        <v>423019</v>
      </c>
    </row>
    <row r="10318" spans="1:9" ht="13.5">
      <c r="A10318" s="128">
        <v>2018</v>
      </c>
      <c r="B10318" s="128" t="s">
        <v>137</v>
      </c>
      <c r="C10318" s="128" t="s">
        <v>22</v>
      </c>
      <c r="D10318" s="128" t="s">
        <v>76</v>
      </c>
      <c r="E10318" s="128" t="s">
        <v>133</v>
      </c>
      <c r="F10318" s="128">
        <v>75131932.219999999</v>
      </c>
      <c r="G10318" s="128">
        <v>41407471.240000002</v>
      </c>
      <c r="H10318" s="128">
        <v>33723714.789999999</v>
      </c>
      <c r="I10318" s="128">
        <v>579246</v>
      </c>
    </row>
    <row r="10319" spans="1:9" ht="13.5">
      <c r="A10319" s="128">
        <v>2018</v>
      </c>
      <c r="B10319" s="128" t="s">
        <v>137</v>
      </c>
      <c r="C10319" s="128" t="s">
        <v>22</v>
      </c>
      <c r="D10319" s="128" t="s">
        <v>76</v>
      </c>
      <c r="E10319" s="128" t="s">
        <v>134</v>
      </c>
      <c r="F10319" s="128">
        <v>75048053.209999993</v>
      </c>
      <c r="G10319" s="128">
        <v>34066285.960000001</v>
      </c>
      <c r="H10319" s="128">
        <v>40981268.369999997</v>
      </c>
      <c r="I10319" s="128">
        <v>490521</v>
      </c>
    </row>
    <row r="10320" spans="1:9" ht="13.5">
      <c r="A10320" s="128">
        <v>2018</v>
      </c>
      <c r="B10320" s="128" t="s">
        <v>137</v>
      </c>
      <c r="C10320" s="128" t="s">
        <v>22</v>
      </c>
      <c r="D10320" s="128" t="s">
        <v>76</v>
      </c>
      <c r="E10320" s="128" t="s">
        <v>135</v>
      </c>
      <c r="F10320" s="128">
        <v>5300962.9800000004</v>
      </c>
      <c r="G10320" s="128">
        <v>1502626.47</v>
      </c>
      <c r="H10320" s="128">
        <v>3798336.34</v>
      </c>
      <c r="I10320" s="128">
        <v>7669</v>
      </c>
    </row>
    <row r="10321" spans="1:9" ht="13.5">
      <c r="A10321" s="128">
        <v>2018</v>
      </c>
      <c r="B10321" s="128" t="s">
        <v>137</v>
      </c>
      <c r="C10321" s="128" t="s">
        <v>23</v>
      </c>
      <c r="D10321" s="128" t="s">
        <v>79</v>
      </c>
      <c r="E10321" s="128" t="s">
        <v>136</v>
      </c>
      <c r="F10321" s="128">
        <v>2040978.86</v>
      </c>
      <c r="G10321" s="128">
        <v>1530255.63</v>
      </c>
      <c r="H10321" s="128">
        <v>507526.75</v>
      </c>
      <c r="I10321" s="128">
        <v>16625</v>
      </c>
    </row>
    <row r="10322" spans="1:9" ht="13.5">
      <c r="A10322" s="128">
        <v>2018</v>
      </c>
      <c r="B10322" s="128" t="s">
        <v>137</v>
      </c>
      <c r="C10322" s="128" t="s">
        <v>23</v>
      </c>
      <c r="D10322" s="128" t="s">
        <v>79</v>
      </c>
      <c r="E10322" s="128" t="s">
        <v>132</v>
      </c>
      <c r="F10322" s="128">
        <v>876960.05</v>
      </c>
      <c r="G10322" s="128">
        <v>557226.07999999996</v>
      </c>
      <c r="H10322" s="128">
        <v>218009.61</v>
      </c>
      <c r="I10322" s="128">
        <v>2279</v>
      </c>
    </row>
    <row r="10323" spans="1:9" ht="13.5">
      <c r="A10323" s="128">
        <v>2018</v>
      </c>
      <c r="B10323" s="128" t="s">
        <v>137</v>
      </c>
      <c r="C10323" s="128" t="s">
        <v>23</v>
      </c>
      <c r="D10323" s="128" t="s">
        <v>79</v>
      </c>
      <c r="E10323" s="128" t="s">
        <v>133</v>
      </c>
      <c r="F10323" s="128">
        <v>1034502.61</v>
      </c>
      <c r="G10323" s="128">
        <v>579295.62</v>
      </c>
      <c r="H10323" s="128">
        <v>393314.52</v>
      </c>
      <c r="I10323" s="128">
        <v>12664</v>
      </c>
    </row>
    <row r="10324" spans="1:9" ht="13.5">
      <c r="A10324" s="128">
        <v>2018</v>
      </c>
      <c r="B10324" s="128" t="s">
        <v>137</v>
      </c>
      <c r="C10324" s="128" t="s">
        <v>23</v>
      </c>
      <c r="D10324" s="128" t="s">
        <v>79</v>
      </c>
      <c r="E10324" s="128" t="s">
        <v>134</v>
      </c>
      <c r="F10324" s="128">
        <v>1262255.78</v>
      </c>
      <c r="G10324" s="128">
        <v>540283.81999999995</v>
      </c>
      <c r="H10324" s="128">
        <v>607089.56999999995</v>
      </c>
      <c r="I10324" s="128">
        <v>5441</v>
      </c>
    </row>
    <row r="10325" spans="1:9" ht="13.5">
      <c r="A10325" s="128">
        <v>2018</v>
      </c>
      <c r="B10325" s="128" t="s">
        <v>137</v>
      </c>
      <c r="C10325" s="128" t="s">
        <v>23</v>
      </c>
      <c r="D10325" s="128" t="s">
        <v>79</v>
      </c>
      <c r="E10325" s="128" t="s">
        <v>135</v>
      </c>
      <c r="F10325" s="128">
        <v>2185980.21</v>
      </c>
      <c r="G10325" s="128">
        <v>457517.6</v>
      </c>
      <c r="H10325" s="128">
        <v>203478.6</v>
      </c>
      <c r="I10325" s="128">
        <v>2964</v>
      </c>
    </row>
    <row r="10326" spans="1:9" ht="13.5">
      <c r="A10326" s="128">
        <v>2018</v>
      </c>
      <c r="B10326" s="128" t="s">
        <v>137</v>
      </c>
      <c r="C10326" s="128" t="s">
        <v>23</v>
      </c>
      <c r="D10326" s="128" t="s">
        <v>77</v>
      </c>
      <c r="E10326" s="128" t="s">
        <v>132</v>
      </c>
      <c r="F10326" s="128">
        <v>475873.13</v>
      </c>
      <c r="G10326" s="128">
        <v>303799.26</v>
      </c>
      <c r="H10326" s="128">
        <v>153510.66</v>
      </c>
      <c r="I10326" s="128">
        <v>2423</v>
      </c>
    </row>
    <row r="10327" spans="1:9" ht="13.5">
      <c r="A10327" s="128">
        <v>2018</v>
      </c>
      <c r="B10327" s="128" t="s">
        <v>137</v>
      </c>
      <c r="C10327" s="128" t="s">
        <v>23</v>
      </c>
      <c r="D10327" s="128" t="s">
        <v>77</v>
      </c>
      <c r="E10327" s="128" t="s">
        <v>133</v>
      </c>
      <c r="F10327" s="128">
        <v>1231455.8500000001</v>
      </c>
      <c r="G10327" s="128">
        <v>669286.68999999994</v>
      </c>
      <c r="H10327" s="128">
        <v>485781.55</v>
      </c>
      <c r="I10327" s="128">
        <v>7818</v>
      </c>
    </row>
    <row r="10328" spans="1:9" ht="13.5">
      <c r="A10328" s="128">
        <v>2018</v>
      </c>
      <c r="B10328" s="128" t="s">
        <v>137</v>
      </c>
      <c r="C10328" s="128" t="s">
        <v>23</v>
      </c>
      <c r="D10328" s="128" t="s">
        <v>77</v>
      </c>
      <c r="E10328" s="128" t="s">
        <v>134</v>
      </c>
      <c r="F10328" s="128">
        <v>6161295.21</v>
      </c>
      <c r="G10328" s="128">
        <v>2602419.75</v>
      </c>
      <c r="H10328" s="128">
        <v>2708640.98</v>
      </c>
      <c r="I10328" s="128">
        <v>11773</v>
      </c>
    </row>
    <row r="10329" spans="1:9" ht="13.5">
      <c r="A10329" s="128">
        <v>2018</v>
      </c>
      <c r="B10329" s="128" t="s">
        <v>137</v>
      </c>
      <c r="C10329" s="128" t="s">
        <v>23</v>
      </c>
      <c r="D10329" s="128" t="s">
        <v>77</v>
      </c>
      <c r="E10329" s="128" t="s">
        <v>135</v>
      </c>
      <c r="F10329" s="128">
        <v>9433881.5399999991</v>
      </c>
      <c r="G10329" s="128">
        <v>2752446.47</v>
      </c>
      <c r="H10329" s="128">
        <v>3430957.98</v>
      </c>
      <c r="I10329" s="128">
        <v>35491</v>
      </c>
    </row>
    <row r="10330" spans="1:9" ht="13.5">
      <c r="A10330" s="128">
        <v>2018</v>
      </c>
      <c r="B10330" s="128" t="s">
        <v>137</v>
      </c>
      <c r="C10330" s="128" t="s">
        <v>23</v>
      </c>
      <c r="D10330" s="128" t="s">
        <v>76</v>
      </c>
      <c r="E10330" s="128" t="s">
        <v>136</v>
      </c>
      <c r="F10330" s="128">
        <v>6682301.4199999999</v>
      </c>
      <c r="G10330" s="128">
        <v>5014714.46</v>
      </c>
      <c r="H10330" s="128">
        <v>1667585.58</v>
      </c>
      <c r="I10330" s="128">
        <v>102776</v>
      </c>
    </row>
    <row r="10331" spans="1:9" ht="13.5">
      <c r="A10331" s="128">
        <v>2018</v>
      </c>
      <c r="B10331" s="128" t="s">
        <v>137</v>
      </c>
      <c r="C10331" s="128" t="s">
        <v>23</v>
      </c>
      <c r="D10331" s="128" t="s">
        <v>76</v>
      </c>
      <c r="E10331" s="128" t="s">
        <v>132</v>
      </c>
      <c r="F10331" s="128">
        <v>8283024.5899999999</v>
      </c>
      <c r="G10331" s="128">
        <v>5199449.4800000004</v>
      </c>
      <c r="H10331" s="128">
        <v>3083558.14</v>
      </c>
      <c r="I10331" s="128">
        <v>77740</v>
      </c>
    </row>
    <row r="10332" spans="1:9" ht="13.5">
      <c r="A10332" s="128">
        <v>2018</v>
      </c>
      <c r="B10332" s="128" t="s">
        <v>137</v>
      </c>
      <c r="C10332" s="128" t="s">
        <v>23</v>
      </c>
      <c r="D10332" s="128" t="s">
        <v>76</v>
      </c>
      <c r="E10332" s="128" t="s">
        <v>133</v>
      </c>
      <c r="F10332" s="128">
        <v>28098362.440000001</v>
      </c>
      <c r="G10332" s="128">
        <v>15311869.380000001</v>
      </c>
      <c r="H10332" s="128">
        <v>12786478.130000001</v>
      </c>
      <c r="I10332" s="128">
        <v>224585</v>
      </c>
    </row>
    <row r="10333" spans="1:9" ht="13.5">
      <c r="A10333" s="128">
        <v>2018</v>
      </c>
      <c r="B10333" s="128" t="s">
        <v>137</v>
      </c>
      <c r="C10333" s="128" t="s">
        <v>23</v>
      </c>
      <c r="D10333" s="128" t="s">
        <v>76</v>
      </c>
      <c r="E10333" s="128" t="s">
        <v>134</v>
      </c>
      <c r="F10333" s="128">
        <v>44964530.130000003</v>
      </c>
      <c r="G10333" s="128">
        <v>19923580.27</v>
      </c>
      <c r="H10333" s="128">
        <v>25040937.440000001</v>
      </c>
      <c r="I10333" s="128">
        <v>169618</v>
      </c>
    </row>
    <row r="10334" spans="1:9" ht="13.5">
      <c r="A10334" s="128">
        <v>2018</v>
      </c>
      <c r="B10334" s="128" t="s">
        <v>137</v>
      </c>
      <c r="C10334" s="128" t="s">
        <v>23</v>
      </c>
      <c r="D10334" s="128" t="s">
        <v>76</v>
      </c>
      <c r="E10334" s="128" t="s">
        <v>135</v>
      </c>
      <c r="F10334" s="128">
        <v>1294247.7</v>
      </c>
      <c r="G10334" s="128">
        <v>337373.64</v>
      </c>
      <c r="H10334" s="128">
        <v>956874.06</v>
      </c>
      <c r="I10334" s="128">
        <v>996</v>
      </c>
    </row>
    <row r="10335" spans="1:9" ht="13.5">
      <c r="A10335" s="128">
        <v>2018</v>
      </c>
      <c r="B10335" s="128" t="s">
        <v>137</v>
      </c>
      <c r="C10335" s="128" t="s">
        <v>24</v>
      </c>
      <c r="D10335" s="128" t="s">
        <v>79</v>
      </c>
      <c r="E10335" s="128" t="s">
        <v>136</v>
      </c>
      <c r="F10335" s="128">
        <v>2037293.53</v>
      </c>
      <c r="G10335" s="128">
        <v>1529617.7</v>
      </c>
      <c r="H10335" s="128">
        <v>506809.13</v>
      </c>
      <c r="I10335" s="128">
        <v>34459</v>
      </c>
    </row>
    <row r="10336" spans="1:9" ht="13.5">
      <c r="A10336" s="128">
        <v>2018</v>
      </c>
      <c r="B10336" s="128" t="s">
        <v>137</v>
      </c>
      <c r="C10336" s="128" t="s">
        <v>24</v>
      </c>
      <c r="D10336" s="128" t="s">
        <v>79</v>
      </c>
      <c r="E10336" s="128" t="s">
        <v>132</v>
      </c>
      <c r="F10336" s="128">
        <v>337814.99</v>
      </c>
      <c r="G10336" s="128">
        <v>224280.95999999999</v>
      </c>
      <c r="H10336" s="128">
        <v>80878.759999999995</v>
      </c>
      <c r="I10336" s="128">
        <v>1329</v>
      </c>
    </row>
    <row r="10337" spans="1:9" ht="13.5">
      <c r="A10337" s="128">
        <v>2018</v>
      </c>
      <c r="B10337" s="128" t="s">
        <v>137</v>
      </c>
      <c r="C10337" s="128" t="s">
        <v>24</v>
      </c>
      <c r="D10337" s="128" t="s">
        <v>79</v>
      </c>
      <c r="E10337" s="128" t="s">
        <v>133</v>
      </c>
      <c r="F10337" s="128">
        <v>987341.24</v>
      </c>
      <c r="G10337" s="128">
        <v>522223.03</v>
      </c>
      <c r="H10337" s="128">
        <v>196818.02</v>
      </c>
      <c r="I10337" s="128">
        <v>11974</v>
      </c>
    </row>
    <row r="10338" spans="1:9" ht="13.5">
      <c r="A10338" s="128">
        <v>2018</v>
      </c>
      <c r="B10338" s="128" t="s">
        <v>137</v>
      </c>
      <c r="C10338" s="128" t="s">
        <v>24</v>
      </c>
      <c r="D10338" s="128" t="s">
        <v>79</v>
      </c>
      <c r="E10338" s="128" t="s">
        <v>134</v>
      </c>
      <c r="F10338" s="128">
        <v>1675880.76</v>
      </c>
      <c r="G10338" s="128">
        <v>729446.61</v>
      </c>
      <c r="H10338" s="128">
        <v>310714.87</v>
      </c>
      <c r="I10338" s="128">
        <v>8505</v>
      </c>
    </row>
    <row r="10339" spans="1:9" ht="13.5">
      <c r="A10339" s="128">
        <v>2018</v>
      </c>
      <c r="B10339" s="128" t="s">
        <v>137</v>
      </c>
      <c r="C10339" s="128" t="s">
        <v>24</v>
      </c>
      <c r="D10339" s="128" t="s">
        <v>79</v>
      </c>
      <c r="E10339" s="128" t="s">
        <v>135</v>
      </c>
      <c r="F10339" s="128">
        <v>7243419.7800000003</v>
      </c>
      <c r="G10339" s="128">
        <v>1530694.09</v>
      </c>
      <c r="H10339" s="128">
        <v>547008.77</v>
      </c>
      <c r="I10339" s="128">
        <v>8941</v>
      </c>
    </row>
    <row r="10340" spans="1:9" ht="13.5">
      <c r="A10340" s="128">
        <v>2018</v>
      </c>
      <c r="B10340" s="128" t="s">
        <v>137</v>
      </c>
      <c r="C10340" s="128" t="s">
        <v>24</v>
      </c>
      <c r="D10340" s="128" t="s">
        <v>77</v>
      </c>
      <c r="E10340" s="128" t="s">
        <v>132</v>
      </c>
      <c r="F10340" s="128">
        <v>2392658.4300000002</v>
      </c>
      <c r="G10340" s="128">
        <v>1619285.4</v>
      </c>
      <c r="H10340" s="128">
        <v>727332.89</v>
      </c>
      <c r="I10340" s="128">
        <v>11884</v>
      </c>
    </row>
    <row r="10341" spans="1:9" ht="13.5">
      <c r="A10341" s="128">
        <v>2018</v>
      </c>
      <c r="B10341" s="128" t="s">
        <v>137</v>
      </c>
      <c r="C10341" s="128" t="s">
        <v>24</v>
      </c>
      <c r="D10341" s="128" t="s">
        <v>77</v>
      </c>
      <c r="E10341" s="128" t="s">
        <v>133</v>
      </c>
      <c r="F10341" s="128">
        <v>4527333.3499999996</v>
      </c>
      <c r="G10341" s="128">
        <v>2434658.85</v>
      </c>
      <c r="H10341" s="128">
        <v>1872781.32</v>
      </c>
      <c r="I10341" s="128">
        <v>34391</v>
      </c>
    </row>
    <row r="10342" spans="1:9" ht="13.5">
      <c r="A10342" s="128">
        <v>2018</v>
      </c>
      <c r="B10342" s="128" t="s">
        <v>137</v>
      </c>
      <c r="C10342" s="128" t="s">
        <v>24</v>
      </c>
      <c r="D10342" s="128" t="s">
        <v>77</v>
      </c>
      <c r="E10342" s="128" t="s">
        <v>134</v>
      </c>
      <c r="F10342" s="128">
        <v>8859532.4199999999</v>
      </c>
      <c r="G10342" s="128">
        <v>3928827.12</v>
      </c>
      <c r="H10342" s="128">
        <v>3609385.94</v>
      </c>
      <c r="I10342" s="128">
        <v>19756</v>
      </c>
    </row>
    <row r="10343" spans="1:9" ht="13.5">
      <c r="A10343" s="128">
        <v>2018</v>
      </c>
      <c r="B10343" s="128" t="s">
        <v>137</v>
      </c>
      <c r="C10343" s="128" t="s">
        <v>24</v>
      </c>
      <c r="D10343" s="128" t="s">
        <v>77</v>
      </c>
      <c r="E10343" s="128" t="s">
        <v>135</v>
      </c>
      <c r="F10343" s="128">
        <v>17610181.920000002</v>
      </c>
      <c r="G10343" s="128">
        <v>4356971.24</v>
      </c>
      <c r="H10343" s="128">
        <v>3199696.64</v>
      </c>
      <c r="I10343" s="128">
        <v>46247</v>
      </c>
    </row>
    <row r="10344" spans="1:9" ht="13.5">
      <c r="A10344" s="128">
        <v>2018</v>
      </c>
      <c r="B10344" s="128" t="s">
        <v>137</v>
      </c>
      <c r="C10344" s="128" t="s">
        <v>24</v>
      </c>
      <c r="D10344" s="128" t="s">
        <v>76</v>
      </c>
      <c r="E10344" s="128" t="s">
        <v>136</v>
      </c>
      <c r="F10344" s="128">
        <v>6948013.3200000003</v>
      </c>
      <c r="G10344" s="128">
        <v>5221611.38</v>
      </c>
      <c r="H10344" s="128">
        <v>1726401.93</v>
      </c>
      <c r="I10344" s="128">
        <v>122236</v>
      </c>
    </row>
    <row r="10345" spans="1:9" ht="13.5">
      <c r="A10345" s="128">
        <v>2018</v>
      </c>
      <c r="B10345" s="128" t="s">
        <v>137</v>
      </c>
      <c r="C10345" s="128" t="s">
        <v>24</v>
      </c>
      <c r="D10345" s="128" t="s">
        <v>76</v>
      </c>
      <c r="E10345" s="128" t="s">
        <v>132</v>
      </c>
      <c r="F10345" s="128">
        <v>8530056.0899999999</v>
      </c>
      <c r="G10345" s="128">
        <v>5529599.8799999999</v>
      </c>
      <c r="H10345" s="128">
        <v>3000447.57</v>
      </c>
      <c r="I10345" s="128">
        <v>63490</v>
      </c>
    </row>
    <row r="10346" spans="1:9" ht="13.5">
      <c r="A10346" s="128">
        <v>2018</v>
      </c>
      <c r="B10346" s="128" t="s">
        <v>137</v>
      </c>
      <c r="C10346" s="128" t="s">
        <v>24</v>
      </c>
      <c r="D10346" s="128" t="s">
        <v>76</v>
      </c>
      <c r="E10346" s="128" t="s">
        <v>133</v>
      </c>
      <c r="F10346" s="128">
        <v>44271309.979999997</v>
      </c>
      <c r="G10346" s="128">
        <v>24549122.41</v>
      </c>
      <c r="H10346" s="128">
        <v>19722029.57</v>
      </c>
      <c r="I10346" s="128">
        <v>324020</v>
      </c>
    </row>
    <row r="10347" spans="1:9" ht="13.5">
      <c r="A10347" s="128">
        <v>2018</v>
      </c>
      <c r="B10347" s="128" t="s">
        <v>137</v>
      </c>
      <c r="C10347" s="128" t="s">
        <v>24</v>
      </c>
      <c r="D10347" s="128" t="s">
        <v>76</v>
      </c>
      <c r="E10347" s="128" t="s">
        <v>134</v>
      </c>
      <c r="F10347" s="128">
        <v>55862915.920000002</v>
      </c>
      <c r="G10347" s="128">
        <v>24695308.02</v>
      </c>
      <c r="H10347" s="128">
        <v>31167603.440000001</v>
      </c>
      <c r="I10347" s="128">
        <v>258162</v>
      </c>
    </row>
    <row r="10348" spans="1:9" ht="13.5">
      <c r="A10348" s="128">
        <v>2018</v>
      </c>
      <c r="B10348" s="128" t="s">
        <v>137</v>
      </c>
      <c r="C10348" s="128" t="s">
        <v>24</v>
      </c>
      <c r="D10348" s="128" t="s">
        <v>76</v>
      </c>
      <c r="E10348" s="128" t="s">
        <v>135</v>
      </c>
      <c r="F10348" s="128">
        <v>2670198.5699999998</v>
      </c>
      <c r="G10348" s="128">
        <v>703242.86</v>
      </c>
      <c r="H10348" s="128">
        <v>1966955.71</v>
      </c>
      <c r="I10348" s="128">
        <v>1965</v>
      </c>
    </row>
    <row r="10349" spans="1:9" ht="13.5">
      <c r="A10349" s="128">
        <v>2018</v>
      </c>
      <c r="B10349" s="128" t="s">
        <v>137</v>
      </c>
      <c r="C10349" s="128" t="s">
        <v>25</v>
      </c>
      <c r="D10349" s="128" t="s">
        <v>79</v>
      </c>
      <c r="E10349" s="128" t="s">
        <v>136</v>
      </c>
      <c r="F10349" s="128">
        <v>412449.99</v>
      </c>
      <c r="G10349" s="128">
        <v>307047.19</v>
      </c>
      <c r="H10349" s="128">
        <v>101490.08</v>
      </c>
      <c r="I10349" s="128">
        <v>2948</v>
      </c>
    </row>
    <row r="10350" spans="1:9" ht="13.5">
      <c r="A10350" s="128">
        <v>2018</v>
      </c>
      <c r="B10350" s="128" t="s">
        <v>137</v>
      </c>
      <c r="C10350" s="128" t="s">
        <v>25</v>
      </c>
      <c r="D10350" s="128" t="s">
        <v>79</v>
      </c>
      <c r="E10350" s="128" t="s">
        <v>132</v>
      </c>
      <c r="F10350" s="128">
        <v>245588.14</v>
      </c>
      <c r="G10350" s="128">
        <v>161801.78</v>
      </c>
      <c r="H10350" s="128">
        <v>66314.149999999994</v>
      </c>
      <c r="I10350" s="128">
        <v>1023</v>
      </c>
    </row>
    <row r="10351" spans="1:9" ht="13.5">
      <c r="A10351" s="128">
        <v>2018</v>
      </c>
      <c r="B10351" s="128" t="s">
        <v>137</v>
      </c>
      <c r="C10351" s="128" t="s">
        <v>25</v>
      </c>
      <c r="D10351" s="128" t="s">
        <v>79</v>
      </c>
      <c r="E10351" s="128" t="s">
        <v>133</v>
      </c>
      <c r="F10351" s="128">
        <v>205129.14</v>
      </c>
      <c r="G10351" s="128">
        <v>115045</v>
      </c>
      <c r="H10351" s="128">
        <v>68544.100000000006</v>
      </c>
      <c r="I10351" s="128">
        <v>2201</v>
      </c>
    </row>
    <row r="10352" spans="1:9" ht="13.5">
      <c r="A10352" s="128">
        <v>2018</v>
      </c>
      <c r="B10352" s="128" t="s">
        <v>137</v>
      </c>
      <c r="C10352" s="128" t="s">
        <v>25</v>
      </c>
      <c r="D10352" s="128" t="s">
        <v>79</v>
      </c>
      <c r="E10352" s="128" t="s">
        <v>134</v>
      </c>
      <c r="F10352" s="128">
        <v>287142.2</v>
      </c>
      <c r="G10352" s="128">
        <v>127059.68</v>
      </c>
      <c r="H10352" s="128">
        <v>80636.56</v>
      </c>
      <c r="I10352" s="128">
        <v>1263</v>
      </c>
    </row>
    <row r="10353" spans="1:9" ht="13.5">
      <c r="A10353" s="128">
        <v>2018</v>
      </c>
      <c r="B10353" s="128" t="s">
        <v>137</v>
      </c>
      <c r="C10353" s="128" t="s">
        <v>25</v>
      </c>
      <c r="D10353" s="128" t="s">
        <v>79</v>
      </c>
      <c r="E10353" s="128" t="s">
        <v>135</v>
      </c>
      <c r="F10353" s="128">
        <v>1539431.65</v>
      </c>
      <c r="G10353" s="128">
        <v>325248.43</v>
      </c>
      <c r="H10353" s="128">
        <v>111052.03</v>
      </c>
      <c r="I10353" s="128">
        <v>1184</v>
      </c>
    </row>
    <row r="10354" spans="1:9" ht="13.5">
      <c r="A10354" s="128">
        <v>2018</v>
      </c>
      <c r="B10354" s="128" t="s">
        <v>137</v>
      </c>
      <c r="C10354" s="128" t="s">
        <v>25</v>
      </c>
      <c r="D10354" s="128" t="s">
        <v>77</v>
      </c>
      <c r="E10354" s="128" t="s">
        <v>132</v>
      </c>
      <c r="F10354" s="128">
        <v>217987.37</v>
      </c>
      <c r="G10354" s="128">
        <v>146735.64000000001</v>
      </c>
      <c r="H10354" s="128">
        <v>62603.22</v>
      </c>
      <c r="I10354" s="128">
        <v>974</v>
      </c>
    </row>
    <row r="10355" spans="1:9" ht="13.5">
      <c r="A10355" s="128">
        <v>2018</v>
      </c>
      <c r="B10355" s="128" t="s">
        <v>137</v>
      </c>
      <c r="C10355" s="128" t="s">
        <v>25</v>
      </c>
      <c r="D10355" s="128" t="s">
        <v>77</v>
      </c>
      <c r="E10355" s="128" t="s">
        <v>133</v>
      </c>
      <c r="F10355" s="128">
        <v>577284.09</v>
      </c>
      <c r="G10355" s="128">
        <v>314890.65999999997</v>
      </c>
      <c r="H10355" s="128">
        <v>221050.97</v>
      </c>
      <c r="I10355" s="128">
        <v>3484</v>
      </c>
    </row>
    <row r="10356" spans="1:9" ht="13.5">
      <c r="A10356" s="128">
        <v>2018</v>
      </c>
      <c r="B10356" s="128" t="s">
        <v>137</v>
      </c>
      <c r="C10356" s="128" t="s">
        <v>25</v>
      </c>
      <c r="D10356" s="128" t="s">
        <v>77</v>
      </c>
      <c r="E10356" s="128" t="s">
        <v>134</v>
      </c>
      <c r="F10356" s="128">
        <v>1718339.2</v>
      </c>
      <c r="G10356" s="128">
        <v>726863.92</v>
      </c>
      <c r="H10356" s="128">
        <v>753455.05</v>
      </c>
      <c r="I10356" s="128">
        <v>3106</v>
      </c>
    </row>
    <row r="10357" spans="1:9" ht="13.5">
      <c r="A10357" s="128">
        <v>2018</v>
      </c>
      <c r="B10357" s="128" t="s">
        <v>137</v>
      </c>
      <c r="C10357" s="128" t="s">
        <v>25</v>
      </c>
      <c r="D10357" s="128" t="s">
        <v>77</v>
      </c>
      <c r="E10357" s="128" t="s">
        <v>135</v>
      </c>
      <c r="F10357" s="128">
        <v>2844012.38</v>
      </c>
      <c r="G10357" s="128">
        <v>810106.96</v>
      </c>
      <c r="H10357" s="128">
        <v>978240.9</v>
      </c>
      <c r="I10357" s="128">
        <v>8226</v>
      </c>
    </row>
    <row r="10358" spans="1:9" ht="13.5">
      <c r="A10358" s="128">
        <v>2018</v>
      </c>
      <c r="B10358" s="128" t="s">
        <v>137</v>
      </c>
      <c r="C10358" s="128" t="s">
        <v>25</v>
      </c>
      <c r="D10358" s="128" t="s">
        <v>76</v>
      </c>
      <c r="E10358" s="128" t="s">
        <v>136</v>
      </c>
      <c r="F10358" s="128">
        <v>2030992.86</v>
      </c>
      <c r="G10358" s="128">
        <v>1524118.53</v>
      </c>
      <c r="H10358" s="128">
        <v>506959.33</v>
      </c>
      <c r="I10358" s="128">
        <v>36531</v>
      </c>
    </row>
    <row r="10359" spans="1:9" ht="13.5">
      <c r="A10359" s="128">
        <v>2018</v>
      </c>
      <c r="B10359" s="128" t="s">
        <v>137</v>
      </c>
      <c r="C10359" s="128" t="s">
        <v>25</v>
      </c>
      <c r="D10359" s="128" t="s">
        <v>76</v>
      </c>
      <c r="E10359" s="128" t="s">
        <v>132</v>
      </c>
      <c r="F10359" s="128">
        <v>2890202.33</v>
      </c>
      <c r="G10359" s="128">
        <v>1837582.86</v>
      </c>
      <c r="H10359" s="128">
        <v>1052619.42</v>
      </c>
      <c r="I10359" s="128">
        <v>21766</v>
      </c>
    </row>
    <row r="10360" spans="1:9" ht="13.5">
      <c r="A10360" s="128">
        <v>2018</v>
      </c>
      <c r="B10360" s="128" t="s">
        <v>137</v>
      </c>
      <c r="C10360" s="128" t="s">
        <v>25</v>
      </c>
      <c r="D10360" s="128" t="s">
        <v>76</v>
      </c>
      <c r="E10360" s="128" t="s">
        <v>133</v>
      </c>
      <c r="F10360" s="128">
        <v>8643779.6400000006</v>
      </c>
      <c r="G10360" s="128">
        <v>4720155.25</v>
      </c>
      <c r="H10360" s="128">
        <v>3923613.25</v>
      </c>
      <c r="I10360" s="128">
        <v>52205</v>
      </c>
    </row>
    <row r="10361" spans="1:9" ht="13.5">
      <c r="A10361" s="128">
        <v>2018</v>
      </c>
      <c r="B10361" s="128" t="s">
        <v>137</v>
      </c>
      <c r="C10361" s="128" t="s">
        <v>25</v>
      </c>
      <c r="D10361" s="128" t="s">
        <v>76</v>
      </c>
      <c r="E10361" s="128" t="s">
        <v>134</v>
      </c>
      <c r="F10361" s="128">
        <v>11439049.25</v>
      </c>
      <c r="G10361" s="128">
        <v>5202463.5599999996</v>
      </c>
      <c r="H10361" s="128">
        <v>6236585.4400000004</v>
      </c>
      <c r="I10361" s="128">
        <v>53975</v>
      </c>
    </row>
    <row r="10362" spans="1:9" ht="13.5">
      <c r="A10362" s="128">
        <v>2018</v>
      </c>
      <c r="B10362" s="128" t="s">
        <v>137</v>
      </c>
      <c r="C10362" s="128" t="s">
        <v>25</v>
      </c>
      <c r="D10362" s="128" t="s">
        <v>76</v>
      </c>
      <c r="E10362" s="128" t="s">
        <v>135</v>
      </c>
      <c r="F10362" s="128">
        <v>409100.92</v>
      </c>
      <c r="G10362" s="128">
        <v>112364.3</v>
      </c>
      <c r="H10362" s="128">
        <v>296736.62</v>
      </c>
      <c r="I10362" s="128">
        <v>391</v>
      </c>
    </row>
    <row r="10363" spans="1:9" ht="13.5">
      <c r="A10363" s="128">
        <v>2018</v>
      </c>
      <c r="B10363" s="128" t="s">
        <v>137</v>
      </c>
      <c r="C10363" s="128" t="s">
        <v>26</v>
      </c>
      <c r="D10363" s="128" t="s">
        <v>79</v>
      </c>
      <c r="E10363" s="128" t="s">
        <v>136</v>
      </c>
      <c r="F10363" s="128">
        <v>895932.52</v>
      </c>
      <c r="G10363" s="128">
        <v>661620.31999999995</v>
      </c>
      <c r="H10363" s="128">
        <v>219256.78</v>
      </c>
      <c r="I10363" s="128">
        <v>7441</v>
      </c>
    </row>
    <row r="10364" spans="1:9" ht="13.5">
      <c r="A10364" s="128">
        <v>2018</v>
      </c>
      <c r="B10364" s="128" t="s">
        <v>137</v>
      </c>
      <c r="C10364" s="128" t="s">
        <v>26</v>
      </c>
      <c r="D10364" s="128" t="s">
        <v>79</v>
      </c>
      <c r="E10364" s="128" t="s">
        <v>132</v>
      </c>
      <c r="F10364" s="128">
        <v>128602.82</v>
      </c>
      <c r="G10364" s="128">
        <v>87537.32</v>
      </c>
      <c r="H10364" s="128">
        <v>30394.95</v>
      </c>
      <c r="I10364" s="128">
        <v>479</v>
      </c>
    </row>
    <row r="10365" spans="1:9" ht="13.5">
      <c r="A10365" s="128">
        <v>2018</v>
      </c>
      <c r="B10365" s="128" t="s">
        <v>137</v>
      </c>
      <c r="C10365" s="128" t="s">
        <v>26</v>
      </c>
      <c r="D10365" s="128" t="s">
        <v>79</v>
      </c>
      <c r="E10365" s="128" t="s">
        <v>133</v>
      </c>
      <c r="F10365" s="128">
        <v>144289.69</v>
      </c>
      <c r="G10365" s="128">
        <v>78847.89</v>
      </c>
      <c r="H10365" s="128">
        <v>29054.3</v>
      </c>
      <c r="I10365" s="128">
        <v>355</v>
      </c>
    </row>
    <row r="10366" spans="1:9" ht="13.5">
      <c r="A10366" s="128">
        <v>2018</v>
      </c>
      <c r="B10366" s="128" t="s">
        <v>137</v>
      </c>
      <c r="C10366" s="128" t="s">
        <v>26</v>
      </c>
      <c r="D10366" s="128" t="s">
        <v>79</v>
      </c>
      <c r="E10366" s="128" t="s">
        <v>134</v>
      </c>
      <c r="F10366" s="128">
        <v>611247.18000000005</v>
      </c>
      <c r="G10366" s="128">
        <v>260471.58</v>
      </c>
      <c r="H10366" s="128">
        <v>110074.79</v>
      </c>
      <c r="I10366" s="128">
        <v>2608</v>
      </c>
    </row>
    <row r="10367" spans="1:9" ht="13.5">
      <c r="A10367" s="128">
        <v>2018</v>
      </c>
      <c r="B10367" s="128" t="s">
        <v>137</v>
      </c>
      <c r="C10367" s="128" t="s">
        <v>26</v>
      </c>
      <c r="D10367" s="128" t="s">
        <v>79</v>
      </c>
      <c r="E10367" s="128" t="s">
        <v>135</v>
      </c>
      <c r="F10367" s="128">
        <v>6524356.5099999998</v>
      </c>
      <c r="G10367" s="128">
        <v>1460836.59</v>
      </c>
      <c r="H10367" s="128">
        <v>494684.8</v>
      </c>
      <c r="I10367" s="128">
        <v>6562</v>
      </c>
    </row>
    <row r="10368" spans="1:9" ht="13.5">
      <c r="A10368" s="128">
        <v>2018</v>
      </c>
      <c r="B10368" s="128" t="s">
        <v>137</v>
      </c>
      <c r="C10368" s="128" t="s">
        <v>26</v>
      </c>
      <c r="D10368" s="128" t="s">
        <v>77</v>
      </c>
      <c r="E10368" s="128" t="s">
        <v>132</v>
      </c>
      <c r="F10368" s="128">
        <v>86428.06</v>
      </c>
      <c r="G10368" s="128">
        <v>54755.11</v>
      </c>
      <c r="H10368" s="128">
        <v>27489.57</v>
      </c>
      <c r="I10368" s="128">
        <v>430</v>
      </c>
    </row>
    <row r="10369" spans="1:9" ht="13.5">
      <c r="A10369" s="128">
        <v>2018</v>
      </c>
      <c r="B10369" s="128" t="s">
        <v>137</v>
      </c>
      <c r="C10369" s="128" t="s">
        <v>26</v>
      </c>
      <c r="D10369" s="128" t="s">
        <v>77</v>
      </c>
      <c r="E10369" s="128" t="s">
        <v>133</v>
      </c>
      <c r="F10369" s="128">
        <v>212770.01</v>
      </c>
      <c r="G10369" s="128">
        <v>117263.13</v>
      </c>
      <c r="H10369" s="128">
        <v>72916.539999999994</v>
      </c>
      <c r="I10369" s="128">
        <v>1824</v>
      </c>
    </row>
    <row r="10370" spans="1:9" ht="13.5">
      <c r="A10370" s="128">
        <v>2018</v>
      </c>
      <c r="B10370" s="128" t="s">
        <v>137</v>
      </c>
      <c r="C10370" s="128" t="s">
        <v>26</v>
      </c>
      <c r="D10370" s="128" t="s">
        <v>77</v>
      </c>
      <c r="E10370" s="128" t="s">
        <v>134</v>
      </c>
      <c r="F10370" s="128">
        <v>615498.88</v>
      </c>
      <c r="G10370" s="128">
        <v>264497.49</v>
      </c>
      <c r="H10370" s="128">
        <v>271615.59000000003</v>
      </c>
      <c r="I10370" s="128">
        <v>1855</v>
      </c>
    </row>
    <row r="10371" spans="1:9" ht="13.5">
      <c r="A10371" s="128">
        <v>2018</v>
      </c>
      <c r="B10371" s="128" t="s">
        <v>137</v>
      </c>
      <c r="C10371" s="128" t="s">
        <v>26</v>
      </c>
      <c r="D10371" s="128" t="s">
        <v>77</v>
      </c>
      <c r="E10371" s="128" t="s">
        <v>135</v>
      </c>
      <c r="F10371" s="128">
        <v>3006839.13</v>
      </c>
      <c r="G10371" s="128">
        <v>800236.33</v>
      </c>
      <c r="H10371" s="128">
        <v>894592.55</v>
      </c>
      <c r="I10371" s="128">
        <v>10132</v>
      </c>
    </row>
    <row r="10372" spans="1:9" ht="13.5">
      <c r="A10372" s="128">
        <v>2018</v>
      </c>
      <c r="B10372" s="128" t="s">
        <v>137</v>
      </c>
      <c r="C10372" s="128" t="s">
        <v>26</v>
      </c>
      <c r="D10372" s="128" t="s">
        <v>76</v>
      </c>
      <c r="E10372" s="128" t="s">
        <v>136</v>
      </c>
      <c r="F10372" s="128">
        <v>567222.41</v>
      </c>
      <c r="G10372" s="128">
        <v>425701.06</v>
      </c>
      <c r="H10372" s="128">
        <v>141521.35</v>
      </c>
      <c r="I10372" s="128">
        <v>16633</v>
      </c>
    </row>
    <row r="10373" spans="1:9" ht="13.5">
      <c r="A10373" s="128">
        <v>2018</v>
      </c>
      <c r="B10373" s="128" t="s">
        <v>137</v>
      </c>
      <c r="C10373" s="128" t="s">
        <v>26</v>
      </c>
      <c r="D10373" s="128" t="s">
        <v>76</v>
      </c>
      <c r="E10373" s="128" t="s">
        <v>132</v>
      </c>
      <c r="F10373" s="128">
        <v>1629772.79</v>
      </c>
      <c r="G10373" s="128">
        <v>1036863.32</v>
      </c>
      <c r="H10373" s="128">
        <v>592907.80000000005</v>
      </c>
      <c r="I10373" s="128">
        <v>16195</v>
      </c>
    </row>
    <row r="10374" spans="1:9" ht="13.5">
      <c r="A10374" s="128">
        <v>2018</v>
      </c>
      <c r="B10374" s="128" t="s">
        <v>137</v>
      </c>
      <c r="C10374" s="128" t="s">
        <v>26</v>
      </c>
      <c r="D10374" s="128" t="s">
        <v>76</v>
      </c>
      <c r="E10374" s="128" t="s">
        <v>133</v>
      </c>
      <c r="F10374" s="128">
        <v>3785176.67</v>
      </c>
      <c r="G10374" s="128">
        <v>2080855.13</v>
      </c>
      <c r="H10374" s="128">
        <v>1704312.5</v>
      </c>
      <c r="I10374" s="128">
        <v>29984</v>
      </c>
    </row>
    <row r="10375" spans="1:9" ht="13.5">
      <c r="A10375" s="128">
        <v>2018</v>
      </c>
      <c r="B10375" s="128" t="s">
        <v>137</v>
      </c>
      <c r="C10375" s="128" t="s">
        <v>26</v>
      </c>
      <c r="D10375" s="128" t="s">
        <v>76</v>
      </c>
      <c r="E10375" s="128" t="s">
        <v>134</v>
      </c>
      <c r="F10375" s="128">
        <v>2664214.92</v>
      </c>
      <c r="G10375" s="128">
        <v>1211590.8500000001</v>
      </c>
      <c r="H10375" s="128">
        <v>1452613.68</v>
      </c>
      <c r="I10375" s="128">
        <v>15243</v>
      </c>
    </row>
    <row r="10376" spans="1:9" ht="13.5">
      <c r="A10376" s="128">
        <v>2018</v>
      </c>
      <c r="B10376" s="128" t="s">
        <v>137</v>
      </c>
      <c r="C10376" s="128" t="s">
        <v>26</v>
      </c>
      <c r="D10376" s="128" t="s">
        <v>76</v>
      </c>
      <c r="E10376" s="128" t="s">
        <v>135</v>
      </c>
      <c r="F10376" s="128">
        <v>279309.81</v>
      </c>
      <c r="G10376" s="128">
        <v>80558.350000000006</v>
      </c>
      <c r="H10376" s="128">
        <v>198751.46</v>
      </c>
      <c r="I10376" s="128">
        <v>514</v>
      </c>
    </row>
    <row r="10377" spans="1:9" ht="13.5">
      <c r="A10377" s="128">
        <v>2018</v>
      </c>
      <c r="B10377" s="128" t="s">
        <v>137</v>
      </c>
      <c r="C10377" s="128" t="s">
        <v>27</v>
      </c>
      <c r="D10377" s="128" t="s">
        <v>79</v>
      </c>
      <c r="E10377" s="128" t="s">
        <v>136</v>
      </c>
      <c r="F10377" s="128">
        <v>258556.35</v>
      </c>
      <c r="G10377" s="128">
        <v>193379.05</v>
      </c>
      <c r="H10377" s="128">
        <v>64424.05</v>
      </c>
      <c r="I10377" s="128">
        <v>1058</v>
      </c>
    </row>
    <row r="10378" spans="1:9" ht="13.5">
      <c r="A10378" s="128">
        <v>2018</v>
      </c>
      <c r="B10378" s="128" t="s">
        <v>137</v>
      </c>
      <c r="C10378" s="128" t="s">
        <v>27</v>
      </c>
      <c r="D10378" s="128" t="s">
        <v>79</v>
      </c>
      <c r="E10378" s="128" t="s">
        <v>132</v>
      </c>
      <c r="F10378" s="128">
        <v>71420.55</v>
      </c>
      <c r="G10378" s="128">
        <v>47553.25</v>
      </c>
      <c r="H10378" s="128">
        <v>18735.8</v>
      </c>
      <c r="I10378" s="128">
        <v>198</v>
      </c>
    </row>
    <row r="10379" spans="1:9" ht="13.5">
      <c r="A10379" s="128">
        <v>2018</v>
      </c>
      <c r="B10379" s="128" t="s">
        <v>137</v>
      </c>
      <c r="C10379" s="128" t="s">
        <v>27</v>
      </c>
      <c r="D10379" s="128" t="s">
        <v>79</v>
      </c>
      <c r="E10379" s="128" t="s">
        <v>133</v>
      </c>
      <c r="F10379" s="128">
        <v>50839.56</v>
      </c>
      <c r="G10379" s="128">
        <v>27546.81</v>
      </c>
      <c r="H10379" s="128">
        <v>13098.9</v>
      </c>
      <c r="I10379" s="128">
        <v>338</v>
      </c>
    </row>
    <row r="10380" spans="1:9" ht="13.5">
      <c r="A10380" s="128">
        <v>2018</v>
      </c>
      <c r="B10380" s="128" t="s">
        <v>137</v>
      </c>
      <c r="C10380" s="128" t="s">
        <v>27</v>
      </c>
      <c r="D10380" s="128" t="s">
        <v>79</v>
      </c>
      <c r="E10380" s="128" t="s">
        <v>134</v>
      </c>
      <c r="F10380" s="128">
        <v>75547.520000000004</v>
      </c>
      <c r="G10380" s="128">
        <v>33705.050000000003</v>
      </c>
      <c r="H10380" s="128">
        <v>24428.05</v>
      </c>
      <c r="I10380" s="128">
        <v>277</v>
      </c>
    </row>
    <row r="10381" spans="1:9" ht="13.5">
      <c r="A10381" s="128">
        <v>2018</v>
      </c>
      <c r="B10381" s="128" t="s">
        <v>137</v>
      </c>
      <c r="C10381" s="128" t="s">
        <v>27</v>
      </c>
      <c r="D10381" s="128" t="s">
        <v>79</v>
      </c>
      <c r="E10381" s="128" t="s">
        <v>135</v>
      </c>
      <c r="F10381" s="128">
        <v>1128976.04</v>
      </c>
      <c r="G10381" s="128">
        <v>246798.65</v>
      </c>
      <c r="H10381" s="128">
        <v>84359.6</v>
      </c>
      <c r="I10381" s="128">
        <v>894</v>
      </c>
    </row>
    <row r="10382" spans="1:9" ht="13.5">
      <c r="A10382" s="128">
        <v>2018</v>
      </c>
      <c r="B10382" s="128" t="s">
        <v>137</v>
      </c>
      <c r="C10382" s="128" t="s">
        <v>27</v>
      </c>
      <c r="D10382" s="128" t="s">
        <v>77</v>
      </c>
      <c r="E10382" s="128" t="s">
        <v>132</v>
      </c>
      <c r="F10382" s="128">
        <v>37038.29</v>
      </c>
      <c r="G10382" s="128">
        <v>24163.55</v>
      </c>
      <c r="H10382" s="128">
        <v>10714.25</v>
      </c>
      <c r="I10382" s="128">
        <v>144</v>
      </c>
    </row>
    <row r="10383" spans="1:9" ht="13.5">
      <c r="A10383" s="128">
        <v>2018</v>
      </c>
      <c r="B10383" s="128" t="s">
        <v>137</v>
      </c>
      <c r="C10383" s="128" t="s">
        <v>27</v>
      </c>
      <c r="D10383" s="128" t="s">
        <v>77</v>
      </c>
      <c r="E10383" s="128" t="s">
        <v>133</v>
      </c>
      <c r="F10383" s="128">
        <v>111934.22</v>
      </c>
      <c r="G10383" s="128">
        <v>61953.71</v>
      </c>
      <c r="H10383" s="128">
        <v>37473.67</v>
      </c>
      <c r="I10383" s="128">
        <v>570</v>
      </c>
    </row>
    <row r="10384" spans="1:9" ht="13.5">
      <c r="A10384" s="128">
        <v>2018</v>
      </c>
      <c r="B10384" s="128" t="s">
        <v>137</v>
      </c>
      <c r="C10384" s="128" t="s">
        <v>27</v>
      </c>
      <c r="D10384" s="128" t="s">
        <v>77</v>
      </c>
      <c r="E10384" s="128" t="s">
        <v>134</v>
      </c>
      <c r="F10384" s="128">
        <v>214768</v>
      </c>
      <c r="G10384" s="128">
        <v>95343.31</v>
      </c>
      <c r="H10384" s="128">
        <v>89957.75</v>
      </c>
      <c r="I10384" s="128">
        <v>537</v>
      </c>
    </row>
    <row r="10385" spans="1:9" ht="13.5">
      <c r="A10385" s="128">
        <v>2018</v>
      </c>
      <c r="B10385" s="128" t="s">
        <v>137</v>
      </c>
      <c r="C10385" s="128" t="s">
        <v>27</v>
      </c>
      <c r="D10385" s="128" t="s">
        <v>77</v>
      </c>
      <c r="E10385" s="128" t="s">
        <v>135</v>
      </c>
      <c r="F10385" s="128">
        <v>574422.73</v>
      </c>
      <c r="G10385" s="128">
        <v>161973.4</v>
      </c>
      <c r="H10385" s="128">
        <v>194083.53</v>
      </c>
      <c r="I10385" s="128">
        <v>2163</v>
      </c>
    </row>
    <row r="10386" spans="1:9" ht="13.5">
      <c r="A10386" s="128">
        <v>2018</v>
      </c>
      <c r="B10386" s="128" t="s">
        <v>137</v>
      </c>
      <c r="C10386" s="128" t="s">
        <v>27</v>
      </c>
      <c r="D10386" s="128" t="s">
        <v>76</v>
      </c>
      <c r="E10386" s="128" t="s">
        <v>136</v>
      </c>
      <c r="F10386" s="128">
        <v>419537.54</v>
      </c>
      <c r="G10386" s="128">
        <v>314731.58</v>
      </c>
      <c r="H10386" s="128">
        <v>104805.96</v>
      </c>
      <c r="I10386" s="128">
        <v>5306</v>
      </c>
    </row>
    <row r="10387" spans="1:9" ht="13.5">
      <c r="A10387" s="128">
        <v>2018</v>
      </c>
      <c r="B10387" s="128" t="s">
        <v>137</v>
      </c>
      <c r="C10387" s="128" t="s">
        <v>27</v>
      </c>
      <c r="D10387" s="128" t="s">
        <v>76</v>
      </c>
      <c r="E10387" s="128" t="s">
        <v>132</v>
      </c>
      <c r="F10387" s="128">
        <v>514598.95</v>
      </c>
      <c r="G10387" s="128">
        <v>328068</v>
      </c>
      <c r="H10387" s="128">
        <v>186530.7</v>
      </c>
      <c r="I10387" s="128">
        <v>3739</v>
      </c>
    </row>
    <row r="10388" spans="1:9" ht="13.5">
      <c r="A10388" s="128">
        <v>2018</v>
      </c>
      <c r="B10388" s="128" t="s">
        <v>137</v>
      </c>
      <c r="C10388" s="128" t="s">
        <v>27</v>
      </c>
      <c r="D10388" s="128" t="s">
        <v>76</v>
      </c>
      <c r="E10388" s="128" t="s">
        <v>133</v>
      </c>
      <c r="F10388" s="128">
        <v>1173852.1200000001</v>
      </c>
      <c r="G10388" s="128">
        <v>641055.35</v>
      </c>
      <c r="H10388" s="128">
        <v>532795.47</v>
      </c>
      <c r="I10388" s="128">
        <v>5586</v>
      </c>
    </row>
    <row r="10389" spans="1:9" ht="13.5">
      <c r="A10389" s="128">
        <v>2018</v>
      </c>
      <c r="B10389" s="128" t="s">
        <v>137</v>
      </c>
      <c r="C10389" s="128" t="s">
        <v>27</v>
      </c>
      <c r="D10389" s="128" t="s">
        <v>76</v>
      </c>
      <c r="E10389" s="128" t="s">
        <v>134</v>
      </c>
      <c r="F10389" s="128">
        <v>1856026.91</v>
      </c>
      <c r="G10389" s="128">
        <v>844294.89</v>
      </c>
      <c r="H10389" s="128">
        <v>1011716.77</v>
      </c>
      <c r="I10389" s="128">
        <v>8835</v>
      </c>
    </row>
    <row r="10390" spans="1:9" ht="13.5">
      <c r="A10390" s="128">
        <v>2018</v>
      </c>
      <c r="B10390" s="128" t="s">
        <v>137</v>
      </c>
      <c r="C10390" s="128" t="s">
        <v>27</v>
      </c>
      <c r="D10390" s="128" t="s">
        <v>76</v>
      </c>
      <c r="E10390" s="128" t="s">
        <v>135</v>
      </c>
      <c r="F10390" s="128">
        <v>51542.1</v>
      </c>
      <c r="G10390" s="128">
        <v>16050.7</v>
      </c>
      <c r="H10390" s="128">
        <v>35491.4</v>
      </c>
      <c r="I10390" s="128">
        <v>62</v>
      </c>
    </row>
    <row r="10391" spans="1:9" ht="13.5">
      <c r="A10391" s="128">
        <v>2019</v>
      </c>
      <c r="B10391" s="128" t="s">
        <v>131</v>
      </c>
      <c r="C10391" s="128" t="s">
        <v>20</v>
      </c>
      <c r="D10391" s="128" t="s">
        <v>79</v>
      </c>
      <c r="E10391" s="128" t="s">
        <v>136</v>
      </c>
      <c r="F10391" s="128">
        <v>31774380.530000001</v>
      </c>
      <c r="G10391" s="128">
        <v>23806048.539999999</v>
      </c>
      <c r="H10391" s="128">
        <v>7951313.7999999998</v>
      </c>
      <c r="I10391" s="128">
        <v>295165</v>
      </c>
    </row>
    <row r="10392" spans="1:9" ht="13.5">
      <c r="A10392" s="128">
        <v>2019</v>
      </c>
      <c r="B10392" s="128" t="s">
        <v>131</v>
      </c>
      <c r="C10392" s="128" t="s">
        <v>20</v>
      </c>
      <c r="D10392" s="128" t="s">
        <v>79</v>
      </c>
      <c r="E10392" s="128" t="s">
        <v>132</v>
      </c>
      <c r="F10392" s="128">
        <v>2537235.59</v>
      </c>
      <c r="G10392" s="128">
        <v>1707160.25</v>
      </c>
      <c r="H10392" s="128">
        <v>602704.12</v>
      </c>
      <c r="I10392" s="128">
        <v>9695</v>
      </c>
    </row>
    <row r="10393" spans="1:9" ht="13.5">
      <c r="A10393" s="128">
        <v>2019</v>
      </c>
      <c r="B10393" s="128" t="s">
        <v>131</v>
      </c>
      <c r="C10393" s="128" t="s">
        <v>20</v>
      </c>
      <c r="D10393" s="128" t="s">
        <v>79</v>
      </c>
      <c r="E10393" s="128" t="s">
        <v>133</v>
      </c>
      <c r="F10393" s="128">
        <v>1812031.8</v>
      </c>
      <c r="G10393" s="128">
        <v>983168.33</v>
      </c>
      <c r="H10393" s="128">
        <v>378677.85</v>
      </c>
      <c r="I10393" s="128">
        <v>5673</v>
      </c>
    </row>
    <row r="10394" spans="1:9" ht="13.5">
      <c r="A10394" s="128">
        <v>2019</v>
      </c>
      <c r="B10394" s="128" t="s">
        <v>131</v>
      </c>
      <c r="C10394" s="128" t="s">
        <v>20</v>
      </c>
      <c r="D10394" s="128" t="s">
        <v>79</v>
      </c>
      <c r="E10394" s="128" t="s">
        <v>134</v>
      </c>
      <c r="F10394" s="128">
        <v>5861628.1299999999</v>
      </c>
      <c r="G10394" s="128">
        <v>2518598.2400000002</v>
      </c>
      <c r="H10394" s="128">
        <v>861729.7</v>
      </c>
      <c r="I10394" s="128">
        <v>18645</v>
      </c>
    </row>
    <row r="10395" spans="1:9" ht="13.5">
      <c r="A10395" s="128">
        <v>2019</v>
      </c>
      <c r="B10395" s="128" t="s">
        <v>131</v>
      </c>
      <c r="C10395" s="128" t="s">
        <v>20</v>
      </c>
      <c r="D10395" s="128" t="s">
        <v>79</v>
      </c>
      <c r="E10395" s="128" t="s">
        <v>135</v>
      </c>
      <c r="F10395" s="128">
        <v>76169589</v>
      </c>
      <c r="G10395" s="128">
        <v>16727036.93</v>
      </c>
      <c r="H10395" s="128">
        <v>5609981.2199999997</v>
      </c>
      <c r="I10395" s="128">
        <v>70283</v>
      </c>
    </row>
    <row r="10396" spans="1:9" ht="13.5">
      <c r="A10396" s="128">
        <v>2019</v>
      </c>
      <c r="B10396" s="128" t="s">
        <v>131</v>
      </c>
      <c r="C10396" s="128" t="s">
        <v>20</v>
      </c>
      <c r="D10396" s="128" t="s">
        <v>77</v>
      </c>
      <c r="E10396" s="128" t="s">
        <v>132</v>
      </c>
      <c r="F10396" s="128">
        <v>3018302.18</v>
      </c>
      <c r="G10396" s="128">
        <v>1970848.3</v>
      </c>
      <c r="H10396" s="128">
        <v>936045.12</v>
      </c>
      <c r="I10396" s="128">
        <v>12577</v>
      </c>
    </row>
    <row r="10397" spans="1:9" ht="13.5">
      <c r="A10397" s="128">
        <v>2019</v>
      </c>
      <c r="B10397" s="128" t="s">
        <v>131</v>
      </c>
      <c r="C10397" s="128" t="s">
        <v>20</v>
      </c>
      <c r="D10397" s="128" t="s">
        <v>77</v>
      </c>
      <c r="E10397" s="128" t="s">
        <v>133</v>
      </c>
      <c r="F10397" s="128">
        <v>5328804.29</v>
      </c>
      <c r="G10397" s="128">
        <v>2875347.24</v>
      </c>
      <c r="H10397" s="128">
        <v>2215629.0299999998</v>
      </c>
      <c r="I10397" s="128">
        <v>27271</v>
      </c>
    </row>
    <row r="10398" spans="1:9" ht="13.5">
      <c r="A10398" s="128">
        <v>2019</v>
      </c>
      <c r="B10398" s="128" t="s">
        <v>131</v>
      </c>
      <c r="C10398" s="128" t="s">
        <v>20</v>
      </c>
      <c r="D10398" s="128" t="s">
        <v>77</v>
      </c>
      <c r="E10398" s="128" t="s">
        <v>134</v>
      </c>
      <c r="F10398" s="128">
        <v>17812891.41</v>
      </c>
      <c r="G10398" s="128">
        <v>7622422.7300000004</v>
      </c>
      <c r="H10398" s="128">
        <v>7827497.6900000004</v>
      </c>
      <c r="I10398" s="128">
        <v>35009</v>
      </c>
    </row>
    <row r="10399" spans="1:9" ht="13.5">
      <c r="A10399" s="128">
        <v>2019</v>
      </c>
      <c r="B10399" s="128" t="s">
        <v>131</v>
      </c>
      <c r="C10399" s="128" t="s">
        <v>20</v>
      </c>
      <c r="D10399" s="128" t="s">
        <v>77</v>
      </c>
      <c r="E10399" s="128" t="s">
        <v>135</v>
      </c>
      <c r="F10399" s="128">
        <v>47587847.450000003</v>
      </c>
      <c r="G10399" s="128">
        <v>12532529.51</v>
      </c>
      <c r="H10399" s="128">
        <v>14655334.07</v>
      </c>
      <c r="I10399" s="128">
        <v>157943</v>
      </c>
    </row>
    <row r="10400" spans="1:9" ht="13.5">
      <c r="A10400" s="128">
        <v>2019</v>
      </c>
      <c r="B10400" s="128" t="s">
        <v>131</v>
      </c>
      <c r="C10400" s="128" t="s">
        <v>20</v>
      </c>
      <c r="D10400" s="128" t="s">
        <v>76</v>
      </c>
      <c r="E10400" s="128" t="s">
        <v>136</v>
      </c>
      <c r="F10400" s="128">
        <v>31606709.43</v>
      </c>
      <c r="G10400" s="128">
        <v>23733439.359999999</v>
      </c>
      <c r="H10400" s="128">
        <v>7873543.5</v>
      </c>
      <c r="I10400" s="128">
        <v>931319</v>
      </c>
    </row>
    <row r="10401" spans="1:9" ht="13.5">
      <c r="A10401" s="128">
        <v>2019</v>
      </c>
      <c r="B10401" s="128" t="s">
        <v>131</v>
      </c>
      <c r="C10401" s="128" t="s">
        <v>20</v>
      </c>
      <c r="D10401" s="128" t="s">
        <v>76</v>
      </c>
      <c r="E10401" s="128" t="s">
        <v>132</v>
      </c>
      <c r="F10401" s="128">
        <v>55236446.649999999</v>
      </c>
      <c r="G10401" s="128">
        <v>35073060.530000001</v>
      </c>
      <c r="H10401" s="128">
        <v>20163293.77</v>
      </c>
      <c r="I10401" s="128">
        <v>484530</v>
      </c>
    </row>
    <row r="10402" spans="1:9" ht="13.5">
      <c r="A10402" s="128">
        <v>2019</v>
      </c>
      <c r="B10402" s="128" t="s">
        <v>131</v>
      </c>
      <c r="C10402" s="128" t="s">
        <v>20</v>
      </c>
      <c r="D10402" s="128" t="s">
        <v>76</v>
      </c>
      <c r="E10402" s="128" t="s">
        <v>133</v>
      </c>
      <c r="F10402" s="128">
        <v>107581764.69</v>
      </c>
      <c r="G10402" s="128">
        <v>58790836.189999998</v>
      </c>
      <c r="H10402" s="128">
        <v>48790884.93</v>
      </c>
      <c r="I10402" s="128">
        <v>640014</v>
      </c>
    </row>
    <row r="10403" spans="1:9" ht="13.5">
      <c r="A10403" s="128">
        <v>2019</v>
      </c>
      <c r="B10403" s="128" t="s">
        <v>131</v>
      </c>
      <c r="C10403" s="128" t="s">
        <v>20</v>
      </c>
      <c r="D10403" s="128" t="s">
        <v>76</v>
      </c>
      <c r="E10403" s="128" t="s">
        <v>134</v>
      </c>
      <c r="F10403" s="128">
        <v>116706586.09999999</v>
      </c>
      <c r="G10403" s="128">
        <v>53157734.890000001</v>
      </c>
      <c r="H10403" s="128">
        <v>63548747.149999999</v>
      </c>
      <c r="I10403" s="128">
        <v>647520</v>
      </c>
    </row>
    <row r="10404" spans="1:9" ht="13.5">
      <c r="A10404" s="128">
        <v>2019</v>
      </c>
      <c r="B10404" s="128" t="s">
        <v>131</v>
      </c>
      <c r="C10404" s="128" t="s">
        <v>20</v>
      </c>
      <c r="D10404" s="128" t="s">
        <v>76</v>
      </c>
      <c r="E10404" s="128" t="s">
        <v>135</v>
      </c>
      <c r="F10404" s="128">
        <v>7175947.5599999996</v>
      </c>
      <c r="G10404" s="128">
        <v>2102273.69</v>
      </c>
      <c r="H10404" s="128">
        <v>5073671.5999999996</v>
      </c>
      <c r="I10404" s="128">
        <v>14984</v>
      </c>
    </row>
    <row r="10405" spans="1:9" ht="13.5">
      <c r="A10405" s="128">
        <v>2019</v>
      </c>
      <c r="B10405" s="128" t="s">
        <v>131</v>
      </c>
      <c r="C10405" s="128" t="s">
        <v>21</v>
      </c>
      <c r="D10405" s="128" t="s">
        <v>79</v>
      </c>
      <c r="E10405" s="128" t="s">
        <v>136</v>
      </c>
      <c r="F10405" s="128">
        <v>8208896.4400000004</v>
      </c>
      <c r="G10405" s="128">
        <v>6185547.1799999997</v>
      </c>
      <c r="H10405" s="128">
        <v>2018753.09</v>
      </c>
      <c r="I10405" s="128">
        <v>141643</v>
      </c>
    </row>
    <row r="10406" spans="1:9" ht="13.5">
      <c r="A10406" s="128">
        <v>2019</v>
      </c>
      <c r="B10406" s="128" t="s">
        <v>131</v>
      </c>
      <c r="C10406" s="128" t="s">
        <v>21</v>
      </c>
      <c r="D10406" s="128" t="s">
        <v>79</v>
      </c>
      <c r="E10406" s="128" t="s">
        <v>132</v>
      </c>
      <c r="F10406" s="128">
        <v>1366014.02</v>
      </c>
      <c r="G10406" s="128">
        <v>909748.49</v>
      </c>
      <c r="H10406" s="128">
        <v>320146.32</v>
      </c>
      <c r="I10406" s="128">
        <v>4682</v>
      </c>
    </row>
    <row r="10407" spans="1:9" ht="13.5">
      <c r="A10407" s="128">
        <v>2019</v>
      </c>
      <c r="B10407" s="128" t="s">
        <v>131</v>
      </c>
      <c r="C10407" s="128" t="s">
        <v>21</v>
      </c>
      <c r="D10407" s="128" t="s">
        <v>79</v>
      </c>
      <c r="E10407" s="128" t="s">
        <v>133</v>
      </c>
      <c r="F10407" s="128">
        <v>1376774.52</v>
      </c>
      <c r="G10407" s="128">
        <v>747953.22</v>
      </c>
      <c r="H10407" s="128">
        <v>254676.67</v>
      </c>
      <c r="I10407" s="128">
        <v>6081</v>
      </c>
    </row>
    <row r="10408" spans="1:9" ht="13.5">
      <c r="A10408" s="128">
        <v>2019</v>
      </c>
      <c r="B10408" s="128" t="s">
        <v>131</v>
      </c>
      <c r="C10408" s="128" t="s">
        <v>21</v>
      </c>
      <c r="D10408" s="128" t="s">
        <v>79</v>
      </c>
      <c r="E10408" s="128" t="s">
        <v>134</v>
      </c>
      <c r="F10408" s="128">
        <v>3879876.75</v>
      </c>
      <c r="G10408" s="128">
        <v>1671759.99</v>
      </c>
      <c r="H10408" s="128">
        <v>575117.68999999994</v>
      </c>
      <c r="I10408" s="128">
        <v>16575</v>
      </c>
    </row>
    <row r="10409" spans="1:9" ht="13.5">
      <c r="A10409" s="128">
        <v>2019</v>
      </c>
      <c r="B10409" s="128" t="s">
        <v>131</v>
      </c>
      <c r="C10409" s="128" t="s">
        <v>21</v>
      </c>
      <c r="D10409" s="128" t="s">
        <v>79</v>
      </c>
      <c r="E10409" s="128" t="s">
        <v>135</v>
      </c>
      <c r="F10409" s="128">
        <v>25455251.120000001</v>
      </c>
      <c r="G10409" s="128">
        <v>5787555.5199999996</v>
      </c>
      <c r="H10409" s="128">
        <v>1987116.55</v>
      </c>
      <c r="I10409" s="128">
        <v>23149</v>
      </c>
    </row>
    <row r="10410" spans="1:9" ht="13.5">
      <c r="A10410" s="128">
        <v>2019</v>
      </c>
      <c r="B10410" s="128" t="s">
        <v>131</v>
      </c>
      <c r="C10410" s="128" t="s">
        <v>21</v>
      </c>
      <c r="D10410" s="128" t="s">
        <v>77</v>
      </c>
      <c r="E10410" s="128" t="s">
        <v>132</v>
      </c>
      <c r="F10410" s="128">
        <v>3097883.12</v>
      </c>
      <c r="G10410" s="128">
        <v>2057854.46</v>
      </c>
      <c r="H10410" s="128">
        <v>883201.9</v>
      </c>
      <c r="I10410" s="128">
        <v>15001</v>
      </c>
    </row>
    <row r="10411" spans="1:9" ht="13.5">
      <c r="A10411" s="128">
        <v>2019</v>
      </c>
      <c r="B10411" s="128" t="s">
        <v>131</v>
      </c>
      <c r="C10411" s="128" t="s">
        <v>21</v>
      </c>
      <c r="D10411" s="128" t="s">
        <v>77</v>
      </c>
      <c r="E10411" s="128" t="s">
        <v>133</v>
      </c>
      <c r="F10411" s="128">
        <v>6370742.7800000003</v>
      </c>
      <c r="G10411" s="128">
        <v>3436577.02</v>
      </c>
      <c r="H10411" s="128">
        <v>2517340.5699999998</v>
      </c>
      <c r="I10411" s="128">
        <v>13811</v>
      </c>
    </row>
    <row r="10412" spans="1:9" ht="13.5">
      <c r="A10412" s="128">
        <v>2019</v>
      </c>
      <c r="B10412" s="128" t="s">
        <v>131</v>
      </c>
      <c r="C10412" s="128" t="s">
        <v>21</v>
      </c>
      <c r="D10412" s="128" t="s">
        <v>77</v>
      </c>
      <c r="E10412" s="128" t="s">
        <v>134</v>
      </c>
      <c r="F10412" s="128">
        <v>18226330.120000001</v>
      </c>
      <c r="G10412" s="128">
        <v>7811255.0700000003</v>
      </c>
      <c r="H10412" s="128">
        <v>7475368.6100000003</v>
      </c>
      <c r="I10412" s="128">
        <v>38906</v>
      </c>
    </row>
    <row r="10413" spans="1:9" ht="13.5">
      <c r="A10413" s="128">
        <v>2019</v>
      </c>
      <c r="B10413" s="128" t="s">
        <v>131</v>
      </c>
      <c r="C10413" s="128" t="s">
        <v>21</v>
      </c>
      <c r="D10413" s="128" t="s">
        <v>77</v>
      </c>
      <c r="E10413" s="128" t="s">
        <v>135</v>
      </c>
      <c r="F10413" s="128">
        <v>43145119.189999998</v>
      </c>
      <c r="G10413" s="128">
        <v>11693418.59</v>
      </c>
      <c r="H10413" s="128">
        <v>13574155.51</v>
      </c>
      <c r="I10413" s="128">
        <v>161572</v>
      </c>
    </row>
    <row r="10414" spans="1:9" ht="13.5">
      <c r="A10414" s="128">
        <v>2019</v>
      </c>
      <c r="B10414" s="128" t="s">
        <v>131</v>
      </c>
      <c r="C10414" s="128" t="s">
        <v>21</v>
      </c>
      <c r="D10414" s="128" t="s">
        <v>76</v>
      </c>
      <c r="E10414" s="128" t="s">
        <v>136</v>
      </c>
      <c r="F10414" s="128">
        <v>22060339.059999999</v>
      </c>
      <c r="G10414" s="128">
        <v>16598527.699999999</v>
      </c>
      <c r="H10414" s="128">
        <v>5461850.7000000002</v>
      </c>
      <c r="I10414" s="128">
        <v>324356</v>
      </c>
    </row>
    <row r="10415" spans="1:9" ht="13.5">
      <c r="A10415" s="128">
        <v>2019</v>
      </c>
      <c r="B10415" s="128" t="s">
        <v>131</v>
      </c>
      <c r="C10415" s="128" t="s">
        <v>21</v>
      </c>
      <c r="D10415" s="128" t="s">
        <v>76</v>
      </c>
      <c r="E10415" s="128" t="s">
        <v>132</v>
      </c>
      <c r="F10415" s="128">
        <v>49170159.280000001</v>
      </c>
      <c r="G10415" s="128">
        <v>31478276.73</v>
      </c>
      <c r="H10415" s="128">
        <v>17691706.32</v>
      </c>
      <c r="I10415" s="128">
        <v>419603</v>
      </c>
    </row>
    <row r="10416" spans="1:9" ht="13.5">
      <c r="A10416" s="128">
        <v>2019</v>
      </c>
      <c r="B10416" s="128" t="s">
        <v>131</v>
      </c>
      <c r="C10416" s="128" t="s">
        <v>21</v>
      </c>
      <c r="D10416" s="128" t="s">
        <v>76</v>
      </c>
      <c r="E10416" s="128" t="s">
        <v>133</v>
      </c>
      <c r="F10416" s="128">
        <v>119622093.45999999</v>
      </c>
      <c r="G10416" s="128">
        <v>65600314.299999997</v>
      </c>
      <c r="H10416" s="128">
        <v>54021669.960000001</v>
      </c>
      <c r="I10416" s="128">
        <v>826284</v>
      </c>
    </row>
    <row r="10417" spans="1:9" ht="13.5">
      <c r="A10417" s="128">
        <v>2019</v>
      </c>
      <c r="B10417" s="128" t="s">
        <v>131</v>
      </c>
      <c r="C10417" s="128" t="s">
        <v>21</v>
      </c>
      <c r="D10417" s="128" t="s">
        <v>76</v>
      </c>
      <c r="E10417" s="128" t="s">
        <v>134</v>
      </c>
      <c r="F10417" s="128">
        <v>101906477.36</v>
      </c>
      <c r="G10417" s="128">
        <v>45709931.25</v>
      </c>
      <c r="H10417" s="128">
        <v>56196438.840000004</v>
      </c>
      <c r="I10417" s="128">
        <v>554822</v>
      </c>
    </row>
    <row r="10418" spans="1:9" ht="13.5">
      <c r="A10418" s="128">
        <v>2019</v>
      </c>
      <c r="B10418" s="128" t="s">
        <v>131</v>
      </c>
      <c r="C10418" s="128" t="s">
        <v>21</v>
      </c>
      <c r="D10418" s="128" t="s">
        <v>76</v>
      </c>
      <c r="E10418" s="128" t="s">
        <v>135</v>
      </c>
      <c r="F10418" s="128">
        <v>3469465</v>
      </c>
      <c r="G10418" s="128">
        <v>933564.42</v>
      </c>
      <c r="H10418" s="128">
        <v>2535899.59</v>
      </c>
      <c r="I10418" s="128">
        <v>3936</v>
      </c>
    </row>
    <row r="10419" spans="1:9" ht="13.5">
      <c r="A10419" s="128">
        <v>2019</v>
      </c>
      <c r="B10419" s="128" t="s">
        <v>131</v>
      </c>
      <c r="C10419" s="128" t="s">
        <v>22</v>
      </c>
      <c r="D10419" s="128" t="s">
        <v>79</v>
      </c>
      <c r="E10419" s="128" t="s">
        <v>136</v>
      </c>
      <c r="F10419" s="128">
        <v>5385830.1200000001</v>
      </c>
      <c r="G10419" s="128">
        <v>4011694.45</v>
      </c>
      <c r="H10419" s="128">
        <v>1327243.83</v>
      </c>
      <c r="I10419" s="128">
        <v>69565</v>
      </c>
    </row>
    <row r="10420" spans="1:9" ht="13.5">
      <c r="A10420" s="128">
        <v>2019</v>
      </c>
      <c r="B10420" s="128" t="s">
        <v>131</v>
      </c>
      <c r="C10420" s="128" t="s">
        <v>22</v>
      </c>
      <c r="D10420" s="128" t="s">
        <v>79</v>
      </c>
      <c r="E10420" s="128" t="s">
        <v>132</v>
      </c>
      <c r="F10420" s="128">
        <v>1054026.97</v>
      </c>
      <c r="G10420" s="128">
        <v>709349.47</v>
      </c>
      <c r="H10420" s="128">
        <v>238909.23</v>
      </c>
      <c r="I10420" s="128">
        <v>3154</v>
      </c>
    </row>
    <row r="10421" spans="1:9" ht="13.5">
      <c r="A10421" s="128">
        <v>2019</v>
      </c>
      <c r="B10421" s="128" t="s">
        <v>131</v>
      </c>
      <c r="C10421" s="128" t="s">
        <v>22</v>
      </c>
      <c r="D10421" s="128" t="s">
        <v>79</v>
      </c>
      <c r="E10421" s="128" t="s">
        <v>133</v>
      </c>
      <c r="F10421" s="128">
        <v>1065824.79</v>
      </c>
      <c r="G10421" s="128">
        <v>575702.63</v>
      </c>
      <c r="H10421" s="128">
        <v>196718.07</v>
      </c>
      <c r="I10421" s="128">
        <v>2624</v>
      </c>
    </row>
    <row r="10422" spans="1:9" ht="13.5">
      <c r="A10422" s="128">
        <v>2019</v>
      </c>
      <c r="B10422" s="128" t="s">
        <v>131</v>
      </c>
      <c r="C10422" s="128" t="s">
        <v>22</v>
      </c>
      <c r="D10422" s="128" t="s">
        <v>79</v>
      </c>
      <c r="E10422" s="128" t="s">
        <v>134</v>
      </c>
      <c r="F10422" s="128">
        <v>4417738.7</v>
      </c>
      <c r="G10422" s="128">
        <v>1896257.66</v>
      </c>
      <c r="H10422" s="128">
        <v>637678.35</v>
      </c>
      <c r="I10422" s="128">
        <v>28056</v>
      </c>
    </row>
    <row r="10423" spans="1:9" ht="13.5">
      <c r="A10423" s="128">
        <v>2019</v>
      </c>
      <c r="B10423" s="128" t="s">
        <v>131</v>
      </c>
      <c r="C10423" s="128" t="s">
        <v>22</v>
      </c>
      <c r="D10423" s="128" t="s">
        <v>79</v>
      </c>
      <c r="E10423" s="128" t="s">
        <v>135</v>
      </c>
      <c r="F10423" s="128">
        <v>34898066.450000003</v>
      </c>
      <c r="G10423" s="128">
        <v>7783338.7400000002</v>
      </c>
      <c r="H10423" s="128">
        <v>2610434.27</v>
      </c>
      <c r="I10423" s="128">
        <v>32806</v>
      </c>
    </row>
    <row r="10424" spans="1:9" ht="13.5">
      <c r="A10424" s="128">
        <v>2019</v>
      </c>
      <c r="B10424" s="128" t="s">
        <v>131</v>
      </c>
      <c r="C10424" s="128" t="s">
        <v>22</v>
      </c>
      <c r="D10424" s="128" t="s">
        <v>77</v>
      </c>
      <c r="E10424" s="128" t="s">
        <v>132</v>
      </c>
      <c r="F10424" s="128">
        <v>1468786.45</v>
      </c>
      <c r="G10424" s="128">
        <v>961321.75</v>
      </c>
      <c r="H10424" s="128">
        <v>442932.79</v>
      </c>
      <c r="I10424" s="128">
        <v>6725</v>
      </c>
    </row>
    <row r="10425" spans="1:9" ht="13.5">
      <c r="A10425" s="128">
        <v>2019</v>
      </c>
      <c r="B10425" s="128" t="s">
        <v>131</v>
      </c>
      <c r="C10425" s="128" t="s">
        <v>22</v>
      </c>
      <c r="D10425" s="128" t="s">
        <v>77</v>
      </c>
      <c r="E10425" s="128" t="s">
        <v>133</v>
      </c>
      <c r="F10425" s="128">
        <v>3500221.79</v>
      </c>
      <c r="G10425" s="128">
        <v>1892082.31</v>
      </c>
      <c r="H10425" s="128">
        <v>1331657.25</v>
      </c>
      <c r="I10425" s="128">
        <v>18087</v>
      </c>
    </row>
    <row r="10426" spans="1:9" ht="13.5">
      <c r="A10426" s="128">
        <v>2019</v>
      </c>
      <c r="B10426" s="128" t="s">
        <v>131</v>
      </c>
      <c r="C10426" s="128" t="s">
        <v>22</v>
      </c>
      <c r="D10426" s="128" t="s">
        <v>77</v>
      </c>
      <c r="E10426" s="128" t="s">
        <v>134</v>
      </c>
      <c r="F10426" s="128">
        <v>17035596.359999999</v>
      </c>
      <c r="G10426" s="128">
        <v>7176227.71</v>
      </c>
      <c r="H10426" s="128">
        <v>7202092.2300000004</v>
      </c>
      <c r="I10426" s="128">
        <v>22865</v>
      </c>
    </row>
    <row r="10427" spans="1:9" ht="13.5">
      <c r="A10427" s="128">
        <v>2019</v>
      </c>
      <c r="B10427" s="128" t="s">
        <v>131</v>
      </c>
      <c r="C10427" s="128" t="s">
        <v>22</v>
      </c>
      <c r="D10427" s="128" t="s">
        <v>77</v>
      </c>
      <c r="E10427" s="128" t="s">
        <v>135</v>
      </c>
      <c r="F10427" s="128">
        <v>34947499.060000002</v>
      </c>
      <c r="G10427" s="128">
        <v>9121613.2699999996</v>
      </c>
      <c r="H10427" s="128">
        <v>10378743.76</v>
      </c>
      <c r="I10427" s="128">
        <v>88750</v>
      </c>
    </row>
    <row r="10428" spans="1:9" ht="13.5">
      <c r="A10428" s="128">
        <v>2019</v>
      </c>
      <c r="B10428" s="128" t="s">
        <v>131</v>
      </c>
      <c r="C10428" s="128" t="s">
        <v>22</v>
      </c>
      <c r="D10428" s="128" t="s">
        <v>76</v>
      </c>
      <c r="E10428" s="128" t="s">
        <v>136</v>
      </c>
      <c r="F10428" s="128">
        <v>16828355.109999999</v>
      </c>
      <c r="G10428" s="128">
        <v>12638125.66</v>
      </c>
      <c r="H10428" s="128">
        <v>4190306.95</v>
      </c>
      <c r="I10428" s="128">
        <v>271012</v>
      </c>
    </row>
    <row r="10429" spans="1:9" ht="13.5">
      <c r="A10429" s="128">
        <v>2019</v>
      </c>
      <c r="B10429" s="128" t="s">
        <v>131</v>
      </c>
      <c r="C10429" s="128" t="s">
        <v>22</v>
      </c>
      <c r="D10429" s="128" t="s">
        <v>76</v>
      </c>
      <c r="E10429" s="128" t="s">
        <v>132</v>
      </c>
      <c r="F10429" s="128">
        <v>45669429.600000001</v>
      </c>
      <c r="G10429" s="128">
        <v>29182332.890000001</v>
      </c>
      <c r="H10429" s="128">
        <v>16486748.539999999</v>
      </c>
      <c r="I10429" s="128">
        <v>435392</v>
      </c>
    </row>
    <row r="10430" spans="1:9" ht="13.5">
      <c r="A10430" s="128">
        <v>2019</v>
      </c>
      <c r="B10430" s="128" t="s">
        <v>131</v>
      </c>
      <c r="C10430" s="128" t="s">
        <v>22</v>
      </c>
      <c r="D10430" s="128" t="s">
        <v>76</v>
      </c>
      <c r="E10430" s="128" t="s">
        <v>133</v>
      </c>
      <c r="F10430" s="128">
        <v>79827872.030000001</v>
      </c>
      <c r="G10430" s="128">
        <v>43994285.57</v>
      </c>
      <c r="H10430" s="128">
        <v>35832767.210000001</v>
      </c>
      <c r="I10430" s="128">
        <v>623533</v>
      </c>
    </row>
    <row r="10431" spans="1:9" ht="13.5">
      <c r="A10431" s="128">
        <v>2019</v>
      </c>
      <c r="B10431" s="128" t="s">
        <v>131</v>
      </c>
      <c r="C10431" s="128" t="s">
        <v>22</v>
      </c>
      <c r="D10431" s="128" t="s">
        <v>76</v>
      </c>
      <c r="E10431" s="128" t="s">
        <v>134</v>
      </c>
      <c r="F10431" s="128">
        <v>76218682.079999998</v>
      </c>
      <c r="G10431" s="128">
        <v>34611861.210000001</v>
      </c>
      <c r="H10431" s="128">
        <v>41606135.280000001</v>
      </c>
      <c r="I10431" s="128">
        <v>499193</v>
      </c>
    </row>
    <row r="10432" spans="1:9" ht="13.5">
      <c r="A10432" s="128">
        <v>2019</v>
      </c>
      <c r="B10432" s="128" t="s">
        <v>131</v>
      </c>
      <c r="C10432" s="128" t="s">
        <v>22</v>
      </c>
      <c r="D10432" s="128" t="s">
        <v>76</v>
      </c>
      <c r="E10432" s="128" t="s">
        <v>135</v>
      </c>
      <c r="F10432" s="128">
        <v>5079795.68</v>
      </c>
      <c r="G10432" s="128">
        <v>1445400.09</v>
      </c>
      <c r="H10432" s="128">
        <v>3634393.55</v>
      </c>
      <c r="I10432" s="128">
        <v>7619</v>
      </c>
    </row>
    <row r="10433" spans="1:9" ht="13.5">
      <c r="A10433" s="128">
        <v>2019</v>
      </c>
      <c r="B10433" s="128" t="s">
        <v>131</v>
      </c>
      <c r="C10433" s="128" t="s">
        <v>23</v>
      </c>
      <c r="D10433" s="128" t="s">
        <v>79</v>
      </c>
      <c r="E10433" s="128" t="s">
        <v>136</v>
      </c>
      <c r="F10433" s="128">
        <v>1717469.04</v>
      </c>
      <c r="G10433" s="128">
        <v>1289901.8999999999</v>
      </c>
      <c r="H10433" s="128">
        <v>423199.4</v>
      </c>
      <c r="I10433" s="128">
        <v>11257</v>
      </c>
    </row>
    <row r="10434" spans="1:9" ht="13.5">
      <c r="A10434" s="128">
        <v>2019</v>
      </c>
      <c r="B10434" s="128" t="s">
        <v>131</v>
      </c>
      <c r="C10434" s="128" t="s">
        <v>23</v>
      </c>
      <c r="D10434" s="128" t="s">
        <v>79</v>
      </c>
      <c r="E10434" s="128" t="s">
        <v>132</v>
      </c>
      <c r="F10434" s="128">
        <v>318701.3</v>
      </c>
      <c r="G10434" s="128">
        <v>211662.32</v>
      </c>
      <c r="H10434" s="128">
        <v>71554.36</v>
      </c>
      <c r="I10434" s="128">
        <v>750</v>
      </c>
    </row>
    <row r="10435" spans="1:9" ht="13.5">
      <c r="A10435" s="128">
        <v>2019</v>
      </c>
      <c r="B10435" s="128" t="s">
        <v>131</v>
      </c>
      <c r="C10435" s="128" t="s">
        <v>23</v>
      </c>
      <c r="D10435" s="128" t="s">
        <v>79</v>
      </c>
      <c r="E10435" s="128" t="s">
        <v>133</v>
      </c>
      <c r="F10435" s="128">
        <v>190808.26</v>
      </c>
      <c r="G10435" s="128">
        <v>104270.37</v>
      </c>
      <c r="H10435" s="128">
        <v>35862.26</v>
      </c>
      <c r="I10435" s="128">
        <v>401</v>
      </c>
    </row>
    <row r="10436" spans="1:9" ht="13.5">
      <c r="A10436" s="128">
        <v>2019</v>
      </c>
      <c r="B10436" s="128" t="s">
        <v>131</v>
      </c>
      <c r="C10436" s="128" t="s">
        <v>23</v>
      </c>
      <c r="D10436" s="128" t="s">
        <v>79</v>
      </c>
      <c r="E10436" s="128" t="s">
        <v>134</v>
      </c>
      <c r="F10436" s="128">
        <v>288960.78000000003</v>
      </c>
      <c r="G10436" s="128">
        <v>124088.3</v>
      </c>
      <c r="H10436" s="128">
        <v>42580.02</v>
      </c>
      <c r="I10436" s="128">
        <v>733</v>
      </c>
    </row>
    <row r="10437" spans="1:9" ht="13.5">
      <c r="A10437" s="128">
        <v>2019</v>
      </c>
      <c r="B10437" s="128" t="s">
        <v>131</v>
      </c>
      <c r="C10437" s="128" t="s">
        <v>23</v>
      </c>
      <c r="D10437" s="128" t="s">
        <v>79</v>
      </c>
      <c r="E10437" s="128" t="s">
        <v>135</v>
      </c>
      <c r="F10437" s="128">
        <v>1837757.99</v>
      </c>
      <c r="G10437" s="128">
        <v>391407.64</v>
      </c>
      <c r="H10437" s="128">
        <v>134725.19</v>
      </c>
      <c r="I10437" s="128">
        <v>1847</v>
      </c>
    </row>
    <row r="10438" spans="1:9" ht="13.5">
      <c r="A10438" s="128">
        <v>2019</v>
      </c>
      <c r="B10438" s="128" t="s">
        <v>131</v>
      </c>
      <c r="C10438" s="128" t="s">
        <v>23</v>
      </c>
      <c r="D10438" s="128" t="s">
        <v>77</v>
      </c>
      <c r="E10438" s="128" t="s">
        <v>132</v>
      </c>
      <c r="F10438" s="128">
        <v>419765.69</v>
      </c>
      <c r="G10438" s="128">
        <v>270898.38</v>
      </c>
      <c r="H10438" s="128">
        <v>111479.01</v>
      </c>
      <c r="I10438" s="128">
        <v>2256</v>
      </c>
    </row>
    <row r="10439" spans="1:9" ht="13.5">
      <c r="A10439" s="128">
        <v>2019</v>
      </c>
      <c r="B10439" s="128" t="s">
        <v>131</v>
      </c>
      <c r="C10439" s="128" t="s">
        <v>23</v>
      </c>
      <c r="D10439" s="128" t="s">
        <v>77</v>
      </c>
      <c r="E10439" s="128" t="s">
        <v>133</v>
      </c>
      <c r="F10439" s="128">
        <v>1196906.51</v>
      </c>
      <c r="G10439" s="128">
        <v>646341.18999999994</v>
      </c>
      <c r="H10439" s="128">
        <v>496227.58</v>
      </c>
      <c r="I10439" s="128">
        <v>4383</v>
      </c>
    </row>
    <row r="10440" spans="1:9" ht="13.5">
      <c r="A10440" s="128">
        <v>2019</v>
      </c>
      <c r="B10440" s="128" t="s">
        <v>131</v>
      </c>
      <c r="C10440" s="128" t="s">
        <v>23</v>
      </c>
      <c r="D10440" s="128" t="s">
        <v>77</v>
      </c>
      <c r="E10440" s="128" t="s">
        <v>134</v>
      </c>
      <c r="F10440" s="128">
        <v>7585456.1500000004</v>
      </c>
      <c r="G10440" s="128">
        <v>3186887.93</v>
      </c>
      <c r="H10440" s="128">
        <v>3373491.34</v>
      </c>
      <c r="I10440" s="128">
        <v>11401</v>
      </c>
    </row>
    <row r="10441" spans="1:9" ht="13.5">
      <c r="A10441" s="128">
        <v>2019</v>
      </c>
      <c r="B10441" s="128" t="s">
        <v>131</v>
      </c>
      <c r="C10441" s="128" t="s">
        <v>23</v>
      </c>
      <c r="D10441" s="128" t="s">
        <v>77</v>
      </c>
      <c r="E10441" s="128" t="s">
        <v>135</v>
      </c>
      <c r="F10441" s="128">
        <v>10334888.48</v>
      </c>
      <c r="G10441" s="128">
        <v>2915559.79</v>
      </c>
      <c r="H10441" s="128">
        <v>3603118.3</v>
      </c>
      <c r="I10441" s="128">
        <v>37828</v>
      </c>
    </row>
    <row r="10442" spans="1:9" ht="13.5">
      <c r="A10442" s="128">
        <v>2019</v>
      </c>
      <c r="B10442" s="128" t="s">
        <v>131</v>
      </c>
      <c r="C10442" s="128" t="s">
        <v>23</v>
      </c>
      <c r="D10442" s="128" t="s">
        <v>76</v>
      </c>
      <c r="E10442" s="128" t="s">
        <v>136</v>
      </c>
      <c r="F10442" s="128">
        <v>7753443.8499999996</v>
      </c>
      <c r="G10442" s="128">
        <v>5821130.8499999996</v>
      </c>
      <c r="H10442" s="128">
        <v>1932312.5</v>
      </c>
      <c r="I10442" s="128">
        <v>134714</v>
      </c>
    </row>
    <row r="10443" spans="1:9" ht="13.5">
      <c r="A10443" s="128">
        <v>2019</v>
      </c>
      <c r="B10443" s="128" t="s">
        <v>131</v>
      </c>
      <c r="C10443" s="128" t="s">
        <v>23</v>
      </c>
      <c r="D10443" s="128" t="s">
        <v>76</v>
      </c>
      <c r="E10443" s="128" t="s">
        <v>132</v>
      </c>
      <c r="F10443" s="128">
        <v>8663979.7599999998</v>
      </c>
      <c r="G10443" s="128">
        <v>5442484.6799999997</v>
      </c>
      <c r="H10443" s="128">
        <v>3221436.92</v>
      </c>
      <c r="I10443" s="128">
        <v>78616</v>
      </c>
    </row>
    <row r="10444" spans="1:9" ht="13.5">
      <c r="A10444" s="128">
        <v>2019</v>
      </c>
      <c r="B10444" s="128" t="s">
        <v>131</v>
      </c>
      <c r="C10444" s="128" t="s">
        <v>23</v>
      </c>
      <c r="D10444" s="128" t="s">
        <v>76</v>
      </c>
      <c r="E10444" s="128" t="s">
        <v>133</v>
      </c>
      <c r="F10444" s="128">
        <v>31229312.039999999</v>
      </c>
      <c r="G10444" s="128">
        <v>17025708.43</v>
      </c>
      <c r="H10444" s="128">
        <v>14203580.65</v>
      </c>
      <c r="I10444" s="128">
        <v>250805</v>
      </c>
    </row>
    <row r="10445" spans="1:9" ht="13.5">
      <c r="A10445" s="128">
        <v>2019</v>
      </c>
      <c r="B10445" s="128" t="s">
        <v>131</v>
      </c>
      <c r="C10445" s="128" t="s">
        <v>23</v>
      </c>
      <c r="D10445" s="128" t="s">
        <v>76</v>
      </c>
      <c r="E10445" s="128" t="s">
        <v>134</v>
      </c>
      <c r="F10445" s="128">
        <v>44623318.590000004</v>
      </c>
      <c r="G10445" s="128">
        <v>19832147.640000001</v>
      </c>
      <c r="H10445" s="128">
        <v>24791160.77</v>
      </c>
      <c r="I10445" s="128">
        <v>176717</v>
      </c>
    </row>
    <row r="10446" spans="1:9" ht="13.5">
      <c r="A10446" s="128">
        <v>2019</v>
      </c>
      <c r="B10446" s="128" t="s">
        <v>131</v>
      </c>
      <c r="C10446" s="128" t="s">
        <v>23</v>
      </c>
      <c r="D10446" s="128" t="s">
        <v>76</v>
      </c>
      <c r="E10446" s="128" t="s">
        <v>135</v>
      </c>
      <c r="F10446" s="128">
        <v>1161043.5900000001</v>
      </c>
      <c r="G10446" s="128">
        <v>289906.8</v>
      </c>
      <c r="H10446" s="128">
        <v>871136.14</v>
      </c>
      <c r="I10446" s="128">
        <v>952</v>
      </c>
    </row>
    <row r="10447" spans="1:9" ht="13.5">
      <c r="A10447" s="128">
        <v>2019</v>
      </c>
      <c r="B10447" s="128" t="s">
        <v>131</v>
      </c>
      <c r="C10447" s="128" t="s">
        <v>24</v>
      </c>
      <c r="D10447" s="128" t="s">
        <v>79</v>
      </c>
      <c r="E10447" s="128" t="s">
        <v>136</v>
      </c>
      <c r="F10447" s="128">
        <v>1972887.42</v>
      </c>
      <c r="G10447" s="128">
        <v>1482228.49</v>
      </c>
      <c r="H10447" s="128">
        <v>485893.7</v>
      </c>
      <c r="I10447" s="128">
        <v>38383</v>
      </c>
    </row>
    <row r="10448" spans="1:9" ht="13.5">
      <c r="A10448" s="128">
        <v>2019</v>
      </c>
      <c r="B10448" s="128" t="s">
        <v>131</v>
      </c>
      <c r="C10448" s="128" t="s">
        <v>24</v>
      </c>
      <c r="D10448" s="128" t="s">
        <v>79</v>
      </c>
      <c r="E10448" s="128" t="s">
        <v>132</v>
      </c>
      <c r="F10448" s="128">
        <v>303273.11</v>
      </c>
      <c r="G10448" s="128">
        <v>200904.26</v>
      </c>
      <c r="H10448" s="128">
        <v>67897.259999999995</v>
      </c>
      <c r="I10448" s="128">
        <v>792</v>
      </c>
    </row>
    <row r="10449" spans="1:9" ht="13.5">
      <c r="A10449" s="128">
        <v>2019</v>
      </c>
      <c r="B10449" s="128" t="s">
        <v>131</v>
      </c>
      <c r="C10449" s="128" t="s">
        <v>24</v>
      </c>
      <c r="D10449" s="128" t="s">
        <v>79</v>
      </c>
      <c r="E10449" s="128" t="s">
        <v>133</v>
      </c>
      <c r="F10449" s="128">
        <v>484482.44</v>
      </c>
      <c r="G10449" s="128">
        <v>263690.59999999998</v>
      </c>
      <c r="H10449" s="128">
        <v>89956.41</v>
      </c>
      <c r="I10449" s="128">
        <v>1226</v>
      </c>
    </row>
    <row r="10450" spans="1:9" ht="13.5">
      <c r="A10450" s="128">
        <v>2019</v>
      </c>
      <c r="B10450" s="128" t="s">
        <v>131</v>
      </c>
      <c r="C10450" s="128" t="s">
        <v>24</v>
      </c>
      <c r="D10450" s="128" t="s">
        <v>79</v>
      </c>
      <c r="E10450" s="128" t="s">
        <v>134</v>
      </c>
      <c r="F10450" s="128">
        <v>1766753.87</v>
      </c>
      <c r="G10450" s="128">
        <v>768106.19</v>
      </c>
      <c r="H10450" s="128">
        <v>259236.7</v>
      </c>
      <c r="I10450" s="128">
        <v>16507</v>
      </c>
    </row>
    <row r="10451" spans="1:9" ht="13.5">
      <c r="A10451" s="128">
        <v>2019</v>
      </c>
      <c r="B10451" s="128" t="s">
        <v>131</v>
      </c>
      <c r="C10451" s="128" t="s">
        <v>24</v>
      </c>
      <c r="D10451" s="128" t="s">
        <v>79</v>
      </c>
      <c r="E10451" s="128" t="s">
        <v>135</v>
      </c>
      <c r="F10451" s="128">
        <v>7638559.1200000001</v>
      </c>
      <c r="G10451" s="128">
        <v>1616875.69</v>
      </c>
      <c r="H10451" s="128">
        <v>551227.17000000004</v>
      </c>
      <c r="I10451" s="128">
        <v>8742</v>
      </c>
    </row>
    <row r="10452" spans="1:9" ht="13.5">
      <c r="A10452" s="128">
        <v>2019</v>
      </c>
      <c r="B10452" s="128" t="s">
        <v>131</v>
      </c>
      <c r="C10452" s="128" t="s">
        <v>24</v>
      </c>
      <c r="D10452" s="128" t="s">
        <v>77</v>
      </c>
      <c r="E10452" s="128" t="s">
        <v>132</v>
      </c>
      <c r="F10452" s="128">
        <v>1052101.29</v>
      </c>
      <c r="G10452" s="128">
        <v>680676.36</v>
      </c>
      <c r="H10452" s="128">
        <v>331141.15999999997</v>
      </c>
      <c r="I10452" s="128">
        <v>5225</v>
      </c>
    </row>
    <row r="10453" spans="1:9" ht="13.5">
      <c r="A10453" s="128">
        <v>2019</v>
      </c>
      <c r="B10453" s="128" t="s">
        <v>131</v>
      </c>
      <c r="C10453" s="128" t="s">
        <v>24</v>
      </c>
      <c r="D10453" s="128" t="s">
        <v>77</v>
      </c>
      <c r="E10453" s="128" t="s">
        <v>133</v>
      </c>
      <c r="F10453" s="128">
        <v>3142209.78</v>
      </c>
      <c r="G10453" s="128">
        <v>1665801.58</v>
      </c>
      <c r="H10453" s="128">
        <v>1231732.46</v>
      </c>
      <c r="I10453" s="128">
        <v>26273</v>
      </c>
    </row>
    <row r="10454" spans="1:9" ht="13.5">
      <c r="A10454" s="128">
        <v>2019</v>
      </c>
      <c r="B10454" s="128" t="s">
        <v>131</v>
      </c>
      <c r="C10454" s="128" t="s">
        <v>24</v>
      </c>
      <c r="D10454" s="128" t="s">
        <v>77</v>
      </c>
      <c r="E10454" s="128" t="s">
        <v>134</v>
      </c>
      <c r="F10454" s="128">
        <v>9365351.1400000006</v>
      </c>
      <c r="G10454" s="128">
        <v>4097812.25</v>
      </c>
      <c r="H10454" s="128">
        <v>3701515.85</v>
      </c>
      <c r="I10454" s="128">
        <v>19109</v>
      </c>
    </row>
    <row r="10455" spans="1:9" ht="13.5">
      <c r="A10455" s="128">
        <v>2019</v>
      </c>
      <c r="B10455" s="128" t="s">
        <v>131</v>
      </c>
      <c r="C10455" s="128" t="s">
        <v>24</v>
      </c>
      <c r="D10455" s="128" t="s">
        <v>77</v>
      </c>
      <c r="E10455" s="128" t="s">
        <v>135</v>
      </c>
      <c r="F10455" s="128">
        <v>18350391.989999998</v>
      </c>
      <c r="G10455" s="128">
        <v>4596454.96</v>
      </c>
      <c r="H10455" s="128">
        <v>3439532.91</v>
      </c>
      <c r="I10455" s="128">
        <v>46537</v>
      </c>
    </row>
    <row r="10456" spans="1:9" ht="13.5">
      <c r="A10456" s="128">
        <v>2019</v>
      </c>
      <c r="B10456" s="128" t="s">
        <v>131</v>
      </c>
      <c r="C10456" s="128" t="s">
        <v>24</v>
      </c>
      <c r="D10456" s="128" t="s">
        <v>76</v>
      </c>
      <c r="E10456" s="128" t="s">
        <v>136</v>
      </c>
      <c r="F10456" s="128">
        <v>9711311.8699999992</v>
      </c>
      <c r="G10456" s="128">
        <v>7295095.6500000004</v>
      </c>
      <c r="H10456" s="128">
        <v>2416216.2200000002</v>
      </c>
      <c r="I10456" s="128">
        <v>148605</v>
      </c>
    </row>
    <row r="10457" spans="1:9" ht="13.5">
      <c r="A10457" s="128">
        <v>2019</v>
      </c>
      <c r="B10457" s="128" t="s">
        <v>131</v>
      </c>
      <c r="C10457" s="128" t="s">
        <v>24</v>
      </c>
      <c r="D10457" s="128" t="s">
        <v>76</v>
      </c>
      <c r="E10457" s="128" t="s">
        <v>132</v>
      </c>
      <c r="F10457" s="128">
        <v>10305092.07</v>
      </c>
      <c r="G10457" s="128">
        <v>6643839.5099999998</v>
      </c>
      <c r="H10457" s="128">
        <v>3661227.15</v>
      </c>
      <c r="I10457" s="128">
        <v>76082</v>
      </c>
    </row>
    <row r="10458" spans="1:9" ht="13.5">
      <c r="A10458" s="128">
        <v>2019</v>
      </c>
      <c r="B10458" s="128" t="s">
        <v>131</v>
      </c>
      <c r="C10458" s="128" t="s">
        <v>24</v>
      </c>
      <c r="D10458" s="128" t="s">
        <v>76</v>
      </c>
      <c r="E10458" s="128" t="s">
        <v>133</v>
      </c>
      <c r="F10458" s="128">
        <v>47115679.840000004</v>
      </c>
      <c r="G10458" s="128">
        <v>26033239.190000001</v>
      </c>
      <c r="H10458" s="128">
        <v>21082436.579999998</v>
      </c>
      <c r="I10458" s="128">
        <v>323137</v>
      </c>
    </row>
    <row r="10459" spans="1:9" ht="13.5">
      <c r="A10459" s="128">
        <v>2019</v>
      </c>
      <c r="B10459" s="128" t="s">
        <v>131</v>
      </c>
      <c r="C10459" s="128" t="s">
        <v>24</v>
      </c>
      <c r="D10459" s="128" t="s">
        <v>76</v>
      </c>
      <c r="E10459" s="128" t="s">
        <v>134</v>
      </c>
      <c r="F10459" s="128">
        <v>55061103.369999997</v>
      </c>
      <c r="G10459" s="128">
        <v>24427306.030000001</v>
      </c>
      <c r="H10459" s="128">
        <v>30633787.640000001</v>
      </c>
      <c r="I10459" s="128">
        <v>249085</v>
      </c>
    </row>
    <row r="10460" spans="1:9" ht="13.5">
      <c r="A10460" s="128">
        <v>2019</v>
      </c>
      <c r="B10460" s="128" t="s">
        <v>131</v>
      </c>
      <c r="C10460" s="128" t="s">
        <v>24</v>
      </c>
      <c r="D10460" s="128" t="s">
        <v>76</v>
      </c>
      <c r="E10460" s="128" t="s">
        <v>135</v>
      </c>
      <c r="F10460" s="128">
        <v>2634290.59</v>
      </c>
      <c r="G10460" s="128">
        <v>684757.65</v>
      </c>
      <c r="H10460" s="128">
        <v>1949532.94</v>
      </c>
      <c r="I10460" s="128">
        <v>2528</v>
      </c>
    </row>
    <row r="10461" spans="1:9" ht="13.5">
      <c r="A10461" s="128">
        <v>2019</v>
      </c>
      <c r="B10461" s="128" t="s">
        <v>131</v>
      </c>
      <c r="C10461" s="128" t="s">
        <v>25</v>
      </c>
      <c r="D10461" s="128" t="s">
        <v>79</v>
      </c>
      <c r="E10461" s="128" t="s">
        <v>136</v>
      </c>
      <c r="F10461" s="128">
        <v>435112.22</v>
      </c>
      <c r="G10461" s="128">
        <v>325879.46999999997</v>
      </c>
      <c r="H10461" s="128">
        <v>108732.75</v>
      </c>
      <c r="I10461" s="128">
        <v>2737</v>
      </c>
    </row>
    <row r="10462" spans="1:9" ht="13.5">
      <c r="A10462" s="128">
        <v>2019</v>
      </c>
      <c r="B10462" s="128" t="s">
        <v>131</v>
      </c>
      <c r="C10462" s="128" t="s">
        <v>25</v>
      </c>
      <c r="D10462" s="128" t="s">
        <v>79</v>
      </c>
      <c r="E10462" s="128" t="s">
        <v>132</v>
      </c>
      <c r="F10462" s="128">
        <v>75504.320000000007</v>
      </c>
      <c r="G10462" s="128">
        <v>50707.46</v>
      </c>
      <c r="H10462" s="128">
        <v>16842</v>
      </c>
      <c r="I10462" s="128">
        <v>371</v>
      </c>
    </row>
    <row r="10463" spans="1:9" ht="13.5">
      <c r="A10463" s="128">
        <v>2019</v>
      </c>
      <c r="B10463" s="128" t="s">
        <v>131</v>
      </c>
      <c r="C10463" s="128" t="s">
        <v>25</v>
      </c>
      <c r="D10463" s="128" t="s">
        <v>79</v>
      </c>
      <c r="E10463" s="128" t="s">
        <v>133</v>
      </c>
      <c r="F10463" s="128">
        <v>74557.5</v>
      </c>
      <c r="G10463" s="128">
        <v>40115.839999999997</v>
      </c>
      <c r="H10463" s="128">
        <v>13966.95</v>
      </c>
      <c r="I10463" s="128">
        <v>228</v>
      </c>
    </row>
    <row r="10464" spans="1:9" ht="13.5">
      <c r="A10464" s="128">
        <v>2019</v>
      </c>
      <c r="B10464" s="128" t="s">
        <v>131</v>
      </c>
      <c r="C10464" s="128" t="s">
        <v>25</v>
      </c>
      <c r="D10464" s="128" t="s">
        <v>79</v>
      </c>
      <c r="E10464" s="128" t="s">
        <v>134</v>
      </c>
      <c r="F10464" s="128">
        <v>225213.04</v>
      </c>
      <c r="G10464" s="128">
        <v>97236.73</v>
      </c>
      <c r="H10464" s="128">
        <v>33357.440000000002</v>
      </c>
      <c r="I10464" s="128">
        <v>999</v>
      </c>
    </row>
    <row r="10465" spans="1:9" ht="13.5">
      <c r="A10465" s="128">
        <v>2019</v>
      </c>
      <c r="B10465" s="128" t="s">
        <v>131</v>
      </c>
      <c r="C10465" s="128" t="s">
        <v>25</v>
      </c>
      <c r="D10465" s="128" t="s">
        <v>79</v>
      </c>
      <c r="E10465" s="128" t="s">
        <v>135</v>
      </c>
      <c r="F10465" s="128">
        <v>1427978.06</v>
      </c>
      <c r="G10465" s="128">
        <v>325074.27</v>
      </c>
      <c r="H10465" s="128">
        <v>108722.05</v>
      </c>
      <c r="I10465" s="128">
        <v>1065</v>
      </c>
    </row>
    <row r="10466" spans="1:9" ht="13.5">
      <c r="A10466" s="128">
        <v>2019</v>
      </c>
      <c r="B10466" s="128" t="s">
        <v>131</v>
      </c>
      <c r="C10466" s="128" t="s">
        <v>25</v>
      </c>
      <c r="D10466" s="128" t="s">
        <v>77</v>
      </c>
      <c r="E10466" s="128" t="s">
        <v>132</v>
      </c>
      <c r="F10466" s="128">
        <v>282671.64</v>
      </c>
      <c r="G10466" s="128">
        <v>184410.68</v>
      </c>
      <c r="H10466" s="128">
        <v>82805.149999999994</v>
      </c>
      <c r="I10466" s="128">
        <v>1519</v>
      </c>
    </row>
    <row r="10467" spans="1:9" ht="13.5">
      <c r="A10467" s="128">
        <v>2019</v>
      </c>
      <c r="B10467" s="128" t="s">
        <v>131</v>
      </c>
      <c r="C10467" s="128" t="s">
        <v>25</v>
      </c>
      <c r="D10467" s="128" t="s">
        <v>77</v>
      </c>
      <c r="E10467" s="128" t="s">
        <v>133</v>
      </c>
      <c r="F10467" s="128">
        <v>534268.86</v>
      </c>
      <c r="G10467" s="128">
        <v>291345.24</v>
      </c>
      <c r="H10467" s="128">
        <v>224217.57</v>
      </c>
      <c r="I10467" s="128">
        <v>2714</v>
      </c>
    </row>
    <row r="10468" spans="1:9" ht="13.5">
      <c r="A10468" s="128">
        <v>2019</v>
      </c>
      <c r="B10468" s="128" t="s">
        <v>131</v>
      </c>
      <c r="C10468" s="128" t="s">
        <v>25</v>
      </c>
      <c r="D10468" s="128" t="s">
        <v>77</v>
      </c>
      <c r="E10468" s="128" t="s">
        <v>134</v>
      </c>
      <c r="F10468" s="128">
        <v>2145434.59</v>
      </c>
      <c r="G10468" s="128">
        <v>910934.55</v>
      </c>
      <c r="H10468" s="128">
        <v>966378.04</v>
      </c>
      <c r="I10468" s="128">
        <v>3554</v>
      </c>
    </row>
    <row r="10469" spans="1:9" ht="13.5">
      <c r="A10469" s="128">
        <v>2019</v>
      </c>
      <c r="B10469" s="128" t="s">
        <v>131</v>
      </c>
      <c r="C10469" s="128" t="s">
        <v>25</v>
      </c>
      <c r="D10469" s="128" t="s">
        <v>77</v>
      </c>
      <c r="E10469" s="128" t="s">
        <v>135</v>
      </c>
      <c r="F10469" s="128">
        <v>2805022.85</v>
      </c>
      <c r="G10469" s="128">
        <v>751457.67</v>
      </c>
      <c r="H10469" s="128">
        <v>901103.48</v>
      </c>
      <c r="I10469" s="128">
        <v>7091</v>
      </c>
    </row>
    <row r="10470" spans="1:9" ht="13.5">
      <c r="A10470" s="128">
        <v>2019</v>
      </c>
      <c r="B10470" s="128" t="s">
        <v>131</v>
      </c>
      <c r="C10470" s="128" t="s">
        <v>25</v>
      </c>
      <c r="D10470" s="128" t="s">
        <v>76</v>
      </c>
      <c r="E10470" s="128" t="s">
        <v>136</v>
      </c>
      <c r="F10470" s="128">
        <v>2097794.04</v>
      </c>
      <c r="G10470" s="128">
        <v>1574313.58</v>
      </c>
      <c r="H10470" s="128">
        <v>523646.56</v>
      </c>
      <c r="I10470" s="128">
        <v>37147</v>
      </c>
    </row>
    <row r="10471" spans="1:9" ht="13.5">
      <c r="A10471" s="128">
        <v>2019</v>
      </c>
      <c r="B10471" s="128" t="s">
        <v>131</v>
      </c>
      <c r="C10471" s="128" t="s">
        <v>25</v>
      </c>
      <c r="D10471" s="128" t="s">
        <v>76</v>
      </c>
      <c r="E10471" s="128" t="s">
        <v>132</v>
      </c>
      <c r="F10471" s="128">
        <v>2954715</v>
      </c>
      <c r="G10471" s="128">
        <v>1872520.36</v>
      </c>
      <c r="H10471" s="128">
        <v>1082171.26</v>
      </c>
      <c r="I10471" s="128">
        <v>22073</v>
      </c>
    </row>
    <row r="10472" spans="1:9" ht="13.5">
      <c r="A10472" s="128">
        <v>2019</v>
      </c>
      <c r="B10472" s="128" t="s">
        <v>131</v>
      </c>
      <c r="C10472" s="128" t="s">
        <v>25</v>
      </c>
      <c r="D10472" s="128" t="s">
        <v>76</v>
      </c>
      <c r="E10472" s="128" t="s">
        <v>133</v>
      </c>
      <c r="F10472" s="128">
        <v>9242685.6999999993</v>
      </c>
      <c r="G10472" s="128">
        <v>5042173.3099999996</v>
      </c>
      <c r="H10472" s="128">
        <v>4200503.46</v>
      </c>
      <c r="I10472" s="128">
        <v>56785</v>
      </c>
    </row>
    <row r="10473" spans="1:9" ht="13.5">
      <c r="A10473" s="128">
        <v>2019</v>
      </c>
      <c r="B10473" s="128" t="s">
        <v>131</v>
      </c>
      <c r="C10473" s="128" t="s">
        <v>25</v>
      </c>
      <c r="D10473" s="128" t="s">
        <v>76</v>
      </c>
      <c r="E10473" s="128" t="s">
        <v>134</v>
      </c>
      <c r="F10473" s="128">
        <v>11411993.32</v>
      </c>
      <c r="G10473" s="128">
        <v>5188352.09</v>
      </c>
      <c r="H10473" s="128">
        <v>6223635.9100000001</v>
      </c>
      <c r="I10473" s="128">
        <v>54460</v>
      </c>
    </row>
    <row r="10474" spans="1:9" ht="13.5">
      <c r="A10474" s="128">
        <v>2019</v>
      </c>
      <c r="B10474" s="128" t="s">
        <v>131</v>
      </c>
      <c r="C10474" s="128" t="s">
        <v>25</v>
      </c>
      <c r="D10474" s="128" t="s">
        <v>76</v>
      </c>
      <c r="E10474" s="128" t="s">
        <v>135</v>
      </c>
      <c r="F10474" s="128">
        <v>430317.08</v>
      </c>
      <c r="G10474" s="128">
        <v>120411.8</v>
      </c>
      <c r="H10474" s="128">
        <v>309905.26</v>
      </c>
      <c r="I10474" s="128">
        <v>428</v>
      </c>
    </row>
    <row r="10475" spans="1:9" ht="13.5">
      <c r="A10475" s="128">
        <v>2019</v>
      </c>
      <c r="B10475" s="128" t="s">
        <v>131</v>
      </c>
      <c r="C10475" s="128" t="s">
        <v>26</v>
      </c>
      <c r="D10475" s="128" t="s">
        <v>79</v>
      </c>
      <c r="E10475" s="128" t="s">
        <v>136</v>
      </c>
      <c r="F10475" s="128">
        <v>883959.86</v>
      </c>
      <c r="G10475" s="128">
        <v>659425.88</v>
      </c>
      <c r="H10475" s="128">
        <v>215111.95</v>
      </c>
      <c r="I10475" s="128">
        <v>7850</v>
      </c>
    </row>
    <row r="10476" spans="1:9" ht="13.5">
      <c r="A10476" s="128">
        <v>2019</v>
      </c>
      <c r="B10476" s="128" t="s">
        <v>131</v>
      </c>
      <c r="C10476" s="128" t="s">
        <v>26</v>
      </c>
      <c r="D10476" s="128" t="s">
        <v>79</v>
      </c>
      <c r="E10476" s="128" t="s">
        <v>132</v>
      </c>
      <c r="F10476" s="128">
        <v>94612.4</v>
      </c>
      <c r="G10476" s="128">
        <v>64917.120000000003</v>
      </c>
      <c r="H10476" s="128">
        <v>21999.4</v>
      </c>
      <c r="I10476" s="128">
        <v>382</v>
      </c>
    </row>
    <row r="10477" spans="1:9" ht="13.5">
      <c r="A10477" s="128">
        <v>2019</v>
      </c>
      <c r="B10477" s="128" t="s">
        <v>131</v>
      </c>
      <c r="C10477" s="128" t="s">
        <v>26</v>
      </c>
      <c r="D10477" s="128" t="s">
        <v>79</v>
      </c>
      <c r="E10477" s="128" t="s">
        <v>133</v>
      </c>
      <c r="F10477" s="128">
        <v>132366.60999999999</v>
      </c>
      <c r="G10477" s="128">
        <v>71901.34</v>
      </c>
      <c r="H10477" s="128">
        <v>23997.56</v>
      </c>
      <c r="I10477" s="128">
        <v>288</v>
      </c>
    </row>
    <row r="10478" spans="1:9" ht="13.5">
      <c r="A10478" s="128">
        <v>2019</v>
      </c>
      <c r="B10478" s="128" t="s">
        <v>131</v>
      </c>
      <c r="C10478" s="128" t="s">
        <v>26</v>
      </c>
      <c r="D10478" s="128" t="s">
        <v>79</v>
      </c>
      <c r="E10478" s="128" t="s">
        <v>134</v>
      </c>
      <c r="F10478" s="128">
        <v>488178.7</v>
      </c>
      <c r="G10478" s="128">
        <v>207985.97</v>
      </c>
      <c r="H10478" s="128">
        <v>70094.62</v>
      </c>
      <c r="I10478" s="128">
        <v>2053</v>
      </c>
    </row>
    <row r="10479" spans="1:9" ht="13.5">
      <c r="A10479" s="128">
        <v>2019</v>
      </c>
      <c r="B10479" s="128" t="s">
        <v>131</v>
      </c>
      <c r="C10479" s="128" t="s">
        <v>26</v>
      </c>
      <c r="D10479" s="128" t="s">
        <v>79</v>
      </c>
      <c r="E10479" s="128" t="s">
        <v>135</v>
      </c>
      <c r="F10479" s="128">
        <v>7094167.6500000004</v>
      </c>
      <c r="G10479" s="128">
        <v>1565770.36</v>
      </c>
      <c r="H10479" s="128">
        <v>522560.14</v>
      </c>
      <c r="I10479" s="128">
        <v>6039</v>
      </c>
    </row>
    <row r="10480" spans="1:9" ht="13.5">
      <c r="A10480" s="128">
        <v>2019</v>
      </c>
      <c r="B10480" s="128" t="s">
        <v>131</v>
      </c>
      <c r="C10480" s="128" t="s">
        <v>26</v>
      </c>
      <c r="D10480" s="128" t="s">
        <v>77</v>
      </c>
      <c r="E10480" s="128" t="s">
        <v>132</v>
      </c>
      <c r="F10480" s="128">
        <v>70862.820000000007</v>
      </c>
      <c r="G10480" s="128">
        <v>44430.91</v>
      </c>
      <c r="H10480" s="128">
        <v>23873.360000000001</v>
      </c>
      <c r="I10480" s="128">
        <v>294</v>
      </c>
    </row>
    <row r="10481" spans="1:9" ht="13.5">
      <c r="A10481" s="128">
        <v>2019</v>
      </c>
      <c r="B10481" s="128" t="s">
        <v>131</v>
      </c>
      <c r="C10481" s="128" t="s">
        <v>26</v>
      </c>
      <c r="D10481" s="128" t="s">
        <v>77</v>
      </c>
      <c r="E10481" s="128" t="s">
        <v>133</v>
      </c>
      <c r="F10481" s="128">
        <v>175746.46</v>
      </c>
      <c r="G10481" s="128">
        <v>96072.46</v>
      </c>
      <c r="H10481" s="128">
        <v>74099.27</v>
      </c>
      <c r="I10481" s="128">
        <v>1210</v>
      </c>
    </row>
    <row r="10482" spans="1:9" ht="13.5">
      <c r="A10482" s="128">
        <v>2019</v>
      </c>
      <c r="B10482" s="128" t="s">
        <v>131</v>
      </c>
      <c r="C10482" s="128" t="s">
        <v>26</v>
      </c>
      <c r="D10482" s="128" t="s">
        <v>77</v>
      </c>
      <c r="E10482" s="128" t="s">
        <v>134</v>
      </c>
      <c r="F10482" s="128">
        <v>627273.1</v>
      </c>
      <c r="G10482" s="128">
        <v>264207.58</v>
      </c>
      <c r="H10482" s="128">
        <v>265542.14</v>
      </c>
      <c r="I10482" s="128">
        <v>1293</v>
      </c>
    </row>
    <row r="10483" spans="1:9" ht="13.5">
      <c r="A10483" s="128">
        <v>2019</v>
      </c>
      <c r="B10483" s="128" t="s">
        <v>131</v>
      </c>
      <c r="C10483" s="128" t="s">
        <v>26</v>
      </c>
      <c r="D10483" s="128" t="s">
        <v>77</v>
      </c>
      <c r="E10483" s="128" t="s">
        <v>135</v>
      </c>
      <c r="F10483" s="128">
        <v>3908517.45</v>
      </c>
      <c r="G10483" s="128">
        <v>1043985.5</v>
      </c>
      <c r="H10483" s="128">
        <v>1120342.1399999999</v>
      </c>
      <c r="I10483" s="128">
        <v>12898</v>
      </c>
    </row>
    <row r="10484" spans="1:9" ht="13.5">
      <c r="A10484" s="128">
        <v>2019</v>
      </c>
      <c r="B10484" s="128" t="s">
        <v>131</v>
      </c>
      <c r="C10484" s="128" t="s">
        <v>26</v>
      </c>
      <c r="D10484" s="128" t="s">
        <v>76</v>
      </c>
      <c r="E10484" s="128" t="s">
        <v>136</v>
      </c>
      <c r="F10484" s="128">
        <v>487621.66</v>
      </c>
      <c r="G10484" s="128">
        <v>366426.05</v>
      </c>
      <c r="H10484" s="128">
        <v>121181.91</v>
      </c>
      <c r="I10484" s="128">
        <v>14436</v>
      </c>
    </row>
    <row r="10485" spans="1:9" ht="13.5">
      <c r="A10485" s="128">
        <v>2019</v>
      </c>
      <c r="B10485" s="128" t="s">
        <v>131</v>
      </c>
      <c r="C10485" s="128" t="s">
        <v>26</v>
      </c>
      <c r="D10485" s="128" t="s">
        <v>76</v>
      </c>
      <c r="E10485" s="128" t="s">
        <v>132</v>
      </c>
      <c r="F10485" s="128">
        <v>1977122.01</v>
      </c>
      <c r="G10485" s="128">
        <v>1256344.8799999999</v>
      </c>
      <c r="H10485" s="128">
        <v>720777.13</v>
      </c>
      <c r="I10485" s="128">
        <v>19140</v>
      </c>
    </row>
    <row r="10486" spans="1:9" ht="13.5">
      <c r="A10486" s="128">
        <v>2019</v>
      </c>
      <c r="B10486" s="128" t="s">
        <v>131</v>
      </c>
      <c r="C10486" s="128" t="s">
        <v>26</v>
      </c>
      <c r="D10486" s="128" t="s">
        <v>76</v>
      </c>
      <c r="E10486" s="128" t="s">
        <v>133</v>
      </c>
      <c r="F10486" s="128">
        <v>4062426.98</v>
      </c>
      <c r="G10486" s="128">
        <v>2244637.44</v>
      </c>
      <c r="H10486" s="128">
        <v>1817785.55</v>
      </c>
      <c r="I10486" s="128">
        <v>34091</v>
      </c>
    </row>
    <row r="10487" spans="1:9" ht="13.5">
      <c r="A10487" s="128">
        <v>2019</v>
      </c>
      <c r="B10487" s="128" t="s">
        <v>131</v>
      </c>
      <c r="C10487" s="128" t="s">
        <v>26</v>
      </c>
      <c r="D10487" s="128" t="s">
        <v>76</v>
      </c>
      <c r="E10487" s="128" t="s">
        <v>134</v>
      </c>
      <c r="F10487" s="128">
        <v>2933249.33</v>
      </c>
      <c r="G10487" s="128">
        <v>1338284.72</v>
      </c>
      <c r="H10487" s="128">
        <v>1594911.84</v>
      </c>
      <c r="I10487" s="128">
        <v>16547</v>
      </c>
    </row>
    <row r="10488" spans="1:9" ht="13.5">
      <c r="A10488" s="128">
        <v>2019</v>
      </c>
      <c r="B10488" s="128" t="s">
        <v>131</v>
      </c>
      <c r="C10488" s="128" t="s">
        <v>26</v>
      </c>
      <c r="D10488" s="128" t="s">
        <v>76</v>
      </c>
      <c r="E10488" s="128" t="s">
        <v>135</v>
      </c>
      <c r="F10488" s="128">
        <v>275097.52</v>
      </c>
      <c r="G10488" s="128">
        <v>76727.22</v>
      </c>
      <c r="H10488" s="128">
        <v>198370.3</v>
      </c>
      <c r="I10488" s="128">
        <v>581</v>
      </c>
    </row>
    <row r="10489" spans="1:9" ht="13.5">
      <c r="A10489" s="128">
        <v>2019</v>
      </c>
      <c r="B10489" s="128" t="s">
        <v>131</v>
      </c>
      <c r="C10489" s="128" t="s">
        <v>27</v>
      </c>
      <c r="D10489" s="128" t="s">
        <v>79</v>
      </c>
      <c r="E10489" s="128" t="s">
        <v>136</v>
      </c>
      <c r="F10489" s="128">
        <v>220387.21</v>
      </c>
      <c r="G10489" s="128">
        <v>165087.51</v>
      </c>
      <c r="H10489" s="128">
        <v>54978.73</v>
      </c>
      <c r="I10489" s="128">
        <v>985</v>
      </c>
    </row>
    <row r="10490" spans="1:9" ht="13.5">
      <c r="A10490" s="128">
        <v>2019</v>
      </c>
      <c r="B10490" s="128" t="s">
        <v>131</v>
      </c>
      <c r="C10490" s="128" t="s">
        <v>27</v>
      </c>
      <c r="D10490" s="128" t="s">
        <v>79</v>
      </c>
      <c r="E10490" s="128" t="s">
        <v>132</v>
      </c>
      <c r="F10490" s="128">
        <v>18014.849999999999</v>
      </c>
      <c r="G10490" s="128">
        <v>12358.35</v>
      </c>
      <c r="H10490" s="128">
        <v>4296.95</v>
      </c>
      <c r="I10490" s="128">
        <v>40</v>
      </c>
    </row>
    <row r="10491" spans="1:9" ht="13.5">
      <c r="A10491" s="128">
        <v>2019</v>
      </c>
      <c r="B10491" s="128" t="s">
        <v>131</v>
      </c>
      <c r="C10491" s="128" t="s">
        <v>27</v>
      </c>
      <c r="D10491" s="128" t="s">
        <v>79</v>
      </c>
      <c r="E10491" s="128" t="s">
        <v>133</v>
      </c>
      <c r="F10491" s="128">
        <v>21085.86</v>
      </c>
      <c r="G10491" s="128">
        <v>11392.14</v>
      </c>
      <c r="H10491" s="128">
        <v>3717.36</v>
      </c>
      <c r="I10491" s="128">
        <v>43</v>
      </c>
    </row>
    <row r="10492" spans="1:9" ht="13.5">
      <c r="A10492" s="128">
        <v>2019</v>
      </c>
      <c r="B10492" s="128" t="s">
        <v>131</v>
      </c>
      <c r="C10492" s="128" t="s">
        <v>27</v>
      </c>
      <c r="D10492" s="128" t="s">
        <v>79</v>
      </c>
      <c r="E10492" s="128" t="s">
        <v>134</v>
      </c>
      <c r="F10492" s="128">
        <v>75172.38</v>
      </c>
      <c r="G10492" s="128">
        <v>32604.240000000002</v>
      </c>
      <c r="H10492" s="128">
        <v>10871.25</v>
      </c>
      <c r="I10492" s="128">
        <v>272</v>
      </c>
    </row>
    <row r="10493" spans="1:9" ht="13.5">
      <c r="A10493" s="128">
        <v>2019</v>
      </c>
      <c r="B10493" s="128" t="s">
        <v>131</v>
      </c>
      <c r="C10493" s="128" t="s">
        <v>27</v>
      </c>
      <c r="D10493" s="128" t="s">
        <v>79</v>
      </c>
      <c r="E10493" s="128" t="s">
        <v>135</v>
      </c>
      <c r="F10493" s="128">
        <v>1111840.47</v>
      </c>
      <c r="G10493" s="128">
        <v>248612.5</v>
      </c>
      <c r="H10493" s="128">
        <v>82859.78</v>
      </c>
      <c r="I10493" s="128">
        <v>799</v>
      </c>
    </row>
    <row r="10494" spans="1:9" ht="13.5">
      <c r="A10494" s="128">
        <v>2019</v>
      </c>
      <c r="B10494" s="128" t="s">
        <v>131</v>
      </c>
      <c r="C10494" s="128" t="s">
        <v>27</v>
      </c>
      <c r="D10494" s="128" t="s">
        <v>77</v>
      </c>
      <c r="E10494" s="128" t="s">
        <v>132</v>
      </c>
      <c r="F10494" s="128">
        <v>33115.64</v>
      </c>
      <c r="G10494" s="128">
        <v>21821.33</v>
      </c>
      <c r="H10494" s="128">
        <v>8562.2000000000007</v>
      </c>
      <c r="I10494" s="128">
        <v>168</v>
      </c>
    </row>
    <row r="10495" spans="1:9" ht="13.5">
      <c r="A10495" s="128">
        <v>2019</v>
      </c>
      <c r="B10495" s="128" t="s">
        <v>131</v>
      </c>
      <c r="C10495" s="128" t="s">
        <v>27</v>
      </c>
      <c r="D10495" s="128" t="s">
        <v>77</v>
      </c>
      <c r="E10495" s="128" t="s">
        <v>133</v>
      </c>
      <c r="F10495" s="128">
        <v>59375.49</v>
      </c>
      <c r="G10495" s="128">
        <v>32106.799999999999</v>
      </c>
      <c r="H10495" s="128">
        <v>23883.66</v>
      </c>
      <c r="I10495" s="128">
        <v>168</v>
      </c>
    </row>
    <row r="10496" spans="1:9" ht="13.5">
      <c r="A10496" s="128">
        <v>2019</v>
      </c>
      <c r="B10496" s="128" t="s">
        <v>131</v>
      </c>
      <c r="C10496" s="128" t="s">
        <v>27</v>
      </c>
      <c r="D10496" s="128" t="s">
        <v>77</v>
      </c>
      <c r="E10496" s="128" t="s">
        <v>134</v>
      </c>
      <c r="F10496" s="128">
        <v>279183.24</v>
      </c>
      <c r="G10496" s="128">
        <v>118739.14</v>
      </c>
      <c r="H10496" s="128">
        <v>123471.29</v>
      </c>
      <c r="I10496" s="128">
        <v>485</v>
      </c>
    </row>
    <row r="10497" spans="1:9" ht="13.5">
      <c r="A10497" s="128">
        <v>2019</v>
      </c>
      <c r="B10497" s="128" t="s">
        <v>131</v>
      </c>
      <c r="C10497" s="128" t="s">
        <v>27</v>
      </c>
      <c r="D10497" s="128" t="s">
        <v>77</v>
      </c>
      <c r="E10497" s="128" t="s">
        <v>135</v>
      </c>
      <c r="F10497" s="128">
        <v>550975.69999999995</v>
      </c>
      <c r="G10497" s="128">
        <v>146695.35999999999</v>
      </c>
      <c r="H10497" s="128">
        <v>169135.32</v>
      </c>
      <c r="I10497" s="128">
        <v>1813</v>
      </c>
    </row>
    <row r="10498" spans="1:9" ht="13.5">
      <c r="A10498" s="128">
        <v>2019</v>
      </c>
      <c r="B10498" s="128" t="s">
        <v>131</v>
      </c>
      <c r="C10498" s="128" t="s">
        <v>27</v>
      </c>
      <c r="D10498" s="128" t="s">
        <v>76</v>
      </c>
      <c r="E10498" s="128" t="s">
        <v>136</v>
      </c>
      <c r="F10498" s="128">
        <v>515779.36</v>
      </c>
      <c r="G10498" s="128">
        <v>386961.84</v>
      </c>
      <c r="H10498" s="128">
        <v>128817.52</v>
      </c>
      <c r="I10498" s="128">
        <v>7662</v>
      </c>
    </row>
    <row r="10499" spans="1:9" ht="13.5">
      <c r="A10499" s="128">
        <v>2019</v>
      </c>
      <c r="B10499" s="128" t="s">
        <v>131</v>
      </c>
      <c r="C10499" s="128" t="s">
        <v>27</v>
      </c>
      <c r="D10499" s="128" t="s">
        <v>76</v>
      </c>
      <c r="E10499" s="128" t="s">
        <v>132</v>
      </c>
      <c r="F10499" s="128">
        <v>519575.93</v>
      </c>
      <c r="G10499" s="128">
        <v>329386.2</v>
      </c>
      <c r="H10499" s="128">
        <v>190188.48</v>
      </c>
      <c r="I10499" s="128">
        <v>3699</v>
      </c>
    </row>
    <row r="10500" spans="1:9" ht="13.5">
      <c r="A10500" s="128">
        <v>2019</v>
      </c>
      <c r="B10500" s="128" t="s">
        <v>131</v>
      </c>
      <c r="C10500" s="128" t="s">
        <v>27</v>
      </c>
      <c r="D10500" s="128" t="s">
        <v>76</v>
      </c>
      <c r="E10500" s="128" t="s">
        <v>133</v>
      </c>
      <c r="F10500" s="128">
        <v>1558452.99</v>
      </c>
      <c r="G10500" s="128">
        <v>849172.01</v>
      </c>
      <c r="H10500" s="128">
        <v>709278.78</v>
      </c>
      <c r="I10500" s="128">
        <v>7860</v>
      </c>
    </row>
    <row r="10501" spans="1:9" ht="13.5">
      <c r="A10501" s="128">
        <v>2019</v>
      </c>
      <c r="B10501" s="128" t="s">
        <v>131</v>
      </c>
      <c r="C10501" s="128" t="s">
        <v>27</v>
      </c>
      <c r="D10501" s="128" t="s">
        <v>76</v>
      </c>
      <c r="E10501" s="128" t="s">
        <v>134</v>
      </c>
      <c r="F10501" s="128">
        <v>2488465.14</v>
      </c>
      <c r="G10501" s="128">
        <v>1138953.6499999999</v>
      </c>
      <c r="H10501" s="128">
        <v>1349497.98</v>
      </c>
      <c r="I10501" s="128">
        <v>11085</v>
      </c>
    </row>
    <row r="10502" spans="1:9" ht="13.5">
      <c r="A10502" s="128">
        <v>2019</v>
      </c>
      <c r="B10502" s="128" t="s">
        <v>131</v>
      </c>
      <c r="C10502" s="128" t="s">
        <v>27</v>
      </c>
      <c r="D10502" s="128" t="s">
        <v>76</v>
      </c>
      <c r="E10502" s="128" t="s">
        <v>135</v>
      </c>
      <c r="F10502" s="128">
        <v>63586.35</v>
      </c>
      <c r="G10502" s="128">
        <v>19927.650000000001</v>
      </c>
      <c r="H10502" s="128">
        <v>43658.7</v>
      </c>
      <c r="I10502" s="128">
        <v>77</v>
      </c>
    </row>
    <row r="10503" spans="1:9" ht="13.5">
      <c r="A10503" s="128">
        <v>2019</v>
      </c>
      <c r="B10503" s="128" t="s">
        <v>138</v>
      </c>
      <c r="C10503" s="128" t="s">
        <v>20</v>
      </c>
      <c r="D10503" s="128" t="s">
        <v>79</v>
      </c>
      <c r="E10503" s="128" t="s">
        <v>136</v>
      </c>
      <c r="F10503" s="128">
        <v>33290637.23</v>
      </c>
      <c r="G10503" s="128">
        <v>24965163.199999999</v>
      </c>
      <c r="H10503" s="128">
        <v>8308447.0300000003</v>
      </c>
      <c r="I10503" s="128">
        <v>329074</v>
      </c>
    </row>
    <row r="10504" spans="1:9" ht="13.5">
      <c r="A10504" s="128">
        <v>2019</v>
      </c>
      <c r="B10504" s="128" t="s">
        <v>138</v>
      </c>
      <c r="C10504" s="128" t="s">
        <v>20</v>
      </c>
      <c r="D10504" s="128" t="s">
        <v>79</v>
      </c>
      <c r="E10504" s="128" t="s">
        <v>132</v>
      </c>
      <c r="F10504" s="128">
        <v>3787642.27</v>
      </c>
      <c r="G10504" s="128">
        <v>2482942.0099999998</v>
      </c>
      <c r="H10504" s="128">
        <v>1072195.3899999999</v>
      </c>
      <c r="I10504" s="128">
        <v>21088</v>
      </c>
    </row>
    <row r="10505" spans="1:9" ht="13.5">
      <c r="A10505" s="128">
        <v>2019</v>
      </c>
      <c r="B10505" s="128" t="s">
        <v>138</v>
      </c>
      <c r="C10505" s="128" t="s">
        <v>20</v>
      </c>
      <c r="D10505" s="128" t="s">
        <v>79</v>
      </c>
      <c r="E10505" s="128" t="s">
        <v>133</v>
      </c>
      <c r="F10505" s="128">
        <v>4157570.06</v>
      </c>
      <c r="G10505" s="128">
        <v>2237480.2999999998</v>
      </c>
      <c r="H10505" s="128">
        <v>1473047.09</v>
      </c>
      <c r="I10505" s="128">
        <v>20718</v>
      </c>
    </row>
    <row r="10506" spans="1:9" ht="13.5">
      <c r="A10506" s="128">
        <v>2019</v>
      </c>
      <c r="B10506" s="128" t="s">
        <v>138</v>
      </c>
      <c r="C10506" s="128" t="s">
        <v>20</v>
      </c>
      <c r="D10506" s="128" t="s">
        <v>79</v>
      </c>
      <c r="E10506" s="128" t="s">
        <v>134</v>
      </c>
      <c r="F10506" s="128">
        <v>9128706.8900000006</v>
      </c>
      <c r="G10506" s="128">
        <v>4000716.66</v>
      </c>
      <c r="H10506" s="128">
        <v>2620167.31</v>
      </c>
      <c r="I10506" s="128">
        <v>38777</v>
      </c>
    </row>
    <row r="10507" spans="1:9" ht="13.5">
      <c r="A10507" s="128">
        <v>2019</v>
      </c>
      <c r="B10507" s="128" t="s">
        <v>138</v>
      </c>
      <c r="C10507" s="128" t="s">
        <v>20</v>
      </c>
      <c r="D10507" s="128" t="s">
        <v>79</v>
      </c>
      <c r="E10507" s="128" t="s">
        <v>135</v>
      </c>
      <c r="F10507" s="128">
        <v>77925670.549999997</v>
      </c>
      <c r="G10507" s="128">
        <v>16992464.059999999</v>
      </c>
      <c r="H10507" s="128">
        <v>6028044.1500000004</v>
      </c>
      <c r="I10507" s="128">
        <v>75710</v>
      </c>
    </row>
    <row r="10508" spans="1:9" ht="13.5">
      <c r="A10508" s="128">
        <v>2019</v>
      </c>
      <c r="B10508" s="128" t="s">
        <v>138</v>
      </c>
      <c r="C10508" s="128" t="s">
        <v>20</v>
      </c>
      <c r="D10508" s="128" t="s">
        <v>77</v>
      </c>
      <c r="E10508" s="128" t="s">
        <v>132</v>
      </c>
      <c r="F10508" s="128">
        <v>2954719.14</v>
      </c>
      <c r="G10508" s="128">
        <v>1933601.27</v>
      </c>
      <c r="H10508" s="128">
        <v>907844.79</v>
      </c>
      <c r="I10508" s="128">
        <v>13332</v>
      </c>
    </row>
    <row r="10509" spans="1:9" ht="13.5">
      <c r="A10509" s="128">
        <v>2019</v>
      </c>
      <c r="B10509" s="128" t="s">
        <v>138</v>
      </c>
      <c r="C10509" s="128" t="s">
        <v>20</v>
      </c>
      <c r="D10509" s="128" t="s">
        <v>77</v>
      </c>
      <c r="E10509" s="128" t="s">
        <v>133</v>
      </c>
      <c r="F10509" s="128">
        <v>5160136.82</v>
      </c>
      <c r="G10509" s="128">
        <v>2782195.18</v>
      </c>
      <c r="H10509" s="128">
        <v>2146568.91</v>
      </c>
      <c r="I10509" s="128">
        <v>24910</v>
      </c>
    </row>
    <row r="10510" spans="1:9" ht="13.5">
      <c r="A10510" s="128">
        <v>2019</v>
      </c>
      <c r="B10510" s="128" t="s">
        <v>138</v>
      </c>
      <c r="C10510" s="128" t="s">
        <v>20</v>
      </c>
      <c r="D10510" s="128" t="s">
        <v>77</v>
      </c>
      <c r="E10510" s="128" t="s">
        <v>134</v>
      </c>
      <c r="F10510" s="128">
        <v>16961459.670000002</v>
      </c>
      <c r="G10510" s="128">
        <v>7284458.4199999999</v>
      </c>
      <c r="H10510" s="128">
        <v>7512561.21</v>
      </c>
      <c r="I10510" s="128">
        <v>36654</v>
      </c>
    </row>
    <row r="10511" spans="1:9" ht="13.5">
      <c r="A10511" s="128">
        <v>2019</v>
      </c>
      <c r="B10511" s="128" t="s">
        <v>138</v>
      </c>
      <c r="C10511" s="128" t="s">
        <v>20</v>
      </c>
      <c r="D10511" s="128" t="s">
        <v>77</v>
      </c>
      <c r="E10511" s="128" t="s">
        <v>135</v>
      </c>
      <c r="F10511" s="128">
        <v>43943023.140000001</v>
      </c>
      <c r="G10511" s="128">
        <v>11614440.640000001</v>
      </c>
      <c r="H10511" s="128">
        <v>13708085.48</v>
      </c>
      <c r="I10511" s="128">
        <v>147222</v>
      </c>
    </row>
    <row r="10512" spans="1:9" ht="13.5">
      <c r="A10512" s="128">
        <v>2019</v>
      </c>
      <c r="B10512" s="128" t="s">
        <v>138</v>
      </c>
      <c r="C10512" s="128" t="s">
        <v>20</v>
      </c>
      <c r="D10512" s="128" t="s">
        <v>76</v>
      </c>
      <c r="E10512" s="128" t="s">
        <v>136</v>
      </c>
      <c r="F10512" s="128">
        <v>29950904.93</v>
      </c>
      <c r="G10512" s="128">
        <v>22488566.870000001</v>
      </c>
      <c r="H10512" s="128">
        <v>7462325.7599999998</v>
      </c>
      <c r="I10512" s="128">
        <v>887317</v>
      </c>
    </row>
    <row r="10513" spans="1:9" ht="13.5">
      <c r="A10513" s="128">
        <v>2019</v>
      </c>
      <c r="B10513" s="128" t="s">
        <v>138</v>
      </c>
      <c r="C10513" s="128" t="s">
        <v>20</v>
      </c>
      <c r="D10513" s="128" t="s">
        <v>76</v>
      </c>
      <c r="E10513" s="128" t="s">
        <v>132</v>
      </c>
      <c r="F10513" s="128">
        <v>51250606.560000002</v>
      </c>
      <c r="G10513" s="128">
        <v>32466697.859999999</v>
      </c>
      <c r="H10513" s="128">
        <v>18783854.559999999</v>
      </c>
      <c r="I10513" s="128">
        <v>483303</v>
      </c>
    </row>
    <row r="10514" spans="1:9" ht="13.5">
      <c r="A10514" s="128">
        <v>2019</v>
      </c>
      <c r="B10514" s="128" t="s">
        <v>138</v>
      </c>
      <c r="C10514" s="128" t="s">
        <v>20</v>
      </c>
      <c r="D10514" s="128" t="s">
        <v>76</v>
      </c>
      <c r="E10514" s="128" t="s">
        <v>133</v>
      </c>
      <c r="F10514" s="128">
        <v>96350272.060000002</v>
      </c>
      <c r="G10514" s="128">
        <v>52645989.079999998</v>
      </c>
      <c r="H10514" s="128">
        <v>43704249.109999999</v>
      </c>
      <c r="I10514" s="128">
        <v>584027</v>
      </c>
    </row>
    <row r="10515" spans="1:9" ht="13.5">
      <c r="A10515" s="128">
        <v>2019</v>
      </c>
      <c r="B10515" s="128" t="s">
        <v>138</v>
      </c>
      <c r="C10515" s="128" t="s">
        <v>20</v>
      </c>
      <c r="D10515" s="128" t="s">
        <v>76</v>
      </c>
      <c r="E10515" s="128" t="s">
        <v>134</v>
      </c>
      <c r="F10515" s="128">
        <v>112486909.15000001</v>
      </c>
      <c r="G10515" s="128">
        <v>51142930.229999997</v>
      </c>
      <c r="H10515" s="128">
        <v>61343907</v>
      </c>
      <c r="I10515" s="128">
        <v>607951</v>
      </c>
    </row>
    <row r="10516" spans="1:9" ht="13.5">
      <c r="A10516" s="128">
        <v>2019</v>
      </c>
      <c r="B10516" s="128" t="s">
        <v>138</v>
      </c>
      <c r="C10516" s="128" t="s">
        <v>20</v>
      </c>
      <c r="D10516" s="128" t="s">
        <v>76</v>
      </c>
      <c r="E10516" s="128" t="s">
        <v>135</v>
      </c>
      <c r="F10516" s="128">
        <v>7068558.0700000003</v>
      </c>
      <c r="G10516" s="128">
        <v>2042482.62</v>
      </c>
      <c r="H10516" s="128">
        <v>5026074.92</v>
      </c>
      <c r="I10516" s="128">
        <v>14600</v>
      </c>
    </row>
    <row r="10517" spans="1:9" ht="13.5">
      <c r="A10517" s="128">
        <v>2019</v>
      </c>
      <c r="B10517" s="128" t="s">
        <v>138</v>
      </c>
      <c r="C10517" s="128" t="s">
        <v>21</v>
      </c>
      <c r="D10517" s="128" t="s">
        <v>79</v>
      </c>
      <c r="E10517" s="128" t="s">
        <v>136</v>
      </c>
      <c r="F10517" s="128">
        <v>9036995</v>
      </c>
      <c r="G10517" s="128">
        <v>6799688.4000000004</v>
      </c>
      <c r="H10517" s="128">
        <v>2223857.2400000002</v>
      </c>
      <c r="I10517" s="128">
        <v>159656</v>
      </c>
    </row>
    <row r="10518" spans="1:9" ht="13.5">
      <c r="A10518" s="128">
        <v>2019</v>
      </c>
      <c r="B10518" s="128" t="s">
        <v>138</v>
      </c>
      <c r="C10518" s="128" t="s">
        <v>21</v>
      </c>
      <c r="D10518" s="128" t="s">
        <v>79</v>
      </c>
      <c r="E10518" s="128" t="s">
        <v>132</v>
      </c>
      <c r="F10518" s="128">
        <v>2431239.77</v>
      </c>
      <c r="G10518" s="128">
        <v>1616053.06</v>
      </c>
      <c r="H10518" s="128">
        <v>644853.34</v>
      </c>
      <c r="I10518" s="128">
        <v>10923</v>
      </c>
    </row>
    <row r="10519" spans="1:9" ht="13.5">
      <c r="A10519" s="128">
        <v>2019</v>
      </c>
      <c r="B10519" s="128" t="s">
        <v>138</v>
      </c>
      <c r="C10519" s="128" t="s">
        <v>21</v>
      </c>
      <c r="D10519" s="128" t="s">
        <v>79</v>
      </c>
      <c r="E10519" s="128" t="s">
        <v>133</v>
      </c>
      <c r="F10519" s="128">
        <v>4925582.0599999996</v>
      </c>
      <c r="G10519" s="128">
        <v>2695101.72</v>
      </c>
      <c r="H10519" s="128">
        <v>1717277.21</v>
      </c>
      <c r="I10519" s="128">
        <v>56095</v>
      </c>
    </row>
    <row r="10520" spans="1:9" ht="13.5">
      <c r="A10520" s="128">
        <v>2019</v>
      </c>
      <c r="B10520" s="128" t="s">
        <v>138</v>
      </c>
      <c r="C10520" s="128" t="s">
        <v>21</v>
      </c>
      <c r="D10520" s="128" t="s">
        <v>79</v>
      </c>
      <c r="E10520" s="128" t="s">
        <v>134</v>
      </c>
      <c r="F10520" s="128">
        <v>9026133.5099999998</v>
      </c>
      <c r="G10520" s="128">
        <v>3889709.51</v>
      </c>
      <c r="H10520" s="128">
        <v>3013310.49</v>
      </c>
      <c r="I10520" s="128">
        <v>50945</v>
      </c>
    </row>
    <row r="10521" spans="1:9" ht="13.5">
      <c r="A10521" s="128">
        <v>2019</v>
      </c>
      <c r="B10521" s="128" t="s">
        <v>138</v>
      </c>
      <c r="C10521" s="128" t="s">
        <v>21</v>
      </c>
      <c r="D10521" s="128" t="s">
        <v>79</v>
      </c>
      <c r="E10521" s="128" t="s">
        <v>135</v>
      </c>
      <c r="F10521" s="128">
        <v>25412280.43</v>
      </c>
      <c r="G10521" s="128">
        <v>5829615.8899999997</v>
      </c>
      <c r="H10521" s="128">
        <v>2306913.4900000002</v>
      </c>
      <c r="I10521" s="128">
        <v>26332</v>
      </c>
    </row>
    <row r="10522" spans="1:9" ht="13.5">
      <c r="A10522" s="128">
        <v>2019</v>
      </c>
      <c r="B10522" s="128" t="s">
        <v>138</v>
      </c>
      <c r="C10522" s="128" t="s">
        <v>21</v>
      </c>
      <c r="D10522" s="128" t="s">
        <v>77</v>
      </c>
      <c r="E10522" s="128" t="s">
        <v>132</v>
      </c>
      <c r="F10522" s="128">
        <v>3344677.06</v>
      </c>
      <c r="G10522" s="128">
        <v>2221900.54</v>
      </c>
      <c r="H10522" s="128">
        <v>974550.99</v>
      </c>
      <c r="I10522" s="128">
        <v>17774</v>
      </c>
    </row>
    <row r="10523" spans="1:9" ht="13.5">
      <c r="A10523" s="128">
        <v>2019</v>
      </c>
      <c r="B10523" s="128" t="s">
        <v>138</v>
      </c>
      <c r="C10523" s="128" t="s">
        <v>21</v>
      </c>
      <c r="D10523" s="128" t="s">
        <v>77</v>
      </c>
      <c r="E10523" s="128" t="s">
        <v>133</v>
      </c>
      <c r="F10523" s="128">
        <v>6737757.2699999996</v>
      </c>
      <c r="G10523" s="128">
        <v>3648010.71</v>
      </c>
      <c r="H10523" s="128">
        <v>2620747.91</v>
      </c>
      <c r="I10523" s="128">
        <v>24771</v>
      </c>
    </row>
    <row r="10524" spans="1:9" ht="13.5">
      <c r="A10524" s="128">
        <v>2019</v>
      </c>
      <c r="B10524" s="128" t="s">
        <v>138</v>
      </c>
      <c r="C10524" s="128" t="s">
        <v>21</v>
      </c>
      <c r="D10524" s="128" t="s">
        <v>77</v>
      </c>
      <c r="E10524" s="128" t="s">
        <v>134</v>
      </c>
      <c r="F10524" s="128">
        <v>15949894.310000001</v>
      </c>
      <c r="G10524" s="128">
        <v>6850785.5700000003</v>
      </c>
      <c r="H10524" s="128">
        <v>6560025.6200000001</v>
      </c>
      <c r="I10524" s="128">
        <v>41282</v>
      </c>
    </row>
    <row r="10525" spans="1:9" ht="13.5">
      <c r="A10525" s="128">
        <v>2019</v>
      </c>
      <c r="B10525" s="128" t="s">
        <v>138</v>
      </c>
      <c r="C10525" s="128" t="s">
        <v>21</v>
      </c>
      <c r="D10525" s="128" t="s">
        <v>77</v>
      </c>
      <c r="E10525" s="128" t="s">
        <v>135</v>
      </c>
      <c r="F10525" s="128">
        <v>39544251.149999999</v>
      </c>
      <c r="G10525" s="128">
        <v>10827287.550000001</v>
      </c>
      <c r="H10525" s="128">
        <v>12587909.470000001</v>
      </c>
      <c r="I10525" s="128">
        <v>151045</v>
      </c>
    </row>
    <row r="10526" spans="1:9" ht="13.5">
      <c r="A10526" s="128">
        <v>2019</v>
      </c>
      <c r="B10526" s="128" t="s">
        <v>138</v>
      </c>
      <c r="C10526" s="128" t="s">
        <v>21</v>
      </c>
      <c r="D10526" s="128" t="s">
        <v>76</v>
      </c>
      <c r="E10526" s="128" t="s">
        <v>136</v>
      </c>
      <c r="F10526" s="128">
        <v>20637219.629999999</v>
      </c>
      <c r="G10526" s="128">
        <v>15496601.85</v>
      </c>
      <c r="H10526" s="128">
        <v>5140620.2300000004</v>
      </c>
      <c r="I10526" s="128">
        <v>337399</v>
      </c>
    </row>
    <row r="10527" spans="1:9" ht="13.5">
      <c r="A10527" s="128">
        <v>2019</v>
      </c>
      <c r="B10527" s="128" t="s">
        <v>138</v>
      </c>
      <c r="C10527" s="128" t="s">
        <v>21</v>
      </c>
      <c r="D10527" s="128" t="s">
        <v>76</v>
      </c>
      <c r="E10527" s="128" t="s">
        <v>132</v>
      </c>
      <c r="F10527" s="128">
        <v>45117314.5</v>
      </c>
      <c r="G10527" s="128">
        <v>28777828.199999999</v>
      </c>
      <c r="H10527" s="128">
        <v>16339444.52</v>
      </c>
      <c r="I10527" s="128">
        <v>386607</v>
      </c>
    </row>
    <row r="10528" spans="1:9" ht="13.5">
      <c r="A10528" s="128">
        <v>2019</v>
      </c>
      <c r="B10528" s="128" t="s">
        <v>138</v>
      </c>
      <c r="C10528" s="128" t="s">
        <v>21</v>
      </c>
      <c r="D10528" s="128" t="s">
        <v>76</v>
      </c>
      <c r="E10528" s="128" t="s">
        <v>133</v>
      </c>
      <c r="F10528" s="128">
        <v>108251840.94</v>
      </c>
      <c r="G10528" s="128">
        <v>59294407.729999997</v>
      </c>
      <c r="H10528" s="128">
        <v>48957391.920000002</v>
      </c>
      <c r="I10528" s="128">
        <v>716136</v>
      </c>
    </row>
    <row r="10529" spans="1:9" ht="13.5">
      <c r="A10529" s="128">
        <v>2019</v>
      </c>
      <c r="B10529" s="128" t="s">
        <v>138</v>
      </c>
      <c r="C10529" s="128" t="s">
        <v>21</v>
      </c>
      <c r="D10529" s="128" t="s">
        <v>76</v>
      </c>
      <c r="E10529" s="128" t="s">
        <v>134</v>
      </c>
      <c r="F10529" s="128">
        <v>97397378.709999993</v>
      </c>
      <c r="G10529" s="128">
        <v>43660934.259999998</v>
      </c>
      <c r="H10529" s="128">
        <v>53736310.299999997</v>
      </c>
      <c r="I10529" s="128">
        <v>537932</v>
      </c>
    </row>
    <row r="10530" spans="1:9" ht="13.5">
      <c r="A10530" s="128">
        <v>2019</v>
      </c>
      <c r="B10530" s="128" t="s">
        <v>138</v>
      </c>
      <c r="C10530" s="128" t="s">
        <v>21</v>
      </c>
      <c r="D10530" s="128" t="s">
        <v>76</v>
      </c>
      <c r="E10530" s="128" t="s">
        <v>135</v>
      </c>
      <c r="F10530" s="128">
        <v>3235215.44</v>
      </c>
      <c r="G10530" s="128">
        <v>854613.98</v>
      </c>
      <c r="H10530" s="128">
        <v>2380601.46</v>
      </c>
      <c r="I10530" s="128">
        <v>3844</v>
      </c>
    </row>
    <row r="10531" spans="1:9" ht="13.5">
      <c r="A10531" s="128">
        <v>2019</v>
      </c>
      <c r="B10531" s="128" t="s">
        <v>138</v>
      </c>
      <c r="C10531" s="128" t="s">
        <v>22</v>
      </c>
      <c r="D10531" s="128" t="s">
        <v>79</v>
      </c>
      <c r="E10531" s="128" t="s">
        <v>136</v>
      </c>
      <c r="F10531" s="128">
        <v>6253176.8899999997</v>
      </c>
      <c r="G10531" s="128">
        <v>4675400.47</v>
      </c>
      <c r="H10531" s="128">
        <v>1547305.31</v>
      </c>
      <c r="I10531" s="128">
        <v>81330</v>
      </c>
    </row>
    <row r="10532" spans="1:9" ht="13.5">
      <c r="A10532" s="128">
        <v>2019</v>
      </c>
      <c r="B10532" s="128" t="s">
        <v>138</v>
      </c>
      <c r="C10532" s="128" t="s">
        <v>22</v>
      </c>
      <c r="D10532" s="128" t="s">
        <v>79</v>
      </c>
      <c r="E10532" s="128" t="s">
        <v>132</v>
      </c>
      <c r="F10532" s="128">
        <v>2787964.09</v>
      </c>
      <c r="G10532" s="128">
        <v>1811119.6</v>
      </c>
      <c r="H10532" s="128">
        <v>858103.91</v>
      </c>
      <c r="I10532" s="128">
        <v>20409</v>
      </c>
    </row>
    <row r="10533" spans="1:9" ht="13.5">
      <c r="A10533" s="128">
        <v>2019</v>
      </c>
      <c r="B10533" s="128" t="s">
        <v>138</v>
      </c>
      <c r="C10533" s="128" t="s">
        <v>22</v>
      </c>
      <c r="D10533" s="128" t="s">
        <v>79</v>
      </c>
      <c r="E10533" s="128" t="s">
        <v>133</v>
      </c>
      <c r="F10533" s="128">
        <v>3447651.4</v>
      </c>
      <c r="G10533" s="128">
        <v>1861835.2</v>
      </c>
      <c r="H10533" s="128">
        <v>1270372.6299999999</v>
      </c>
      <c r="I10533" s="128">
        <v>21393</v>
      </c>
    </row>
    <row r="10534" spans="1:9" ht="13.5">
      <c r="A10534" s="128">
        <v>2019</v>
      </c>
      <c r="B10534" s="128" t="s">
        <v>138</v>
      </c>
      <c r="C10534" s="128" t="s">
        <v>22</v>
      </c>
      <c r="D10534" s="128" t="s">
        <v>79</v>
      </c>
      <c r="E10534" s="128" t="s">
        <v>134</v>
      </c>
      <c r="F10534" s="128">
        <v>7916244.3300000001</v>
      </c>
      <c r="G10534" s="128">
        <v>3459482.68</v>
      </c>
      <c r="H10534" s="128">
        <v>2496517.69</v>
      </c>
      <c r="I10534" s="128">
        <v>49487</v>
      </c>
    </row>
    <row r="10535" spans="1:9" ht="13.5">
      <c r="A10535" s="128">
        <v>2019</v>
      </c>
      <c r="B10535" s="128" t="s">
        <v>138</v>
      </c>
      <c r="C10535" s="128" t="s">
        <v>22</v>
      </c>
      <c r="D10535" s="128" t="s">
        <v>79</v>
      </c>
      <c r="E10535" s="128" t="s">
        <v>135</v>
      </c>
      <c r="F10535" s="128">
        <v>35512026.450000003</v>
      </c>
      <c r="G10535" s="128">
        <v>8182600.5999999996</v>
      </c>
      <c r="H10535" s="128">
        <v>2992322.26</v>
      </c>
      <c r="I10535" s="128">
        <v>35984</v>
      </c>
    </row>
    <row r="10536" spans="1:9" ht="13.5">
      <c r="A10536" s="128">
        <v>2019</v>
      </c>
      <c r="B10536" s="128" t="s">
        <v>138</v>
      </c>
      <c r="C10536" s="128" t="s">
        <v>22</v>
      </c>
      <c r="D10536" s="128" t="s">
        <v>77</v>
      </c>
      <c r="E10536" s="128" t="s">
        <v>132</v>
      </c>
      <c r="F10536" s="128">
        <v>1778630.1</v>
      </c>
      <c r="G10536" s="128">
        <v>1178126.02</v>
      </c>
      <c r="H10536" s="128">
        <v>518140.36</v>
      </c>
      <c r="I10536" s="128">
        <v>9953</v>
      </c>
    </row>
    <row r="10537" spans="1:9" ht="13.5">
      <c r="A10537" s="128">
        <v>2019</v>
      </c>
      <c r="B10537" s="128" t="s">
        <v>138</v>
      </c>
      <c r="C10537" s="128" t="s">
        <v>22</v>
      </c>
      <c r="D10537" s="128" t="s">
        <v>77</v>
      </c>
      <c r="E10537" s="128" t="s">
        <v>133</v>
      </c>
      <c r="F10537" s="128">
        <v>3343519.35</v>
      </c>
      <c r="G10537" s="128">
        <v>1809094.14</v>
      </c>
      <c r="H10537" s="128">
        <v>1272699.47</v>
      </c>
      <c r="I10537" s="128">
        <v>16744</v>
      </c>
    </row>
    <row r="10538" spans="1:9" ht="13.5">
      <c r="A10538" s="128">
        <v>2019</v>
      </c>
      <c r="B10538" s="128" t="s">
        <v>138</v>
      </c>
      <c r="C10538" s="128" t="s">
        <v>22</v>
      </c>
      <c r="D10538" s="128" t="s">
        <v>77</v>
      </c>
      <c r="E10538" s="128" t="s">
        <v>134</v>
      </c>
      <c r="F10538" s="128">
        <v>15027185.4</v>
      </c>
      <c r="G10538" s="128">
        <v>6348642.6900000004</v>
      </c>
      <c r="H10538" s="128">
        <v>6415145.4900000002</v>
      </c>
      <c r="I10538" s="128">
        <v>21965</v>
      </c>
    </row>
    <row r="10539" spans="1:9" ht="13.5">
      <c r="A10539" s="128">
        <v>2019</v>
      </c>
      <c r="B10539" s="128" t="s">
        <v>138</v>
      </c>
      <c r="C10539" s="128" t="s">
        <v>22</v>
      </c>
      <c r="D10539" s="128" t="s">
        <v>77</v>
      </c>
      <c r="E10539" s="128" t="s">
        <v>135</v>
      </c>
      <c r="F10539" s="128">
        <v>31980537.93</v>
      </c>
      <c r="G10539" s="128">
        <v>8477740.3900000006</v>
      </c>
      <c r="H10539" s="128">
        <v>9633558.3599999994</v>
      </c>
      <c r="I10539" s="128">
        <v>79607</v>
      </c>
    </row>
    <row r="10540" spans="1:9" ht="13.5">
      <c r="A10540" s="128">
        <v>2019</v>
      </c>
      <c r="B10540" s="128" t="s">
        <v>138</v>
      </c>
      <c r="C10540" s="128" t="s">
        <v>22</v>
      </c>
      <c r="D10540" s="128" t="s">
        <v>76</v>
      </c>
      <c r="E10540" s="128" t="s">
        <v>136</v>
      </c>
      <c r="F10540" s="128">
        <v>15699638.17</v>
      </c>
      <c r="G10540" s="128">
        <v>11782779.83</v>
      </c>
      <c r="H10540" s="128">
        <v>3916856.6</v>
      </c>
      <c r="I10540" s="128">
        <v>255856</v>
      </c>
    </row>
    <row r="10541" spans="1:9" ht="13.5">
      <c r="A10541" s="128">
        <v>2019</v>
      </c>
      <c r="B10541" s="128" t="s">
        <v>138</v>
      </c>
      <c r="C10541" s="128" t="s">
        <v>22</v>
      </c>
      <c r="D10541" s="128" t="s">
        <v>76</v>
      </c>
      <c r="E10541" s="128" t="s">
        <v>132</v>
      </c>
      <c r="F10541" s="128">
        <v>41728558.590000004</v>
      </c>
      <c r="G10541" s="128">
        <v>26590860.41</v>
      </c>
      <c r="H10541" s="128">
        <v>15137556.789999999</v>
      </c>
      <c r="I10541" s="128">
        <v>402522</v>
      </c>
    </row>
    <row r="10542" spans="1:9" ht="13.5">
      <c r="A10542" s="128">
        <v>2019</v>
      </c>
      <c r="B10542" s="128" t="s">
        <v>138</v>
      </c>
      <c r="C10542" s="128" t="s">
        <v>22</v>
      </c>
      <c r="D10542" s="128" t="s">
        <v>76</v>
      </c>
      <c r="E10542" s="128" t="s">
        <v>133</v>
      </c>
      <c r="F10542" s="128">
        <v>73500039.840000004</v>
      </c>
      <c r="G10542" s="128">
        <v>40529093.420000002</v>
      </c>
      <c r="H10542" s="128">
        <v>32970209.68</v>
      </c>
      <c r="I10542" s="128">
        <v>585992</v>
      </c>
    </row>
    <row r="10543" spans="1:9" ht="13.5">
      <c r="A10543" s="128">
        <v>2019</v>
      </c>
      <c r="B10543" s="128" t="s">
        <v>138</v>
      </c>
      <c r="C10543" s="128" t="s">
        <v>22</v>
      </c>
      <c r="D10543" s="128" t="s">
        <v>76</v>
      </c>
      <c r="E10543" s="128" t="s">
        <v>134</v>
      </c>
      <c r="F10543" s="128">
        <v>70865521.939999998</v>
      </c>
      <c r="G10543" s="128">
        <v>32146096.510000002</v>
      </c>
      <c r="H10543" s="128">
        <v>38719000.979999997</v>
      </c>
      <c r="I10543" s="128">
        <v>465192</v>
      </c>
    </row>
    <row r="10544" spans="1:9" ht="13.5">
      <c r="A10544" s="128">
        <v>2019</v>
      </c>
      <c r="B10544" s="128" t="s">
        <v>138</v>
      </c>
      <c r="C10544" s="128" t="s">
        <v>22</v>
      </c>
      <c r="D10544" s="128" t="s">
        <v>76</v>
      </c>
      <c r="E10544" s="128" t="s">
        <v>135</v>
      </c>
      <c r="F10544" s="128">
        <v>5008668.3099999996</v>
      </c>
      <c r="G10544" s="128">
        <v>1404156.55</v>
      </c>
      <c r="H10544" s="128">
        <v>3604511.71</v>
      </c>
      <c r="I10544" s="128">
        <v>7167</v>
      </c>
    </row>
    <row r="10545" spans="1:9" ht="13.5">
      <c r="A10545" s="128">
        <v>2019</v>
      </c>
      <c r="B10545" s="128" t="s">
        <v>138</v>
      </c>
      <c r="C10545" s="128" t="s">
        <v>23</v>
      </c>
      <c r="D10545" s="128" t="s">
        <v>79</v>
      </c>
      <c r="E10545" s="128" t="s">
        <v>136</v>
      </c>
      <c r="F10545" s="128">
        <v>2473608.21</v>
      </c>
      <c r="G10545" s="128">
        <v>1857149.44</v>
      </c>
      <c r="H10545" s="128">
        <v>614623.81000000006</v>
      </c>
      <c r="I10545" s="128">
        <v>22173</v>
      </c>
    </row>
    <row r="10546" spans="1:9" ht="13.5">
      <c r="A10546" s="128">
        <v>2019</v>
      </c>
      <c r="B10546" s="128" t="s">
        <v>138</v>
      </c>
      <c r="C10546" s="128" t="s">
        <v>23</v>
      </c>
      <c r="D10546" s="128" t="s">
        <v>79</v>
      </c>
      <c r="E10546" s="128" t="s">
        <v>132</v>
      </c>
      <c r="F10546" s="128">
        <v>691241.09</v>
      </c>
      <c r="G10546" s="128">
        <v>446374.45</v>
      </c>
      <c r="H10546" s="128">
        <v>181863.01</v>
      </c>
      <c r="I10546" s="128">
        <v>3307</v>
      </c>
    </row>
    <row r="10547" spans="1:9" ht="13.5">
      <c r="A10547" s="128">
        <v>2019</v>
      </c>
      <c r="B10547" s="128" t="s">
        <v>138</v>
      </c>
      <c r="C10547" s="128" t="s">
        <v>23</v>
      </c>
      <c r="D10547" s="128" t="s">
        <v>79</v>
      </c>
      <c r="E10547" s="128" t="s">
        <v>133</v>
      </c>
      <c r="F10547" s="128">
        <v>2061404.05</v>
      </c>
      <c r="G10547" s="128">
        <v>1132019.98</v>
      </c>
      <c r="H10547" s="128">
        <v>877344.03</v>
      </c>
      <c r="I10547" s="128">
        <v>20931</v>
      </c>
    </row>
    <row r="10548" spans="1:9" ht="13.5">
      <c r="A10548" s="128">
        <v>2019</v>
      </c>
      <c r="B10548" s="128" t="s">
        <v>138</v>
      </c>
      <c r="C10548" s="128" t="s">
        <v>23</v>
      </c>
      <c r="D10548" s="128" t="s">
        <v>79</v>
      </c>
      <c r="E10548" s="128" t="s">
        <v>134</v>
      </c>
      <c r="F10548" s="128">
        <v>3289464.26</v>
      </c>
      <c r="G10548" s="128">
        <v>1427615.07</v>
      </c>
      <c r="H10548" s="128">
        <v>1703134.89</v>
      </c>
      <c r="I10548" s="128">
        <v>11380</v>
      </c>
    </row>
    <row r="10549" spans="1:9" ht="13.5">
      <c r="A10549" s="128">
        <v>2019</v>
      </c>
      <c r="B10549" s="128" t="s">
        <v>138</v>
      </c>
      <c r="C10549" s="128" t="s">
        <v>23</v>
      </c>
      <c r="D10549" s="128" t="s">
        <v>79</v>
      </c>
      <c r="E10549" s="128" t="s">
        <v>135</v>
      </c>
      <c r="F10549" s="128">
        <v>2638501.8199999998</v>
      </c>
      <c r="G10549" s="128">
        <v>585683.78</v>
      </c>
      <c r="H10549" s="128">
        <v>422917.76</v>
      </c>
      <c r="I10549" s="128">
        <v>3808</v>
      </c>
    </row>
    <row r="10550" spans="1:9" ht="13.5">
      <c r="A10550" s="128">
        <v>2019</v>
      </c>
      <c r="B10550" s="128" t="s">
        <v>138</v>
      </c>
      <c r="C10550" s="128" t="s">
        <v>23</v>
      </c>
      <c r="D10550" s="128" t="s">
        <v>77</v>
      </c>
      <c r="E10550" s="128" t="s">
        <v>132</v>
      </c>
      <c r="F10550" s="128">
        <v>381000.05</v>
      </c>
      <c r="G10550" s="128">
        <v>243930.6</v>
      </c>
      <c r="H10550" s="128">
        <v>105703.15</v>
      </c>
      <c r="I10550" s="128">
        <v>1935</v>
      </c>
    </row>
    <row r="10551" spans="1:9" ht="13.5">
      <c r="A10551" s="128">
        <v>2019</v>
      </c>
      <c r="B10551" s="128" t="s">
        <v>138</v>
      </c>
      <c r="C10551" s="128" t="s">
        <v>23</v>
      </c>
      <c r="D10551" s="128" t="s">
        <v>77</v>
      </c>
      <c r="E10551" s="128" t="s">
        <v>133</v>
      </c>
      <c r="F10551" s="128">
        <v>1230329.23</v>
      </c>
      <c r="G10551" s="128">
        <v>658940.62</v>
      </c>
      <c r="H10551" s="128">
        <v>485577.09</v>
      </c>
      <c r="I10551" s="128">
        <v>5237</v>
      </c>
    </row>
    <row r="10552" spans="1:9" ht="13.5">
      <c r="A10552" s="128">
        <v>2019</v>
      </c>
      <c r="B10552" s="128" t="s">
        <v>138</v>
      </c>
      <c r="C10552" s="128" t="s">
        <v>23</v>
      </c>
      <c r="D10552" s="128" t="s">
        <v>77</v>
      </c>
      <c r="E10552" s="128" t="s">
        <v>134</v>
      </c>
      <c r="F10552" s="128">
        <v>5850517.9900000002</v>
      </c>
      <c r="G10552" s="128">
        <v>2462531.92</v>
      </c>
      <c r="H10552" s="128">
        <v>2621769.65</v>
      </c>
      <c r="I10552" s="128">
        <v>9851</v>
      </c>
    </row>
    <row r="10553" spans="1:9" ht="13.5">
      <c r="A10553" s="128">
        <v>2019</v>
      </c>
      <c r="B10553" s="128" t="s">
        <v>138</v>
      </c>
      <c r="C10553" s="128" t="s">
        <v>23</v>
      </c>
      <c r="D10553" s="128" t="s">
        <v>77</v>
      </c>
      <c r="E10553" s="128" t="s">
        <v>135</v>
      </c>
      <c r="F10553" s="128">
        <v>9104932.8399999999</v>
      </c>
      <c r="G10553" s="128">
        <v>2611294.09</v>
      </c>
      <c r="H10553" s="128">
        <v>3244435.83</v>
      </c>
      <c r="I10553" s="128">
        <v>30595</v>
      </c>
    </row>
    <row r="10554" spans="1:9" ht="13.5">
      <c r="A10554" s="128">
        <v>2019</v>
      </c>
      <c r="B10554" s="128" t="s">
        <v>138</v>
      </c>
      <c r="C10554" s="128" t="s">
        <v>23</v>
      </c>
      <c r="D10554" s="128" t="s">
        <v>76</v>
      </c>
      <c r="E10554" s="128" t="s">
        <v>136</v>
      </c>
      <c r="F10554" s="128">
        <v>6171995.7599999998</v>
      </c>
      <c r="G10554" s="128">
        <v>4635128.04</v>
      </c>
      <c r="H10554" s="128">
        <v>1536867.55</v>
      </c>
      <c r="I10554" s="128">
        <v>84586</v>
      </c>
    </row>
    <row r="10555" spans="1:9" ht="13.5">
      <c r="A10555" s="128">
        <v>2019</v>
      </c>
      <c r="B10555" s="128" t="s">
        <v>138</v>
      </c>
      <c r="C10555" s="128" t="s">
        <v>23</v>
      </c>
      <c r="D10555" s="128" t="s">
        <v>76</v>
      </c>
      <c r="E10555" s="128" t="s">
        <v>132</v>
      </c>
      <c r="F10555" s="128">
        <v>8215280.2699999996</v>
      </c>
      <c r="G10555" s="128">
        <v>5146377.97</v>
      </c>
      <c r="H10555" s="128">
        <v>3068896.15</v>
      </c>
      <c r="I10555" s="128">
        <v>75574</v>
      </c>
    </row>
    <row r="10556" spans="1:9" ht="13.5">
      <c r="A10556" s="128">
        <v>2019</v>
      </c>
      <c r="B10556" s="128" t="s">
        <v>138</v>
      </c>
      <c r="C10556" s="128" t="s">
        <v>23</v>
      </c>
      <c r="D10556" s="128" t="s">
        <v>76</v>
      </c>
      <c r="E10556" s="128" t="s">
        <v>133</v>
      </c>
      <c r="F10556" s="128">
        <v>25848773.030000001</v>
      </c>
      <c r="G10556" s="128">
        <v>14060237.939999999</v>
      </c>
      <c r="H10556" s="128">
        <v>11788524.57</v>
      </c>
      <c r="I10556" s="128">
        <v>195622</v>
      </c>
    </row>
    <row r="10557" spans="1:9" ht="13.5">
      <c r="A10557" s="128">
        <v>2019</v>
      </c>
      <c r="B10557" s="128" t="s">
        <v>138</v>
      </c>
      <c r="C10557" s="128" t="s">
        <v>23</v>
      </c>
      <c r="D10557" s="128" t="s">
        <v>76</v>
      </c>
      <c r="E10557" s="128" t="s">
        <v>134</v>
      </c>
      <c r="F10557" s="128">
        <v>42144169.229999997</v>
      </c>
      <c r="G10557" s="128">
        <v>18712426.23</v>
      </c>
      <c r="H10557" s="128">
        <v>23431734.239999998</v>
      </c>
      <c r="I10557" s="128">
        <v>163518</v>
      </c>
    </row>
    <row r="10558" spans="1:9" ht="13.5">
      <c r="A10558" s="128">
        <v>2019</v>
      </c>
      <c r="B10558" s="128" t="s">
        <v>138</v>
      </c>
      <c r="C10558" s="128" t="s">
        <v>23</v>
      </c>
      <c r="D10558" s="128" t="s">
        <v>76</v>
      </c>
      <c r="E10558" s="128" t="s">
        <v>135</v>
      </c>
      <c r="F10558" s="128">
        <v>1192568.9099999999</v>
      </c>
      <c r="G10558" s="128">
        <v>307856.27</v>
      </c>
      <c r="H10558" s="128">
        <v>884712.64</v>
      </c>
      <c r="I10558" s="128">
        <v>932</v>
      </c>
    </row>
    <row r="10559" spans="1:9" ht="13.5">
      <c r="A10559" s="128">
        <v>2019</v>
      </c>
      <c r="B10559" s="128" t="s">
        <v>138</v>
      </c>
      <c r="C10559" s="128" t="s">
        <v>24</v>
      </c>
      <c r="D10559" s="128" t="s">
        <v>79</v>
      </c>
      <c r="E10559" s="128" t="s">
        <v>136</v>
      </c>
      <c r="F10559" s="128">
        <v>2226699.75</v>
      </c>
      <c r="G10559" s="128">
        <v>1669320.29</v>
      </c>
      <c r="H10559" s="128">
        <v>552861.23</v>
      </c>
      <c r="I10559" s="128">
        <v>40759</v>
      </c>
    </row>
    <row r="10560" spans="1:9" ht="13.5">
      <c r="A10560" s="128">
        <v>2019</v>
      </c>
      <c r="B10560" s="128" t="s">
        <v>138</v>
      </c>
      <c r="C10560" s="128" t="s">
        <v>24</v>
      </c>
      <c r="D10560" s="128" t="s">
        <v>79</v>
      </c>
      <c r="E10560" s="128" t="s">
        <v>132</v>
      </c>
      <c r="F10560" s="128">
        <v>467864.96</v>
      </c>
      <c r="G10560" s="128">
        <v>307098.38</v>
      </c>
      <c r="H10560" s="128">
        <v>124105.42</v>
      </c>
      <c r="I10560" s="128">
        <v>2292</v>
      </c>
    </row>
    <row r="10561" spans="1:9" ht="13.5">
      <c r="A10561" s="128">
        <v>2019</v>
      </c>
      <c r="B10561" s="128" t="s">
        <v>138</v>
      </c>
      <c r="C10561" s="128" t="s">
        <v>24</v>
      </c>
      <c r="D10561" s="128" t="s">
        <v>79</v>
      </c>
      <c r="E10561" s="128" t="s">
        <v>133</v>
      </c>
      <c r="F10561" s="128">
        <v>802354.75</v>
      </c>
      <c r="G10561" s="128">
        <v>431247.14</v>
      </c>
      <c r="H10561" s="128">
        <v>245451.12</v>
      </c>
      <c r="I10561" s="128">
        <v>2720</v>
      </c>
    </row>
    <row r="10562" spans="1:9" ht="13.5">
      <c r="A10562" s="128">
        <v>2019</v>
      </c>
      <c r="B10562" s="128" t="s">
        <v>138</v>
      </c>
      <c r="C10562" s="128" t="s">
        <v>24</v>
      </c>
      <c r="D10562" s="128" t="s">
        <v>79</v>
      </c>
      <c r="E10562" s="128" t="s">
        <v>134</v>
      </c>
      <c r="F10562" s="128">
        <v>2717474.41</v>
      </c>
      <c r="G10562" s="128">
        <v>1192772.54</v>
      </c>
      <c r="H10562" s="128">
        <v>627925.62</v>
      </c>
      <c r="I10562" s="128">
        <v>21846</v>
      </c>
    </row>
    <row r="10563" spans="1:9" ht="13.5">
      <c r="A10563" s="128">
        <v>2019</v>
      </c>
      <c r="B10563" s="128" t="s">
        <v>138</v>
      </c>
      <c r="C10563" s="128" t="s">
        <v>24</v>
      </c>
      <c r="D10563" s="128" t="s">
        <v>79</v>
      </c>
      <c r="E10563" s="128" t="s">
        <v>135</v>
      </c>
      <c r="F10563" s="128">
        <v>7995115.4800000004</v>
      </c>
      <c r="G10563" s="128">
        <v>1617944.2</v>
      </c>
      <c r="H10563" s="128">
        <v>610933.68000000005</v>
      </c>
      <c r="I10563" s="128">
        <v>9644</v>
      </c>
    </row>
    <row r="10564" spans="1:9" ht="13.5">
      <c r="A10564" s="128">
        <v>2019</v>
      </c>
      <c r="B10564" s="128" t="s">
        <v>138</v>
      </c>
      <c r="C10564" s="128" t="s">
        <v>24</v>
      </c>
      <c r="D10564" s="128" t="s">
        <v>77</v>
      </c>
      <c r="E10564" s="128" t="s">
        <v>132</v>
      </c>
      <c r="F10564" s="128">
        <v>1932552.37</v>
      </c>
      <c r="G10564" s="128">
        <v>1310944.79</v>
      </c>
      <c r="H10564" s="128">
        <v>579634.11</v>
      </c>
      <c r="I10564" s="128">
        <v>9548</v>
      </c>
    </row>
    <row r="10565" spans="1:9" ht="13.5">
      <c r="A10565" s="128">
        <v>2019</v>
      </c>
      <c r="B10565" s="128" t="s">
        <v>138</v>
      </c>
      <c r="C10565" s="128" t="s">
        <v>24</v>
      </c>
      <c r="D10565" s="128" t="s">
        <v>77</v>
      </c>
      <c r="E10565" s="128" t="s">
        <v>133</v>
      </c>
      <c r="F10565" s="128">
        <v>4469278.33</v>
      </c>
      <c r="G10565" s="128">
        <v>2406635</v>
      </c>
      <c r="H10565" s="128">
        <v>1845182.26</v>
      </c>
      <c r="I10565" s="128">
        <v>29298</v>
      </c>
    </row>
    <row r="10566" spans="1:9" ht="13.5">
      <c r="A10566" s="128">
        <v>2019</v>
      </c>
      <c r="B10566" s="128" t="s">
        <v>138</v>
      </c>
      <c r="C10566" s="128" t="s">
        <v>24</v>
      </c>
      <c r="D10566" s="128" t="s">
        <v>77</v>
      </c>
      <c r="E10566" s="128" t="s">
        <v>134</v>
      </c>
      <c r="F10566" s="128">
        <v>9528547.7899999991</v>
      </c>
      <c r="G10566" s="128">
        <v>4211421.2</v>
      </c>
      <c r="H10566" s="128">
        <v>3860499.64</v>
      </c>
      <c r="I10566" s="128">
        <v>21231</v>
      </c>
    </row>
    <row r="10567" spans="1:9" ht="13.5">
      <c r="A10567" s="128">
        <v>2019</v>
      </c>
      <c r="B10567" s="128" t="s">
        <v>138</v>
      </c>
      <c r="C10567" s="128" t="s">
        <v>24</v>
      </c>
      <c r="D10567" s="128" t="s">
        <v>77</v>
      </c>
      <c r="E10567" s="128" t="s">
        <v>135</v>
      </c>
      <c r="F10567" s="128">
        <v>16841999.41</v>
      </c>
      <c r="G10567" s="128">
        <v>4236308.63</v>
      </c>
      <c r="H10567" s="128">
        <v>3293685.41</v>
      </c>
      <c r="I10567" s="128">
        <v>44172</v>
      </c>
    </row>
    <row r="10568" spans="1:9" ht="13.5">
      <c r="A10568" s="128">
        <v>2019</v>
      </c>
      <c r="B10568" s="128" t="s">
        <v>138</v>
      </c>
      <c r="C10568" s="128" t="s">
        <v>24</v>
      </c>
      <c r="D10568" s="128" t="s">
        <v>76</v>
      </c>
      <c r="E10568" s="128" t="s">
        <v>136</v>
      </c>
      <c r="F10568" s="128">
        <v>8489118.9399999995</v>
      </c>
      <c r="G10568" s="128">
        <v>6371908.5</v>
      </c>
      <c r="H10568" s="128">
        <v>2117279.39</v>
      </c>
      <c r="I10568" s="128">
        <v>141002</v>
      </c>
    </row>
    <row r="10569" spans="1:9" ht="13.5">
      <c r="A10569" s="128">
        <v>2019</v>
      </c>
      <c r="B10569" s="128" t="s">
        <v>138</v>
      </c>
      <c r="C10569" s="128" t="s">
        <v>24</v>
      </c>
      <c r="D10569" s="128" t="s">
        <v>76</v>
      </c>
      <c r="E10569" s="128" t="s">
        <v>132</v>
      </c>
      <c r="F10569" s="128">
        <v>9041085.3800000008</v>
      </c>
      <c r="G10569" s="128">
        <v>5887814.1699999999</v>
      </c>
      <c r="H10569" s="128">
        <v>3153258.43</v>
      </c>
      <c r="I10569" s="128">
        <v>65625</v>
      </c>
    </row>
    <row r="10570" spans="1:9" ht="13.5">
      <c r="A10570" s="128">
        <v>2019</v>
      </c>
      <c r="B10570" s="128" t="s">
        <v>138</v>
      </c>
      <c r="C10570" s="128" t="s">
        <v>24</v>
      </c>
      <c r="D10570" s="128" t="s">
        <v>76</v>
      </c>
      <c r="E10570" s="128" t="s">
        <v>133</v>
      </c>
      <c r="F10570" s="128">
        <v>41692395.030000001</v>
      </c>
      <c r="G10570" s="128">
        <v>23101014.890000001</v>
      </c>
      <c r="H10570" s="128">
        <v>18591377.039999999</v>
      </c>
      <c r="I10570" s="128">
        <v>302608</v>
      </c>
    </row>
    <row r="10571" spans="1:9" ht="13.5">
      <c r="A10571" s="128">
        <v>2019</v>
      </c>
      <c r="B10571" s="128" t="s">
        <v>138</v>
      </c>
      <c r="C10571" s="128" t="s">
        <v>24</v>
      </c>
      <c r="D10571" s="128" t="s">
        <v>76</v>
      </c>
      <c r="E10571" s="128" t="s">
        <v>134</v>
      </c>
      <c r="F10571" s="128">
        <v>55130586.979999997</v>
      </c>
      <c r="G10571" s="128">
        <v>24444068.41</v>
      </c>
      <c r="H10571" s="128">
        <v>30686513.370000001</v>
      </c>
      <c r="I10571" s="128">
        <v>244833</v>
      </c>
    </row>
    <row r="10572" spans="1:9" ht="13.5">
      <c r="A10572" s="128">
        <v>2019</v>
      </c>
      <c r="B10572" s="128" t="s">
        <v>138</v>
      </c>
      <c r="C10572" s="128" t="s">
        <v>24</v>
      </c>
      <c r="D10572" s="128" t="s">
        <v>76</v>
      </c>
      <c r="E10572" s="128" t="s">
        <v>135</v>
      </c>
      <c r="F10572" s="128">
        <v>2546699.14</v>
      </c>
      <c r="G10572" s="128">
        <v>667123.55000000005</v>
      </c>
      <c r="H10572" s="128">
        <v>1879575.59</v>
      </c>
      <c r="I10572" s="128">
        <v>2167</v>
      </c>
    </row>
    <row r="10573" spans="1:9" ht="13.5">
      <c r="A10573" s="128">
        <v>2019</v>
      </c>
      <c r="B10573" s="128" t="s">
        <v>138</v>
      </c>
      <c r="C10573" s="128" t="s">
        <v>25</v>
      </c>
      <c r="D10573" s="128" t="s">
        <v>79</v>
      </c>
      <c r="E10573" s="128" t="s">
        <v>136</v>
      </c>
      <c r="F10573" s="128">
        <v>516106.81</v>
      </c>
      <c r="G10573" s="128">
        <v>387325.98</v>
      </c>
      <c r="H10573" s="128">
        <v>128537.04</v>
      </c>
      <c r="I10573" s="128">
        <v>4494</v>
      </c>
    </row>
    <row r="10574" spans="1:9" ht="13.5">
      <c r="A10574" s="128">
        <v>2019</v>
      </c>
      <c r="B10574" s="128" t="s">
        <v>138</v>
      </c>
      <c r="C10574" s="128" t="s">
        <v>25</v>
      </c>
      <c r="D10574" s="128" t="s">
        <v>79</v>
      </c>
      <c r="E10574" s="128" t="s">
        <v>132</v>
      </c>
      <c r="F10574" s="128">
        <v>288625.05</v>
      </c>
      <c r="G10574" s="128">
        <v>186007.83</v>
      </c>
      <c r="H10574" s="128">
        <v>90940.95</v>
      </c>
      <c r="I10574" s="128">
        <v>1830</v>
      </c>
    </row>
    <row r="10575" spans="1:9" ht="13.5">
      <c r="A10575" s="128">
        <v>2019</v>
      </c>
      <c r="B10575" s="128" t="s">
        <v>138</v>
      </c>
      <c r="C10575" s="128" t="s">
        <v>25</v>
      </c>
      <c r="D10575" s="128" t="s">
        <v>79</v>
      </c>
      <c r="E10575" s="128" t="s">
        <v>133</v>
      </c>
      <c r="F10575" s="128">
        <v>344811.85</v>
      </c>
      <c r="G10575" s="128">
        <v>190285.68</v>
      </c>
      <c r="H10575" s="128">
        <v>134625.38</v>
      </c>
      <c r="I10575" s="128">
        <v>2882</v>
      </c>
    </row>
    <row r="10576" spans="1:9" ht="13.5">
      <c r="A10576" s="128">
        <v>2019</v>
      </c>
      <c r="B10576" s="128" t="s">
        <v>138</v>
      </c>
      <c r="C10576" s="128" t="s">
        <v>25</v>
      </c>
      <c r="D10576" s="128" t="s">
        <v>79</v>
      </c>
      <c r="E10576" s="128" t="s">
        <v>134</v>
      </c>
      <c r="F10576" s="128">
        <v>592547.44999999995</v>
      </c>
      <c r="G10576" s="128">
        <v>263204.92</v>
      </c>
      <c r="H10576" s="128">
        <v>241614.46</v>
      </c>
      <c r="I10576" s="128">
        <v>2420</v>
      </c>
    </row>
    <row r="10577" spans="1:9" ht="13.5">
      <c r="A10577" s="128">
        <v>2019</v>
      </c>
      <c r="B10577" s="128" t="s">
        <v>138</v>
      </c>
      <c r="C10577" s="128" t="s">
        <v>25</v>
      </c>
      <c r="D10577" s="128" t="s">
        <v>79</v>
      </c>
      <c r="E10577" s="128" t="s">
        <v>135</v>
      </c>
      <c r="F10577" s="128">
        <v>1477632.75</v>
      </c>
      <c r="G10577" s="128">
        <v>344627.77</v>
      </c>
      <c r="H10577" s="128">
        <v>152937.17000000001</v>
      </c>
      <c r="I10577" s="128">
        <v>1329</v>
      </c>
    </row>
    <row r="10578" spans="1:9" ht="13.5">
      <c r="A10578" s="128">
        <v>2019</v>
      </c>
      <c r="B10578" s="128" t="s">
        <v>138</v>
      </c>
      <c r="C10578" s="128" t="s">
        <v>25</v>
      </c>
      <c r="D10578" s="128" t="s">
        <v>77</v>
      </c>
      <c r="E10578" s="128" t="s">
        <v>132</v>
      </c>
      <c r="F10578" s="128">
        <v>213332.56</v>
      </c>
      <c r="G10578" s="128">
        <v>140663.93</v>
      </c>
      <c r="H10578" s="128">
        <v>63102.25</v>
      </c>
      <c r="I10578" s="128">
        <v>1289</v>
      </c>
    </row>
    <row r="10579" spans="1:9" ht="13.5">
      <c r="A10579" s="128">
        <v>2019</v>
      </c>
      <c r="B10579" s="128" t="s">
        <v>138</v>
      </c>
      <c r="C10579" s="128" t="s">
        <v>25</v>
      </c>
      <c r="D10579" s="128" t="s">
        <v>77</v>
      </c>
      <c r="E10579" s="128" t="s">
        <v>133</v>
      </c>
      <c r="F10579" s="128">
        <v>550694.16</v>
      </c>
      <c r="G10579" s="128">
        <v>298773.34999999998</v>
      </c>
      <c r="H10579" s="128">
        <v>235605.5</v>
      </c>
      <c r="I10579" s="128">
        <v>2426</v>
      </c>
    </row>
    <row r="10580" spans="1:9" ht="13.5">
      <c r="A10580" s="128">
        <v>2019</v>
      </c>
      <c r="B10580" s="128" t="s">
        <v>138</v>
      </c>
      <c r="C10580" s="128" t="s">
        <v>25</v>
      </c>
      <c r="D10580" s="128" t="s">
        <v>77</v>
      </c>
      <c r="E10580" s="128" t="s">
        <v>134</v>
      </c>
      <c r="F10580" s="128">
        <v>1737793.92</v>
      </c>
      <c r="G10580" s="128">
        <v>735614.26</v>
      </c>
      <c r="H10580" s="128">
        <v>788019.76</v>
      </c>
      <c r="I10580" s="128">
        <v>2553</v>
      </c>
    </row>
    <row r="10581" spans="1:9" ht="13.5">
      <c r="A10581" s="128">
        <v>2019</v>
      </c>
      <c r="B10581" s="128" t="s">
        <v>138</v>
      </c>
      <c r="C10581" s="128" t="s">
        <v>25</v>
      </c>
      <c r="D10581" s="128" t="s">
        <v>77</v>
      </c>
      <c r="E10581" s="128" t="s">
        <v>135</v>
      </c>
      <c r="F10581" s="128">
        <v>2720325.71</v>
      </c>
      <c r="G10581" s="128">
        <v>754169.4</v>
      </c>
      <c r="H10581" s="128">
        <v>910261.19</v>
      </c>
      <c r="I10581" s="128">
        <v>7159</v>
      </c>
    </row>
    <row r="10582" spans="1:9" ht="13.5">
      <c r="A10582" s="128">
        <v>2019</v>
      </c>
      <c r="B10582" s="128" t="s">
        <v>138</v>
      </c>
      <c r="C10582" s="128" t="s">
        <v>25</v>
      </c>
      <c r="D10582" s="128" t="s">
        <v>76</v>
      </c>
      <c r="E10582" s="128" t="s">
        <v>136</v>
      </c>
      <c r="F10582" s="128">
        <v>1727598.08</v>
      </c>
      <c r="G10582" s="128">
        <v>1297332.3600000001</v>
      </c>
      <c r="H10582" s="128">
        <v>430265.57</v>
      </c>
      <c r="I10582" s="128">
        <v>32904</v>
      </c>
    </row>
    <row r="10583" spans="1:9" ht="13.5">
      <c r="A10583" s="128">
        <v>2019</v>
      </c>
      <c r="B10583" s="128" t="s">
        <v>138</v>
      </c>
      <c r="C10583" s="128" t="s">
        <v>25</v>
      </c>
      <c r="D10583" s="128" t="s">
        <v>76</v>
      </c>
      <c r="E10583" s="128" t="s">
        <v>132</v>
      </c>
      <c r="F10583" s="128">
        <v>2869113.31</v>
      </c>
      <c r="G10583" s="128">
        <v>1814440.2</v>
      </c>
      <c r="H10583" s="128">
        <v>1054670.42</v>
      </c>
      <c r="I10583" s="128">
        <v>20959</v>
      </c>
    </row>
    <row r="10584" spans="1:9" ht="13.5">
      <c r="A10584" s="128">
        <v>2019</v>
      </c>
      <c r="B10584" s="128" t="s">
        <v>138</v>
      </c>
      <c r="C10584" s="128" t="s">
        <v>25</v>
      </c>
      <c r="D10584" s="128" t="s">
        <v>76</v>
      </c>
      <c r="E10584" s="128" t="s">
        <v>133</v>
      </c>
      <c r="F10584" s="128">
        <v>8980652.0299999993</v>
      </c>
      <c r="G10584" s="128">
        <v>4888613.66</v>
      </c>
      <c r="H10584" s="128">
        <v>4092032.85</v>
      </c>
      <c r="I10584" s="128">
        <v>53006</v>
      </c>
    </row>
    <row r="10585" spans="1:9" ht="13.5">
      <c r="A10585" s="128">
        <v>2019</v>
      </c>
      <c r="B10585" s="128" t="s">
        <v>138</v>
      </c>
      <c r="C10585" s="128" t="s">
        <v>25</v>
      </c>
      <c r="D10585" s="128" t="s">
        <v>76</v>
      </c>
      <c r="E10585" s="128" t="s">
        <v>134</v>
      </c>
      <c r="F10585" s="128">
        <v>10579834.83</v>
      </c>
      <c r="G10585" s="128">
        <v>4811034.1399999997</v>
      </c>
      <c r="H10585" s="128">
        <v>5768799.0700000003</v>
      </c>
      <c r="I10585" s="128">
        <v>49776</v>
      </c>
    </row>
    <row r="10586" spans="1:9" ht="13.5">
      <c r="A10586" s="128">
        <v>2019</v>
      </c>
      <c r="B10586" s="128" t="s">
        <v>138</v>
      </c>
      <c r="C10586" s="128" t="s">
        <v>25</v>
      </c>
      <c r="D10586" s="128" t="s">
        <v>76</v>
      </c>
      <c r="E10586" s="128" t="s">
        <v>135</v>
      </c>
      <c r="F10586" s="128">
        <v>362126.85</v>
      </c>
      <c r="G10586" s="128">
        <v>100614.7</v>
      </c>
      <c r="H10586" s="128">
        <v>261512.15</v>
      </c>
      <c r="I10586" s="128">
        <v>322</v>
      </c>
    </row>
    <row r="10587" spans="1:9" ht="13.5">
      <c r="A10587" s="128">
        <v>2019</v>
      </c>
      <c r="B10587" s="128" t="s">
        <v>138</v>
      </c>
      <c r="C10587" s="128" t="s">
        <v>26</v>
      </c>
      <c r="D10587" s="128" t="s">
        <v>79</v>
      </c>
      <c r="E10587" s="128" t="s">
        <v>136</v>
      </c>
      <c r="F10587" s="128">
        <v>821982.08</v>
      </c>
      <c r="G10587" s="128">
        <v>613917.84</v>
      </c>
      <c r="H10587" s="128">
        <v>193864.13</v>
      </c>
      <c r="I10587" s="128">
        <v>6958</v>
      </c>
    </row>
    <row r="10588" spans="1:9" ht="13.5">
      <c r="A10588" s="128">
        <v>2019</v>
      </c>
      <c r="B10588" s="128" t="s">
        <v>138</v>
      </c>
      <c r="C10588" s="128" t="s">
        <v>26</v>
      </c>
      <c r="D10588" s="128" t="s">
        <v>79</v>
      </c>
      <c r="E10588" s="128" t="s">
        <v>132</v>
      </c>
      <c r="F10588" s="128">
        <v>143255.94</v>
      </c>
      <c r="G10588" s="128">
        <v>96612.23</v>
      </c>
      <c r="H10588" s="128">
        <v>40068.65</v>
      </c>
      <c r="I10588" s="128">
        <v>725</v>
      </c>
    </row>
    <row r="10589" spans="1:9" ht="13.5">
      <c r="A10589" s="128">
        <v>2019</v>
      </c>
      <c r="B10589" s="128" t="s">
        <v>138</v>
      </c>
      <c r="C10589" s="128" t="s">
        <v>26</v>
      </c>
      <c r="D10589" s="128" t="s">
        <v>79</v>
      </c>
      <c r="E10589" s="128" t="s">
        <v>133</v>
      </c>
      <c r="F10589" s="128">
        <v>176771.18</v>
      </c>
      <c r="G10589" s="128">
        <v>94910.78</v>
      </c>
      <c r="H10589" s="128">
        <v>38877.050000000003</v>
      </c>
      <c r="I10589" s="128">
        <v>421</v>
      </c>
    </row>
    <row r="10590" spans="1:9" ht="13.5">
      <c r="A10590" s="128">
        <v>2019</v>
      </c>
      <c r="B10590" s="128" t="s">
        <v>138</v>
      </c>
      <c r="C10590" s="128" t="s">
        <v>26</v>
      </c>
      <c r="D10590" s="128" t="s">
        <v>79</v>
      </c>
      <c r="E10590" s="128" t="s">
        <v>134</v>
      </c>
      <c r="F10590" s="128">
        <v>550730.96</v>
      </c>
      <c r="G10590" s="128">
        <v>235918.69</v>
      </c>
      <c r="H10590" s="128">
        <v>111943.74</v>
      </c>
      <c r="I10590" s="128">
        <v>2461</v>
      </c>
    </row>
    <row r="10591" spans="1:9" ht="13.5">
      <c r="A10591" s="128">
        <v>2019</v>
      </c>
      <c r="B10591" s="128" t="s">
        <v>138</v>
      </c>
      <c r="C10591" s="128" t="s">
        <v>26</v>
      </c>
      <c r="D10591" s="128" t="s">
        <v>79</v>
      </c>
      <c r="E10591" s="128" t="s">
        <v>135</v>
      </c>
      <c r="F10591" s="128">
        <v>6604887.1500000004</v>
      </c>
      <c r="G10591" s="128">
        <v>1471609.4</v>
      </c>
      <c r="H10591" s="128">
        <v>511152.97</v>
      </c>
      <c r="I10591" s="128">
        <v>6258</v>
      </c>
    </row>
    <row r="10592" spans="1:9" ht="13.5">
      <c r="A10592" s="128">
        <v>2019</v>
      </c>
      <c r="B10592" s="128" t="s">
        <v>138</v>
      </c>
      <c r="C10592" s="128" t="s">
        <v>26</v>
      </c>
      <c r="D10592" s="128" t="s">
        <v>77</v>
      </c>
      <c r="E10592" s="128" t="s">
        <v>132</v>
      </c>
      <c r="F10592" s="128">
        <v>116079.05</v>
      </c>
      <c r="G10592" s="128">
        <v>72988.33</v>
      </c>
      <c r="H10592" s="128">
        <v>38193.33</v>
      </c>
      <c r="I10592" s="128">
        <v>429</v>
      </c>
    </row>
    <row r="10593" spans="1:9" ht="13.5">
      <c r="A10593" s="128">
        <v>2019</v>
      </c>
      <c r="B10593" s="128" t="s">
        <v>138</v>
      </c>
      <c r="C10593" s="128" t="s">
        <v>26</v>
      </c>
      <c r="D10593" s="128" t="s">
        <v>77</v>
      </c>
      <c r="E10593" s="128" t="s">
        <v>133</v>
      </c>
      <c r="F10593" s="128">
        <v>202603.96</v>
      </c>
      <c r="G10593" s="128">
        <v>110133.93</v>
      </c>
      <c r="H10593" s="128">
        <v>81504.05</v>
      </c>
      <c r="I10593" s="128">
        <v>880</v>
      </c>
    </row>
    <row r="10594" spans="1:9" ht="13.5">
      <c r="A10594" s="128">
        <v>2019</v>
      </c>
      <c r="B10594" s="128" t="s">
        <v>138</v>
      </c>
      <c r="C10594" s="128" t="s">
        <v>26</v>
      </c>
      <c r="D10594" s="128" t="s">
        <v>77</v>
      </c>
      <c r="E10594" s="128" t="s">
        <v>134</v>
      </c>
      <c r="F10594" s="128">
        <v>697329.73</v>
      </c>
      <c r="G10594" s="128">
        <v>297275.40999999997</v>
      </c>
      <c r="H10594" s="128">
        <v>306733.53000000003</v>
      </c>
      <c r="I10594" s="128">
        <v>1575</v>
      </c>
    </row>
    <row r="10595" spans="1:9" ht="13.5">
      <c r="A10595" s="128">
        <v>2019</v>
      </c>
      <c r="B10595" s="128" t="s">
        <v>138</v>
      </c>
      <c r="C10595" s="128" t="s">
        <v>26</v>
      </c>
      <c r="D10595" s="128" t="s">
        <v>77</v>
      </c>
      <c r="E10595" s="128" t="s">
        <v>135</v>
      </c>
      <c r="F10595" s="128">
        <v>3522267.42</v>
      </c>
      <c r="G10595" s="128">
        <v>940241.22</v>
      </c>
      <c r="H10595" s="128">
        <v>1009664.72</v>
      </c>
      <c r="I10595" s="128">
        <v>11461</v>
      </c>
    </row>
    <row r="10596" spans="1:9" ht="13.5">
      <c r="A10596" s="128">
        <v>2019</v>
      </c>
      <c r="B10596" s="128" t="s">
        <v>138</v>
      </c>
      <c r="C10596" s="128" t="s">
        <v>26</v>
      </c>
      <c r="D10596" s="128" t="s">
        <v>76</v>
      </c>
      <c r="E10596" s="128" t="s">
        <v>136</v>
      </c>
      <c r="F10596" s="128">
        <v>459997.65</v>
      </c>
      <c r="G10596" s="128">
        <v>345214.35</v>
      </c>
      <c r="H10596" s="128">
        <v>114781.75999999999</v>
      </c>
      <c r="I10596" s="128">
        <v>13033</v>
      </c>
    </row>
    <row r="10597" spans="1:9" ht="13.5">
      <c r="A10597" s="128">
        <v>2019</v>
      </c>
      <c r="B10597" s="128" t="s">
        <v>138</v>
      </c>
      <c r="C10597" s="128" t="s">
        <v>26</v>
      </c>
      <c r="D10597" s="128" t="s">
        <v>76</v>
      </c>
      <c r="E10597" s="128" t="s">
        <v>132</v>
      </c>
      <c r="F10597" s="128">
        <v>1859100.87</v>
      </c>
      <c r="G10597" s="128">
        <v>1176352.55</v>
      </c>
      <c r="H10597" s="128">
        <v>682718.32</v>
      </c>
      <c r="I10597" s="128">
        <v>17428</v>
      </c>
    </row>
    <row r="10598" spans="1:9" ht="13.5">
      <c r="A10598" s="128">
        <v>2019</v>
      </c>
      <c r="B10598" s="128" t="s">
        <v>138</v>
      </c>
      <c r="C10598" s="128" t="s">
        <v>26</v>
      </c>
      <c r="D10598" s="128" t="s">
        <v>76</v>
      </c>
      <c r="E10598" s="128" t="s">
        <v>133</v>
      </c>
      <c r="F10598" s="128">
        <v>3883956.15</v>
      </c>
      <c r="G10598" s="128">
        <v>2136189.98</v>
      </c>
      <c r="H10598" s="128">
        <v>1747760.74</v>
      </c>
      <c r="I10598" s="128">
        <v>31250</v>
      </c>
    </row>
    <row r="10599" spans="1:9" ht="13.5">
      <c r="A10599" s="128">
        <v>2019</v>
      </c>
      <c r="B10599" s="128" t="s">
        <v>138</v>
      </c>
      <c r="C10599" s="128" t="s">
        <v>26</v>
      </c>
      <c r="D10599" s="128" t="s">
        <v>76</v>
      </c>
      <c r="E10599" s="128" t="s">
        <v>134</v>
      </c>
      <c r="F10599" s="128">
        <v>2907676.76</v>
      </c>
      <c r="G10599" s="128">
        <v>1322803.8</v>
      </c>
      <c r="H10599" s="128">
        <v>1584856.01</v>
      </c>
      <c r="I10599" s="128">
        <v>16436</v>
      </c>
    </row>
    <row r="10600" spans="1:9" ht="13.5">
      <c r="A10600" s="128">
        <v>2019</v>
      </c>
      <c r="B10600" s="128" t="s">
        <v>138</v>
      </c>
      <c r="C10600" s="128" t="s">
        <v>26</v>
      </c>
      <c r="D10600" s="128" t="s">
        <v>76</v>
      </c>
      <c r="E10600" s="128" t="s">
        <v>135</v>
      </c>
      <c r="F10600" s="128">
        <v>246917.2</v>
      </c>
      <c r="G10600" s="128">
        <v>73791.899999999994</v>
      </c>
      <c r="H10600" s="128">
        <v>173125.3</v>
      </c>
      <c r="I10600" s="128">
        <v>494</v>
      </c>
    </row>
    <row r="10601" spans="1:9" ht="13.5">
      <c r="A10601" s="128">
        <v>2019</v>
      </c>
      <c r="B10601" s="128" t="s">
        <v>138</v>
      </c>
      <c r="C10601" s="128" t="s">
        <v>27</v>
      </c>
      <c r="D10601" s="128" t="s">
        <v>79</v>
      </c>
      <c r="E10601" s="128" t="s">
        <v>136</v>
      </c>
      <c r="F10601" s="128">
        <v>261202.86</v>
      </c>
      <c r="G10601" s="128">
        <v>195939.16</v>
      </c>
      <c r="H10601" s="128">
        <v>65263.7</v>
      </c>
      <c r="I10601" s="128">
        <v>1621</v>
      </c>
    </row>
    <row r="10602" spans="1:9" ht="13.5">
      <c r="A10602" s="128">
        <v>2019</v>
      </c>
      <c r="B10602" s="128" t="s">
        <v>138</v>
      </c>
      <c r="C10602" s="128" t="s">
        <v>27</v>
      </c>
      <c r="D10602" s="128" t="s">
        <v>79</v>
      </c>
      <c r="E10602" s="128" t="s">
        <v>132</v>
      </c>
      <c r="F10602" s="128">
        <v>49181.42</v>
      </c>
      <c r="G10602" s="128">
        <v>31349.94</v>
      </c>
      <c r="H10602" s="128">
        <v>16383.95</v>
      </c>
      <c r="I10602" s="128">
        <v>343</v>
      </c>
    </row>
    <row r="10603" spans="1:9" ht="13.5">
      <c r="A10603" s="128">
        <v>2019</v>
      </c>
      <c r="B10603" s="128" t="s">
        <v>138</v>
      </c>
      <c r="C10603" s="128" t="s">
        <v>27</v>
      </c>
      <c r="D10603" s="128" t="s">
        <v>79</v>
      </c>
      <c r="E10603" s="128" t="s">
        <v>133</v>
      </c>
      <c r="F10603" s="128">
        <v>75078.25</v>
      </c>
      <c r="G10603" s="128">
        <v>40776.67</v>
      </c>
      <c r="H10603" s="128">
        <v>23749.599999999999</v>
      </c>
      <c r="I10603" s="128">
        <v>348</v>
      </c>
    </row>
    <row r="10604" spans="1:9" ht="13.5">
      <c r="A10604" s="128">
        <v>2019</v>
      </c>
      <c r="B10604" s="128" t="s">
        <v>138</v>
      </c>
      <c r="C10604" s="128" t="s">
        <v>27</v>
      </c>
      <c r="D10604" s="128" t="s">
        <v>79</v>
      </c>
      <c r="E10604" s="128" t="s">
        <v>134</v>
      </c>
      <c r="F10604" s="128">
        <v>175424.41</v>
      </c>
      <c r="G10604" s="128">
        <v>77231.039999999994</v>
      </c>
      <c r="H10604" s="128">
        <v>68631.850000000006</v>
      </c>
      <c r="I10604" s="128">
        <v>745</v>
      </c>
    </row>
    <row r="10605" spans="1:9" ht="13.5">
      <c r="A10605" s="128">
        <v>2019</v>
      </c>
      <c r="B10605" s="128" t="s">
        <v>138</v>
      </c>
      <c r="C10605" s="128" t="s">
        <v>27</v>
      </c>
      <c r="D10605" s="128" t="s">
        <v>79</v>
      </c>
      <c r="E10605" s="128" t="s">
        <v>135</v>
      </c>
      <c r="F10605" s="128">
        <v>1108282.3400000001</v>
      </c>
      <c r="G10605" s="128">
        <v>250507.7</v>
      </c>
      <c r="H10605" s="128">
        <v>91630.15</v>
      </c>
      <c r="I10605" s="128">
        <v>884</v>
      </c>
    </row>
    <row r="10606" spans="1:9" ht="13.5">
      <c r="A10606" s="128">
        <v>2019</v>
      </c>
      <c r="B10606" s="128" t="s">
        <v>138</v>
      </c>
      <c r="C10606" s="128" t="s">
        <v>27</v>
      </c>
      <c r="D10606" s="128" t="s">
        <v>77</v>
      </c>
      <c r="E10606" s="128" t="s">
        <v>132</v>
      </c>
      <c r="F10606" s="128">
        <v>25129.13</v>
      </c>
      <c r="G10606" s="128">
        <v>15727.29</v>
      </c>
      <c r="H10606" s="128">
        <v>6117.75</v>
      </c>
      <c r="I10606" s="128">
        <v>180</v>
      </c>
    </row>
    <row r="10607" spans="1:9" ht="13.5">
      <c r="A10607" s="128">
        <v>2019</v>
      </c>
      <c r="B10607" s="128" t="s">
        <v>138</v>
      </c>
      <c r="C10607" s="128" t="s">
        <v>27</v>
      </c>
      <c r="D10607" s="128" t="s">
        <v>77</v>
      </c>
      <c r="E10607" s="128" t="s">
        <v>133</v>
      </c>
      <c r="F10607" s="128">
        <v>69824.12</v>
      </c>
      <c r="G10607" s="128">
        <v>37554.400000000001</v>
      </c>
      <c r="H10607" s="128">
        <v>27123.64</v>
      </c>
      <c r="I10607" s="128">
        <v>334</v>
      </c>
    </row>
    <row r="10608" spans="1:9" ht="13.5">
      <c r="A10608" s="128">
        <v>2019</v>
      </c>
      <c r="B10608" s="128" t="s">
        <v>138</v>
      </c>
      <c r="C10608" s="128" t="s">
        <v>27</v>
      </c>
      <c r="D10608" s="128" t="s">
        <v>77</v>
      </c>
      <c r="E10608" s="128" t="s">
        <v>134</v>
      </c>
      <c r="F10608" s="128">
        <v>229094.34</v>
      </c>
      <c r="G10608" s="128">
        <v>98441.52</v>
      </c>
      <c r="H10608" s="128">
        <v>100654.18</v>
      </c>
      <c r="I10608" s="128">
        <v>407</v>
      </c>
    </row>
    <row r="10609" spans="1:9" ht="13.5">
      <c r="A10609" s="128">
        <v>2019</v>
      </c>
      <c r="B10609" s="128" t="s">
        <v>138</v>
      </c>
      <c r="C10609" s="128" t="s">
        <v>27</v>
      </c>
      <c r="D10609" s="128" t="s">
        <v>77</v>
      </c>
      <c r="E10609" s="128" t="s">
        <v>135</v>
      </c>
      <c r="F10609" s="128">
        <v>545720.15</v>
      </c>
      <c r="G10609" s="128">
        <v>151449.01999999999</v>
      </c>
      <c r="H10609" s="128">
        <v>178878.77</v>
      </c>
      <c r="I10609" s="128">
        <v>1976</v>
      </c>
    </row>
    <row r="10610" spans="1:9" ht="13.5">
      <c r="A10610" s="128">
        <v>2019</v>
      </c>
      <c r="B10610" s="128" t="s">
        <v>138</v>
      </c>
      <c r="C10610" s="128" t="s">
        <v>27</v>
      </c>
      <c r="D10610" s="128" t="s">
        <v>76</v>
      </c>
      <c r="E10610" s="128" t="s">
        <v>136</v>
      </c>
      <c r="F10610" s="128">
        <v>640021.05000000005</v>
      </c>
      <c r="G10610" s="128">
        <v>480161.45</v>
      </c>
      <c r="H10610" s="128">
        <v>159859.6</v>
      </c>
      <c r="I10610" s="128">
        <v>8628</v>
      </c>
    </row>
    <row r="10611" spans="1:9" ht="13.5">
      <c r="A10611" s="128">
        <v>2019</v>
      </c>
      <c r="B10611" s="128" t="s">
        <v>138</v>
      </c>
      <c r="C10611" s="128" t="s">
        <v>27</v>
      </c>
      <c r="D10611" s="128" t="s">
        <v>76</v>
      </c>
      <c r="E10611" s="128" t="s">
        <v>132</v>
      </c>
      <c r="F10611" s="128">
        <v>499066.64</v>
      </c>
      <c r="G10611" s="128">
        <v>316771.75</v>
      </c>
      <c r="H10611" s="128">
        <v>182292.89</v>
      </c>
      <c r="I10611" s="128">
        <v>3632</v>
      </c>
    </row>
    <row r="10612" spans="1:9" ht="13.5">
      <c r="A10612" s="128">
        <v>2019</v>
      </c>
      <c r="B10612" s="128" t="s">
        <v>138</v>
      </c>
      <c r="C10612" s="128" t="s">
        <v>27</v>
      </c>
      <c r="D10612" s="128" t="s">
        <v>76</v>
      </c>
      <c r="E10612" s="128" t="s">
        <v>133</v>
      </c>
      <c r="F10612" s="128">
        <v>1286427.3400000001</v>
      </c>
      <c r="G10612" s="128">
        <v>701230.53</v>
      </c>
      <c r="H10612" s="128">
        <v>585194</v>
      </c>
      <c r="I10612" s="128">
        <v>6494</v>
      </c>
    </row>
    <row r="10613" spans="1:9" ht="13.5">
      <c r="A10613" s="128">
        <v>2019</v>
      </c>
      <c r="B10613" s="128" t="s">
        <v>138</v>
      </c>
      <c r="C10613" s="128" t="s">
        <v>27</v>
      </c>
      <c r="D10613" s="128" t="s">
        <v>76</v>
      </c>
      <c r="E10613" s="128" t="s">
        <v>134</v>
      </c>
      <c r="F10613" s="128">
        <v>2058969.95</v>
      </c>
      <c r="G10613" s="128">
        <v>942318.5</v>
      </c>
      <c r="H10613" s="128">
        <v>1116647.42</v>
      </c>
      <c r="I10613" s="128">
        <v>9431</v>
      </c>
    </row>
    <row r="10614" spans="1:9" ht="13.5">
      <c r="A10614" s="128">
        <v>2019</v>
      </c>
      <c r="B10614" s="128" t="s">
        <v>138</v>
      </c>
      <c r="C10614" s="128" t="s">
        <v>27</v>
      </c>
      <c r="D10614" s="128" t="s">
        <v>76</v>
      </c>
      <c r="E10614" s="128" t="s">
        <v>135</v>
      </c>
      <c r="F10614" s="128">
        <v>57433.52</v>
      </c>
      <c r="G10614" s="128">
        <v>17139.5</v>
      </c>
      <c r="H10614" s="128">
        <v>40294.019999999997</v>
      </c>
      <c r="I10614" s="128">
        <v>70</v>
      </c>
    </row>
    <row r="10615" spans="1:9" ht="13.5">
      <c r="A10615" s="128">
        <v>2019</v>
      </c>
      <c r="B10615" s="128" t="s">
        <v>139</v>
      </c>
      <c r="C10615" s="128" t="s">
        <v>20</v>
      </c>
      <c r="D10615" s="128" t="s">
        <v>79</v>
      </c>
      <c r="E10615" s="128" t="s">
        <v>136</v>
      </c>
      <c r="F10615" s="128">
        <v>32173872.640000001</v>
      </c>
      <c r="G10615" s="128">
        <v>24153346.899999999</v>
      </c>
      <c r="H10615" s="128">
        <v>8010546.25</v>
      </c>
      <c r="I10615" s="128">
        <v>323062</v>
      </c>
    </row>
    <row r="10616" spans="1:9" ht="13.5">
      <c r="A10616" s="128">
        <v>2019</v>
      </c>
      <c r="B10616" s="128" t="s">
        <v>139</v>
      </c>
      <c r="C10616" s="128" t="s">
        <v>20</v>
      </c>
      <c r="D10616" s="128" t="s">
        <v>79</v>
      </c>
      <c r="E10616" s="128" t="s">
        <v>132</v>
      </c>
      <c r="F10616" s="128">
        <v>3371276.66</v>
      </c>
      <c r="G10616" s="128">
        <v>2241147.86</v>
      </c>
      <c r="H10616" s="128">
        <v>922490.8</v>
      </c>
      <c r="I10616" s="128">
        <v>18238</v>
      </c>
    </row>
    <row r="10617" spans="1:9" ht="13.5">
      <c r="A10617" s="128">
        <v>2019</v>
      </c>
      <c r="B10617" s="128" t="s">
        <v>139</v>
      </c>
      <c r="C10617" s="128" t="s">
        <v>20</v>
      </c>
      <c r="D10617" s="128" t="s">
        <v>79</v>
      </c>
      <c r="E10617" s="128" t="s">
        <v>133</v>
      </c>
      <c r="F10617" s="128">
        <v>3501915.56</v>
      </c>
      <c r="G10617" s="128">
        <v>1884837.25</v>
      </c>
      <c r="H10617" s="128">
        <v>1178322.0900000001</v>
      </c>
      <c r="I10617" s="128">
        <v>18330</v>
      </c>
    </row>
    <row r="10618" spans="1:9" ht="13.5">
      <c r="A10618" s="128">
        <v>2019</v>
      </c>
      <c r="B10618" s="128" t="s">
        <v>139</v>
      </c>
      <c r="C10618" s="128" t="s">
        <v>20</v>
      </c>
      <c r="D10618" s="128" t="s">
        <v>79</v>
      </c>
      <c r="E10618" s="128" t="s">
        <v>134</v>
      </c>
      <c r="F10618" s="128">
        <v>8514908.6199999992</v>
      </c>
      <c r="G10618" s="128">
        <v>3727739.56</v>
      </c>
      <c r="H10618" s="128">
        <v>2472196.34</v>
      </c>
      <c r="I10618" s="128">
        <v>35482</v>
      </c>
    </row>
    <row r="10619" spans="1:9" ht="13.5">
      <c r="A10619" s="128">
        <v>2019</v>
      </c>
      <c r="B10619" s="128" t="s">
        <v>139</v>
      </c>
      <c r="C10619" s="128" t="s">
        <v>20</v>
      </c>
      <c r="D10619" s="128" t="s">
        <v>79</v>
      </c>
      <c r="E10619" s="128" t="s">
        <v>135</v>
      </c>
      <c r="F10619" s="128">
        <v>73240726.019999996</v>
      </c>
      <c r="G10619" s="128">
        <v>15942331.640000001</v>
      </c>
      <c r="H10619" s="128">
        <v>5626586.0300000003</v>
      </c>
      <c r="I10619" s="128">
        <v>70553</v>
      </c>
    </row>
    <row r="10620" spans="1:9" ht="13.5">
      <c r="A10620" s="128">
        <v>2019</v>
      </c>
      <c r="B10620" s="128" t="s">
        <v>139</v>
      </c>
      <c r="C10620" s="128" t="s">
        <v>20</v>
      </c>
      <c r="D10620" s="128" t="s">
        <v>77</v>
      </c>
      <c r="E10620" s="128" t="s">
        <v>132</v>
      </c>
      <c r="F10620" s="128">
        <v>2878167.2</v>
      </c>
      <c r="G10620" s="128">
        <v>1887525.75</v>
      </c>
      <c r="H10620" s="128">
        <v>887322.32</v>
      </c>
      <c r="I10620" s="128">
        <v>13547</v>
      </c>
    </row>
    <row r="10621" spans="1:9" ht="13.5">
      <c r="A10621" s="128">
        <v>2019</v>
      </c>
      <c r="B10621" s="128" t="s">
        <v>139</v>
      </c>
      <c r="C10621" s="128" t="s">
        <v>20</v>
      </c>
      <c r="D10621" s="128" t="s">
        <v>77</v>
      </c>
      <c r="E10621" s="128" t="s">
        <v>133</v>
      </c>
      <c r="F10621" s="128">
        <v>4483233.91</v>
      </c>
      <c r="G10621" s="128">
        <v>2408173.7999999998</v>
      </c>
      <c r="H10621" s="128">
        <v>1873074.35</v>
      </c>
      <c r="I10621" s="128">
        <v>15128</v>
      </c>
    </row>
    <row r="10622" spans="1:9" ht="13.5">
      <c r="A10622" s="128">
        <v>2019</v>
      </c>
      <c r="B10622" s="128" t="s">
        <v>139</v>
      </c>
      <c r="C10622" s="128" t="s">
        <v>20</v>
      </c>
      <c r="D10622" s="128" t="s">
        <v>77</v>
      </c>
      <c r="E10622" s="128" t="s">
        <v>134</v>
      </c>
      <c r="F10622" s="128">
        <v>15076352.869999999</v>
      </c>
      <c r="G10622" s="128">
        <v>6491449.9699999997</v>
      </c>
      <c r="H10622" s="128">
        <v>6673632.7699999996</v>
      </c>
      <c r="I10622" s="128">
        <v>33262</v>
      </c>
    </row>
    <row r="10623" spans="1:9" ht="13.5">
      <c r="A10623" s="128">
        <v>2019</v>
      </c>
      <c r="B10623" s="128" t="s">
        <v>139</v>
      </c>
      <c r="C10623" s="128" t="s">
        <v>20</v>
      </c>
      <c r="D10623" s="128" t="s">
        <v>77</v>
      </c>
      <c r="E10623" s="128" t="s">
        <v>135</v>
      </c>
      <c r="F10623" s="128">
        <v>37986179.009999998</v>
      </c>
      <c r="G10623" s="128">
        <v>10009064.390000001</v>
      </c>
      <c r="H10623" s="128">
        <v>11861029.65</v>
      </c>
      <c r="I10623" s="128">
        <v>127262</v>
      </c>
    </row>
    <row r="10624" spans="1:9" ht="13.5">
      <c r="A10624" s="128">
        <v>2019</v>
      </c>
      <c r="B10624" s="128" t="s">
        <v>139</v>
      </c>
      <c r="C10624" s="128" t="s">
        <v>20</v>
      </c>
      <c r="D10624" s="128" t="s">
        <v>76</v>
      </c>
      <c r="E10624" s="128" t="s">
        <v>136</v>
      </c>
      <c r="F10624" s="128">
        <v>29332887</v>
      </c>
      <c r="G10624" s="128">
        <v>22020025.829999998</v>
      </c>
      <c r="H10624" s="128">
        <v>7313002.9199999999</v>
      </c>
      <c r="I10624" s="128">
        <v>873769</v>
      </c>
    </row>
    <row r="10625" spans="1:9" ht="13.5">
      <c r="A10625" s="128">
        <v>2019</v>
      </c>
      <c r="B10625" s="128" t="s">
        <v>139</v>
      </c>
      <c r="C10625" s="128" t="s">
        <v>20</v>
      </c>
      <c r="D10625" s="128" t="s">
        <v>76</v>
      </c>
      <c r="E10625" s="128" t="s">
        <v>132</v>
      </c>
      <c r="F10625" s="128">
        <v>47751797.289999999</v>
      </c>
      <c r="G10625" s="128">
        <v>30252720.48</v>
      </c>
      <c r="H10625" s="128">
        <v>17499174.379999999</v>
      </c>
      <c r="I10625" s="128">
        <v>453134</v>
      </c>
    </row>
    <row r="10626" spans="1:9" ht="13.5">
      <c r="A10626" s="128">
        <v>2019</v>
      </c>
      <c r="B10626" s="128" t="s">
        <v>139</v>
      </c>
      <c r="C10626" s="128" t="s">
        <v>20</v>
      </c>
      <c r="D10626" s="128" t="s">
        <v>76</v>
      </c>
      <c r="E10626" s="128" t="s">
        <v>133</v>
      </c>
      <c r="F10626" s="128">
        <v>87517722.790000007</v>
      </c>
      <c r="G10626" s="128">
        <v>47809961.030000001</v>
      </c>
      <c r="H10626" s="128">
        <v>39707743.109999999</v>
      </c>
      <c r="I10626" s="128">
        <v>521260</v>
      </c>
    </row>
    <row r="10627" spans="1:9" ht="13.5">
      <c r="A10627" s="128">
        <v>2019</v>
      </c>
      <c r="B10627" s="128" t="s">
        <v>139</v>
      </c>
      <c r="C10627" s="128" t="s">
        <v>20</v>
      </c>
      <c r="D10627" s="128" t="s">
        <v>76</v>
      </c>
      <c r="E10627" s="128" t="s">
        <v>134</v>
      </c>
      <c r="F10627" s="128">
        <v>103175582.81</v>
      </c>
      <c r="G10627" s="128">
        <v>46915673.729999997</v>
      </c>
      <c r="H10627" s="128">
        <v>56259811.07</v>
      </c>
      <c r="I10627" s="128">
        <v>554317</v>
      </c>
    </row>
    <row r="10628" spans="1:9" ht="13.5">
      <c r="A10628" s="128">
        <v>2019</v>
      </c>
      <c r="B10628" s="128" t="s">
        <v>139</v>
      </c>
      <c r="C10628" s="128" t="s">
        <v>20</v>
      </c>
      <c r="D10628" s="128" t="s">
        <v>76</v>
      </c>
      <c r="E10628" s="128" t="s">
        <v>135</v>
      </c>
      <c r="F10628" s="128">
        <v>6648838.5899999999</v>
      </c>
      <c r="G10628" s="128">
        <v>1887626.51</v>
      </c>
      <c r="H10628" s="128">
        <v>4761212.01</v>
      </c>
      <c r="I10628" s="128">
        <v>13584</v>
      </c>
    </row>
    <row r="10629" spans="1:9" ht="13.5">
      <c r="A10629" s="128">
        <v>2019</v>
      </c>
      <c r="B10629" s="128" t="s">
        <v>139</v>
      </c>
      <c r="C10629" s="128" t="s">
        <v>21</v>
      </c>
      <c r="D10629" s="128" t="s">
        <v>79</v>
      </c>
      <c r="E10629" s="128" t="s">
        <v>136</v>
      </c>
      <c r="F10629" s="128">
        <v>8760986.6699999999</v>
      </c>
      <c r="G10629" s="128">
        <v>6574924.3700000001</v>
      </c>
      <c r="H10629" s="128">
        <v>2179397.7999999998</v>
      </c>
      <c r="I10629" s="128">
        <v>163081</v>
      </c>
    </row>
    <row r="10630" spans="1:9" ht="13.5">
      <c r="A10630" s="128">
        <v>2019</v>
      </c>
      <c r="B10630" s="128" t="s">
        <v>139</v>
      </c>
      <c r="C10630" s="128" t="s">
        <v>21</v>
      </c>
      <c r="D10630" s="128" t="s">
        <v>79</v>
      </c>
      <c r="E10630" s="128" t="s">
        <v>132</v>
      </c>
      <c r="F10630" s="128">
        <v>2019362.39</v>
      </c>
      <c r="G10630" s="128">
        <v>1333790.3600000001</v>
      </c>
      <c r="H10630" s="128">
        <v>525116.29</v>
      </c>
      <c r="I10630" s="128">
        <v>8368</v>
      </c>
    </row>
    <row r="10631" spans="1:9" ht="13.5">
      <c r="A10631" s="128">
        <v>2019</v>
      </c>
      <c r="B10631" s="128" t="s">
        <v>139</v>
      </c>
      <c r="C10631" s="128" t="s">
        <v>21</v>
      </c>
      <c r="D10631" s="128" t="s">
        <v>79</v>
      </c>
      <c r="E10631" s="128" t="s">
        <v>133</v>
      </c>
      <c r="F10631" s="128">
        <v>4131424.52</v>
      </c>
      <c r="G10631" s="128">
        <v>2258200.5099999998</v>
      </c>
      <c r="H10631" s="128">
        <v>1426895.19</v>
      </c>
      <c r="I10631" s="128">
        <v>46416</v>
      </c>
    </row>
    <row r="10632" spans="1:9" ht="13.5">
      <c r="A10632" s="128">
        <v>2019</v>
      </c>
      <c r="B10632" s="128" t="s">
        <v>139</v>
      </c>
      <c r="C10632" s="128" t="s">
        <v>21</v>
      </c>
      <c r="D10632" s="128" t="s">
        <v>79</v>
      </c>
      <c r="E10632" s="128" t="s">
        <v>134</v>
      </c>
      <c r="F10632" s="128">
        <v>8183984.8399999999</v>
      </c>
      <c r="G10632" s="128">
        <v>3522132.64</v>
      </c>
      <c r="H10632" s="128">
        <v>2750468.68</v>
      </c>
      <c r="I10632" s="128">
        <v>46930</v>
      </c>
    </row>
    <row r="10633" spans="1:9" ht="13.5">
      <c r="A10633" s="128">
        <v>2019</v>
      </c>
      <c r="B10633" s="128" t="s">
        <v>139</v>
      </c>
      <c r="C10633" s="128" t="s">
        <v>21</v>
      </c>
      <c r="D10633" s="128" t="s">
        <v>79</v>
      </c>
      <c r="E10633" s="128" t="s">
        <v>135</v>
      </c>
      <c r="F10633" s="128">
        <v>24101308.699999999</v>
      </c>
      <c r="G10633" s="128">
        <v>5655127.0899999999</v>
      </c>
      <c r="H10633" s="128">
        <v>2219216.2999999998</v>
      </c>
      <c r="I10633" s="128">
        <v>26350</v>
      </c>
    </row>
    <row r="10634" spans="1:9" ht="13.5">
      <c r="A10634" s="128">
        <v>2019</v>
      </c>
      <c r="B10634" s="128" t="s">
        <v>139</v>
      </c>
      <c r="C10634" s="128" t="s">
        <v>21</v>
      </c>
      <c r="D10634" s="128" t="s">
        <v>77</v>
      </c>
      <c r="E10634" s="128" t="s">
        <v>132</v>
      </c>
      <c r="F10634" s="128">
        <v>3351682.19</v>
      </c>
      <c r="G10634" s="128">
        <v>2239863.2599999998</v>
      </c>
      <c r="H10634" s="128">
        <v>969533.15</v>
      </c>
      <c r="I10634" s="128">
        <v>17787</v>
      </c>
    </row>
    <row r="10635" spans="1:9" ht="13.5">
      <c r="A10635" s="128">
        <v>2019</v>
      </c>
      <c r="B10635" s="128" t="s">
        <v>139</v>
      </c>
      <c r="C10635" s="128" t="s">
        <v>21</v>
      </c>
      <c r="D10635" s="128" t="s">
        <v>77</v>
      </c>
      <c r="E10635" s="128" t="s">
        <v>133</v>
      </c>
      <c r="F10635" s="128">
        <v>6609508.2999999998</v>
      </c>
      <c r="G10635" s="128">
        <v>3574978.33</v>
      </c>
      <c r="H10635" s="128">
        <v>2557328.2799999998</v>
      </c>
      <c r="I10635" s="128">
        <v>24585</v>
      </c>
    </row>
    <row r="10636" spans="1:9" ht="13.5">
      <c r="A10636" s="128">
        <v>2019</v>
      </c>
      <c r="B10636" s="128" t="s">
        <v>139</v>
      </c>
      <c r="C10636" s="128" t="s">
        <v>21</v>
      </c>
      <c r="D10636" s="128" t="s">
        <v>77</v>
      </c>
      <c r="E10636" s="128" t="s">
        <v>134</v>
      </c>
      <c r="F10636" s="128">
        <v>15097985.720000001</v>
      </c>
      <c r="G10636" s="128">
        <v>6501585.1200000001</v>
      </c>
      <c r="H10636" s="128">
        <v>6240447.0899999999</v>
      </c>
      <c r="I10636" s="128">
        <v>37553</v>
      </c>
    </row>
    <row r="10637" spans="1:9" ht="13.5">
      <c r="A10637" s="128">
        <v>2019</v>
      </c>
      <c r="B10637" s="128" t="s">
        <v>139</v>
      </c>
      <c r="C10637" s="128" t="s">
        <v>21</v>
      </c>
      <c r="D10637" s="128" t="s">
        <v>77</v>
      </c>
      <c r="E10637" s="128" t="s">
        <v>135</v>
      </c>
      <c r="F10637" s="128">
        <v>35182326.530000001</v>
      </c>
      <c r="G10637" s="128">
        <v>9644874.5700000003</v>
      </c>
      <c r="H10637" s="128">
        <v>11222081.220000001</v>
      </c>
      <c r="I10637" s="128">
        <v>133202</v>
      </c>
    </row>
    <row r="10638" spans="1:9" ht="13.5">
      <c r="A10638" s="128">
        <v>2019</v>
      </c>
      <c r="B10638" s="128" t="s">
        <v>139</v>
      </c>
      <c r="C10638" s="128" t="s">
        <v>21</v>
      </c>
      <c r="D10638" s="128" t="s">
        <v>76</v>
      </c>
      <c r="E10638" s="128" t="s">
        <v>136</v>
      </c>
      <c r="F10638" s="128">
        <v>19799322.800000001</v>
      </c>
      <c r="G10638" s="128">
        <v>14874490.359999999</v>
      </c>
      <c r="H10638" s="128">
        <v>4924641.7300000004</v>
      </c>
      <c r="I10638" s="128">
        <v>314474</v>
      </c>
    </row>
    <row r="10639" spans="1:9" ht="13.5">
      <c r="A10639" s="128">
        <v>2019</v>
      </c>
      <c r="B10639" s="128" t="s">
        <v>139</v>
      </c>
      <c r="C10639" s="128" t="s">
        <v>21</v>
      </c>
      <c r="D10639" s="128" t="s">
        <v>76</v>
      </c>
      <c r="E10639" s="128" t="s">
        <v>132</v>
      </c>
      <c r="F10639" s="128">
        <v>43496504.469999999</v>
      </c>
      <c r="G10639" s="128">
        <v>27782026.359999999</v>
      </c>
      <c r="H10639" s="128">
        <v>15714305.609999999</v>
      </c>
      <c r="I10639" s="128">
        <v>376526</v>
      </c>
    </row>
    <row r="10640" spans="1:9" ht="13.5">
      <c r="A10640" s="128">
        <v>2019</v>
      </c>
      <c r="B10640" s="128" t="s">
        <v>139</v>
      </c>
      <c r="C10640" s="128" t="s">
        <v>21</v>
      </c>
      <c r="D10640" s="128" t="s">
        <v>76</v>
      </c>
      <c r="E10640" s="128" t="s">
        <v>133</v>
      </c>
      <c r="F10640" s="128">
        <v>101334454.55</v>
      </c>
      <c r="G10640" s="128">
        <v>55526089.539999999</v>
      </c>
      <c r="H10640" s="128">
        <v>45808327.18</v>
      </c>
      <c r="I10640" s="128">
        <v>672332</v>
      </c>
    </row>
    <row r="10641" spans="1:9" ht="13.5">
      <c r="A10641" s="128">
        <v>2019</v>
      </c>
      <c r="B10641" s="128" t="s">
        <v>139</v>
      </c>
      <c r="C10641" s="128" t="s">
        <v>21</v>
      </c>
      <c r="D10641" s="128" t="s">
        <v>76</v>
      </c>
      <c r="E10641" s="128" t="s">
        <v>134</v>
      </c>
      <c r="F10641" s="128">
        <v>90976234.909999996</v>
      </c>
      <c r="G10641" s="128">
        <v>40777877.289999999</v>
      </c>
      <c r="H10641" s="128">
        <v>50198143.630000003</v>
      </c>
      <c r="I10641" s="128">
        <v>490496</v>
      </c>
    </row>
    <row r="10642" spans="1:9" ht="13.5">
      <c r="A10642" s="128">
        <v>2019</v>
      </c>
      <c r="B10642" s="128" t="s">
        <v>139</v>
      </c>
      <c r="C10642" s="128" t="s">
        <v>21</v>
      </c>
      <c r="D10642" s="128" t="s">
        <v>76</v>
      </c>
      <c r="E10642" s="128" t="s">
        <v>135</v>
      </c>
      <c r="F10642" s="128">
        <v>3488727.04</v>
      </c>
      <c r="G10642" s="128">
        <v>934837.62</v>
      </c>
      <c r="H10642" s="128">
        <v>2553886.06</v>
      </c>
      <c r="I10642" s="128">
        <v>3804</v>
      </c>
    </row>
    <row r="10643" spans="1:9" ht="13.5">
      <c r="A10643" s="128">
        <v>2019</v>
      </c>
      <c r="B10643" s="128" t="s">
        <v>139</v>
      </c>
      <c r="C10643" s="128" t="s">
        <v>22</v>
      </c>
      <c r="D10643" s="128" t="s">
        <v>79</v>
      </c>
      <c r="E10643" s="128" t="s">
        <v>136</v>
      </c>
      <c r="F10643" s="128">
        <v>6393449.9199999999</v>
      </c>
      <c r="G10643" s="128">
        <v>4786498.5</v>
      </c>
      <c r="H10643" s="128">
        <v>1588799.29</v>
      </c>
      <c r="I10643" s="128">
        <v>90880</v>
      </c>
    </row>
    <row r="10644" spans="1:9" ht="13.5">
      <c r="A10644" s="128">
        <v>2019</v>
      </c>
      <c r="B10644" s="128" t="s">
        <v>139</v>
      </c>
      <c r="C10644" s="128" t="s">
        <v>22</v>
      </c>
      <c r="D10644" s="128" t="s">
        <v>79</v>
      </c>
      <c r="E10644" s="128" t="s">
        <v>132</v>
      </c>
      <c r="F10644" s="128">
        <v>3068833.67</v>
      </c>
      <c r="G10644" s="128">
        <v>1993150.74</v>
      </c>
      <c r="H10644" s="128">
        <v>940126.81</v>
      </c>
      <c r="I10644" s="128">
        <v>21866</v>
      </c>
    </row>
    <row r="10645" spans="1:9" ht="13.5">
      <c r="A10645" s="128">
        <v>2019</v>
      </c>
      <c r="B10645" s="128" t="s">
        <v>139</v>
      </c>
      <c r="C10645" s="128" t="s">
        <v>22</v>
      </c>
      <c r="D10645" s="128" t="s">
        <v>79</v>
      </c>
      <c r="E10645" s="128" t="s">
        <v>133</v>
      </c>
      <c r="F10645" s="128">
        <v>3142485.54</v>
      </c>
      <c r="G10645" s="128">
        <v>1695484.26</v>
      </c>
      <c r="H10645" s="128">
        <v>1136434.0900000001</v>
      </c>
      <c r="I10645" s="128">
        <v>15878</v>
      </c>
    </row>
    <row r="10646" spans="1:9" ht="13.5">
      <c r="A10646" s="128">
        <v>2019</v>
      </c>
      <c r="B10646" s="128" t="s">
        <v>139</v>
      </c>
      <c r="C10646" s="128" t="s">
        <v>22</v>
      </c>
      <c r="D10646" s="128" t="s">
        <v>79</v>
      </c>
      <c r="E10646" s="128" t="s">
        <v>134</v>
      </c>
      <c r="F10646" s="128">
        <v>7152019.5199999996</v>
      </c>
      <c r="G10646" s="128">
        <v>3124560.86</v>
      </c>
      <c r="H10646" s="128">
        <v>2392527.84</v>
      </c>
      <c r="I10646" s="128">
        <v>38547</v>
      </c>
    </row>
    <row r="10647" spans="1:9" ht="13.5">
      <c r="A10647" s="128">
        <v>2019</v>
      </c>
      <c r="B10647" s="128" t="s">
        <v>139</v>
      </c>
      <c r="C10647" s="128" t="s">
        <v>22</v>
      </c>
      <c r="D10647" s="128" t="s">
        <v>79</v>
      </c>
      <c r="E10647" s="128" t="s">
        <v>135</v>
      </c>
      <c r="F10647" s="128">
        <v>34587118.240000002</v>
      </c>
      <c r="G10647" s="128">
        <v>8005591</v>
      </c>
      <c r="H10647" s="128">
        <v>2970941.08</v>
      </c>
      <c r="I10647" s="128">
        <v>35503</v>
      </c>
    </row>
    <row r="10648" spans="1:9" ht="13.5">
      <c r="A10648" s="128">
        <v>2019</v>
      </c>
      <c r="B10648" s="128" t="s">
        <v>139</v>
      </c>
      <c r="C10648" s="128" t="s">
        <v>22</v>
      </c>
      <c r="D10648" s="128" t="s">
        <v>77</v>
      </c>
      <c r="E10648" s="128" t="s">
        <v>132</v>
      </c>
      <c r="F10648" s="128">
        <v>1651471.79</v>
      </c>
      <c r="G10648" s="128">
        <v>1090243.55</v>
      </c>
      <c r="H10648" s="128">
        <v>489105.61</v>
      </c>
      <c r="I10648" s="128">
        <v>8588</v>
      </c>
    </row>
    <row r="10649" spans="1:9" ht="13.5">
      <c r="A10649" s="128">
        <v>2019</v>
      </c>
      <c r="B10649" s="128" t="s">
        <v>139</v>
      </c>
      <c r="C10649" s="128" t="s">
        <v>22</v>
      </c>
      <c r="D10649" s="128" t="s">
        <v>77</v>
      </c>
      <c r="E10649" s="128" t="s">
        <v>133</v>
      </c>
      <c r="F10649" s="128">
        <v>3351695.92</v>
      </c>
      <c r="G10649" s="128">
        <v>1823541.25</v>
      </c>
      <c r="H10649" s="128">
        <v>1305341.51</v>
      </c>
      <c r="I10649" s="128">
        <v>18745</v>
      </c>
    </row>
    <row r="10650" spans="1:9" ht="13.5">
      <c r="A10650" s="128">
        <v>2019</v>
      </c>
      <c r="B10650" s="128" t="s">
        <v>139</v>
      </c>
      <c r="C10650" s="128" t="s">
        <v>22</v>
      </c>
      <c r="D10650" s="128" t="s">
        <v>77</v>
      </c>
      <c r="E10650" s="128" t="s">
        <v>134</v>
      </c>
      <c r="F10650" s="128">
        <v>13755449.43</v>
      </c>
      <c r="G10650" s="128">
        <v>5828103.6200000001</v>
      </c>
      <c r="H10650" s="128">
        <v>5856748.6799999997</v>
      </c>
      <c r="I10650" s="128">
        <v>20584</v>
      </c>
    </row>
    <row r="10651" spans="1:9" ht="13.5">
      <c r="A10651" s="128">
        <v>2019</v>
      </c>
      <c r="B10651" s="128" t="s">
        <v>139</v>
      </c>
      <c r="C10651" s="128" t="s">
        <v>22</v>
      </c>
      <c r="D10651" s="128" t="s">
        <v>77</v>
      </c>
      <c r="E10651" s="128" t="s">
        <v>135</v>
      </c>
      <c r="F10651" s="128">
        <v>28045875.670000002</v>
      </c>
      <c r="G10651" s="128">
        <v>7441445</v>
      </c>
      <c r="H10651" s="128">
        <v>8441286.9499999993</v>
      </c>
      <c r="I10651" s="128">
        <v>70106</v>
      </c>
    </row>
    <row r="10652" spans="1:9" ht="13.5">
      <c r="A10652" s="128">
        <v>2019</v>
      </c>
      <c r="B10652" s="128" t="s">
        <v>139</v>
      </c>
      <c r="C10652" s="128" t="s">
        <v>22</v>
      </c>
      <c r="D10652" s="128" t="s">
        <v>76</v>
      </c>
      <c r="E10652" s="128" t="s">
        <v>136</v>
      </c>
      <c r="F10652" s="128">
        <v>14582929.68</v>
      </c>
      <c r="G10652" s="128">
        <v>10945085.07</v>
      </c>
      <c r="H10652" s="128">
        <v>3637839.89</v>
      </c>
      <c r="I10652" s="128">
        <v>286360</v>
      </c>
    </row>
    <row r="10653" spans="1:9" ht="13.5">
      <c r="A10653" s="128">
        <v>2019</v>
      </c>
      <c r="B10653" s="128" t="s">
        <v>139</v>
      </c>
      <c r="C10653" s="128" t="s">
        <v>22</v>
      </c>
      <c r="D10653" s="128" t="s">
        <v>76</v>
      </c>
      <c r="E10653" s="128" t="s">
        <v>132</v>
      </c>
      <c r="F10653" s="128">
        <v>41033314.590000004</v>
      </c>
      <c r="G10653" s="128">
        <v>26154428.219999999</v>
      </c>
      <c r="H10653" s="128">
        <v>14878744.640000001</v>
      </c>
      <c r="I10653" s="128">
        <v>399084</v>
      </c>
    </row>
    <row r="10654" spans="1:9" ht="13.5">
      <c r="A10654" s="128">
        <v>2019</v>
      </c>
      <c r="B10654" s="128" t="s">
        <v>139</v>
      </c>
      <c r="C10654" s="128" t="s">
        <v>22</v>
      </c>
      <c r="D10654" s="128" t="s">
        <v>76</v>
      </c>
      <c r="E10654" s="128" t="s">
        <v>133</v>
      </c>
      <c r="F10654" s="128">
        <v>69581318.439999998</v>
      </c>
      <c r="G10654" s="128">
        <v>38355412.210000001</v>
      </c>
      <c r="H10654" s="128">
        <v>31225226.260000002</v>
      </c>
      <c r="I10654" s="128">
        <v>563438</v>
      </c>
    </row>
    <row r="10655" spans="1:9" ht="13.5">
      <c r="A10655" s="128">
        <v>2019</v>
      </c>
      <c r="B10655" s="128" t="s">
        <v>139</v>
      </c>
      <c r="C10655" s="128" t="s">
        <v>22</v>
      </c>
      <c r="D10655" s="128" t="s">
        <v>76</v>
      </c>
      <c r="E10655" s="128" t="s">
        <v>134</v>
      </c>
      <c r="F10655" s="128">
        <v>68064863.870000005</v>
      </c>
      <c r="G10655" s="128">
        <v>30873430.109999999</v>
      </c>
      <c r="H10655" s="128">
        <v>37191003.68</v>
      </c>
      <c r="I10655" s="128">
        <v>443797</v>
      </c>
    </row>
    <row r="10656" spans="1:9" ht="13.5">
      <c r="A10656" s="128">
        <v>2019</v>
      </c>
      <c r="B10656" s="128" t="s">
        <v>139</v>
      </c>
      <c r="C10656" s="128" t="s">
        <v>22</v>
      </c>
      <c r="D10656" s="128" t="s">
        <v>76</v>
      </c>
      <c r="E10656" s="128" t="s">
        <v>135</v>
      </c>
      <c r="F10656" s="128">
        <v>4872028.3099999996</v>
      </c>
      <c r="G10656" s="128">
        <v>1367375.51</v>
      </c>
      <c r="H10656" s="128">
        <v>3504652.8</v>
      </c>
      <c r="I10656" s="128">
        <v>6928</v>
      </c>
    </row>
    <row r="10657" spans="1:9" ht="13.5">
      <c r="A10657" s="128">
        <v>2019</v>
      </c>
      <c r="B10657" s="128" t="s">
        <v>139</v>
      </c>
      <c r="C10657" s="128" t="s">
        <v>23</v>
      </c>
      <c r="D10657" s="128" t="s">
        <v>79</v>
      </c>
      <c r="E10657" s="128" t="s">
        <v>136</v>
      </c>
      <c r="F10657" s="128">
        <v>1988354.65</v>
      </c>
      <c r="G10657" s="128">
        <v>1480937.6</v>
      </c>
      <c r="H10657" s="128">
        <v>493052.5</v>
      </c>
      <c r="I10657" s="128">
        <v>15546</v>
      </c>
    </row>
    <row r="10658" spans="1:9" ht="13.5">
      <c r="A10658" s="128">
        <v>2019</v>
      </c>
      <c r="B10658" s="128" t="s">
        <v>139</v>
      </c>
      <c r="C10658" s="128" t="s">
        <v>23</v>
      </c>
      <c r="D10658" s="128" t="s">
        <v>79</v>
      </c>
      <c r="E10658" s="128" t="s">
        <v>132</v>
      </c>
      <c r="F10658" s="128">
        <v>724761.53</v>
      </c>
      <c r="G10658" s="128">
        <v>473844.04</v>
      </c>
      <c r="H10658" s="128">
        <v>200107.81</v>
      </c>
      <c r="I10658" s="128">
        <v>2305</v>
      </c>
    </row>
    <row r="10659" spans="1:9" ht="13.5">
      <c r="A10659" s="128">
        <v>2019</v>
      </c>
      <c r="B10659" s="128" t="s">
        <v>139</v>
      </c>
      <c r="C10659" s="128" t="s">
        <v>23</v>
      </c>
      <c r="D10659" s="128" t="s">
        <v>79</v>
      </c>
      <c r="E10659" s="128" t="s">
        <v>133</v>
      </c>
      <c r="F10659" s="128">
        <v>1526336.31</v>
      </c>
      <c r="G10659" s="128">
        <v>841816.37</v>
      </c>
      <c r="H10659" s="128">
        <v>635815.36</v>
      </c>
      <c r="I10659" s="128">
        <v>16214</v>
      </c>
    </row>
    <row r="10660" spans="1:9" ht="13.5">
      <c r="A10660" s="128">
        <v>2019</v>
      </c>
      <c r="B10660" s="128" t="s">
        <v>139</v>
      </c>
      <c r="C10660" s="128" t="s">
        <v>23</v>
      </c>
      <c r="D10660" s="128" t="s">
        <v>79</v>
      </c>
      <c r="E10660" s="128" t="s">
        <v>134</v>
      </c>
      <c r="F10660" s="128">
        <v>3311511.84</v>
      </c>
      <c r="G10660" s="128">
        <v>1429866.12</v>
      </c>
      <c r="H10660" s="128">
        <v>1722930.65</v>
      </c>
      <c r="I10660" s="128">
        <v>12093</v>
      </c>
    </row>
    <row r="10661" spans="1:9" ht="13.5">
      <c r="A10661" s="128">
        <v>2019</v>
      </c>
      <c r="B10661" s="128" t="s">
        <v>139</v>
      </c>
      <c r="C10661" s="128" t="s">
        <v>23</v>
      </c>
      <c r="D10661" s="128" t="s">
        <v>79</v>
      </c>
      <c r="E10661" s="128" t="s">
        <v>135</v>
      </c>
      <c r="F10661" s="128">
        <v>2586024.64</v>
      </c>
      <c r="G10661" s="128">
        <v>592572.68000000005</v>
      </c>
      <c r="H10661" s="128">
        <v>375934.91</v>
      </c>
      <c r="I10661" s="128">
        <v>3467</v>
      </c>
    </row>
    <row r="10662" spans="1:9" ht="13.5">
      <c r="A10662" s="128">
        <v>2019</v>
      </c>
      <c r="B10662" s="128" t="s">
        <v>139</v>
      </c>
      <c r="C10662" s="128" t="s">
        <v>23</v>
      </c>
      <c r="D10662" s="128" t="s">
        <v>77</v>
      </c>
      <c r="E10662" s="128" t="s">
        <v>132</v>
      </c>
      <c r="F10662" s="128">
        <v>367258.16</v>
      </c>
      <c r="G10662" s="128">
        <v>238115.75</v>
      </c>
      <c r="H10662" s="128">
        <v>108679.63</v>
      </c>
      <c r="I10662" s="128">
        <v>1960</v>
      </c>
    </row>
    <row r="10663" spans="1:9" ht="13.5">
      <c r="A10663" s="128">
        <v>2019</v>
      </c>
      <c r="B10663" s="128" t="s">
        <v>139</v>
      </c>
      <c r="C10663" s="128" t="s">
        <v>23</v>
      </c>
      <c r="D10663" s="128" t="s">
        <v>77</v>
      </c>
      <c r="E10663" s="128" t="s">
        <v>133</v>
      </c>
      <c r="F10663" s="128">
        <v>1049717.68</v>
      </c>
      <c r="G10663" s="128">
        <v>564543.43000000005</v>
      </c>
      <c r="H10663" s="128">
        <v>434817.1</v>
      </c>
      <c r="I10663" s="128">
        <v>4669</v>
      </c>
    </row>
    <row r="10664" spans="1:9" ht="13.5">
      <c r="A10664" s="128">
        <v>2019</v>
      </c>
      <c r="B10664" s="128" t="s">
        <v>139</v>
      </c>
      <c r="C10664" s="128" t="s">
        <v>23</v>
      </c>
      <c r="D10664" s="128" t="s">
        <v>77</v>
      </c>
      <c r="E10664" s="128" t="s">
        <v>134</v>
      </c>
      <c r="F10664" s="128">
        <v>5420292.1600000001</v>
      </c>
      <c r="G10664" s="128">
        <v>2293794.2599999998</v>
      </c>
      <c r="H10664" s="128">
        <v>2399841.27</v>
      </c>
      <c r="I10664" s="128">
        <v>9575</v>
      </c>
    </row>
    <row r="10665" spans="1:9" ht="13.5">
      <c r="A10665" s="128">
        <v>2019</v>
      </c>
      <c r="B10665" s="128" t="s">
        <v>139</v>
      </c>
      <c r="C10665" s="128" t="s">
        <v>23</v>
      </c>
      <c r="D10665" s="128" t="s">
        <v>77</v>
      </c>
      <c r="E10665" s="128" t="s">
        <v>135</v>
      </c>
      <c r="F10665" s="128">
        <v>8583290.1999999993</v>
      </c>
      <c r="G10665" s="128">
        <v>2476275.23</v>
      </c>
      <c r="H10665" s="128">
        <v>3061643.53</v>
      </c>
      <c r="I10665" s="128">
        <v>29746</v>
      </c>
    </row>
    <row r="10666" spans="1:9" ht="13.5">
      <c r="A10666" s="128">
        <v>2019</v>
      </c>
      <c r="B10666" s="128" t="s">
        <v>139</v>
      </c>
      <c r="C10666" s="128" t="s">
        <v>23</v>
      </c>
      <c r="D10666" s="128" t="s">
        <v>76</v>
      </c>
      <c r="E10666" s="128" t="s">
        <v>136</v>
      </c>
      <c r="F10666" s="128">
        <v>6460123.7699999996</v>
      </c>
      <c r="G10666" s="128">
        <v>4850286.84</v>
      </c>
      <c r="H10666" s="128">
        <v>1609836.73</v>
      </c>
      <c r="I10666" s="128">
        <v>94146</v>
      </c>
    </row>
    <row r="10667" spans="1:9" ht="13.5">
      <c r="A10667" s="128">
        <v>2019</v>
      </c>
      <c r="B10667" s="128" t="s">
        <v>139</v>
      </c>
      <c r="C10667" s="128" t="s">
        <v>23</v>
      </c>
      <c r="D10667" s="128" t="s">
        <v>76</v>
      </c>
      <c r="E10667" s="128" t="s">
        <v>132</v>
      </c>
      <c r="F10667" s="128">
        <v>7605527.3200000003</v>
      </c>
      <c r="G10667" s="128">
        <v>4766202.96</v>
      </c>
      <c r="H10667" s="128">
        <v>2839318.54</v>
      </c>
      <c r="I10667" s="128">
        <v>71670</v>
      </c>
    </row>
    <row r="10668" spans="1:9" ht="13.5">
      <c r="A10668" s="128">
        <v>2019</v>
      </c>
      <c r="B10668" s="128" t="s">
        <v>139</v>
      </c>
      <c r="C10668" s="128" t="s">
        <v>23</v>
      </c>
      <c r="D10668" s="128" t="s">
        <v>76</v>
      </c>
      <c r="E10668" s="128" t="s">
        <v>133</v>
      </c>
      <c r="F10668" s="128">
        <v>24609843.510000002</v>
      </c>
      <c r="G10668" s="128">
        <v>13394570.699999999</v>
      </c>
      <c r="H10668" s="128">
        <v>11215265.92</v>
      </c>
      <c r="I10668" s="128">
        <v>195251</v>
      </c>
    </row>
    <row r="10669" spans="1:9" ht="13.5">
      <c r="A10669" s="128">
        <v>2019</v>
      </c>
      <c r="B10669" s="128" t="s">
        <v>139</v>
      </c>
      <c r="C10669" s="128" t="s">
        <v>23</v>
      </c>
      <c r="D10669" s="128" t="s">
        <v>76</v>
      </c>
      <c r="E10669" s="128" t="s">
        <v>134</v>
      </c>
      <c r="F10669" s="128">
        <v>39247423.549999997</v>
      </c>
      <c r="G10669" s="128">
        <v>17398144.640000001</v>
      </c>
      <c r="H10669" s="128">
        <v>21849272.870000001</v>
      </c>
      <c r="I10669" s="128">
        <v>149459</v>
      </c>
    </row>
    <row r="10670" spans="1:9" ht="13.5">
      <c r="A10670" s="128">
        <v>2019</v>
      </c>
      <c r="B10670" s="128" t="s">
        <v>139</v>
      </c>
      <c r="C10670" s="128" t="s">
        <v>23</v>
      </c>
      <c r="D10670" s="128" t="s">
        <v>76</v>
      </c>
      <c r="E10670" s="128" t="s">
        <v>135</v>
      </c>
      <c r="F10670" s="128">
        <v>1180917.92</v>
      </c>
      <c r="G10670" s="128">
        <v>310515.7</v>
      </c>
      <c r="H10670" s="128">
        <v>870401.92</v>
      </c>
      <c r="I10670" s="128">
        <v>887</v>
      </c>
    </row>
    <row r="10671" spans="1:9" ht="13.5">
      <c r="A10671" s="128">
        <v>2019</v>
      </c>
      <c r="B10671" s="128" t="s">
        <v>139</v>
      </c>
      <c r="C10671" s="128" t="s">
        <v>24</v>
      </c>
      <c r="D10671" s="128" t="s">
        <v>79</v>
      </c>
      <c r="E10671" s="128" t="s">
        <v>136</v>
      </c>
      <c r="F10671" s="128">
        <v>2252603.56</v>
      </c>
      <c r="G10671" s="128">
        <v>1700730.29</v>
      </c>
      <c r="H10671" s="128">
        <v>546916.42000000004</v>
      </c>
      <c r="I10671" s="128">
        <v>39615</v>
      </c>
    </row>
    <row r="10672" spans="1:9" ht="13.5">
      <c r="A10672" s="128">
        <v>2019</v>
      </c>
      <c r="B10672" s="128" t="s">
        <v>139</v>
      </c>
      <c r="C10672" s="128" t="s">
        <v>24</v>
      </c>
      <c r="D10672" s="128" t="s">
        <v>79</v>
      </c>
      <c r="E10672" s="128" t="s">
        <v>132</v>
      </c>
      <c r="F10672" s="128">
        <v>405174.9</v>
      </c>
      <c r="G10672" s="128">
        <v>264362.49</v>
      </c>
      <c r="H10672" s="128">
        <v>107351.08</v>
      </c>
      <c r="I10672" s="128">
        <v>2024</v>
      </c>
    </row>
    <row r="10673" spans="1:9" ht="13.5">
      <c r="A10673" s="128">
        <v>2019</v>
      </c>
      <c r="B10673" s="128" t="s">
        <v>139</v>
      </c>
      <c r="C10673" s="128" t="s">
        <v>24</v>
      </c>
      <c r="D10673" s="128" t="s">
        <v>79</v>
      </c>
      <c r="E10673" s="128" t="s">
        <v>133</v>
      </c>
      <c r="F10673" s="128">
        <v>672979.81</v>
      </c>
      <c r="G10673" s="128">
        <v>365774.3</v>
      </c>
      <c r="H10673" s="128">
        <v>193134.37</v>
      </c>
      <c r="I10673" s="128">
        <v>2439</v>
      </c>
    </row>
    <row r="10674" spans="1:9" ht="13.5">
      <c r="A10674" s="128">
        <v>2019</v>
      </c>
      <c r="B10674" s="128" t="s">
        <v>139</v>
      </c>
      <c r="C10674" s="128" t="s">
        <v>24</v>
      </c>
      <c r="D10674" s="128" t="s">
        <v>79</v>
      </c>
      <c r="E10674" s="128" t="s">
        <v>134</v>
      </c>
      <c r="F10674" s="128">
        <v>2348129.9900000002</v>
      </c>
      <c r="G10674" s="128">
        <v>1032394.08</v>
      </c>
      <c r="H10674" s="128">
        <v>587992.88</v>
      </c>
      <c r="I10674" s="128">
        <v>18618</v>
      </c>
    </row>
    <row r="10675" spans="1:9" ht="13.5">
      <c r="A10675" s="128">
        <v>2019</v>
      </c>
      <c r="B10675" s="128" t="s">
        <v>139</v>
      </c>
      <c r="C10675" s="128" t="s">
        <v>24</v>
      </c>
      <c r="D10675" s="128" t="s">
        <v>79</v>
      </c>
      <c r="E10675" s="128" t="s">
        <v>135</v>
      </c>
      <c r="F10675" s="128">
        <v>6633024.5800000001</v>
      </c>
      <c r="G10675" s="128">
        <v>1446950.75</v>
      </c>
      <c r="H10675" s="128">
        <v>568874.91</v>
      </c>
      <c r="I10675" s="128">
        <v>8137</v>
      </c>
    </row>
    <row r="10676" spans="1:9" ht="13.5">
      <c r="A10676" s="128">
        <v>2019</v>
      </c>
      <c r="B10676" s="128" t="s">
        <v>139</v>
      </c>
      <c r="C10676" s="128" t="s">
        <v>24</v>
      </c>
      <c r="D10676" s="128" t="s">
        <v>77</v>
      </c>
      <c r="E10676" s="128" t="s">
        <v>132</v>
      </c>
      <c r="F10676" s="128">
        <v>1949479.13</v>
      </c>
      <c r="G10676" s="128">
        <v>1325845.3899999999</v>
      </c>
      <c r="H10676" s="128">
        <v>581264.26</v>
      </c>
      <c r="I10676" s="128">
        <v>9625</v>
      </c>
    </row>
    <row r="10677" spans="1:9" ht="13.5">
      <c r="A10677" s="128">
        <v>2019</v>
      </c>
      <c r="B10677" s="128" t="s">
        <v>139</v>
      </c>
      <c r="C10677" s="128" t="s">
        <v>24</v>
      </c>
      <c r="D10677" s="128" t="s">
        <v>77</v>
      </c>
      <c r="E10677" s="128" t="s">
        <v>133</v>
      </c>
      <c r="F10677" s="128">
        <v>4386107.42</v>
      </c>
      <c r="G10677" s="128">
        <v>2363370.2000000002</v>
      </c>
      <c r="H10677" s="128">
        <v>1789101.63</v>
      </c>
      <c r="I10677" s="128">
        <v>27367</v>
      </c>
    </row>
    <row r="10678" spans="1:9" ht="13.5">
      <c r="A10678" s="128">
        <v>2019</v>
      </c>
      <c r="B10678" s="128" t="s">
        <v>139</v>
      </c>
      <c r="C10678" s="128" t="s">
        <v>24</v>
      </c>
      <c r="D10678" s="128" t="s">
        <v>77</v>
      </c>
      <c r="E10678" s="128" t="s">
        <v>134</v>
      </c>
      <c r="F10678" s="128">
        <v>8978411.4100000001</v>
      </c>
      <c r="G10678" s="128">
        <v>3987665.95</v>
      </c>
      <c r="H10678" s="128">
        <v>3656789.24</v>
      </c>
      <c r="I10678" s="128">
        <v>19829</v>
      </c>
    </row>
    <row r="10679" spans="1:9" ht="13.5">
      <c r="A10679" s="128">
        <v>2019</v>
      </c>
      <c r="B10679" s="128" t="s">
        <v>139</v>
      </c>
      <c r="C10679" s="128" t="s">
        <v>24</v>
      </c>
      <c r="D10679" s="128" t="s">
        <v>77</v>
      </c>
      <c r="E10679" s="128" t="s">
        <v>135</v>
      </c>
      <c r="F10679" s="128">
        <v>15644550.35</v>
      </c>
      <c r="G10679" s="128">
        <v>3946542.48</v>
      </c>
      <c r="H10679" s="128">
        <v>3024310.89</v>
      </c>
      <c r="I10679" s="128">
        <v>40432</v>
      </c>
    </row>
    <row r="10680" spans="1:9" ht="13.5">
      <c r="A10680" s="128">
        <v>2019</v>
      </c>
      <c r="B10680" s="128" t="s">
        <v>139</v>
      </c>
      <c r="C10680" s="128" t="s">
        <v>24</v>
      </c>
      <c r="D10680" s="128" t="s">
        <v>76</v>
      </c>
      <c r="E10680" s="128" t="s">
        <v>136</v>
      </c>
      <c r="F10680" s="128">
        <v>7981248.4500000002</v>
      </c>
      <c r="G10680" s="128">
        <v>5992619.0899999999</v>
      </c>
      <c r="H10680" s="128">
        <v>1988664.29</v>
      </c>
      <c r="I10680" s="128">
        <v>146497</v>
      </c>
    </row>
    <row r="10681" spans="1:9" ht="13.5">
      <c r="A10681" s="128">
        <v>2019</v>
      </c>
      <c r="B10681" s="128" t="s">
        <v>139</v>
      </c>
      <c r="C10681" s="128" t="s">
        <v>24</v>
      </c>
      <c r="D10681" s="128" t="s">
        <v>76</v>
      </c>
      <c r="E10681" s="128" t="s">
        <v>132</v>
      </c>
      <c r="F10681" s="128">
        <v>8405004.0600000005</v>
      </c>
      <c r="G10681" s="128">
        <v>5484666.1799999997</v>
      </c>
      <c r="H10681" s="128">
        <v>2920332.45</v>
      </c>
      <c r="I10681" s="128">
        <v>61116</v>
      </c>
    </row>
    <row r="10682" spans="1:9" ht="13.5">
      <c r="A10682" s="128">
        <v>2019</v>
      </c>
      <c r="B10682" s="128" t="s">
        <v>139</v>
      </c>
      <c r="C10682" s="128" t="s">
        <v>24</v>
      </c>
      <c r="D10682" s="128" t="s">
        <v>76</v>
      </c>
      <c r="E10682" s="128" t="s">
        <v>133</v>
      </c>
      <c r="F10682" s="128">
        <v>37829755.759999998</v>
      </c>
      <c r="G10682" s="128">
        <v>20960414.23</v>
      </c>
      <c r="H10682" s="128">
        <v>16869334.18</v>
      </c>
      <c r="I10682" s="128">
        <v>263655</v>
      </c>
    </row>
    <row r="10683" spans="1:9" ht="13.5">
      <c r="A10683" s="128">
        <v>2019</v>
      </c>
      <c r="B10683" s="128" t="s">
        <v>139</v>
      </c>
      <c r="C10683" s="128" t="s">
        <v>24</v>
      </c>
      <c r="D10683" s="128" t="s">
        <v>76</v>
      </c>
      <c r="E10683" s="128" t="s">
        <v>134</v>
      </c>
      <c r="F10683" s="128">
        <v>50745218.810000002</v>
      </c>
      <c r="G10683" s="128">
        <v>22452006.59</v>
      </c>
      <c r="H10683" s="128">
        <v>28293209.399999999</v>
      </c>
      <c r="I10683" s="128">
        <v>226792</v>
      </c>
    </row>
    <row r="10684" spans="1:9" ht="13.5">
      <c r="A10684" s="128">
        <v>2019</v>
      </c>
      <c r="B10684" s="128" t="s">
        <v>139</v>
      </c>
      <c r="C10684" s="128" t="s">
        <v>24</v>
      </c>
      <c r="D10684" s="128" t="s">
        <v>76</v>
      </c>
      <c r="E10684" s="128" t="s">
        <v>135</v>
      </c>
      <c r="F10684" s="128">
        <v>2561014.14</v>
      </c>
      <c r="G10684" s="128">
        <v>671279.8</v>
      </c>
      <c r="H10684" s="128">
        <v>1889734.34</v>
      </c>
      <c r="I10684" s="128">
        <v>2145</v>
      </c>
    </row>
    <row r="10685" spans="1:9" ht="13.5">
      <c r="A10685" s="128">
        <v>2019</v>
      </c>
      <c r="B10685" s="128" t="s">
        <v>139</v>
      </c>
      <c r="C10685" s="128" t="s">
        <v>25</v>
      </c>
      <c r="D10685" s="128" t="s">
        <v>79</v>
      </c>
      <c r="E10685" s="128" t="s">
        <v>136</v>
      </c>
      <c r="F10685" s="128">
        <v>502438.94</v>
      </c>
      <c r="G10685" s="128">
        <v>377189.83</v>
      </c>
      <c r="H10685" s="128">
        <v>125144.54</v>
      </c>
      <c r="I10685" s="128">
        <v>3578</v>
      </c>
    </row>
    <row r="10686" spans="1:9" ht="13.5">
      <c r="A10686" s="128">
        <v>2019</v>
      </c>
      <c r="B10686" s="128" t="s">
        <v>139</v>
      </c>
      <c r="C10686" s="128" t="s">
        <v>25</v>
      </c>
      <c r="D10686" s="128" t="s">
        <v>79</v>
      </c>
      <c r="E10686" s="128" t="s">
        <v>132</v>
      </c>
      <c r="F10686" s="128">
        <v>227041.96</v>
      </c>
      <c r="G10686" s="128">
        <v>148997.73000000001</v>
      </c>
      <c r="H10686" s="128">
        <v>67482.75</v>
      </c>
      <c r="I10686" s="128">
        <v>1461</v>
      </c>
    </row>
    <row r="10687" spans="1:9" ht="13.5">
      <c r="A10687" s="128">
        <v>2019</v>
      </c>
      <c r="B10687" s="128" t="s">
        <v>139</v>
      </c>
      <c r="C10687" s="128" t="s">
        <v>25</v>
      </c>
      <c r="D10687" s="128" t="s">
        <v>79</v>
      </c>
      <c r="E10687" s="128" t="s">
        <v>133</v>
      </c>
      <c r="F10687" s="128">
        <v>304350</v>
      </c>
      <c r="G10687" s="128">
        <v>168545.85</v>
      </c>
      <c r="H10687" s="128">
        <v>116830.72</v>
      </c>
      <c r="I10687" s="128">
        <v>2645</v>
      </c>
    </row>
    <row r="10688" spans="1:9" ht="13.5">
      <c r="A10688" s="128">
        <v>2019</v>
      </c>
      <c r="B10688" s="128" t="s">
        <v>139</v>
      </c>
      <c r="C10688" s="128" t="s">
        <v>25</v>
      </c>
      <c r="D10688" s="128" t="s">
        <v>79</v>
      </c>
      <c r="E10688" s="128" t="s">
        <v>134</v>
      </c>
      <c r="F10688" s="128">
        <v>463433.44</v>
      </c>
      <c r="G10688" s="128">
        <v>205744.79</v>
      </c>
      <c r="H10688" s="128">
        <v>179260.24</v>
      </c>
      <c r="I10688" s="128">
        <v>1956</v>
      </c>
    </row>
    <row r="10689" spans="1:9" ht="13.5">
      <c r="A10689" s="128">
        <v>2019</v>
      </c>
      <c r="B10689" s="128" t="s">
        <v>139</v>
      </c>
      <c r="C10689" s="128" t="s">
        <v>25</v>
      </c>
      <c r="D10689" s="128" t="s">
        <v>79</v>
      </c>
      <c r="E10689" s="128" t="s">
        <v>135</v>
      </c>
      <c r="F10689" s="128">
        <v>1758977.69</v>
      </c>
      <c r="G10689" s="128">
        <v>381334.03</v>
      </c>
      <c r="H10689" s="128">
        <v>146290.48000000001</v>
      </c>
      <c r="I10689" s="128">
        <v>1309</v>
      </c>
    </row>
    <row r="10690" spans="1:9" ht="13.5">
      <c r="A10690" s="128">
        <v>2019</v>
      </c>
      <c r="B10690" s="128" t="s">
        <v>139</v>
      </c>
      <c r="C10690" s="128" t="s">
        <v>25</v>
      </c>
      <c r="D10690" s="128" t="s">
        <v>77</v>
      </c>
      <c r="E10690" s="128" t="s">
        <v>132</v>
      </c>
      <c r="F10690" s="128">
        <v>194878.46</v>
      </c>
      <c r="G10690" s="128">
        <v>128666.41</v>
      </c>
      <c r="H10690" s="128">
        <v>57182.09</v>
      </c>
      <c r="I10690" s="128">
        <v>1218</v>
      </c>
    </row>
    <row r="10691" spans="1:9" ht="13.5">
      <c r="A10691" s="128">
        <v>2019</v>
      </c>
      <c r="B10691" s="128" t="s">
        <v>139</v>
      </c>
      <c r="C10691" s="128" t="s">
        <v>25</v>
      </c>
      <c r="D10691" s="128" t="s">
        <v>77</v>
      </c>
      <c r="E10691" s="128" t="s">
        <v>133</v>
      </c>
      <c r="F10691" s="128">
        <v>478193.72</v>
      </c>
      <c r="G10691" s="128">
        <v>259376.38</v>
      </c>
      <c r="H10691" s="128">
        <v>201764.6</v>
      </c>
      <c r="I10691" s="128">
        <v>1770</v>
      </c>
    </row>
    <row r="10692" spans="1:9" ht="13.5">
      <c r="A10692" s="128">
        <v>2019</v>
      </c>
      <c r="B10692" s="128" t="s">
        <v>139</v>
      </c>
      <c r="C10692" s="128" t="s">
        <v>25</v>
      </c>
      <c r="D10692" s="128" t="s">
        <v>77</v>
      </c>
      <c r="E10692" s="128" t="s">
        <v>134</v>
      </c>
      <c r="F10692" s="128">
        <v>1769131.46</v>
      </c>
      <c r="G10692" s="128">
        <v>757829.11</v>
      </c>
      <c r="H10692" s="128">
        <v>815933.68</v>
      </c>
      <c r="I10692" s="128">
        <v>2772</v>
      </c>
    </row>
    <row r="10693" spans="1:9" ht="13.5">
      <c r="A10693" s="128">
        <v>2019</v>
      </c>
      <c r="B10693" s="128" t="s">
        <v>139</v>
      </c>
      <c r="C10693" s="128" t="s">
        <v>25</v>
      </c>
      <c r="D10693" s="128" t="s">
        <v>77</v>
      </c>
      <c r="E10693" s="128" t="s">
        <v>135</v>
      </c>
      <c r="F10693" s="128">
        <v>2098063.06</v>
      </c>
      <c r="G10693" s="128">
        <v>590251.73</v>
      </c>
      <c r="H10693" s="128">
        <v>709556.28</v>
      </c>
      <c r="I10693" s="128">
        <v>5835</v>
      </c>
    </row>
    <row r="10694" spans="1:9" ht="13.5">
      <c r="A10694" s="128">
        <v>2019</v>
      </c>
      <c r="B10694" s="128" t="s">
        <v>139</v>
      </c>
      <c r="C10694" s="128" t="s">
        <v>25</v>
      </c>
      <c r="D10694" s="128" t="s">
        <v>76</v>
      </c>
      <c r="E10694" s="128" t="s">
        <v>136</v>
      </c>
      <c r="F10694" s="128">
        <v>1792918.72</v>
      </c>
      <c r="G10694" s="128">
        <v>1344338.82</v>
      </c>
      <c r="H10694" s="128">
        <v>448579.9</v>
      </c>
      <c r="I10694" s="128">
        <v>30525</v>
      </c>
    </row>
    <row r="10695" spans="1:9" ht="13.5">
      <c r="A10695" s="128">
        <v>2019</v>
      </c>
      <c r="B10695" s="128" t="s">
        <v>139</v>
      </c>
      <c r="C10695" s="128" t="s">
        <v>25</v>
      </c>
      <c r="D10695" s="128" t="s">
        <v>76</v>
      </c>
      <c r="E10695" s="128" t="s">
        <v>132</v>
      </c>
      <c r="F10695" s="128">
        <v>2492839.35</v>
      </c>
      <c r="G10695" s="128">
        <v>1583245.68</v>
      </c>
      <c r="H10695" s="128">
        <v>909587.67</v>
      </c>
      <c r="I10695" s="128">
        <v>18436</v>
      </c>
    </row>
    <row r="10696" spans="1:9" ht="13.5">
      <c r="A10696" s="128">
        <v>2019</v>
      </c>
      <c r="B10696" s="128" t="s">
        <v>139</v>
      </c>
      <c r="C10696" s="128" t="s">
        <v>25</v>
      </c>
      <c r="D10696" s="128" t="s">
        <v>76</v>
      </c>
      <c r="E10696" s="128" t="s">
        <v>133</v>
      </c>
      <c r="F10696" s="128">
        <v>7660226.7000000002</v>
      </c>
      <c r="G10696" s="128">
        <v>4171978.21</v>
      </c>
      <c r="H10696" s="128">
        <v>3488247.77</v>
      </c>
      <c r="I10696" s="128">
        <v>45842</v>
      </c>
    </row>
    <row r="10697" spans="1:9" ht="13.5">
      <c r="A10697" s="128">
        <v>2019</v>
      </c>
      <c r="B10697" s="128" t="s">
        <v>139</v>
      </c>
      <c r="C10697" s="128" t="s">
        <v>25</v>
      </c>
      <c r="D10697" s="128" t="s">
        <v>76</v>
      </c>
      <c r="E10697" s="128" t="s">
        <v>134</v>
      </c>
      <c r="F10697" s="128">
        <v>9417347.9100000001</v>
      </c>
      <c r="G10697" s="128">
        <v>4280120.5199999996</v>
      </c>
      <c r="H10697" s="128">
        <v>5137215.45</v>
      </c>
      <c r="I10697" s="128">
        <v>44674</v>
      </c>
    </row>
    <row r="10698" spans="1:9" ht="13.5">
      <c r="A10698" s="128">
        <v>2019</v>
      </c>
      <c r="B10698" s="128" t="s">
        <v>139</v>
      </c>
      <c r="C10698" s="128" t="s">
        <v>25</v>
      </c>
      <c r="D10698" s="128" t="s">
        <v>76</v>
      </c>
      <c r="E10698" s="128" t="s">
        <v>135</v>
      </c>
      <c r="F10698" s="128">
        <v>393583.7</v>
      </c>
      <c r="G10698" s="128">
        <v>109836.18</v>
      </c>
      <c r="H10698" s="128">
        <v>283747.52</v>
      </c>
      <c r="I10698" s="128">
        <v>394</v>
      </c>
    </row>
    <row r="10699" spans="1:9" ht="13.5">
      <c r="A10699" s="128">
        <v>2019</v>
      </c>
      <c r="B10699" s="128" t="s">
        <v>139</v>
      </c>
      <c r="C10699" s="128" t="s">
        <v>26</v>
      </c>
      <c r="D10699" s="128" t="s">
        <v>79</v>
      </c>
      <c r="E10699" s="128" t="s">
        <v>136</v>
      </c>
      <c r="F10699" s="128">
        <v>873011.63</v>
      </c>
      <c r="G10699" s="128">
        <v>652211.44999999995</v>
      </c>
      <c r="H10699" s="128">
        <v>216753.07</v>
      </c>
      <c r="I10699" s="128">
        <v>7718</v>
      </c>
    </row>
    <row r="10700" spans="1:9" ht="13.5">
      <c r="A10700" s="128">
        <v>2019</v>
      </c>
      <c r="B10700" s="128" t="s">
        <v>139</v>
      </c>
      <c r="C10700" s="128" t="s">
        <v>26</v>
      </c>
      <c r="D10700" s="128" t="s">
        <v>79</v>
      </c>
      <c r="E10700" s="128" t="s">
        <v>132</v>
      </c>
      <c r="F10700" s="128">
        <v>149249.78</v>
      </c>
      <c r="G10700" s="128">
        <v>102238.2</v>
      </c>
      <c r="H10700" s="128">
        <v>36529.4</v>
      </c>
      <c r="I10700" s="128">
        <v>493</v>
      </c>
    </row>
    <row r="10701" spans="1:9" ht="13.5">
      <c r="A10701" s="128">
        <v>2019</v>
      </c>
      <c r="B10701" s="128" t="s">
        <v>139</v>
      </c>
      <c r="C10701" s="128" t="s">
        <v>26</v>
      </c>
      <c r="D10701" s="128" t="s">
        <v>79</v>
      </c>
      <c r="E10701" s="128" t="s">
        <v>133</v>
      </c>
      <c r="F10701" s="128">
        <v>138671.32999999999</v>
      </c>
      <c r="G10701" s="128">
        <v>75400.570000000007</v>
      </c>
      <c r="H10701" s="128">
        <v>30272.3</v>
      </c>
      <c r="I10701" s="128">
        <v>364</v>
      </c>
    </row>
    <row r="10702" spans="1:9" ht="13.5">
      <c r="A10702" s="128">
        <v>2019</v>
      </c>
      <c r="B10702" s="128" t="s">
        <v>139</v>
      </c>
      <c r="C10702" s="128" t="s">
        <v>26</v>
      </c>
      <c r="D10702" s="128" t="s">
        <v>79</v>
      </c>
      <c r="E10702" s="128" t="s">
        <v>134</v>
      </c>
      <c r="F10702" s="128">
        <v>492882.69</v>
      </c>
      <c r="G10702" s="128">
        <v>210224.62</v>
      </c>
      <c r="H10702" s="128">
        <v>97380.15</v>
      </c>
      <c r="I10702" s="128">
        <v>2527</v>
      </c>
    </row>
    <row r="10703" spans="1:9" ht="13.5">
      <c r="A10703" s="128">
        <v>2019</v>
      </c>
      <c r="B10703" s="128" t="s">
        <v>139</v>
      </c>
      <c r="C10703" s="128" t="s">
        <v>26</v>
      </c>
      <c r="D10703" s="128" t="s">
        <v>79</v>
      </c>
      <c r="E10703" s="128" t="s">
        <v>135</v>
      </c>
      <c r="F10703" s="128">
        <v>5826169.2699999996</v>
      </c>
      <c r="G10703" s="128">
        <v>1290035.26</v>
      </c>
      <c r="H10703" s="128">
        <v>446442.7</v>
      </c>
      <c r="I10703" s="128">
        <v>5579</v>
      </c>
    </row>
    <row r="10704" spans="1:9" ht="13.5">
      <c r="A10704" s="128">
        <v>2019</v>
      </c>
      <c r="B10704" s="128" t="s">
        <v>139</v>
      </c>
      <c r="C10704" s="128" t="s">
        <v>26</v>
      </c>
      <c r="D10704" s="128" t="s">
        <v>77</v>
      </c>
      <c r="E10704" s="128" t="s">
        <v>132</v>
      </c>
      <c r="F10704" s="128">
        <v>77209.850000000006</v>
      </c>
      <c r="G10704" s="128">
        <v>47657.61</v>
      </c>
      <c r="H10704" s="128">
        <v>24622.57</v>
      </c>
      <c r="I10704" s="128">
        <v>359</v>
      </c>
    </row>
    <row r="10705" spans="1:9" ht="13.5">
      <c r="A10705" s="128">
        <v>2019</v>
      </c>
      <c r="B10705" s="128" t="s">
        <v>139</v>
      </c>
      <c r="C10705" s="128" t="s">
        <v>26</v>
      </c>
      <c r="D10705" s="128" t="s">
        <v>77</v>
      </c>
      <c r="E10705" s="128" t="s">
        <v>133</v>
      </c>
      <c r="F10705" s="128">
        <v>133853.31</v>
      </c>
      <c r="G10705" s="128">
        <v>71799.62</v>
      </c>
      <c r="H10705" s="128">
        <v>54354.22</v>
      </c>
      <c r="I10705" s="128">
        <v>557</v>
      </c>
    </row>
    <row r="10706" spans="1:9" ht="13.5">
      <c r="A10706" s="128">
        <v>2019</v>
      </c>
      <c r="B10706" s="128" t="s">
        <v>139</v>
      </c>
      <c r="C10706" s="128" t="s">
        <v>26</v>
      </c>
      <c r="D10706" s="128" t="s">
        <v>77</v>
      </c>
      <c r="E10706" s="128" t="s">
        <v>134</v>
      </c>
      <c r="F10706" s="128">
        <v>588169.63</v>
      </c>
      <c r="G10706" s="128">
        <v>249087.7</v>
      </c>
      <c r="H10706" s="128">
        <v>246590.6</v>
      </c>
      <c r="I10706" s="128">
        <v>1405</v>
      </c>
    </row>
    <row r="10707" spans="1:9" ht="13.5">
      <c r="A10707" s="128">
        <v>2019</v>
      </c>
      <c r="B10707" s="128" t="s">
        <v>139</v>
      </c>
      <c r="C10707" s="128" t="s">
        <v>26</v>
      </c>
      <c r="D10707" s="128" t="s">
        <v>77</v>
      </c>
      <c r="E10707" s="128" t="s">
        <v>135</v>
      </c>
      <c r="F10707" s="128">
        <v>2907027.82</v>
      </c>
      <c r="G10707" s="128">
        <v>775039.84</v>
      </c>
      <c r="H10707" s="128">
        <v>854202.51</v>
      </c>
      <c r="I10707" s="128">
        <v>9793</v>
      </c>
    </row>
    <row r="10708" spans="1:9" ht="13.5">
      <c r="A10708" s="128">
        <v>2019</v>
      </c>
      <c r="B10708" s="128" t="s">
        <v>139</v>
      </c>
      <c r="C10708" s="128" t="s">
        <v>26</v>
      </c>
      <c r="D10708" s="128" t="s">
        <v>76</v>
      </c>
      <c r="E10708" s="128" t="s">
        <v>136</v>
      </c>
      <c r="F10708" s="128">
        <v>556960.69999999995</v>
      </c>
      <c r="G10708" s="128">
        <v>434127.99</v>
      </c>
      <c r="H10708" s="128">
        <v>122832.47</v>
      </c>
      <c r="I10708" s="128">
        <v>14690</v>
      </c>
    </row>
    <row r="10709" spans="1:9" ht="13.5">
      <c r="A10709" s="128">
        <v>2019</v>
      </c>
      <c r="B10709" s="128" t="s">
        <v>139</v>
      </c>
      <c r="C10709" s="128" t="s">
        <v>26</v>
      </c>
      <c r="D10709" s="128" t="s">
        <v>76</v>
      </c>
      <c r="E10709" s="128" t="s">
        <v>132</v>
      </c>
      <c r="F10709" s="128">
        <v>1470477.62</v>
      </c>
      <c r="G10709" s="128">
        <v>933389.35</v>
      </c>
      <c r="H10709" s="128">
        <v>537080.12</v>
      </c>
      <c r="I10709" s="128">
        <v>15272</v>
      </c>
    </row>
    <row r="10710" spans="1:9" ht="13.5">
      <c r="A10710" s="128">
        <v>2019</v>
      </c>
      <c r="B10710" s="128" t="s">
        <v>139</v>
      </c>
      <c r="C10710" s="128" t="s">
        <v>26</v>
      </c>
      <c r="D10710" s="128" t="s">
        <v>76</v>
      </c>
      <c r="E10710" s="128" t="s">
        <v>133</v>
      </c>
      <c r="F10710" s="128">
        <v>3200802.47</v>
      </c>
      <c r="G10710" s="128">
        <v>1762722.85</v>
      </c>
      <c r="H10710" s="128">
        <v>1438076.02</v>
      </c>
      <c r="I10710" s="128">
        <v>25817</v>
      </c>
    </row>
    <row r="10711" spans="1:9" ht="13.5">
      <c r="A10711" s="128">
        <v>2019</v>
      </c>
      <c r="B10711" s="128" t="s">
        <v>139</v>
      </c>
      <c r="C10711" s="128" t="s">
        <v>26</v>
      </c>
      <c r="D10711" s="128" t="s">
        <v>76</v>
      </c>
      <c r="E10711" s="128" t="s">
        <v>134</v>
      </c>
      <c r="F10711" s="128">
        <v>2409015.66</v>
      </c>
      <c r="G10711" s="128">
        <v>1095257.77</v>
      </c>
      <c r="H10711" s="128">
        <v>1313606.55</v>
      </c>
      <c r="I10711" s="128">
        <v>13760</v>
      </c>
    </row>
    <row r="10712" spans="1:9" ht="13.5">
      <c r="A10712" s="128">
        <v>2019</v>
      </c>
      <c r="B10712" s="128" t="s">
        <v>139</v>
      </c>
      <c r="C10712" s="128" t="s">
        <v>26</v>
      </c>
      <c r="D10712" s="128" t="s">
        <v>76</v>
      </c>
      <c r="E10712" s="128" t="s">
        <v>135</v>
      </c>
      <c r="F10712" s="128">
        <v>256758.78</v>
      </c>
      <c r="G10712" s="128">
        <v>75555.199999999997</v>
      </c>
      <c r="H10712" s="128">
        <v>181203.58</v>
      </c>
      <c r="I10712" s="128">
        <v>444</v>
      </c>
    </row>
    <row r="10713" spans="1:9" ht="13.5">
      <c r="A10713" s="128">
        <v>2019</v>
      </c>
      <c r="B10713" s="128" t="s">
        <v>139</v>
      </c>
      <c r="C10713" s="128" t="s">
        <v>27</v>
      </c>
      <c r="D10713" s="128" t="s">
        <v>79</v>
      </c>
      <c r="E10713" s="128" t="s">
        <v>136</v>
      </c>
      <c r="F10713" s="128">
        <v>331949.43</v>
      </c>
      <c r="G10713" s="128">
        <v>250644.69</v>
      </c>
      <c r="H10713" s="128">
        <v>78833.41</v>
      </c>
      <c r="I10713" s="128">
        <v>1680</v>
      </c>
    </row>
    <row r="10714" spans="1:9" ht="13.5">
      <c r="A10714" s="128">
        <v>2019</v>
      </c>
      <c r="B10714" s="128" t="s">
        <v>139</v>
      </c>
      <c r="C10714" s="128" t="s">
        <v>27</v>
      </c>
      <c r="D10714" s="128" t="s">
        <v>79</v>
      </c>
      <c r="E10714" s="128" t="s">
        <v>132</v>
      </c>
      <c r="F10714" s="128">
        <v>62616.800000000003</v>
      </c>
      <c r="G10714" s="128">
        <v>41575.199999999997</v>
      </c>
      <c r="H10714" s="128">
        <v>17489.099999999999</v>
      </c>
      <c r="I10714" s="128">
        <v>214</v>
      </c>
    </row>
    <row r="10715" spans="1:9" ht="13.5">
      <c r="A10715" s="128">
        <v>2019</v>
      </c>
      <c r="B10715" s="128" t="s">
        <v>139</v>
      </c>
      <c r="C10715" s="128" t="s">
        <v>27</v>
      </c>
      <c r="D10715" s="128" t="s">
        <v>79</v>
      </c>
      <c r="E10715" s="128" t="s">
        <v>133</v>
      </c>
      <c r="F10715" s="128">
        <v>63945.54</v>
      </c>
      <c r="G10715" s="128">
        <v>34551.1</v>
      </c>
      <c r="H10715" s="128">
        <v>20477.150000000001</v>
      </c>
      <c r="I10715" s="128">
        <v>284</v>
      </c>
    </row>
    <row r="10716" spans="1:9" ht="13.5">
      <c r="A10716" s="128">
        <v>2019</v>
      </c>
      <c r="B10716" s="128" t="s">
        <v>139</v>
      </c>
      <c r="C10716" s="128" t="s">
        <v>27</v>
      </c>
      <c r="D10716" s="128" t="s">
        <v>79</v>
      </c>
      <c r="E10716" s="128" t="s">
        <v>134</v>
      </c>
      <c r="F10716" s="128">
        <v>162199.10999999999</v>
      </c>
      <c r="G10716" s="128">
        <v>70335.34</v>
      </c>
      <c r="H10716" s="128">
        <v>60500.25</v>
      </c>
      <c r="I10716" s="128">
        <v>597</v>
      </c>
    </row>
    <row r="10717" spans="1:9" ht="13.5">
      <c r="A10717" s="128">
        <v>2019</v>
      </c>
      <c r="B10717" s="128" t="s">
        <v>139</v>
      </c>
      <c r="C10717" s="128" t="s">
        <v>27</v>
      </c>
      <c r="D10717" s="128" t="s">
        <v>79</v>
      </c>
      <c r="E10717" s="128" t="s">
        <v>135</v>
      </c>
      <c r="F10717" s="128">
        <v>925648.83</v>
      </c>
      <c r="G10717" s="128">
        <v>212801.95</v>
      </c>
      <c r="H10717" s="128">
        <v>79216.34</v>
      </c>
      <c r="I10717" s="128">
        <v>796</v>
      </c>
    </row>
    <row r="10718" spans="1:9" ht="13.5">
      <c r="A10718" s="128">
        <v>2019</v>
      </c>
      <c r="B10718" s="128" t="s">
        <v>139</v>
      </c>
      <c r="C10718" s="128" t="s">
        <v>27</v>
      </c>
      <c r="D10718" s="128" t="s">
        <v>77</v>
      </c>
      <c r="E10718" s="128" t="s">
        <v>132</v>
      </c>
      <c r="F10718" s="128">
        <v>35996.300000000003</v>
      </c>
      <c r="G10718" s="128">
        <v>23318</v>
      </c>
      <c r="H10718" s="128">
        <v>10292.9</v>
      </c>
      <c r="I10718" s="128">
        <v>217</v>
      </c>
    </row>
    <row r="10719" spans="1:9" ht="13.5">
      <c r="A10719" s="128">
        <v>2019</v>
      </c>
      <c r="B10719" s="128" t="s">
        <v>139</v>
      </c>
      <c r="C10719" s="128" t="s">
        <v>27</v>
      </c>
      <c r="D10719" s="128" t="s">
        <v>77</v>
      </c>
      <c r="E10719" s="128" t="s">
        <v>133</v>
      </c>
      <c r="F10719" s="128">
        <v>55435.57</v>
      </c>
      <c r="G10719" s="128">
        <v>30388.49</v>
      </c>
      <c r="H10719" s="128">
        <v>20705.189999999999</v>
      </c>
      <c r="I10719" s="128">
        <v>344</v>
      </c>
    </row>
    <row r="10720" spans="1:9" ht="13.5">
      <c r="A10720" s="128">
        <v>2019</v>
      </c>
      <c r="B10720" s="128" t="s">
        <v>139</v>
      </c>
      <c r="C10720" s="128" t="s">
        <v>27</v>
      </c>
      <c r="D10720" s="128" t="s">
        <v>77</v>
      </c>
      <c r="E10720" s="128" t="s">
        <v>134</v>
      </c>
      <c r="F10720" s="128">
        <v>201941.23</v>
      </c>
      <c r="G10720" s="128">
        <v>86941.03</v>
      </c>
      <c r="H10720" s="128">
        <v>87965.11</v>
      </c>
      <c r="I10720" s="128">
        <v>436</v>
      </c>
    </row>
    <row r="10721" spans="1:9" ht="13.5">
      <c r="A10721" s="128">
        <v>2019</v>
      </c>
      <c r="B10721" s="128" t="s">
        <v>139</v>
      </c>
      <c r="C10721" s="128" t="s">
        <v>27</v>
      </c>
      <c r="D10721" s="128" t="s">
        <v>77</v>
      </c>
      <c r="E10721" s="128" t="s">
        <v>135</v>
      </c>
      <c r="F10721" s="128">
        <v>573360.01</v>
      </c>
      <c r="G10721" s="128">
        <v>159799.29999999999</v>
      </c>
      <c r="H10721" s="128">
        <v>183314.13</v>
      </c>
      <c r="I10721" s="128">
        <v>2114</v>
      </c>
    </row>
    <row r="10722" spans="1:9" ht="13.5">
      <c r="A10722" s="128">
        <v>2019</v>
      </c>
      <c r="B10722" s="128" t="s">
        <v>139</v>
      </c>
      <c r="C10722" s="128" t="s">
        <v>27</v>
      </c>
      <c r="D10722" s="128" t="s">
        <v>76</v>
      </c>
      <c r="E10722" s="128" t="s">
        <v>136</v>
      </c>
      <c r="F10722" s="128">
        <v>556311.76</v>
      </c>
      <c r="G10722" s="128">
        <v>417328.22</v>
      </c>
      <c r="H10722" s="128">
        <v>138983.54</v>
      </c>
      <c r="I10722" s="128">
        <v>7750</v>
      </c>
    </row>
    <row r="10723" spans="1:9" ht="13.5">
      <c r="A10723" s="128">
        <v>2019</v>
      </c>
      <c r="B10723" s="128" t="s">
        <v>139</v>
      </c>
      <c r="C10723" s="128" t="s">
        <v>27</v>
      </c>
      <c r="D10723" s="128" t="s">
        <v>76</v>
      </c>
      <c r="E10723" s="128" t="s">
        <v>132</v>
      </c>
      <c r="F10723" s="128">
        <v>507791.28</v>
      </c>
      <c r="G10723" s="128">
        <v>325470.93</v>
      </c>
      <c r="H10723" s="128">
        <v>182319.7</v>
      </c>
      <c r="I10723" s="128">
        <v>3525</v>
      </c>
    </row>
    <row r="10724" spans="1:9" ht="13.5">
      <c r="A10724" s="128">
        <v>2019</v>
      </c>
      <c r="B10724" s="128" t="s">
        <v>139</v>
      </c>
      <c r="C10724" s="128" t="s">
        <v>27</v>
      </c>
      <c r="D10724" s="128" t="s">
        <v>76</v>
      </c>
      <c r="E10724" s="128" t="s">
        <v>133</v>
      </c>
      <c r="F10724" s="128">
        <v>1277912.19</v>
      </c>
      <c r="G10724" s="128">
        <v>696564.78</v>
      </c>
      <c r="H10724" s="128">
        <v>581346.28</v>
      </c>
      <c r="I10724" s="128">
        <v>6543</v>
      </c>
    </row>
    <row r="10725" spans="1:9" ht="13.5">
      <c r="A10725" s="128">
        <v>2019</v>
      </c>
      <c r="B10725" s="128" t="s">
        <v>139</v>
      </c>
      <c r="C10725" s="128" t="s">
        <v>27</v>
      </c>
      <c r="D10725" s="128" t="s">
        <v>76</v>
      </c>
      <c r="E10725" s="128" t="s">
        <v>134</v>
      </c>
      <c r="F10725" s="128">
        <v>1897877.2</v>
      </c>
      <c r="G10725" s="128">
        <v>862488</v>
      </c>
      <c r="H10725" s="128">
        <v>1035382.29</v>
      </c>
      <c r="I10725" s="128">
        <v>8588</v>
      </c>
    </row>
    <row r="10726" spans="1:9" ht="13.5">
      <c r="A10726" s="128">
        <v>2019</v>
      </c>
      <c r="B10726" s="128" t="s">
        <v>139</v>
      </c>
      <c r="C10726" s="128" t="s">
        <v>27</v>
      </c>
      <c r="D10726" s="128" t="s">
        <v>76</v>
      </c>
      <c r="E10726" s="128" t="s">
        <v>135</v>
      </c>
      <c r="F10726" s="128">
        <v>50137.83</v>
      </c>
      <c r="G10726" s="128">
        <v>15649.65</v>
      </c>
      <c r="H10726" s="128">
        <v>34488.18</v>
      </c>
      <c r="I10726" s="128">
        <v>80</v>
      </c>
    </row>
    <row r="10727" spans="1:9" ht="13.5">
      <c r="A10727" s="128">
        <v>2019</v>
      </c>
      <c r="B10727" s="128" t="s">
        <v>137</v>
      </c>
      <c r="C10727" s="128" t="s">
        <v>20</v>
      </c>
      <c r="D10727" s="128" t="s">
        <v>79</v>
      </c>
      <c r="E10727" s="128" t="s">
        <v>136</v>
      </c>
      <c r="F10727" s="128">
        <v>33357153.449999999</v>
      </c>
      <c r="G10727" s="128">
        <v>25040950.890000001</v>
      </c>
      <c r="H10727" s="128">
        <v>8297784.1500000004</v>
      </c>
      <c r="I10727" s="128">
        <v>314377</v>
      </c>
    </row>
    <row r="10728" spans="1:9" ht="13.5">
      <c r="A10728" s="128">
        <v>2019</v>
      </c>
      <c r="B10728" s="128" t="s">
        <v>137</v>
      </c>
      <c r="C10728" s="128" t="s">
        <v>20</v>
      </c>
      <c r="D10728" s="128" t="s">
        <v>79</v>
      </c>
      <c r="E10728" s="128" t="s">
        <v>132</v>
      </c>
      <c r="F10728" s="128">
        <v>2737272.82</v>
      </c>
      <c r="G10728" s="128">
        <v>1843659.47</v>
      </c>
      <c r="H10728" s="128">
        <v>645749.17000000004</v>
      </c>
      <c r="I10728" s="128">
        <v>10363</v>
      </c>
    </row>
    <row r="10729" spans="1:9" ht="13.5">
      <c r="A10729" s="128">
        <v>2019</v>
      </c>
      <c r="B10729" s="128" t="s">
        <v>137</v>
      </c>
      <c r="C10729" s="128" t="s">
        <v>20</v>
      </c>
      <c r="D10729" s="128" t="s">
        <v>79</v>
      </c>
      <c r="E10729" s="128" t="s">
        <v>133</v>
      </c>
      <c r="F10729" s="128">
        <v>2048185.1</v>
      </c>
      <c r="G10729" s="128">
        <v>1112634.6499999999</v>
      </c>
      <c r="H10729" s="128">
        <v>432953.81</v>
      </c>
      <c r="I10729" s="128">
        <v>6034</v>
      </c>
    </row>
    <row r="10730" spans="1:9" ht="13.5">
      <c r="A10730" s="128">
        <v>2019</v>
      </c>
      <c r="B10730" s="128" t="s">
        <v>137</v>
      </c>
      <c r="C10730" s="128" t="s">
        <v>20</v>
      </c>
      <c r="D10730" s="128" t="s">
        <v>79</v>
      </c>
      <c r="E10730" s="128" t="s">
        <v>134</v>
      </c>
      <c r="F10730" s="128">
        <v>5836246.0300000003</v>
      </c>
      <c r="G10730" s="128">
        <v>2506319.17</v>
      </c>
      <c r="H10730" s="128">
        <v>859319.33</v>
      </c>
      <c r="I10730" s="128">
        <v>19647</v>
      </c>
    </row>
    <row r="10731" spans="1:9" ht="13.5">
      <c r="A10731" s="128">
        <v>2019</v>
      </c>
      <c r="B10731" s="128" t="s">
        <v>137</v>
      </c>
      <c r="C10731" s="128" t="s">
        <v>20</v>
      </c>
      <c r="D10731" s="128" t="s">
        <v>79</v>
      </c>
      <c r="E10731" s="128" t="s">
        <v>135</v>
      </c>
      <c r="F10731" s="128">
        <v>78625285.969999999</v>
      </c>
      <c r="G10731" s="128">
        <v>17179780.079999998</v>
      </c>
      <c r="H10731" s="128">
        <v>5758940.29</v>
      </c>
      <c r="I10731" s="128">
        <v>73614</v>
      </c>
    </row>
    <row r="10732" spans="1:9" ht="13.5">
      <c r="A10732" s="128">
        <v>2019</v>
      </c>
      <c r="B10732" s="128" t="s">
        <v>137</v>
      </c>
      <c r="C10732" s="128" t="s">
        <v>20</v>
      </c>
      <c r="D10732" s="128" t="s">
        <v>77</v>
      </c>
      <c r="E10732" s="128" t="s">
        <v>132</v>
      </c>
      <c r="F10732" s="128">
        <v>3252867.27</v>
      </c>
      <c r="G10732" s="128">
        <v>2125475.1800000002</v>
      </c>
      <c r="H10732" s="128">
        <v>992599.26</v>
      </c>
      <c r="I10732" s="128">
        <v>13379</v>
      </c>
    </row>
    <row r="10733" spans="1:9" ht="13.5">
      <c r="A10733" s="128">
        <v>2019</v>
      </c>
      <c r="B10733" s="128" t="s">
        <v>137</v>
      </c>
      <c r="C10733" s="128" t="s">
        <v>20</v>
      </c>
      <c r="D10733" s="128" t="s">
        <v>77</v>
      </c>
      <c r="E10733" s="128" t="s">
        <v>133</v>
      </c>
      <c r="F10733" s="128">
        <v>6257958.2800000003</v>
      </c>
      <c r="G10733" s="128">
        <v>3378658.6</v>
      </c>
      <c r="H10733" s="128">
        <v>2608083.67</v>
      </c>
      <c r="I10733" s="128">
        <v>30426</v>
      </c>
    </row>
    <row r="10734" spans="1:9" ht="13.5">
      <c r="A10734" s="128">
        <v>2019</v>
      </c>
      <c r="B10734" s="128" t="s">
        <v>137</v>
      </c>
      <c r="C10734" s="128" t="s">
        <v>20</v>
      </c>
      <c r="D10734" s="128" t="s">
        <v>77</v>
      </c>
      <c r="E10734" s="128" t="s">
        <v>134</v>
      </c>
      <c r="F10734" s="128">
        <v>18331081.73</v>
      </c>
      <c r="G10734" s="128">
        <v>7862457.7000000002</v>
      </c>
      <c r="H10734" s="128">
        <v>8078323.5599999996</v>
      </c>
      <c r="I10734" s="128">
        <v>36234</v>
      </c>
    </row>
    <row r="10735" spans="1:9" ht="13.5">
      <c r="A10735" s="128">
        <v>2019</v>
      </c>
      <c r="B10735" s="128" t="s">
        <v>137</v>
      </c>
      <c r="C10735" s="128" t="s">
        <v>20</v>
      </c>
      <c r="D10735" s="128" t="s">
        <v>77</v>
      </c>
      <c r="E10735" s="128" t="s">
        <v>135</v>
      </c>
      <c r="F10735" s="128">
        <v>46506401.659999996</v>
      </c>
      <c r="G10735" s="128">
        <v>12262392.08</v>
      </c>
      <c r="H10735" s="128">
        <v>14372886.48</v>
      </c>
      <c r="I10735" s="128">
        <v>154138</v>
      </c>
    </row>
    <row r="10736" spans="1:9" ht="13.5">
      <c r="A10736" s="128">
        <v>2019</v>
      </c>
      <c r="B10736" s="128" t="s">
        <v>137</v>
      </c>
      <c r="C10736" s="128" t="s">
        <v>20</v>
      </c>
      <c r="D10736" s="128" t="s">
        <v>76</v>
      </c>
      <c r="E10736" s="128" t="s">
        <v>136</v>
      </c>
      <c r="F10736" s="128">
        <v>32753710.609999999</v>
      </c>
      <c r="G10736" s="128">
        <v>24588996.600000001</v>
      </c>
      <c r="H10736" s="128">
        <v>8164556.3899999997</v>
      </c>
      <c r="I10736" s="128">
        <v>976049</v>
      </c>
    </row>
    <row r="10737" spans="1:9" ht="13.5">
      <c r="A10737" s="128">
        <v>2019</v>
      </c>
      <c r="B10737" s="128" t="s">
        <v>137</v>
      </c>
      <c r="C10737" s="128" t="s">
        <v>20</v>
      </c>
      <c r="D10737" s="128" t="s">
        <v>76</v>
      </c>
      <c r="E10737" s="128" t="s">
        <v>132</v>
      </c>
      <c r="F10737" s="128">
        <v>57990328.560000002</v>
      </c>
      <c r="G10737" s="128">
        <v>36877266.149999999</v>
      </c>
      <c r="H10737" s="128">
        <v>21112824.690000001</v>
      </c>
      <c r="I10737" s="128">
        <v>550038</v>
      </c>
    </row>
    <row r="10738" spans="1:9" ht="13.5">
      <c r="A10738" s="128">
        <v>2019</v>
      </c>
      <c r="B10738" s="128" t="s">
        <v>137</v>
      </c>
      <c r="C10738" s="128" t="s">
        <v>20</v>
      </c>
      <c r="D10738" s="128" t="s">
        <v>76</v>
      </c>
      <c r="E10738" s="128" t="s">
        <v>133</v>
      </c>
      <c r="F10738" s="128">
        <v>110247566.84999999</v>
      </c>
      <c r="G10738" s="128">
        <v>60288782.350000001</v>
      </c>
      <c r="H10738" s="128">
        <v>49958628.079999998</v>
      </c>
      <c r="I10738" s="128">
        <v>649025</v>
      </c>
    </row>
    <row r="10739" spans="1:9" ht="13.5">
      <c r="A10739" s="128">
        <v>2019</v>
      </c>
      <c r="B10739" s="128" t="s">
        <v>137</v>
      </c>
      <c r="C10739" s="128" t="s">
        <v>20</v>
      </c>
      <c r="D10739" s="128" t="s">
        <v>76</v>
      </c>
      <c r="E10739" s="128" t="s">
        <v>134</v>
      </c>
      <c r="F10739" s="128">
        <v>115795339.03</v>
      </c>
      <c r="G10739" s="128">
        <v>52709827.380000003</v>
      </c>
      <c r="H10739" s="128">
        <v>63085357.850000001</v>
      </c>
      <c r="I10739" s="128">
        <v>652418</v>
      </c>
    </row>
    <row r="10740" spans="1:9" ht="13.5">
      <c r="A10740" s="128">
        <v>2019</v>
      </c>
      <c r="B10740" s="128" t="s">
        <v>137</v>
      </c>
      <c r="C10740" s="128" t="s">
        <v>20</v>
      </c>
      <c r="D10740" s="128" t="s">
        <v>76</v>
      </c>
      <c r="E10740" s="128" t="s">
        <v>135</v>
      </c>
      <c r="F10740" s="128">
        <v>7226753.6500000004</v>
      </c>
      <c r="G10740" s="128">
        <v>2104347.39</v>
      </c>
      <c r="H10740" s="128">
        <v>5122403.51</v>
      </c>
      <c r="I10740" s="128">
        <v>14924</v>
      </c>
    </row>
    <row r="10741" spans="1:9" ht="13.5">
      <c r="A10741" s="128">
        <v>2019</v>
      </c>
      <c r="B10741" s="128" t="s">
        <v>137</v>
      </c>
      <c r="C10741" s="128" t="s">
        <v>21</v>
      </c>
      <c r="D10741" s="128" t="s">
        <v>79</v>
      </c>
      <c r="E10741" s="128" t="s">
        <v>136</v>
      </c>
      <c r="F10741" s="128">
        <v>8391561.4800000004</v>
      </c>
      <c r="G10741" s="128">
        <v>6301785.3300000001</v>
      </c>
      <c r="H10741" s="128">
        <v>2081932.63</v>
      </c>
      <c r="I10741" s="128">
        <v>140476</v>
      </c>
    </row>
    <row r="10742" spans="1:9" ht="13.5">
      <c r="A10742" s="128">
        <v>2019</v>
      </c>
      <c r="B10742" s="128" t="s">
        <v>137</v>
      </c>
      <c r="C10742" s="128" t="s">
        <v>21</v>
      </c>
      <c r="D10742" s="128" t="s">
        <v>79</v>
      </c>
      <c r="E10742" s="128" t="s">
        <v>132</v>
      </c>
      <c r="F10742" s="128">
        <v>1516384</v>
      </c>
      <c r="G10742" s="128">
        <v>1012764.32</v>
      </c>
      <c r="H10742" s="128">
        <v>359338.05</v>
      </c>
      <c r="I10742" s="128">
        <v>4849</v>
      </c>
    </row>
    <row r="10743" spans="1:9" ht="13.5">
      <c r="A10743" s="128">
        <v>2019</v>
      </c>
      <c r="B10743" s="128" t="s">
        <v>137</v>
      </c>
      <c r="C10743" s="128" t="s">
        <v>21</v>
      </c>
      <c r="D10743" s="128" t="s">
        <v>79</v>
      </c>
      <c r="E10743" s="128" t="s">
        <v>133</v>
      </c>
      <c r="F10743" s="128">
        <v>1436052.69</v>
      </c>
      <c r="G10743" s="128">
        <v>778964.9</v>
      </c>
      <c r="H10743" s="128">
        <v>275833.98</v>
      </c>
      <c r="I10743" s="128">
        <v>7063</v>
      </c>
    </row>
    <row r="10744" spans="1:9" ht="13.5">
      <c r="A10744" s="128">
        <v>2019</v>
      </c>
      <c r="B10744" s="128" t="s">
        <v>137</v>
      </c>
      <c r="C10744" s="128" t="s">
        <v>21</v>
      </c>
      <c r="D10744" s="128" t="s">
        <v>79</v>
      </c>
      <c r="E10744" s="128" t="s">
        <v>134</v>
      </c>
      <c r="F10744" s="128">
        <v>3963994.93</v>
      </c>
      <c r="G10744" s="128">
        <v>1712882.6</v>
      </c>
      <c r="H10744" s="128">
        <v>607472.56000000006</v>
      </c>
      <c r="I10744" s="128">
        <v>21001</v>
      </c>
    </row>
    <row r="10745" spans="1:9" ht="13.5">
      <c r="A10745" s="128">
        <v>2019</v>
      </c>
      <c r="B10745" s="128" t="s">
        <v>137</v>
      </c>
      <c r="C10745" s="128" t="s">
        <v>21</v>
      </c>
      <c r="D10745" s="128" t="s">
        <v>79</v>
      </c>
      <c r="E10745" s="128" t="s">
        <v>135</v>
      </c>
      <c r="F10745" s="128">
        <v>25614903.030000001</v>
      </c>
      <c r="G10745" s="128">
        <v>5903354.5800000001</v>
      </c>
      <c r="H10745" s="128">
        <v>2034246.76</v>
      </c>
      <c r="I10745" s="128">
        <v>23802</v>
      </c>
    </row>
    <row r="10746" spans="1:9" ht="13.5">
      <c r="A10746" s="128">
        <v>2019</v>
      </c>
      <c r="B10746" s="128" t="s">
        <v>137</v>
      </c>
      <c r="C10746" s="128" t="s">
        <v>21</v>
      </c>
      <c r="D10746" s="128" t="s">
        <v>77</v>
      </c>
      <c r="E10746" s="128" t="s">
        <v>132</v>
      </c>
      <c r="F10746" s="128">
        <v>3451476.69</v>
      </c>
      <c r="G10746" s="128">
        <v>2276602.5299999998</v>
      </c>
      <c r="H10746" s="128">
        <v>1026027.05</v>
      </c>
      <c r="I10746" s="128">
        <v>17172</v>
      </c>
    </row>
    <row r="10747" spans="1:9" ht="13.5">
      <c r="A10747" s="128">
        <v>2019</v>
      </c>
      <c r="B10747" s="128" t="s">
        <v>137</v>
      </c>
      <c r="C10747" s="128" t="s">
        <v>21</v>
      </c>
      <c r="D10747" s="128" t="s">
        <v>77</v>
      </c>
      <c r="E10747" s="128" t="s">
        <v>133</v>
      </c>
      <c r="F10747" s="128">
        <v>8176426.6600000001</v>
      </c>
      <c r="G10747" s="128">
        <v>4452368.91</v>
      </c>
      <c r="H10747" s="128">
        <v>3139977.42</v>
      </c>
      <c r="I10747" s="128">
        <v>42649</v>
      </c>
    </row>
    <row r="10748" spans="1:9" ht="13.5">
      <c r="A10748" s="128">
        <v>2019</v>
      </c>
      <c r="B10748" s="128" t="s">
        <v>137</v>
      </c>
      <c r="C10748" s="128" t="s">
        <v>21</v>
      </c>
      <c r="D10748" s="128" t="s">
        <v>77</v>
      </c>
      <c r="E10748" s="128" t="s">
        <v>134</v>
      </c>
      <c r="F10748" s="128">
        <v>18090133.559999999</v>
      </c>
      <c r="G10748" s="128">
        <v>7774497.2000000002</v>
      </c>
      <c r="H10748" s="128">
        <v>7514421.4299999997</v>
      </c>
      <c r="I10748" s="128">
        <v>39178</v>
      </c>
    </row>
    <row r="10749" spans="1:9" ht="13.5">
      <c r="A10749" s="128">
        <v>2019</v>
      </c>
      <c r="B10749" s="128" t="s">
        <v>137</v>
      </c>
      <c r="C10749" s="128" t="s">
        <v>21</v>
      </c>
      <c r="D10749" s="128" t="s">
        <v>77</v>
      </c>
      <c r="E10749" s="128" t="s">
        <v>135</v>
      </c>
      <c r="F10749" s="128">
        <v>40831366.039999999</v>
      </c>
      <c r="G10749" s="128">
        <v>11124555.140000001</v>
      </c>
      <c r="H10749" s="128">
        <v>12934828.84</v>
      </c>
      <c r="I10749" s="128">
        <v>154885</v>
      </c>
    </row>
    <row r="10750" spans="1:9" ht="13.5">
      <c r="A10750" s="128">
        <v>2019</v>
      </c>
      <c r="B10750" s="128" t="s">
        <v>137</v>
      </c>
      <c r="C10750" s="128" t="s">
        <v>21</v>
      </c>
      <c r="D10750" s="128" t="s">
        <v>76</v>
      </c>
      <c r="E10750" s="128" t="s">
        <v>136</v>
      </c>
      <c r="F10750" s="128">
        <v>20479345.77</v>
      </c>
      <c r="G10750" s="128">
        <v>15383247.529999999</v>
      </c>
      <c r="H10750" s="128">
        <v>5096197.58</v>
      </c>
      <c r="I10750" s="128">
        <v>304914</v>
      </c>
    </row>
    <row r="10751" spans="1:9" ht="13.5">
      <c r="A10751" s="128">
        <v>2019</v>
      </c>
      <c r="B10751" s="128" t="s">
        <v>137</v>
      </c>
      <c r="C10751" s="128" t="s">
        <v>21</v>
      </c>
      <c r="D10751" s="128" t="s">
        <v>76</v>
      </c>
      <c r="E10751" s="128" t="s">
        <v>132</v>
      </c>
      <c r="F10751" s="128">
        <v>50492374.649999999</v>
      </c>
      <c r="G10751" s="128">
        <v>32276036.760000002</v>
      </c>
      <c r="H10751" s="128">
        <v>18215614.41</v>
      </c>
      <c r="I10751" s="128">
        <v>421443</v>
      </c>
    </row>
    <row r="10752" spans="1:9" ht="13.5">
      <c r="A10752" s="128">
        <v>2019</v>
      </c>
      <c r="B10752" s="128" t="s">
        <v>137</v>
      </c>
      <c r="C10752" s="128" t="s">
        <v>21</v>
      </c>
      <c r="D10752" s="128" t="s">
        <v>76</v>
      </c>
      <c r="E10752" s="128" t="s">
        <v>133</v>
      </c>
      <c r="F10752" s="128">
        <v>119719220</v>
      </c>
      <c r="G10752" s="128">
        <v>65665824.020000003</v>
      </c>
      <c r="H10752" s="128">
        <v>54053111.740000002</v>
      </c>
      <c r="I10752" s="128">
        <v>810398</v>
      </c>
    </row>
    <row r="10753" spans="1:9" ht="13.5">
      <c r="A10753" s="128">
        <v>2019</v>
      </c>
      <c r="B10753" s="128" t="s">
        <v>137</v>
      </c>
      <c r="C10753" s="128" t="s">
        <v>21</v>
      </c>
      <c r="D10753" s="128" t="s">
        <v>76</v>
      </c>
      <c r="E10753" s="128" t="s">
        <v>134</v>
      </c>
      <c r="F10753" s="128">
        <v>103221661.27</v>
      </c>
      <c r="G10753" s="128">
        <v>46282616.289999999</v>
      </c>
      <c r="H10753" s="128">
        <v>56938867.469999999</v>
      </c>
      <c r="I10753" s="128">
        <v>570249</v>
      </c>
    </row>
    <row r="10754" spans="1:9" ht="13.5">
      <c r="A10754" s="128">
        <v>2019</v>
      </c>
      <c r="B10754" s="128" t="s">
        <v>137</v>
      </c>
      <c r="C10754" s="128" t="s">
        <v>21</v>
      </c>
      <c r="D10754" s="128" t="s">
        <v>76</v>
      </c>
      <c r="E10754" s="128" t="s">
        <v>135</v>
      </c>
      <c r="F10754" s="128">
        <v>3686679.36</v>
      </c>
      <c r="G10754" s="128">
        <v>1009256.24</v>
      </c>
      <c r="H10754" s="128">
        <v>2677421.69</v>
      </c>
      <c r="I10754" s="128">
        <v>4298</v>
      </c>
    </row>
    <row r="10755" spans="1:9" ht="13.5">
      <c r="A10755" s="128">
        <v>2019</v>
      </c>
      <c r="B10755" s="128" t="s">
        <v>137</v>
      </c>
      <c r="C10755" s="128" t="s">
        <v>22</v>
      </c>
      <c r="D10755" s="128" t="s">
        <v>79</v>
      </c>
      <c r="E10755" s="128" t="s">
        <v>136</v>
      </c>
      <c r="F10755" s="128">
        <v>5589166.7699999996</v>
      </c>
      <c r="G10755" s="128">
        <v>4193424.98</v>
      </c>
      <c r="H10755" s="128">
        <v>1377866.45</v>
      </c>
      <c r="I10755" s="128">
        <v>70280</v>
      </c>
    </row>
    <row r="10756" spans="1:9" ht="13.5">
      <c r="A10756" s="128">
        <v>2019</v>
      </c>
      <c r="B10756" s="128" t="s">
        <v>137</v>
      </c>
      <c r="C10756" s="128" t="s">
        <v>22</v>
      </c>
      <c r="D10756" s="128" t="s">
        <v>79</v>
      </c>
      <c r="E10756" s="128" t="s">
        <v>132</v>
      </c>
      <c r="F10756" s="128">
        <v>1325144.4099999999</v>
      </c>
      <c r="G10756" s="128">
        <v>893242.66</v>
      </c>
      <c r="H10756" s="128">
        <v>299967.24</v>
      </c>
      <c r="I10756" s="128">
        <v>3464</v>
      </c>
    </row>
    <row r="10757" spans="1:9" ht="13.5">
      <c r="A10757" s="128">
        <v>2019</v>
      </c>
      <c r="B10757" s="128" t="s">
        <v>137</v>
      </c>
      <c r="C10757" s="128" t="s">
        <v>22</v>
      </c>
      <c r="D10757" s="128" t="s">
        <v>79</v>
      </c>
      <c r="E10757" s="128" t="s">
        <v>133</v>
      </c>
      <c r="F10757" s="128">
        <v>1112779.95</v>
      </c>
      <c r="G10757" s="128">
        <v>601402.57999999996</v>
      </c>
      <c r="H10757" s="128">
        <v>204901.08</v>
      </c>
      <c r="I10757" s="128">
        <v>2838</v>
      </c>
    </row>
    <row r="10758" spans="1:9" ht="13.5">
      <c r="A10758" s="128">
        <v>2019</v>
      </c>
      <c r="B10758" s="128" t="s">
        <v>137</v>
      </c>
      <c r="C10758" s="128" t="s">
        <v>22</v>
      </c>
      <c r="D10758" s="128" t="s">
        <v>79</v>
      </c>
      <c r="E10758" s="128" t="s">
        <v>134</v>
      </c>
      <c r="F10758" s="128">
        <v>4399638.4800000004</v>
      </c>
      <c r="G10758" s="128">
        <v>1897201.54</v>
      </c>
      <c r="H10758" s="128">
        <v>634451.91</v>
      </c>
      <c r="I10758" s="128">
        <v>30102</v>
      </c>
    </row>
    <row r="10759" spans="1:9" ht="13.5">
      <c r="A10759" s="128">
        <v>2019</v>
      </c>
      <c r="B10759" s="128" t="s">
        <v>137</v>
      </c>
      <c r="C10759" s="128" t="s">
        <v>22</v>
      </c>
      <c r="D10759" s="128" t="s">
        <v>79</v>
      </c>
      <c r="E10759" s="128" t="s">
        <v>135</v>
      </c>
      <c r="F10759" s="128">
        <v>34867663.609999999</v>
      </c>
      <c r="G10759" s="128">
        <v>8001303.7300000004</v>
      </c>
      <c r="H10759" s="128">
        <v>2693655.84</v>
      </c>
      <c r="I10759" s="128">
        <v>33888</v>
      </c>
    </row>
    <row r="10760" spans="1:9" ht="13.5">
      <c r="A10760" s="128">
        <v>2019</v>
      </c>
      <c r="B10760" s="128" t="s">
        <v>137</v>
      </c>
      <c r="C10760" s="128" t="s">
        <v>22</v>
      </c>
      <c r="D10760" s="128" t="s">
        <v>77</v>
      </c>
      <c r="E10760" s="128" t="s">
        <v>132</v>
      </c>
      <c r="F10760" s="128">
        <v>1701188.18</v>
      </c>
      <c r="G10760" s="128">
        <v>1110995.48</v>
      </c>
      <c r="H10760" s="128">
        <v>508720.77</v>
      </c>
      <c r="I10760" s="128">
        <v>8665</v>
      </c>
    </row>
    <row r="10761" spans="1:9" ht="13.5">
      <c r="A10761" s="128">
        <v>2019</v>
      </c>
      <c r="B10761" s="128" t="s">
        <v>137</v>
      </c>
      <c r="C10761" s="128" t="s">
        <v>22</v>
      </c>
      <c r="D10761" s="128" t="s">
        <v>77</v>
      </c>
      <c r="E10761" s="128" t="s">
        <v>133</v>
      </c>
      <c r="F10761" s="128">
        <v>3980843.1</v>
      </c>
      <c r="G10761" s="128">
        <v>2156518.69</v>
      </c>
      <c r="H10761" s="128">
        <v>1527475.88</v>
      </c>
      <c r="I10761" s="128">
        <v>21144</v>
      </c>
    </row>
    <row r="10762" spans="1:9" ht="13.5">
      <c r="A10762" s="128">
        <v>2019</v>
      </c>
      <c r="B10762" s="128" t="s">
        <v>137</v>
      </c>
      <c r="C10762" s="128" t="s">
        <v>22</v>
      </c>
      <c r="D10762" s="128" t="s">
        <v>77</v>
      </c>
      <c r="E10762" s="128" t="s">
        <v>134</v>
      </c>
      <c r="F10762" s="128">
        <v>17151436.48</v>
      </c>
      <c r="G10762" s="128">
        <v>7269132.6699999999</v>
      </c>
      <c r="H10762" s="128">
        <v>7253577.7000000002</v>
      </c>
      <c r="I10762" s="128">
        <v>24004</v>
      </c>
    </row>
    <row r="10763" spans="1:9" ht="13.5">
      <c r="A10763" s="128">
        <v>2019</v>
      </c>
      <c r="B10763" s="128" t="s">
        <v>137</v>
      </c>
      <c r="C10763" s="128" t="s">
        <v>22</v>
      </c>
      <c r="D10763" s="128" t="s">
        <v>77</v>
      </c>
      <c r="E10763" s="128" t="s">
        <v>135</v>
      </c>
      <c r="F10763" s="128">
        <v>34486624.060000002</v>
      </c>
      <c r="G10763" s="128">
        <v>9035920.5800000001</v>
      </c>
      <c r="H10763" s="128">
        <v>10277175.880000001</v>
      </c>
      <c r="I10763" s="128">
        <v>87634</v>
      </c>
    </row>
    <row r="10764" spans="1:9" ht="13.5">
      <c r="A10764" s="128">
        <v>2019</v>
      </c>
      <c r="B10764" s="128" t="s">
        <v>137</v>
      </c>
      <c r="C10764" s="128" t="s">
        <v>22</v>
      </c>
      <c r="D10764" s="128" t="s">
        <v>76</v>
      </c>
      <c r="E10764" s="128" t="s">
        <v>136</v>
      </c>
      <c r="F10764" s="128">
        <v>17383490.530000001</v>
      </c>
      <c r="G10764" s="128">
        <v>13045729.1</v>
      </c>
      <c r="H10764" s="128">
        <v>4337794.62</v>
      </c>
      <c r="I10764" s="128">
        <v>289851</v>
      </c>
    </row>
    <row r="10765" spans="1:9" ht="13.5">
      <c r="A10765" s="128">
        <v>2019</v>
      </c>
      <c r="B10765" s="128" t="s">
        <v>137</v>
      </c>
      <c r="C10765" s="128" t="s">
        <v>22</v>
      </c>
      <c r="D10765" s="128" t="s">
        <v>76</v>
      </c>
      <c r="E10765" s="128" t="s">
        <v>132</v>
      </c>
      <c r="F10765" s="128">
        <v>47374033.789999999</v>
      </c>
      <c r="G10765" s="128">
        <v>30274984.640000001</v>
      </c>
      <c r="H10765" s="128">
        <v>17097562.420000002</v>
      </c>
      <c r="I10765" s="128">
        <v>452168</v>
      </c>
    </row>
    <row r="10766" spans="1:9" ht="13.5">
      <c r="A10766" s="128">
        <v>2019</v>
      </c>
      <c r="B10766" s="128" t="s">
        <v>137</v>
      </c>
      <c r="C10766" s="128" t="s">
        <v>22</v>
      </c>
      <c r="D10766" s="128" t="s">
        <v>76</v>
      </c>
      <c r="E10766" s="128" t="s">
        <v>133</v>
      </c>
      <c r="F10766" s="128">
        <v>81256794.400000006</v>
      </c>
      <c r="G10766" s="128">
        <v>44861240.119999997</v>
      </c>
      <c r="H10766" s="128">
        <v>36394484.090000004</v>
      </c>
      <c r="I10766" s="128">
        <v>643070</v>
      </c>
    </row>
    <row r="10767" spans="1:9" ht="13.5">
      <c r="A10767" s="128">
        <v>2019</v>
      </c>
      <c r="B10767" s="128" t="s">
        <v>137</v>
      </c>
      <c r="C10767" s="128" t="s">
        <v>22</v>
      </c>
      <c r="D10767" s="128" t="s">
        <v>76</v>
      </c>
      <c r="E10767" s="128" t="s">
        <v>134</v>
      </c>
      <c r="F10767" s="128">
        <v>77332283.299999997</v>
      </c>
      <c r="G10767" s="128">
        <v>35099808.109999999</v>
      </c>
      <c r="H10767" s="128">
        <v>42231731.530000001</v>
      </c>
      <c r="I10767" s="128">
        <v>516295</v>
      </c>
    </row>
    <row r="10768" spans="1:9" ht="13.5">
      <c r="A10768" s="128">
        <v>2019</v>
      </c>
      <c r="B10768" s="128" t="s">
        <v>137</v>
      </c>
      <c r="C10768" s="128" t="s">
        <v>22</v>
      </c>
      <c r="D10768" s="128" t="s">
        <v>76</v>
      </c>
      <c r="E10768" s="128" t="s">
        <v>135</v>
      </c>
      <c r="F10768" s="128">
        <v>5191518.66</v>
      </c>
      <c r="G10768" s="128">
        <v>1486138.35</v>
      </c>
      <c r="H10768" s="128">
        <v>3705373.25</v>
      </c>
      <c r="I10768" s="128">
        <v>7821</v>
      </c>
    </row>
    <row r="10769" spans="1:9" ht="13.5">
      <c r="A10769" s="128">
        <v>2019</v>
      </c>
      <c r="B10769" s="128" t="s">
        <v>137</v>
      </c>
      <c r="C10769" s="128" t="s">
        <v>23</v>
      </c>
      <c r="D10769" s="128" t="s">
        <v>79</v>
      </c>
      <c r="E10769" s="128" t="s">
        <v>136</v>
      </c>
      <c r="F10769" s="128">
        <v>1586515</v>
      </c>
      <c r="G10769" s="128">
        <v>1191342.48</v>
      </c>
      <c r="H10769" s="128">
        <v>394847.62</v>
      </c>
      <c r="I10769" s="128">
        <v>11132</v>
      </c>
    </row>
    <row r="10770" spans="1:9" ht="13.5">
      <c r="A10770" s="128">
        <v>2019</v>
      </c>
      <c r="B10770" s="128" t="s">
        <v>137</v>
      </c>
      <c r="C10770" s="128" t="s">
        <v>23</v>
      </c>
      <c r="D10770" s="128" t="s">
        <v>79</v>
      </c>
      <c r="E10770" s="128" t="s">
        <v>132</v>
      </c>
      <c r="F10770" s="128">
        <v>332710.62</v>
      </c>
      <c r="G10770" s="128">
        <v>217336.33</v>
      </c>
      <c r="H10770" s="128">
        <v>72803.94</v>
      </c>
      <c r="I10770" s="128">
        <v>736</v>
      </c>
    </row>
    <row r="10771" spans="1:9" ht="13.5">
      <c r="A10771" s="128">
        <v>2019</v>
      </c>
      <c r="B10771" s="128" t="s">
        <v>137</v>
      </c>
      <c r="C10771" s="128" t="s">
        <v>23</v>
      </c>
      <c r="D10771" s="128" t="s">
        <v>79</v>
      </c>
      <c r="E10771" s="128" t="s">
        <v>133</v>
      </c>
      <c r="F10771" s="128">
        <v>179140.68</v>
      </c>
      <c r="G10771" s="128">
        <v>98963.1</v>
      </c>
      <c r="H10771" s="128">
        <v>34417.230000000003</v>
      </c>
      <c r="I10771" s="128">
        <v>420</v>
      </c>
    </row>
    <row r="10772" spans="1:9" ht="13.5">
      <c r="A10772" s="128">
        <v>2019</v>
      </c>
      <c r="B10772" s="128" t="s">
        <v>137</v>
      </c>
      <c r="C10772" s="128" t="s">
        <v>23</v>
      </c>
      <c r="D10772" s="128" t="s">
        <v>79</v>
      </c>
      <c r="E10772" s="128" t="s">
        <v>134</v>
      </c>
      <c r="F10772" s="128">
        <v>339177.02</v>
      </c>
      <c r="G10772" s="128">
        <v>145694.04</v>
      </c>
      <c r="H10772" s="128">
        <v>49368.09</v>
      </c>
      <c r="I10772" s="128">
        <v>754</v>
      </c>
    </row>
    <row r="10773" spans="1:9" ht="13.5">
      <c r="A10773" s="128">
        <v>2019</v>
      </c>
      <c r="B10773" s="128" t="s">
        <v>137</v>
      </c>
      <c r="C10773" s="128" t="s">
        <v>23</v>
      </c>
      <c r="D10773" s="128" t="s">
        <v>79</v>
      </c>
      <c r="E10773" s="128" t="s">
        <v>135</v>
      </c>
      <c r="F10773" s="128">
        <v>1970582.71</v>
      </c>
      <c r="G10773" s="128">
        <v>414141.46</v>
      </c>
      <c r="H10773" s="128">
        <v>140126.51999999999</v>
      </c>
      <c r="I10773" s="128">
        <v>1788</v>
      </c>
    </row>
    <row r="10774" spans="1:9" ht="13.5">
      <c r="A10774" s="128">
        <v>2019</v>
      </c>
      <c r="B10774" s="128" t="s">
        <v>137</v>
      </c>
      <c r="C10774" s="128" t="s">
        <v>23</v>
      </c>
      <c r="D10774" s="128" t="s">
        <v>77</v>
      </c>
      <c r="E10774" s="128" t="s">
        <v>132</v>
      </c>
      <c r="F10774" s="128">
        <v>493936.41</v>
      </c>
      <c r="G10774" s="128">
        <v>317062.83</v>
      </c>
      <c r="H10774" s="128">
        <v>148298.29999999999</v>
      </c>
      <c r="I10774" s="128">
        <v>2338</v>
      </c>
    </row>
    <row r="10775" spans="1:9" ht="13.5">
      <c r="A10775" s="128">
        <v>2019</v>
      </c>
      <c r="B10775" s="128" t="s">
        <v>137</v>
      </c>
      <c r="C10775" s="128" t="s">
        <v>23</v>
      </c>
      <c r="D10775" s="128" t="s">
        <v>77</v>
      </c>
      <c r="E10775" s="128" t="s">
        <v>133</v>
      </c>
      <c r="F10775" s="128">
        <v>1358545.85</v>
      </c>
      <c r="G10775" s="128">
        <v>732874.15</v>
      </c>
      <c r="H10775" s="128">
        <v>551281.30000000005</v>
      </c>
      <c r="I10775" s="128">
        <v>5834</v>
      </c>
    </row>
    <row r="10776" spans="1:9" ht="13.5">
      <c r="A10776" s="128">
        <v>2019</v>
      </c>
      <c r="B10776" s="128" t="s">
        <v>137</v>
      </c>
      <c r="C10776" s="128" t="s">
        <v>23</v>
      </c>
      <c r="D10776" s="128" t="s">
        <v>77</v>
      </c>
      <c r="E10776" s="128" t="s">
        <v>134</v>
      </c>
      <c r="F10776" s="128">
        <v>7606749.0899999999</v>
      </c>
      <c r="G10776" s="128">
        <v>3205067.55</v>
      </c>
      <c r="H10776" s="128">
        <v>3397357.51</v>
      </c>
      <c r="I10776" s="128">
        <v>11491</v>
      </c>
    </row>
    <row r="10777" spans="1:9" ht="13.5">
      <c r="A10777" s="128">
        <v>2019</v>
      </c>
      <c r="B10777" s="128" t="s">
        <v>137</v>
      </c>
      <c r="C10777" s="128" t="s">
        <v>23</v>
      </c>
      <c r="D10777" s="128" t="s">
        <v>77</v>
      </c>
      <c r="E10777" s="128" t="s">
        <v>135</v>
      </c>
      <c r="F10777" s="128">
        <v>10041642.720000001</v>
      </c>
      <c r="G10777" s="128">
        <v>2847603.33</v>
      </c>
      <c r="H10777" s="128">
        <v>3503791.55</v>
      </c>
      <c r="I10777" s="128">
        <v>37657</v>
      </c>
    </row>
    <row r="10778" spans="1:9" ht="13.5">
      <c r="A10778" s="128">
        <v>2019</v>
      </c>
      <c r="B10778" s="128" t="s">
        <v>137</v>
      </c>
      <c r="C10778" s="128" t="s">
        <v>23</v>
      </c>
      <c r="D10778" s="128" t="s">
        <v>76</v>
      </c>
      <c r="E10778" s="128" t="s">
        <v>136</v>
      </c>
      <c r="F10778" s="128">
        <v>9033395.5</v>
      </c>
      <c r="G10778" s="128">
        <v>6779294.6500000004</v>
      </c>
      <c r="H10778" s="128">
        <v>2254100.85</v>
      </c>
      <c r="I10778" s="128">
        <v>169518</v>
      </c>
    </row>
    <row r="10779" spans="1:9" ht="13.5">
      <c r="A10779" s="128">
        <v>2019</v>
      </c>
      <c r="B10779" s="128" t="s">
        <v>137</v>
      </c>
      <c r="C10779" s="128" t="s">
        <v>23</v>
      </c>
      <c r="D10779" s="128" t="s">
        <v>76</v>
      </c>
      <c r="E10779" s="128" t="s">
        <v>132</v>
      </c>
      <c r="F10779" s="128">
        <v>8856375.5399999991</v>
      </c>
      <c r="G10779" s="128">
        <v>5565229.3600000003</v>
      </c>
      <c r="H10779" s="128">
        <v>3290986.59</v>
      </c>
      <c r="I10779" s="128">
        <v>80148</v>
      </c>
    </row>
    <row r="10780" spans="1:9" ht="13.5">
      <c r="A10780" s="128">
        <v>2019</v>
      </c>
      <c r="B10780" s="128" t="s">
        <v>137</v>
      </c>
      <c r="C10780" s="128" t="s">
        <v>23</v>
      </c>
      <c r="D10780" s="128" t="s">
        <v>76</v>
      </c>
      <c r="E10780" s="128" t="s">
        <v>133</v>
      </c>
      <c r="F10780" s="128">
        <v>29818049.260000002</v>
      </c>
      <c r="G10780" s="128">
        <v>16263641.4</v>
      </c>
      <c r="H10780" s="128">
        <v>13554372.57</v>
      </c>
      <c r="I10780" s="128">
        <v>232811</v>
      </c>
    </row>
    <row r="10781" spans="1:9" ht="13.5">
      <c r="A10781" s="128">
        <v>2019</v>
      </c>
      <c r="B10781" s="128" t="s">
        <v>137</v>
      </c>
      <c r="C10781" s="128" t="s">
        <v>23</v>
      </c>
      <c r="D10781" s="128" t="s">
        <v>76</v>
      </c>
      <c r="E10781" s="128" t="s">
        <v>134</v>
      </c>
      <c r="F10781" s="128">
        <v>45749012.869999997</v>
      </c>
      <c r="G10781" s="128">
        <v>20354500.57</v>
      </c>
      <c r="H10781" s="128">
        <v>25394487.23</v>
      </c>
      <c r="I10781" s="128">
        <v>181576</v>
      </c>
    </row>
    <row r="10782" spans="1:9" ht="13.5">
      <c r="A10782" s="128">
        <v>2019</v>
      </c>
      <c r="B10782" s="128" t="s">
        <v>137</v>
      </c>
      <c r="C10782" s="128" t="s">
        <v>23</v>
      </c>
      <c r="D10782" s="128" t="s">
        <v>76</v>
      </c>
      <c r="E10782" s="128" t="s">
        <v>135</v>
      </c>
      <c r="F10782" s="128">
        <v>1393818.26</v>
      </c>
      <c r="G10782" s="128">
        <v>369335.1</v>
      </c>
      <c r="H10782" s="128">
        <v>1024482.56</v>
      </c>
      <c r="I10782" s="128">
        <v>1144</v>
      </c>
    </row>
    <row r="10783" spans="1:9" ht="13.5">
      <c r="A10783" s="128">
        <v>2019</v>
      </c>
      <c r="B10783" s="128" t="s">
        <v>137</v>
      </c>
      <c r="C10783" s="128" t="s">
        <v>24</v>
      </c>
      <c r="D10783" s="128" t="s">
        <v>79</v>
      </c>
      <c r="E10783" s="128" t="s">
        <v>136</v>
      </c>
      <c r="F10783" s="128">
        <v>1974295.87</v>
      </c>
      <c r="G10783" s="128">
        <v>1482874.93</v>
      </c>
      <c r="H10783" s="128">
        <v>489752.4</v>
      </c>
      <c r="I10783" s="128">
        <v>39393</v>
      </c>
    </row>
    <row r="10784" spans="1:9" ht="13.5">
      <c r="A10784" s="128">
        <v>2019</v>
      </c>
      <c r="B10784" s="128" t="s">
        <v>137</v>
      </c>
      <c r="C10784" s="128" t="s">
        <v>24</v>
      </c>
      <c r="D10784" s="128" t="s">
        <v>79</v>
      </c>
      <c r="E10784" s="128" t="s">
        <v>132</v>
      </c>
      <c r="F10784" s="128">
        <v>347371.23</v>
      </c>
      <c r="G10784" s="128">
        <v>229994.89</v>
      </c>
      <c r="H10784" s="128">
        <v>76825.33</v>
      </c>
      <c r="I10784" s="128">
        <v>954</v>
      </c>
    </row>
    <row r="10785" spans="1:9" ht="13.5">
      <c r="A10785" s="128">
        <v>2019</v>
      </c>
      <c r="B10785" s="128" t="s">
        <v>137</v>
      </c>
      <c r="C10785" s="128" t="s">
        <v>24</v>
      </c>
      <c r="D10785" s="128" t="s">
        <v>79</v>
      </c>
      <c r="E10785" s="128" t="s">
        <v>133</v>
      </c>
      <c r="F10785" s="128">
        <v>468471.09</v>
      </c>
      <c r="G10785" s="128">
        <v>256640.99</v>
      </c>
      <c r="H10785" s="128">
        <v>87574.56</v>
      </c>
      <c r="I10785" s="128">
        <v>1190</v>
      </c>
    </row>
    <row r="10786" spans="1:9" ht="13.5">
      <c r="A10786" s="128">
        <v>2019</v>
      </c>
      <c r="B10786" s="128" t="s">
        <v>137</v>
      </c>
      <c r="C10786" s="128" t="s">
        <v>24</v>
      </c>
      <c r="D10786" s="128" t="s">
        <v>79</v>
      </c>
      <c r="E10786" s="128" t="s">
        <v>134</v>
      </c>
      <c r="F10786" s="128">
        <v>1840677.31</v>
      </c>
      <c r="G10786" s="128">
        <v>803555.83</v>
      </c>
      <c r="H10786" s="128">
        <v>271323.81</v>
      </c>
      <c r="I10786" s="128">
        <v>16920</v>
      </c>
    </row>
    <row r="10787" spans="1:9" ht="13.5">
      <c r="A10787" s="128">
        <v>2019</v>
      </c>
      <c r="B10787" s="128" t="s">
        <v>137</v>
      </c>
      <c r="C10787" s="128" t="s">
        <v>24</v>
      </c>
      <c r="D10787" s="128" t="s">
        <v>79</v>
      </c>
      <c r="E10787" s="128" t="s">
        <v>135</v>
      </c>
      <c r="F10787" s="128">
        <v>6968485.1399999997</v>
      </c>
      <c r="G10787" s="128">
        <v>1515510.86</v>
      </c>
      <c r="H10787" s="128">
        <v>519959.64</v>
      </c>
      <c r="I10787" s="128">
        <v>8374</v>
      </c>
    </row>
    <row r="10788" spans="1:9" ht="13.5">
      <c r="A10788" s="128">
        <v>2019</v>
      </c>
      <c r="B10788" s="128" t="s">
        <v>137</v>
      </c>
      <c r="C10788" s="128" t="s">
        <v>24</v>
      </c>
      <c r="D10788" s="128" t="s">
        <v>77</v>
      </c>
      <c r="E10788" s="128" t="s">
        <v>132</v>
      </c>
      <c r="F10788" s="128">
        <v>991018.64</v>
      </c>
      <c r="G10788" s="128">
        <v>635062.4</v>
      </c>
      <c r="H10788" s="128">
        <v>304569.17</v>
      </c>
      <c r="I10788" s="128">
        <v>5122</v>
      </c>
    </row>
    <row r="10789" spans="1:9" ht="13.5">
      <c r="A10789" s="128">
        <v>2019</v>
      </c>
      <c r="B10789" s="128" t="s">
        <v>137</v>
      </c>
      <c r="C10789" s="128" t="s">
        <v>24</v>
      </c>
      <c r="D10789" s="128" t="s">
        <v>77</v>
      </c>
      <c r="E10789" s="128" t="s">
        <v>133</v>
      </c>
      <c r="F10789" s="128">
        <v>3443960.25</v>
      </c>
      <c r="G10789" s="128">
        <v>1833749.33</v>
      </c>
      <c r="H10789" s="128">
        <v>1360506.38</v>
      </c>
      <c r="I10789" s="128">
        <v>29539</v>
      </c>
    </row>
    <row r="10790" spans="1:9" ht="13.5">
      <c r="A10790" s="128">
        <v>2019</v>
      </c>
      <c r="B10790" s="128" t="s">
        <v>137</v>
      </c>
      <c r="C10790" s="128" t="s">
        <v>24</v>
      </c>
      <c r="D10790" s="128" t="s">
        <v>77</v>
      </c>
      <c r="E10790" s="128" t="s">
        <v>134</v>
      </c>
      <c r="F10790" s="128">
        <v>8813368.8399999999</v>
      </c>
      <c r="G10790" s="128">
        <v>3869682.57</v>
      </c>
      <c r="H10790" s="128">
        <v>3491167.65</v>
      </c>
      <c r="I10790" s="128">
        <v>18636</v>
      </c>
    </row>
    <row r="10791" spans="1:9" ht="13.5">
      <c r="A10791" s="128">
        <v>2019</v>
      </c>
      <c r="B10791" s="128" t="s">
        <v>137</v>
      </c>
      <c r="C10791" s="128" t="s">
        <v>24</v>
      </c>
      <c r="D10791" s="128" t="s">
        <v>77</v>
      </c>
      <c r="E10791" s="128" t="s">
        <v>135</v>
      </c>
      <c r="F10791" s="128">
        <v>17388289.370000001</v>
      </c>
      <c r="G10791" s="128">
        <v>4372542.91</v>
      </c>
      <c r="H10791" s="128">
        <v>3292619.42</v>
      </c>
      <c r="I10791" s="128">
        <v>45336</v>
      </c>
    </row>
    <row r="10792" spans="1:9" ht="13.5">
      <c r="A10792" s="128">
        <v>2019</v>
      </c>
      <c r="B10792" s="128" t="s">
        <v>137</v>
      </c>
      <c r="C10792" s="128" t="s">
        <v>24</v>
      </c>
      <c r="D10792" s="128" t="s">
        <v>76</v>
      </c>
      <c r="E10792" s="128" t="s">
        <v>136</v>
      </c>
      <c r="F10792" s="128">
        <v>11142550.109999999</v>
      </c>
      <c r="G10792" s="128">
        <v>8371187.6799999997</v>
      </c>
      <c r="H10792" s="128">
        <v>2771509.9</v>
      </c>
      <c r="I10792" s="128">
        <v>163800</v>
      </c>
    </row>
    <row r="10793" spans="1:9" ht="13.5">
      <c r="A10793" s="128">
        <v>2019</v>
      </c>
      <c r="B10793" s="128" t="s">
        <v>137</v>
      </c>
      <c r="C10793" s="128" t="s">
        <v>24</v>
      </c>
      <c r="D10793" s="128" t="s">
        <v>76</v>
      </c>
      <c r="E10793" s="128" t="s">
        <v>132</v>
      </c>
      <c r="F10793" s="128">
        <v>10015846.789999999</v>
      </c>
      <c r="G10793" s="128">
        <v>6506097.7800000003</v>
      </c>
      <c r="H10793" s="128">
        <v>3509592.59</v>
      </c>
      <c r="I10793" s="128">
        <v>74252</v>
      </c>
    </row>
    <row r="10794" spans="1:9" ht="13.5">
      <c r="A10794" s="128">
        <v>2019</v>
      </c>
      <c r="B10794" s="128" t="s">
        <v>137</v>
      </c>
      <c r="C10794" s="128" t="s">
        <v>24</v>
      </c>
      <c r="D10794" s="128" t="s">
        <v>76</v>
      </c>
      <c r="E10794" s="128" t="s">
        <v>133</v>
      </c>
      <c r="F10794" s="128">
        <v>48925720.75</v>
      </c>
      <c r="G10794" s="128">
        <v>27044576.969999999</v>
      </c>
      <c r="H10794" s="128">
        <v>21881124.809999999</v>
      </c>
      <c r="I10794" s="128">
        <v>339149</v>
      </c>
    </row>
    <row r="10795" spans="1:9" ht="13.5">
      <c r="A10795" s="128">
        <v>2019</v>
      </c>
      <c r="B10795" s="128" t="s">
        <v>137</v>
      </c>
      <c r="C10795" s="128" t="s">
        <v>24</v>
      </c>
      <c r="D10795" s="128" t="s">
        <v>76</v>
      </c>
      <c r="E10795" s="128" t="s">
        <v>134</v>
      </c>
      <c r="F10795" s="128">
        <v>55387628.030000001</v>
      </c>
      <c r="G10795" s="128">
        <v>24513775.890000001</v>
      </c>
      <c r="H10795" s="128">
        <v>30873825.239999998</v>
      </c>
      <c r="I10795" s="128">
        <v>256799</v>
      </c>
    </row>
    <row r="10796" spans="1:9" ht="13.5">
      <c r="A10796" s="128">
        <v>2019</v>
      </c>
      <c r="B10796" s="128" t="s">
        <v>137</v>
      </c>
      <c r="C10796" s="128" t="s">
        <v>24</v>
      </c>
      <c r="D10796" s="128" t="s">
        <v>76</v>
      </c>
      <c r="E10796" s="128" t="s">
        <v>135</v>
      </c>
      <c r="F10796" s="128">
        <v>2659437.5699999998</v>
      </c>
      <c r="G10796" s="128">
        <v>693594.15</v>
      </c>
      <c r="H10796" s="128">
        <v>1965843.42</v>
      </c>
      <c r="I10796" s="128">
        <v>2588</v>
      </c>
    </row>
    <row r="10797" spans="1:9" ht="13.5">
      <c r="A10797" s="128">
        <v>2019</v>
      </c>
      <c r="B10797" s="128" t="s">
        <v>137</v>
      </c>
      <c r="C10797" s="128" t="s">
        <v>25</v>
      </c>
      <c r="D10797" s="128" t="s">
        <v>79</v>
      </c>
      <c r="E10797" s="128" t="s">
        <v>136</v>
      </c>
      <c r="F10797" s="128">
        <v>460219.81</v>
      </c>
      <c r="G10797" s="128">
        <v>346074.8</v>
      </c>
      <c r="H10797" s="128">
        <v>112586.73</v>
      </c>
      <c r="I10797" s="128">
        <v>3207</v>
      </c>
    </row>
    <row r="10798" spans="1:9" ht="13.5">
      <c r="A10798" s="128">
        <v>2019</v>
      </c>
      <c r="B10798" s="128" t="s">
        <v>137</v>
      </c>
      <c r="C10798" s="128" t="s">
        <v>25</v>
      </c>
      <c r="D10798" s="128" t="s">
        <v>79</v>
      </c>
      <c r="E10798" s="128" t="s">
        <v>132</v>
      </c>
      <c r="F10798" s="128">
        <v>104968.81</v>
      </c>
      <c r="G10798" s="128">
        <v>71983.710000000006</v>
      </c>
      <c r="H10798" s="128">
        <v>23723.67</v>
      </c>
      <c r="I10798" s="128">
        <v>439</v>
      </c>
    </row>
    <row r="10799" spans="1:9" ht="13.5">
      <c r="A10799" s="128">
        <v>2019</v>
      </c>
      <c r="B10799" s="128" t="s">
        <v>137</v>
      </c>
      <c r="C10799" s="128" t="s">
        <v>25</v>
      </c>
      <c r="D10799" s="128" t="s">
        <v>79</v>
      </c>
      <c r="E10799" s="128" t="s">
        <v>133</v>
      </c>
      <c r="F10799" s="128">
        <v>71455.66</v>
      </c>
      <c r="G10799" s="128">
        <v>38500.67</v>
      </c>
      <c r="H10799" s="128">
        <v>13369.12</v>
      </c>
      <c r="I10799" s="128">
        <v>261</v>
      </c>
    </row>
    <row r="10800" spans="1:9" ht="13.5">
      <c r="A10800" s="128">
        <v>2019</v>
      </c>
      <c r="B10800" s="128" t="s">
        <v>137</v>
      </c>
      <c r="C10800" s="128" t="s">
        <v>25</v>
      </c>
      <c r="D10800" s="128" t="s">
        <v>79</v>
      </c>
      <c r="E10800" s="128" t="s">
        <v>134</v>
      </c>
      <c r="F10800" s="128">
        <v>177435.86</v>
      </c>
      <c r="G10800" s="128">
        <v>79011.509999999995</v>
      </c>
      <c r="H10800" s="128">
        <v>26375.85</v>
      </c>
      <c r="I10800" s="128">
        <v>722</v>
      </c>
    </row>
    <row r="10801" spans="1:9" ht="13.5">
      <c r="A10801" s="128">
        <v>2019</v>
      </c>
      <c r="B10801" s="128" t="s">
        <v>137</v>
      </c>
      <c r="C10801" s="128" t="s">
        <v>25</v>
      </c>
      <c r="D10801" s="128" t="s">
        <v>79</v>
      </c>
      <c r="E10801" s="128" t="s">
        <v>135</v>
      </c>
      <c r="F10801" s="128">
        <v>1778395.83</v>
      </c>
      <c r="G10801" s="128">
        <v>369129.14</v>
      </c>
      <c r="H10801" s="128">
        <v>125277.75</v>
      </c>
      <c r="I10801" s="128">
        <v>1288</v>
      </c>
    </row>
    <row r="10802" spans="1:9" ht="13.5">
      <c r="A10802" s="128">
        <v>2019</v>
      </c>
      <c r="B10802" s="128" t="s">
        <v>137</v>
      </c>
      <c r="C10802" s="128" t="s">
        <v>25</v>
      </c>
      <c r="D10802" s="128" t="s">
        <v>77</v>
      </c>
      <c r="E10802" s="128" t="s">
        <v>132</v>
      </c>
      <c r="F10802" s="128">
        <v>263362.94</v>
      </c>
      <c r="G10802" s="128">
        <v>172431.85</v>
      </c>
      <c r="H10802" s="128">
        <v>74493.990000000005</v>
      </c>
      <c r="I10802" s="128">
        <v>1434</v>
      </c>
    </row>
    <row r="10803" spans="1:9" ht="13.5">
      <c r="A10803" s="128">
        <v>2019</v>
      </c>
      <c r="B10803" s="128" t="s">
        <v>137</v>
      </c>
      <c r="C10803" s="128" t="s">
        <v>25</v>
      </c>
      <c r="D10803" s="128" t="s">
        <v>77</v>
      </c>
      <c r="E10803" s="128" t="s">
        <v>133</v>
      </c>
      <c r="F10803" s="128">
        <v>449889.39</v>
      </c>
      <c r="G10803" s="128">
        <v>243768.38</v>
      </c>
      <c r="H10803" s="128">
        <v>187849.53</v>
      </c>
      <c r="I10803" s="128">
        <v>2224</v>
      </c>
    </row>
    <row r="10804" spans="1:9" ht="13.5">
      <c r="A10804" s="128">
        <v>2019</v>
      </c>
      <c r="B10804" s="128" t="s">
        <v>137</v>
      </c>
      <c r="C10804" s="128" t="s">
        <v>25</v>
      </c>
      <c r="D10804" s="128" t="s">
        <v>77</v>
      </c>
      <c r="E10804" s="128" t="s">
        <v>134</v>
      </c>
      <c r="F10804" s="128">
        <v>2040082.32</v>
      </c>
      <c r="G10804" s="128">
        <v>863279.11</v>
      </c>
      <c r="H10804" s="128">
        <v>910987.17</v>
      </c>
      <c r="I10804" s="128">
        <v>3153</v>
      </c>
    </row>
    <row r="10805" spans="1:9" ht="13.5">
      <c r="A10805" s="128">
        <v>2019</v>
      </c>
      <c r="B10805" s="128" t="s">
        <v>137</v>
      </c>
      <c r="C10805" s="128" t="s">
        <v>25</v>
      </c>
      <c r="D10805" s="128" t="s">
        <v>77</v>
      </c>
      <c r="E10805" s="128" t="s">
        <v>135</v>
      </c>
      <c r="F10805" s="128">
        <v>2919795.49</v>
      </c>
      <c r="G10805" s="128">
        <v>790624.13</v>
      </c>
      <c r="H10805" s="128">
        <v>942666.42</v>
      </c>
      <c r="I10805" s="128">
        <v>7658</v>
      </c>
    </row>
    <row r="10806" spans="1:9" ht="13.5">
      <c r="A10806" s="128">
        <v>2019</v>
      </c>
      <c r="B10806" s="128" t="s">
        <v>137</v>
      </c>
      <c r="C10806" s="128" t="s">
        <v>25</v>
      </c>
      <c r="D10806" s="128" t="s">
        <v>76</v>
      </c>
      <c r="E10806" s="128" t="s">
        <v>136</v>
      </c>
      <c r="F10806" s="128">
        <v>1770495.87</v>
      </c>
      <c r="G10806" s="128">
        <v>1327941.8500000001</v>
      </c>
      <c r="H10806" s="128">
        <v>442525.07</v>
      </c>
      <c r="I10806" s="128">
        <v>30234</v>
      </c>
    </row>
    <row r="10807" spans="1:9" ht="13.5">
      <c r="A10807" s="128">
        <v>2019</v>
      </c>
      <c r="B10807" s="128" t="s">
        <v>137</v>
      </c>
      <c r="C10807" s="128" t="s">
        <v>25</v>
      </c>
      <c r="D10807" s="128" t="s">
        <v>76</v>
      </c>
      <c r="E10807" s="128" t="s">
        <v>132</v>
      </c>
      <c r="F10807" s="128">
        <v>3021679.65</v>
      </c>
      <c r="G10807" s="128">
        <v>1917279.36</v>
      </c>
      <c r="H10807" s="128">
        <v>1104392.3899999999</v>
      </c>
      <c r="I10807" s="128">
        <v>22802</v>
      </c>
    </row>
    <row r="10808" spans="1:9" ht="13.5">
      <c r="A10808" s="128">
        <v>2019</v>
      </c>
      <c r="B10808" s="128" t="s">
        <v>137</v>
      </c>
      <c r="C10808" s="128" t="s">
        <v>25</v>
      </c>
      <c r="D10808" s="128" t="s">
        <v>76</v>
      </c>
      <c r="E10808" s="128" t="s">
        <v>133</v>
      </c>
      <c r="F10808" s="128">
        <v>9769601.2799999993</v>
      </c>
      <c r="G10808" s="128">
        <v>5343215.6100000003</v>
      </c>
      <c r="H10808" s="128">
        <v>4426378.45</v>
      </c>
      <c r="I10808" s="128">
        <v>59987</v>
      </c>
    </row>
    <row r="10809" spans="1:9" ht="13.5">
      <c r="A10809" s="128">
        <v>2019</v>
      </c>
      <c r="B10809" s="128" t="s">
        <v>137</v>
      </c>
      <c r="C10809" s="128" t="s">
        <v>25</v>
      </c>
      <c r="D10809" s="128" t="s">
        <v>76</v>
      </c>
      <c r="E10809" s="128" t="s">
        <v>134</v>
      </c>
      <c r="F10809" s="128">
        <v>11511248.859999999</v>
      </c>
      <c r="G10809" s="128">
        <v>5243368.3499999996</v>
      </c>
      <c r="H10809" s="128">
        <v>6267877.7999999998</v>
      </c>
      <c r="I10809" s="128">
        <v>55529</v>
      </c>
    </row>
    <row r="10810" spans="1:9" ht="13.5">
      <c r="A10810" s="128">
        <v>2019</v>
      </c>
      <c r="B10810" s="128" t="s">
        <v>137</v>
      </c>
      <c r="C10810" s="128" t="s">
        <v>25</v>
      </c>
      <c r="D10810" s="128" t="s">
        <v>76</v>
      </c>
      <c r="E10810" s="128" t="s">
        <v>135</v>
      </c>
      <c r="F10810" s="128">
        <v>402444.09</v>
      </c>
      <c r="G10810" s="128">
        <v>112666.85</v>
      </c>
      <c r="H10810" s="128">
        <v>289777.24</v>
      </c>
      <c r="I10810" s="128">
        <v>414</v>
      </c>
    </row>
    <row r="10811" spans="1:9" ht="13.5">
      <c r="A10811" s="128">
        <v>2019</v>
      </c>
      <c r="B10811" s="128" t="s">
        <v>137</v>
      </c>
      <c r="C10811" s="128" t="s">
        <v>26</v>
      </c>
      <c r="D10811" s="128" t="s">
        <v>79</v>
      </c>
      <c r="E10811" s="128" t="s">
        <v>136</v>
      </c>
      <c r="F10811" s="128">
        <v>956466.69</v>
      </c>
      <c r="G10811" s="128">
        <v>715754.57</v>
      </c>
      <c r="H10811" s="128">
        <v>236280.55</v>
      </c>
      <c r="I10811" s="128">
        <v>7595</v>
      </c>
    </row>
    <row r="10812" spans="1:9" ht="13.5">
      <c r="A10812" s="128">
        <v>2019</v>
      </c>
      <c r="B10812" s="128" t="s">
        <v>137</v>
      </c>
      <c r="C10812" s="128" t="s">
        <v>26</v>
      </c>
      <c r="D10812" s="128" t="s">
        <v>79</v>
      </c>
      <c r="E10812" s="128" t="s">
        <v>132</v>
      </c>
      <c r="F10812" s="128">
        <v>133520.48000000001</v>
      </c>
      <c r="G10812" s="128">
        <v>91224.28</v>
      </c>
      <c r="H10812" s="128">
        <v>31684.53</v>
      </c>
      <c r="I10812" s="128">
        <v>415</v>
      </c>
    </row>
    <row r="10813" spans="1:9" ht="13.5">
      <c r="A10813" s="128">
        <v>2019</v>
      </c>
      <c r="B10813" s="128" t="s">
        <v>137</v>
      </c>
      <c r="C10813" s="128" t="s">
        <v>26</v>
      </c>
      <c r="D10813" s="128" t="s">
        <v>79</v>
      </c>
      <c r="E10813" s="128" t="s">
        <v>133</v>
      </c>
      <c r="F10813" s="128">
        <v>152935.87</v>
      </c>
      <c r="G10813" s="128">
        <v>82205.679999999993</v>
      </c>
      <c r="H10813" s="128">
        <v>27451.8</v>
      </c>
      <c r="I10813" s="128">
        <v>292</v>
      </c>
    </row>
    <row r="10814" spans="1:9" ht="13.5">
      <c r="A10814" s="128">
        <v>2019</v>
      </c>
      <c r="B10814" s="128" t="s">
        <v>137</v>
      </c>
      <c r="C10814" s="128" t="s">
        <v>26</v>
      </c>
      <c r="D10814" s="128" t="s">
        <v>79</v>
      </c>
      <c r="E10814" s="128" t="s">
        <v>134</v>
      </c>
      <c r="F10814" s="128">
        <v>450154.7</v>
      </c>
      <c r="G10814" s="128">
        <v>190537.94</v>
      </c>
      <c r="H10814" s="128">
        <v>63830.96</v>
      </c>
      <c r="I10814" s="128">
        <v>1898</v>
      </c>
    </row>
    <row r="10815" spans="1:9" ht="13.5">
      <c r="A10815" s="128">
        <v>2019</v>
      </c>
      <c r="B10815" s="128" t="s">
        <v>137</v>
      </c>
      <c r="C10815" s="128" t="s">
        <v>26</v>
      </c>
      <c r="D10815" s="128" t="s">
        <v>79</v>
      </c>
      <c r="E10815" s="128" t="s">
        <v>135</v>
      </c>
      <c r="F10815" s="128">
        <v>6935791.0300000003</v>
      </c>
      <c r="G10815" s="128">
        <v>1522967.62</v>
      </c>
      <c r="H10815" s="128">
        <v>508261.87</v>
      </c>
      <c r="I10815" s="128">
        <v>6106</v>
      </c>
    </row>
    <row r="10816" spans="1:9" ht="13.5">
      <c r="A10816" s="128">
        <v>2019</v>
      </c>
      <c r="B10816" s="128" t="s">
        <v>137</v>
      </c>
      <c r="C10816" s="128" t="s">
        <v>26</v>
      </c>
      <c r="D10816" s="128" t="s">
        <v>77</v>
      </c>
      <c r="E10816" s="128" t="s">
        <v>132</v>
      </c>
      <c r="F10816" s="128">
        <v>82788.47</v>
      </c>
      <c r="G10816" s="128">
        <v>50971.57</v>
      </c>
      <c r="H10816" s="128">
        <v>24018.89</v>
      </c>
      <c r="I10816" s="128">
        <v>398</v>
      </c>
    </row>
    <row r="10817" spans="1:9" ht="13.5">
      <c r="A10817" s="128">
        <v>2019</v>
      </c>
      <c r="B10817" s="128" t="s">
        <v>137</v>
      </c>
      <c r="C10817" s="128" t="s">
        <v>26</v>
      </c>
      <c r="D10817" s="128" t="s">
        <v>77</v>
      </c>
      <c r="E10817" s="128" t="s">
        <v>133</v>
      </c>
      <c r="F10817" s="128">
        <v>248016.16</v>
      </c>
      <c r="G10817" s="128">
        <v>134569.63</v>
      </c>
      <c r="H10817" s="128">
        <v>103740.6</v>
      </c>
      <c r="I10817" s="128">
        <v>1049</v>
      </c>
    </row>
    <row r="10818" spans="1:9" ht="13.5">
      <c r="A10818" s="128">
        <v>2019</v>
      </c>
      <c r="B10818" s="128" t="s">
        <v>137</v>
      </c>
      <c r="C10818" s="128" t="s">
        <v>26</v>
      </c>
      <c r="D10818" s="128" t="s">
        <v>77</v>
      </c>
      <c r="E10818" s="128" t="s">
        <v>134</v>
      </c>
      <c r="F10818" s="128">
        <v>789678.64</v>
      </c>
      <c r="G10818" s="128">
        <v>334655.25</v>
      </c>
      <c r="H10818" s="128">
        <v>333307.75</v>
      </c>
      <c r="I10818" s="128">
        <v>1717</v>
      </c>
    </row>
    <row r="10819" spans="1:9" ht="13.5">
      <c r="A10819" s="128">
        <v>2019</v>
      </c>
      <c r="B10819" s="128" t="s">
        <v>137</v>
      </c>
      <c r="C10819" s="128" t="s">
        <v>26</v>
      </c>
      <c r="D10819" s="128" t="s">
        <v>77</v>
      </c>
      <c r="E10819" s="128" t="s">
        <v>135</v>
      </c>
      <c r="F10819" s="128">
        <v>3742118.69</v>
      </c>
      <c r="G10819" s="128">
        <v>1008107.01</v>
      </c>
      <c r="H10819" s="128">
        <v>1090841.9099999999</v>
      </c>
      <c r="I10819" s="128">
        <v>12190</v>
      </c>
    </row>
    <row r="10820" spans="1:9" ht="13.5">
      <c r="A10820" s="128">
        <v>2019</v>
      </c>
      <c r="B10820" s="128" t="s">
        <v>137</v>
      </c>
      <c r="C10820" s="128" t="s">
        <v>26</v>
      </c>
      <c r="D10820" s="128" t="s">
        <v>76</v>
      </c>
      <c r="E10820" s="128" t="s">
        <v>136</v>
      </c>
      <c r="F10820" s="128">
        <v>492768.7</v>
      </c>
      <c r="G10820" s="128">
        <v>370289.94</v>
      </c>
      <c r="H10820" s="128">
        <v>122478.76</v>
      </c>
      <c r="I10820" s="128">
        <v>15666</v>
      </c>
    </row>
    <row r="10821" spans="1:9" ht="13.5">
      <c r="A10821" s="128">
        <v>2019</v>
      </c>
      <c r="B10821" s="128" t="s">
        <v>137</v>
      </c>
      <c r="C10821" s="128" t="s">
        <v>26</v>
      </c>
      <c r="D10821" s="128" t="s">
        <v>76</v>
      </c>
      <c r="E10821" s="128" t="s">
        <v>132</v>
      </c>
      <c r="F10821" s="128">
        <v>1985758.85</v>
      </c>
      <c r="G10821" s="128">
        <v>1259586.5</v>
      </c>
      <c r="H10821" s="128">
        <v>726147.44</v>
      </c>
      <c r="I10821" s="128">
        <v>19252</v>
      </c>
    </row>
    <row r="10822" spans="1:9" ht="13.5">
      <c r="A10822" s="128">
        <v>2019</v>
      </c>
      <c r="B10822" s="128" t="s">
        <v>137</v>
      </c>
      <c r="C10822" s="128" t="s">
        <v>26</v>
      </c>
      <c r="D10822" s="128" t="s">
        <v>76</v>
      </c>
      <c r="E10822" s="128" t="s">
        <v>133</v>
      </c>
      <c r="F10822" s="128">
        <v>4299146.54</v>
      </c>
      <c r="G10822" s="128">
        <v>2373662.3199999998</v>
      </c>
      <c r="H10822" s="128">
        <v>1925475.68</v>
      </c>
      <c r="I10822" s="128">
        <v>35173</v>
      </c>
    </row>
    <row r="10823" spans="1:9" ht="13.5">
      <c r="A10823" s="128">
        <v>2019</v>
      </c>
      <c r="B10823" s="128" t="s">
        <v>137</v>
      </c>
      <c r="C10823" s="128" t="s">
        <v>26</v>
      </c>
      <c r="D10823" s="128" t="s">
        <v>76</v>
      </c>
      <c r="E10823" s="128" t="s">
        <v>134</v>
      </c>
      <c r="F10823" s="128">
        <v>2856158.32</v>
      </c>
      <c r="G10823" s="128">
        <v>1303918.25</v>
      </c>
      <c r="H10823" s="128">
        <v>1552194.17</v>
      </c>
      <c r="I10823" s="128">
        <v>16505</v>
      </c>
    </row>
    <row r="10824" spans="1:9" ht="13.5">
      <c r="A10824" s="128">
        <v>2019</v>
      </c>
      <c r="B10824" s="128" t="s">
        <v>137</v>
      </c>
      <c r="C10824" s="128" t="s">
        <v>26</v>
      </c>
      <c r="D10824" s="128" t="s">
        <v>76</v>
      </c>
      <c r="E10824" s="128" t="s">
        <v>135</v>
      </c>
      <c r="F10824" s="128">
        <v>280162.15999999997</v>
      </c>
      <c r="G10824" s="128">
        <v>81299.100000000006</v>
      </c>
      <c r="H10824" s="128">
        <v>198863.06</v>
      </c>
      <c r="I10824" s="128">
        <v>477</v>
      </c>
    </row>
    <row r="10825" spans="1:9" ht="13.5">
      <c r="A10825" s="128">
        <v>2019</v>
      </c>
      <c r="B10825" s="128" t="s">
        <v>137</v>
      </c>
      <c r="C10825" s="128" t="s">
        <v>27</v>
      </c>
      <c r="D10825" s="128" t="s">
        <v>79</v>
      </c>
      <c r="E10825" s="128" t="s">
        <v>136</v>
      </c>
      <c r="F10825" s="128">
        <v>210786.8</v>
      </c>
      <c r="G10825" s="128">
        <v>159122.93</v>
      </c>
      <c r="H10825" s="128">
        <v>50422.67</v>
      </c>
      <c r="I10825" s="128">
        <v>849</v>
      </c>
    </row>
    <row r="10826" spans="1:9" ht="13.5">
      <c r="A10826" s="128">
        <v>2019</v>
      </c>
      <c r="B10826" s="128" t="s">
        <v>137</v>
      </c>
      <c r="C10826" s="128" t="s">
        <v>27</v>
      </c>
      <c r="D10826" s="128" t="s">
        <v>79</v>
      </c>
      <c r="E10826" s="128" t="s">
        <v>132</v>
      </c>
      <c r="F10826" s="128">
        <v>9565.2999999999993</v>
      </c>
      <c r="G10826" s="128">
        <v>6443.16</v>
      </c>
      <c r="H10826" s="128">
        <v>2217.6999999999998</v>
      </c>
      <c r="I10826" s="128">
        <v>33</v>
      </c>
    </row>
    <row r="10827" spans="1:9" ht="13.5">
      <c r="A10827" s="128">
        <v>2019</v>
      </c>
      <c r="B10827" s="128" t="s">
        <v>137</v>
      </c>
      <c r="C10827" s="128" t="s">
        <v>27</v>
      </c>
      <c r="D10827" s="128" t="s">
        <v>79</v>
      </c>
      <c r="E10827" s="128" t="s">
        <v>133</v>
      </c>
      <c r="F10827" s="128">
        <v>11840.64</v>
      </c>
      <c r="G10827" s="128">
        <v>6350.1</v>
      </c>
      <c r="H10827" s="128">
        <v>2261.0500000000002</v>
      </c>
      <c r="I10827" s="128">
        <v>32</v>
      </c>
    </row>
    <row r="10828" spans="1:9" ht="13.5">
      <c r="A10828" s="128">
        <v>2019</v>
      </c>
      <c r="B10828" s="128" t="s">
        <v>137</v>
      </c>
      <c r="C10828" s="128" t="s">
        <v>27</v>
      </c>
      <c r="D10828" s="128" t="s">
        <v>79</v>
      </c>
      <c r="E10828" s="128" t="s">
        <v>134</v>
      </c>
      <c r="F10828" s="128">
        <v>58201.06</v>
      </c>
      <c r="G10828" s="128">
        <v>24876.01</v>
      </c>
      <c r="H10828" s="128">
        <v>8800.2999999999993</v>
      </c>
      <c r="I10828" s="128">
        <v>200</v>
      </c>
    </row>
    <row r="10829" spans="1:9" ht="13.5">
      <c r="A10829" s="128">
        <v>2019</v>
      </c>
      <c r="B10829" s="128" t="s">
        <v>137</v>
      </c>
      <c r="C10829" s="128" t="s">
        <v>27</v>
      </c>
      <c r="D10829" s="128" t="s">
        <v>79</v>
      </c>
      <c r="E10829" s="128" t="s">
        <v>135</v>
      </c>
      <c r="F10829" s="128">
        <v>933558.89</v>
      </c>
      <c r="G10829" s="128">
        <v>212014.64</v>
      </c>
      <c r="H10829" s="128">
        <v>72371.5</v>
      </c>
      <c r="I10829" s="128">
        <v>717</v>
      </c>
    </row>
    <row r="10830" spans="1:9" ht="13.5">
      <c r="A10830" s="128">
        <v>2019</v>
      </c>
      <c r="B10830" s="128" t="s">
        <v>137</v>
      </c>
      <c r="C10830" s="128" t="s">
        <v>27</v>
      </c>
      <c r="D10830" s="128" t="s">
        <v>77</v>
      </c>
      <c r="E10830" s="128" t="s">
        <v>132</v>
      </c>
      <c r="F10830" s="128">
        <v>37185.06</v>
      </c>
      <c r="G10830" s="128">
        <v>24046.98</v>
      </c>
      <c r="H10830" s="128">
        <v>10352</v>
      </c>
      <c r="I10830" s="128">
        <v>154</v>
      </c>
    </row>
    <row r="10831" spans="1:9" ht="13.5">
      <c r="A10831" s="128">
        <v>2019</v>
      </c>
      <c r="B10831" s="128" t="s">
        <v>137</v>
      </c>
      <c r="C10831" s="128" t="s">
        <v>27</v>
      </c>
      <c r="D10831" s="128" t="s">
        <v>77</v>
      </c>
      <c r="E10831" s="128" t="s">
        <v>133</v>
      </c>
      <c r="F10831" s="128">
        <v>112649.46</v>
      </c>
      <c r="G10831" s="128">
        <v>60360.52</v>
      </c>
      <c r="H10831" s="128">
        <v>47614.559999999998</v>
      </c>
      <c r="I10831" s="128">
        <v>504</v>
      </c>
    </row>
    <row r="10832" spans="1:9" ht="13.5">
      <c r="A10832" s="128">
        <v>2019</v>
      </c>
      <c r="B10832" s="128" t="s">
        <v>137</v>
      </c>
      <c r="C10832" s="128" t="s">
        <v>27</v>
      </c>
      <c r="D10832" s="128" t="s">
        <v>77</v>
      </c>
      <c r="E10832" s="128" t="s">
        <v>134</v>
      </c>
      <c r="F10832" s="128">
        <v>319697.03000000003</v>
      </c>
      <c r="G10832" s="128">
        <v>141182.03</v>
      </c>
      <c r="H10832" s="128">
        <v>144969.09</v>
      </c>
      <c r="I10832" s="128">
        <v>487</v>
      </c>
    </row>
    <row r="10833" spans="1:9" ht="13.5">
      <c r="A10833" s="128">
        <v>2019</v>
      </c>
      <c r="B10833" s="128" t="s">
        <v>137</v>
      </c>
      <c r="C10833" s="128" t="s">
        <v>27</v>
      </c>
      <c r="D10833" s="128" t="s">
        <v>77</v>
      </c>
      <c r="E10833" s="128" t="s">
        <v>135</v>
      </c>
      <c r="F10833" s="128">
        <v>609280.12</v>
      </c>
      <c r="G10833" s="128">
        <v>162964.75</v>
      </c>
      <c r="H10833" s="128">
        <v>186494.73</v>
      </c>
      <c r="I10833" s="128">
        <v>2223</v>
      </c>
    </row>
    <row r="10834" spans="1:9" ht="13.5">
      <c r="A10834" s="128">
        <v>2019</v>
      </c>
      <c r="B10834" s="128" t="s">
        <v>137</v>
      </c>
      <c r="C10834" s="128" t="s">
        <v>27</v>
      </c>
      <c r="D10834" s="128" t="s">
        <v>76</v>
      </c>
      <c r="E10834" s="128" t="s">
        <v>136</v>
      </c>
      <c r="F10834" s="128">
        <v>594501.91</v>
      </c>
      <c r="G10834" s="128">
        <v>446176.54</v>
      </c>
      <c r="H10834" s="128">
        <v>148325.37</v>
      </c>
      <c r="I10834" s="128">
        <v>8694</v>
      </c>
    </row>
    <row r="10835" spans="1:9" ht="13.5">
      <c r="A10835" s="128">
        <v>2019</v>
      </c>
      <c r="B10835" s="128" t="s">
        <v>137</v>
      </c>
      <c r="C10835" s="128" t="s">
        <v>27</v>
      </c>
      <c r="D10835" s="128" t="s">
        <v>76</v>
      </c>
      <c r="E10835" s="128" t="s">
        <v>132</v>
      </c>
      <c r="F10835" s="128">
        <v>564605.71</v>
      </c>
      <c r="G10835" s="128">
        <v>358482.85</v>
      </c>
      <c r="H10835" s="128">
        <v>206121.01</v>
      </c>
      <c r="I10835" s="128">
        <v>4110</v>
      </c>
    </row>
    <row r="10836" spans="1:9" ht="13.5">
      <c r="A10836" s="128">
        <v>2019</v>
      </c>
      <c r="B10836" s="128" t="s">
        <v>137</v>
      </c>
      <c r="C10836" s="128" t="s">
        <v>27</v>
      </c>
      <c r="D10836" s="128" t="s">
        <v>76</v>
      </c>
      <c r="E10836" s="128" t="s">
        <v>133</v>
      </c>
      <c r="F10836" s="128">
        <v>1442286.49</v>
      </c>
      <c r="G10836" s="128">
        <v>787953.6</v>
      </c>
      <c r="H10836" s="128">
        <v>654325.49</v>
      </c>
      <c r="I10836" s="128">
        <v>6957</v>
      </c>
    </row>
    <row r="10837" spans="1:9" ht="13.5">
      <c r="A10837" s="128">
        <v>2019</v>
      </c>
      <c r="B10837" s="128" t="s">
        <v>137</v>
      </c>
      <c r="C10837" s="128" t="s">
        <v>27</v>
      </c>
      <c r="D10837" s="128" t="s">
        <v>76</v>
      </c>
      <c r="E10837" s="128" t="s">
        <v>134</v>
      </c>
      <c r="F10837" s="128">
        <v>2057634.32</v>
      </c>
      <c r="G10837" s="128">
        <v>938243.25</v>
      </c>
      <c r="H10837" s="128">
        <v>1119377.18</v>
      </c>
      <c r="I10837" s="128">
        <v>10052</v>
      </c>
    </row>
    <row r="10838" spans="1:9" ht="13.5">
      <c r="A10838" s="128">
        <v>2019</v>
      </c>
      <c r="B10838" s="128" t="s">
        <v>137</v>
      </c>
      <c r="C10838" s="128" t="s">
        <v>27</v>
      </c>
      <c r="D10838" s="128" t="s">
        <v>76</v>
      </c>
      <c r="E10838" s="128" t="s">
        <v>135</v>
      </c>
      <c r="F10838" s="128">
        <v>68418.25</v>
      </c>
      <c r="G10838" s="128">
        <v>21009.75</v>
      </c>
      <c r="H10838" s="128">
        <v>47408.5</v>
      </c>
      <c r="I10838" s="128">
        <v>124</v>
      </c>
    </row>
    <row r="10839" spans="1:9" ht="13.5">
      <c r="A10839" s="128">
        <v>2020</v>
      </c>
      <c r="B10839" s="128" t="s">
        <v>131</v>
      </c>
      <c r="C10839" s="128" t="s">
        <v>20</v>
      </c>
      <c r="D10839" s="128" t="s">
        <v>79</v>
      </c>
      <c r="E10839" s="128" t="s">
        <v>136</v>
      </c>
      <c r="F10839" s="128">
        <v>27246733.760000002</v>
      </c>
      <c r="G10839" s="128">
        <v>20374405.329999998</v>
      </c>
      <c r="H10839" s="128">
        <v>6857162.3399999999</v>
      </c>
      <c r="I10839" s="128">
        <v>254096</v>
      </c>
    </row>
    <row r="10840" spans="1:9" ht="13.5">
      <c r="A10840" s="128">
        <v>2020</v>
      </c>
      <c r="B10840" s="128" t="s">
        <v>131</v>
      </c>
      <c r="C10840" s="128" t="s">
        <v>20</v>
      </c>
      <c r="D10840" s="128" t="s">
        <v>79</v>
      </c>
      <c r="E10840" s="128" t="s">
        <v>132</v>
      </c>
      <c r="F10840" s="128">
        <v>3893718.88</v>
      </c>
      <c r="G10840" s="128">
        <v>2610469.7999999998</v>
      </c>
      <c r="H10840" s="128">
        <v>1063663.17</v>
      </c>
      <c r="I10840" s="128">
        <v>18512</v>
      </c>
    </row>
    <row r="10841" spans="1:9" ht="13.5">
      <c r="A10841" s="128">
        <v>2020</v>
      </c>
      <c r="B10841" s="128" t="s">
        <v>131</v>
      </c>
      <c r="C10841" s="128" t="s">
        <v>20</v>
      </c>
      <c r="D10841" s="128" t="s">
        <v>79</v>
      </c>
      <c r="E10841" s="128" t="s">
        <v>133</v>
      </c>
      <c r="F10841" s="128">
        <v>3508221.7</v>
      </c>
      <c r="G10841" s="128">
        <v>1917694.33</v>
      </c>
      <c r="H10841" s="128">
        <v>1111118.28</v>
      </c>
      <c r="I10841" s="128">
        <v>12303</v>
      </c>
    </row>
    <row r="10842" spans="1:9" ht="13.5">
      <c r="A10842" s="128">
        <v>2020</v>
      </c>
      <c r="B10842" s="128" t="s">
        <v>131</v>
      </c>
      <c r="C10842" s="128" t="s">
        <v>20</v>
      </c>
      <c r="D10842" s="128" t="s">
        <v>79</v>
      </c>
      <c r="E10842" s="128" t="s">
        <v>134</v>
      </c>
      <c r="F10842" s="128">
        <v>9412327.6999999993</v>
      </c>
      <c r="G10842" s="128">
        <v>4078492.57</v>
      </c>
      <c r="H10842" s="128">
        <v>2993668.03</v>
      </c>
      <c r="I10842" s="128">
        <v>40654</v>
      </c>
    </row>
    <row r="10843" spans="1:9" ht="13.5">
      <c r="A10843" s="128">
        <v>2020</v>
      </c>
      <c r="B10843" s="128" t="s">
        <v>131</v>
      </c>
      <c r="C10843" s="128" t="s">
        <v>20</v>
      </c>
      <c r="D10843" s="128" t="s">
        <v>79</v>
      </c>
      <c r="E10843" s="128" t="s">
        <v>135</v>
      </c>
      <c r="F10843" s="128">
        <v>71622653.870000005</v>
      </c>
      <c r="G10843" s="128">
        <v>15548162.51</v>
      </c>
      <c r="H10843" s="128">
        <v>5655133.8499999996</v>
      </c>
      <c r="I10843" s="128">
        <v>68263</v>
      </c>
    </row>
    <row r="10844" spans="1:9" ht="13.5">
      <c r="A10844" s="128">
        <v>2020</v>
      </c>
      <c r="B10844" s="128" t="s">
        <v>131</v>
      </c>
      <c r="C10844" s="128" t="s">
        <v>20</v>
      </c>
      <c r="D10844" s="128" t="s">
        <v>77</v>
      </c>
      <c r="E10844" s="128" t="s">
        <v>132</v>
      </c>
      <c r="F10844" s="128">
        <v>2824547.89</v>
      </c>
      <c r="G10844" s="128">
        <v>1856256.25</v>
      </c>
      <c r="H10844" s="128">
        <v>860645.4</v>
      </c>
      <c r="I10844" s="128">
        <v>11631</v>
      </c>
    </row>
    <row r="10845" spans="1:9" ht="13.5">
      <c r="A10845" s="128">
        <v>2020</v>
      </c>
      <c r="B10845" s="128" t="s">
        <v>131</v>
      </c>
      <c r="C10845" s="128" t="s">
        <v>20</v>
      </c>
      <c r="D10845" s="128" t="s">
        <v>77</v>
      </c>
      <c r="E10845" s="128" t="s">
        <v>133</v>
      </c>
      <c r="F10845" s="128">
        <v>5339367.92</v>
      </c>
      <c r="G10845" s="128">
        <v>2886855.35</v>
      </c>
      <c r="H10845" s="128">
        <v>2168460.79</v>
      </c>
      <c r="I10845" s="128">
        <v>22583</v>
      </c>
    </row>
    <row r="10846" spans="1:9" ht="13.5">
      <c r="A10846" s="128">
        <v>2020</v>
      </c>
      <c r="B10846" s="128" t="s">
        <v>131</v>
      </c>
      <c r="C10846" s="128" t="s">
        <v>20</v>
      </c>
      <c r="D10846" s="128" t="s">
        <v>77</v>
      </c>
      <c r="E10846" s="128" t="s">
        <v>134</v>
      </c>
      <c r="F10846" s="128">
        <v>18438593.039999999</v>
      </c>
      <c r="G10846" s="128">
        <v>7939098.2599999998</v>
      </c>
      <c r="H10846" s="128">
        <v>7822970.9400000004</v>
      </c>
      <c r="I10846" s="128">
        <v>32760</v>
      </c>
    </row>
    <row r="10847" spans="1:9" ht="13.5">
      <c r="A10847" s="128">
        <v>2020</v>
      </c>
      <c r="B10847" s="128" t="s">
        <v>131</v>
      </c>
      <c r="C10847" s="128" t="s">
        <v>20</v>
      </c>
      <c r="D10847" s="128" t="s">
        <v>77</v>
      </c>
      <c r="E10847" s="128" t="s">
        <v>135</v>
      </c>
      <c r="F10847" s="128">
        <v>57657102.729999997</v>
      </c>
      <c r="G10847" s="128">
        <v>14489770.67</v>
      </c>
      <c r="H10847" s="128">
        <v>14428846.75</v>
      </c>
      <c r="I10847" s="128">
        <v>164032</v>
      </c>
    </row>
    <row r="10848" spans="1:9" ht="13.5">
      <c r="A10848" s="128">
        <v>2020</v>
      </c>
      <c r="B10848" s="128" t="s">
        <v>131</v>
      </c>
      <c r="C10848" s="128" t="s">
        <v>20</v>
      </c>
      <c r="D10848" s="128" t="s">
        <v>76</v>
      </c>
      <c r="E10848" s="128" t="s">
        <v>136</v>
      </c>
      <c r="F10848" s="128">
        <v>28964651.629999999</v>
      </c>
      <c r="G10848" s="128">
        <v>21773251.48</v>
      </c>
      <c r="H10848" s="128">
        <v>7191400.1500000004</v>
      </c>
      <c r="I10848" s="128">
        <v>814810</v>
      </c>
    </row>
    <row r="10849" spans="1:9" ht="13.5">
      <c r="A10849" s="128">
        <v>2020</v>
      </c>
      <c r="B10849" s="128" t="s">
        <v>131</v>
      </c>
      <c r="C10849" s="128" t="s">
        <v>20</v>
      </c>
      <c r="D10849" s="128" t="s">
        <v>76</v>
      </c>
      <c r="E10849" s="128" t="s">
        <v>132</v>
      </c>
      <c r="F10849" s="128">
        <v>52608621.859999999</v>
      </c>
      <c r="G10849" s="128">
        <v>33566748.670000002</v>
      </c>
      <c r="H10849" s="128">
        <v>19041727.079999998</v>
      </c>
      <c r="I10849" s="128">
        <v>436400</v>
      </c>
    </row>
    <row r="10850" spans="1:9" ht="13.5">
      <c r="A10850" s="128">
        <v>2020</v>
      </c>
      <c r="B10850" s="128" t="s">
        <v>131</v>
      </c>
      <c r="C10850" s="128" t="s">
        <v>20</v>
      </c>
      <c r="D10850" s="128" t="s">
        <v>76</v>
      </c>
      <c r="E10850" s="128" t="s">
        <v>133</v>
      </c>
      <c r="F10850" s="128">
        <v>107738410.04000001</v>
      </c>
      <c r="G10850" s="128">
        <v>59001262.409999996</v>
      </c>
      <c r="H10850" s="128">
        <v>48736985.880000003</v>
      </c>
      <c r="I10850" s="128">
        <v>625060</v>
      </c>
    </row>
    <row r="10851" spans="1:9" ht="13.5">
      <c r="A10851" s="128">
        <v>2020</v>
      </c>
      <c r="B10851" s="128" t="s">
        <v>131</v>
      </c>
      <c r="C10851" s="128" t="s">
        <v>20</v>
      </c>
      <c r="D10851" s="128" t="s">
        <v>76</v>
      </c>
      <c r="E10851" s="128" t="s">
        <v>134</v>
      </c>
      <c r="F10851" s="128">
        <v>117873474.55</v>
      </c>
      <c r="G10851" s="128">
        <v>54879900.130000003</v>
      </c>
      <c r="H10851" s="128">
        <v>62993405.359999999</v>
      </c>
      <c r="I10851" s="128">
        <v>654801</v>
      </c>
    </row>
    <row r="10852" spans="1:9" ht="13.5">
      <c r="A10852" s="128">
        <v>2020</v>
      </c>
      <c r="B10852" s="128" t="s">
        <v>131</v>
      </c>
      <c r="C10852" s="128" t="s">
        <v>20</v>
      </c>
      <c r="D10852" s="128" t="s">
        <v>76</v>
      </c>
      <c r="E10852" s="128" t="s">
        <v>135</v>
      </c>
      <c r="F10852" s="128">
        <v>7395069</v>
      </c>
      <c r="G10852" s="128">
        <v>2302183.09</v>
      </c>
      <c r="H10852" s="128">
        <v>5092885.79</v>
      </c>
      <c r="I10852" s="128">
        <v>14754</v>
      </c>
    </row>
    <row r="10853" spans="1:9" ht="13.5">
      <c r="A10853" s="128">
        <v>2020</v>
      </c>
      <c r="B10853" s="128" t="s">
        <v>131</v>
      </c>
      <c r="C10853" s="128" t="s">
        <v>21</v>
      </c>
      <c r="D10853" s="128" t="s">
        <v>79</v>
      </c>
      <c r="E10853" s="128" t="s">
        <v>136</v>
      </c>
      <c r="F10853" s="128">
        <v>8042892.3499999996</v>
      </c>
      <c r="G10853" s="128">
        <v>6015399.8799999999</v>
      </c>
      <c r="H10853" s="128">
        <v>2007942.26</v>
      </c>
      <c r="I10853" s="128">
        <v>141960</v>
      </c>
    </row>
    <row r="10854" spans="1:9" ht="13.5">
      <c r="A10854" s="128">
        <v>2020</v>
      </c>
      <c r="B10854" s="128" t="s">
        <v>131</v>
      </c>
      <c r="C10854" s="128" t="s">
        <v>21</v>
      </c>
      <c r="D10854" s="128" t="s">
        <v>79</v>
      </c>
      <c r="E10854" s="128" t="s">
        <v>132</v>
      </c>
      <c r="F10854" s="128">
        <v>1952575.23</v>
      </c>
      <c r="G10854" s="128">
        <v>1295020.3</v>
      </c>
      <c r="H10854" s="128">
        <v>547282.96</v>
      </c>
      <c r="I10854" s="128">
        <v>10254</v>
      </c>
    </row>
    <row r="10855" spans="1:9" ht="13.5">
      <c r="A10855" s="128">
        <v>2020</v>
      </c>
      <c r="B10855" s="128" t="s">
        <v>131</v>
      </c>
      <c r="C10855" s="128" t="s">
        <v>21</v>
      </c>
      <c r="D10855" s="128" t="s">
        <v>79</v>
      </c>
      <c r="E10855" s="128" t="s">
        <v>133</v>
      </c>
      <c r="F10855" s="128">
        <v>3488419.58</v>
      </c>
      <c r="G10855" s="128">
        <v>1882390.85</v>
      </c>
      <c r="H10855" s="128">
        <v>1189133.17</v>
      </c>
      <c r="I10855" s="128">
        <v>14158</v>
      </c>
    </row>
    <row r="10856" spans="1:9" ht="13.5">
      <c r="A10856" s="128">
        <v>2020</v>
      </c>
      <c r="B10856" s="128" t="s">
        <v>131</v>
      </c>
      <c r="C10856" s="128" t="s">
        <v>21</v>
      </c>
      <c r="D10856" s="128" t="s">
        <v>79</v>
      </c>
      <c r="E10856" s="128" t="s">
        <v>134</v>
      </c>
      <c r="F10856" s="128">
        <v>5089197.42</v>
      </c>
      <c r="G10856" s="128">
        <v>2240932.66</v>
      </c>
      <c r="H10856" s="128">
        <v>1470448.76</v>
      </c>
      <c r="I10856" s="128">
        <v>27543</v>
      </c>
    </row>
    <row r="10857" spans="1:9" ht="13.5">
      <c r="A10857" s="128">
        <v>2020</v>
      </c>
      <c r="B10857" s="128" t="s">
        <v>131</v>
      </c>
      <c r="C10857" s="128" t="s">
        <v>21</v>
      </c>
      <c r="D10857" s="128" t="s">
        <v>79</v>
      </c>
      <c r="E10857" s="128" t="s">
        <v>135</v>
      </c>
      <c r="F10857" s="128">
        <v>21127201.579999998</v>
      </c>
      <c r="G10857" s="128">
        <v>4750230.82</v>
      </c>
      <c r="H10857" s="128">
        <v>1798832.05</v>
      </c>
      <c r="I10857" s="128">
        <v>21292</v>
      </c>
    </row>
    <row r="10858" spans="1:9" ht="13.5">
      <c r="A10858" s="128">
        <v>2020</v>
      </c>
      <c r="B10858" s="128" t="s">
        <v>131</v>
      </c>
      <c r="C10858" s="128" t="s">
        <v>21</v>
      </c>
      <c r="D10858" s="128" t="s">
        <v>77</v>
      </c>
      <c r="E10858" s="128" t="s">
        <v>132</v>
      </c>
      <c r="F10858" s="128">
        <v>2472905.94</v>
      </c>
      <c r="G10858" s="128">
        <v>1649059.71</v>
      </c>
      <c r="H10858" s="128">
        <v>699975.43</v>
      </c>
      <c r="I10858" s="128">
        <v>11053</v>
      </c>
    </row>
    <row r="10859" spans="1:9" ht="13.5">
      <c r="A10859" s="128">
        <v>2020</v>
      </c>
      <c r="B10859" s="128" t="s">
        <v>131</v>
      </c>
      <c r="C10859" s="128" t="s">
        <v>21</v>
      </c>
      <c r="D10859" s="128" t="s">
        <v>77</v>
      </c>
      <c r="E10859" s="128" t="s">
        <v>133</v>
      </c>
      <c r="F10859" s="128">
        <v>5847902.75</v>
      </c>
      <c r="G10859" s="128">
        <v>3175223.22</v>
      </c>
      <c r="H10859" s="128">
        <v>2249032.42</v>
      </c>
      <c r="I10859" s="128">
        <v>19295</v>
      </c>
    </row>
    <row r="10860" spans="1:9" ht="13.5">
      <c r="A10860" s="128">
        <v>2020</v>
      </c>
      <c r="B10860" s="128" t="s">
        <v>131</v>
      </c>
      <c r="C10860" s="128" t="s">
        <v>21</v>
      </c>
      <c r="D10860" s="128" t="s">
        <v>77</v>
      </c>
      <c r="E10860" s="128" t="s">
        <v>134</v>
      </c>
      <c r="F10860" s="128">
        <v>17010886.59</v>
      </c>
      <c r="G10860" s="128">
        <v>7338754.9699999997</v>
      </c>
      <c r="H10860" s="128">
        <v>6979112.4699999997</v>
      </c>
      <c r="I10860" s="128">
        <v>34571</v>
      </c>
    </row>
    <row r="10861" spans="1:9" ht="13.5">
      <c r="A10861" s="128">
        <v>2020</v>
      </c>
      <c r="B10861" s="128" t="s">
        <v>131</v>
      </c>
      <c r="C10861" s="128" t="s">
        <v>21</v>
      </c>
      <c r="D10861" s="128" t="s">
        <v>77</v>
      </c>
      <c r="E10861" s="128" t="s">
        <v>135</v>
      </c>
      <c r="F10861" s="128">
        <v>41445939.229999997</v>
      </c>
      <c r="G10861" s="128">
        <v>11148243.58</v>
      </c>
      <c r="H10861" s="128">
        <v>12469917.050000001</v>
      </c>
      <c r="I10861" s="128">
        <v>145249</v>
      </c>
    </row>
    <row r="10862" spans="1:9" ht="13.5">
      <c r="A10862" s="128">
        <v>2020</v>
      </c>
      <c r="B10862" s="128" t="s">
        <v>131</v>
      </c>
      <c r="C10862" s="128" t="s">
        <v>21</v>
      </c>
      <c r="D10862" s="128" t="s">
        <v>76</v>
      </c>
      <c r="E10862" s="128" t="s">
        <v>136</v>
      </c>
      <c r="F10862" s="128">
        <v>21027657.5</v>
      </c>
      <c r="G10862" s="128">
        <v>15807472.18</v>
      </c>
      <c r="H10862" s="128">
        <v>5220206.1900000004</v>
      </c>
      <c r="I10862" s="128">
        <v>311008</v>
      </c>
    </row>
    <row r="10863" spans="1:9" ht="13.5">
      <c r="A10863" s="128">
        <v>2020</v>
      </c>
      <c r="B10863" s="128" t="s">
        <v>131</v>
      </c>
      <c r="C10863" s="128" t="s">
        <v>21</v>
      </c>
      <c r="D10863" s="128" t="s">
        <v>76</v>
      </c>
      <c r="E10863" s="128" t="s">
        <v>132</v>
      </c>
      <c r="F10863" s="128">
        <v>45322294.299999997</v>
      </c>
      <c r="G10863" s="128">
        <v>28985379.800000001</v>
      </c>
      <c r="H10863" s="128">
        <v>16336585.99</v>
      </c>
      <c r="I10863" s="128">
        <v>369022</v>
      </c>
    </row>
    <row r="10864" spans="1:9" ht="13.5">
      <c r="A10864" s="128">
        <v>2020</v>
      </c>
      <c r="B10864" s="128" t="s">
        <v>131</v>
      </c>
      <c r="C10864" s="128" t="s">
        <v>21</v>
      </c>
      <c r="D10864" s="128" t="s">
        <v>76</v>
      </c>
      <c r="E10864" s="128" t="s">
        <v>133</v>
      </c>
      <c r="F10864" s="128">
        <v>115497351.69</v>
      </c>
      <c r="G10864" s="128">
        <v>63424233.869999997</v>
      </c>
      <c r="H10864" s="128">
        <v>52072987.990000002</v>
      </c>
      <c r="I10864" s="128">
        <v>770981</v>
      </c>
    </row>
    <row r="10865" spans="1:9" ht="13.5">
      <c r="A10865" s="128">
        <v>2020</v>
      </c>
      <c r="B10865" s="128" t="s">
        <v>131</v>
      </c>
      <c r="C10865" s="128" t="s">
        <v>21</v>
      </c>
      <c r="D10865" s="128" t="s">
        <v>76</v>
      </c>
      <c r="E10865" s="128" t="s">
        <v>134</v>
      </c>
      <c r="F10865" s="128">
        <v>95387037.400000006</v>
      </c>
      <c r="G10865" s="128">
        <v>43100818.450000003</v>
      </c>
      <c r="H10865" s="128">
        <v>52286175.32</v>
      </c>
      <c r="I10865" s="128">
        <v>510521</v>
      </c>
    </row>
    <row r="10866" spans="1:9" ht="13.5">
      <c r="A10866" s="128">
        <v>2020</v>
      </c>
      <c r="B10866" s="128" t="s">
        <v>131</v>
      </c>
      <c r="C10866" s="128" t="s">
        <v>21</v>
      </c>
      <c r="D10866" s="128" t="s">
        <v>76</v>
      </c>
      <c r="E10866" s="128" t="s">
        <v>135</v>
      </c>
      <c r="F10866" s="128">
        <v>2889958.57</v>
      </c>
      <c r="G10866" s="128">
        <v>801200.87</v>
      </c>
      <c r="H10866" s="128">
        <v>2088757.7</v>
      </c>
      <c r="I10866" s="128">
        <v>2615</v>
      </c>
    </row>
    <row r="10867" spans="1:9" ht="13.5">
      <c r="A10867" s="128">
        <v>2020</v>
      </c>
      <c r="B10867" s="128" t="s">
        <v>131</v>
      </c>
      <c r="C10867" s="128" t="s">
        <v>22</v>
      </c>
      <c r="D10867" s="128" t="s">
        <v>79</v>
      </c>
      <c r="E10867" s="128" t="s">
        <v>136</v>
      </c>
      <c r="F10867" s="128">
        <v>4124851.49</v>
      </c>
      <c r="G10867" s="128">
        <v>3081261.75</v>
      </c>
      <c r="H10867" s="128">
        <v>1021312.97</v>
      </c>
      <c r="I10867" s="128">
        <v>65159</v>
      </c>
    </row>
    <row r="10868" spans="1:9" ht="13.5">
      <c r="A10868" s="128">
        <v>2020</v>
      </c>
      <c r="B10868" s="128" t="s">
        <v>131</v>
      </c>
      <c r="C10868" s="128" t="s">
        <v>22</v>
      </c>
      <c r="D10868" s="128" t="s">
        <v>79</v>
      </c>
      <c r="E10868" s="128" t="s">
        <v>132</v>
      </c>
      <c r="F10868" s="128">
        <v>1815041.98</v>
      </c>
      <c r="G10868" s="128">
        <v>1213776.8999999999</v>
      </c>
      <c r="H10868" s="128">
        <v>500237.21</v>
      </c>
      <c r="I10868" s="128">
        <v>8671</v>
      </c>
    </row>
    <row r="10869" spans="1:9" ht="13.5">
      <c r="A10869" s="128">
        <v>2020</v>
      </c>
      <c r="B10869" s="128" t="s">
        <v>131</v>
      </c>
      <c r="C10869" s="128" t="s">
        <v>22</v>
      </c>
      <c r="D10869" s="128" t="s">
        <v>79</v>
      </c>
      <c r="E10869" s="128" t="s">
        <v>133</v>
      </c>
      <c r="F10869" s="128">
        <v>1737541.35</v>
      </c>
      <c r="G10869" s="128">
        <v>946692.19</v>
      </c>
      <c r="H10869" s="128">
        <v>533045.64</v>
      </c>
      <c r="I10869" s="128">
        <v>6090</v>
      </c>
    </row>
    <row r="10870" spans="1:9" ht="13.5">
      <c r="A10870" s="128">
        <v>2020</v>
      </c>
      <c r="B10870" s="128" t="s">
        <v>131</v>
      </c>
      <c r="C10870" s="128" t="s">
        <v>22</v>
      </c>
      <c r="D10870" s="128" t="s">
        <v>79</v>
      </c>
      <c r="E10870" s="128" t="s">
        <v>134</v>
      </c>
      <c r="F10870" s="128">
        <v>5648808.04</v>
      </c>
      <c r="G10870" s="128">
        <v>2451671.69</v>
      </c>
      <c r="H10870" s="128">
        <v>1499331.37</v>
      </c>
      <c r="I10870" s="128">
        <v>34677</v>
      </c>
    </row>
    <row r="10871" spans="1:9" ht="13.5">
      <c r="A10871" s="128">
        <v>2020</v>
      </c>
      <c r="B10871" s="128" t="s">
        <v>131</v>
      </c>
      <c r="C10871" s="128" t="s">
        <v>22</v>
      </c>
      <c r="D10871" s="128" t="s">
        <v>79</v>
      </c>
      <c r="E10871" s="128" t="s">
        <v>135</v>
      </c>
      <c r="F10871" s="128">
        <v>34703802.119999997</v>
      </c>
      <c r="G10871" s="128">
        <v>7754763.96</v>
      </c>
      <c r="H10871" s="128">
        <v>2843536.2</v>
      </c>
      <c r="I10871" s="128">
        <v>33632</v>
      </c>
    </row>
    <row r="10872" spans="1:9" ht="13.5">
      <c r="A10872" s="128">
        <v>2020</v>
      </c>
      <c r="B10872" s="128" t="s">
        <v>131</v>
      </c>
      <c r="C10872" s="128" t="s">
        <v>22</v>
      </c>
      <c r="D10872" s="128" t="s">
        <v>77</v>
      </c>
      <c r="E10872" s="128" t="s">
        <v>132</v>
      </c>
      <c r="F10872" s="128">
        <v>1802613.41</v>
      </c>
      <c r="G10872" s="128">
        <v>1193569.76</v>
      </c>
      <c r="H10872" s="128">
        <v>518468.15</v>
      </c>
      <c r="I10872" s="128">
        <v>7622</v>
      </c>
    </row>
    <row r="10873" spans="1:9" ht="13.5">
      <c r="A10873" s="128">
        <v>2020</v>
      </c>
      <c r="B10873" s="128" t="s">
        <v>131</v>
      </c>
      <c r="C10873" s="128" t="s">
        <v>22</v>
      </c>
      <c r="D10873" s="128" t="s">
        <v>77</v>
      </c>
      <c r="E10873" s="128" t="s">
        <v>133</v>
      </c>
      <c r="F10873" s="128">
        <v>3981261.38</v>
      </c>
      <c r="G10873" s="128">
        <v>2151735.02</v>
      </c>
      <c r="H10873" s="128">
        <v>1516225.27</v>
      </c>
      <c r="I10873" s="128">
        <v>17494</v>
      </c>
    </row>
    <row r="10874" spans="1:9" ht="13.5">
      <c r="A10874" s="128">
        <v>2020</v>
      </c>
      <c r="B10874" s="128" t="s">
        <v>131</v>
      </c>
      <c r="C10874" s="128" t="s">
        <v>22</v>
      </c>
      <c r="D10874" s="128" t="s">
        <v>77</v>
      </c>
      <c r="E10874" s="128" t="s">
        <v>134</v>
      </c>
      <c r="F10874" s="128">
        <v>19341083.57</v>
      </c>
      <c r="G10874" s="128">
        <v>8171736.3899999997</v>
      </c>
      <c r="H10874" s="128">
        <v>8114926</v>
      </c>
      <c r="I10874" s="128">
        <v>25199</v>
      </c>
    </row>
    <row r="10875" spans="1:9" ht="13.5">
      <c r="A10875" s="128">
        <v>2020</v>
      </c>
      <c r="B10875" s="128" t="s">
        <v>131</v>
      </c>
      <c r="C10875" s="128" t="s">
        <v>22</v>
      </c>
      <c r="D10875" s="128" t="s">
        <v>77</v>
      </c>
      <c r="E10875" s="128" t="s">
        <v>135</v>
      </c>
      <c r="F10875" s="128">
        <v>42637441.18</v>
      </c>
      <c r="G10875" s="128">
        <v>10747086.060000001</v>
      </c>
      <c r="H10875" s="128">
        <v>11594342.82</v>
      </c>
      <c r="I10875" s="128">
        <v>106224</v>
      </c>
    </row>
    <row r="10876" spans="1:9" ht="13.5">
      <c r="A10876" s="128">
        <v>2020</v>
      </c>
      <c r="B10876" s="128" t="s">
        <v>131</v>
      </c>
      <c r="C10876" s="128" t="s">
        <v>22</v>
      </c>
      <c r="D10876" s="128" t="s">
        <v>76</v>
      </c>
      <c r="E10876" s="128" t="s">
        <v>136</v>
      </c>
      <c r="F10876" s="128">
        <v>18109533.359999999</v>
      </c>
      <c r="G10876" s="128">
        <v>13598662.77</v>
      </c>
      <c r="H10876" s="128">
        <v>4511012.57</v>
      </c>
      <c r="I10876" s="128">
        <v>275281</v>
      </c>
    </row>
    <row r="10877" spans="1:9" ht="13.5">
      <c r="A10877" s="128">
        <v>2020</v>
      </c>
      <c r="B10877" s="128" t="s">
        <v>131</v>
      </c>
      <c r="C10877" s="128" t="s">
        <v>22</v>
      </c>
      <c r="D10877" s="128" t="s">
        <v>76</v>
      </c>
      <c r="E10877" s="128" t="s">
        <v>132</v>
      </c>
      <c r="F10877" s="128">
        <v>49181451.829999998</v>
      </c>
      <c r="G10877" s="128">
        <v>31446830.84</v>
      </c>
      <c r="H10877" s="128">
        <v>17734050.93</v>
      </c>
      <c r="I10877" s="128">
        <v>426700</v>
      </c>
    </row>
    <row r="10878" spans="1:9" ht="13.5">
      <c r="A10878" s="128">
        <v>2020</v>
      </c>
      <c r="B10878" s="128" t="s">
        <v>131</v>
      </c>
      <c r="C10878" s="128" t="s">
        <v>22</v>
      </c>
      <c r="D10878" s="128" t="s">
        <v>76</v>
      </c>
      <c r="E10878" s="128" t="s">
        <v>133</v>
      </c>
      <c r="F10878" s="128">
        <v>84224652.030000001</v>
      </c>
      <c r="G10878" s="128">
        <v>46460979.399999999</v>
      </c>
      <c r="H10878" s="128">
        <v>37763488.729999997</v>
      </c>
      <c r="I10878" s="128">
        <v>658151</v>
      </c>
    </row>
    <row r="10879" spans="1:9" ht="13.5">
      <c r="A10879" s="128">
        <v>2020</v>
      </c>
      <c r="B10879" s="128" t="s">
        <v>131</v>
      </c>
      <c r="C10879" s="128" t="s">
        <v>22</v>
      </c>
      <c r="D10879" s="128" t="s">
        <v>76</v>
      </c>
      <c r="E10879" s="128" t="s">
        <v>134</v>
      </c>
      <c r="F10879" s="128">
        <v>78057731.510000005</v>
      </c>
      <c r="G10879" s="128">
        <v>35767695.240000002</v>
      </c>
      <c r="H10879" s="128">
        <v>42289205.560000002</v>
      </c>
      <c r="I10879" s="128">
        <v>508576</v>
      </c>
    </row>
    <row r="10880" spans="1:9" ht="13.5">
      <c r="A10880" s="128">
        <v>2020</v>
      </c>
      <c r="B10880" s="128" t="s">
        <v>131</v>
      </c>
      <c r="C10880" s="128" t="s">
        <v>22</v>
      </c>
      <c r="D10880" s="128" t="s">
        <v>76</v>
      </c>
      <c r="E10880" s="128" t="s">
        <v>135</v>
      </c>
      <c r="F10880" s="128">
        <v>4590511.8099999996</v>
      </c>
      <c r="G10880" s="128">
        <v>1350662.36</v>
      </c>
      <c r="H10880" s="128">
        <v>3239849.41</v>
      </c>
      <c r="I10880" s="128">
        <v>6566</v>
      </c>
    </row>
    <row r="10881" spans="1:9" ht="13.5">
      <c r="A10881" s="128">
        <v>2020</v>
      </c>
      <c r="B10881" s="128" t="s">
        <v>131</v>
      </c>
      <c r="C10881" s="128" t="s">
        <v>23</v>
      </c>
      <c r="D10881" s="128" t="s">
        <v>79</v>
      </c>
      <c r="E10881" s="128" t="s">
        <v>136</v>
      </c>
      <c r="F10881" s="128">
        <v>1649485.73</v>
      </c>
      <c r="G10881" s="128">
        <v>1235566.42</v>
      </c>
      <c r="H10881" s="128">
        <v>410102.23</v>
      </c>
      <c r="I10881" s="128">
        <v>10129</v>
      </c>
    </row>
    <row r="10882" spans="1:9" ht="13.5">
      <c r="A10882" s="128">
        <v>2020</v>
      </c>
      <c r="B10882" s="128" t="s">
        <v>131</v>
      </c>
      <c r="C10882" s="128" t="s">
        <v>23</v>
      </c>
      <c r="D10882" s="128" t="s">
        <v>79</v>
      </c>
      <c r="E10882" s="128" t="s">
        <v>132</v>
      </c>
      <c r="F10882" s="128">
        <v>428735.32</v>
      </c>
      <c r="G10882" s="128">
        <v>282873.03999999998</v>
      </c>
      <c r="H10882" s="128">
        <v>112693.12</v>
      </c>
      <c r="I10882" s="128">
        <v>1457</v>
      </c>
    </row>
    <row r="10883" spans="1:9" ht="13.5">
      <c r="A10883" s="128">
        <v>2020</v>
      </c>
      <c r="B10883" s="128" t="s">
        <v>131</v>
      </c>
      <c r="C10883" s="128" t="s">
        <v>23</v>
      </c>
      <c r="D10883" s="128" t="s">
        <v>79</v>
      </c>
      <c r="E10883" s="128" t="s">
        <v>133</v>
      </c>
      <c r="F10883" s="128">
        <v>537558.29</v>
      </c>
      <c r="G10883" s="128">
        <v>286494.98</v>
      </c>
      <c r="H10883" s="128">
        <v>208693.4</v>
      </c>
      <c r="I10883" s="128">
        <v>2679</v>
      </c>
    </row>
    <row r="10884" spans="1:9" ht="13.5">
      <c r="A10884" s="128">
        <v>2020</v>
      </c>
      <c r="B10884" s="128" t="s">
        <v>131</v>
      </c>
      <c r="C10884" s="128" t="s">
        <v>23</v>
      </c>
      <c r="D10884" s="128" t="s">
        <v>79</v>
      </c>
      <c r="E10884" s="128" t="s">
        <v>134</v>
      </c>
      <c r="F10884" s="128">
        <v>710168.99</v>
      </c>
      <c r="G10884" s="128">
        <v>310836.19</v>
      </c>
      <c r="H10884" s="128">
        <v>275839.02</v>
      </c>
      <c r="I10884" s="128">
        <v>2542</v>
      </c>
    </row>
    <row r="10885" spans="1:9" ht="13.5">
      <c r="A10885" s="128">
        <v>2020</v>
      </c>
      <c r="B10885" s="128" t="s">
        <v>131</v>
      </c>
      <c r="C10885" s="128" t="s">
        <v>23</v>
      </c>
      <c r="D10885" s="128" t="s">
        <v>79</v>
      </c>
      <c r="E10885" s="128" t="s">
        <v>135</v>
      </c>
      <c r="F10885" s="128">
        <v>2344362.2599999998</v>
      </c>
      <c r="G10885" s="128">
        <v>474377.99</v>
      </c>
      <c r="H10885" s="128">
        <v>194911.33</v>
      </c>
      <c r="I10885" s="128">
        <v>2295</v>
      </c>
    </row>
    <row r="10886" spans="1:9" ht="13.5">
      <c r="A10886" s="128">
        <v>2020</v>
      </c>
      <c r="B10886" s="128" t="s">
        <v>131</v>
      </c>
      <c r="C10886" s="128" t="s">
        <v>23</v>
      </c>
      <c r="D10886" s="128" t="s">
        <v>77</v>
      </c>
      <c r="E10886" s="128" t="s">
        <v>132</v>
      </c>
      <c r="F10886" s="128">
        <v>374778.68</v>
      </c>
      <c r="G10886" s="128">
        <v>239570.76</v>
      </c>
      <c r="H10886" s="128">
        <v>108333.37</v>
      </c>
      <c r="I10886" s="128">
        <v>1918</v>
      </c>
    </row>
    <row r="10887" spans="1:9" ht="13.5">
      <c r="A10887" s="128">
        <v>2020</v>
      </c>
      <c r="B10887" s="128" t="s">
        <v>131</v>
      </c>
      <c r="C10887" s="128" t="s">
        <v>23</v>
      </c>
      <c r="D10887" s="128" t="s">
        <v>77</v>
      </c>
      <c r="E10887" s="128" t="s">
        <v>133</v>
      </c>
      <c r="F10887" s="128">
        <v>1165306.94</v>
      </c>
      <c r="G10887" s="128">
        <v>633717.98</v>
      </c>
      <c r="H10887" s="128">
        <v>464095.25</v>
      </c>
      <c r="I10887" s="128">
        <v>5302</v>
      </c>
    </row>
    <row r="10888" spans="1:9" ht="13.5">
      <c r="A10888" s="128">
        <v>2020</v>
      </c>
      <c r="B10888" s="128" t="s">
        <v>131</v>
      </c>
      <c r="C10888" s="128" t="s">
        <v>23</v>
      </c>
      <c r="D10888" s="128" t="s">
        <v>77</v>
      </c>
      <c r="E10888" s="128" t="s">
        <v>134</v>
      </c>
      <c r="F10888" s="128">
        <v>8591711.2300000004</v>
      </c>
      <c r="G10888" s="128">
        <v>3606719.77</v>
      </c>
      <c r="H10888" s="128">
        <v>3789882.45</v>
      </c>
      <c r="I10888" s="128">
        <v>13106</v>
      </c>
    </row>
    <row r="10889" spans="1:9" ht="13.5">
      <c r="A10889" s="128">
        <v>2020</v>
      </c>
      <c r="B10889" s="128" t="s">
        <v>131</v>
      </c>
      <c r="C10889" s="128" t="s">
        <v>23</v>
      </c>
      <c r="D10889" s="128" t="s">
        <v>77</v>
      </c>
      <c r="E10889" s="128" t="s">
        <v>135</v>
      </c>
      <c r="F10889" s="128">
        <v>11546559.26</v>
      </c>
      <c r="G10889" s="128">
        <v>3249884.07</v>
      </c>
      <c r="H10889" s="128">
        <v>3887797.59</v>
      </c>
      <c r="I10889" s="128">
        <v>40682</v>
      </c>
    </row>
    <row r="10890" spans="1:9" ht="13.5">
      <c r="A10890" s="128">
        <v>2020</v>
      </c>
      <c r="B10890" s="128" t="s">
        <v>131</v>
      </c>
      <c r="C10890" s="128" t="s">
        <v>23</v>
      </c>
      <c r="D10890" s="128" t="s">
        <v>76</v>
      </c>
      <c r="E10890" s="128" t="s">
        <v>136</v>
      </c>
      <c r="F10890" s="128">
        <v>8134794.96</v>
      </c>
      <c r="G10890" s="128">
        <v>6106702.0999999996</v>
      </c>
      <c r="H10890" s="128">
        <v>2028092.86</v>
      </c>
      <c r="I10890" s="128">
        <v>170437</v>
      </c>
    </row>
    <row r="10891" spans="1:9" ht="13.5">
      <c r="A10891" s="128">
        <v>2020</v>
      </c>
      <c r="B10891" s="128" t="s">
        <v>131</v>
      </c>
      <c r="C10891" s="128" t="s">
        <v>23</v>
      </c>
      <c r="D10891" s="128" t="s">
        <v>76</v>
      </c>
      <c r="E10891" s="128" t="s">
        <v>132</v>
      </c>
      <c r="F10891" s="128">
        <v>9754959.2699999996</v>
      </c>
      <c r="G10891" s="128">
        <v>6136756.5999999996</v>
      </c>
      <c r="H10891" s="128">
        <v>3618049.02</v>
      </c>
      <c r="I10891" s="128">
        <v>80566</v>
      </c>
    </row>
    <row r="10892" spans="1:9" ht="13.5">
      <c r="A10892" s="128">
        <v>2020</v>
      </c>
      <c r="B10892" s="128" t="s">
        <v>131</v>
      </c>
      <c r="C10892" s="128" t="s">
        <v>23</v>
      </c>
      <c r="D10892" s="128" t="s">
        <v>76</v>
      </c>
      <c r="E10892" s="128" t="s">
        <v>133</v>
      </c>
      <c r="F10892" s="128">
        <v>31516257.82</v>
      </c>
      <c r="G10892" s="128">
        <v>17203769.300000001</v>
      </c>
      <c r="H10892" s="128">
        <v>14312464.5</v>
      </c>
      <c r="I10892" s="128">
        <v>234924</v>
      </c>
    </row>
    <row r="10893" spans="1:9" ht="13.5">
      <c r="A10893" s="128">
        <v>2020</v>
      </c>
      <c r="B10893" s="128" t="s">
        <v>131</v>
      </c>
      <c r="C10893" s="128" t="s">
        <v>23</v>
      </c>
      <c r="D10893" s="128" t="s">
        <v>76</v>
      </c>
      <c r="E10893" s="128" t="s">
        <v>134</v>
      </c>
      <c r="F10893" s="128">
        <v>44740966.960000001</v>
      </c>
      <c r="G10893" s="128">
        <v>20048904.050000001</v>
      </c>
      <c r="H10893" s="128">
        <v>24692039.600000001</v>
      </c>
      <c r="I10893" s="128">
        <v>182823</v>
      </c>
    </row>
    <row r="10894" spans="1:9" ht="13.5">
      <c r="A10894" s="128">
        <v>2020</v>
      </c>
      <c r="B10894" s="128" t="s">
        <v>131</v>
      </c>
      <c r="C10894" s="128" t="s">
        <v>23</v>
      </c>
      <c r="D10894" s="128" t="s">
        <v>76</v>
      </c>
      <c r="E10894" s="128" t="s">
        <v>135</v>
      </c>
      <c r="F10894" s="128">
        <v>1096078.55</v>
      </c>
      <c r="G10894" s="128">
        <v>295162.15000000002</v>
      </c>
      <c r="H10894" s="128">
        <v>800916.4</v>
      </c>
      <c r="I10894" s="128">
        <v>907</v>
      </c>
    </row>
    <row r="10895" spans="1:9" ht="13.5">
      <c r="A10895" s="128">
        <v>2020</v>
      </c>
      <c r="B10895" s="128" t="s">
        <v>131</v>
      </c>
      <c r="C10895" s="128" t="s">
        <v>24</v>
      </c>
      <c r="D10895" s="128" t="s">
        <v>79</v>
      </c>
      <c r="E10895" s="128" t="s">
        <v>136</v>
      </c>
      <c r="F10895" s="128">
        <v>1573797.16</v>
      </c>
      <c r="G10895" s="128">
        <v>1182339</v>
      </c>
      <c r="H10895" s="128">
        <v>390189.86</v>
      </c>
      <c r="I10895" s="128">
        <v>19345</v>
      </c>
    </row>
    <row r="10896" spans="1:9" ht="13.5">
      <c r="A10896" s="128">
        <v>2020</v>
      </c>
      <c r="B10896" s="128" t="s">
        <v>131</v>
      </c>
      <c r="C10896" s="128" t="s">
        <v>24</v>
      </c>
      <c r="D10896" s="128" t="s">
        <v>79</v>
      </c>
      <c r="E10896" s="128" t="s">
        <v>132</v>
      </c>
      <c r="F10896" s="128">
        <v>632577.49</v>
      </c>
      <c r="G10896" s="128">
        <v>422455.79</v>
      </c>
      <c r="H10896" s="128">
        <v>180138.71</v>
      </c>
      <c r="I10896" s="128">
        <v>3200</v>
      </c>
    </row>
    <row r="10897" spans="1:9" ht="13.5">
      <c r="A10897" s="128">
        <v>2020</v>
      </c>
      <c r="B10897" s="128" t="s">
        <v>131</v>
      </c>
      <c r="C10897" s="128" t="s">
        <v>24</v>
      </c>
      <c r="D10897" s="128" t="s">
        <v>79</v>
      </c>
      <c r="E10897" s="128" t="s">
        <v>133</v>
      </c>
      <c r="F10897" s="128">
        <v>801796.01</v>
      </c>
      <c r="G10897" s="128">
        <v>432912.6</v>
      </c>
      <c r="H10897" s="128">
        <v>246332.63</v>
      </c>
      <c r="I10897" s="128">
        <v>3374</v>
      </c>
    </row>
    <row r="10898" spans="1:9" ht="13.5">
      <c r="A10898" s="128">
        <v>2020</v>
      </c>
      <c r="B10898" s="128" t="s">
        <v>131</v>
      </c>
      <c r="C10898" s="128" t="s">
        <v>24</v>
      </c>
      <c r="D10898" s="128" t="s">
        <v>79</v>
      </c>
      <c r="E10898" s="128" t="s">
        <v>134</v>
      </c>
      <c r="F10898" s="128">
        <v>2376075.37</v>
      </c>
      <c r="G10898" s="128">
        <v>1039549.53</v>
      </c>
      <c r="H10898" s="128">
        <v>519488.94</v>
      </c>
      <c r="I10898" s="128">
        <v>19768</v>
      </c>
    </row>
    <row r="10899" spans="1:9" ht="13.5">
      <c r="A10899" s="128">
        <v>2020</v>
      </c>
      <c r="B10899" s="128" t="s">
        <v>131</v>
      </c>
      <c r="C10899" s="128" t="s">
        <v>24</v>
      </c>
      <c r="D10899" s="128" t="s">
        <v>79</v>
      </c>
      <c r="E10899" s="128" t="s">
        <v>135</v>
      </c>
      <c r="F10899" s="128">
        <v>8153280.0599999996</v>
      </c>
      <c r="G10899" s="128">
        <v>1689873.76</v>
      </c>
      <c r="H10899" s="128">
        <v>617233.87</v>
      </c>
      <c r="I10899" s="128">
        <v>8812</v>
      </c>
    </row>
    <row r="10900" spans="1:9" ht="13.5">
      <c r="A10900" s="128">
        <v>2020</v>
      </c>
      <c r="B10900" s="128" t="s">
        <v>131</v>
      </c>
      <c r="C10900" s="128" t="s">
        <v>24</v>
      </c>
      <c r="D10900" s="128" t="s">
        <v>77</v>
      </c>
      <c r="E10900" s="128" t="s">
        <v>132</v>
      </c>
      <c r="F10900" s="128">
        <v>855595.24</v>
      </c>
      <c r="G10900" s="128">
        <v>559633.11</v>
      </c>
      <c r="H10900" s="128">
        <v>263598.5</v>
      </c>
      <c r="I10900" s="128">
        <v>4077</v>
      </c>
    </row>
    <row r="10901" spans="1:9" ht="13.5">
      <c r="A10901" s="128">
        <v>2020</v>
      </c>
      <c r="B10901" s="128" t="s">
        <v>131</v>
      </c>
      <c r="C10901" s="128" t="s">
        <v>24</v>
      </c>
      <c r="D10901" s="128" t="s">
        <v>77</v>
      </c>
      <c r="E10901" s="128" t="s">
        <v>133</v>
      </c>
      <c r="F10901" s="128">
        <v>2928535.04</v>
      </c>
      <c r="G10901" s="128">
        <v>1568643.83</v>
      </c>
      <c r="H10901" s="128">
        <v>1143733.3799999999</v>
      </c>
      <c r="I10901" s="128">
        <v>24792</v>
      </c>
    </row>
    <row r="10902" spans="1:9" ht="13.5">
      <c r="A10902" s="128">
        <v>2020</v>
      </c>
      <c r="B10902" s="128" t="s">
        <v>131</v>
      </c>
      <c r="C10902" s="128" t="s">
        <v>24</v>
      </c>
      <c r="D10902" s="128" t="s">
        <v>77</v>
      </c>
      <c r="E10902" s="128" t="s">
        <v>134</v>
      </c>
      <c r="F10902" s="128">
        <v>9390912.2100000009</v>
      </c>
      <c r="G10902" s="128">
        <v>4132787.06</v>
      </c>
      <c r="H10902" s="128">
        <v>3827899.95</v>
      </c>
      <c r="I10902" s="128">
        <v>16607</v>
      </c>
    </row>
    <row r="10903" spans="1:9" ht="13.5">
      <c r="A10903" s="128">
        <v>2020</v>
      </c>
      <c r="B10903" s="128" t="s">
        <v>131</v>
      </c>
      <c r="C10903" s="128" t="s">
        <v>24</v>
      </c>
      <c r="D10903" s="128" t="s">
        <v>77</v>
      </c>
      <c r="E10903" s="128" t="s">
        <v>135</v>
      </c>
      <c r="F10903" s="128">
        <v>18338995.190000001</v>
      </c>
      <c r="G10903" s="128">
        <v>4522264.58</v>
      </c>
      <c r="H10903" s="128">
        <v>3258906.34</v>
      </c>
      <c r="I10903" s="128">
        <v>44320</v>
      </c>
    </row>
    <row r="10904" spans="1:9" ht="13.5">
      <c r="A10904" s="128">
        <v>2020</v>
      </c>
      <c r="B10904" s="128" t="s">
        <v>131</v>
      </c>
      <c r="C10904" s="128" t="s">
        <v>24</v>
      </c>
      <c r="D10904" s="128" t="s">
        <v>76</v>
      </c>
      <c r="E10904" s="128" t="s">
        <v>136</v>
      </c>
      <c r="F10904" s="128">
        <v>10349477.57</v>
      </c>
      <c r="G10904" s="128">
        <v>7776537.5800000001</v>
      </c>
      <c r="H10904" s="128">
        <v>2572939.9900000002</v>
      </c>
      <c r="I10904" s="128">
        <v>139365</v>
      </c>
    </row>
    <row r="10905" spans="1:9" ht="13.5">
      <c r="A10905" s="128">
        <v>2020</v>
      </c>
      <c r="B10905" s="128" t="s">
        <v>131</v>
      </c>
      <c r="C10905" s="128" t="s">
        <v>24</v>
      </c>
      <c r="D10905" s="128" t="s">
        <v>76</v>
      </c>
      <c r="E10905" s="128" t="s">
        <v>132</v>
      </c>
      <c r="F10905" s="128">
        <v>11147597.140000001</v>
      </c>
      <c r="G10905" s="128">
        <v>7214410.5499999998</v>
      </c>
      <c r="H10905" s="128">
        <v>3933154.49</v>
      </c>
      <c r="I10905" s="128">
        <v>76636</v>
      </c>
    </row>
    <row r="10906" spans="1:9" ht="13.5">
      <c r="A10906" s="128">
        <v>2020</v>
      </c>
      <c r="B10906" s="128" t="s">
        <v>131</v>
      </c>
      <c r="C10906" s="128" t="s">
        <v>24</v>
      </c>
      <c r="D10906" s="128" t="s">
        <v>76</v>
      </c>
      <c r="E10906" s="128" t="s">
        <v>133</v>
      </c>
      <c r="F10906" s="128">
        <v>50856779.560000002</v>
      </c>
      <c r="G10906" s="128">
        <v>28007630.800000001</v>
      </c>
      <c r="H10906" s="128">
        <v>22849140.550000001</v>
      </c>
      <c r="I10906" s="128">
        <v>343797</v>
      </c>
    </row>
    <row r="10907" spans="1:9" ht="13.5">
      <c r="A10907" s="128">
        <v>2020</v>
      </c>
      <c r="B10907" s="128" t="s">
        <v>131</v>
      </c>
      <c r="C10907" s="128" t="s">
        <v>24</v>
      </c>
      <c r="D10907" s="128" t="s">
        <v>76</v>
      </c>
      <c r="E10907" s="128" t="s">
        <v>134</v>
      </c>
      <c r="F10907" s="128">
        <v>59856306.799999997</v>
      </c>
      <c r="G10907" s="128">
        <v>26696383.789999999</v>
      </c>
      <c r="H10907" s="128">
        <v>33159908.77</v>
      </c>
      <c r="I10907" s="128">
        <v>266510</v>
      </c>
    </row>
    <row r="10908" spans="1:9" ht="13.5">
      <c r="A10908" s="128">
        <v>2020</v>
      </c>
      <c r="B10908" s="128" t="s">
        <v>131</v>
      </c>
      <c r="C10908" s="128" t="s">
        <v>24</v>
      </c>
      <c r="D10908" s="128" t="s">
        <v>76</v>
      </c>
      <c r="E10908" s="128" t="s">
        <v>135</v>
      </c>
      <c r="F10908" s="128">
        <v>2176945.19</v>
      </c>
      <c r="G10908" s="128">
        <v>583016.46</v>
      </c>
      <c r="H10908" s="128">
        <v>1593928.73</v>
      </c>
      <c r="I10908" s="128">
        <v>1879</v>
      </c>
    </row>
    <row r="10909" spans="1:9" ht="13.5">
      <c r="A10909" s="128">
        <v>2020</v>
      </c>
      <c r="B10909" s="128" t="s">
        <v>131</v>
      </c>
      <c r="C10909" s="128" t="s">
        <v>25</v>
      </c>
      <c r="D10909" s="128" t="s">
        <v>79</v>
      </c>
      <c r="E10909" s="128" t="s">
        <v>136</v>
      </c>
      <c r="F10909" s="128">
        <v>482339.53</v>
      </c>
      <c r="G10909" s="128">
        <v>361518.19</v>
      </c>
      <c r="H10909" s="128">
        <v>119796.34</v>
      </c>
      <c r="I10909" s="128">
        <v>2818</v>
      </c>
    </row>
    <row r="10910" spans="1:9" ht="13.5">
      <c r="A10910" s="128">
        <v>2020</v>
      </c>
      <c r="B10910" s="128" t="s">
        <v>131</v>
      </c>
      <c r="C10910" s="128" t="s">
        <v>25</v>
      </c>
      <c r="D10910" s="128" t="s">
        <v>79</v>
      </c>
      <c r="E10910" s="128" t="s">
        <v>132</v>
      </c>
      <c r="F10910" s="128">
        <v>137284.1</v>
      </c>
      <c r="G10910" s="128">
        <v>92145.29</v>
      </c>
      <c r="H10910" s="128">
        <v>35484.67</v>
      </c>
      <c r="I10910" s="128">
        <v>718</v>
      </c>
    </row>
    <row r="10911" spans="1:9" ht="13.5">
      <c r="A10911" s="128">
        <v>2020</v>
      </c>
      <c r="B10911" s="128" t="s">
        <v>131</v>
      </c>
      <c r="C10911" s="128" t="s">
        <v>25</v>
      </c>
      <c r="D10911" s="128" t="s">
        <v>79</v>
      </c>
      <c r="E10911" s="128" t="s">
        <v>133</v>
      </c>
      <c r="F10911" s="128">
        <v>161996.82999999999</v>
      </c>
      <c r="G10911" s="128">
        <v>87017.44</v>
      </c>
      <c r="H10911" s="128">
        <v>57158.09</v>
      </c>
      <c r="I10911" s="128">
        <v>511</v>
      </c>
    </row>
    <row r="10912" spans="1:9" ht="13.5">
      <c r="A10912" s="128">
        <v>2020</v>
      </c>
      <c r="B10912" s="128" t="s">
        <v>131</v>
      </c>
      <c r="C10912" s="128" t="s">
        <v>25</v>
      </c>
      <c r="D10912" s="128" t="s">
        <v>79</v>
      </c>
      <c r="E10912" s="128" t="s">
        <v>134</v>
      </c>
      <c r="F10912" s="128">
        <v>328502.77</v>
      </c>
      <c r="G10912" s="128">
        <v>143484.89000000001</v>
      </c>
      <c r="H10912" s="128">
        <v>112684.88</v>
      </c>
      <c r="I10912" s="128">
        <v>1504</v>
      </c>
    </row>
    <row r="10913" spans="1:9" ht="13.5">
      <c r="A10913" s="128">
        <v>2020</v>
      </c>
      <c r="B10913" s="128" t="s">
        <v>131</v>
      </c>
      <c r="C10913" s="128" t="s">
        <v>25</v>
      </c>
      <c r="D10913" s="128" t="s">
        <v>79</v>
      </c>
      <c r="E10913" s="128" t="s">
        <v>135</v>
      </c>
      <c r="F10913" s="128">
        <v>1486863.82</v>
      </c>
      <c r="G10913" s="128">
        <v>347695.3</v>
      </c>
      <c r="H10913" s="128">
        <v>147542.60999999999</v>
      </c>
      <c r="I10913" s="128">
        <v>1183</v>
      </c>
    </row>
    <row r="10914" spans="1:9" ht="13.5">
      <c r="A10914" s="128">
        <v>2020</v>
      </c>
      <c r="B10914" s="128" t="s">
        <v>131</v>
      </c>
      <c r="C10914" s="128" t="s">
        <v>25</v>
      </c>
      <c r="D10914" s="128" t="s">
        <v>77</v>
      </c>
      <c r="E10914" s="128" t="s">
        <v>132</v>
      </c>
      <c r="F10914" s="128">
        <v>238805.84</v>
      </c>
      <c r="G10914" s="128">
        <v>158319.24</v>
      </c>
      <c r="H10914" s="128">
        <v>72331.33</v>
      </c>
      <c r="I10914" s="128">
        <v>1288</v>
      </c>
    </row>
    <row r="10915" spans="1:9" ht="13.5">
      <c r="A10915" s="128">
        <v>2020</v>
      </c>
      <c r="B10915" s="128" t="s">
        <v>131</v>
      </c>
      <c r="C10915" s="128" t="s">
        <v>25</v>
      </c>
      <c r="D10915" s="128" t="s">
        <v>77</v>
      </c>
      <c r="E10915" s="128" t="s">
        <v>133</v>
      </c>
      <c r="F10915" s="128">
        <v>396886.54</v>
      </c>
      <c r="G10915" s="128">
        <v>214302.83</v>
      </c>
      <c r="H10915" s="128">
        <v>166146.01999999999</v>
      </c>
      <c r="I10915" s="128">
        <v>1962</v>
      </c>
    </row>
    <row r="10916" spans="1:9" ht="13.5">
      <c r="A10916" s="128">
        <v>2020</v>
      </c>
      <c r="B10916" s="128" t="s">
        <v>131</v>
      </c>
      <c r="C10916" s="128" t="s">
        <v>25</v>
      </c>
      <c r="D10916" s="128" t="s">
        <v>77</v>
      </c>
      <c r="E10916" s="128" t="s">
        <v>134</v>
      </c>
      <c r="F10916" s="128">
        <v>2339774.92</v>
      </c>
      <c r="G10916" s="128">
        <v>993455.26</v>
      </c>
      <c r="H10916" s="128">
        <v>1050102.45</v>
      </c>
      <c r="I10916" s="128">
        <v>3146</v>
      </c>
    </row>
    <row r="10917" spans="1:9" ht="13.5">
      <c r="A10917" s="128">
        <v>2020</v>
      </c>
      <c r="B10917" s="128" t="s">
        <v>131</v>
      </c>
      <c r="C10917" s="128" t="s">
        <v>25</v>
      </c>
      <c r="D10917" s="128" t="s">
        <v>77</v>
      </c>
      <c r="E10917" s="128" t="s">
        <v>135</v>
      </c>
      <c r="F10917" s="128">
        <v>3096154.3</v>
      </c>
      <c r="G10917" s="128">
        <v>802004.4</v>
      </c>
      <c r="H10917" s="128">
        <v>920859.21</v>
      </c>
      <c r="I10917" s="128">
        <v>7061</v>
      </c>
    </row>
    <row r="10918" spans="1:9" ht="13.5">
      <c r="A10918" s="128">
        <v>2020</v>
      </c>
      <c r="B10918" s="128" t="s">
        <v>131</v>
      </c>
      <c r="C10918" s="128" t="s">
        <v>25</v>
      </c>
      <c r="D10918" s="128" t="s">
        <v>76</v>
      </c>
      <c r="E10918" s="128" t="s">
        <v>136</v>
      </c>
      <c r="F10918" s="128">
        <v>1613594.78</v>
      </c>
      <c r="G10918" s="128">
        <v>1211746.0900000001</v>
      </c>
      <c r="H10918" s="128">
        <v>401848.69</v>
      </c>
      <c r="I10918" s="128">
        <v>24783</v>
      </c>
    </row>
    <row r="10919" spans="1:9" ht="13.5">
      <c r="A10919" s="128">
        <v>2020</v>
      </c>
      <c r="B10919" s="128" t="s">
        <v>131</v>
      </c>
      <c r="C10919" s="128" t="s">
        <v>25</v>
      </c>
      <c r="D10919" s="128" t="s">
        <v>76</v>
      </c>
      <c r="E10919" s="128" t="s">
        <v>132</v>
      </c>
      <c r="F10919" s="128">
        <v>3064004.38</v>
      </c>
      <c r="G10919" s="128">
        <v>1945019</v>
      </c>
      <c r="H10919" s="128">
        <v>1118985.08</v>
      </c>
      <c r="I10919" s="128">
        <v>21253</v>
      </c>
    </row>
    <row r="10920" spans="1:9" ht="13.5">
      <c r="A10920" s="128">
        <v>2020</v>
      </c>
      <c r="B10920" s="128" t="s">
        <v>131</v>
      </c>
      <c r="C10920" s="128" t="s">
        <v>25</v>
      </c>
      <c r="D10920" s="128" t="s">
        <v>76</v>
      </c>
      <c r="E10920" s="128" t="s">
        <v>133</v>
      </c>
      <c r="F10920" s="128">
        <v>9163288.1500000004</v>
      </c>
      <c r="G10920" s="128">
        <v>5004999.63</v>
      </c>
      <c r="H10920" s="128">
        <v>4158284.2</v>
      </c>
      <c r="I10920" s="128">
        <v>57072</v>
      </c>
    </row>
    <row r="10921" spans="1:9" ht="13.5">
      <c r="A10921" s="128">
        <v>2020</v>
      </c>
      <c r="B10921" s="128" t="s">
        <v>131</v>
      </c>
      <c r="C10921" s="128" t="s">
        <v>25</v>
      </c>
      <c r="D10921" s="128" t="s">
        <v>76</v>
      </c>
      <c r="E10921" s="128" t="s">
        <v>134</v>
      </c>
      <c r="F10921" s="128">
        <v>11881097.609999999</v>
      </c>
      <c r="G10921" s="128">
        <v>5454900.0199999996</v>
      </c>
      <c r="H10921" s="128">
        <v>6426194.1299999999</v>
      </c>
      <c r="I10921" s="128">
        <v>55893</v>
      </c>
    </row>
    <row r="10922" spans="1:9" ht="13.5">
      <c r="A10922" s="128">
        <v>2020</v>
      </c>
      <c r="B10922" s="128" t="s">
        <v>131</v>
      </c>
      <c r="C10922" s="128" t="s">
        <v>25</v>
      </c>
      <c r="D10922" s="128" t="s">
        <v>76</v>
      </c>
      <c r="E10922" s="128" t="s">
        <v>135</v>
      </c>
      <c r="F10922" s="128">
        <v>334535.53999999998</v>
      </c>
      <c r="G10922" s="128">
        <v>93600.78</v>
      </c>
      <c r="H10922" s="128">
        <v>240934.76</v>
      </c>
      <c r="I10922" s="128">
        <v>265</v>
      </c>
    </row>
    <row r="10923" spans="1:9" ht="13.5">
      <c r="A10923" s="128">
        <v>2020</v>
      </c>
      <c r="B10923" s="128" t="s">
        <v>131</v>
      </c>
      <c r="C10923" s="128" t="s">
        <v>26</v>
      </c>
      <c r="D10923" s="128" t="s">
        <v>79</v>
      </c>
      <c r="E10923" s="128" t="s">
        <v>136</v>
      </c>
      <c r="F10923" s="128">
        <v>595258</v>
      </c>
      <c r="G10923" s="128">
        <v>441665.55</v>
      </c>
      <c r="H10923" s="128">
        <v>146723.04999999999</v>
      </c>
      <c r="I10923" s="128">
        <v>5468</v>
      </c>
    </row>
    <row r="10924" spans="1:9" ht="13.5">
      <c r="A10924" s="128">
        <v>2020</v>
      </c>
      <c r="B10924" s="128" t="s">
        <v>131</v>
      </c>
      <c r="C10924" s="128" t="s">
        <v>26</v>
      </c>
      <c r="D10924" s="128" t="s">
        <v>79</v>
      </c>
      <c r="E10924" s="128" t="s">
        <v>132</v>
      </c>
      <c r="F10924" s="128">
        <v>107178.77</v>
      </c>
      <c r="G10924" s="128">
        <v>73281.850000000006</v>
      </c>
      <c r="H10924" s="128">
        <v>27635.32</v>
      </c>
      <c r="I10924" s="128">
        <v>486</v>
      </c>
    </row>
    <row r="10925" spans="1:9" ht="13.5">
      <c r="A10925" s="128">
        <v>2020</v>
      </c>
      <c r="B10925" s="128" t="s">
        <v>131</v>
      </c>
      <c r="C10925" s="128" t="s">
        <v>26</v>
      </c>
      <c r="D10925" s="128" t="s">
        <v>79</v>
      </c>
      <c r="E10925" s="128" t="s">
        <v>133</v>
      </c>
      <c r="F10925" s="128">
        <v>145714.88</v>
      </c>
      <c r="G10925" s="128">
        <v>78755.789999999994</v>
      </c>
      <c r="H10925" s="128">
        <v>35202.86</v>
      </c>
      <c r="I10925" s="128">
        <v>407</v>
      </c>
    </row>
    <row r="10926" spans="1:9" ht="13.5">
      <c r="A10926" s="128">
        <v>2020</v>
      </c>
      <c r="B10926" s="128" t="s">
        <v>131</v>
      </c>
      <c r="C10926" s="128" t="s">
        <v>26</v>
      </c>
      <c r="D10926" s="128" t="s">
        <v>79</v>
      </c>
      <c r="E10926" s="128" t="s">
        <v>134</v>
      </c>
      <c r="F10926" s="128">
        <v>447139.9</v>
      </c>
      <c r="G10926" s="128">
        <v>190581.79</v>
      </c>
      <c r="H10926" s="128">
        <v>93354.81</v>
      </c>
      <c r="I10926" s="128">
        <v>1958</v>
      </c>
    </row>
    <row r="10927" spans="1:9" ht="13.5">
      <c r="A10927" s="128">
        <v>2020</v>
      </c>
      <c r="B10927" s="128" t="s">
        <v>131</v>
      </c>
      <c r="C10927" s="128" t="s">
        <v>26</v>
      </c>
      <c r="D10927" s="128" t="s">
        <v>79</v>
      </c>
      <c r="E10927" s="128" t="s">
        <v>135</v>
      </c>
      <c r="F10927" s="128">
        <v>6518498.9900000002</v>
      </c>
      <c r="G10927" s="128">
        <v>1451403.83</v>
      </c>
      <c r="H10927" s="128">
        <v>495482.57</v>
      </c>
      <c r="I10927" s="128">
        <v>6013</v>
      </c>
    </row>
    <row r="10928" spans="1:9" ht="13.5">
      <c r="A10928" s="128">
        <v>2020</v>
      </c>
      <c r="B10928" s="128" t="s">
        <v>131</v>
      </c>
      <c r="C10928" s="128" t="s">
        <v>26</v>
      </c>
      <c r="D10928" s="128" t="s">
        <v>77</v>
      </c>
      <c r="E10928" s="128" t="s">
        <v>132</v>
      </c>
      <c r="F10928" s="128">
        <v>59983.02</v>
      </c>
      <c r="G10928" s="128">
        <v>38340.99</v>
      </c>
      <c r="H10928" s="128">
        <v>18369.36</v>
      </c>
      <c r="I10928" s="128">
        <v>238</v>
      </c>
    </row>
    <row r="10929" spans="1:9" ht="13.5">
      <c r="A10929" s="128">
        <v>2020</v>
      </c>
      <c r="B10929" s="128" t="s">
        <v>131</v>
      </c>
      <c r="C10929" s="128" t="s">
        <v>26</v>
      </c>
      <c r="D10929" s="128" t="s">
        <v>77</v>
      </c>
      <c r="E10929" s="128" t="s">
        <v>133</v>
      </c>
      <c r="F10929" s="128">
        <v>231860.59</v>
      </c>
      <c r="G10929" s="128">
        <v>128308.78</v>
      </c>
      <c r="H10929" s="128">
        <v>90750.68</v>
      </c>
      <c r="I10929" s="128">
        <v>1195</v>
      </c>
    </row>
    <row r="10930" spans="1:9" ht="13.5">
      <c r="A10930" s="128">
        <v>2020</v>
      </c>
      <c r="B10930" s="128" t="s">
        <v>131</v>
      </c>
      <c r="C10930" s="128" t="s">
        <v>26</v>
      </c>
      <c r="D10930" s="128" t="s">
        <v>77</v>
      </c>
      <c r="E10930" s="128" t="s">
        <v>134</v>
      </c>
      <c r="F10930" s="128">
        <v>554159.13</v>
      </c>
      <c r="G10930" s="128">
        <v>235661.33</v>
      </c>
      <c r="H10930" s="128">
        <v>222388.52</v>
      </c>
      <c r="I10930" s="128">
        <v>1264</v>
      </c>
    </row>
    <row r="10931" spans="1:9" ht="13.5">
      <c r="A10931" s="128">
        <v>2020</v>
      </c>
      <c r="B10931" s="128" t="s">
        <v>131</v>
      </c>
      <c r="C10931" s="128" t="s">
        <v>26</v>
      </c>
      <c r="D10931" s="128" t="s">
        <v>77</v>
      </c>
      <c r="E10931" s="128" t="s">
        <v>135</v>
      </c>
      <c r="F10931" s="128">
        <v>4834304.58</v>
      </c>
      <c r="G10931" s="128">
        <v>1250308.45</v>
      </c>
      <c r="H10931" s="128">
        <v>1155159.17</v>
      </c>
      <c r="I10931" s="128">
        <v>14991</v>
      </c>
    </row>
    <row r="10932" spans="1:9" ht="13.5">
      <c r="A10932" s="128">
        <v>2020</v>
      </c>
      <c r="B10932" s="128" t="s">
        <v>131</v>
      </c>
      <c r="C10932" s="128" t="s">
        <v>26</v>
      </c>
      <c r="D10932" s="128" t="s">
        <v>76</v>
      </c>
      <c r="E10932" s="128" t="s">
        <v>136</v>
      </c>
      <c r="F10932" s="128">
        <v>553938.72</v>
      </c>
      <c r="G10932" s="128">
        <v>454242.72</v>
      </c>
      <c r="H10932" s="128">
        <v>99696</v>
      </c>
      <c r="I10932" s="128">
        <v>10640</v>
      </c>
    </row>
    <row r="10933" spans="1:9" ht="13.5">
      <c r="A10933" s="128">
        <v>2020</v>
      </c>
      <c r="B10933" s="128" t="s">
        <v>131</v>
      </c>
      <c r="C10933" s="128" t="s">
        <v>26</v>
      </c>
      <c r="D10933" s="128" t="s">
        <v>76</v>
      </c>
      <c r="E10933" s="128" t="s">
        <v>132</v>
      </c>
      <c r="F10933" s="128">
        <v>1978128.43</v>
      </c>
      <c r="G10933" s="128">
        <v>1261431.1000000001</v>
      </c>
      <c r="H10933" s="128">
        <v>716670.93</v>
      </c>
      <c r="I10933" s="128">
        <v>16126</v>
      </c>
    </row>
    <row r="10934" spans="1:9" ht="13.5">
      <c r="A10934" s="128">
        <v>2020</v>
      </c>
      <c r="B10934" s="128" t="s">
        <v>131</v>
      </c>
      <c r="C10934" s="128" t="s">
        <v>26</v>
      </c>
      <c r="D10934" s="128" t="s">
        <v>76</v>
      </c>
      <c r="E10934" s="128" t="s">
        <v>133</v>
      </c>
      <c r="F10934" s="128">
        <v>4305361.79</v>
      </c>
      <c r="G10934" s="128">
        <v>2381521</v>
      </c>
      <c r="H10934" s="128">
        <v>1923833.23</v>
      </c>
      <c r="I10934" s="128">
        <v>36710</v>
      </c>
    </row>
    <row r="10935" spans="1:9" ht="13.5">
      <c r="A10935" s="128">
        <v>2020</v>
      </c>
      <c r="B10935" s="128" t="s">
        <v>131</v>
      </c>
      <c r="C10935" s="128" t="s">
        <v>26</v>
      </c>
      <c r="D10935" s="128" t="s">
        <v>76</v>
      </c>
      <c r="E10935" s="128" t="s">
        <v>134</v>
      </c>
      <c r="F10935" s="128">
        <v>3234728.41</v>
      </c>
      <c r="G10935" s="128">
        <v>1490201.7</v>
      </c>
      <c r="H10935" s="128">
        <v>1744482.1</v>
      </c>
      <c r="I10935" s="128">
        <v>17984</v>
      </c>
    </row>
    <row r="10936" spans="1:9" ht="13.5">
      <c r="A10936" s="128">
        <v>2020</v>
      </c>
      <c r="B10936" s="128" t="s">
        <v>131</v>
      </c>
      <c r="C10936" s="128" t="s">
        <v>26</v>
      </c>
      <c r="D10936" s="128" t="s">
        <v>76</v>
      </c>
      <c r="E10936" s="128" t="s">
        <v>135</v>
      </c>
      <c r="F10936" s="128">
        <v>398053.29</v>
      </c>
      <c r="G10936" s="128">
        <v>128015.53</v>
      </c>
      <c r="H10936" s="128">
        <v>270037.76000000001</v>
      </c>
      <c r="I10936" s="128">
        <v>902</v>
      </c>
    </row>
    <row r="10937" spans="1:9" ht="13.5">
      <c r="A10937" s="128">
        <v>2020</v>
      </c>
      <c r="B10937" s="128" t="s">
        <v>131</v>
      </c>
      <c r="C10937" s="128" t="s">
        <v>27</v>
      </c>
      <c r="D10937" s="128" t="s">
        <v>79</v>
      </c>
      <c r="E10937" s="128" t="s">
        <v>136</v>
      </c>
      <c r="F10937" s="128">
        <v>163367.65</v>
      </c>
      <c r="G10937" s="128">
        <v>121948.26</v>
      </c>
      <c r="H10937" s="128">
        <v>40535.599999999999</v>
      </c>
      <c r="I10937" s="128">
        <v>691</v>
      </c>
    </row>
    <row r="10938" spans="1:9" ht="13.5">
      <c r="A10938" s="128">
        <v>2020</v>
      </c>
      <c r="B10938" s="128" t="s">
        <v>131</v>
      </c>
      <c r="C10938" s="128" t="s">
        <v>27</v>
      </c>
      <c r="D10938" s="128" t="s">
        <v>79</v>
      </c>
      <c r="E10938" s="128" t="s">
        <v>132</v>
      </c>
      <c r="F10938" s="128">
        <v>45204.19</v>
      </c>
      <c r="G10938" s="128">
        <v>31291.45</v>
      </c>
      <c r="H10938" s="128">
        <v>11671.5</v>
      </c>
      <c r="I10938" s="128">
        <v>126</v>
      </c>
    </row>
    <row r="10939" spans="1:9" ht="13.5">
      <c r="A10939" s="128">
        <v>2020</v>
      </c>
      <c r="B10939" s="128" t="s">
        <v>131</v>
      </c>
      <c r="C10939" s="128" t="s">
        <v>27</v>
      </c>
      <c r="D10939" s="128" t="s">
        <v>79</v>
      </c>
      <c r="E10939" s="128" t="s">
        <v>133</v>
      </c>
      <c r="F10939" s="128">
        <v>20469.939999999999</v>
      </c>
      <c r="G10939" s="128">
        <v>10868.35</v>
      </c>
      <c r="H10939" s="128">
        <v>4371.28</v>
      </c>
      <c r="I10939" s="128">
        <v>82</v>
      </c>
    </row>
    <row r="10940" spans="1:9" ht="13.5">
      <c r="A10940" s="128">
        <v>2020</v>
      </c>
      <c r="B10940" s="128" t="s">
        <v>131</v>
      </c>
      <c r="C10940" s="128" t="s">
        <v>27</v>
      </c>
      <c r="D10940" s="128" t="s">
        <v>79</v>
      </c>
      <c r="E10940" s="128" t="s">
        <v>134</v>
      </c>
      <c r="F10940" s="128">
        <v>78694.45</v>
      </c>
      <c r="G10940" s="128">
        <v>33912.94</v>
      </c>
      <c r="H10940" s="128">
        <v>17760.48</v>
      </c>
      <c r="I10940" s="128">
        <v>440</v>
      </c>
    </row>
    <row r="10941" spans="1:9" ht="13.5">
      <c r="A10941" s="128">
        <v>2020</v>
      </c>
      <c r="B10941" s="128" t="s">
        <v>131</v>
      </c>
      <c r="C10941" s="128" t="s">
        <v>27</v>
      </c>
      <c r="D10941" s="128" t="s">
        <v>79</v>
      </c>
      <c r="E10941" s="128" t="s">
        <v>135</v>
      </c>
      <c r="F10941" s="128">
        <v>1194066.5900000001</v>
      </c>
      <c r="G10941" s="128">
        <v>261963.55</v>
      </c>
      <c r="H10941" s="128">
        <v>89771.1</v>
      </c>
      <c r="I10941" s="128">
        <v>783</v>
      </c>
    </row>
    <row r="10942" spans="1:9" ht="13.5">
      <c r="A10942" s="128">
        <v>2020</v>
      </c>
      <c r="B10942" s="128" t="s">
        <v>131</v>
      </c>
      <c r="C10942" s="128" t="s">
        <v>27</v>
      </c>
      <c r="D10942" s="128" t="s">
        <v>77</v>
      </c>
      <c r="E10942" s="128" t="s">
        <v>132</v>
      </c>
      <c r="F10942" s="128">
        <v>30594.71</v>
      </c>
      <c r="G10942" s="128">
        <v>20442.71</v>
      </c>
      <c r="H10942" s="128">
        <v>8147.69</v>
      </c>
      <c r="I10942" s="128">
        <v>114</v>
      </c>
    </row>
    <row r="10943" spans="1:9" ht="13.5">
      <c r="A10943" s="128">
        <v>2020</v>
      </c>
      <c r="B10943" s="128" t="s">
        <v>131</v>
      </c>
      <c r="C10943" s="128" t="s">
        <v>27</v>
      </c>
      <c r="D10943" s="128" t="s">
        <v>77</v>
      </c>
      <c r="E10943" s="128" t="s">
        <v>133</v>
      </c>
      <c r="F10943" s="128">
        <v>88451.15</v>
      </c>
      <c r="G10943" s="128">
        <v>48123.38</v>
      </c>
      <c r="H10943" s="128">
        <v>36893.72</v>
      </c>
      <c r="I10943" s="128">
        <v>229</v>
      </c>
    </row>
    <row r="10944" spans="1:9" ht="13.5">
      <c r="A10944" s="128">
        <v>2020</v>
      </c>
      <c r="B10944" s="128" t="s">
        <v>131</v>
      </c>
      <c r="C10944" s="128" t="s">
        <v>27</v>
      </c>
      <c r="D10944" s="128" t="s">
        <v>77</v>
      </c>
      <c r="E10944" s="128" t="s">
        <v>134</v>
      </c>
      <c r="F10944" s="128">
        <v>225702.55</v>
      </c>
      <c r="G10944" s="128">
        <v>97343.2</v>
      </c>
      <c r="H10944" s="128">
        <v>101918.43</v>
      </c>
      <c r="I10944" s="128">
        <v>366</v>
      </c>
    </row>
    <row r="10945" spans="1:9" ht="13.5">
      <c r="A10945" s="128">
        <v>2020</v>
      </c>
      <c r="B10945" s="128" t="s">
        <v>131</v>
      </c>
      <c r="C10945" s="128" t="s">
        <v>27</v>
      </c>
      <c r="D10945" s="128" t="s">
        <v>77</v>
      </c>
      <c r="E10945" s="128" t="s">
        <v>135</v>
      </c>
      <c r="F10945" s="128">
        <v>516899.6</v>
      </c>
      <c r="G10945" s="128">
        <v>138614.67000000001</v>
      </c>
      <c r="H10945" s="128">
        <v>145623.82999999999</v>
      </c>
      <c r="I10945" s="128">
        <v>1560</v>
      </c>
    </row>
    <row r="10946" spans="1:9" ht="13.5">
      <c r="A10946" s="128">
        <v>2020</v>
      </c>
      <c r="B10946" s="128" t="s">
        <v>131</v>
      </c>
      <c r="C10946" s="128" t="s">
        <v>27</v>
      </c>
      <c r="D10946" s="128" t="s">
        <v>76</v>
      </c>
      <c r="E10946" s="128" t="s">
        <v>136</v>
      </c>
      <c r="F10946" s="128">
        <v>553521.94999999995</v>
      </c>
      <c r="G10946" s="128">
        <v>415435.4</v>
      </c>
      <c r="H10946" s="128">
        <v>138086.54999999999</v>
      </c>
      <c r="I10946" s="128">
        <v>6496</v>
      </c>
    </row>
    <row r="10947" spans="1:9" ht="13.5">
      <c r="A10947" s="128">
        <v>2020</v>
      </c>
      <c r="B10947" s="128" t="s">
        <v>131</v>
      </c>
      <c r="C10947" s="128" t="s">
        <v>27</v>
      </c>
      <c r="D10947" s="128" t="s">
        <v>76</v>
      </c>
      <c r="E10947" s="128" t="s">
        <v>132</v>
      </c>
      <c r="F10947" s="128">
        <v>503907.1</v>
      </c>
      <c r="G10947" s="128">
        <v>319923.25</v>
      </c>
      <c r="H10947" s="128">
        <v>183983.15</v>
      </c>
      <c r="I10947" s="128">
        <v>3307</v>
      </c>
    </row>
    <row r="10948" spans="1:9" ht="13.5">
      <c r="A10948" s="128">
        <v>2020</v>
      </c>
      <c r="B10948" s="128" t="s">
        <v>131</v>
      </c>
      <c r="C10948" s="128" t="s">
        <v>27</v>
      </c>
      <c r="D10948" s="128" t="s">
        <v>76</v>
      </c>
      <c r="E10948" s="128" t="s">
        <v>133</v>
      </c>
      <c r="F10948" s="128">
        <v>1407746.14</v>
      </c>
      <c r="G10948" s="128">
        <v>765944.65</v>
      </c>
      <c r="H10948" s="128">
        <v>641796.82999999996</v>
      </c>
      <c r="I10948" s="128">
        <v>6373</v>
      </c>
    </row>
    <row r="10949" spans="1:9" ht="13.5">
      <c r="A10949" s="128">
        <v>2020</v>
      </c>
      <c r="B10949" s="128" t="s">
        <v>131</v>
      </c>
      <c r="C10949" s="128" t="s">
        <v>27</v>
      </c>
      <c r="D10949" s="128" t="s">
        <v>76</v>
      </c>
      <c r="E10949" s="128" t="s">
        <v>134</v>
      </c>
      <c r="F10949" s="128">
        <v>2163084.1800000002</v>
      </c>
      <c r="G10949" s="128">
        <v>992770.43</v>
      </c>
      <c r="H10949" s="128">
        <v>1170299.6499999999</v>
      </c>
      <c r="I10949" s="128">
        <v>10943</v>
      </c>
    </row>
    <row r="10950" spans="1:9" ht="13.5">
      <c r="A10950" s="128">
        <v>2020</v>
      </c>
      <c r="B10950" s="128" t="s">
        <v>131</v>
      </c>
      <c r="C10950" s="128" t="s">
        <v>27</v>
      </c>
      <c r="D10950" s="128" t="s">
        <v>76</v>
      </c>
      <c r="E10950" s="128" t="s">
        <v>135</v>
      </c>
      <c r="F10950" s="128">
        <v>48301.42</v>
      </c>
      <c r="G10950" s="128">
        <v>16188.72</v>
      </c>
      <c r="H10950" s="128">
        <v>32112.7</v>
      </c>
      <c r="I10950" s="128">
        <v>60</v>
      </c>
    </row>
    <row r="10951" spans="1:9" ht="13.5">
      <c r="A10951" s="128">
        <v>2020</v>
      </c>
      <c r="B10951" s="128" t="s">
        <v>138</v>
      </c>
      <c r="C10951" s="128" t="s">
        <v>20</v>
      </c>
      <c r="D10951" s="128" t="s">
        <v>79</v>
      </c>
      <c r="E10951" s="128" t="s">
        <v>136</v>
      </c>
      <c r="F10951" s="128">
        <v>26492810.5</v>
      </c>
      <c r="G10951" s="128">
        <v>19869022.859999999</v>
      </c>
      <c r="H10951" s="128">
        <v>6619383.54</v>
      </c>
      <c r="I10951" s="128">
        <v>241116</v>
      </c>
    </row>
    <row r="10952" spans="1:9" ht="13.5">
      <c r="A10952" s="128">
        <v>2020</v>
      </c>
      <c r="B10952" s="128" t="s">
        <v>138</v>
      </c>
      <c r="C10952" s="128" t="s">
        <v>20</v>
      </c>
      <c r="D10952" s="128" t="s">
        <v>79</v>
      </c>
      <c r="E10952" s="128" t="s">
        <v>132</v>
      </c>
      <c r="F10952" s="128">
        <v>2188772.9700000002</v>
      </c>
      <c r="G10952" s="128">
        <v>1481902.78</v>
      </c>
      <c r="H10952" s="128">
        <v>525539.11</v>
      </c>
      <c r="I10952" s="128">
        <v>7931</v>
      </c>
    </row>
    <row r="10953" spans="1:9" ht="13.5">
      <c r="A10953" s="128">
        <v>2020</v>
      </c>
      <c r="B10953" s="128" t="s">
        <v>138</v>
      </c>
      <c r="C10953" s="128" t="s">
        <v>20</v>
      </c>
      <c r="D10953" s="128" t="s">
        <v>79</v>
      </c>
      <c r="E10953" s="128" t="s">
        <v>133</v>
      </c>
      <c r="F10953" s="128">
        <v>1408124.06</v>
      </c>
      <c r="G10953" s="128">
        <v>765974.83</v>
      </c>
      <c r="H10953" s="128">
        <v>275757.21999999997</v>
      </c>
      <c r="I10953" s="128">
        <v>3960</v>
      </c>
    </row>
    <row r="10954" spans="1:9" ht="13.5">
      <c r="A10954" s="128">
        <v>2020</v>
      </c>
      <c r="B10954" s="128" t="s">
        <v>138</v>
      </c>
      <c r="C10954" s="128" t="s">
        <v>20</v>
      </c>
      <c r="D10954" s="128" t="s">
        <v>79</v>
      </c>
      <c r="E10954" s="128" t="s">
        <v>134</v>
      </c>
      <c r="F10954" s="128">
        <v>4116339.46</v>
      </c>
      <c r="G10954" s="128">
        <v>1769585.4</v>
      </c>
      <c r="H10954" s="128">
        <v>603910.13</v>
      </c>
      <c r="I10954" s="128">
        <v>14119</v>
      </c>
    </row>
    <row r="10955" spans="1:9" ht="13.5">
      <c r="A10955" s="128">
        <v>2020</v>
      </c>
      <c r="B10955" s="128" t="s">
        <v>138</v>
      </c>
      <c r="C10955" s="128" t="s">
        <v>20</v>
      </c>
      <c r="D10955" s="128" t="s">
        <v>79</v>
      </c>
      <c r="E10955" s="128" t="s">
        <v>135</v>
      </c>
      <c r="F10955" s="128">
        <v>51891805.719999999</v>
      </c>
      <c r="G10955" s="128">
        <v>11334703.550000001</v>
      </c>
      <c r="H10955" s="128">
        <v>3798904.98</v>
      </c>
      <c r="I10955" s="128">
        <v>45792</v>
      </c>
    </row>
    <row r="10956" spans="1:9" ht="13.5">
      <c r="A10956" s="128">
        <v>2020</v>
      </c>
      <c r="B10956" s="128" t="s">
        <v>138</v>
      </c>
      <c r="C10956" s="128" t="s">
        <v>20</v>
      </c>
      <c r="D10956" s="128" t="s">
        <v>77</v>
      </c>
      <c r="E10956" s="128" t="s">
        <v>132</v>
      </c>
      <c r="F10956" s="128">
        <v>2481875.13</v>
      </c>
      <c r="G10956" s="128">
        <v>1629075.33</v>
      </c>
      <c r="H10956" s="128">
        <v>752414.65</v>
      </c>
      <c r="I10956" s="128">
        <v>10573</v>
      </c>
    </row>
    <row r="10957" spans="1:9" ht="13.5">
      <c r="A10957" s="128">
        <v>2020</v>
      </c>
      <c r="B10957" s="128" t="s">
        <v>138</v>
      </c>
      <c r="C10957" s="128" t="s">
        <v>20</v>
      </c>
      <c r="D10957" s="128" t="s">
        <v>77</v>
      </c>
      <c r="E10957" s="128" t="s">
        <v>133</v>
      </c>
      <c r="F10957" s="128">
        <v>4439382.9000000004</v>
      </c>
      <c r="G10957" s="128">
        <v>2392817.2200000002</v>
      </c>
      <c r="H10957" s="128">
        <v>1827313.19</v>
      </c>
      <c r="I10957" s="128">
        <v>22400</v>
      </c>
    </row>
    <row r="10958" spans="1:9" ht="13.5">
      <c r="A10958" s="128">
        <v>2020</v>
      </c>
      <c r="B10958" s="128" t="s">
        <v>138</v>
      </c>
      <c r="C10958" s="128" t="s">
        <v>20</v>
      </c>
      <c r="D10958" s="128" t="s">
        <v>77</v>
      </c>
      <c r="E10958" s="128" t="s">
        <v>134</v>
      </c>
      <c r="F10958" s="128">
        <v>12535026.92</v>
      </c>
      <c r="G10958" s="128">
        <v>5397043.4299999997</v>
      </c>
      <c r="H10958" s="128">
        <v>5433097.3799999999</v>
      </c>
      <c r="I10958" s="128">
        <v>23319</v>
      </c>
    </row>
    <row r="10959" spans="1:9" ht="13.5">
      <c r="A10959" s="128">
        <v>2020</v>
      </c>
      <c r="B10959" s="128" t="s">
        <v>138</v>
      </c>
      <c r="C10959" s="128" t="s">
        <v>20</v>
      </c>
      <c r="D10959" s="128" t="s">
        <v>77</v>
      </c>
      <c r="E10959" s="128" t="s">
        <v>135</v>
      </c>
      <c r="F10959" s="128">
        <v>29592711.140000001</v>
      </c>
      <c r="G10959" s="128">
        <v>7843826.1699999999</v>
      </c>
      <c r="H10959" s="128">
        <v>9018953.4000000004</v>
      </c>
      <c r="I10959" s="128">
        <v>96009</v>
      </c>
    </row>
    <row r="10960" spans="1:9" ht="13.5">
      <c r="A10960" s="128">
        <v>2020</v>
      </c>
      <c r="B10960" s="128" t="s">
        <v>138</v>
      </c>
      <c r="C10960" s="128" t="s">
        <v>20</v>
      </c>
      <c r="D10960" s="128" t="s">
        <v>76</v>
      </c>
      <c r="E10960" s="128" t="s">
        <v>136</v>
      </c>
      <c r="F10960" s="128">
        <v>28044043.52</v>
      </c>
      <c r="G10960" s="128">
        <v>21067144.489999998</v>
      </c>
      <c r="H10960" s="128">
        <v>6976791.2599999998</v>
      </c>
      <c r="I10960" s="128">
        <v>832407</v>
      </c>
    </row>
    <row r="10961" spans="1:9" ht="13.5">
      <c r="A10961" s="128">
        <v>2020</v>
      </c>
      <c r="B10961" s="128" t="s">
        <v>138</v>
      </c>
      <c r="C10961" s="128" t="s">
        <v>20</v>
      </c>
      <c r="D10961" s="128" t="s">
        <v>76</v>
      </c>
      <c r="E10961" s="128" t="s">
        <v>132</v>
      </c>
      <c r="F10961" s="128">
        <v>45827868.909999996</v>
      </c>
      <c r="G10961" s="128">
        <v>29097907.420000002</v>
      </c>
      <c r="H10961" s="128">
        <v>16729894.279999999</v>
      </c>
      <c r="I10961" s="128">
        <v>396313</v>
      </c>
    </row>
    <row r="10962" spans="1:9" ht="13.5">
      <c r="A10962" s="128">
        <v>2020</v>
      </c>
      <c r="B10962" s="128" t="s">
        <v>138</v>
      </c>
      <c r="C10962" s="128" t="s">
        <v>20</v>
      </c>
      <c r="D10962" s="128" t="s">
        <v>76</v>
      </c>
      <c r="E10962" s="128" t="s">
        <v>133</v>
      </c>
      <c r="F10962" s="128">
        <v>81112889.890000001</v>
      </c>
      <c r="G10962" s="128">
        <v>44269682.020000003</v>
      </c>
      <c r="H10962" s="128">
        <v>36843136.07</v>
      </c>
      <c r="I10962" s="128">
        <v>498532</v>
      </c>
    </row>
    <row r="10963" spans="1:9" ht="13.5">
      <c r="A10963" s="128">
        <v>2020</v>
      </c>
      <c r="B10963" s="128" t="s">
        <v>138</v>
      </c>
      <c r="C10963" s="128" t="s">
        <v>20</v>
      </c>
      <c r="D10963" s="128" t="s">
        <v>76</v>
      </c>
      <c r="E10963" s="128" t="s">
        <v>134</v>
      </c>
      <c r="F10963" s="128">
        <v>83844135.310000002</v>
      </c>
      <c r="G10963" s="128">
        <v>38284982.439999998</v>
      </c>
      <c r="H10963" s="128">
        <v>45559052.899999999</v>
      </c>
      <c r="I10963" s="128">
        <v>454345</v>
      </c>
    </row>
    <row r="10964" spans="1:9" ht="13.5">
      <c r="A10964" s="128">
        <v>2020</v>
      </c>
      <c r="B10964" s="128" t="s">
        <v>138</v>
      </c>
      <c r="C10964" s="128" t="s">
        <v>20</v>
      </c>
      <c r="D10964" s="128" t="s">
        <v>76</v>
      </c>
      <c r="E10964" s="128" t="s">
        <v>135</v>
      </c>
      <c r="F10964" s="128">
        <v>5404266.1200000001</v>
      </c>
      <c r="G10964" s="128">
        <v>1450453.29</v>
      </c>
      <c r="H10964" s="128">
        <v>3953812.3</v>
      </c>
      <c r="I10964" s="128">
        <v>4569</v>
      </c>
    </row>
    <row r="10965" spans="1:9" ht="13.5">
      <c r="A10965" s="128">
        <v>2020</v>
      </c>
      <c r="B10965" s="128" t="s">
        <v>138</v>
      </c>
      <c r="C10965" s="128" t="s">
        <v>21</v>
      </c>
      <c r="D10965" s="128" t="s">
        <v>79</v>
      </c>
      <c r="E10965" s="128" t="s">
        <v>136</v>
      </c>
      <c r="F10965" s="128">
        <v>6534378.4100000001</v>
      </c>
      <c r="G10965" s="128">
        <v>4909948.34</v>
      </c>
      <c r="H10965" s="128">
        <v>1616847.42</v>
      </c>
      <c r="I10965" s="128">
        <v>116412</v>
      </c>
    </row>
    <row r="10966" spans="1:9" ht="13.5">
      <c r="A10966" s="128">
        <v>2020</v>
      </c>
      <c r="B10966" s="128" t="s">
        <v>138</v>
      </c>
      <c r="C10966" s="128" t="s">
        <v>21</v>
      </c>
      <c r="D10966" s="128" t="s">
        <v>79</v>
      </c>
      <c r="E10966" s="128" t="s">
        <v>132</v>
      </c>
      <c r="F10966" s="128">
        <v>1275608.6200000001</v>
      </c>
      <c r="G10966" s="128">
        <v>852509.53</v>
      </c>
      <c r="H10966" s="128">
        <v>290163.71000000002</v>
      </c>
      <c r="I10966" s="128">
        <v>3793</v>
      </c>
    </row>
    <row r="10967" spans="1:9" ht="13.5">
      <c r="A10967" s="128">
        <v>2020</v>
      </c>
      <c r="B10967" s="128" t="s">
        <v>138</v>
      </c>
      <c r="C10967" s="128" t="s">
        <v>21</v>
      </c>
      <c r="D10967" s="128" t="s">
        <v>79</v>
      </c>
      <c r="E10967" s="128" t="s">
        <v>133</v>
      </c>
      <c r="F10967" s="128">
        <v>1263603.08</v>
      </c>
      <c r="G10967" s="128">
        <v>682040.22</v>
      </c>
      <c r="H10967" s="128">
        <v>233172.08</v>
      </c>
      <c r="I10967" s="128">
        <v>5320</v>
      </c>
    </row>
    <row r="10968" spans="1:9" ht="13.5">
      <c r="A10968" s="128">
        <v>2020</v>
      </c>
      <c r="B10968" s="128" t="s">
        <v>138</v>
      </c>
      <c r="C10968" s="128" t="s">
        <v>21</v>
      </c>
      <c r="D10968" s="128" t="s">
        <v>79</v>
      </c>
      <c r="E10968" s="128" t="s">
        <v>134</v>
      </c>
      <c r="F10968" s="128">
        <v>2489143.35</v>
      </c>
      <c r="G10968" s="128">
        <v>1086413.6000000001</v>
      </c>
      <c r="H10968" s="128">
        <v>375881.47</v>
      </c>
      <c r="I10968" s="128">
        <v>10583</v>
      </c>
    </row>
    <row r="10969" spans="1:9" ht="13.5">
      <c r="A10969" s="128">
        <v>2020</v>
      </c>
      <c r="B10969" s="128" t="s">
        <v>138</v>
      </c>
      <c r="C10969" s="128" t="s">
        <v>21</v>
      </c>
      <c r="D10969" s="128" t="s">
        <v>79</v>
      </c>
      <c r="E10969" s="128" t="s">
        <v>135</v>
      </c>
      <c r="F10969" s="128">
        <v>15759015.390000001</v>
      </c>
      <c r="G10969" s="128">
        <v>3626148.3</v>
      </c>
      <c r="H10969" s="128">
        <v>1240236.8999999999</v>
      </c>
      <c r="I10969" s="128">
        <v>14055</v>
      </c>
    </row>
    <row r="10970" spans="1:9" ht="13.5">
      <c r="A10970" s="128">
        <v>2020</v>
      </c>
      <c r="B10970" s="128" t="s">
        <v>138</v>
      </c>
      <c r="C10970" s="128" t="s">
        <v>21</v>
      </c>
      <c r="D10970" s="128" t="s">
        <v>77</v>
      </c>
      <c r="E10970" s="128" t="s">
        <v>132</v>
      </c>
      <c r="F10970" s="128">
        <v>2389853.7799999998</v>
      </c>
      <c r="G10970" s="128">
        <v>1593816.16</v>
      </c>
      <c r="H10970" s="128">
        <v>676743.9</v>
      </c>
      <c r="I10970" s="128">
        <v>11189</v>
      </c>
    </row>
    <row r="10971" spans="1:9" ht="13.5">
      <c r="A10971" s="128">
        <v>2020</v>
      </c>
      <c r="B10971" s="128" t="s">
        <v>138</v>
      </c>
      <c r="C10971" s="128" t="s">
        <v>21</v>
      </c>
      <c r="D10971" s="128" t="s">
        <v>77</v>
      </c>
      <c r="E10971" s="128" t="s">
        <v>133</v>
      </c>
      <c r="F10971" s="128">
        <v>4921371.18</v>
      </c>
      <c r="G10971" s="128">
        <v>2673682.0299999998</v>
      </c>
      <c r="H10971" s="128">
        <v>1887762.62</v>
      </c>
      <c r="I10971" s="128">
        <v>20400</v>
      </c>
    </row>
    <row r="10972" spans="1:9" ht="13.5">
      <c r="A10972" s="128">
        <v>2020</v>
      </c>
      <c r="B10972" s="128" t="s">
        <v>138</v>
      </c>
      <c r="C10972" s="128" t="s">
        <v>21</v>
      </c>
      <c r="D10972" s="128" t="s">
        <v>77</v>
      </c>
      <c r="E10972" s="128" t="s">
        <v>134</v>
      </c>
      <c r="F10972" s="128">
        <v>11843785.77</v>
      </c>
      <c r="G10972" s="128">
        <v>5115016.83</v>
      </c>
      <c r="H10972" s="128">
        <v>4860087.72</v>
      </c>
      <c r="I10972" s="128">
        <v>25288</v>
      </c>
    </row>
    <row r="10973" spans="1:9" ht="13.5">
      <c r="A10973" s="128">
        <v>2020</v>
      </c>
      <c r="B10973" s="128" t="s">
        <v>138</v>
      </c>
      <c r="C10973" s="128" t="s">
        <v>21</v>
      </c>
      <c r="D10973" s="128" t="s">
        <v>77</v>
      </c>
      <c r="E10973" s="128" t="s">
        <v>135</v>
      </c>
      <c r="F10973" s="128">
        <v>26751503.140000001</v>
      </c>
      <c r="G10973" s="128">
        <v>7251885.5</v>
      </c>
      <c r="H10973" s="128">
        <v>8372863.6600000001</v>
      </c>
      <c r="I10973" s="128">
        <v>99817</v>
      </c>
    </row>
    <row r="10974" spans="1:9" ht="13.5">
      <c r="A10974" s="128">
        <v>2020</v>
      </c>
      <c r="B10974" s="128" t="s">
        <v>138</v>
      </c>
      <c r="C10974" s="128" t="s">
        <v>21</v>
      </c>
      <c r="D10974" s="128" t="s">
        <v>76</v>
      </c>
      <c r="E10974" s="128" t="s">
        <v>136</v>
      </c>
      <c r="F10974" s="128">
        <v>19672876.920000002</v>
      </c>
      <c r="G10974" s="128">
        <v>14786016.800000001</v>
      </c>
      <c r="H10974" s="128">
        <v>4886901.8499999996</v>
      </c>
      <c r="I10974" s="128">
        <v>313431</v>
      </c>
    </row>
    <row r="10975" spans="1:9" ht="13.5">
      <c r="A10975" s="128">
        <v>2020</v>
      </c>
      <c r="B10975" s="128" t="s">
        <v>138</v>
      </c>
      <c r="C10975" s="128" t="s">
        <v>21</v>
      </c>
      <c r="D10975" s="128" t="s">
        <v>76</v>
      </c>
      <c r="E10975" s="128" t="s">
        <v>132</v>
      </c>
      <c r="F10975" s="128">
        <v>37097993.369999997</v>
      </c>
      <c r="G10975" s="128">
        <v>23771858.059999999</v>
      </c>
      <c r="H10975" s="128">
        <v>13326022.029999999</v>
      </c>
      <c r="I10975" s="128">
        <v>318211</v>
      </c>
    </row>
    <row r="10976" spans="1:9" ht="13.5">
      <c r="A10976" s="128">
        <v>2020</v>
      </c>
      <c r="B10976" s="128" t="s">
        <v>138</v>
      </c>
      <c r="C10976" s="128" t="s">
        <v>21</v>
      </c>
      <c r="D10976" s="128" t="s">
        <v>76</v>
      </c>
      <c r="E10976" s="128" t="s">
        <v>133</v>
      </c>
      <c r="F10976" s="128">
        <v>93074267.659999996</v>
      </c>
      <c r="G10976" s="128">
        <v>51154717.869999997</v>
      </c>
      <c r="H10976" s="128">
        <v>41919756.509999998</v>
      </c>
      <c r="I10976" s="128">
        <v>658240</v>
      </c>
    </row>
    <row r="10977" spans="1:9" ht="13.5">
      <c r="A10977" s="128">
        <v>2020</v>
      </c>
      <c r="B10977" s="128" t="s">
        <v>138</v>
      </c>
      <c r="C10977" s="128" t="s">
        <v>21</v>
      </c>
      <c r="D10977" s="128" t="s">
        <v>76</v>
      </c>
      <c r="E10977" s="128" t="s">
        <v>134</v>
      </c>
      <c r="F10977" s="128">
        <v>70189078.140000001</v>
      </c>
      <c r="G10977" s="128">
        <v>31514108.870000001</v>
      </c>
      <c r="H10977" s="128">
        <v>38674877.799999997</v>
      </c>
      <c r="I10977" s="128">
        <v>377011</v>
      </c>
    </row>
    <row r="10978" spans="1:9" ht="13.5">
      <c r="A10978" s="128">
        <v>2020</v>
      </c>
      <c r="B10978" s="128" t="s">
        <v>138</v>
      </c>
      <c r="C10978" s="128" t="s">
        <v>21</v>
      </c>
      <c r="D10978" s="128" t="s">
        <v>76</v>
      </c>
      <c r="E10978" s="128" t="s">
        <v>135</v>
      </c>
      <c r="F10978" s="128">
        <v>2821444.92</v>
      </c>
      <c r="G10978" s="128">
        <v>763387.55</v>
      </c>
      <c r="H10978" s="128">
        <v>2058057.12</v>
      </c>
      <c r="I10978" s="128">
        <v>2086</v>
      </c>
    </row>
    <row r="10979" spans="1:9" ht="13.5">
      <c r="A10979" s="128">
        <v>2020</v>
      </c>
      <c r="B10979" s="128" t="s">
        <v>138</v>
      </c>
      <c r="C10979" s="128" t="s">
        <v>22</v>
      </c>
      <c r="D10979" s="128" t="s">
        <v>79</v>
      </c>
      <c r="E10979" s="128" t="s">
        <v>136</v>
      </c>
      <c r="F10979" s="128">
        <v>4428289.5599999996</v>
      </c>
      <c r="G10979" s="128">
        <v>3324816.29</v>
      </c>
      <c r="H10979" s="128">
        <v>1097730.97</v>
      </c>
      <c r="I10979" s="128">
        <v>57134</v>
      </c>
    </row>
    <row r="10980" spans="1:9" ht="13.5">
      <c r="A10980" s="128">
        <v>2020</v>
      </c>
      <c r="B10980" s="128" t="s">
        <v>138</v>
      </c>
      <c r="C10980" s="128" t="s">
        <v>22</v>
      </c>
      <c r="D10980" s="128" t="s">
        <v>79</v>
      </c>
      <c r="E10980" s="128" t="s">
        <v>132</v>
      </c>
      <c r="F10980" s="128">
        <v>1145008.46</v>
      </c>
      <c r="G10980" s="128">
        <v>768453.65</v>
      </c>
      <c r="H10980" s="128">
        <v>261229.96</v>
      </c>
      <c r="I10980" s="128">
        <v>2802</v>
      </c>
    </row>
    <row r="10981" spans="1:9" ht="13.5">
      <c r="A10981" s="128">
        <v>2020</v>
      </c>
      <c r="B10981" s="128" t="s">
        <v>138</v>
      </c>
      <c r="C10981" s="128" t="s">
        <v>22</v>
      </c>
      <c r="D10981" s="128" t="s">
        <v>79</v>
      </c>
      <c r="E10981" s="128" t="s">
        <v>133</v>
      </c>
      <c r="F10981" s="128">
        <v>715378.21</v>
      </c>
      <c r="G10981" s="128">
        <v>388266.61</v>
      </c>
      <c r="H10981" s="128">
        <v>132251.45000000001</v>
      </c>
      <c r="I10981" s="128">
        <v>1880</v>
      </c>
    </row>
    <row r="10982" spans="1:9" ht="13.5">
      <c r="A10982" s="128">
        <v>2020</v>
      </c>
      <c r="B10982" s="128" t="s">
        <v>138</v>
      </c>
      <c r="C10982" s="128" t="s">
        <v>22</v>
      </c>
      <c r="D10982" s="128" t="s">
        <v>79</v>
      </c>
      <c r="E10982" s="128" t="s">
        <v>134</v>
      </c>
      <c r="F10982" s="128">
        <v>3244926.28</v>
      </c>
      <c r="G10982" s="128">
        <v>1399700.59</v>
      </c>
      <c r="H10982" s="128">
        <v>466595.58</v>
      </c>
      <c r="I10982" s="128">
        <v>19488</v>
      </c>
    </row>
    <row r="10983" spans="1:9" ht="13.5">
      <c r="A10983" s="128">
        <v>2020</v>
      </c>
      <c r="B10983" s="128" t="s">
        <v>138</v>
      </c>
      <c r="C10983" s="128" t="s">
        <v>22</v>
      </c>
      <c r="D10983" s="128" t="s">
        <v>79</v>
      </c>
      <c r="E10983" s="128" t="s">
        <v>135</v>
      </c>
      <c r="F10983" s="128">
        <v>25672161.109999999</v>
      </c>
      <c r="G10983" s="128">
        <v>5831971.3899999997</v>
      </c>
      <c r="H10983" s="128">
        <v>1961767.87</v>
      </c>
      <c r="I10983" s="128">
        <v>23191</v>
      </c>
    </row>
    <row r="10984" spans="1:9" ht="13.5">
      <c r="A10984" s="128">
        <v>2020</v>
      </c>
      <c r="B10984" s="128" t="s">
        <v>138</v>
      </c>
      <c r="C10984" s="128" t="s">
        <v>22</v>
      </c>
      <c r="D10984" s="128" t="s">
        <v>77</v>
      </c>
      <c r="E10984" s="128" t="s">
        <v>132</v>
      </c>
      <c r="F10984" s="128">
        <v>1434113.82</v>
      </c>
      <c r="G10984" s="128">
        <v>954608.65</v>
      </c>
      <c r="H10984" s="128">
        <v>422240.25</v>
      </c>
      <c r="I10984" s="128">
        <v>6467</v>
      </c>
    </row>
    <row r="10985" spans="1:9" ht="13.5">
      <c r="A10985" s="128">
        <v>2020</v>
      </c>
      <c r="B10985" s="128" t="s">
        <v>138</v>
      </c>
      <c r="C10985" s="128" t="s">
        <v>22</v>
      </c>
      <c r="D10985" s="128" t="s">
        <v>77</v>
      </c>
      <c r="E10985" s="128" t="s">
        <v>133</v>
      </c>
      <c r="F10985" s="128">
        <v>2994747.06</v>
      </c>
      <c r="G10985" s="128">
        <v>1613648.35</v>
      </c>
      <c r="H10985" s="128">
        <v>1128837.6399999999</v>
      </c>
      <c r="I10985" s="128">
        <v>15290</v>
      </c>
    </row>
    <row r="10986" spans="1:9" ht="13.5">
      <c r="A10986" s="128">
        <v>2020</v>
      </c>
      <c r="B10986" s="128" t="s">
        <v>138</v>
      </c>
      <c r="C10986" s="128" t="s">
        <v>22</v>
      </c>
      <c r="D10986" s="128" t="s">
        <v>77</v>
      </c>
      <c r="E10986" s="128" t="s">
        <v>134</v>
      </c>
      <c r="F10986" s="128">
        <v>13690086.289999999</v>
      </c>
      <c r="G10986" s="128">
        <v>5789572.6699999999</v>
      </c>
      <c r="H10986" s="128">
        <v>5811664.25</v>
      </c>
      <c r="I10986" s="128">
        <v>18473</v>
      </c>
    </row>
    <row r="10987" spans="1:9" ht="13.5">
      <c r="A10987" s="128">
        <v>2020</v>
      </c>
      <c r="B10987" s="128" t="s">
        <v>138</v>
      </c>
      <c r="C10987" s="128" t="s">
        <v>22</v>
      </c>
      <c r="D10987" s="128" t="s">
        <v>77</v>
      </c>
      <c r="E10987" s="128" t="s">
        <v>135</v>
      </c>
      <c r="F10987" s="128">
        <v>25406399.449999999</v>
      </c>
      <c r="G10987" s="128">
        <v>6711367.7999999998</v>
      </c>
      <c r="H10987" s="128">
        <v>7571854.3600000003</v>
      </c>
      <c r="I10987" s="128">
        <v>62369</v>
      </c>
    </row>
    <row r="10988" spans="1:9" ht="13.5">
      <c r="A10988" s="128">
        <v>2020</v>
      </c>
      <c r="B10988" s="128" t="s">
        <v>138</v>
      </c>
      <c r="C10988" s="128" t="s">
        <v>22</v>
      </c>
      <c r="D10988" s="128" t="s">
        <v>76</v>
      </c>
      <c r="E10988" s="128" t="s">
        <v>136</v>
      </c>
      <c r="F10988" s="128">
        <v>17902492.640000001</v>
      </c>
      <c r="G10988" s="128">
        <v>13435484.960000001</v>
      </c>
      <c r="H10988" s="128">
        <v>4467004.96</v>
      </c>
      <c r="I10988" s="128">
        <v>275035</v>
      </c>
    </row>
    <row r="10989" spans="1:9" ht="13.5">
      <c r="A10989" s="128">
        <v>2020</v>
      </c>
      <c r="B10989" s="128" t="s">
        <v>138</v>
      </c>
      <c r="C10989" s="128" t="s">
        <v>22</v>
      </c>
      <c r="D10989" s="128" t="s">
        <v>76</v>
      </c>
      <c r="E10989" s="128" t="s">
        <v>132</v>
      </c>
      <c r="F10989" s="128">
        <v>41057086.490000002</v>
      </c>
      <c r="G10989" s="128">
        <v>26233886.27</v>
      </c>
      <c r="H10989" s="128">
        <v>14822956.960000001</v>
      </c>
      <c r="I10989" s="128">
        <v>393764</v>
      </c>
    </row>
    <row r="10990" spans="1:9" ht="13.5">
      <c r="A10990" s="128">
        <v>2020</v>
      </c>
      <c r="B10990" s="128" t="s">
        <v>138</v>
      </c>
      <c r="C10990" s="128" t="s">
        <v>22</v>
      </c>
      <c r="D10990" s="128" t="s">
        <v>76</v>
      </c>
      <c r="E10990" s="128" t="s">
        <v>133</v>
      </c>
      <c r="F10990" s="128">
        <v>65297472.789999999</v>
      </c>
      <c r="G10990" s="128">
        <v>36023538.189999998</v>
      </c>
      <c r="H10990" s="128">
        <v>29273796.16</v>
      </c>
      <c r="I10990" s="128">
        <v>549131</v>
      </c>
    </row>
    <row r="10991" spans="1:9" ht="13.5">
      <c r="A10991" s="128">
        <v>2020</v>
      </c>
      <c r="B10991" s="128" t="s">
        <v>138</v>
      </c>
      <c r="C10991" s="128" t="s">
        <v>22</v>
      </c>
      <c r="D10991" s="128" t="s">
        <v>76</v>
      </c>
      <c r="E10991" s="128" t="s">
        <v>134</v>
      </c>
      <c r="F10991" s="128">
        <v>57773034.890000001</v>
      </c>
      <c r="G10991" s="128">
        <v>26276391.850000001</v>
      </c>
      <c r="H10991" s="128">
        <v>31495983.460000001</v>
      </c>
      <c r="I10991" s="128">
        <v>375855</v>
      </c>
    </row>
    <row r="10992" spans="1:9" ht="13.5">
      <c r="A10992" s="128">
        <v>2020</v>
      </c>
      <c r="B10992" s="128" t="s">
        <v>138</v>
      </c>
      <c r="C10992" s="128" t="s">
        <v>22</v>
      </c>
      <c r="D10992" s="128" t="s">
        <v>76</v>
      </c>
      <c r="E10992" s="128" t="s">
        <v>135</v>
      </c>
      <c r="F10992" s="128">
        <v>4477892.58</v>
      </c>
      <c r="G10992" s="128">
        <v>1248836.9099999999</v>
      </c>
      <c r="H10992" s="128">
        <v>3229055.63</v>
      </c>
      <c r="I10992" s="128">
        <v>5294</v>
      </c>
    </row>
    <row r="10993" spans="1:9" ht="13.5">
      <c r="A10993" s="128">
        <v>2020</v>
      </c>
      <c r="B10993" s="128" t="s">
        <v>138</v>
      </c>
      <c r="C10993" s="128" t="s">
        <v>23</v>
      </c>
      <c r="D10993" s="128" t="s">
        <v>79</v>
      </c>
      <c r="E10993" s="128" t="s">
        <v>136</v>
      </c>
      <c r="F10993" s="128">
        <v>1361884.93</v>
      </c>
      <c r="G10993" s="128">
        <v>1025257.4</v>
      </c>
      <c r="H10993" s="128">
        <v>336562.58</v>
      </c>
      <c r="I10993" s="128">
        <v>10122</v>
      </c>
    </row>
    <row r="10994" spans="1:9" ht="13.5">
      <c r="A10994" s="128">
        <v>2020</v>
      </c>
      <c r="B10994" s="128" t="s">
        <v>138</v>
      </c>
      <c r="C10994" s="128" t="s">
        <v>23</v>
      </c>
      <c r="D10994" s="128" t="s">
        <v>79</v>
      </c>
      <c r="E10994" s="128" t="s">
        <v>132</v>
      </c>
      <c r="F10994" s="128">
        <v>258504.52</v>
      </c>
      <c r="G10994" s="128">
        <v>172372.32</v>
      </c>
      <c r="H10994" s="128">
        <v>55386.19</v>
      </c>
      <c r="I10994" s="128">
        <v>-143</v>
      </c>
    </row>
    <row r="10995" spans="1:9" ht="13.5">
      <c r="A10995" s="128">
        <v>2020</v>
      </c>
      <c r="B10995" s="128" t="s">
        <v>138</v>
      </c>
      <c r="C10995" s="128" t="s">
        <v>23</v>
      </c>
      <c r="D10995" s="128" t="s">
        <v>79</v>
      </c>
      <c r="E10995" s="128" t="s">
        <v>133</v>
      </c>
      <c r="F10995" s="128">
        <v>131917.82999999999</v>
      </c>
      <c r="G10995" s="128">
        <v>71842.86</v>
      </c>
      <c r="H10995" s="128">
        <v>25995.1</v>
      </c>
      <c r="I10995" s="128">
        <v>254</v>
      </c>
    </row>
    <row r="10996" spans="1:9" ht="13.5">
      <c r="A10996" s="128">
        <v>2020</v>
      </c>
      <c r="B10996" s="128" t="s">
        <v>138</v>
      </c>
      <c r="C10996" s="128" t="s">
        <v>23</v>
      </c>
      <c r="D10996" s="128" t="s">
        <v>79</v>
      </c>
      <c r="E10996" s="128" t="s">
        <v>134</v>
      </c>
      <c r="F10996" s="128">
        <v>187352.14</v>
      </c>
      <c r="G10996" s="128">
        <v>80895.5</v>
      </c>
      <c r="H10996" s="128">
        <v>27596.2</v>
      </c>
      <c r="I10996" s="128">
        <v>512</v>
      </c>
    </row>
    <row r="10997" spans="1:9" ht="13.5">
      <c r="A10997" s="128">
        <v>2020</v>
      </c>
      <c r="B10997" s="128" t="s">
        <v>138</v>
      </c>
      <c r="C10997" s="128" t="s">
        <v>23</v>
      </c>
      <c r="D10997" s="128" t="s">
        <v>79</v>
      </c>
      <c r="E10997" s="128" t="s">
        <v>135</v>
      </c>
      <c r="F10997" s="128">
        <v>1273510.06</v>
      </c>
      <c r="G10997" s="128">
        <v>274981.81</v>
      </c>
      <c r="H10997" s="128">
        <v>95327.8</v>
      </c>
      <c r="I10997" s="128">
        <v>1257</v>
      </c>
    </row>
    <row r="10998" spans="1:9" ht="13.5">
      <c r="A10998" s="128">
        <v>2020</v>
      </c>
      <c r="B10998" s="128" t="s">
        <v>138</v>
      </c>
      <c r="C10998" s="128" t="s">
        <v>23</v>
      </c>
      <c r="D10998" s="128" t="s">
        <v>77</v>
      </c>
      <c r="E10998" s="128" t="s">
        <v>132</v>
      </c>
      <c r="F10998" s="128">
        <v>378800</v>
      </c>
      <c r="G10998" s="128">
        <v>241110.28</v>
      </c>
      <c r="H10998" s="128">
        <v>109416.83</v>
      </c>
      <c r="I10998" s="128">
        <v>2070</v>
      </c>
    </row>
    <row r="10999" spans="1:9" ht="13.5">
      <c r="A10999" s="128">
        <v>2020</v>
      </c>
      <c r="B10999" s="128" t="s">
        <v>138</v>
      </c>
      <c r="C10999" s="128" t="s">
        <v>23</v>
      </c>
      <c r="D10999" s="128" t="s">
        <v>77</v>
      </c>
      <c r="E10999" s="128" t="s">
        <v>133</v>
      </c>
      <c r="F10999" s="128">
        <v>996947.61</v>
      </c>
      <c r="G10999" s="128">
        <v>536460.65</v>
      </c>
      <c r="H10999" s="128">
        <v>406866.38</v>
      </c>
      <c r="I10999" s="128">
        <v>4396</v>
      </c>
    </row>
    <row r="11000" spans="1:9" ht="13.5">
      <c r="A11000" s="128">
        <v>2020</v>
      </c>
      <c r="B11000" s="128" t="s">
        <v>138</v>
      </c>
      <c r="C11000" s="128" t="s">
        <v>23</v>
      </c>
      <c r="D11000" s="128" t="s">
        <v>77</v>
      </c>
      <c r="E11000" s="128" t="s">
        <v>134</v>
      </c>
      <c r="F11000" s="128">
        <v>6132261.7400000002</v>
      </c>
      <c r="G11000" s="128">
        <v>2573698.42</v>
      </c>
      <c r="H11000" s="128">
        <v>2720393.91</v>
      </c>
      <c r="I11000" s="128">
        <v>9174</v>
      </c>
    </row>
    <row r="11001" spans="1:9" ht="13.5">
      <c r="A11001" s="128">
        <v>2020</v>
      </c>
      <c r="B11001" s="128" t="s">
        <v>138</v>
      </c>
      <c r="C11001" s="128" t="s">
        <v>23</v>
      </c>
      <c r="D11001" s="128" t="s">
        <v>77</v>
      </c>
      <c r="E11001" s="128" t="s">
        <v>135</v>
      </c>
      <c r="F11001" s="128">
        <v>7181060.3899999997</v>
      </c>
      <c r="G11001" s="128">
        <v>2066935</v>
      </c>
      <c r="H11001" s="128">
        <v>2538315.7400000002</v>
      </c>
      <c r="I11001" s="128">
        <v>25139</v>
      </c>
    </row>
    <row r="11002" spans="1:9" ht="13.5">
      <c r="A11002" s="128">
        <v>2020</v>
      </c>
      <c r="B11002" s="128" t="s">
        <v>138</v>
      </c>
      <c r="C11002" s="128" t="s">
        <v>23</v>
      </c>
      <c r="D11002" s="128" t="s">
        <v>76</v>
      </c>
      <c r="E11002" s="128" t="s">
        <v>136</v>
      </c>
      <c r="F11002" s="128">
        <v>7242260.4500000002</v>
      </c>
      <c r="G11002" s="128">
        <v>5437535.3200000003</v>
      </c>
      <c r="H11002" s="128">
        <v>1804721.53</v>
      </c>
      <c r="I11002" s="128">
        <v>159297</v>
      </c>
    </row>
    <row r="11003" spans="1:9" ht="13.5">
      <c r="A11003" s="128">
        <v>2020</v>
      </c>
      <c r="B11003" s="128" t="s">
        <v>138</v>
      </c>
      <c r="C11003" s="128" t="s">
        <v>23</v>
      </c>
      <c r="D11003" s="128" t="s">
        <v>76</v>
      </c>
      <c r="E11003" s="128" t="s">
        <v>132</v>
      </c>
      <c r="F11003" s="128">
        <v>8199056.0099999998</v>
      </c>
      <c r="G11003" s="128">
        <v>5146455.45</v>
      </c>
      <c r="H11003" s="128">
        <v>3052574.86</v>
      </c>
      <c r="I11003" s="128">
        <v>73999</v>
      </c>
    </row>
    <row r="11004" spans="1:9" ht="13.5">
      <c r="A11004" s="128">
        <v>2020</v>
      </c>
      <c r="B11004" s="128" t="s">
        <v>138</v>
      </c>
      <c r="C11004" s="128" t="s">
        <v>23</v>
      </c>
      <c r="D11004" s="128" t="s">
        <v>76</v>
      </c>
      <c r="E11004" s="128" t="s">
        <v>133</v>
      </c>
      <c r="F11004" s="128">
        <v>25891816.93</v>
      </c>
      <c r="G11004" s="128">
        <v>14099662.17</v>
      </c>
      <c r="H11004" s="128">
        <v>11792140.630000001</v>
      </c>
      <c r="I11004" s="128">
        <v>206954</v>
      </c>
    </row>
    <row r="11005" spans="1:9" ht="13.5">
      <c r="A11005" s="128">
        <v>2020</v>
      </c>
      <c r="B11005" s="128" t="s">
        <v>138</v>
      </c>
      <c r="C11005" s="128" t="s">
        <v>23</v>
      </c>
      <c r="D11005" s="128" t="s">
        <v>76</v>
      </c>
      <c r="E11005" s="128" t="s">
        <v>134</v>
      </c>
      <c r="F11005" s="128">
        <v>31901661.57</v>
      </c>
      <c r="G11005" s="128">
        <v>14199198.16</v>
      </c>
      <c r="H11005" s="128">
        <v>17702451.460000001</v>
      </c>
      <c r="I11005" s="128">
        <v>122019</v>
      </c>
    </row>
    <row r="11006" spans="1:9" ht="13.5">
      <c r="A11006" s="128">
        <v>2020</v>
      </c>
      <c r="B11006" s="128" t="s">
        <v>138</v>
      </c>
      <c r="C11006" s="128" t="s">
        <v>23</v>
      </c>
      <c r="D11006" s="128" t="s">
        <v>76</v>
      </c>
      <c r="E11006" s="128" t="s">
        <v>135</v>
      </c>
      <c r="F11006" s="128">
        <v>1012598.18</v>
      </c>
      <c r="G11006" s="128">
        <v>256887.1</v>
      </c>
      <c r="H11006" s="128">
        <v>755711.08</v>
      </c>
      <c r="I11006" s="128">
        <v>724</v>
      </c>
    </row>
    <row r="11007" spans="1:9" ht="13.5">
      <c r="A11007" s="128">
        <v>2020</v>
      </c>
      <c r="B11007" s="128" t="s">
        <v>138</v>
      </c>
      <c r="C11007" s="128" t="s">
        <v>24</v>
      </c>
      <c r="D11007" s="128" t="s">
        <v>79</v>
      </c>
      <c r="E11007" s="128" t="s">
        <v>136</v>
      </c>
      <c r="F11007" s="128">
        <v>1669063.49</v>
      </c>
      <c r="G11007" s="128">
        <v>1260492.27</v>
      </c>
      <c r="H11007" s="128">
        <v>408285.24</v>
      </c>
      <c r="I11007" s="128">
        <v>31746</v>
      </c>
    </row>
    <row r="11008" spans="1:9" ht="13.5">
      <c r="A11008" s="128">
        <v>2020</v>
      </c>
      <c r="B11008" s="128" t="s">
        <v>138</v>
      </c>
      <c r="C11008" s="128" t="s">
        <v>24</v>
      </c>
      <c r="D11008" s="128" t="s">
        <v>79</v>
      </c>
      <c r="E11008" s="128" t="s">
        <v>132</v>
      </c>
      <c r="F11008" s="128">
        <v>222916.78</v>
      </c>
      <c r="G11008" s="128">
        <v>147808.35</v>
      </c>
      <c r="H11008" s="128">
        <v>47644.800000000003</v>
      </c>
      <c r="I11008" s="128">
        <v>637</v>
      </c>
    </row>
    <row r="11009" spans="1:9" ht="13.5">
      <c r="A11009" s="128">
        <v>2020</v>
      </c>
      <c r="B11009" s="128" t="s">
        <v>138</v>
      </c>
      <c r="C11009" s="128" t="s">
        <v>24</v>
      </c>
      <c r="D11009" s="128" t="s">
        <v>79</v>
      </c>
      <c r="E11009" s="128" t="s">
        <v>133</v>
      </c>
      <c r="F11009" s="128">
        <v>314511.21000000002</v>
      </c>
      <c r="G11009" s="128">
        <v>171365.13</v>
      </c>
      <c r="H11009" s="128">
        <v>57026.87</v>
      </c>
      <c r="I11009" s="128">
        <v>743</v>
      </c>
    </row>
    <row r="11010" spans="1:9" ht="13.5">
      <c r="A11010" s="128">
        <v>2020</v>
      </c>
      <c r="B11010" s="128" t="s">
        <v>138</v>
      </c>
      <c r="C11010" s="128" t="s">
        <v>24</v>
      </c>
      <c r="D11010" s="128" t="s">
        <v>79</v>
      </c>
      <c r="E11010" s="128" t="s">
        <v>134</v>
      </c>
      <c r="F11010" s="128">
        <v>1404950.91</v>
      </c>
      <c r="G11010" s="128">
        <v>610528.84</v>
      </c>
      <c r="H11010" s="128">
        <v>204325.32</v>
      </c>
      <c r="I11010" s="128">
        <v>12028</v>
      </c>
    </row>
    <row r="11011" spans="1:9" ht="13.5">
      <c r="A11011" s="128">
        <v>2020</v>
      </c>
      <c r="B11011" s="128" t="s">
        <v>138</v>
      </c>
      <c r="C11011" s="128" t="s">
        <v>24</v>
      </c>
      <c r="D11011" s="128" t="s">
        <v>79</v>
      </c>
      <c r="E11011" s="128" t="s">
        <v>135</v>
      </c>
      <c r="F11011" s="128">
        <v>4495363.76</v>
      </c>
      <c r="G11011" s="128">
        <v>985327.64</v>
      </c>
      <c r="H11011" s="128">
        <v>339942.79</v>
      </c>
      <c r="I11011" s="128">
        <v>5584</v>
      </c>
    </row>
    <row r="11012" spans="1:9" ht="13.5">
      <c r="A11012" s="128">
        <v>2020</v>
      </c>
      <c r="B11012" s="128" t="s">
        <v>138</v>
      </c>
      <c r="C11012" s="128" t="s">
        <v>24</v>
      </c>
      <c r="D11012" s="128" t="s">
        <v>77</v>
      </c>
      <c r="E11012" s="128" t="s">
        <v>132</v>
      </c>
      <c r="F11012" s="128">
        <v>882523.71</v>
      </c>
      <c r="G11012" s="128">
        <v>567345.73</v>
      </c>
      <c r="H11012" s="128">
        <v>267903.09999999998</v>
      </c>
      <c r="I11012" s="128">
        <v>4242</v>
      </c>
    </row>
    <row r="11013" spans="1:9" ht="13.5">
      <c r="A11013" s="128">
        <v>2020</v>
      </c>
      <c r="B11013" s="128" t="s">
        <v>138</v>
      </c>
      <c r="C11013" s="128" t="s">
        <v>24</v>
      </c>
      <c r="D11013" s="128" t="s">
        <v>77</v>
      </c>
      <c r="E11013" s="128" t="s">
        <v>133</v>
      </c>
      <c r="F11013" s="128">
        <v>2424819.4700000002</v>
      </c>
      <c r="G11013" s="128">
        <v>1286477.21</v>
      </c>
      <c r="H11013" s="128">
        <v>963516.45</v>
      </c>
      <c r="I11013" s="128">
        <v>20152</v>
      </c>
    </row>
    <row r="11014" spans="1:9" ht="13.5">
      <c r="A11014" s="128">
        <v>2020</v>
      </c>
      <c r="B11014" s="128" t="s">
        <v>138</v>
      </c>
      <c r="C11014" s="128" t="s">
        <v>24</v>
      </c>
      <c r="D11014" s="128" t="s">
        <v>77</v>
      </c>
      <c r="E11014" s="128" t="s">
        <v>134</v>
      </c>
      <c r="F11014" s="128">
        <v>6478288.6900000004</v>
      </c>
      <c r="G11014" s="128">
        <v>2846448.3</v>
      </c>
      <c r="H11014" s="128">
        <v>2593961.7799999998</v>
      </c>
      <c r="I11014" s="128">
        <v>13188</v>
      </c>
    </row>
    <row r="11015" spans="1:9" ht="13.5">
      <c r="A11015" s="128">
        <v>2020</v>
      </c>
      <c r="B11015" s="128" t="s">
        <v>138</v>
      </c>
      <c r="C11015" s="128" t="s">
        <v>24</v>
      </c>
      <c r="D11015" s="128" t="s">
        <v>77</v>
      </c>
      <c r="E11015" s="128" t="s">
        <v>135</v>
      </c>
      <c r="F11015" s="128">
        <v>11185706.91</v>
      </c>
      <c r="G11015" s="128">
        <v>2828501.29</v>
      </c>
      <c r="H11015" s="128">
        <v>2059281.8</v>
      </c>
      <c r="I11015" s="128">
        <v>29770</v>
      </c>
    </row>
    <row r="11016" spans="1:9" ht="13.5">
      <c r="A11016" s="128">
        <v>2020</v>
      </c>
      <c r="B11016" s="128" t="s">
        <v>138</v>
      </c>
      <c r="C11016" s="128" t="s">
        <v>24</v>
      </c>
      <c r="D11016" s="128" t="s">
        <v>76</v>
      </c>
      <c r="E11016" s="128" t="s">
        <v>136</v>
      </c>
      <c r="F11016" s="128">
        <v>9255915.8100000005</v>
      </c>
      <c r="G11016" s="128">
        <v>6950835.1500000004</v>
      </c>
      <c r="H11016" s="128">
        <v>2304948.31</v>
      </c>
      <c r="I11016" s="128">
        <v>143544</v>
      </c>
    </row>
    <row r="11017" spans="1:9" ht="13.5">
      <c r="A11017" s="128">
        <v>2020</v>
      </c>
      <c r="B11017" s="128" t="s">
        <v>138</v>
      </c>
      <c r="C11017" s="128" t="s">
        <v>24</v>
      </c>
      <c r="D11017" s="128" t="s">
        <v>76</v>
      </c>
      <c r="E11017" s="128" t="s">
        <v>132</v>
      </c>
      <c r="F11017" s="128">
        <v>8064492.7000000002</v>
      </c>
      <c r="G11017" s="128">
        <v>5223123.47</v>
      </c>
      <c r="H11017" s="128">
        <v>2841361.58</v>
      </c>
      <c r="I11017" s="128">
        <v>62604</v>
      </c>
    </row>
    <row r="11018" spans="1:9" ht="13.5">
      <c r="A11018" s="128">
        <v>2020</v>
      </c>
      <c r="B11018" s="128" t="s">
        <v>138</v>
      </c>
      <c r="C11018" s="128" t="s">
        <v>24</v>
      </c>
      <c r="D11018" s="128" t="s">
        <v>76</v>
      </c>
      <c r="E11018" s="128" t="s">
        <v>133</v>
      </c>
      <c r="F11018" s="128">
        <v>35768491.009999998</v>
      </c>
      <c r="G11018" s="128">
        <v>19808722.440000001</v>
      </c>
      <c r="H11018" s="128">
        <v>15959765.27</v>
      </c>
      <c r="I11018" s="128">
        <v>256417</v>
      </c>
    </row>
    <row r="11019" spans="1:9" ht="13.5">
      <c r="A11019" s="128">
        <v>2020</v>
      </c>
      <c r="B11019" s="128" t="s">
        <v>138</v>
      </c>
      <c r="C11019" s="128" t="s">
        <v>24</v>
      </c>
      <c r="D11019" s="128" t="s">
        <v>76</v>
      </c>
      <c r="E11019" s="128" t="s">
        <v>134</v>
      </c>
      <c r="F11019" s="128">
        <v>38931979.810000002</v>
      </c>
      <c r="G11019" s="128">
        <v>17345839.699999999</v>
      </c>
      <c r="H11019" s="128">
        <v>21586138.460000001</v>
      </c>
      <c r="I11019" s="128">
        <v>168674</v>
      </c>
    </row>
    <row r="11020" spans="1:9" ht="13.5">
      <c r="A11020" s="128">
        <v>2020</v>
      </c>
      <c r="B11020" s="128" t="s">
        <v>138</v>
      </c>
      <c r="C11020" s="128" t="s">
        <v>24</v>
      </c>
      <c r="D11020" s="128" t="s">
        <v>76</v>
      </c>
      <c r="E11020" s="128" t="s">
        <v>135</v>
      </c>
      <c r="F11020" s="128">
        <v>2245465.69</v>
      </c>
      <c r="G11020" s="128">
        <v>584908.82999999996</v>
      </c>
      <c r="H11020" s="128">
        <v>1660556.86</v>
      </c>
      <c r="I11020" s="128">
        <v>1802</v>
      </c>
    </row>
    <row r="11021" spans="1:9" ht="13.5">
      <c r="A11021" s="128">
        <v>2020</v>
      </c>
      <c r="B11021" s="128" t="s">
        <v>138</v>
      </c>
      <c r="C11021" s="128" t="s">
        <v>25</v>
      </c>
      <c r="D11021" s="128" t="s">
        <v>79</v>
      </c>
      <c r="E11021" s="128" t="s">
        <v>136</v>
      </c>
      <c r="F11021" s="128">
        <v>317399.38</v>
      </c>
      <c r="G11021" s="128">
        <v>238930.43</v>
      </c>
      <c r="H11021" s="128">
        <v>78080.45</v>
      </c>
      <c r="I11021" s="128">
        <v>2010</v>
      </c>
    </row>
    <row r="11022" spans="1:9" ht="13.5">
      <c r="A11022" s="128">
        <v>2020</v>
      </c>
      <c r="B11022" s="128" t="s">
        <v>138</v>
      </c>
      <c r="C11022" s="128" t="s">
        <v>25</v>
      </c>
      <c r="D11022" s="128" t="s">
        <v>79</v>
      </c>
      <c r="E11022" s="128" t="s">
        <v>132</v>
      </c>
      <c r="F11022" s="128">
        <v>93521.29</v>
      </c>
      <c r="G11022" s="128">
        <v>64291.65</v>
      </c>
      <c r="H11022" s="128">
        <v>21134.73</v>
      </c>
      <c r="I11022" s="128">
        <v>278</v>
      </c>
    </row>
    <row r="11023" spans="1:9" ht="13.5">
      <c r="A11023" s="128">
        <v>2020</v>
      </c>
      <c r="B11023" s="128" t="s">
        <v>138</v>
      </c>
      <c r="C11023" s="128" t="s">
        <v>25</v>
      </c>
      <c r="D11023" s="128" t="s">
        <v>79</v>
      </c>
      <c r="E11023" s="128" t="s">
        <v>133</v>
      </c>
      <c r="F11023" s="128">
        <v>58379.3</v>
      </c>
      <c r="G11023" s="128">
        <v>31858.959999999999</v>
      </c>
      <c r="H11023" s="128">
        <v>10624.36</v>
      </c>
      <c r="I11023" s="128">
        <v>216</v>
      </c>
    </row>
    <row r="11024" spans="1:9" ht="13.5">
      <c r="A11024" s="128">
        <v>2020</v>
      </c>
      <c r="B11024" s="128" t="s">
        <v>138</v>
      </c>
      <c r="C11024" s="128" t="s">
        <v>25</v>
      </c>
      <c r="D11024" s="128" t="s">
        <v>79</v>
      </c>
      <c r="E11024" s="128" t="s">
        <v>134</v>
      </c>
      <c r="F11024" s="128">
        <v>125052.05</v>
      </c>
      <c r="G11024" s="128">
        <v>54518.85</v>
      </c>
      <c r="H11024" s="128">
        <v>18096.63</v>
      </c>
      <c r="I11024" s="128">
        <v>416</v>
      </c>
    </row>
    <row r="11025" spans="1:9" ht="13.5">
      <c r="A11025" s="128">
        <v>2020</v>
      </c>
      <c r="B11025" s="128" t="s">
        <v>138</v>
      </c>
      <c r="C11025" s="128" t="s">
        <v>25</v>
      </c>
      <c r="D11025" s="128" t="s">
        <v>79</v>
      </c>
      <c r="E11025" s="128" t="s">
        <v>135</v>
      </c>
      <c r="F11025" s="128">
        <v>1165510.43</v>
      </c>
      <c r="G11025" s="128">
        <v>260469.35</v>
      </c>
      <c r="H11025" s="128">
        <v>86802.12</v>
      </c>
      <c r="I11025" s="128">
        <v>879</v>
      </c>
    </row>
    <row r="11026" spans="1:9" ht="13.5">
      <c r="A11026" s="128">
        <v>2020</v>
      </c>
      <c r="B11026" s="128" t="s">
        <v>138</v>
      </c>
      <c r="C11026" s="128" t="s">
        <v>25</v>
      </c>
      <c r="D11026" s="128" t="s">
        <v>77</v>
      </c>
      <c r="E11026" s="128" t="s">
        <v>132</v>
      </c>
      <c r="F11026" s="128">
        <v>223844.61</v>
      </c>
      <c r="G11026" s="128">
        <v>145120.53</v>
      </c>
      <c r="H11026" s="128">
        <v>64795.1</v>
      </c>
      <c r="I11026" s="128">
        <v>1175</v>
      </c>
    </row>
    <row r="11027" spans="1:9" ht="13.5">
      <c r="A11027" s="128">
        <v>2020</v>
      </c>
      <c r="B11027" s="128" t="s">
        <v>138</v>
      </c>
      <c r="C11027" s="128" t="s">
        <v>25</v>
      </c>
      <c r="D11027" s="128" t="s">
        <v>77</v>
      </c>
      <c r="E11027" s="128" t="s">
        <v>133</v>
      </c>
      <c r="F11027" s="128">
        <v>364308.95</v>
      </c>
      <c r="G11027" s="128">
        <v>198596.68</v>
      </c>
      <c r="H11027" s="128">
        <v>152900.79</v>
      </c>
      <c r="I11027" s="128">
        <v>1437</v>
      </c>
    </row>
    <row r="11028" spans="1:9" ht="13.5">
      <c r="A11028" s="128">
        <v>2020</v>
      </c>
      <c r="B11028" s="128" t="s">
        <v>138</v>
      </c>
      <c r="C11028" s="128" t="s">
        <v>25</v>
      </c>
      <c r="D11028" s="128" t="s">
        <v>77</v>
      </c>
      <c r="E11028" s="128" t="s">
        <v>134</v>
      </c>
      <c r="F11028" s="128">
        <v>1474039.25</v>
      </c>
      <c r="G11028" s="128">
        <v>623327.61</v>
      </c>
      <c r="H11028" s="128">
        <v>658169.30000000005</v>
      </c>
      <c r="I11028" s="128">
        <v>2226</v>
      </c>
    </row>
    <row r="11029" spans="1:9" ht="13.5">
      <c r="A11029" s="128">
        <v>2020</v>
      </c>
      <c r="B11029" s="128" t="s">
        <v>138</v>
      </c>
      <c r="C11029" s="128" t="s">
        <v>25</v>
      </c>
      <c r="D11029" s="128" t="s">
        <v>77</v>
      </c>
      <c r="E11029" s="128" t="s">
        <v>135</v>
      </c>
      <c r="F11029" s="128">
        <v>2061094.13</v>
      </c>
      <c r="G11029" s="128">
        <v>547351.56000000006</v>
      </c>
      <c r="H11029" s="128">
        <v>639896.42000000004</v>
      </c>
      <c r="I11029" s="128">
        <v>4758</v>
      </c>
    </row>
    <row r="11030" spans="1:9" ht="13.5">
      <c r="A11030" s="128">
        <v>2020</v>
      </c>
      <c r="B11030" s="128" t="s">
        <v>138</v>
      </c>
      <c r="C11030" s="128" t="s">
        <v>25</v>
      </c>
      <c r="D11030" s="128" t="s">
        <v>76</v>
      </c>
      <c r="E11030" s="128" t="s">
        <v>136</v>
      </c>
      <c r="F11030" s="128">
        <v>2025838.53</v>
      </c>
      <c r="G11030" s="128">
        <v>1520018.26</v>
      </c>
      <c r="H11030" s="128">
        <v>505820.27</v>
      </c>
      <c r="I11030" s="128">
        <v>36644</v>
      </c>
    </row>
    <row r="11031" spans="1:9" ht="13.5">
      <c r="A11031" s="128">
        <v>2020</v>
      </c>
      <c r="B11031" s="128" t="s">
        <v>138</v>
      </c>
      <c r="C11031" s="128" t="s">
        <v>25</v>
      </c>
      <c r="D11031" s="128" t="s">
        <v>76</v>
      </c>
      <c r="E11031" s="128" t="s">
        <v>132</v>
      </c>
      <c r="F11031" s="128">
        <v>2689302.27</v>
      </c>
      <c r="G11031" s="128">
        <v>1696621.69</v>
      </c>
      <c r="H11031" s="128">
        <v>992942.02</v>
      </c>
      <c r="I11031" s="128">
        <v>19813</v>
      </c>
    </row>
    <row r="11032" spans="1:9" ht="13.5">
      <c r="A11032" s="128">
        <v>2020</v>
      </c>
      <c r="B11032" s="128" t="s">
        <v>138</v>
      </c>
      <c r="C11032" s="128" t="s">
        <v>25</v>
      </c>
      <c r="D11032" s="128" t="s">
        <v>76</v>
      </c>
      <c r="E11032" s="128" t="s">
        <v>133</v>
      </c>
      <c r="F11032" s="128">
        <v>7437725.8099999996</v>
      </c>
      <c r="G11032" s="128">
        <v>4057041.37</v>
      </c>
      <c r="H11032" s="128">
        <v>3380682.86</v>
      </c>
      <c r="I11032" s="128">
        <v>47931</v>
      </c>
    </row>
    <row r="11033" spans="1:9" ht="13.5">
      <c r="A11033" s="128">
        <v>2020</v>
      </c>
      <c r="B11033" s="128" t="s">
        <v>138</v>
      </c>
      <c r="C11033" s="128" t="s">
        <v>25</v>
      </c>
      <c r="D11033" s="128" t="s">
        <v>76</v>
      </c>
      <c r="E11033" s="128" t="s">
        <v>134</v>
      </c>
      <c r="F11033" s="128">
        <v>8858789.8599999994</v>
      </c>
      <c r="G11033" s="128">
        <v>4042606.19</v>
      </c>
      <c r="H11033" s="128">
        <v>4816182.62</v>
      </c>
      <c r="I11033" s="128">
        <v>41452</v>
      </c>
    </row>
    <row r="11034" spans="1:9" ht="13.5">
      <c r="A11034" s="128">
        <v>2020</v>
      </c>
      <c r="B11034" s="128" t="s">
        <v>138</v>
      </c>
      <c r="C11034" s="128" t="s">
        <v>25</v>
      </c>
      <c r="D11034" s="128" t="s">
        <v>76</v>
      </c>
      <c r="E11034" s="128" t="s">
        <v>135</v>
      </c>
      <c r="F11034" s="128">
        <v>378072.98</v>
      </c>
      <c r="G11034" s="128">
        <v>103929.92</v>
      </c>
      <c r="H11034" s="128">
        <v>274143.06</v>
      </c>
      <c r="I11034" s="128">
        <v>246</v>
      </c>
    </row>
    <row r="11035" spans="1:9" ht="13.5">
      <c r="A11035" s="128">
        <v>2020</v>
      </c>
      <c r="B11035" s="128" t="s">
        <v>138</v>
      </c>
      <c r="C11035" s="128" t="s">
        <v>26</v>
      </c>
      <c r="D11035" s="128" t="s">
        <v>79</v>
      </c>
      <c r="E11035" s="128" t="s">
        <v>136</v>
      </c>
      <c r="F11035" s="128">
        <v>673797.31</v>
      </c>
      <c r="G11035" s="128">
        <v>505574.1</v>
      </c>
      <c r="H11035" s="128">
        <v>167634.4</v>
      </c>
      <c r="I11035" s="128">
        <v>5329</v>
      </c>
    </row>
    <row r="11036" spans="1:9" ht="13.5">
      <c r="A11036" s="128">
        <v>2020</v>
      </c>
      <c r="B11036" s="128" t="s">
        <v>138</v>
      </c>
      <c r="C11036" s="128" t="s">
        <v>26</v>
      </c>
      <c r="D11036" s="128" t="s">
        <v>79</v>
      </c>
      <c r="E11036" s="128" t="s">
        <v>132</v>
      </c>
      <c r="F11036" s="128">
        <v>99643.28</v>
      </c>
      <c r="G11036" s="128">
        <v>68842.37</v>
      </c>
      <c r="H11036" s="128">
        <v>23148.65</v>
      </c>
      <c r="I11036" s="128">
        <v>270</v>
      </c>
    </row>
    <row r="11037" spans="1:9" ht="13.5">
      <c r="A11037" s="128">
        <v>2020</v>
      </c>
      <c r="B11037" s="128" t="s">
        <v>138</v>
      </c>
      <c r="C11037" s="128" t="s">
        <v>26</v>
      </c>
      <c r="D11037" s="128" t="s">
        <v>79</v>
      </c>
      <c r="E11037" s="128" t="s">
        <v>133</v>
      </c>
      <c r="F11037" s="128">
        <v>145028.24</v>
      </c>
      <c r="G11037" s="128">
        <v>78271.66</v>
      </c>
      <c r="H11037" s="128">
        <v>26085.599999999999</v>
      </c>
      <c r="I11037" s="128">
        <v>203</v>
      </c>
    </row>
    <row r="11038" spans="1:9" ht="13.5">
      <c r="A11038" s="128">
        <v>2020</v>
      </c>
      <c r="B11038" s="128" t="s">
        <v>138</v>
      </c>
      <c r="C11038" s="128" t="s">
        <v>26</v>
      </c>
      <c r="D11038" s="128" t="s">
        <v>79</v>
      </c>
      <c r="E11038" s="128" t="s">
        <v>134</v>
      </c>
      <c r="F11038" s="128">
        <v>345938.25</v>
      </c>
      <c r="G11038" s="128">
        <v>146210.07999999999</v>
      </c>
      <c r="H11038" s="128">
        <v>48855.07</v>
      </c>
      <c r="I11038" s="128">
        <v>1650</v>
      </c>
    </row>
    <row r="11039" spans="1:9" ht="13.5">
      <c r="A11039" s="128">
        <v>2020</v>
      </c>
      <c r="B11039" s="128" t="s">
        <v>138</v>
      </c>
      <c r="C11039" s="128" t="s">
        <v>26</v>
      </c>
      <c r="D11039" s="128" t="s">
        <v>79</v>
      </c>
      <c r="E11039" s="128" t="s">
        <v>135</v>
      </c>
      <c r="F11039" s="128">
        <v>4873115.0599999996</v>
      </c>
      <c r="G11039" s="128">
        <v>1041575.58</v>
      </c>
      <c r="H11039" s="128">
        <v>347123.75</v>
      </c>
      <c r="I11039" s="128">
        <v>4283</v>
      </c>
    </row>
    <row r="11040" spans="1:9" ht="13.5">
      <c r="A11040" s="128">
        <v>2020</v>
      </c>
      <c r="B11040" s="128" t="s">
        <v>138</v>
      </c>
      <c r="C11040" s="128" t="s">
        <v>26</v>
      </c>
      <c r="D11040" s="128" t="s">
        <v>77</v>
      </c>
      <c r="E11040" s="128" t="s">
        <v>132</v>
      </c>
      <c r="F11040" s="128">
        <v>63482.33</v>
      </c>
      <c r="G11040" s="128">
        <v>40627.46</v>
      </c>
      <c r="H11040" s="128">
        <v>19733.509999999998</v>
      </c>
      <c r="I11040" s="128">
        <v>300</v>
      </c>
    </row>
    <row r="11041" spans="1:9" ht="13.5">
      <c r="A11041" s="128">
        <v>2020</v>
      </c>
      <c r="B11041" s="128" t="s">
        <v>138</v>
      </c>
      <c r="C11041" s="128" t="s">
        <v>26</v>
      </c>
      <c r="D11041" s="128" t="s">
        <v>77</v>
      </c>
      <c r="E11041" s="128" t="s">
        <v>133</v>
      </c>
      <c r="F11041" s="128">
        <v>175021.73</v>
      </c>
      <c r="G11041" s="128">
        <v>95092.77</v>
      </c>
      <c r="H11041" s="128">
        <v>70986.11</v>
      </c>
      <c r="I11041" s="128">
        <v>886</v>
      </c>
    </row>
    <row r="11042" spans="1:9" ht="13.5">
      <c r="A11042" s="128">
        <v>2020</v>
      </c>
      <c r="B11042" s="128" t="s">
        <v>138</v>
      </c>
      <c r="C11042" s="128" t="s">
        <v>26</v>
      </c>
      <c r="D11042" s="128" t="s">
        <v>77</v>
      </c>
      <c r="E11042" s="128" t="s">
        <v>134</v>
      </c>
      <c r="F11042" s="128">
        <v>419154.26</v>
      </c>
      <c r="G11042" s="128">
        <v>177838.09</v>
      </c>
      <c r="H11042" s="128">
        <v>185569.32</v>
      </c>
      <c r="I11042" s="128">
        <v>986</v>
      </c>
    </row>
    <row r="11043" spans="1:9" ht="13.5">
      <c r="A11043" s="128">
        <v>2020</v>
      </c>
      <c r="B11043" s="128" t="s">
        <v>138</v>
      </c>
      <c r="C11043" s="128" t="s">
        <v>26</v>
      </c>
      <c r="D11043" s="128" t="s">
        <v>77</v>
      </c>
      <c r="E11043" s="128" t="s">
        <v>135</v>
      </c>
      <c r="F11043" s="128">
        <v>2912424.38</v>
      </c>
      <c r="G11043" s="128">
        <v>771783.42</v>
      </c>
      <c r="H11043" s="128">
        <v>827891.23</v>
      </c>
      <c r="I11043" s="128">
        <v>9711</v>
      </c>
    </row>
    <row r="11044" spans="1:9" ht="13.5">
      <c r="A11044" s="128">
        <v>2020</v>
      </c>
      <c r="B11044" s="128" t="s">
        <v>138</v>
      </c>
      <c r="C11044" s="128" t="s">
        <v>26</v>
      </c>
      <c r="D11044" s="128" t="s">
        <v>76</v>
      </c>
      <c r="E11044" s="128" t="s">
        <v>136</v>
      </c>
      <c r="F11044" s="128">
        <v>438038.83</v>
      </c>
      <c r="G11044" s="128">
        <v>329138.18</v>
      </c>
      <c r="H11044" s="128">
        <v>108900.65</v>
      </c>
      <c r="I11044" s="128">
        <v>11699</v>
      </c>
    </row>
    <row r="11045" spans="1:9" ht="13.5">
      <c r="A11045" s="128">
        <v>2020</v>
      </c>
      <c r="B11045" s="128" t="s">
        <v>138</v>
      </c>
      <c r="C11045" s="128" t="s">
        <v>26</v>
      </c>
      <c r="D11045" s="128" t="s">
        <v>76</v>
      </c>
      <c r="E11045" s="128" t="s">
        <v>132</v>
      </c>
      <c r="F11045" s="128">
        <v>1595175.26</v>
      </c>
      <c r="G11045" s="128">
        <v>1014615.73</v>
      </c>
      <c r="H11045" s="128">
        <v>580555.32999999996</v>
      </c>
      <c r="I11045" s="128">
        <v>15455</v>
      </c>
    </row>
    <row r="11046" spans="1:9" ht="13.5">
      <c r="A11046" s="128">
        <v>2020</v>
      </c>
      <c r="B11046" s="128" t="s">
        <v>138</v>
      </c>
      <c r="C11046" s="128" t="s">
        <v>26</v>
      </c>
      <c r="D11046" s="128" t="s">
        <v>76</v>
      </c>
      <c r="E11046" s="128" t="s">
        <v>133</v>
      </c>
      <c r="F11046" s="128">
        <v>3237995.06</v>
      </c>
      <c r="G11046" s="128">
        <v>1787503.19</v>
      </c>
      <c r="H11046" s="128">
        <v>1450486.2</v>
      </c>
      <c r="I11046" s="128">
        <v>26334</v>
      </c>
    </row>
    <row r="11047" spans="1:9" ht="13.5">
      <c r="A11047" s="128">
        <v>2020</v>
      </c>
      <c r="B11047" s="128" t="s">
        <v>138</v>
      </c>
      <c r="C11047" s="128" t="s">
        <v>26</v>
      </c>
      <c r="D11047" s="128" t="s">
        <v>76</v>
      </c>
      <c r="E11047" s="128" t="s">
        <v>134</v>
      </c>
      <c r="F11047" s="128">
        <v>2435730.46</v>
      </c>
      <c r="G11047" s="128">
        <v>1114113.45</v>
      </c>
      <c r="H11047" s="128">
        <v>1321593.82</v>
      </c>
      <c r="I11047" s="128">
        <v>13413</v>
      </c>
    </row>
    <row r="11048" spans="1:9" ht="13.5">
      <c r="A11048" s="128">
        <v>2020</v>
      </c>
      <c r="B11048" s="128" t="s">
        <v>138</v>
      </c>
      <c r="C11048" s="128" t="s">
        <v>26</v>
      </c>
      <c r="D11048" s="128" t="s">
        <v>76</v>
      </c>
      <c r="E11048" s="128" t="s">
        <v>135</v>
      </c>
      <c r="F11048" s="128">
        <v>201486.4</v>
      </c>
      <c r="G11048" s="128">
        <v>55324.9</v>
      </c>
      <c r="H11048" s="128">
        <v>146161.5</v>
      </c>
      <c r="I11048" s="128">
        <v>251</v>
      </c>
    </row>
    <row r="11049" spans="1:9" ht="13.5">
      <c r="A11049" s="128">
        <v>2020</v>
      </c>
      <c r="B11049" s="128" t="s">
        <v>138</v>
      </c>
      <c r="C11049" s="128" t="s">
        <v>27</v>
      </c>
      <c r="D11049" s="128" t="s">
        <v>79</v>
      </c>
      <c r="E11049" s="128" t="s">
        <v>136</v>
      </c>
      <c r="F11049" s="128">
        <v>218632.55</v>
      </c>
      <c r="G11049" s="128">
        <v>163977.26999999999</v>
      </c>
      <c r="H11049" s="128">
        <v>54655.15</v>
      </c>
      <c r="I11049" s="128">
        <v>840</v>
      </c>
    </row>
    <row r="11050" spans="1:9" ht="13.5">
      <c r="A11050" s="128">
        <v>2020</v>
      </c>
      <c r="B11050" s="128" t="s">
        <v>138</v>
      </c>
      <c r="C11050" s="128" t="s">
        <v>27</v>
      </c>
      <c r="D11050" s="128" t="s">
        <v>79</v>
      </c>
      <c r="E11050" s="128" t="s">
        <v>132</v>
      </c>
      <c r="F11050" s="128">
        <v>21714.799999999999</v>
      </c>
      <c r="G11050" s="128">
        <v>14612.07</v>
      </c>
      <c r="H11050" s="128">
        <v>4870.55</v>
      </c>
      <c r="I11050" s="128">
        <v>39</v>
      </c>
    </row>
    <row r="11051" spans="1:9" ht="13.5">
      <c r="A11051" s="128">
        <v>2020</v>
      </c>
      <c r="B11051" s="128" t="s">
        <v>138</v>
      </c>
      <c r="C11051" s="128" t="s">
        <v>27</v>
      </c>
      <c r="D11051" s="128" t="s">
        <v>79</v>
      </c>
      <c r="E11051" s="128" t="s">
        <v>133</v>
      </c>
      <c r="F11051" s="128">
        <v>12458.6</v>
      </c>
      <c r="G11051" s="128">
        <v>6539.4</v>
      </c>
      <c r="H11051" s="128">
        <v>2179.1</v>
      </c>
      <c r="I11051" s="128">
        <v>33</v>
      </c>
    </row>
    <row r="11052" spans="1:9" ht="13.5">
      <c r="A11052" s="128">
        <v>2020</v>
      </c>
      <c r="B11052" s="128" t="s">
        <v>138</v>
      </c>
      <c r="C11052" s="128" t="s">
        <v>27</v>
      </c>
      <c r="D11052" s="128" t="s">
        <v>79</v>
      </c>
      <c r="E11052" s="128" t="s">
        <v>134</v>
      </c>
      <c r="F11052" s="128">
        <v>46351.18</v>
      </c>
      <c r="G11052" s="128">
        <v>19572.53</v>
      </c>
      <c r="H11052" s="128">
        <v>6888</v>
      </c>
      <c r="I11052" s="128">
        <v>146</v>
      </c>
    </row>
    <row r="11053" spans="1:9" ht="13.5">
      <c r="A11053" s="128">
        <v>2020</v>
      </c>
      <c r="B11053" s="128" t="s">
        <v>138</v>
      </c>
      <c r="C11053" s="128" t="s">
        <v>27</v>
      </c>
      <c r="D11053" s="128" t="s">
        <v>79</v>
      </c>
      <c r="E11053" s="128" t="s">
        <v>135</v>
      </c>
      <c r="F11053" s="128">
        <v>554696.11</v>
      </c>
      <c r="G11053" s="128">
        <v>127356.44</v>
      </c>
      <c r="H11053" s="128">
        <v>44175.61</v>
      </c>
      <c r="I11053" s="128">
        <v>391</v>
      </c>
    </row>
    <row r="11054" spans="1:9" ht="13.5">
      <c r="A11054" s="128">
        <v>2020</v>
      </c>
      <c r="B11054" s="128" t="s">
        <v>138</v>
      </c>
      <c r="C11054" s="128" t="s">
        <v>27</v>
      </c>
      <c r="D11054" s="128" t="s">
        <v>77</v>
      </c>
      <c r="E11054" s="128" t="s">
        <v>132</v>
      </c>
      <c r="F11054" s="128">
        <v>31414.82</v>
      </c>
      <c r="G11054" s="128">
        <v>20699.89</v>
      </c>
      <c r="H11054" s="128">
        <v>8487.0300000000007</v>
      </c>
      <c r="I11054" s="128">
        <v>130</v>
      </c>
    </row>
    <row r="11055" spans="1:9" ht="13.5">
      <c r="A11055" s="128">
        <v>2020</v>
      </c>
      <c r="B11055" s="128" t="s">
        <v>138</v>
      </c>
      <c r="C11055" s="128" t="s">
        <v>27</v>
      </c>
      <c r="D11055" s="128" t="s">
        <v>77</v>
      </c>
      <c r="E11055" s="128" t="s">
        <v>133</v>
      </c>
      <c r="F11055" s="128">
        <v>38268.18</v>
      </c>
      <c r="G11055" s="128">
        <v>20995.56</v>
      </c>
      <c r="H11055" s="128">
        <v>15394.41</v>
      </c>
      <c r="I11055" s="128">
        <v>224</v>
      </c>
    </row>
    <row r="11056" spans="1:9" ht="13.5">
      <c r="A11056" s="128">
        <v>2020</v>
      </c>
      <c r="B11056" s="128" t="s">
        <v>138</v>
      </c>
      <c r="C11056" s="128" t="s">
        <v>27</v>
      </c>
      <c r="D11056" s="128" t="s">
        <v>77</v>
      </c>
      <c r="E11056" s="128" t="s">
        <v>134</v>
      </c>
      <c r="F11056" s="128">
        <v>136047.73000000001</v>
      </c>
      <c r="G11056" s="128">
        <v>59926.9</v>
      </c>
      <c r="H11056" s="128">
        <v>56252.49</v>
      </c>
      <c r="I11056" s="128">
        <v>246</v>
      </c>
    </row>
    <row r="11057" spans="1:9" ht="13.5">
      <c r="A11057" s="128">
        <v>2020</v>
      </c>
      <c r="B11057" s="128" t="s">
        <v>138</v>
      </c>
      <c r="C11057" s="128" t="s">
        <v>27</v>
      </c>
      <c r="D11057" s="128" t="s">
        <v>77</v>
      </c>
      <c r="E11057" s="128" t="s">
        <v>135</v>
      </c>
      <c r="F11057" s="128">
        <v>243884.11</v>
      </c>
      <c r="G11057" s="128">
        <v>68795.64</v>
      </c>
      <c r="H11057" s="128">
        <v>78121.03</v>
      </c>
      <c r="I11057" s="128">
        <v>894</v>
      </c>
    </row>
    <row r="11058" spans="1:9" ht="13.5">
      <c r="A11058" s="128">
        <v>2020</v>
      </c>
      <c r="B11058" s="128" t="s">
        <v>138</v>
      </c>
      <c r="C11058" s="128" t="s">
        <v>27</v>
      </c>
      <c r="D11058" s="128" t="s">
        <v>76</v>
      </c>
      <c r="E11058" s="128" t="s">
        <v>136</v>
      </c>
      <c r="F11058" s="128">
        <v>578844.25</v>
      </c>
      <c r="G11058" s="128">
        <v>434238.59</v>
      </c>
      <c r="H11058" s="128">
        <v>144605.66</v>
      </c>
      <c r="I11058" s="128">
        <v>6952</v>
      </c>
    </row>
    <row r="11059" spans="1:9" ht="13.5">
      <c r="A11059" s="128">
        <v>2020</v>
      </c>
      <c r="B11059" s="128" t="s">
        <v>138</v>
      </c>
      <c r="C11059" s="128" t="s">
        <v>27</v>
      </c>
      <c r="D11059" s="128" t="s">
        <v>76</v>
      </c>
      <c r="E11059" s="128" t="s">
        <v>132</v>
      </c>
      <c r="F11059" s="128">
        <v>384067.63</v>
      </c>
      <c r="G11059" s="128">
        <v>242426.7</v>
      </c>
      <c r="H11059" s="128">
        <v>141640.92000000001</v>
      </c>
      <c r="I11059" s="128">
        <v>2728</v>
      </c>
    </row>
    <row r="11060" spans="1:9" ht="13.5">
      <c r="A11060" s="128">
        <v>2020</v>
      </c>
      <c r="B11060" s="128" t="s">
        <v>138</v>
      </c>
      <c r="C11060" s="128" t="s">
        <v>27</v>
      </c>
      <c r="D11060" s="128" t="s">
        <v>76</v>
      </c>
      <c r="E11060" s="128" t="s">
        <v>133</v>
      </c>
      <c r="F11060" s="128">
        <v>933890.37</v>
      </c>
      <c r="G11060" s="128">
        <v>506577.05</v>
      </c>
      <c r="H11060" s="128">
        <v>427307.72</v>
      </c>
      <c r="I11060" s="128">
        <v>4548</v>
      </c>
    </row>
    <row r="11061" spans="1:9" ht="13.5">
      <c r="A11061" s="128">
        <v>2020</v>
      </c>
      <c r="B11061" s="128" t="s">
        <v>138</v>
      </c>
      <c r="C11061" s="128" t="s">
        <v>27</v>
      </c>
      <c r="D11061" s="128" t="s">
        <v>76</v>
      </c>
      <c r="E11061" s="128" t="s">
        <v>134</v>
      </c>
      <c r="F11061" s="128">
        <v>1492944.84</v>
      </c>
      <c r="G11061" s="128">
        <v>681846.35</v>
      </c>
      <c r="H11061" s="128">
        <v>811085.85</v>
      </c>
      <c r="I11061" s="128">
        <v>7057</v>
      </c>
    </row>
    <row r="11062" spans="1:9" ht="13.5">
      <c r="A11062" s="128">
        <v>2020</v>
      </c>
      <c r="B11062" s="128" t="s">
        <v>138</v>
      </c>
      <c r="C11062" s="128" t="s">
        <v>27</v>
      </c>
      <c r="D11062" s="128" t="s">
        <v>76</v>
      </c>
      <c r="E11062" s="128" t="s">
        <v>135</v>
      </c>
      <c r="F11062" s="128">
        <v>35489.35</v>
      </c>
      <c r="G11062" s="128">
        <v>11376.95</v>
      </c>
      <c r="H11062" s="128">
        <v>24112.400000000001</v>
      </c>
      <c r="I11062" s="128">
        <v>47</v>
      </c>
    </row>
    <row r="11063" spans="1:9" ht="13.5">
      <c r="A11063" s="128">
        <v>2020</v>
      </c>
      <c r="B11063" s="128" t="s">
        <v>139</v>
      </c>
      <c r="C11063" s="128" t="s">
        <v>20</v>
      </c>
      <c r="D11063" s="128" t="s">
        <v>79</v>
      </c>
      <c r="E11063" s="128" t="s">
        <v>136</v>
      </c>
      <c r="F11063" s="128">
        <v>31006376.420000002</v>
      </c>
      <c r="G11063" s="128">
        <v>23283549.649999999</v>
      </c>
      <c r="H11063" s="128">
        <v>7723265.8600000003</v>
      </c>
      <c r="I11063" s="128">
        <v>292140</v>
      </c>
    </row>
    <row r="11064" spans="1:9" ht="13.5">
      <c r="A11064" s="128">
        <v>2020</v>
      </c>
      <c r="B11064" s="128" t="s">
        <v>139</v>
      </c>
      <c r="C11064" s="128" t="s">
        <v>20</v>
      </c>
      <c r="D11064" s="128" t="s">
        <v>79</v>
      </c>
      <c r="E11064" s="128" t="s">
        <v>132</v>
      </c>
      <c r="F11064" s="128">
        <v>2551545.7400000002</v>
      </c>
      <c r="G11064" s="128">
        <v>1724086.66</v>
      </c>
      <c r="H11064" s="128">
        <v>597200.69999999995</v>
      </c>
      <c r="I11064" s="128">
        <v>9373</v>
      </c>
    </row>
    <row r="11065" spans="1:9" ht="13.5">
      <c r="A11065" s="128">
        <v>2020</v>
      </c>
      <c r="B11065" s="128" t="s">
        <v>139</v>
      </c>
      <c r="C11065" s="128" t="s">
        <v>20</v>
      </c>
      <c r="D11065" s="128" t="s">
        <v>79</v>
      </c>
      <c r="E11065" s="128" t="s">
        <v>133</v>
      </c>
      <c r="F11065" s="128">
        <v>1862517.86</v>
      </c>
      <c r="G11065" s="128">
        <v>1013312.28</v>
      </c>
      <c r="H11065" s="128">
        <v>393297.83</v>
      </c>
      <c r="I11065" s="128">
        <v>5419</v>
      </c>
    </row>
    <row r="11066" spans="1:9" ht="13.5">
      <c r="A11066" s="128">
        <v>2020</v>
      </c>
      <c r="B11066" s="128" t="s">
        <v>139</v>
      </c>
      <c r="C11066" s="128" t="s">
        <v>20</v>
      </c>
      <c r="D11066" s="128" t="s">
        <v>79</v>
      </c>
      <c r="E11066" s="128" t="s">
        <v>134</v>
      </c>
      <c r="F11066" s="128">
        <v>5126885.13</v>
      </c>
      <c r="G11066" s="128">
        <v>2200162.0699999998</v>
      </c>
      <c r="H11066" s="128">
        <v>743361.25</v>
      </c>
      <c r="I11066" s="128">
        <v>17471</v>
      </c>
    </row>
    <row r="11067" spans="1:9" ht="13.5">
      <c r="A11067" s="128">
        <v>2020</v>
      </c>
      <c r="B11067" s="128" t="s">
        <v>139</v>
      </c>
      <c r="C11067" s="128" t="s">
        <v>20</v>
      </c>
      <c r="D11067" s="128" t="s">
        <v>79</v>
      </c>
      <c r="E11067" s="128" t="s">
        <v>135</v>
      </c>
      <c r="F11067" s="128">
        <v>69998823.989999995</v>
      </c>
      <c r="G11067" s="128">
        <v>15132988.74</v>
      </c>
      <c r="H11067" s="128">
        <v>5076031.09</v>
      </c>
      <c r="I11067" s="128">
        <v>63788</v>
      </c>
    </row>
    <row r="11068" spans="1:9" ht="13.5">
      <c r="A11068" s="128">
        <v>2020</v>
      </c>
      <c r="B11068" s="128" t="s">
        <v>139</v>
      </c>
      <c r="C11068" s="128" t="s">
        <v>20</v>
      </c>
      <c r="D11068" s="128" t="s">
        <v>77</v>
      </c>
      <c r="E11068" s="128" t="s">
        <v>132</v>
      </c>
      <c r="F11068" s="128">
        <v>2834023.65</v>
      </c>
      <c r="G11068" s="128">
        <v>1853109.57</v>
      </c>
      <c r="H11068" s="128">
        <v>858733.18</v>
      </c>
      <c r="I11068" s="128">
        <v>12642</v>
      </c>
    </row>
    <row r="11069" spans="1:9" ht="13.5">
      <c r="A11069" s="128">
        <v>2020</v>
      </c>
      <c r="B11069" s="128" t="s">
        <v>139</v>
      </c>
      <c r="C11069" s="128" t="s">
        <v>20</v>
      </c>
      <c r="D11069" s="128" t="s">
        <v>77</v>
      </c>
      <c r="E11069" s="128" t="s">
        <v>133</v>
      </c>
      <c r="F11069" s="128">
        <v>5139905.9800000004</v>
      </c>
      <c r="G11069" s="128">
        <v>2775261.55</v>
      </c>
      <c r="H11069" s="128">
        <v>2110124.84</v>
      </c>
      <c r="I11069" s="128">
        <v>25259</v>
      </c>
    </row>
    <row r="11070" spans="1:9" ht="13.5">
      <c r="A11070" s="128">
        <v>2020</v>
      </c>
      <c r="B11070" s="128" t="s">
        <v>139</v>
      </c>
      <c r="C11070" s="128" t="s">
        <v>20</v>
      </c>
      <c r="D11070" s="128" t="s">
        <v>77</v>
      </c>
      <c r="E11070" s="128" t="s">
        <v>134</v>
      </c>
      <c r="F11070" s="128">
        <v>16193338.92</v>
      </c>
      <c r="G11070" s="128">
        <v>6967947.3600000003</v>
      </c>
      <c r="H11070" s="128">
        <v>7037583.04</v>
      </c>
      <c r="I11070" s="128">
        <v>30064</v>
      </c>
    </row>
    <row r="11071" spans="1:9" ht="13.5">
      <c r="A11071" s="128">
        <v>2020</v>
      </c>
      <c r="B11071" s="128" t="s">
        <v>139</v>
      </c>
      <c r="C11071" s="128" t="s">
        <v>20</v>
      </c>
      <c r="D11071" s="128" t="s">
        <v>77</v>
      </c>
      <c r="E11071" s="128" t="s">
        <v>135</v>
      </c>
      <c r="F11071" s="128">
        <v>41059844.270000003</v>
      </c>
      <c r="G11071" s="128">
        <v>10779611.109999999</v>
      </c>
      <c r="H11071" s="128">
        <v>12424716.279999999</v>
      </c>
      <c r="I11071" s="128">
        <v>135985</v>
      </c>
    </row>
    <row r="11072" spans="1:9" ht="13.5">
      <c r="A11072" s="128">
        <v>2020</v>
      </c>
      <c r="B11072" s="128" t="s">
        <v>139</v>
      </c>
      <c r="C11072" s="128" t="s">
        <v>20</v>
      </c>
      <c r="D11072" s="128" t="s">
        <v>76</v>
      </c>
      <c r="E11072" s="128" t="s">
        <v>136</v>
      </c>
      <c r="F11072" s="128">
        <v>33919659.57</v>
      </c>
      <c r="G11072" s="128">
        <v>25465851.43</v>
      </c>
      <c r="H11072" s="128">
        <v>8454050.1300000008</v>
      </c>
      <c r="I11072" s="128">
        <v>1046388</v>
      </c>
    </row>
    <row r="11073" spans="1:9" ht="13.5">
      <c r="A11073" s="128">
        <v>2020</v>
      </c>
      <c r="B11073" s="128" t="s">
        <v>139</v>
      </c>
      <c r="C11073" s="128" t="s">
        <v>20</v>
      </c>
      <c r="D11073" s="128" t="s">
        <v>76</v>
      </c>
      <c r="E11073" s="128" t="s">
        <v>132</v>
      </c>
      <c r="F11073" s="128">
        <v>51629784.850000001</v>
      </c>
      <c r="G11073" s="128">
        <v>32784561.559999999</v>
      </c>
      <c r="H11073" s="128">
        <v>18845159.640000001</v>
      </c>
      <c r="I11073" s="128">
        <v>441970</v>
      </c>
    </row>
    <row r="11074" spans="1:9" ht="13.5">
      <c r="A11074" s="128">
        <v>2020</v>
      </c>
      <c r="B11074" s="128" t="s">
        <v>139</v>
      </c>
      <c r="C11074" s="128" t="s">
        <v>20</v>
      </c>
      <c r="D11074" s="128" t="s">
        <v>76</v>
      </c>
      <c r="E11074" s="128" t="s">
        <v>133</v>
      </c>
      <c r="F11074" s="128">
        <v>96099708.510000005</v>
      </c>
      <c r="G11074" s="128">
        <v>52444946.359999999</v>
      </c>
      <c r="H11074" s="128">
        <v>43654709.439999998</v>
      </c>
      <c r="I11074" s="128">
        <v>576178</v>
      </c>
    </row>
    <row r="11075" spans="1:9" ht="13.5">
      <c r="A11075" s="128">
        <v>2020</v>
      </c>
      <c r="B11075" s="128" t="s">
        <v>139</v>
      </c>
      <c r="C11075" s="128" t="s">
        <v>20</v>
      </c>
      <c r="D11075" s="128" t="s">
        <v>76</v>
      </c>
      <c r="E11075" s="128" t="s">
        <v>134</v>
      </c>
      <c r="F11075" s="128">
        <v>103384177.36</v>
      </c>
      <c r="G11075" s="128">
        <v>47177218.590000004</v>
      </c>
      <c r="H11075" s="128">
        <v>56206868.710000001</v>
      </c>
      <c r="I11075" s="128">
        <v>578258</v>
      </c>
    </row>
    <row r="11076" spans="1:9" ht="13.5">
      <c r="A11076" s="128">
        <v>2020</v>
      </c>
      <c r="B11076" s="128" t="s">
        <v>139</v>
      </c>
      <c r="C11076" s="128" t="s">
        <v>20</v>
      </c>
      <c r="D11076" s="128" t="s">
        <v>76</v>
      </c>
      <c r="E11076" s="128" t="s">
        <v>135</v>
      </c>
      <c r="F11076" s="128">
        <v>6030778.96</v>
      </c>
      <c r="G11076" s="128">
        <v>1701670.03</v>
      </c>
      <c r="H11076" s="128">
        <v>4329108.93</v>
      </c>
      <c r="I11076" s="128">
        <v>6792</v>
      </c>
    </row>
    <row r="11077" spans="1:9" ht="13.5">
      <c r="A11077" s="128">
        <v>2020</v>
      </c>
      <c r="B11077" s="128" t="s">
        <v>139</v>
      </c>
      <c r="C11077" s="128" t="s">
        <v>21</v>
      </c>
      <c r="D11077" s="128" t="s">
        <v>79</v>
      </c>
      <c r="E11077" s="128" t="s">
        <v>136</v>
      </c>
      <c r="F11077" s="128">
        <v>8354804.7199999997</v>
      </c>
      <c r="G11077" s="128">
        <v>6278335.2199999997</v>
      </c>
      <c r="H11077" s="128">
        <v>2075561.51</v>
      </c>
      <c r="I11077" s="128">
        <v>149987</v>
      </c>
    </row>
    <row r="11078" spans="1:9" ht="13.5">
      <c r="A11078" s="128">
        <v>2020</v>
      </c>
      <c r="B11078" s="128" t="s">
        <v>139</v>
      </c>
      <c r="C11078" s="128" t="s">
        <v>21</v>
      </c>
      <c r="D11078" s="128" t="s">
        <v>79</v>
      </c>
      <c r="E11078" s="128" t="s">
        <v>132</v>
      </c>
      <c r="F11078" s="128">
        <v>1899899.08</v>
      </c>
      <c r="G11078" s="128">
        <v>1231378.47</v>
      </c>
      <c r="H11078" s="128">
        <v>416637.84</v>
      </c>
      <c r="I11078" s="128">
        <v>5943</v>
      </c>
    </row>
    <row r="11079" spans="1:9" ht="13.5">
      <c r="A11079" s="128">
        <v>2020</v>
      </c>
      <c r="B11079" s="128" t="s">
        <v>139</v>
      </c>
      <c r="C11079" s="128" t="s">
        <v>21</v>
      </c>
      <c r="D11079" s="128" t="s">
        <v>79</v>
      </c>
      <c r="E11079" s="128" t="s">
        <v>133</v>
      </c>
      <c r="F11079" s="128">
        <v>1279308.82</v>
      </c>
      <c r="G11079" s="128">
        <v>694786.88</v>
      </c>
      <c r="H11079" s="128">
        <v>237408.55</v>
      </c>
      <c r="I11079" s="128">
        <v>6337</v>
      </c>
    </row>
    <row r="11080" spans="1:9" ht="13.5">
      <c r="A11080" s="128">
        <v>2020</v>
      </c>
      <c r="B11080" s="128" t="s">
        <v>139</v>
      </c>
      <c r="C11080" s="128" t="s">
        <v>21</v>
      </c>
      <c r="D11080" s="128" t="s">
        <v>79</v>
      </c>
      <c r="E11080" s="128" t="s">
        <v>134</v>
      </c>
      <c r="F11080" s="128">
        <v>3748481.75</v>
      </c>
      <c r="G11080" s="128">
        <v>1613926.41</v>
      </c>
      <c r="H11080" s="128">
        <v>553459.23</v>
      </c>
      <c r="I11080" s="128">
        <v>15540</v>
      </c>
    </row>
    <row r="11081" spans="1:9" ht="13.5">
      <c r="A11081" s="128">
        <v>2020</v>
      </c>
      <c r="B11081" s="128" t="s">
        <v>139</v>
      </c>
      <c r="C11081" s="128" t="s">
        <v>21</v>
      </c>
      <c r="D11081" s="128" t="s">
        <v>79</v>
      </c>
      <c r="E11081" s="128" t="s">
        <v>135</v>
      </c>
      <c r="F11081" s="128">
        <v>23548677.5</v>
      </c>
      <c r="G11081" s="128">
        <v>5372358.4100000001</v>
      </c>
      <c r="H11081" s="128">
        <v>1833876.81</v>
      </c>
      <c r="I11081" s="128">
        <v>21300</v>
      </c>
    </row>
    <row r="11082" spans="1:9" ht="13.5">
      <c r="A11082" s="128">
        <v>2020</v>
      </c>
      <c r="B11082" s="128" t="s">
        <v>139</v>
      </c>
      <c r="C11082" s="128" t="s">
        <v>21</v>
      </c>
      <c r="D11082" s="128" t="s">
        <v>77</v>
      </c>
      <c r="E11082" s="128" t="s">
        <v>132</v>
      </c>
      <c r="F11082" s="128">
        <v>2809016.65</v>
      </c>
      <c r="G11082" s="128">
        <v>1875612.14</v>
      </c>
      <c r="H11082" s="128">
        <v>790707.09</v>
      </c>
      <c r="I11082" s="128">
        <v>12637</v>
      </c>
    </row>
    <row r="11083" spans="1:9" ht="13.5">
      <c r="A11083" s="128">
        <v>2020</v>
      </c>
      <c r="B11083" s="128" t="s">
        <v>139</v>
      </c>
      <c r="C11083" s="128" t="s">
        <v>21</v>
      </c>
      <c r="D11083" s="128" t="s">
        <v>77</v>
      </c>
      <c r="E11083" s="128" t="s">
        <v>133</v>
      </c>
      <c r="F11083" s="128">
        <v>5964307.4900000002</v>
      </c>
      <c r="G11083" s="128">
        <v>3229671.09</v>
      </c>
      <c r="H11083" s="128">
        <v>2281496.59</v>
      </c>
      <c r="I11083" s="128">
        <v>23664</v>
      </c>
    </row>
    <row r="11084" spans="1:9" ht="13.5">
      <c r="A11084" s="128">
        <v>2020</v>
      </c>
      <c r="B11084" s="128" t="s">
        <v>139</v>
      </c>
      <c r="C11084" s="128" t="s">
        <v>21</v>
      </c>
      <c r="D11084" s="128" t="s">
        <v>77</v>
      </c>
      <c r="E11084" s="128" t="s">
        <v>134</v>
      </c>
      <c r="F11084" s="128">
        <v>15917543.26</v>
      </c>
      <c r="G11084" s="128">
        <v>6833494.5700000003</v>
      </c>
      <c r="H11084" s="128">
        <v>6504302.7800000003</v>
      </c>
      <c r="I11084" s="128">
        <v>33378</v>
      </c>
    </row>
    <row r="11085" spans="1:9" ht="13.5">
      <c r="A11085" s="128">
        <v>2020</v>
      </c>
      <c r="B11085" s="128" t="s">
        <v>139</v>
      </c>
      <c r="C11085" s="128" t="s">
        <v>21</v>
      </c>
      <c r="D11085" s="128" t="s">
        <v>77</v>
      </c>
      <c r="E11085" s="128" t="s">
        <v>135</v>
      </c>
      <c r="F11085" s="128">
        <v>38875644.07</v>
      </c>
      <c r="G11085" s="128">
        <v>10493931.449999999</v>
      </c>
      <c r="H11085" s="128">
        <v>12133610.880000001</v>
      </c>
      <c r="I11085" s="128">
        <v>144807</v>
      </c>
    </row>
    <row r="11086" spans="1:9" ht="13.5">
      <c r="A11086" s="128">
        <v>2020</v>
      </c>
      <c r="B11086" s="128" t="s">
        <v>139</v>
      </c>
      <c r="C11086" s="128" t="s">
        <v>21</v>
      </c>
      <c r="D11086" s="128" t="s">
        <v>76</v>
      </c>
      <c r="E11086" s="128" t="s">
        <v>136</v>
      </c>
      <c r="F11086" s="128">
        <v>21996413.039999999</v>
      </c>
      <c r="G11086" s="128">
        <v>16524946.869999999</v>
      </c>
      <c r="H11086" s="128">
        <v>5471585.1200000001</v>
      </c>
      <c r="I11086" s="128">
        <v>364277</v>
      </c>
    </row>
    <row r="11087" spans="1:9" ht="13.5">
      <c r="A11087" s="128">
        <v>2020</v>
      </c>
      <c r="B11087" s="128" t="s">
        <v>139</v>
      </c>
      <c r="C11087" s="128" t="s">
        <v>21</v>
      </c>
      <c r="D11087" s="128" t="s">
        <v>76</v>
      </c>
      <c r="E11087" s="128" t="s">
        <v>132</v>
      </c>
      <c r="F11087" s="128">
        <v>43239011.719999999</v>
      </c>
      <c r="G11087" s="128">
        <v>27727917.530000001</v>
      </c>
      <c r="H11087" s="128">
        <v>15510983.359999999</v>
      </c>
      <c r="I11087" s="128">
        <v>361112</v>
      </c>
    </row>
    <row r="11088" spans="1:9" ht="13.5">
      <c r="A11088" s="128">
        <v>2020</v>
      </c>
      <c r="B11088" s="128" t="s">
        <v>139</v>
      </c>
      <c r="C11088" s="128" t="s">
        <v>21</v>
      </c>
      <c r="D11088" s="128" t="s">
        <v>76</v>
      </c>
      <c r="E11088" s="128" t="s">
        <v>133</v>
      </c>
      <c r="F11088" s="128">
        <v>115862843.40000001</v>
      </c>
      <c r="G11088" s="128">
        <v>63625595.289999999</v>
      </c>
      <c r="H11088" s="128">
        <v>52237165.240000002</v>
      </c>
      <c r="I11088" s="128">
        <v>795319</v>
      </c>
    </row>
    <row r="11089" spans="1:9" ht="13.5">
      <c r="A11089" s="128">
        <v>2020</v>
      </c>
      <c r="B11089" s="128" t="s">
        <v>139</v>
      </c>
      <c r="C11089" s="128" t="s">
        <v>21</v>
      </c>
      <c r="D11089" s="128" t="s">
        <v>76</v>
      </c>
      <c r="E11089" s="128" t="s">
        <v>134</v>
      </c>
      <c r="F11089" s="128">
        <v>91065794.480000004</v>
      </c>
      <c r="G11089" s="128">
        <v>40855313.100000001</v>
      </c>
      <c r="H11089" s="128">
        <v>50210396.520000003</v>
      </c>
      <c r="I11089" s="128">
        <v>494223</v>
      </c>
    </row>
    <row r="11090" spans="1:9" ht="13.5">
      <c r="A11090" s="128">
        <v>2020</v>
      </c>
      <c r="B11090" s="128" t="s">
        <v>139</v>
      </c>
      <c r="C11090" s="128" t="s">
        <v>21</v>
      </c>
      <c r="D11090" s="128" t="s">
        <v>76</v>
      </c>
      <c r="E11090" s="128" t="s">
        <v>135</v>
      </c>
      <c r="F11090" s="128">
        <v>3379826.8</v>
      </c>
      <c r="G11090" s="128">
        <v>914216.03</v>
      </c>
      <c r="H11090" s="128">
        <v>2465610.77</v>
      </c>
      <c r="I11090" s="128">
        <v>2791</v>
      </c>
    </row>
    <row r="11091" spans="1:9" ht="13.5">
      <c r="A11091" s="128">
        <v>2020</v>
      </c>
      <c r="B11091" s="128" t="s">
        <v>139</v>
      </c>
      <c r="C11091" s="128" t="s">
        <v>22</v>
      </c>
      <c r="D11091" s="128" t="s">
        <v>79</v>
      </c>
      <c r="E11091" s="128" t="s">
        <v>136</v>
      </c>
      <c r="F11091" s="128">
        <v>5230505.82</v>
      </c>
      <c r="G11091" s="128">
        <v>3917480.93</v>
      </c>
      <c r="H11091" s="128">
        <v>1289648.44</v>
      </c>
      <c r="I11091" s="128">
        <v>67376</v>
      </c>
    </row>
    <row r="11092" spans="1:9" ht="13.5">
      <c r="A11092" s="128">
        <v>2020</v>
      </c>
      <c r="B11092" s="128" t="s">
        <v>139</v>
      </c>
      <c r="C11092" s="128" t="s">
        <v>22</v>
      </c>
      <c r="D11092" s="128" t="s">
        <v>79</v>
      </c>
      <c r="E11092" s="128" t="s">
        <v>132</v>
      </c>
      <c r="F11092" s="128">
        <v>1252483.54</v>
      </c>
      <c r="G11092" s="128">
        <v>833230.23</v>
      </c>
      <c r="H11092" s="128">
        <v>296956.15000000002</v>
      </c>
      <c r="I11092" s="128">
        <v>3075</v>
      </c>
    </row>
    <row r="11093" spans="1:9" ht="13.5">
      <c r="A11093" s="128">
        <v>2020</v>
      </c>
      <c r="B11093" s="128" t="s">
        <v>139</v>
      </c>
      <c r="C11093" s="128" t="s">
        <v>22</v>
      </c>
      <c r="D11093" s="128" t="s">
        <v>79</v>
      </c>
      <c r="E11093" s="128" t="s">
        <v>133</v>
      </c>
      <c r="F11093" s="128">
        <v>928586.14</v>
      </c>
      <c r="G11093" s="128">
        <v>502534.76</v>
      </c>
      <c r="H11093" s="128">
        <v>173791.16</v>
      </c>
      <c r="I11093" s="128">
        <v>2244</v>
      </c>
    </row>
    <row r="11094" spans="1:9" ht="13.5">
      <c r="A11094" s="128">
        <v>2020</v>
      </c>
      <c r="B11094" s="128" t="s">
        <v>139</v>
      </c>
      <c r="C11094" s="128" t="s">
        <v>22</v>
      </c>
      <c r="D11094" s="128" t="s">
        <v>79</v>
      </c>
      <c r="E11094" s="128" t="s">
        <v>134</v>
      </c>
      <c r="F11094" s="128">
        <v>4036112.38</v>
      </c>
      <c r="G11094" s="128">
        <v>1736978.15</v>
      </c>
      <c r="H11094" s="128">
        <v>584701.99</v>
      </c>
      <c r="I11094" s="128">
        <v>25333</v>
      </c>
    </row>
    <row r="11095" spans="1:9" ht="13.5">
      <c r="A11095" s="128">
        <v>2020</v>
      </c>
      <c r="B11095" s="128" t="s">
        <v>139</v>
      </c>
      <c r="C11095" s="128" t="s">
        <v>22</v>
      </c>
      <c r="D11095" s="128" t="s">
        <v>79</v>
      </c>
      <c r="E11095" s="128" t="s">
        <v>135</v>
      </c>
      <c r="F11095" s="128">
        <v>33622097.399999999</v>
      </c>
      <c r="G11095" s="128">
        <v>7576942.7400000002</v>
      </c>
      <c r="H11095" s="128">
        <v>2535248</v>
      </c>
      <c r="I11095" s="128">
        <v>31394</v>
      </c>
    </row>
    <row r="11096" spans="1:9" ht="13.5">
      <c r="A11096" s="128">
        <v>2020</v>
      </c>
      <c r="B11096" s="128" t="s">
        <v>139</v>
      </c>
      <c r="C11096" s="128" t="s">
        <v>22</v>
      </c>
      <c r="D11096" s="128" t="s">
        <v>77</v>
      </c>
      <c r="E11096" s="128" t="s">
        <v>132</v>
      </c>
      <c r="F11096" s="128">
        <v>1531854</v>
      </c>
      <c r="G11096" s="128">
        <v>1015754.61</v>
      </c>
      <c r="H11096" s="128">
        <v>445183.63</v>
      </c>
      <c r="I11096" s="128">
        <v>7108</v>
      </c>
    </row>
    <row r="11097" spans="1:9" ht="13.5">
      <c r="A11097" s="128">
        <v>2020</v>
      </c>
      <c r="B11097" s="128" t="s">
        <v>139</v>
      </c>
      <c r="C11097" s="128" t="s">
        <v>22</v>
      </c>
      <c r="D11097" s="128" t="s">
        <v>77</v>
      </c>
      <c r="E11097" s="128" t="s">
        <v>133</v>
      </c>
      <c r="F11097" s="128">
        <v>3307967.68</v>
      </c>
      <c r="G11097" s="128">
        <v>1785095.03</v>
      </c>
      <c r="H11097" s="128">
        <v>1246229.3799999999</v>
      </c>
      <c r="I11097" s="128">
        <v>17011</v>
      </c>
    </row>
    <row r="11098" spans="1:9" ht="13.5">
      <c r="A11098" s="128">
        <v>2020</v>
      </c>
      <c r="B11098" s="128" t="s">
        <v>139</v>
      </c>
      <c r="C11098" s="128" t="s">
        <v>22</v>
      </c>
      <c r="D11098" s="128" t="s">
        <v>77</v>
      </c>
      <c r="E11098" s="128" t="s">
        <v>134</v>
      </c>
      <c r="F11098" s="128">
        <v>16123314.01</v>
      </c>
      <c r="G11098" s="128">
        <v>6807856.6200000001</v>
      </c>
      <c r="H11098" s="128">
        <v>6782204.4199999999</v>
      </c>
      <c r="I11098" s="128">
        <v>22214</v>
      </c>
    </row>
    <row r="11099" spans="1:9" ht="13.5">
      <c r="A11099" s="128">
        <v>2020</v>
      </c>
      <c r="B11099" s="128" t="s">
        <v>139</v>
      </c>
      <c r="C11099" s="128" t="s">
        <v>22</v>
      </c>
      <c r="D11099" s="128" t="s">
        <v>77</v>
      </c>
      <c r="E11099" s="128" t="s">
        <v>135</v>
      </c>
      <c r="F11099" s="128">
        <v>32634068.050000001</v>
      </c>
      <c r="G11099" s="128">
        <v>8492963.7899999991</v>
      </c>
      <c r="H11099" s="128">
        <v>9552658.8300000001</v>
      </c>
      <c r="I11099" s="128">
        <v>81057</v>
      </c>
    </row>
    <row r="11100" spans="1:9" ht="13.5">
      <c r="A11100" s="128">
        <v>2020</v>
      </c>
      <c r="B11100" s="128" t="s">
        <v>139</v>
      </c>
      <c r="C11100" s="128" t="s">
        <v>22</v>
      </c>
      <c r="D11100" s="128" t="s">
        <v>76</v>
      </c>
      <c r="E11100" s="128" t="s">
        <v>136</v>
      </c>
      <c r="F11100" s="128">
        <v>18608977.629999999</v>
      </c>
      <c r="G11100" s="128">
        <v>13966018.4</v>
      </c>
      <c r="H11100" s="128">
        <v>4642956.76</v>
      </c>
      <c r="I11100" s="128">
        <v>326099</v>
      </c>
    </row>
    <row r="11101" spans="1:9" ht="13.5">
      <c r="A11101" s="128">
        <v>2020</v>
      </c>
      <c r="B11101" s="128" t="s">
        <v>139</v>
      </c>
      <c r="C11101" s="128" t="s">
        <v>22</v>
      </c>
      <c r="D11101" s="128" t="s">
        <v>76</v>
      </c>
      <c r="E11101" s="128" t="s">
        <v>132</v>
      </c>
      <c r="F11101" s="128">
        <v>45368758.899999999</v>
      </c>
      <c r="G11101" s="128">
        <v>28983429.539999999</v>
      </c>
      <c r="H11101" s="128">
        <v>16385082.75</v>
      </c>
      <c r="I11101" s="128">
        <v>429843</v>
      </c>
    </row>
    <row r="11102" spans="1:9" ht="13.5">
      <c r="A11102" s="128">
        <v>2020</v>
      </c>
      <c r="B11102" s="128" t="s">
        <v>139</v>
      </c>
      <c r="C11102" s="128" t="s">
        <v>22</v>
      </c>
      <c r="D11102" s="128" t="s">
        <v>76</v>
      </c>
      <c r="E11102" s="128" t="s">
        <v>133</v>
      </c>
      <c r="F11102" s="128">
        <v>75609785.989999995</v>
      </c>
      <c r="G11102" s="128">
        <v>41657000.890000001</v>
      </c>
      <c r="H11102" s="128">
        <v>33952513.090000004</v>
      </c>
      <c r="I11102" s="128">
        <v>597431</v>
      </c>
    </row>
    <row r="11103" spans="1:9" ht="13.5">
      <c r="A11103" s="128">
        <v>2020</v>
      </c>
      <c r="B11103" s="128" t="s">
        <v>139</v>
      </c>
      <c r="C11103" s="128" t="s">
        <v>22</v>
      </c>
      <c r="D11103" s="128" t="s">
        <v>76</v>
      </c>
      <c r="E11103" s="128" t="s">
        <v>134</v>
      </c>
      <c r="F11103" s="128">
        <v>69463450.200000003</v>
      </c>
      <c r="G11103" s="128">
        <v>31580586.129999999</v>
      </c>
      <c r="H11103" s="128">
        <v>37882187.07</v>
      </c>
      <c r="I11103" s="128">
        <v>457070</v>
      </c>
    </row>
    <row r="11104" spans="1:9" ht="13.5">
      <c r="A11104" s="128">
        <v>2020</v>
      </c>
      <c r="B11104" s="128" t="s">
        <v>139</v>
      </c>
      <c r="C11104" s="128" t="s">
        <v>22</v>
      </c>
      <c r="D11104" s="128" t="s">
        <v>76</v>
      </c>
      <c r="E11104" s="128" t="s">
        <v>135</v>
      </c>
      <c r="F11104" s="128">
        <v>4461607.8600000003</v>
      </c>
      <c r="G11104" s="128">
        <v>1263868.3899999999</v>
      </c>
      <c r="H11104" s="128">
        <v>3197732.57</v>
      </c>
      <c r="I11104" s="128">
        <v>5615</v>
      </c>
    </row>
    <row r="11105" spans="1:9" ht="13.5">
      <c r="A11105" s="128">
        <v>2020</v>
      </c>
      <c r="B11105" s="128" t="s">
        <v>139</v>
      </c>
      <c r="C11105" s="128" t="s">
        <v>23</v>
      </c>
      <c r="D11105" s="128" t="s">
        <v>79</v>
      </c>
      <c r="E11105" s="128" t="s">
        <v>136</v>
      </c>
      <c r="F11105" s="128">
        <v>1725993.98</v>
      </c>
      <c r="G11105" s="128">
        <v>1297660.74</v>
      </c>
      <c r="H11105" s="128">
        <v>427869.09</v>
      </c>
      <c r="I11105" s="128">
        <v>11292</v>
      </c>
    </row>
    <row r="11106" spans="1:9" ht="13.5">
      <c r="A11106" s="128">
        <v>2020</v>
      </c>
      <c r="B11106" s="128" t="s">
        <v>139</v>
      </c>
      <c r="C11106" s="128" t="s">
        <v>23</v>
      </c>
      <c r="D11106" s="128" t="s">
        <v>79</v>
      </c>
      <c r="E11106" s="128" t="s">
        <v>132</v>
      </c>
      <c r="F11106" s="128">
        <v>386256.07</v>
      </c>
      <c r="G11106" s="128">
        <v>258713.18</v>
      </c>
      <c r="H11106" s="128">
        <v>86821.7</v>
      </c>
      <c r="I11106" s="128">
        <v>820</v>
      </c>
    </row>
    <row r="11107" spans="1:9" ht="13.5">
      <c r="A11107" s="128">
        <v>2020</v>
      </c>
      <c r="B11107" s="128" t="s">
        <v>139</v>
      </c>
      <c r="C11107" s="128" t="s">
        <v>23</v>
      </c>
      <c r="D11107" s="128" t="s">
        <v>79</v>
      </c>
      <c r="E11107" s="128" t="s">
        <v>133</v>
      </c>
      <c r="F11107" s="128">
        <v>203778.64</v>
      </c>
      <c r="G11107" s="128">
        <v>111394.18</v>
      </c>
      <c r="H11107" s="128">
        <v>38484.18</v>
      </c>
      <c r="I11107" s="128">
        <v>384</v>
      </c>
    </row>
    <row r="11108" spans="1:9" ht="13.5">
      <c r="A11108" s="128">
        <v>2020</v>
      </c>
      <c r="B11108" s="128" t="s">
        <v>139</v>
      </c>
      <c r="C11108" s="128" t="s">
        <v>23</v>
      </c>
      <c r="D11108" s="128" t="s">
        <v>79</v>
      </c>
      <c r="E11108" s="128" t="s">
        <v>134</v>
      </c>
      <c r="F11108" s="128">
        <v>263935.23</v>
      </c>
      <c r="G11108" s="128">
        <v>112765.61</v>
      </c>
      <c r="H11108" s="128">
        <v>37983.75</v>
      </c>
      <c r="I11108" s="128">
        <v>704</v>
      </c>
    </row>
    <row r="11109" spans="1:9" ht="13.5">
      <c r="A11109" s="128">
        <v>2020</v>
      </c>
      <c r="B11109" s="128" t="s">
        <v>139</v>
      </c>
      <c r="C11109" s="128" t="s">
        <v>23</v>
      </c>
      <c r="D11109" s="128" t="s">
        <v>79</v>
      </c>
      <c r="E11109" s="128" t="s">
        <v>135</v>
      </c>
      <c r="F11109" s="128">
        <v>1950138.39</v>
      </c>
      <c r="G11109" s="128">
        <v>407044.05</v>
      </c>
      <c r="H11109" s="128">
        <v>135889.18</v>
      </c>
      <c r="I11109" s="128">
        <v>1798</v>
      </c>
    </row>
    <row r="11110" spans="1:9" ht="13.5">
      <c r="A11110" s="128">
        <v>2020</v>
      </c>
      <c r="B11110" s="128" t="s">
        <v>139</v>
      </c>
      <c r="C11110" s="128" t="s">
        <v>23</v>
      </c>
      <c r="D11110" s="128" t="s">
        <v>77</v>
      </c>
      <c r="E11110" s="128" t="s">
        <v>132</v>
      </c>
      <c r="F11110" s="128">
        <v>389368.65</v>
      </c>
      <c r="G11110" s="128">
        <v>249270.58</v>
      </c>
      <c r="H11110" s="128">
        <v>112075.75</v>
      </c>
      <c r="I11110" s="128">
        <v>2233</v>
      </c>
    </row>
    <row r="11111" spans="1:9" ht="13.5">
      <c r="A11111" s="128">
        <v>2020</v>
      </c>
      <c r="B11111" s="128" t="s">
        <v>139</v>
      </c>
      <c r="C11111" s="128" t="s">
        <v>23</v>
      </c>
      <c r="D11111" s="128" t="s">
        <v>77</v>
      </c>
      <c r="E11111" s="128" t="s">
        <v>133</v>
      </c>
      <c r="F11111" s="128">
        <v>1129164.08</v>
      </c>
      <c r="G11111" s="128">
        <v>611010.31999999995</v>
      </c>
      <c r="H11111" s="128">
        <v>435987.37</v>
      </c>
      <c r="I11111" s="128">
        <v>4838</v>
      </c>
    </row>
    <row r="11112" spans="1:9" ht="13.5">
      <c r="A11112" s="128">
        <v>2020</v>
      </c>
      <c r="B11112" s="128" t="s">
        <v>139</v>
      </c>
      <c r="C11112" s="128" t="s">
        <v>23</v>
      </c>
      <c r="D11112" s="128" t="s">
        <v>77</v>
      </c>
      <c r="E11112" s="128" t="s">
        <v>134</v>
      </c>
      <c r="F11112" s="128">
        <v>7142869.6500000004</v>
      </c>
      <c r="G11112" s="128">
        <v>3010733.65</v>
      </c>
      <c r="H11112" s="128">
        <v>3156564.57</v>
      </c>
      <c r="I11112" s="128">
        <v>10874</v>
      </c>
    </row>
    <row r="11113" spans="1:9" ht="13.5">
      <c r="A11113" s="128">
        <v>2020</v>
      </c>
      <c r="B11113" s="128" t="s">
        <v>139</v>
      </c>
      <c r="C11113" s="128" t="s">
        <v>23</v>
      </c>
      <c r="D11113" s="128" t="s">
        <v>77</v>
      </c>
      <c r="E11113" s="128" t="s">
        <v>135</v>
      </c>
      <c r="F11113" s="128">
        <v>9625691.4299999997</v>
      </c>
      <c r="G11113" s="128">
        <v>2742435.35</v>
      </c>
      <c r="H11113" s="128">
        <v>3372651</v>
      </c>
      <c r="I11113" s="128">
        <v>34564</v>
      </c>
    </row>
    <row r="11114" spans="1:9" ht="13.5">
      <c r="A11114" s="128">
        <v>2020</v>
      </c>
      <c r="B11114" s="128" t="s">
        <v>139</v>
      </c>
      <c r="C11114" s="128" t="s">
        <v>23</v>
      </c>
      <c r="D11114" s="128" t="s">
        <v>76</v>
      </c>
      <c r="E11114" s="128" t="s">
        <v>136</v>
      </c>
      <c r="F11114" s="128">
        <v>7760309.2599999998</v>
      </c>
      <c r="G11114" s="128">
        <v>5823966.6500000004</v>
      </c>
      <c r="H11114" s="128">
        <v>1936385.31</v>
      </c>
      <c r="I11114" s="128">
        <v>138485</v>
      </c>
    </row>
    <row r="11115" spans="1:9" ht="13.5">
      <c r="A11115" s="128">
        <v>2020</v>
      </c>
      <c r="B11115" s="128" t="s">
        <v>139</v>
      </c>
      <c r="C11115" s="128" t="s">
        <v>23</v>
      </c>
      <c r="D11115" s="128" t="s">
        <v>76</v>
      </c>
      <c r="E11115" s="128" t="s">
        <v>132</v>
      </c>
      <c r="F11115" s="128">
        <v>8449585.8499999996</v>
      </c>
      <c r="G11115" s="128">
        <v>5302884.7</v>
      </c>
      <c r="H11115" s="128">
        <v>3146691.68</v>
      </c>
      <c r="I11115" s="128">
        <v>75280</v>
      </c>
    </row>
    <row r="11116" spans="1:9" ht="13.5">
      <c r="A11116" s="128">
        <v>2020</v>
      </c>
      <c r="B11116" s="128" t="s">
        <v>139</v>
      </c>
      <c r="C11116" s="128" t="s">
        <v>23</v>
      </c>
      <c r="D11116" s="128" t="s">
        <v>76</v>
      </c>
      <c r="E11116" s="128" t="s">
        <v>133</v>
      </c>
      <c r="F11116" s="128">
        <v>29118474.859999999</v>
      </c>
      <c r="G11116" s="128">
        <v>15847340.810000001</v>
      </c>
      <c r="H11116" s="128">
        <v>13271123.16</v>
      </c>
      <c r="I11116" s="128">
        <v>223380</v>
      </c>
    </row>
    <row r="11117" spans="1:9" ht="13.5">
      <c r="A11117" s="128">
        <v>2020</v>
      </c>
      <c r="B11117" s="128" t="s">
        <v>139</v>
      </c>
      <c r="C11117" s="128" t="s">
        <v>23</v>
      </c>
      <c r="D11117" s="128" t="s">
        <v>76</v>
      </c>
      <c r="E11117" s="128" t="s">
        <v>134</v>
      </c>
      <c r="F11117" s="128">
        <v>39785309.960000001</v>
      </c>
      <c r="G11117" s="128">
        <v>17678537.829999998</v>
      </c>
      <c r="H11117" s="128">
        <v>22106762.809999999</v>
      </c>
      <c r="I11117" s="128">
        <v>156106</v>
      </c>
    </row>
    <row r="11118" spans="1:9" ht="13.5">
      <c r="A11118" s="128">
        <v>2020</v>
      </c>
      <c r="B11118" s="128" t="s">
        <v>139</v>
      </c>
      <c r="C11118" s="128" t="s">
        <v>23</v>
      </c>
      <c r="D11118" s="128" t="s">
        <v>76</v>
      </c>
      <c r="E11118" s="128" t="s">
        <v>135</v>
      </c>
      <c r="F11118" s="128">
        <v>1087854.1100000001</v>
      </c>
      <c r="G11118" s="128">
        <v>278050.65000000002</v>
      </c>
      <c r="H11118" s="128">
        <v>809803.46</v>
      </c>
      <c r="I11118" s="128">
        <v>781</v>
      </c>
    </row>
    <row r="11119" spans="1:9" ht="13.5">
      <c r="A11119" s="128">
        <v>2020</v>
      </c>
      <c r="B11119" s="128" t="s">
        <v>139</v>
      </c>
      <c r="C11119" s="128" t="s">
        <v>24</v>
      </c>
      <c r="D11119" s="128" t="s">
        <v>79</v>
      </c>
      <c r="E11119" s="128" t="s">
        <v>136</v>
      </c>
      <c r="F11119" s="128">
        <v>1815015.6</v>
      </c>
      <c r="G11119" s="128">
        <v>1356966.77</v>
      </c>
      <c r="H11119" s="128">
        <v>449355.03</v>
      </c>
      <c r="I11119" s="128">
        <v>33672</v>
      </c>
    </row>
    <row r="11120" spans="1:9" ht="13.5">
      <c r="A11120" s="128">
        <v>2020</v>
      </c>
      <c r="B11120" s="128" t="s">
        <v>139</v>
      </c>
      <c r="C11120" s="128" t="s">
        <v>24</v>
      </c>
      <c r="D11120" s="128" t="s">
        <v>79</v>
      </c>
      <c r="E11120" s="128" t="s">
        <v>132</v>
      </c>
      <c r="F11120" s="128">
        <v>245093.58</v>
      </c>
      <c r="G11120" s="128">
        <v>162093.95000000001</v>
      </c>
      <c r="H11120" s="128">
        <v>53675.91</v>
      </c>
      <c r="I11120" s="128">
        <v>695</v>
      </c>
    </row>
    <row r="11121" spans="1:9" ht="13.5">
      <c r="A11121" s="128">
        <v>2020</v>
      </c>
      <c r="B11121" s="128" t="s">
        <v>139</v>
      </c>
      <c r="C11121" s="128" t="s">
        <v>24</v>
      </c>
      <c r="D11121" s="128" t="s">
        <v>79</v>
      </c>
      <c r="E11121" s="128" t="s">
        <v>133</v>
      </c>
      <c r="F11121" s="128">
        <v>443055.95</v>
      </c>
      <c r="G11121" s="128">
        <v>241513.28</v>
      </c>
      <c r="H11121" s="128">
        <v>84543.83</v>
      </c>
      <c r="I11121" s="128">
        <v>1066</v>
      </c>
    </row>
    <row r="11122" spans="1:9" ht="13.5">
      <c r="A11122" s="128">
        <v>2020</v>
      </c>
      <c r="B11122" s="128" t="s">
        <v>139</v>
      </c>
      <c r="C11122" s="128" t="s">
        <v>24</v>
      </c>
      <c r="D11122" s="128" t="s">
        <v>79</v>
      </c>
      <c r="E11122" s="128" t="s">
        <v>134</v>
      </c>
      <c r="F11122" s="128">
        <v>1632261.91</v>
      </c>
      <c r="G11122" s="128">
        <v>710972.06</v>
      </c>
      <c r="H11122" s="128">
        <v>238360.19</v>
      </c>
      <c r="I11122" s="128">
        <v>15187</v>
      </c>
    </row>
    <row r="11123" spans="1:9" ht="13.5">
      <c r="A11123" s="128">
        <v>2020</v>
      </c>
      <c r="B11123" s="128" t="s">
        <v>139</v>
      </c>
      <c r="C11123" s="128" t="s">
        <v>24</v>
      </c>
      <c r="D11123" s="128" t="s">
        <v>79</v>
      </c>
      <c r="E11123" s="128" t="s">
        <v>135</v>
      </c>
      <c r="F11123" s="128">
        <v>6714685.25</v>
      </c>
      <c r="G11123" s="128">
        <v>1429923.58</v>
      </c>
      <c r="H11123" s="128">
        <v>491015.85</v>
      </c>
      <c r="I11123" s="128">
        <v>7853</v>
      </c>
    </row>
    <row r="11124" spans="1:9" ht="13.5">
      <c r="A11124" s="128">
        <v>2020</v>
      </c>
      <c r="B11124" s="128" t="s">
        <v>139</v>
      </c>
      <c r="C11124" s="128" t="s">
        <v>24</v>
      </c>
      <c r="D11124" s="128" t="s">
        <v>77</v>
      </c>
      <c r="E11124" s="128" t="s">
        <v>132</v>
      </c>
      <c r="F11124" s="128">
        <v>1039240.67</v>
      </c>
      <c r="G11124" s="128">
        <v>668307.80000000005</v>
      </c>
      <c r="H11124" s="128">
        <v>321411.77</v>
      </c>
      <c r="I11124" s="128">
        <v>4946</v>
      </c>
    </row>
    <row r="11125" spans="1:9" ht="13.5">
      <c r="A11125" s="128">
        <v>2020</v>
      </c>
      <c r="B11125" s="128" t="s">
        <v>139</v>
      </c>
      <c r="C11125" s="128" t="s">
        <v>24</v>
      </c>
      <c r="D11125" s="128" t="s">
        <v>77</v>
      </c>
      <c r="E11125" s="128" t="s">
        <v>133</v>
      </c>
      <c r="F11125" s="128">
        <v>2810406.88</v>
      </c>
      <c r="G11125" s="128">
        <v>1490771.85</v>
      </c>
      <c r="H11125" s="128">
        <v>1121135.3999999999</v>
      </c>
      <c r="I11125" s="128">
        <v>23617</v>
      </c>
    </row>
    <row r="11126" spans="1:9" ht="13.5">
      <c r="A11126" s="128">
        <v>2020</v>
      </c>
      <c r="B11126" s="128" t="s">
        <v>139</v>
      </c>
      <c r="C11126" s="128" t="s">
        <v>24</v>
      </c>
      <c r="D11126" s="128" t="s">
        <v>77</v>
      </c>
      <c r="E11126" s="128" t="s">
        <v>134</v>
      </c>
      <c r="F11126" s="128">
        <v>8596061.3900000006</v>
      </c>
      <c r="G11126" s="128">
        <v>3773813.36</v>
      </c>
      <c r="H11126" s="128">
        <v>3412427.22</v>
      </c>
      <c r="I11126" s="128">
        <v>17527</v>
      </c>
    </row>
    <row r="11127" spans="1:9" ht="13.5">
      <c r="A11127" s="128">
        <v>2020</v>
      </c>
      <c r="B11127" s="128" t="s">
        <v>139</v>
      </c>
      <c r="C11127" s="128" t="s">
        <v>24</v>
      </c>
      <c r="D11127" s="128" t="s">
        <v>77</v>
      </c>
      <c r="E11127" s="128" t="s">
        <v>135</v>
      </c>
      <c r="F11127" s="128">
        <v>16019007.92</v>
      </c>
      <c r="G11127" s="128">
        <v>4046613.32</v>
      </c>
      <c r="H11127" s="128">
        <v>3020356.28</v>
      </c>
      <c r="I11127" s="128">
        <v>40707</v>
      </c>
    </row>
    <row r="11128" spans="1:9" ht="13.5">
      <c r="A11128" s="128">
        <v>2020</v>
      </c>
      <c r="B11128" s="128" t="s">
        <v>139</v>
      </c>
      <c r="C11128" s="128" t="s">
        <v>24</v>
      </c>
      <c r="D11128" s="128" t="s">
        <v>76</v>
      </c>
      <c r="E11128" s="128" t="s">
        <v>136</v>
      </c>
      <c r="F11128" s="128">
        <v>9564868.4900000002</v>
      </c>
      <c r="G11128" s="128">
        <v>7182277.9199999999</v>
      </c>
      <c r="H11128" s="128">
        <v>2382587.62</v>
      </c>
      <c r="I11128" s="128">
        <v>128710</v>
      </c>
    </row>
    <row r="11129" spans="1:9" ht="13.5">
      <c r="A11129" s="128">
        <v>2020</v>
      </c>
      <c r="B11129" s="128" t="s">
        <v>139</v>
      </c>
      <c r="C11129" s="128" t="s">
        <v>24</v>
      </c>
      <c r="D11129" s="128" t="s">
        <v>76</v>
      </c>
      <c r="E11129" s="128" t="s">
        <v>132</v>
      </c>
      <c r="F11129" s="128">
        <v>9256097.25</v>
      </c>
      <c r="G11129" s="128">
        <v>5976643.7400000002</v>
      </c>
      <c r="H11129" s="128">
        <v>3279448.39</v>
      </c>
      <c r="I11129" s="128">
        <v>68560</v>
      </c>
    </row>
    <row r="11130" spans="1:9" ht="13.5">
      <c r="A11130" s="128">
        <v>2020</v>
      </c>
      <c r="B11130" s="128" t="s">
        <v>139</v>
      </c>
      <c r="C11130" s="128" t="s">
        <v>24</v>
      </c>
      <c r="D11130" s="128" t="s">
        <v>76</v>
      </c>
      <c r="E11130" s="128" t="s">
        <v>133</v>
      </c>
      <c r="F11130" s="128">
        <v>42880672.939999998</v>
      </c>
      <c r="G11130" s="128">
        <v>23706651.010000002</v>
      </c>
      <c r="H11130" s="128">
        <v>19174016.210000001</v>
      </c>
      <c r="I11130" s="128">
        <v>296731</v>
      </c>
    </row>
    <row r="11131" spans="1:9" ht="13.5">
      <c r="A11131" s="128">
        <v>2020</v>
      </c>
      <c r="B11131" s="128" t="s">
        <v>139</v>
      </c>
      <c r="C11131" s="128" t="s">
        <v>24</v>
      </c>
      <c r="D11131" s="128" t="s">
        <v>76</v>
      </c>
      <c r="E11131" s="128" t="s">
        <v>134</v>
      </c>
      <c r="F11131" s="128">
        <v>50070165.57</v>
      </c>
      <c r="G11131" s="128">
        <v>22229024.859999999</v>
      </c>
      <c r="H11131" s="128">
        <v>27841133.859999999</v>
      </c>
      <c r="I11131" s="128">
        <v>224850</v>
      </c>
    </row>
    <row r="11132" spans="1:9" ht="13.5">
      <c r="A11132" s="128">
        <v>2020</v>
      </c>
      <c r="B11132" s="128" t="s">
        <v>139</v>
      </c>
      <c r="C11132" s="128" t="s">
        <v>24</v>
      </c>
      <c r="D11132" s="128" t="s">
        <v>76</v>
      </c>
      <c r="E11132" s="128" t="s">
        <v>135</v>
      </c>
      <c r="F11132" s="128">
        <v>2556462.37</v>
      </c>
      <c r="G11132" s="128">
        <v>653284.1</v>
      </c>
      <c r="H11132" s="128">
        <v>1903178.27</v>
      </c>
      <c r="I11132" s="128">
        <v>2066</v>
      </c>
    </row>
    <row r="11133" spans="1:9" ht="13.5">
      <c r="A11133" s="128">
        <v>2020</v>
      </c>
      <c r="B11133" s="128" t="s">
        <v>139</v>
      </c>
      <c r="C11133" s="128" t="s">
        <v>25</v>
      </c>
      <c r="D11133" s="128" t="s">
        <v>79</v>
      </c>
      <c r="E11133" s="128" t="s">
        <v>136</v>
      </c>
      <c r="F11133" s="128">
        <v>478011.67</v>
      </c>
      <c r="G11133" s="128">
        <v>358843.71</v>
      </c>
      <c r="H11133" s="128">
        <v>118898.35</v>
      </c>
      <c r="I11133" s="128">
        <v>3133</v>
      </c>
    </row>
    <row r="11134" spans="1:9" ht="13.5">
      <c r="A11134" s="128">
        <v>2020</v>
      </c>
      <c r="B11134" s="128" t="s">
        <v>139</v>
      </c>
      <c r="C11134" s="128" t="s">
        <v>25</v>
      </c>
      <c r="D11134" s="128" t="s">
        <v>79</v>
      </c>
      <c r="E11134" s="128" t="s">
        <v>132</v>
      </c>
      <c r="F11134" s="128">
        <v>127232.17</v>
      </c>
      <c r="G11134" s="128">
        <v>87005.15</v>
      </c>
      <c r="H11134" s="128">
        <v>28923.75</v>
      </c>
      <c r="I11134" s="128">
        <v>444</v>
      </c>
    </row>
    <row r="11135" spans="1:9" ht="13.5">
      <c r="A11135" s="128">
        <v>2020</v>
      </c>
      <c r="B11135" s="128" t="s">
        <v>139</v>
      </c>
      <c r="C11135" s="128" t="s">
        <v>25</v>
      </c>
      <c r="D11135" s="128" t="s">
        <v>79</v>
      </c>
      <c r="E11135" s="128" t="s">
        <v>133</v>
      </c>
      <c r="F11135" s="128">
        <v>90978.8</v>
      </c>
      <c r="G11135" s="128">
        <v>49727.57</v>
      </c>
      <c r="H11135" s="128">
        <v>16409.18</v>
      </c>
      <c r="I11135" s="128">
        <v>251</v>
      </c>
    </row>
    <row r="11136" spans="1:9" ht="13.5">
      <c r="A11136" s="128">
        <v>2020</v>
      </c>
      <c r="B11136" s="128" t="s">
        <v>139</v>
      </c>
      <c r="C11136" s="128" t="s">
        <v>25</v>
      </c>
      <c r="D11136" s="128" t="s">
        <v>79</v>
      </c>
      <c r="E11136" s="128" t="s">
        <v>134</v>
      </c>
      <c r="F11136" s="128">
        <v>166662.46</v>
      </c>
      <c r="G11136" s="128">
        <v>72702.95</v>
      </c>
      <c r="H11136" s="128">
        <v>24291.02</v>
      </c>
      <c r="I11136" s="128">
        <v>731</v>
      </c>
    </row>
    <row r="11137" spans="1:9" ht="13.5">
      <c r="A11137" s="128">
        <v>2020</v>
      </c>
      <c r="B11137" s="128" t="s">
        <v>139</v>
      </c>
      <c r="C11137" s="128" t="s">
        <v>25</v>
      </c>
      <c r="D11137" s="128" t="s">
        <v>79</v>
      </c>
      <c r="E11137" s="128" t="s">
        <v>135</v>
      </c>
      <c r="F11137" s="128">
        <v>1567587.63</v>
      </c>
      <c r="G11137" s="128">
        <v>357313.29</v>
      </c>
      <c r="H11137" s="128">
        <v>120649.23</v>
      </c>
      <c r="I11137" s="128">
        <v>1175</v>
      </c>
    </row>
    <row r="11138" spans="1:9" ht="13.5">
      <c r="A11138" s="128">
        <v>2020</v>
      </c>
      <c r="B11138" s="128" t="s">
        <v>139</v>
      </c>
      <c r="C11138" s="128" t="s">
        <v>25</v>
      </c>
      <c r="D11138" s="128" t="s">
        <v>77</v>
      </c>
      <c r="E11138" s="128" t="s">
        <v>132</v>
      </c>
      <c r="F11138" s="128">
        <v>301003.52000000002</v>
      </c>
      <c r="G11138" s="128">
        <v>193973.46</v>
      </c>
      <c r="H11138" s="128">
        <v>83733.210000000006</v>
      </c>
      <c r="I11138" s="128">
        <v>1796</v>
      </c>
    </row>
    <row r="11139" spans="1:9" ht="13.5">
      <c r="A11139" s="128">
        <v>2020</v>
      </c>
      <c r="B11139" s="128" t="s">
        <v>139</v>
      </c>
      <c r="C11139" s="128" t="s">
        <v>25</v>
      </c>
      <c r="D11139" s="128" t="s">
        <v>77</v>
      </c>
      <c r="E11139" s="128" t="s">
        <v>133</v>
      </c>
      <c r="F11139" s="128">
        <v>421954.73</v>
      </c>
      <c r="G11139" s="128">
        <v>229573.47</v>
      </c>
      <c r="H11139" s="128">
        <v>176178.94</v>
      </c>
      <c r="I11139" s="128">
        <v>1767</v>
      </c>
    </row>
    <row r="11140" spans="1:9" ht="13.5">
      <c r="A11140" s="128">
        <v>2020</v>
      </c>
      <c r="B11140" s="128" t="s">
        <v>139</v>
      </c>
      <c r="C11140" s="128" t="s">
        <v>25</v>
      </c>
      <c r="D11140" s="128" t="s">
        <v>77</v>
      </c>
      <c r="E11140" s="128" t="s">
        <v>134</v>
      </c>
      <c r="F11140" s="128">
        <v>1831640.53</v>
      </c>
      <c r="G11140" s="128">
        <v>775919.93</v>
      </c>
      <c r="H11140" s="128">
        <v>819312.35</v>
      </c>
      <c r="I11140" s="128">
        <v>2675</v>
      </c>
    </row>
    <row r="11141" spans="1:9" ht="13.5">
      <c r="A11141" s="128">
        <v>2020</v>
      </c>
      <c r="B11141" s="128" t="s">
        <v>139</v>
      </c>
      <c r="C11141" s="128" t="s">
        <v>25</v>
      </c>
      <c r="D11141" s="128" t="s">
        <v>77</v>
      </c>
      <c r="E11141" s="128" t="s">
        <v>135</v>
      </c>
      <c r="F11141" s="128">
        <v>2632975.38</v>
      </c>
      <c r="G11141" s="128">
        <v>706114.36</v>
      </c>
      <c r="H11141" s="128">
        <v>838298.87</v>
      </c>
      <c r="I11141" s="128">
        <v>6557</v>
      </c>
    </row>
    <row r="11142" spans="1:9" ht="13.5">
      <c r="A11142" s="128">
        <v>2020</v>
      </c>
      <c r="B11142" s="128" t="s">
        <v>139</v>
      </c>
      <c r="C11142" s="128" t="s">
        <v>25</v>
      </c>
      <c r="D11142" s="128" t="s">
        <v>76</v>
      </c>
      <c r="E11142" s="128" t="s">
        <v>136</v>
      </c>
      <c r="F11142" s="128">
        <v>1809342.67</v>
      </c>
      <c r="G11142" s="128">
        <v>1356166.32</v>
      </c>
      <c r="H11142" s="128">
        <v>453176.35</v>
      </c>
      <c r="I11142" s="128">
        <v>31502</v>
      </c>
    </row>
    <row r="11143" spans="1:9" ht="13.5">
      <c r="A11143" s="128">
        <v>2020</v>
      </c>
      <c r="B11143" s="128" t="s">
        <v>139</v>
      </c>
      <c r="C11143" s="128" t="s">
        <v>25</v>
      </c>
      <c r="D11143" s="128" t="s">
        <v>76</v>
      </c>
      <c r="E11143" s="128" t="s">
        <v>132</v>
      </c>
      <c r="F11143" s="128">
        <v>2685008.89</v>
      </c>
      <c r="G11143" s="128">
        <v>1697358.09</v>
      </c>
      <c r="H11143" s="128">
        <v>987650.8</v>
      </c>
      <c r="I11143" s="128">
        <v>19496</v>
      </c>
    </row>
    <row r="11144" spans="1:9" ht="13.5">
      <c r="A11144" s="128">
        <v>2020</v>
      </c>
      <c r="B11144" s="128" t="s">
        <v>139</v>
      </c>
      <c r="C11144" s="128" t="s">
        <v>25</v>
      </c>
      <c r="D11144" s="128" t="s">
        <v>76</v>
      </c>
      <c r="E11144" s="128" t="s">
        <v>133</v>
      </c>
      <c r="F11144" s="128">
        <v>8654871.3200000003</v>
      </c>
      <c r="G11144" s="128">
        <v>4722570.54</v>
      </c>
      <c r="H11144" s="128">
        <v>3932299.21</v>
      </c>
      <c r="I11144" s="128">
        <v>53709</v>
      </c>
    </row>
    <row r="11145" spans="1:9" ht="13.5">
      <c r="A11145" s="128">
        <v>2020</v>
      </c>
      <c r="B11145" s="128" t="s">
        <v>139</v>
      </c>
      <c r="C11145" s="128" t="s">
        <v>25</v>
      </c>
      <c r="D11145" s="128" t="s">
        <v>76</v>
      </c>
      <c r="E11145" s="128" t="s">
        <v>134</v>
      </c>
      <c r="F11145" s="128">
        <v>10040402.75</v>
      </c>
      <c r="G11145" s="128">
        <v>4569937.5</v>
      </c>
      <c r="H11145" s="128">
        <v>5470465.1900000004</v>
      </c>
      <c r="I11145" s="128">
        <v>46785</v>
      </c>
    </row>
    <row r="11146" spans="1:9" ht="13.5">
      <c r="A11146" s="128">
        <v>2020</v>
      </c>
      <c r="B11146" s="128" t="s">
        <v>139</v>
      </c>
      <c r="C11146" s="128" t="s">
        <v>25</v>
      </c>
      <c r="D11146" s="128" t="s">
        <v>76</v>
      </c>
      <c r="E11146" s="128" t="s">
        <v>135</v>
      </c>
      <c r="F11146" s="128">
        <v>355778.46</v>
      </c>
      <c r="G11146" s="128">
        <v>98141.9</v>
      </c>
      <c r="H11146" s="128">
        <v>257636.56</v>
      </c>
      <c r="I11146" s="128">
        <v>298</v>
      </c>
    </row>
    <row r="11147" spans="1:9" ht="13.5">
      <c r="A11147" s="128">
        <v>2020</v>
      </c>
      <c r="B11147" s="128" t="s">
        <v>139</v>
      </c>
      <c r="C11147" s="128" t="s">
        <v>26</v>
      </c>
      <c r="D11147" s="128" t="s">
        <v>79</v>
      </c>
      <c r="E11147" s="128" t="s">
        <v>136</v>
      </c>
      <c r="F11147" s="128">
        <v>785424.36</v>
      </c>
      <c r="G11147" s="128">
        <v>583815.15</v>
      </c>
      <c r="H11147" s="128">
        <v>193600.61</v>
      </c>
      <c r="I11147" s="128">
        <v>6594</v>
      </c>
    </row>
    <row r="11148" spans="1:9" ht="13.5">
      <c r="A11148" s="128">
        <v>2020</v>
      </c>
      <c r="B11148" s="128" t="s">
        <v>139</v>
      </c>
      <c r="C11148" s="128" t="s">
        <v>26</v>
      </c>
      <c r="D11148" s="128" t="s">
        <v>79</v>
      </c>
      <c r="E11148" s="128" t="s">
        <v>132</v>
      </c>
      <c r="F11148" s="128">
        <v>145252.85999999999</v>
      </c>
      <c r="G11148" s="128">
        <v>100116.24</v>
      </c>
      <c r="H11148" s="128">
        <v>33238.949999999997</v>
      </c>
      <c r="I11148" s="128">
        <v>391</v>
      </c>
    </row>
    <row r="11149" spans="1:9" ht="13.5">
      <c r="A11149" s="128">
        <v>2020</v>
      </c>
      <c r="B11149" s="128" t="s">
        <v>139</v>
      </c>
      <c r="C11149" s="128" t="s">
        <v>26</v>
      </c>
      <c r="D11149" s="128" t="s">
        <v>79</v>
      </c>
      <c r="E11149" s="128" t="s">
        <v>133</v>
      </c>
      <c r="F11149" s="128">
        <v>98186.52</v>
      </c>
      <c r="G11149" s="128">
        <v>53190.44</v>
      </c>
      <c r="H11149" s="128">
        <v>17661.150000000001</v>
      </c>
      <c r="I11149" s="128">
        <v>222</v>
      </c>
    </row>
    <row r="11150" spans="1:9" ht="13.5">
      <c r="A11150" s="128">
        <v>2020</v>
      </c>
      <c r="B11150" s="128" t="s">
        <v>139</v>
      </c>
      <c r="C11150" s="128" t="s">
        <v>26</v>
      </c>
      <c r="D11150" s="128" t="s">
        <v>79</v>
      </c>
      <c r="E11150" s="128" t="s">
        <v>134</v>
      </c>
      <c r="F11150" s="128">
        <v>338501.28</v>
      </c>
      <c r="G11150" s="128">
        <v>145278.81</v>
      </c>
      <c r="H11150" s="128">
        <v>49301.86</v>
      </c>
      <c r="I11150" s="128">
        <v>1550</v>
      </c>
    </row>
    <row r="11151" spans="1:9" ht="13.5">
      <c r="A11151" s="128">
        <v>2020</v>
      </c>
      <c r="B11151" s="128" t="s">
        <v>139</v>
      </c>
      <c r="C11151" s="128" t="s">
        <v>26</v>
      </c>
      <c r="D11151" s="128" t="s">
        <v>79</v>
      </c>
      <c r="E11151" s="128" t="s">
        <v>135</v>
      </c>
      <c r="F11151" s="128">
        <v>5803964.79</v>
      </c>
      <c r="G11151" s="128">
        <v>1280493.1200000001</v>
      </c>
      <c r="H11151" s="128">
        <v>428896.09</v>
      </c>
      <c r="I11151" s="128">
        <v>4990</v>
      </c>
    </row>
    <row r="11152" spans="1:9" ht="13.5">
      <c r="A11152" s="128">
        <v>2020</v>
      </c>
      <c r="B11152" s="128" t="s">
        <v>139</v>
      </c>
      <c r="C11152" s="128" t="s">
        <v>26</v>
      </c>
      <c r="D11152" s="128" t="s">
        <v>77</v>
      </c>
      <c r="E11152" s="128" t="s">
        <v>132</v>
      </c>
      <c r="F11152" s="128">
        <v>55660.01</v>
      </c>
      <c r="G11152" s="128">
        <v>35168.449999999997</v>
      </c>
      <c r="H11152" s="128">
        <v>17625.61</v>
      </c>
      <c r="I11152" s="128">
        <v>277</v>
      </c>
    </row>
    <row r="11153" spans="1:9" ht="13.5">
      <c r="A11153" s="128">
        <v>2020</v>
      </c>
      <c r="B11153" s="128" t="s">
        <v>139</v>
      </c>
      <c r="C11153" s="128" t="s">
        <v>26</v>
      </c>
      <c r="D11153" s="128" t="s">
        <v>77</v>
      </c>
      <c r="E11153" s="128" t="s">
        <v>133</v>
      </c>
      <c r="F11153" s="128">
        <v>160446.31</v>
      </c>
      <c r="G11153" s="128">
        <v>87799.45</v>
      </c>
      <c r="H11153" s="128">
        <v>65509.59</v>
      </c>
      <c r="I11153" s="128">
        <v>1141</v>
      </c>
    </row>
    <row r="11154" spans="1:9" ht="13.5">
      <c r="A11154" s="128">
        <v>2020</v>
      </c>
      <c r="B11154" s="128" t="s">
        <v>139</v>
      </c>
      <c r="C11154" s="128" t="s">
        <v>26</v>
      </c>
      <c r="D11154" s="128" t="s">
        <v>77</v>
      </c>
      <c r="E11154" s="128" t="s">
        <v>134</v>
      </c>
      <c r="F11154" s="128">
        <v>526668.05000000005</v>
      </c>
      <c r="G11154" s="128">
        <v>226757.74</v>
      </c>
      <c r="H11154" s="128">
        <v>228698.5</v>
      </c>
      <c r="I11154" s="128">
        <v>1315</v>
      </c>
    </row>
    <row r="11155" spans="1:9" ht="13.5">
      <c r="A11155" s="128">
        <v>2020</v>
      </c>
      <c r="B11155" s="128" t="s">
        <v>139</v>
      </c>
      <c r="C11155" s="128" t="s">
        <v>26</v>
      </c>
      <c r="D11155" s="128" t="s">
        <v>77</v>
      </c>
      <c r="E11155" s="128" t="s">
        <v>135</v>
      </c>
      <c r="F11155" s="128">
        <v>3251216.86</v>
      </c>
      <c r="G11155" s="128">
        <v>858394.45</v>
      </c>
      <c r="H11155" s="128">
        <v>922823.85</v>
      </c>
      <c r="I11155" s="128">
        <v>10796</v>
      </c>
    </row>
    <row r="11156" spans="1:9" ht="13.5">
      <c r="A11156" s="128">
        <v>2020</v>
      </c>
      <c r="B11156" s="128" t="s">
        <v>139</v>
      </c>
      <c r="C11156" s="128" t="s">
        <v>26</v>
      </c>
      <c r="D11156" s="128" t="s">
        <v>76</v>
      </c>
      <c r="E11156" s="128" t="s">
        <v>136</v>
      </c>
      <c r="F11156" s="128">
        <v>504037.41</v>
      </c>
      <c r="G11156" s="128">
        <v>378910.45</v>
      </c>
      <c r="H11156" s="128">
        <v>125126.71</v>
      </c>
      <c r="I11156" s="128">
        <v>14563</v>
      </c>
    </row>
    <row r="11157" spans="1:9" ht="13.5">
      <c r="A11157" s="128">
        <v>2020</v>
      </c>
      <c r="B11157" s="128" t="s">
        <v>139</v>
      </c>
      <c r="C11157" s="128" t="s">
        <v>26</v>
      </c>
      <c r="D11157" s="128" t="s">
        <v>76</v>
      </c>
      <c r="E11157" s="128" t="s">
        <v>132</v>
      </c>
      <c r="F11157" s="128">
        <v>1749148.19</v>
      </c>
      <c r="G11157" s="128">
        <v>1112009.28</v>
      </c>
      <c r="H11157" s="128">
        <v>637136.99</v>
      </c>
      <c r="I11157" s="128">
        <v>17224</v>
      </c>
    </row>
    <row r="11158" spans="1:9" ht="13.5">
      <c r="A11158" s="128">
        <v>2020</v>
      </c>
      <c r="B11158" s="128" t="s">
        <v>139</v>
      </c>
      <c r="C11158" s="128" t="s">
        <v>26</v>
      </c>
      <c r="D11158" s="128" t="s">
        <v>76</v>
      </c>
      <c r="E11158" s="128" t="s">
        <v>133</v>
      </c>
      <c r="F11158" s="128">
        <v>3436433.98</v>
      </c>
      <c r="G11158" s="128">
        <v>1898381.37</v>
      </c>
      <c r="H11158" s="128">
        <v>1538048.44</v>
      </c>
      <c r="I11158" s="128">
        <v>27560</v>
      </c>
    </row>
    <row r="11159" spans="1:9" ht="13.5">
      <c r="A11159" s="128">
        <v>2020</v>
      </c>
      <c r="B11159" s="128" t="s">
        <v>139</v>
      </c>
      <c r="C11159" s="128" t="s">
        <v>26</v>
      </c>
      <c r="D11159" s="128" t="s">
        <v>76</v>
      </c>
      <c r="E11159" s="128" t="s">
        <v>134</v>
      </c>
      <c r="F11159" s="128">
        <v>2802443.14</v>
      </c>
      <c r="G11159" s="128">
        <v>1281436.51</v>
      </c>
      <c r="H11159" s="128">
        <v>1520948.89</v>
      </c>
      <c r="I11159" s="128">
        <v>15839</v>
      </c>
    </row>
    <row r="11160" spans="1:9" ht="13.5">
      <c r="A11160" s="128">
        <v>2020</v>
      </c>
      <c r="B11160" s="128" t="s">
        <v>139</v>
      </c>
      <c r="C11160" s="128" t="s">
        <v>26</v>
      </c>
      <c r="D11160" s="128" t="s">
        <v>76</v>
      </c>
      <c r="E11160" s="128" t="s">
        <v>135</v>
      </c>
      <c r="F11160" s="128">
        <v>211523.23</v>
      </c>
      <c r="G11160" s="128">
        <v>60702.2</v>
      </c>
      <c r="H11160" s="128">
        <v>150821.03</v>
      </c>
      <c r="I11160" s="128">
        <v>282</v>
      </c>
    </row>
    <row r="11161" spans="1:9" ht="13.5">
      <c r="A11161" s="128">
        <v>2020</v>
      </c>
      <c r="B11161" s="128" t="s">
        <v>139</v>
      </c>
      <c r="C11161" s="128" t="s">
        <v>27</v>
      </c>
      <c r="D11161" s="128" t="s">
        <v>79</v>
      </c>
      <c r="E11161" s="128" t="s">
        <v>136</v>
      </c>
      <c r="F11161" s="128">
        <v>168820.4</v>
      </c>
      <c r="G11161" s="128">
        <v>126590.24</v>
      </c>
      <c r="H11161" s="128">
        <v>42029.8</v>
      </c>
      <c r="I11161" s="128">
        <v>1352</v>
      </c>
    </row>
    <row r="11162" spans="1:9" ht="13.5">
      <c r="A11162" s="128">
        <v>2020</v>
      </c>
      <c r="B11162" s="128" t="s">
        <v>139</v>
      </c>
      <c r="C11162" s="128" t="s">
        <v>27</v>
      </c>
      <c r="D11162" s="128" t="s">
        <v>79</v>
      </c>
      <c r="E11162" s="128" t="s">
        <v>132</v>
      </c>
      <c r="F11162" s="128">
        <v>29310.42</v>
      </c>
      <c r="G11162" s="128">
        <v>19801.7</v>
      </c>
      <c r="H11162" s="128">
        <v>6599.55</v>
      </c>
      <c r="I11162" s="128">
        <v>84</v>
      </c>
    </row>
    <row r="11163" spans="1:9" ht="13.5">
      <c r="A11163" s="128">
        <v>2020</v>
      </c>
      <c r="B11163" s="128" t="s">
        <v>139</v>
      </c>
      <c r="C11163" s="128" t="s">
        <v>27</v>
      </c>
      <c r="D11163" s="128" t="s">
        <v>79</v>
      </c>
      <c r="E11163" s="128" t="s">
        <v>133</v>
      </c>
      <c r="F11163" s="128">
        <v>26838.1</v>
      </c>
      <c r="G11163" s="128">
        <v>14376.05</v>
      </c>
      <c r="H11163" s="128">
        <v>4986.3</v>
      </c>
      <c r="I11163" s="128">
        <v>56</v>
      </c>
    </row>
    <row r="11164" spans="1:9" ht="13.5">
      <c r="A11164" s="128">
        <v>2020</v>
      </c>
      <c r="B11164" s="128" t="s">
        <v>139</v>
      </c>
      <c r="C11164" s="128" t="s">
        <v>27</v>
      </c>
      <c r="D11164" s="128" t="s">
        <v>79</v>
      </c>
      <c r="E11164" s="128" t="s">
        <v>134</v>
      </c>
      <c r="F11164" s="128">
        <v>59534.65</v>
      </c>
      <c r="G11164" s="128">
        <v>25734.61</v>
      </c>
      <c r="H11164" s="128">
        <v>8571.1</v>
      </c>
      <c r="I11164" s="128">
        <v>232</v>
      </c>
    </row>
    <row r="11165" spans="1:9" ht="13.5">
      <c r="A11165" s="128">
        <v>2020</v>
      </c>
      <c r="B11165" s="128" t="s">
        <v>139</v>
      </c>
      <c r="C11165" s="128" t="s">
        <v>27</v>
      </c>
      <c r="D11165" s="128" t="s">
        <v>79</v>
      </c>
      <c r="E11165" s="128" t="s">
        <v>135</v>
      </c>
      <c r="F11165" s="128">
        <v>896488.77</v>
      </c>
      <c r="G11165" s="128">
        <v>209605.05</v>
      </c>
      <c r="H11165" s="128">
        <v>70644.850000000006</v>
      </c>
      <c r="I11165" s="128">
        <v>665</v>
      </c>
    </row>
    <row r="11166" spans="1:9" ht="13.5">
      <c r="A11166" s="128">
        <v>2020</v>
      </c>
      <c r="B11166" s="128" t="s">
        <v>139</v>
      </c>
      <c r="C11166" s="128" t="s">
        <v>27</v>
      </c>
      <c r="D11166" s="128" t="s">
        <v>77</v>
      </c>
      <c r="E11166" s="128" t="s">
        <v>132</v>
      </c>
      <c r="F11166" s="128">
        <v>38706.57</v>
      </c>
      <c r="G11166" s="128">
        <v>25656.19</v>
      </c>
      <c r="H11166" s="128">
        <v>9677.4500000000007</v>
      </c>
      <c r="I11166" s="128">
        <v>178</v>
      </c>
    </row>
    <row r="11167" spans="1:9" ht="13.5">
      <c r="A11167" s="128">
        <v>2020</v>
      </c>
      <c r="B11167" s="128" t="s">
        <v>139</v>
      </c>
      <c r="C11167" s="128" t="s">
        <v>27</v>
      </c>
      <c r="D11167" s="128" t="s">
        <v>77</v>
      </c>
      <c r="E11167" s="128" t="s">
        <v>133</v>
      </c>
      <c r="F11167" s="128">
        <v>51227.38</v>
      </c>
      <c r="G11167" s="128">
        <v>27552.53</v>
      </c>
      <c r="H11167" s="128">
        <v>20199.05</v>
      </c>
      <c r="I11167" s="128">
        <v>319</v>
      </c>
    </row>
    <row r="11168" spans="1:9" ht="13.5">
      <c r="A11168" s="128">
        <v>2020</v>
      </c>
      <c r="B11168" s="128" t="s">
        <v>139</v>
      </c>
      <c r="C11168" s="128" t="s">
        <v>27</v>
      </c>
      <c r="D11168" s="128" t="s">
        <v>77</v>
      </c>
      <c r="E11168" s="128" t="s">
        <v>134</v>
      </c>
      <c r="F11168" s="128">
        <v>227664.83</v>
      </c>
      <c r="G11168" s="128">
        <v>97316.62</v>
      </c>
      <c r="H11168" s="128">
        <v>98406.1</v>
      </c>
      <c r="I11168" s="128">
        <v>374</v>
      </c>
    </row>
    <row r="11169" spans="1:9" ht="13.5">
      <c r="A11169" s="128">
        <v>2020</v>
      </c>
      <c r="B11169" s="128" t="s">
        <v>139</v>
      </c>
      <c r="C11169" s="128" t="s">
        <v>27</v>
      </c>
      <c r="D11169" s="128" t="s">
        <v>77</v>
      </c>
      <c r="E11169" s="128" t="s">
        <v>135</v>
      </c>
      <c r="F11169" s="128">
        <v>518200.49</v>
      </c>
      <c r="G11169" s="128">
        <v>143413.10999999999</v>
      </c>
      <c r="H11169" s="128">
        <v>166234.6</v>
      </c>
      <c r="I11169" s="128">
        <v>1879</v>
      </c>
    </row>
    <row r="11170" spans="1:9" ht="13.5">
      <c r="A11170" s="128">
        <v>2020</v>
      </c>
      <c r="B11170" s="128" t="s">
        <v>139</v>
      </c>
      <c r="C11170" s="128" t="s">
        <v>27</v>
      </c>
      <c r="D11170" s="128" t="s">
        <v>76</v>
      </c>
      <c r="E11170" s="128" t="s">
        <v>136</v>
      </c>
      <c r="F11170" s="128">
        <v>623058.18000000005</v>
      </c>
      <c r="G11170" s="128">
        <v>467206.98</v>
      </c>
      <c r="H11170" s="128">
        <v>155851.20000000001</v>
      </c>
      <c r="I11170" s="128">
        <v>7876</v>
      </c>
    </row>
    <row r="11171" spans="1:9" ht="13.5">
      <c r="A11171" s="128">
        <v>2020</v>
      </c>
      <c r="B11171" s="128" t="s">
        <v>139</v>
      </c>
      <c r="C11171" s="128" t="s">
        <v>27</v>
      </c>
      <c r="D11171" s="128" t="s">
        <v>76</v>
      </c>
      <c r="E11171" s="128" t="s">
        <v>132</v>
      </c>
      <c r="F11171" s="128">
        <v>442668.14</v>
      </c>
      <c r="G11171" s="128">
        <v>281449.7</v>
      </c>
      <c r="H11171" s="128">
        <v>161217.82999999999</v>
      </c>
      <c r="I11171" s="128">
        <v>3119</v>
      </c>
    </row>
    <row r="11172" spans="1:9" ht="13.5">
      <c r="A11172" s="128">
        <v>2020</v>
      </c>
      <c r="B11172" s="128" t="s">
        <v>139</v>
      </c>
      <c r="C11172" s="128" t="s">
        <v>27</v>
      </c>
      <c r="D11172" s="128" t="s">
        <v>76</v>
      </c>
      <c r="E11172" s="128" t="s">
        <v>133</v>
      </c>
      <c r="F11172" s="128">
        <v>1332148.3899999999</v>
      </c>
      <c r="G11172" s="128">
        <v>723647.14</v>
      </c>
      <c r="H11172" s="128">
        <v>608498.99</v>
      </c>
      <c r="I11172" s="128">
        <v>6468</v>
      </c>
    </row>
    <row r="11173" spans="1:9" ht="13.5">
      <c r="A11173" s="128">
        <v>2020</v>
      </c>
      <c r="B11173" s="128" t="s">
        <v>139</v>
      </c>
      <c r="C11173" s="128" t="s">
        <v>27</v>
      </c>
      <c r="D11173" s="128" t="s">
        <v>76</v>
      </c>
      <c r="E11173" s="128" t="s">
        <v>134</v>
      </c>
      <c r="F11173" s="128">
        <v>1942897.91</v>
      </c>
      <c r="G11173" s="128">
        <v>888531.5</v>
      </c>
      <c r="H11173" s="128">
        <v>1054357.0900000001</v>
      </c>
      <c r="I11173" s="128">
        <v>8614</v>
      </c>
    </row>
    <row r="11174" spans="1:9" ht="13.5">
      <c r="A11174" s="128">
        <v>2020</v>
      </c>
      <c r="B11174" s="128" t="s">
        <v>139</v>
      </c>
      <c r="C11174" s="128" t="s">
        <v>27</v>
      </c>
      <c r="D11174" s="128" t="s">
        <v>76</v>
      </c>
      <c r="E11174" s="128" t="s">
        <v>135</v>
      </c>
      <c r="F11174" s="128">
        <v>64671.76</v>
      </c>
      <c r="G11174" s="128">
        <v>18182.5</v>
      </c>
      <c r="H11174" s="128">
        <v>46489.26</v>
      </c>
      <c r="I11174" s="128">
        <v>91</v>
      </c>
    </row>
    <row r="11175" spans="1:9" ht="13.5">
      <c r="A11175" s="128">
        <v>2020</v>
      </c>
      <c r="B11175" s="128" t="s">
        <v>137</v>
      </c>
      <c r="C11175" s="128" t="s">
        <v>20</v>
      </c>
      <c r="D11175" s="128" t="s">
        <v>79</v>
      </c>
      <c r="E11175" s="128" t="s">
        <v>136</v>
      </c>
      <c r="F11175" s="128">
        <v>32154098.870000001</v>
      </c>
      <c r="G11175" s="128">
        <v>24076576.449999999</v>
      </c>
      <c r="H11175" s="128">
        <v>8060622.8700000001</v>
      </c>
      <c r="I11175" s="128">
        <v>286957</v>
      </c>
    </row>
    <row r="11176" spans="1:9" ht="13.5">
      <c r="A11176" s="128">
        <v>2020</v>
      </c>
      <c r="B11176" s="128" t="s">
        <v>137</v>
      </c>
      <c r="C11176" s="128" t="s">
        <v>20</v>
      </c>
      <c r="D11176" s="128" t="s">
        <v>79</v>
      </c>
      <c r="E11176" s="128" t="s">
        <v>132</v>
      </c>
      <c r="F11176" s="128">
        <v>3416930.67</v>
      </c>
      <c r="G11176" s="128">
        <v>2288134.75</v>
      </c>
      <c r="H11176" s="128">
        <v>910898.02</v>
      </c>
      <c r="I11176" s="128">
        <v>15640</v>
      </c>
    </row>
    <row r="11177" spans="1:9" ht="13.5">
      <c r="A11177" s="128">
        <v>2020</v>
      </c>
      <c r="B11177" s="128" t="s">
        <v>137</v>
      </c>
      <c r="C11177" s="128" t="s">
        <v>20</v>
      </c>
      <c r="D11177" s="128" t="s">
        <v>79</v>
      </c>
      <c r="E11177" s="128" t="s">
        <v>133</v>
      </c>
      <c r="F11177" s="128">
        <v>3139077.71</v>
      </c>
      <c r="G11177" s="128">
        <v>1710324.94</v>
      </c>
      <c r="H11177" s="128">
        <v>927484.6</v>
      </c>
      <c r="I11177" s="128">
        <v>10216</v>
      </c>
    </row>
    <row r="11178" spans="1:9" ht="13.5">
      <c r="A11178" s="128">
        <v>2020</v>
      </c>
      <c r="B11178" s="128" t="s">
        <v>137</v>
      </c>
      <c r="C11178" s="128" t="s">
        <v>20</v>
      </c>
      <c r="D11178" s="128" t="s">
        <v>79</v>
      </c>
      <c r="E11178" s="128" t="s">
        <v>134</v>
      </c>
      <c r="F11178" s="128">
        <v>8867293.8900000006</v>
      </c>
      <c r="G11178" s="128">
        <v>3829974.08</v>
      </c>
      <c r="H11178" s="128">
        <v>2459079.58</v>
      </c>
      <c r="I11178" s="128">
        <v>36081</v>
      </c>
    </row>
    <row r="11179" spans="1:9" ht="13.5">
      <c r="A11179" s="128">
        <v>2020</v>
      </c>
      <c r="B11179" s="128" t="s">
        <v>137</v>
      </c>
      <c r="C11179" s="128" t="s">
        <v>20</v>
      </c>
      <c r="D11179" s="128" t="s">
        <v>79</v>
      </c>
      <c r="E11179" s="128" t="s">
        <v>135</v>
      </c>
      <c r="F11179" s="128">
        <v>80066315.450000003</v>
      </c>
      <c r="G11179" s="128">
        <v>17212132.289999999</v>
      </c>
      <c r="H11179" s="128">
        <v>6105941.1100000003</v>
      </c>
      <c r="I11179" s="128">
        <v>73344</v>
      </c>
    </row>
    <row r="11180" spans="1:9" ht="13.5">
      <c r="A11180" s="128">
        <v>2020</v>
      </c>
      <c r="B11180" s="128" t="s">
        <v>137</v>
      </c>
      <c r="C11180" s="128" t="s">
        <v>20</v>
      </c>
      <c r="D11180" s="128" t="s">
        <v>77</v>
      </c>
      <c r="E11180" s="128" t="s">
        <v>132</v>
      </c>
      <c r="F11180" s="128">
        <v>2940453.39</v>
      </c>
      <c r="G11180" s="128">
        <v>1929690.63</v>
      </c>
      <c r="H11180" s="128">
        <v>896770.37</v>
      </c>
      <c r="I11180" s="128">
        <v>12548</v>
      </c>
    </row>
    <row r="11181" spans="1:9" ht="13.5">
      <c r="A11181" s="128">
        <v>2020</v>
      </c>
      <c r="B11181" s="128" t="s">
        <v>137</v>
      </c>
      <c r="C11181" s="128" t="s">
        <v>20</v>
      </c>
      <c r="D11181" s="128" t="s">
        <v>77</v>
      </c>
      <c r="E11181" s="128" t="s">
        <v>133</v>
      </c>
      <c r="F11181" s="128">
        <v>5796387.3300000001</v>
      </c>
      <c r="G11181" s="128">
        <v>3143931.72</v>
      </c>
      <c r="H11181" s="128">
        <v>2375445.58</v>
      </c>
      <c r="I11181" s="128">
        <v>31178</v>
      </c>
    </row>
    <row r="11182" spans="1:9" ht="13.5">
      <c r="A11182" s="128">
        <v>2020</v>
      </c>
      <c r="B11182" s="128" t="s">
        <v>137</v>
      </c>
      <c r="C11182" s="128" t="s">
        <v>20</v>
      </c>
      <c r="D11182" s="128" t="s">
        <v>77</v>
      </c>
      <c r="E11182" s="128" t="s">
        <v>134</v>
      </c>
      <c r="F11182" s="128">
        <v>18958262.57</v>
      </c>
      <c r="G11182" s="128">
        <v>8129992.54</v>
      </c>
      <c r="H11182" s="128">
        <v>8179329.2800000003</v>
      </c>
      <c r="I11182" s="128">
        <v>33545</v>
      </c>
    </row>
    <row r="11183" spans="1:9" ht="13.5">
      <c r="A11183" s="128">
        <v>2020</v>
      </c>
      <c r="B11183" s="128" t="s">
        <v>137</v>
      </c>
      <c r="C11183" s="128" t="s">
        <v>20</v>
      </c>
      <c r="D11183" s="128" t="s">
        <v>77</v>
      </c>
      <c r="E11183" s="128" t="s">
        <v>135</v>
      </c>
      <c r="F11183" s="128">
        <v>46405775.060000002</v>
      </c>
      <c r="G11183" s="128">
        <v>12165292.210000001</v>
      </c>
      <c r="H11183" s="128">
        <v>13833511.23</v>
      </c>
      <c r="I11183" s="128">
        <v>154035</v>
      </c>
    </row>
    <row r="11184" spans="1:9" ht="13.5">
      <c r="A11184" s="128">
        <v>2020</v>
      </c>
      <c r="B11184" s="128" t="s">
        <v>137</v>
      </c>
      <c r="C11184" s="128" t="s">
        <v>20</v>
      </c>
      <c r="D11184" s="128" t="s">
        <v>76</v>
      </c>
      <c r="E11184" s="128" t="s">
        <v>136</v>
      </c>
      <c r="F11184" s="128">
        <v>34314232.270000003</v>
      </c>
      <c r="G11184" s="128">
        <v>25778665.190000001</v>
      </c>
      <c r="H11184" s="128">
        <v>8535566.4299999997</v>
      </c>
      <c r="I11184" s="128">
        <v>1006418</v>
      </c>
    </row>
    <row r="11185" spans="1:9" ht="13.5">
      <c r="A11185" s="128">
        <v>2020</v>
      </c>
      <c r="B11185" s="128" t="s">
        <v>137</v>
      </c>
      <c r="C11185" s="128" t="s">
        <v>20</v>
      </c>
      <c r="D11185" s="128" t="s">
        <v>76</v>
      </c>
      <c r="E11185" s="128" t="s">
        <v>132</v>
      </c>
      <c r="F11185" s="128">
        <v>56458389.659999996</v>
      </c>
      <c r="G11185" s="128">
        <v>35924228.270000003</v>
      </c>
      <c r="H11185" s="128">
        <v>20533922.77</v>
      </c>
      <c r="I11185" s="128">
        <v>480030</v>
      </c>
    </row>
    <row r="11186" spans="1:9" ht="13.5">
      <c r="A11186" s="128">
        <v>2020</v>
      </c>
      <c r="B11186" s="128" t="s">
        <v>137</v>
      </c>
      <c r="C11186" s="128" t="s">
        <v>20</v>
      </c>
      <c r="D11186" s="128" t="s">
        <v>76</v>
      </c>
      <c r="E11186" s="128" t="s">
        <v>133</v>
      </c>
      <c r="F11186" s="128">
        <v>111025014.48999999</v>
      </c>
      <c r="G11186" s="128">
        <v>60688759.960000001</v>
      </c>
      <c r="H11186" s="128">
        <v>50336141.520000003</v>
      </c>
      <c r="I11186" s="128">
        <v>637867</v>
      </c>
    </row>
    <row r="11187" spans="1:9" ht="13.5">
      <c r="A11187" s="128">
        <v>2020</v>
      </c>
      <c r="B11187" s="128" t="s">
        <v>137</v>
      </c>
      <c r="C11187" s="128" t="s">
        <v>20</v>
      </c>
      <c r="D11187" s="128" t="s">
        <v>76</v>
      </c>
      <c r="E11187" s="128" t="s">
        <v>134</v>
      </c>
      <c r="F11187" s="128">
        <v>117141399.98999999</v>
      </c>
      <c r="G11187" s="128">
        <v>53704688.840000004</v>
      </c>
      <c r="H11187" s="128">
        <v>63436422.600000001</v>
      </c>
      <c r="I11187" s="128">
        <v>656166</v>
      </c>
    </row>
    <row r="11188" spans="1:9" ht="13.5">
      <c r="A11188" s="128">
        <v>2020</v>
      </c>
      <c r="B11188" s="128" t="s">
        <v>137</v>
      </c>
      <c r="C11188" s="128" t="s">
        <v>20</v>
      </c>
      <c r="D11188" s="128" t="s">
        <v>76</v>
      </c>
      <c r="E11188" s="128" t="s">
        <v>135</v>
      </c>
      <c r="F11188" s="128">
        <v>6305303.9100000001</v>
      </c>
      <c r="G11188" s="128">
        <v>1809192.41</v>
      </c>
      <c r="H11188" s="128">
        <v>4496108.28</v>
      </c>
      <c r="I11188" s="128">
        <v>5602</v>
      </c>
    </row>
    <row r="11189" spans="1:9" ht="13.5">
      <c r="A11189" s="128">
        <v>2020</v>
      </c>
      <c r="B11189" s="128" t="s">
        <v>137</v>
      </c>
      <c r="C11189" s="128" t="s">
        <v>21</v>
      </c>
      <c r="D11189" s="128" t="s">
        <v>79</v>
      </c>
      <c r="E11189" s="128" t="s">
        <v>136</v>
      </c>
      <c r="F11189" s="128">
        <v>7129562.3799999999</v>
      </c>
      <c r="G11189" s="128">
        <v>5340848.4000000004</v>
      </c>
      <c r="H11189" s="128">
        <v>1778159.49</v>
      </c>
      <c r="I11189" s="128">
        <v>119633</v>
      </c>
    </row>
    <row r="11190" spans="1:9" ht="13.5">
      <c r="A11190" s="128">
        <v>2020</v>
      </c>
      <c r="B11190" s="128" t="s">
        <v>137</v>
      </c>
      <c r="C11190" s="128" t="s">
        <v>21</v>
      </c>
      <c r="D11190" s="128" t="s">
        <v>79</v>
      </c>
      <c r="E11190" s="128" t="s">
        <v>132</v>
      </c>
      <c r="F11190" s="128">
        <v>1694409.48</v>
      </c>
      <c r="G11190" s="128">
        <v>1116654</v>
      </c>
      <c r="H11190" s="128">
        <v>442039.91</v>
      </c>
      <c r="I11190" s="128">
        <v>8230</v>
      </c>
    </row>
    <row r="11191" spans="1:9" ht="13.5">
      <c r="A11191" s="128">
        <v>2020</v>
      </c>
      <c r="B11191" s="128" t="s">
        <v>137</v>
      </c>
      <c r="C11191" s="128" t="s">
        <v>21</v>
      </c>
      <c r="D11191" s="128" t="s">
        <v>79</v>
      </c>
      <c r="E11191" s="128" t="s">
        <v>133</v>
      </c>
      <c r="F11191" s="128">
        <v>2540434.4</v>
      </c>
      <c r="G11191" s="128">
        <v>1354904</v>
      </c>
      <c r="H11191" s="128">
        <v>789037.89</v>
      </c>
      <c r="I11191" s="128">
        <v>10094</v>
      </c>
    </row>
    <row r="11192" spans="1:9" ht="13.5">
      <c r="A11192" s="128">
        <v>2020</v>
      </c>
      <c r="B11192" s="128" t="s">
        <v>137</v>
      </c>
      <c r="C11192" s="128" t="s">
        <v>21</v>
      </c>
      <c r="D11192" s="128" t="s">
        <v>79</v>
      </c>
      <c r="E11192" s="128" t="s">
        <v>134</v>
      </c>
      <c r="F11192" s="128">
        <v>3755914.41</v>
      </c>
      <c r="G11192" s="128">
        <v>1642403.31</v>
      </c>
      <c r="H11192" s="128">
        <v>970356.38</v>
      </c>
      <c r="I11192" s="128">
        <v>19643</v>
      </c>
    </row>
    <row r="11193" spans="1:9" ht="13.5">
      <c r="A11193" s="128">
        <v>2020</v>
      </c>
      <c r="B11193" s="128" t="s">
        <v>137</v>
      </c>
      <c r="C11193" s="128" t="s">
        <v>21</v>
      </c>
      <c r="D11193" s="128" t="s">
        <v>79</v>
      </c>
      <c r="E11193" s="128" t="s">
        <v>135</v>
      </c>
      <c r="F11193" s="128">
        <v>18194987.16</v>
      </c>
      <c r="G11193" s="128">
        <v>4147147.06</v>
      </c>
      <c r="H11193" s="128">
        <v>1537493.42</v>
      </c>
      <c r="I11193" s="128">
        <v>17931</v>
      </c>
    </row>
    <row r="11194" spans="1:9" ht="13.5">
      <c r="A11194" s="128">
        <v>2020</v>
      </c>
      <c r="B11194" s="128" t="s">
        <v>137</v>
      </c>
      <c r="C11194" s="128" t="s">
        <v>21</v>
      </c>
      <c r="D11194" s="128" t="s">
        <v>77</v>
      </c>
      <c r="E11194" s="128" t="s">
        <v>132</v>
      </c>
      <c r="F11194" s="128">
        <v>2531572.14</v>
      </c>
      <c r="G11194" s="128">
        <v>1685618.19</v>
      </c>
      <c r="H11194" s="128">
        <v>728053.91</v>
      </c>
      <c r="I11194" s="128">
        <v>12360</v>
      </c>
    </row>
    <row r="11195" spans="1:9" ht="13.5">
      <c r="A11195" s="128">
        <v>2020</v>
      </c>
      <c r="B11195" s="128" t="s">
        <v>137</v>
      </c>
      <c r="C11195" s="128" t="s">
        <v>21</v>
      </c>
      <c r="D11195" s="128" t="s">
        <v>77</v>
      </c>
      <c r="E11195" s="128" t="s">
        <v>133</v>
      </c>
      <c r="F11195" s="128">
        <v>5993444.7999999998</v>
      </c>
      <c r="G11195" s="128">
        <v>3266471.73</v>
      </c>
      <c r="H11195" s="128">
        <v>2315187.7000000002</v>
      </c>
      <c r="I11195" s="128">
        <v>21954</v>
      </c>
    </row>
    <row r="11196" spans="1:9" ht="13.5">
      <c r="A11196" s="128">
        <v>2020</v>
      </c>
      <c r="B11196" s="128" t="s">
        <v>137</v>
      </c>
      <c r="C11196" s="128" t="s">
        <v>21</v>
      </c>
      <c r="D11196" s="128" t="s">
        <v>77</v>
      </c>
      <c r="E11196" s="128" t="s">
        <v>134</v>
      </c>
      <c r="F11196" s="128">
        <v>13316662.85</v>
      </c>
      <c r="G11196" s="128">
        <v>5777960.29</v>
      </c>
      <c r="H11196" s="128">
        <v>5480234.4000000004</v>
      </c>
      <c r="I11196" s="128">
        <v>28926</v>
      </c>
    </row>
    <row r="11197" spans="1:9" ht="13.5">
      <c r="A11197" s="128">
        <v>2020</v>
      </c>
      <c r="B11197" s="128" t="s">
        <v>137</v>
      </c>
      <c r="C11197" s="128" t="s">
        <v>21</v>
      </c>
      <c r="D11197" s="128" t="s">
        <v>77</v>
      </c>
      <c r="E11197" s="128" t="s">
        <v>135</v>
      </c>
      <c r="F11197" s="128">
        <v>29836599.600000001</v>
      </c>
      <c r="G11197" s="128">
        <v>8077007.5</v>
      </c>
      <c r="H11197" s="128">
        <v>9283285.0399999991</v>
      </c>
      <c r="I11197" s="128">
        <v>112605</v>
      </c>
    </row>
    <row r="11198" spans="1:9" ht="13.5">
      <c r="A11198" s="128">
        <v>2020</v>
      </c>
      <c r="B11198" s="128" t="s">
        <v>137</v>
      </c>
      <c r="C11198" s="128" t="s">
        <v>21</v>
      </c>
      <c r="D11198" s="128" t="s">
        <v>76</v>
      </c>
      <c r="E11198" s="128" t="s">
        <v>136</v>
      </c>
      <c r="F11198" s="128">
        <v>20389321.489999998</v>
      </c>
      <c r="G11198" s="128">
        <v>15325165.26</v>
      </c>
      <c r="H11198" s="128">
        <v>5064111.88</v>
      </c>
      <c r="I11198" s="128">
        <v>299963</v>
      </c>
    </row>
    <row r="11199" spans="1:9" ht="13.5">
      <c r="A11199" s="128">
        <v>2020</v>
      </c>
      <c r="B11199" s="128" t="s">
        <v>137</v>
      </c>
      <c r="C11199" s="128" t="s">
        <v>21</v>
      </c>
      <c r="D11199" s="128" t="s">
        <v>76</v>
      </c>
      <c r="E11199" s="128" t="s">
        <v>132</v>
      </c>
      <c r="F11199" s="128">
        <v>42509422.520000003</v>
      </c>
      <c r="G11199" s="128">
        <v>27180834.920000002</v>
      </c>
      <c r="H11199" s="128">
        <v>15327482.369999999</v>
      </c>
      <c r="I11199" s="128">
        <v>355951</v>
      </c>
    </row>
    <row r="11200" spans="1:9" ht="13.5">
      <c r="A11200" s="128">
        <v>2020</v>
      </c>
      <c r="B11200" s="128" t="s">
        <v>137</v>
      </c>
      <c r="C11200" s="128" t="s">
        <v>21</v>
      </c>
      <c r="D11200" s="128" t="s">
        <v>76</v>
      </c>
      <c r="E11200" s="128" t="s">
        <v>133</v>
      </c>
      <c r="F11200" s="128">
        <v>102910685.92</v>
      </c>
      <c r="G11200" s="128">
        <v>56525145.649999999</v>
      </c>
      <c r="H11200" s="128">
        <v>46385316.200000003</v>
      </c>
      <c r="I11200" s="128">
        <v>701355</v>
      </c>
    </row>
    <row r="11201" spans="1:9" ht="13.5">
      <c r="A11201" s="128">
        <v>2020</v>
      </c>
      <c r="B11201" s="128" t="s">
        <v>137</v>
      </c>
      <c r="C11201" s="128" t="s">
        <v>21</v>
      </c>
      <c r="D11201" s="128" t="s">
        <v>76</v>
      </c>
      <c r="E11201" s="128" t="s">
        <v>134</v>
      </c>
      <c r="F11201" s="128">
        <v>75987732.260000005</v>
      </c>
      <c r="G11201" s="128">
        <v>34192199.579999998</v>
      </c>
      <c r="H11201" s="128">
        <v>41795204.439999998</v>
      </c>
      <c r="I11201" s="128">
        <v>409707</v>
      </c>
    </row>
    <row r="11202" spans="1:9" ht="13.5">
      <c r="A11202" s="128">
        <v>2020</v>
      </c>
      <c r="B11202" s="128" t="s">
        <v>137</v>
      </c>
      <c r="C11202" s="128" t="s">
        <v>21</v>
      </c>
      <c r="D11202" s="128" t="s">
        <v>76</v>
      </c>
      <c r="E11202" s="128" t="s">
        <v>135</v>
      </c>
      <c r="F11202" s="128">
        <v>2994426.71</v>
      </c>
      <c r="G11202" s="128">
        <v>804753.9</v>
      </c>
      <c r="H11202" s="128">
        <v>2189672.56</v>
      </c>
      <c r="I11202" s="128">
        <v>2203</v>
      </c>
    </row>
    <row r="11203" spans="1:9" ht="13.5">
      <c r="A11203" s="128">
        <v>2020</v>
      </c>
      <c r="B11203" s="128" t="s">
        <v>137</v>
      </c>
      <c r="C11203" s="128" t="s">
        <v>22</v>
      </c>
      <c r="D11203" s="128" t="s">
        <v>79</v>
      </c>
      <c r="E11203" s="128" t="s">
        <v>136</v>
      </c>
      <c r="F11203" s="128">
        <v>5180898.08</v>
      </c>
      <c r="G11203" s="128">
        <v>3881300.58</v>
      </c>
      <c r="H11203" s="128">
        <v>1286381.1299999999</v>
      </c>
      <c r="I11203" s="128">
        <v>60111</v>
      </c>
    </row>
    <row r="11204" spans="1:9" ht="13.5">
      <c r="A11204" s="128">
        <v>2020</v>
      </c>
      <c r="B11204" s="128" t="s">
        <v>137</v>
      </c>
      <c r="C11204" s="128" t="s">
        <v>22</v>
      </c>
      <c r="D11204" s="128" t="s">
        <v>79</v>
      </c>
      <c r="E11204" s="128" t="s">
        <v>132</v>
      </c>
      <c r="F11204" s="128">
        <v>1762552.05</v>
      </c>
      <c r="G11204" s="128">
        <v>1162912.57</v>
      </c>
      <c r="H11204" s="128">
        <v>467629.79</v>
      </c>
      <c r="I11204" s="128">
        <v>7499</v>
      </c>
    </row>
    <row r="11205" spans="1:9" ht="13.5">
      <c r="A11205" s="128">
        <v>2020</v>
      </c>
      <c r="B11205" s="128" t="s">
        <v>137</v>
      </c>
      <c r="C11205" s="128" t="s">
        <v>22</v>
      </c>
      <c r="D11205" s="128" t="s">
        <v>79</v>
      </c>
      <c r="E11205" s="128" t="s">
        <v>133</v>
      </c>
      <c r="F11205" s="128">
        <v>1510210.91</v>
      </c>
      <c r="G11205" s="128">
        <v>811579.79</v>
      </c>
      <c r="H11205" s="128">
        <v>447607.35</v>
      </c>
      <c r="I11205" s="128">
        <v>5460</v>
      </c>
    </row>
    <row r="11206" spans="1:9" ht="13.5">
      <c r="A11206" s="128">
        <v>2020</v>
      </c>
      <c r="B11206" s="128" t="s">
        <v>137</v>
      </c>
      <c r="C11206" s="128" t="s">
        <v>22</v>
      </c>
      <c r="D11206" s="128" t="s">
        <v>79</v>
      </c>
      <c r="E11206" s="128" t="s">
        <v>134</v>
      </c>
      <c r="F11206" s="128">
        <v>5327067.6399999997</v>
      </c>
      <c r="G11206" s="128">
        <v>2299348</v>
      </c>
      <c r="H11206" s="128">
        <v>1307089.6000000001</v>
      </c>
      <c r="I11206" s="128">
        <v>31208</v>
      </c>
    </row>
    <row r="11207" spans="1:9" ht="13.5">
      <c r="A11207" s="128">
        <v>2020</v>
      </c>
      <c r="B11207" s="128" t="s">
        <v>137</v>
      </c>
      <c r="C11207" s="128" t="s">
        <v>22</v>
      </c>
      <c r="D11207" s="128" t="s">
        <v>79</v>
      </c>
      <c r="E11207" s="128" t="s">
        <v>135</v>
      </c>
      <c r="F11207" s="128">
        <v>36289218.270000003</v>
      </c>
      <c r="G11207" s="128">
        <v>8177937.2000000002</v>
      </c>
      <c r="H11207" s="128">
        <v>2922592.26</v>
      </c>
      <c r="I11207" s="128">
        <v>32797</v>
      </c>
    </row>
    <row r="11208" spans="1:9" ht="13.5">
      <c r="A11208" s="128">
        <v>2020</v>
      </c>
      <c r="B11208" s="128" t="s">
        <v>137</v>
      </c>
      <c r="C11208" s="128" t="s">
        <v>22</v>
      </c>
      <c r="D11208" s="128" t="s">
        <v>77</v>
      </c>
      <c r="E11208" s="128" t="s">
        <v>132</v>
      </c>
      <c r="F11208" s="128">
        <v>1725289.58</v>
      </c>
      <c r="G11208" s="128">
        <v>1145027.95</v>
      </c>
      <c r="H11208" s="128">
        <v>498890.39</v>
      </c>
      <c r="I11208" s="128">
        <v>7608</v>
      </c>
    </row>
    <row r="11209" spans="1:9" ht="13.5">
      <c r="A11209" s="128">
        <v>2020</v>
      </c>
      <c r="B11209" s="128" t="s">
        <v>137</v>
      </c>
      <c r="C11209" s="128" t="s">
        <v>22</v>
      </c>
      <c r="D11209" s="128" t="s">
        <v>77</v>
      </c>
      <c r="E11209" s="128" t="s">
        <v>133</v>
      </c>
      <c r="F11209" s="128">
        <v>4095568.66</v>
      </c>
      <c r="G11209" s="128">
        <v>2219078.85</v>
      </c>
      <c r="H11209" s="128">
        <v>1556272.54</v>
      </c>
      <c r="I11209" s="128">
        <v>19117</v>
      </c>
    </row>
    <row r="11210" spans="1:9" ht="13.5">
      <c r="A11210" s="128">
        <v>2020</v>
      </c>
      <c r="B11210" s="128" t="s">
        <v>137</v>
      </c>
      <c r="C11210" s="128" t="s">
        <v>22</v>
      </c>
      <c r="D11210" s="128" t="s">
        <v>77</v>
      </c>
      <c r="E11210" s="128" t="s">
        <v>134</v>
      </c>
      <c r="F11210" s="128">
        <v>19088334.870000001</v>
      </c>
      <c r="G11210" s="128">
        <v>8074598.7400000002</v>
      </c>
      <c r="H11210" s="128">
        <v>7995764.9900000002</v>
      </c>
      <c r="I11210" s="128">
        <v>26952</v>
      </c>
    </row>
    <row r="11211" spans="1:9" ht="13.5">
      <c r="A11211" s="128">
        <v>2020</v>
      </c>
      <c r="B11211" s="128" t="s">
        <v>137</v>
      </c>
      <c r="C11211" s="128" t="s">
        <v>22</v>
      </c>
      <c r="D11211" s="128" t="s">
        <v>77</v>
      </c>
      <c r="E11211" s="128" t="s">
        <v>135</v>
      </c>
      <c r="F11211" s="128">
        <v>37918607.810000002</v>
      </c>
      <c r="G11211" s="128">
        <v>9761671.6500000004</v>
      </c>
      <c r="H11211" s="128">
        <v>10968343.289999999</v>
      </c>
      <c r="I11211" s="128">
        <v>96039</v>
      </c>
    </row>
    <row r="11212" spans="1:9" ht="13.5">
      <c r="A11212" s="128">
        <v>2020</v>
      </c>
      <c r="B11212" s="128" t="s">
        <v>137</v>
      </c>
      <c r="C11212" s="128" t="s">
        <v>22</v>
      </c>
      <c r="D11212" s="128" t="s">
        <v>76</v>
      </c>
      <c r="E11212" s="128" t="s">
        <v>136</v>
      </c>
      <c r="F11212" s="128">
        <v>17444239.280000001</v>
      </c>
      <c r="G11212" s="128">
        <v>13098072.630000001</v>
      </c>
      <c r="H11212" s="128">
        <v>4346156.68</v>
      </c>
      <c r="I11212" s="128">
        <v>274701</v>
      </c>
    </row>
    <row r="11213" spans="1:9" ht="13.5">
      <c r="A11213" s="128">
        <v>2020</v>
      </c>
      <c r="B11213" s="128" t="s">
        <v>137</v>
      </c>
      <c r="C11213" s="128" t="s">
        <v>22</v>
      </c>
      <c r="D11213" s="128" t="s">
        <v>76</v>
      </c>
      <c r="E11213" s="128" t="s">
        <v>132</v>
      </c>
      <c r="F11213" s="128">
        <v>47065012.240000002</v>
      </c>
      <c r="G11213" s="128">
        <v>30141245.640000001</v>
      </c>
      <c r="H11213" s="128">
        <v>16922739.59</v>
      </c>
      <c r="I11213" s="128">
        <v>436644</v>
      </c>
    </row>
    <row r="11214" spans="1:9" ht="13.5">
      <c r="A11214" s="128">
        <v>2020</v>
      </c>
      <c r="B11214" s="128" t="s">
        <v>137</v>
      </c>
      <c r="C11214" s="128" t="s">
        <v>22</v>
      </c>
      <c r="D11214" s="128" t="s">
        <v>76</v>
      </c>
      <c r="E11214" s="128" t="s">
        <v>133</v>
      </c>
      <c r="F11214" s="128">
        <v>82487438.640000001</v>
      </c>
      <c r="G11214" s="128">
        <v>45501889.009999998</v>
      </c>
      <c r="H11214" s="128">
        <v>36985220.439999998</v>
      </c>
      <c r="I11214" s="128">
        <v>634878</v>
      </c>
    </row>
    <row r="11215" spans="1:9" ht="13.5">
      <c r="A11215" s="128">
        <v>2020</v>
      </c>
      <c r="B11215" s="128" t="s">
        <v>137</v>
      </c>
      <c r="C11215" s="128" t="s">
        <v>22</v>
      </c>
      <c r="D11215" s="128" t="s">
        <v>76</v>
      </c>
      <c r="E11215" s="128" t="s">
        <v>134</v>
      </c>
      <c r="F11215" s="128">
        <v>77535824.959999993</v>
      </c>
      <c r="G11215" s="128">
        <v>35386794.780000001</v>
      </c>
      <c r="H11215" s="128">
        <v>42147959.509999998</v>
      </c>
      <c r="I11215" s="128">
        <v>506800</v>
      </c>
    </row>
    <row r="11216" spans="1:9" ht="13.5">
      <c r="A11216" s="128">
        <v>2020</v>
      </c>
      <c r="B11216" s="128" t="s">
        <v>137</v>
      </c>
      <c r="C11216" s="128" t="s">
        <v>22</v>
      </c>
      <c r="D11216" s="128" t="s">
        <v>76</v>
      </c>
      <c r="E11216" s="128" t="s">
        <v>135</v>
      </c>
      <c r="F11216" s="128">
        <v>4725725.24</v>
      </c>
      <c r="G11216" s="128">
        <v>1348991.15</v>
      </c>
      <c r="H11216" s="128">
        <v>3376732.69</v>
      </c>
      <c r="I11216" s="128">
        <v>6463</v>
      </c>
    </row>
    <row r="11217" spans="1:9" ht="13.5">
      <c r="A11217" s="128">
        <v>2020</v>
      </c>
      <c r="B11217" s="128" t="s">
        <v>137</v>
      </c>
      <c r="C11217" s="128" t="s">
        <v>23</v>
      </c>
      <c r="D11217" s="128" t="s">
        <v>79</v>
      </c>
      <c r="E11217" s="128" t="s">
        <v>136</v>
      </c>
      <c r="F11217" s="128">
        <v>1806375.29</v>
      </c>
      <c r="G11217" s="128">
        <v>1354354.91</v>
      </c>
      <c r="H11217" s="128">
        <v>447951.21</v>
      </c>
      <c r="I11217" s="128">
        <v>10989</v>
      </c>
    </row>
    <row r="11218" spans="1:9" ht="13.5">
      <c r="A11218" s="128">
        <v>2020</v>
      </c>
      <c r="B11218" s="128" t="s">
        <v>137</v>
      </c>
      <c r="C11218" s="128" t="s">
        <v>23</v>
      </c>
      <c r="D11218" s="128" t="s">
        <v>79</v>
      </c>
      <c r="E11218" s="128" t="s">
        <v>132</v>
      </c>
      <c r="F11218" s="128">
        <v>460012.61</v>
      </c>
      <c r="G11218" s="128">
        <v>303452.77</v>
      </c>
      <c r="H11218" s="128">
        <v>115846.09</v>
      </c>
      <c r="I11218" s="128">
        <v>699</v>
      </c>
    </row>
    <row r="11219" spans="1:9" ht="13.5">
      <c r="A11219" s="128">
        <v>2020</v>
      </c>
      <c r="B11219" s="128" t="s">
        <v>137</v>
      </c>
      <c r="C11219" s="128" t="s">
        <v>23</v>
      </c>
      <c r="D11219" s="128" t="s">
        <v>79</v>
      </c>
      <c r="E11219" s="128" t="s">
        <v>133</v>
      </c>
      <c r="F11219" s="128">
        <v>492321.25</v>
      </c>
      <c r="G11219" s="128">
        <v>263246.01</v>
      </c>
      <c r="H11219" s="128">
        <v>177690.55</v>
      </c>
      <c r="I11219" s="128">
        <v>2204</v>
      </c>
    </row>
    <row r="11220" spans="1:9" ht="13.5">
      <c r="A11220" s="128">
        <v>2020</v>
      </c>
      <c r="B11220" s="128" t="s">
        <v>137</v>
      </c>
      <c r="C11220" s="128" t="s">
        <v>23</v>
      </c>
      <c r="D11220" s="128" t="s">
        <v>79</v>
      </c>
      <c r="E11220" s="128" t="s">
        <v>134</v>
      </c>
      <c r="F11220" s="128">
        <v>710850.49</v>
      </c>
      <c r="G11220" s="128">
        <v>309279.57</v>
      </c>
      <c r="H11220" s="128">
        <v>260998.87</v>
      </c>
      <c r="I11220" s="128">
        <v>2377</v>
      </c>
    </row>
    <row r="11221" spans="1:9" ht="13.5">
      <c r="A11221" s="128">
        <v>2020</v>
      </c>
      <c r="B11221" s="128" t="s">
        <v>137</v>
      </c>
      <c r="C11221" s="128" t="s">
        <v>23</v>
      </c>
      <c r="D11221" s="128" t="s">
        <v>79</v>
      </c>
      <c r="E11221" s="128" t="s">
        <v>135</v>
      </c>
      <c r="F11221" s="128">
        <v>2511774.86</v>
      </c>
      <c r="G11221" s="128">
        <v>533547.64</v>
      </c>
      <c r="H11221" s="128">
        <v>214211.9</v>
      </c>
      <c r="I11221" s="128">
        <v>2520</v>
      </c>
    </row>
    <row r="11222" spans="1:9" ht="13.5">
      <c r="A11222" s="128">
        <v>2020</v>
      </c>
      <c r="B11222" s="128" t="s">
        <v>137</v>
      </c>
      <c r="C11222" s="128" t="s">
        <v>23</v>
      </c>
      <c r="D11222" s="128" t="s">
        <v>77</v>
      </c>
      <c r="E11222" s="128" t="s">
        <v>132</v>
      </c>
      <c r="F11222" s="128">
        <v>425784.51</v>
      </c>
      <c r="G11222" s="128">
        <v>274570.09000000003</v>
      </c>
      <c r="H11222" s="128">
        <v>123766.48</v>
      </c>
      <c r="I11222" s="128">
        <v>2142</v>
      </c>
    </row>
    <row r="11223" spans="1:9" ht="13.5">
      <c r="A11223" s="128">
        <v>2020</v>
      </c>
      <c r="B11223" s="128" t="s">
        <v>137</v>
      </c>
      <c r="C11223" s="128" t="s">
        <v>23</v>
      </c>
      <c r="D11223" s="128" t="s">
        <v>77</v>
      </c>
      <c r="E11223" s="128" t="s">
        <v>133</v>
      </c>
      <c r="F11223" s="128">
        <v>1340044.98</v>
      </c>
      <c r="G11223" s="128">
        <v>727799.05</v>
      </c>
      <c r="H11223" s="128">
        <v>540476.84</v>
      </c>
      <c r="I11223" s="128">
        <v>5732</v>
      </c>
    </row>
    <row r="11224" spans="1:9" ht="13.5">
      <c r="A11224" s="128">
        <v>2020</v>
      </c>
      <c r="B11224" s="128" t="s">
        <v>137</v>
      </c>
      <c r="C11224" s="128" t="s">
        <v>23</v>
      </c>
      <c r="D11224" s="128" t="s">
        <v>77</v>
      </c>
      <c r="E11224" s="128" t="s">
        <v>134</v>
      </c>
      <c r="F11224" s="128">
        <v>9013456.8399999999</v>
      </c>
      <c r="G11224" s="128">
        <v>3792024.31</v>
      </c>
      <c r="H11224" s="128">
        <v>3997171.19</v>
      </c>
      <c r="I11224" s="128">
        <v>13715</v>
      </c>
    </row>
    <row r="11225" spans="1:9" ht="13.5">
      <c r="A11225" s="128">
        <v>2020</v>
      </c>
      <c r="B11225" s="128" t="s">
        <v>137</v>
      </c>
      <c r="C11225" s="128" t="s">
        <v>23</v>
      </c>
      <c r="D11225" s="128" t="s">
        <v>77</v>
      </c>
      <c r="E11225" s="128" t="s">
        <v>135</v>
      </c>
      <c r="F11225" s="128">
        <v>11548615.66</v>
      </c>
      <c r="G11225" s="128">
        <v>3288367.79</v>
      </c>
      <c r="H11225" s="128">
        <v>3986971.06</v>
      </c>
      <c r="I11225" s="128">
        <v>41679</v>
      </c>
    </row>
    <row r="11226" spans="1:9" ht="13.5">
      <c r="A11226" s="128">
        <v>2020</v>
      </c>
      <c r="B11226" s="128" t="s">
        <v>137</v>
      </c>
      <c r="C11226" s="128" t="s">
        <v>23</v>
      </c>
      <c r="D11226" s="128" t="s">
        <v>76</v>
      </c>
      <c r="E11226" s="128" t="s">
        <v>136</v>
      </c>
      <c r="F11226" s="128">
        <v>7805752.7400000002</v>
      </c>
      <c r="G11226" s="128">
        <v>5859472.2300000004</v>
      </c>
      <c r="H11226" s="128">
        <v>1946279.41</v>
      </c>
      <c r="I11226" s="128">
        <v>135162</v>
      </c>
    </row>
    <row r="11227" spans="1:9" ht="13.5">
      <c r="A11227" s="128">
        <v>2020</v>
      </c>
      <c r="B11227" s="128" t="s">
        <v>137</v>
      </c>
      <c r="C11227" s="128" t="s">
        <v>23</v>
      </c>
      <c r="D11227" s="128" t="s">
        <v>76</v>
      </c>
      <c r="E11227" s="128" t="s">
        <v>132</v>
      </c>
      <c r="F11227" s="128">
        <v>9666672.9399999995</v>
      </c>
      <c r="G11227" s="128">
        <v>6040709.4100000001</v>
      </c>
      <c r="H11227" s="128">
        <v>3625879.68</v>
      </c>
      <c r="I11227" s="128">
        <v>85413</v>
      </c>
    </row>
    <row r="11228" spans="1:9" ht="13.5">
      <c r="A11228" s="128">
        <v>2020</v>
      </c>
      <c r="B11228" s="128" t="s">
        <v>137</v>
      </c>
      <c r="C11228" s="128" t="s">
        <v>23</v>
      </c>
      <c r="D11228" s="128" t="s">
        <v>76</v>
      </c>
      <c r="E11228" s="128" t="s">
        <v>133</v>
      </c>
      <c r="F11228" s="128">
        <v>33157283.600000001</v>
      </c>
      <c r="G11228" s="128">
        <v>18076533.02</v>
      </c>
      <c r="H11228" s="128">
        <v>15080711.199999999</v>
      </c>
      <c r="I11228" s="128">
        <v>245179</v>
      </c>
    </row>
    <row r="11229" spans="1:9" ht="13.5">
      <c r="A11229" s="128">
        <v>2020</v>
      </c>
      <c r="B11229" s="128" t="s">
        <v>137</v>
      </c>
      <c r="C11229" s="128" t="s">
        <v>23</v>
      </c>
      <c r="D11229" s="128" t="s">
        <v>76</v>
      </c>
      <c r="E11229" s="128" t="s">
        <v>134</v>
      </c>
      <c r="F11229" s="128">
        <v>46784674.060000002</v>
      </c>
      <c r="G11229" s="128">
        <v>20914173.039999999</v>
      </c>
      <c r="H11229" s="128">
        <v>25870464.5</v>
      </c>
      <c r="I11229" s="128">
        <v>184875</v>
      </c>
    </row>
    <row r="11230" spans="1:9" ht="13.5">
      <c r="A11230" s="128">
        <v>2020</v>
      </c>
      <c r="B11230" s="128" t="s">
        <v>137</v>
      </c>
      <c r="C11230" s="128" t="s">
        <v>23</v>
      </c>
      <c r="D11230" s="128" t="s">
        <v>76</v>
      </c>
      <c r="E11230" s="128" t="s">
        <v>135</v>
      </c>
      <c r="F11230" s="128">
        <v>1089642.8999999999</v>
      </c>
      <c r="G11230" s="128">
        <v>282681.84999999998</v>
      </c>
      <c r="H11230" s="128">
        <v>806960.85</v>
      </c>
      <c r="I11230" s="128">
        <v>794</v>
      </c>
    </row>
    <row r="11231" spans="1:9" ht="13.5">
      <c r="A11231" s="128">
        <v>2020</v>
      </c>
      <c r="B11231" s="128" t="s">
        <v>137</v>
      </c>
      <c r="C11231" s="128" t="s">
        <v>24</v>
      </c>
      <c r="D11231" s="128" t="s">
        <v>79</v>
      </c>
      <c r="E11231" s="128" t="s">
        <v>136</v>
      </c>
      <c r="F11231" s="128">
        <v>1963601.25</v>
      </c>
      <c r="G11231" s="128">
        <v>1476287.22</v>
      </c>
      <c r="H11231" s="128">
        <v>482913.94</v>
      </c>
      <c r="I11231" s="128">
        <v>32539</v>
      </c>
    </row>
    <row r="11232" spans="1:9" ht="13.5">
      <c r="A11232" s="128">
        <v>2020</v>
      </c>
      <c r="B11232" s="128" t="s">
        <v>137</v>
      </c>
      <c r="C11232" s="128" t="s">
        <v>24</v>
      </c>
      <c r="D11232" s="128" t="s">
        <v>79</v>
      </c>
      <c r="E11232" s="128" t="s">
        <v>132</v>
      </c>
      <c r="F11232" s="128">
        <v>474720.66</v>
      </c>
      <c r="G11232" s="128">
        <v>312247.71000000002</v>
      </c>
      <c r="H11232" s="128">
        <v>130081.31</v>
      </c>
      <c r="I11232" s="128">
        <v>2187</v>
      </c>
    </row>
    <row r="11233" spans="1:9" ht="13.5">
      <c r="A11233" s="128">
        <v>2020</v>
      </c>
      <c r="B11233" s="128" t="s">
        <v>137</v>
      </c>
      <c r="C11233" s="128" t="s">
        <v>24</v>
      </c>
      <c r="D11233" s="128" t="s">
        <v>79</v>
      </c>
      <c r="E11233" s="128" t="s">
        <v>133</v>
      </c>
      <c r="F11233" s="128">
        <v>655063.28</v>
      </c>
      <c r="G11233" s="128">
        <v>354081.63</v>
      </c>
      <c r="H11233" s="128">
        <v>200994.53</v>
      </c>
      <c r="I11233" s="128">
        <v>2489</v>
      </c>
    </row>
    <row r="11234" spans="1:9" ht="13.5">
      <c r="A11234" s="128">
        <v>2020</v>
      </c>
      <c r="B11234" s="128" t="s">
        <v>137</v>
      </c>
      <c r="C11234" s="128" t="s">
        <v>24</v>
      </c>
      <c r="D11234" s="128" t="s">
        <v>79</v>
      </c>
      <c r="E11234" s="128" t="s">
        <v>134</v>
      </c>
      <c r="F11234" s="128">
        <v>2069266.59</v>
      </c>
      <c r="G11234" s="128">
        <v>901004.17</v>
      </c>
      <c r="H11234" s="128">
        <v>438568.71</v>
      </c>
      <c r="I11234" s="128">
        <v>15059</v>
      </c>
    </row>
    <row r="11235" spans="1:9" ht="13.5">
      <c r="A11235" s="128">
        <v>2020</v>
      </c>
      <c r="B11235" s="128" t="s">
        <v>137</v>
      </c>
      <c r="C11235" s="128" t="s">
        <v>24</v>
      </c>
      <c r="D11235" s="128" t="s">
        <v>79</v>
      </c>
      <c r="E11235" s="128" t="s">
        <v>135</v>
      </c>
      <c r="F11235" s="128">
        <v>8253728.6299999999</v>
      </c>
      <c r="G11235" s="128">
        <v>1700477.65</v>
      </c>
      <c r="H11235" s="128">
        <v>633212.69999999995</v>
      </c>
      <c r="I11235" s="128">
        <v>8433</v>
      </c>
    </row>
    <row r="11236" spans="1:9" ht="13.5">
      <c r="A11236" s="128">
        <v>2020</v>
      </c>
      <c r="B11236" s="128" t="s">
        <v>137</v>
      </c>
      <c r="C11236" s="128" t="s">
        <v>24</v>
      </c>
      <c r="D11236" s="128" t="s">
        <v>77</v>
      </c>
      <c r="E11236" s="128" t="s">
        <v>132</v>
      </c>
      <c r="F11236" s="128">
        <v>1050533.6499999999</v>
      </c>
      <c r="G11236" s="128">
        <v>680048.73</v>
      </c>
      <c r="H11236" s="128">
        <v>323273.81</v>
      </c>
      <c r="I11236" s="128">
        <v>4948</v>
      </c>
    </row>
    <row r="11237" spans="1:9" ht="13.5">
      <c r="A11237" s="128">
        <v>2020</v>
      </c>
      <c r="B11237" s="128" t="s">
        <v>137</v>
      </c>
      <c r="C11237" s="128" t="s">
        <v>24</v>
      </c>
      <c r="D11237" s="128" t="s">
        <v>77</v>
      </c>
      <c r="E11237" s="128" t="s">
        <v>133</v>
      </c>
      <c r="F11237" s="128">
        <v>3631245.8</v>
      </c>
      <c r="G11237" s="128">
        <v>1939437.28</v>
      </c>
      <c r="H11237" s="128">
        <v>1437269.87</v>
      </c>
      <c r="I11237" s="128">
        <v>28766</v>
      </c>
    </row>
    <row r="11238" spans="1:9" ht="13.5">
      <c r="A11238" s="128">
        <v>2020</v>
      </c>
      <c r="B11238" s="128" t="s">
        <v>137</v>
      </c>
      <c r="C11238" s="128" t="s">
        <v>24</v>
      </c>
      <c r="D11238" s="128" t="s">
        <v>77</v>
      </c>
      <c r="E11238" s="128" t="s">
        <v>134</v>
      </c>
      <c r="F11238" s="128">
        <v>9890487.3100000005</v>
      </c>
      <c r="G11238" s="128">
        <v>4360122.6900000004</v>
      </c>
      <c r="H11238" s="128">
        <v>3969508.07</v>
      </c>
      <c r="I11238" s="128">
        <v>22719</v>
      </c>
    </row>
    <row r="11239" spans="1:9" ht="13.5">
      <c r="A11239" s="128">
        <v>2020</v>
      </c>
      <c r="B11239" s="128" t="s">
        <v>137</v>
      </c>
      <c r="C11239" s="128" t="s">
        <v>24</v>
      </c>
      <c r="D11239" s="128" t="s">
        <v>77</v>
      </c>
      <c r="E11239" s="128" t="s">
        <v>135</v>
      </c>
      <c r="F11239" s="128">
        <v>18160421.120000001</v>
      </c>
      <c r="G11239" s="128">
        <v>4553106.3</v>
      </c>
      <c r="H11239" s="128">
        <v>3376825.56</v>
      </c>
      <c r="I11239" s="128">
        <v>46762</v>
      </c>
    </row>
    <row r="11240" spans="1:9" ht="13.5">
      <c r="A11240" s="128">
        <v>2020</v>
      </c>
      <c r="B11240" s="128" t="s">
        <v>137</v>
      </c>
      <c r="C11240" s="128" t="s">
        <v>24</v>
      </c>
      <c r="D11240" s="128" t="s">
        <v>76</v>
      </c>
      <c r="E11240" s="128" t="s">
        <v>136</v>
      </c>
      <c r="F11240" s="128">
        <v>10509550.5</v>
      </c>
      <c r="G11240" s="128">
        <v>7896997.6399999997</v>
      </c>
      <c r="H11240" s="128">
        <v>2612642.7599999998</v>
      </c>
      <c r="I11240" s="128">
        <v>150479</v>
      </c>
    </row>
    <row r="11241" spans="1:9" ht="13.5">
      <c r="A11241" s="128">
        <v>2020</v>
      </c>
      <c r="B11241" s="128" t="s">
        <v>137</v>
      </c>
      <c r="C11241" s="128" t="s">
        <v>24</v>
      </c>
      <c r="D11241" s="128" t="s">
        <v>76</v>
      </c>
      <c r="E11241" s="128" t="s">
        <v>132</v>
      </c>
      <c r="F11241" s="128">
        <v>11770345.09</v>
      </c>
      <c r="G11241" s="128">
        <v>7598248.4500000002</v>
      </c>
      <c r="H11241" s="128">
        <v>4171995.06</v>
      </c>
      <c r="I11241" s="128">
        <v>82825</v>
      </c>
    </row>
    <row r="11242" spans="1:9" ht="13.5">
      <c r="A11242" s="128">
        <v>2020</v>
      </c>
      <c r="B11242" s="128" t="s">
        <v>137</v>
      </c>
      <c r="C11242" s="128" t="s">
        <v>24</v>
      </c>
      <c r="D11242" s="128" t="s">
        <v>76</v>
      </c>
      <c r="E11242" s="128" t="s">
        <v>133</v>
      </c>
      <c r="F11242" s="128">
        <v>51395894.979999997</v>
      </c>
      <c r="G11242" s="128">
        <v>28431329.530000001</v>
      </c>
      <c r="H11242" s="128">
        <v>22964551.969999999</v>
      </c>
      <c r="I11242" s="128">
        <v>345335</v>
      </c>
    </row>
    <row r="11243" spans="1:9" ht="13.5">
      <c r="A11243" s="128">
        <v>2020</v>
      </c>
      <c r="B11243" s="128" t="s">
        <v>137</v>
      </c>
      <c r="C11243" s="128" t="s">
        <v>24</v>
      </c>
      <c r="D11243" s="128" t="s">
        <v>76</v>
      </c>
      <c r="E11243" s="128" t="s">
        <v>134</v>
      </c>
      <c r="F11243" s="128">
        <v>58892084.039999999</v>
      </c>
      <c r="G11243" s="128">
        <v>26166773.199999999</v>
      </c>
      <c r="H11243" s="128">
        <v>32725242.07</v>
      </c>
      <c r="I11243" s="128">
        <v>270403</v>
      </c>
    </row>
    <row r="11244" spans="1:9" ht="13.5">
      <c r="A11244" s="128">
        <v>2020</v>
      </c>
      <c r="B11244" s="128" t="s">
        <v>137</v>
      </c>
      <c r="C11244" s="128" t="s">
        <v>24</v>
      </c>
      <c r="D11244" s="128" t="s">
        <v>76</v>
      </c>
      <c r="E11244" s="128" t="s">
        <v>135</v>
      </c>
      <c r="F11244" s="128">
        <v>2154300.1</v>
      </c>
      <c r="G11244" s="128">
        <v>569136.15</v>
      </c>
      <c r="H11244" s="128">
        <v>1585163.95</v>
      </c>
      <c r="I11244" s="128">
        <v>1945</v>
      </c>
    </row>
    <row r="11245" spans="1:9" ht="13.5">
      <c r="A11245" s="128">
        <v>2020</v>
      </c>
      <c r="B11245" s="128" t="s">
        <v>137</v>
      </c>
      <c r="C11245" s="128" t="s">
        <v>25</v>
      </c>
      <c r="D11245" s="128" t="s">
        <v>79</v>
      </c>
      <c r="E11245" s="128" t="s">
        <v>136</v>
      </c>
      <c r="F11245" s="128">
        <v>403390.88</v>
      </c>
      <c r="G11245" s="128">
        <v>302270.33</v>
      </c>
      <c r="H11245" s="128">
        <v>100106.2</v>
      </c>
      <c r="I11245" s="128">
        <v>2563</v>
      </c>
    </row>
    <row r="11246" spans="1:9" ht="13.5">
      <c r="A11246" s="128">
        <v>2020</v>
      </c>
      <c r="B11246" s="128" t="s">
        <v>137</v>
      </c>
      <c r="C11246" s="128" t="s">
        <v>25</v>
      </c>
      <c r="D11246" s="128" t="s">
        <v>79</v>
      </c>
      <c r="E11246" s="128" t="s">
        <v>132</v>
      </c>
      <c r="F11246" s="128">
        <v>104814.86</v>
      </c>
      <c r="G11246" s="128">
        <v>69491.75</v>
      </c>
      <c r="H11246" s="128">
        <v>27603.13</v>
      </c>
      <c r="I11246" s="128">
        <v>613</v>
      </c>
    </row>
    <row r="11247" spans="1:9" ht="13.5">
      <c r="A11247" s="128">
        <v>2020</v>
      </c>
      <c r="B11247" s="128" t="s">
        <v>137</v>
      </c>
      <c r="C11247" s="128" t="s">
        <v>25</v>
      </c>
      <c r="D11247" s="128" t="s">
        <v>79</v>
      </c>
      <c r="E11247" s="128" t="s">
        <v>133</v>
      </c>
      <c r="F11247" s="128">
        <v>157208.75</v>
      </c>
      <c r="G11247" s="128">
        <v>84315.78</v>
      </c>
      <c r="H11247" s="128">
        <v>50740.93</v>
      </c>
      <c r="I11247" s="128">
        <v>382</v>
      </c>
    </row>
    <row r="11248" spans="1:9" ht="13.5">
      <c r="A11248" s="128">
        <v>2020</v>
      </c>
      <c r="B11248" s="128" t="s">
        <v>137</v>
      </c>
      <c r="C11248" s="128" t="s">
        <v>25</v>
      </c>
      <c r="D11248" s="128" t="s">
        <v>79</v>
      </c>
      <c r="E11248" s="128" t="s">
        <v>134</v>
      </c>
      <c r="F11248" s="128">
        <v>288783.90999999997</v>
      </c>
      <c r="G11248" s="128">
        <v>125174.12</v>
      </c>
      <c r="H11248" s="128">
        <v>95954.54</v>
      </c>
      <c r="I11248" s="128">
        <v>1371</v>
      </c>
    </row>
    <row r="11249" spans="1:9" ht="13.5">
      <c r="A11249" s="128">
        <v>2020</v>
      </c>
      <c r="B11249" s="128" t="s">
        <v>137</v>
      </c>
      <c r="C11249" s="128" t="s">
        <v>25</v>
      </c>
      <c r="D11249" s="128" t="s">
        <v>79</v>
      </c>
      <c r="E11249" s="128" t="s">
        <v>135</v>
      </c>
      <c r="F11249" s="128">
        <v>1485717.99</v>
      </c>
      <c r="G11249" s="128">
        <v>318419.49</v>
      </c>
      <c r="H11249" s="128">
        <v>123716.76</v>
      </c>
      <c r="I11249" s="128">
        <v>1093</v>
      </c>
    </row>
    <row r="11250" spans="1:9" ht="13.5">
      <c r="A11250" s="128">
        <v>2020</v>
      </c>
      <c r="B11250" s="128" t="s">
        <v>137</v>
      </c>
      <c r="C11250" s="128" t="s">
        <v>25</v>
      </c>
      <c r="D11250" s="128" t="s">
        <v>77</v>
      </c>
      <c r="E11250" s="128" t="s">
        <v>132</v>
      </c>
      <c r="F11250" s="128">
        <v>206183.82</v>
      </c>
      <c r="G11250" s="128">
        <v>134352.75</v>
      </c>
      <c r="H11250" s="128">
        <v>64893.69</v>
      </c>
      <c r="I11250" s="128">
        <v>1363</v>
      </c>
    </row>
    <row r="11251" spans="1:9" ht="13.5">
      <c r="A11251" s="128">
        <v>2020</v>
      </c>
      <c r="B11251" s="128" t="s">
        <v>137</v>
      </c>
      <c r="C11251" s="128" t="s">
        <v>25</v>
      </c>
      <c r="D11251" s="128" t="s">
        <v>77</v>
      </c>
      <c r="E11251" s="128" t="s">
        <v>133</v>
      </c>
      <c r="F11251" s="128">
        <v>429655.62</v>
      </c>
      <c r="G11251" s="128">
        <v>232323.35</v>
      </c>
      <c r="H11251" s="128">
        <v>182684.04</v>
      </c>
      <c r="I11251" s="128">
        <v>1970</v>
      </c>
    </row>
    <row r="11252" spans="1:9" ht="13.5">
      <c r="A11252" s="128">
        <v>2020</v>
      </c>
      <c r="B11252" s="128" t="s">
        <v>137</v>
      </c>
      <c r="C11252" s="128" t="s">
        <v>25</v>
      </c>
      <c r="D11252" s="128" t="s">
        <v>77</v>
      </c>
      <c r="E11252" s="128" t="s">
        <v>134</v>
      </c>
      <c r="F11252" s="128">
        <v>2457389.7599999998</v>
      </c>
      <c r="G11252" s="128">
        <v>1047157.47</v>
      </c>
      <c r="H11252" s="128">
        <v>1107673.58</v>
      </c>
      <c r="I11252" s="128">
        <v>3474</v>
      </c>
    </row>
    <row r="11253" spans="1:9" ht="13.5">
      <c r="A11253" s="128">
        <v>2020</v>
      </c>
      <c r="B11253" s="128" t="s">
        <v>137</v>
      </c>
      <c r="C11253" s="128" t="s">
        <v>25</v>
      </c>
      <c r="D11253" s="128" t="s">
        <v>77</v>
      </c>
      <c r="E11253" s="128" t="s">
        <v>135</v>
      </c>
      <c r="F11253" s="128">
        <v>2878990.64</v>
      </c>
      <c r="G11253" s="128">
        <v>769837.07</v>
      </c>
      <c r="H11253" s="128">
        <v>904053.07</v>
      </c>
      <c r="I11253" s="128">
        <v>6779</v>
      </c>
    </row>
    <row r="11254" spans="1:9" ht="13.5">
      <c r="A11254" s="128">
        <v>2020</v>
      </c>
      <c r="B11254" s="128" t="s">
        <v>137</v>
      </c>
      <c r="C11254" s="128" t="s">
        <v>25</v>
      </c>
      <c r="D11254" s="128" t="s">
        <v>76</v>
      </c>
      <c r="E11254" s="128" t="s">
        <v>136</v>
      </c>
      <c r="F11254" s="128">
        <v>1904217.69</v>
      </c>
      <c r="G11254" s="128">
        <v>1429157.19</v>
      </c>
      <c r="H11254" s="128">
        <v>475060.5</v>
      </c>
      <c r="I11254" s="128">
        <v>32190</v>
      </c>
    </row>
    <row r="11255" spans="1:9" ht="13.5">
      <c r="A11255" s="128">
        <v>2020</v>
      </c>
      <c r="B11255" s="128" t="s">
        <v>137</v>
      </c>
      <c r="C11255" s="128" t="s">
        <v>25</v>
      </c>
      <c r="D11255" s="128" t="s">
        <v>76</v>
      </c>
      <c r="E11255" s="128" t="s">
        <v>132</v>
      </c>
      <c r="F11255" s="128">
        <v>2973182.76</v>
      </c>
      <c r="G11255" s="128">
        <v>1889782.55</v>
      </c>
      <c r="H11255" s="128">
        <v>1083393.06</v>
      </c>
      <c r="I11255" s="128">
        <v>21405</v>
      </c>
    </row>
    <row r="11256" spans="1:9" ht="13.5">
      <c r="A11256" s="128">
        <v>2020</v>
      </c>
      <c r="B11256" s="128" t="s">
        <v>137</v>
      </c>
      <c r="C11256" s="128" t="s">
        <v>25</v>
      </c>
      <c r="D11256" s="128" t="s">
        <v>76</v>
      </c>
      <c r="E11256" s="128" t="s">
        <v>133</v>
      </c>
      <c r="F11256" s="128">
        <v>9695794.2200000007</v>
      </c>
      <c r="G11256" s="128">
        <v>5294434.66</v>
      </c>
      <c r="H11256" s="128">
        <v>4401354.71</v>
      </c>
      <c r="I11256" s="128">
        <v>58952</v>
      </c>
    </row>
    <row r="11257" spans="1:9" ht="13.5">
      <c r="A11257" s="128">
        <v>2020</v>
      </c>
      <c r="B11257" s="128" t="s">
        <v>137</v>
      </c>
      <c r="C11257" s="128" t="s">
        <v>25</v>
      </c>
      <c r="D11257" s="128" t="s">
        <v>76</v>
      </c>
      <c r="E11257" s="128" t="s">
        <v>134</v>
      </c>
      <c r="F11257" s="128">
        <v>11716898.539999999</v>
      </c>
      <c r="G11257" s="128">
        <v>5361898.5199999996</v>
      </c>
      <c r="H11257" s="128">
        <v>6354990.0199999996</v>
      </c>
      <c r="I11257" s="128">
        <v>54433</v>
      </c>
    </row>
    <row r="11258" spans="1:9" ht="13.5">
      <c r="A11258" s="128">
        <v>2020</v>
      </c>
      <c r="B11258" s="128" t="s">
        <v>137</v>
      </c>
      <c r="C11258" s="128" t="s">
        <v>25</v>
      </c>
      <c r="D11258" s="128" t="s">
        <v>76</v>
      </c>
      <c r="E11258" s="128" t="s">
        <v>135</v>
      </c>
      <c r="F11258" s="128">
        <v>324173.25</v>
      </c>
      <c r="G11258" s="128">
        <v>89683.95</v>
      </c>
      <c r="H11258" s="128">
        <v>234489.3</v>
      </c>
      <c r="I11258" s="128">
        <v>221</v>
      </c>
    </row>
    <row r="11259" spans="1:9" ht="13.5">
      <c r="A11259" s="128">
        <v>2020</v>
      </c>
      <c r="B11259" s="128" t="s">
        <v>137</v>
      </c>
      <c r="C11259" s="128" t="s">
        <v>26</v>
      </c>
      <c r="D11259" s="128" t="s">
        <v>79</v>
      </c>
      <c r="E11259" s="128" t="s">
        <v>136</v>
      </c>
      <c r="F11259" s="128">
        <v>849638.08</v>
      </c>
      <c r="G11259" s="128">
        <v>635562.35</v>
      </c>
      <c r="H11259" s="128">
        <v>210187.48</v>
      </c>
      <c r="I11259" s="128">
        <v>6642</v>
      </c>
    </row>
    <row r="11260" spans="1:9" ht="13.5">
      <c r="A11260" s="128">
        <v>2020</v>
      </c>
      <c r="B11260" s="128" t="s">
        <v>137</v>
      </c>
      <c r="C11260" s="128" t="s">
        <v>26</v>
      </c>
      <c r="D11260" s="128" t="s">
        <v>79</v>
      </c>
      <c r="E11260" s="128" t="s">
        <v>132</v>
      </c>
      <c r="F11260" s="128">
        <v>101299.32</v>
      </c>
      <c r="G11260" s="128">
        <v>69877.22</v>
      </c>
      <c r="H11260" s="128">
        <v>24128.15</v>
      </c>
      <c r="I11260" s="128">
        <v>403</v>
      </c>
    </row>
    <row r="11261" spans="1:9" ht="13.5">
      <c r="A11261" s="128">
        <v>2020</v>
      </c>
      <c r="B11261" s="128" t="s">
        <v>137</v>
      </c>
      <c r="C11261" s="128" t="s">
        <v>26</v>
      </c>
      <c r="D11261" s="128" t="s">
        <v>79</v>
      </c>
      <c r="E11261" s="128" t="s">
        <v>133</v>
      </c>
      <c r="F11261" s="128">
        <v>131301.17000000001</v>
      </c>
      <c r="G11261" s="128">
        <v>70664.800000000003</v>
      </c>
      <c r="H11261" s="128">
        <v>28864.6</v>
      </c>
      <c r="I11261" s="128">
        <v>409</v>
      </c>
    </row>
    <row r="11262" spans="1:9" ht="13.5">
      <c r="A11262" s="128">
        <v>2020</v>
      </c>
      <c r="B11262" s="128" t="s">
        <v>137</v>
      </c>
      <c r="C11262" s="128" t="s">
        <v>26</v>
      </c>
      <c r="D11262" s="128" t="s">
        <v>79</v>
      </c>
      <c r="E11262" s="128" t="s">
        <v>134</v>
      </c>
      <c r="F11262" s="128">
        <v>432208.36</v>
      </c>
      <c r="G11262" s="128">
        <v>184961.36</v>
      </c>
      <c r="H11262" s="128">
        <v>89818.46</v>
      </c>
      <c r="I11262" s="128">
        <v>1861</v>
      </c>
    </row>
    <row r="11263" spans="1:9" ht="13.5">
      <c r="A11263" s="128">
        <v>2020</v>
      </c>
      <c r="B11263" s="128" t="s">
        <v>137</v>
      </c>
      <c r="C11263" s="128" t="s">
        <v>26</v>
      </c>
      <c r="D11263" s="128" t="s">
        <v>79</v>
      </c>
      <c r="E11263" s="128" t="s">
        <v>135</v>
      </c>
      <c r="F11263" s="128">
        <v>7186398.3499999996</v>
      </c>
      <c r="G11263" s="128">
        <v>1552682.53</v>
      </c>
      <c r="H11263" s="128">
        <v>527383.65</v>
      </c>
      <c r="I11263" s="128">
        <v>6243</v>
      </c>
    </row>
    <row r="11264" spans="1:9" ht="13.5">
      <c r="A11264" s="128">
        <v>2020</v>
      </c>
      <c r="B11264" s="128" t="s">
        <v>137</v>
      </c>
      <c r="C11264" s="128" t="s">
        <v>26</v>
      </c>
      <c r="D11264" s="128" t="s">
        <v>77</v>
      </c>
      <c r="E11264" s="128" t="s">
        <v>132</v>
      </c>
      <c r="F11264" s="128">
        <v>63897.98</v>
      </c>
      <c r="G11264" s="128">
        <v>40506.050000000003</v>
      </c>
      <c r="H11264" s="128">
        <v>21592.61</v>
      </c>
      <c r="I11264" s="128">
        <v>301</v>
      </c>
    </row>
    <row r="11265" spans="1:9" ht="13.5">
      <c r="A11265" s="128">
        <v>2020</v>
      </c>
      <c r="B11265" s="128" t="s">
        <v>137</v>
      </c>
      <c r="C11265" s="128" t="s">
        <v>26</v>
      </c>
      <c r="D11265" s="128" t="s">
        <v>77</v>
      </c>
      <c r="E11265" s="128" t="s">
        <v>133</v>
      </c>
      <c r="F11265" s="128">
        <v>232391.56</v>
      </c>
      <c r="G11265" s="128">
        <v>129340.37</v>
      </c>
      <c r="H11265" s="128">
        <v>92427.59</v>
      </c>
      <c r="I11265" s="128">
        <v>1186</v>
      </c>
    </row>
    <row r="11266" spans="1:9" ht="13.5">
      <c r="A11266" s="128">
        <v>2020</v>
      </c>
      <c r="B11266" s="128" t="s">
        <v>137</v>
      </c>
      <c r="C11266" s="128" t="s">
        <v>26</v>
      </c>
      <c r="D11266" s="128" t="s">
        <v>77</v>
      </c>
      <c r="E11266" s="128" t="s">
        <v>134</v>
      </c>
      <c r="F11266" s="128">
        <v>580040.26</v>
      </c>
      <c r="G11266" s="128">
        <v>249926.36</v>
      </c>
      <c r="H11266" s="128">
        <v>253208.32000000001</v>
      </c>
      <c r="I11266" s="128">
        <v>1221</v>
      </c>
    </row>
    <row r="11267" spans="1:9" ht="13.5">
      <c r="A11267" s="128">
        <v>2020</v>
      </c>
      <c r="B11267" s="128" t="s">
        <v>137</v>
      </c>
      <c r="C11267" s="128" t="s">
        <v>26</v>
      </c>
      <c r="D11267" s="128" t="s">
        <v>77</v>
      </c>
      <c r="E11267" s="128" t="s">
        <v>135</v>
      </c>
      <c r="F11267" s="128">
        <v>3635743.79</v>
      </c>
      <c r="G11267" s="128">
        <v>969209.67</v>
      </c>
      <c r="H11267" s="128">
        <v>1006079.16</v>
      </c>
      <c r="I11267" s="128">
        <v>12580</v>
      </c>
    </row>
    <row r="11268" spans="1:9" ht="13.5">
      <c r="A11268" s="128">
        <v>2020</v>
      </c>
      <c r="B11268" s="128" t="s">
        <v>137</v>
      </c>
      <c r="C11268" s="128" t="s">
        <v>26</v>
      </c>
      <c r="D11268" s="128" t="s">
        <v>76</v>
      </c>
      <c r="E11268" s="128" t="s">
        <v>136</v>
      </c>
      <c r="F11268" s="128">
        <v>462068.47</v>
      </c>
      <c r="G11268" s="128">
        <v>346992.44</v>
      </c>
      <c r="H11268" s="128">
        <v>115076.03</v>
      </c>
      <c r="I11268" s="128">
        <v>11566</v>
      </c>
    </row>
    <row r="11269" spans="1:9" ht="13.5">
      <c r="A11269" s="128">
        <v>2020</v>
      </c>
      <c r="B11269" s="128" t="s">
        <v>137</v>
      </c>
      <c r="C11269" s="128" t="s">
        <v>26</v>
      </c>
      <c r="D11269" s="128" t="s">
        <v>76</v>
      </c>
      <c r="E11269" s="128" t="s">
        <v>132</v>
      </c>
      <c r="F11269" s="128">
        <v>1851942.61</v>
      </c>
      <c r="G11269" s="128">
        <v>1182202.6499999999</v>
      </c>
      <c r="H11269" s="128">
        <v>669731.21</v>
      </c>
      <c r="I11269" s="128">
        <v>16325</v>
      </c>
    </row>
    <row r="11270" spans="1:9" ht="13.5">
      <c r="A11270" s="128">
        <v>2020</v>
      </c>
      <c r="B11270" s="128" t="s">
        <v>137</v>
      </c>
      <c r="C11270" s="128" t="s">
        <v>26</v>
      </c>
      <c r="D11270" s="128" t="s">
        <v>76</v>
      </c>
      <c r="E11270" s="128" t="s">
        <v>133</v>
      </c>
      <c r="F11270" s="128">
        <v>3948236.32</v>
      </c>
      <c r="G11270" s="128">
        <v>2182783.9</v>
      </c>
      <c r="H11270" s="128">
        <v>1765433.78</v>
      </c>
      <c r="I11270" s="128">
        <v>32686</v>
      </c>
    </row>
    <row r="11271" spans="1:9" ht="13.5">
      <c r="A11271" s="128">
        <v>2020</v>
      </c>
      <c r="B11271" s="128" t="s">
        <v>137</v>
      </c>
      <c r="C11271" s="128" t="s">
        <v>26</v>
      </c>
      <c r="D11271" s="128" t="s">
        <v>76</v>
      </c>
      <c r="E11271" s="128" t="s">
        <v>134</v>
      </c>
      <c r="F11271" s="128">
        <v>3287917.4</v>
      </c>
      <c r="G11271" s="128">
        <v>1505685.8</v>
      </c>
      <c r="H11271" s="128">
        <v>1782189.81</v>
      </c>
      <c r="I11271" s="128">
        <v>18775</v>
      </c>
    </row>
    <row r="11272" spans="1:9" ht="13.5">
      <c r="A11272" s="128">
        <v>2020</v>
      </c>
      <c r="B11272" s="128" t="s">
        <v>137</v>
      </c>
      <c r="C11272" s="128" t="s">
        <v>26</v>
      </c>
      <c r="D11272" s="128" t="s">
        <v>76</v>
      </c>
      <c r="E11272" s="128" t="s">
        <v>135</v>
      </c>
      <c r="F11272" s="128">
        <v>231235.72</v>
      </c>
      <c r="G11272" s="128">
        <v>65139.199999999997</v>
      </c>
      <c r="H11272" s="128">
        <v>166096.51999999999</v>
      </c>
      <c r="I11272" s="128">
        <v>231</v>
      </c>
    </row>
    <row r="11273" spans="1:9" ht="13.5">
      <c r="A11273" s="128">
        <v>2020</v>
      </c>
      <c r="B11273" s="128" t="s">
        <v>137</v>
      </c>
      <c r="C11273" s="128" t="s">
        <v>27</v>
      </c>
      <c r="D11273" s="128" t="s">
        <v>79</v>
      </c>
      <c r="E11273" s="128" t="s">
        <v>136</v>
      </c>
      <c r="F11273" s="128">
        <v>234224.36</v>
      </c>
      <c r="G11273" s="128">
        <v>175720.91</v>
      </c>
      <c r="H11273" s="128">
        <v>58503.45</v>
      </c>
      <c r="I11273" s="128">
        <v>831</v>
      </c>
    </row>
    <row r="11274" spans="1:9" ht="13.5">
      <c r="A11274" s="128">
        <v>2020</v>
      </c>
      <c r="B11274" s="128" t="s">
        <v>137</v>
      </c>
      <c r="C11274" s="128" t="s">
        <v>27</v>
      </c>
      <c r="D11274" s="128" t="s">
        <v>79</v>
      </c>
      <c r="E11274" s="128" t="s">
        <v>132</v>
      </c>
      <c r="F11274" s="128">
        <v>16503.439999999999</v>
      </c>
      <c r="G11274" s="128">
        <v>10800.02</v>
      </c>
      <c r="H11274" s="128">
        <v>4392.75</v>
      </c>
      <c r="I11274" s="128">
        <v>99</v>
      </c>
    </row>
    <row r="11275" spans="1:9" ht="13.5">
      <c r="A11275" s="128">
        <v>2020</v>
      </c>
      <c r="B11275" s="128" t="s">
        <v>137</v>
      </c>
      <c r="C11275" s="128" t="s">
        <v>27</v>
      </c>
      <c r="D11275" s="128" t="s">
        <v>79</v>
      </c>
      <c r="E11275" s="128" t="s">
        <v>133</v>
      </c>
      <c r="F11275" s="128">
        <v>20144.400000000001</v>
      </c>
      <c r="G11275" s="128">
        <v>10958.38</v>
      </c>
      <c r="H11275" s="128">
        <v>3723.05</v>
      </c>
      <c r="I11275" s="128">
        <v>53</v>
      </c>
    </row>
    <row r="11276" spans="1:9" ht="13.5">
      <c r="A11276" s="128">
        <v>2020</v>
      </c>
      <c r="B11276" s="128" t="s">
        <v>137</v>
      </c>
      <c r="C11276" s="128" t="s">
        <v>27</v>
      </c>
      <c r="D11276" s="128" t="s">
        <v>79</v>
      </c>
      <c r="E11276" s="128" t="s">
        <v>134</v>
      </c>
      <c r="F11276" s="128">
        <v>47617.07</v>
      </c>
      <c r="G11276" s="128">
        <v>20632.78</v>
      </c>
      <c r="H11276" s="128">
        <v>10794.89</v>
      </c>
      <c r="I11276" s="128">
        <v>196</v>
      </c>
    </row>
    <row r="11277" spans="1:9" ht="13.5">
      <c r="A11277" s="128">
        <v>2020</v>
      </c>
      <c r="B11277" s="128" t="s">
        <v>137</v>
      </c>
      <c r="C11277" s="128" t="s">
        <v>27</v>
      </c>
      <c r="D11277" s="128" t="s">
        <v>79</v>
      </c>
      <c r="E11277" s="128" t="s">
        <v>135</v>
      </c>
      <c r="F11277" s="128">
        <v>891969.67</v>
      </c>
      <c r="G11277" s="128">
        <v>205825.45</v>
      </c>
      <c r="H11277" s="128">
        <v>68759.95</v>
      </c>
      <c r="I11277" s="128">
        <v>601</v>
      </c>
    </row>
    <row r="11278" spans="1:9" ht="13.5">
      <c r="A11278" s="128">
        <v>2020</v>
      </c>
      <c r="B11278" s="128" t="s">
        <v>137</v>
      </c>
      <c r="C11278" s="128" t="s">
        <v>27</v>
      </c>
      <c r="D11278" s="128" t="s">
        <v>77</v>
      </c>
      <c r="E11278" s="128" t="s">
        <v>132</v>
      </c>
      <c r="F11278" s="128">
        <v>25344.2</v>
      </c>
      <c r="G11278" s="128">
        <v>16809.09</v>
      </c>
      <c r="H11278" s="128">
        <v>6855.85</v>
      </c>
      <c r="I11278" s="128">
        <v>141</v>
      </c>
    </row>
    <row r="11279" spans="1:9" ht="13.5">
      <c r="A11279" s="128">
        <v>2020</v>
      </c>
      <c r="B11279" s="128" t="s">
        <v>137</v>
      </c>
      <c r="C11279" s="128" t="s">
        <v>27</v>
      </c>
      <c r="D11279" s="128" t="s">
        <v>77</v>
      </c>
      <c r="E11279" s="128" t="s">
        <v>133</v>
      </c>
      <c r="F11279" s="128">
        <v>57289.5</v>
      </c>
      <c r="G11279" s="128">
        <v>30629.22</v>
      </c>
      <c r="H11279" s="128">
        <v>23435.88</v>
      </c>
      <c r="I11279" s="128">
        <v>283</v>
      </c>
    </row>
    <row r="11280" spans="1:9" ht="13.5">
      <c r="A11280" s="128">
        <v>2020</v>
      </c>
      <c r="B11280" s="128" t="s">
        <v>137</v>
      </c>
      <c r="C11280" s="128" t="s">
        <v>27</v>
      </c>
      <c r="D11280" s="128" t="s">
        <v>77</v>
      </c>
      <c r="E11280" s="128" t="s">
        <v>134</v>
      </c>
      <c r="F11280" s="128">
        <v>226000.15</v>
      </c>
      <c r="G11280" s="128">
        <v>97658.91</v>
      </c>
      <c r="H11280" s="128">
        <v>92429.01</v>
      </c>
      <c r="I11280" s="128">
        <v>443</v>
      </c>
    </row>
    <row r="11281" spans="1:9" ht="13.5">
      <c r="A11281" s="128">
        <v>2020</v>
      </c>
      <c r="B11281" s="128" t="s">
        <v>137</v>
      </c>
      <c r="C11281" s="128" t="s">
        <v>27</v>
      </c>
      <c r="D11281" s="128" t="s">
        <v>77</v>
      </c>
      <c r="E11281" s="128" t="s">
        <v>135</v>
      </c>
      <c r="F11281" s="128">
        <v>443248.65</v>
      </c>
      <c r="G11281" s="128">
        <v>123457.78</v>
      </c>
      <c r="H11281" s="128">
        <v>136520.39000000001</v>
      </c>
      <c r="I11281" s="128">
        <v>1492</v>
      </c>
    </row>
    <row r="11282" spans="1:9" ht="13.5">
      <c r="A11282" s="128">
        <v>2020</v>
      </c>
      <c r="B11282" s="128" t="s">
        <v>137</v>
      </c>
      <c r="C11282" s="128" t="s">
        <v>27</v>
      </c>
      <c r="D11282" s="128" t="s">
        <v>76</v>
      </c>
      <c r="E11282" s="128" t="s">
        <v>136</v>
      </c>
      <c r="F11282" s="128">
        <v>492378.14</v>
      </c>
      <c r="G11282" s="128">
        <v>369445.38</v>
      </c>
      <c r="H11282" s="128">
        <v>122932.76</v>
      </c>
      <c r="I11282" s="128">
        <v>6444</v>
      </c>
    </row>
    <row r="11283" spans="1:9" ht="13.5">
      <c r="A11283" s="128">
        <v>2020</v>
      </c>
      <c r="B11283" s="128" t="s">
        <v>137</v>
      </c>
      <c r="C11283" s="128" t="s">
        <v>27</v>
      </c>
      <c r="D11283" s="128" t="s">
        <v>76</v>
      </c>
      <c r="E11283" s="128" t="s">
        <v>132</v>
      </c>
      <c r="F11283" s="128">
        <v>484476.66</v>
      </c>
      <c r="G11283" s="128">
        <v>308282.32</v>
      </c>
      <c r="H11283" s="128">
        <v>176192.93</v>
      </c>
      <c r="I11283" s="128">
        <v>3621</v>
      </c>
    </row>
    <row r="11284" spans="1:9" ht="13.5">
      <c r="A11284" s="128">
        <v>2020</v>
      </c>
      <c r="B11284" s="128" t="s">
        <v>137</v>
      </c>
      <c r="C11284" s="128" t="s">
        <v>27</v>
      </c>
      <c r="D11284" s="128" t="s">
        <v>76</v>
      </c>
      <c r="E11284" s="128" t="s">
        <v>133</v>
      </c>
      <c r="F11284" s="128">
        <v>1356133.75</v>
      </c>
      <c r="G11284" s="128">
        <v>734268.75</v>
      </c>
      <c r="H11284" s="128">
        <v>621863.85</v>
      </c>
      <c r="I11284" s="128">
        <v>5911</v>
      </c>
    </row>
    <row r="11285" spans="1:9" ht="13.5">
      <c r="A11285" s="128">
        <v>2020</v>
      </c>
      <c r="B11285" s="128" t="s">
        <v>137</v>
      </c>
      <c r="C11285" s="128" t="s">
        <v>27</v>
      </c>
      <c r="D11285" s="128" t="s">
        <v>76</v>
      </c>
      <c r="E11285" s="128" t="s">
        <v>134</v>
      </c>
      <c r="F11285" s="128">
        <v>2002770.74</v>
      </c>
      <c r="G11285" s="128">
        <v>916699.7</v>
      </c>
      <c r="H11285" s="128">
        <v>1086019.1399999999</v>
      </c>
      <c r="I11285" s="128">
        <v>9694</v>
      </c>
    </row>
    <row r="11286" spans="1:9" ht="13.5">
      <c r="A11286" s="128">
        <v>2020</v>
      </c>
      <c r="B11286" s="128" t="s">
        <v>137</v>
      </c>
      <c r="C11286" s="128" t="s">
        <v>27</v>
      </c>
      <c r="D11286" s="128" t="s">
        <v>76</v>
      </c>
      <c r="E11286" s="128" t="s">
        <v>135</v>
      </c>
      <c r="F11286" s="128">
        <v>52359.65</v>
      </c>
      <c r="G11286" s="128">
        <v>15618.4</v>
      </c>
      <c r="H11286" s="128">
        <v>36741.25</v>
      </c>
      <c r="I11286" s="128">
        <v>61</v>
      </c>
    </row>
    <row r="11287" spans="1:9" ht="13.5">
      <c r="A11287" s="128">
        <v>2021</v>
      </c>
      <c r="B11287" s="128" t="s">
        <v>131</v>
      </c>
      <c r="C11287" s="128" t="s">
        <v>20</v>
      </c>
      <c r="D11287" s="128" t="s">
        <v>79</v>
      </c>
      <c r="E11287" s="128" t="s">
        <v>136</v>
      </c>
      <c r="F11287" s="128">
        <v>26955292.960000001</v>
      </c>
      <c r="G11287" s="128">
        <v>20168101.120000001</v>
      </c>
      <c r="H11287" s="128">
        <v>6765197.8399999999</v>
      </c>
      <c r="I11287" s="128">
        <v>222639</v>
      </c>
    </row>
    <row r="11288" spans="1:9" ht="13.5">
      <c r="A11288" s="128">
        <v>2021</v>
      </c>
      <c r="B11288" s="128" t="s">
        <v>131</v>
      </c>
      <c r="C11288" s="128" t="s">
        <v>20</v>
      </c>
      <c r="D11288" s="128" t="s">
        <v>79</v>
      </c>
      <c r="E11288" s="128" t="s">
        <v>132</v>
      </c>
      <c r="F11288" s="128">
        <v>2823646.74</v>
      </c>
      <c r="G11288" s="128">
        <v>1908225.45</v>
      </c>
      <c r="H11288" s="128">
        <v>663383.01</v>
      </c>
      <c r="I11288" s="128">
        <v>9717</v>
      </c>
    </row>
    <row r="11289" spans="1:9" ht="13.5">
      <c r="A11289" s="128">
        <v>2021</v>
      </c>
      <c r="B11289" s="128" t="s">
        <v>131</v>
      </c>
      <c r="C11289" s="128" t="s">
        <v>20</v>
      </c>
      <c r="D11289" s="128" t="s">
        <v>79</v>
      </c>
      <c r="E11289" s="128" t="s">
        <v>133</v>
      </c>
      <c r="F11289" s="128">
        <v>1803131.78</v>
      </c>
      <c r="G11289" s="128">
        <v>981090.3</v>
      </c>
      <c r="H11289" s="128">
        <v>335835.08</v>
      </c>
      <c r="I11289" s="128">
        <v>4232</v>
      </c>
    </row>
    <row r="11290" spans="1:9" ht="13.5">
      <c r="A11290" s="128">
        <v>2021</v>
      </c>
      <c r="B11290" s="128" t="s">
        <v>131</v>
      </c>
      <c r="C11290" s="128" t="s">
        <v>20</v>
      </c>
      <c r="D11290" s="128" t="s">
        <v>79</v>
      </c>
      <c r="E11290" s="128" t="s">
        <v>134</v>
      </c>
      <c r="F11290" s="128">
        <v>5942221.4400000004</v>
      </c>
      <c r="G11290" s="128">
        <v>2546079.83</v>
      </c>
      <c r="H11290" s="128">
        <v>907680.41</v>
      </c>
      <c r="I11290" s="128">
        <v>16320</v>
      </c>
    </row>
    <row r="11291" spans="1:9" ht="13.5">
      <c r="A11291" s="128">
        <v>2021</v>
      </c>
      <c r="B11291" s="128" t="s">
        <v>131</v>
      </c>
      <c r="C11291" s="128" t="s">
        <v>20</v>
      </c>
      <c r="D11291" s="128" t="s">
        <v>79</v>
      </c>
      <c r="E11291" s="128" t="s">
        <v>135</v>
      </c>
      <c r="F11291" s="128">
        <v>83006361.510000005</v>
      </c>
      <c r="G11291" s="128">
        <v>17787009.109999999</v>
      </c>
      <c r="H11291" s="128">
        <v>6038852.0599999996</v>
      </c>
      <c r="I11291" s="128">
        <v>73191</v>
      </c>
    </row>
    <row r="11292" spans="1:9" ht="13.5">
      <c r="A11292" s="128">
        <v>2021</v>
      </c>
      <c r="B11292" s="128" t="s">
        <v>131</v>
      </c>
      <c r="C11292" s="128" t="s">
        <v>20</v>
      </c>
      <c r="D11292" s="128" t="s">
        <v>77</v>
      </c>
      <c r="E11292" s="128" t="s">
        <v>132</v>
      </c>
      <c r="F11292" s="128">
        <v>2613940.14</v>
      </c>
      <c r="G11292" s="128">
        <v>1715376.41</v>
      </c>
      <c r="H11292" s="128">
        <v>773446.28</v>
      </c>
      <c r="I11292" s="128">
        <v>11270</v>
      </c>
    </row>
    <row r="11293" spans="1:9" ht="13.5">
      <c r="A11293" s="128">
        <v>2021</v>
      </c>
      <c r="B11293" s="128" t="s">
        <v>131</v>
      </c>
      <c r="C11293" s="128" t="s">
        <v>20</v>
      </c>
      <c r="D11293" s="128" t="s">
        <v>77</v>
      </c>
      <c r="E11293" s="128" t="s">
        <v>133</v>
      </c>
      <c r="F11293" s="128">
        <v>5885786.9400000004</v>
      </c>
      <c r="G11293" s="128">
        <v>3148833.24</v>
      </c>
      <c r="H11293" s="128">
        <v>2468996.44</v>
      </c>
      <c r="I11293" s="128">
        <v>19071</v>
      </c>
    </row>
    <row r="11294" spans="1:9" ht="13.5">
      <c r="A11294" s="128">
        <v>2021</v>
      </c>
      <c r="B11294" s="128" t="s">
        <v>131</v>
      </c>
      <c r="C11294" s="128" t="s">
        <v>20</v>
      </c>
      <c r="D11294" s="128" t="s">
        <v>77</v>
      </c>
      <c r="E11294" s="128" t="s">
        <v>134</v>
      </c>
      <c r="F11294" s="128">
        <v>16826700.59</v>
      </c>
      <c r="G11294" s="128">
        <v>7227466.0300000003</v>
      </c>
      <c r="H11294" s="128">
        <v>7336632.9900000002</v>
      </c>
      <c r="I11294" s="128">
        <v>30404</v>
      </c>
    </row>
    <row r="11295" spans="1:9" ht="13.5">
      <c r="A11295" s="128">
        <v>2021</v>
      </c>
      <c r="B11295" s="128" t="s">
        <v>131</v>
      </c>
      <c r="C11295" s="128" t="s">
        <v>20</v>
      </c>
      <c r="D11295" s="128" t="s">
        <v>77</v>
      </c>
      <c r="E11295" s="128" t="s">
        <v>135</v>
      </c>
      <c r="F11295" s="128">
        <v>45424570.539999999</v>
      </c>
      <c r="G11295" s="128">
        <v>11684230.699999999</v>
      </c>
      <c r="H11295" s="128">
        <v>13458400.029999999</v>
      </c>
      <c r="I11295" s="128">
        <v>150237</v>
      </c>
    </row>
    <row r="11296" spans="1:9" ht="13.5">
      <c r="A11296" s="128">
        <v>2021</v>
      </c>
      <c r="B11296" s="128" t="s">
        <v>131</v>
      </c>
      <c r="C11296" s="128" t="s">
        <v>20</v>
      </c>
      <c r="D11296" s="128" t="s">
        <v>76</v>
      </c>
      <c r="E11296" s="128" t="s">
        <v>136</v>
      </c>
      <c r="F11296" s="128">
        <v>25811963.91</v>
      </c>
      <c r="G11296" s="128">
        <v>19425390.850000001</v>
      </c>
      <c r="H11296" s="128">
        <v>6386793.3399999999</v>
      </c>
      <c r="I11296" s="128">
        <v>822045</v>
      </c>
    </row>
    <row r="11297" spans="1:9" ht="13.5">
      <c r="A11297" s="128">
        <v>2021</v>
      </c>
      <c r="B11297" s="128" t="s">
        <v>131</v>
      </c>
      <c r="C11297" s="128" t="s">
        <v>20</v>
      </c>
      <c r="D11297" s="128" t="s">
        <v>76</v>
      </c>
      <c r="E11297" s="128" t="s">
        <v>132</v>
      </c>
      <c r="F11297" s="128">
        <v>51306939.25</v>
      </c>
      <c r="G11297" s="128">
        <v>32753203.84</v>
      </c>
      <c r="H11297" s="128">
        <v>18553638.27</v>
      </c>
      <c r="I11297" s="128">
        <v>421531</v>
      </c>
    </row>
    <row r="11298" spans="1:9" ht="13.5">
      <c r="A11298" s="128">
        <v>2021</v>
      </c>
      <c r="B11298" s="128" t="s">
        <v>131</v>
      </c>
      <c r="C11298" s="128" t="s">
        <v>20</v>
      </c>
      <c r="D11298" s="128" t="s">
        <v>76</v>
      </c>
      <c r="E11298" s="128" t="s">
        <v>133</v>
      </c>
      <c r="F11298" s="128">
        <v>106821627.95999999</v>
      </c>
      <c r="G11298" s="128">
        <v>58516035.310000002</v>
      </c>
      <c r="H11298" s="128">
        <v>48305556.560000002</v>
      </c>
      <c r="I11298" s="128">
        <v>594642</v>
      </c>
    </row>
    <row r="11299" spans="1:9" ht="13.5">
      <c r="A11299" s="128">
        <v>2021</v>
      </c>
      <c r="B11299" s="128" t="s">
        <v>131</v>
      </c>
      <c r="C11299" s="128" t="s">
        <v>20</v>
      </c>
      <c r="D11299" s="128" t="s">
        <v>76</v>
      </c>
      <c r="E11299" s="128" t="s">
        <v>134</v>
      </c>
      <c r="F11299" s="128">
        <v>110734481.63</v>
      </c>
      <c r="G11299" s="128">
        <v>50767842.079999998</v>
      </c>
      <c r="H11299" s="128">
        <v>59966531.460000001</v>
      </c>
      <c r="I11299" s="128">
        <v>623340</v>
      </c>
    </row>
    <row r="11300" spans="1:9" ht="13.5">
      <c r="A11300" s="128">
        <v>2021</v>
      </c>
      <c r="B11300" s="128" t="s">
        <v>131</v>
      </c>
      <c r="C11300" s="128" t="s">
        <v>20</v>
      </c>
      <c r="D11300" s="128" t="s">
        <v>76</v>
      </c>
      <c r="E11300" s="128" t="s">
        <v>135</v>
      </c>
      <c r="F11300" s="128">
        <v>6640351.7699999996</v>
      </c>
      <c r="G11300" s="128">
        <v>1946321.93</v>
      </c>
      <c r="H11300" s="128">
        <v>4694020.2300000004</v>
      </c>
      <c r="I11300" s="128">
        <v>6413</v>
      </c>
    </row>
    <row r="11301" spans="1:9" ht="13.5">
      <c r="A11301" s="128">
        <v>2021</v>
      </c>
      <c r="B11301" s="128" t="s">
        <v>131</v>
      </c>
      <c r="C11301" s="128" t="s">
        <v>21</v>
      </c>
      <c r="D11301" s="128" t="s">
        <v>79</v>
      </c>
      <c r="E11301" s="128" t="s">
        <v>136</v>
      </c>
      <c r="F11301" s="128">
        <v>6061486.9800000004</v>
      </c>
      <c r="G11301" s="128">
        <v>4576467.12</v>
      </c>
      <c r="H11301" s="128">
        <v>1482247.91</v>
      </c>
      <c r="I11301" s="128">
        <v>115437</v>
      </c>
    </row>
    <row r="11302" spans="1:9" ht="13.5">
      <c r="A11302" s="128">
        <v>2021</v>
      </c>
      <c r="B11302" s="128" t="s">
        <v>131</v>
      </c>
      <c r="C11302" s="128" t="s">
        <v>21</v>
      </c>
      <c r="D11302" s="128" t="s">
        <v>79</v>
      </c>
      <c r="E11302" s="128" t="s">
        <v>132</v>
      </c>
      <c r="F11302" s="128">
        <v>1397967.02</v>
      </c>
      <c r="G11302" s="128">
        <v>922408.39</v>
      </c>
      <c r="H11302" s="128">
        <v>323220.71999999997</v>
      </c>
      <c r="I11302" s="128">
        <v>3011</v>
      </c>
    </row>
    <row r="11303" spans="1:9" ht="13.5">
      <c r="A11303" s="128">
        <v>2021</v>
      </c>
      <c r="B11303" s="128" t="s">
        <v>131</v>
      </c>
      <c r="C11303" s="128" t="s">
        <v>21</v>
      </c>
      <c r="D11303" s="128" t="s">
        <v>79</v>
      </c>
      <c r="E11303" s="128" t="s">
        <v>133</v>
      </c>
      <c r="F11303" s="128">
        <v>1464419.22</v>
      </c>
      <c r="G11303" s="128">
        <v>785804.04</v>
      </c>
      <c r="H11303" s="128">
        <v>279349.09999999998</v>
      </c>
      <c r="I11303" s="128">
        <v>6090</v>
      </c>
    </row>
    <row r="11304" spans="1:9" ht="13.5">
      <c r="A11304" s="128">
        <v>2021</v>
      </c>
      <c r="B11304" s="128" t="s">
        <v>131</v>
      </c>
      <c r="C11304" s="128" t="s">
        <v>21</v>
      </c>
      <c r="D11304" s="128" t="s">
        <v>79</v>
      </c>
      <c r="E11304" s="128" t="s">
        <v>134</v>
      </c>
      <c r="F11304" s="128">
        <v>3011084.35</v>
      </c>
      <c r="G11304" s="128">
        <v>1321967.53</v>
      </c>
      <c r="H11304" s="128">
        <v>453318.33</v>
      </c>
      <c r="I11304" s="128">
        <v>10016</v>
      </c>
    </row>
    <row r="11305" spans="1:9" ht="13.5">
      <c r="A11305" s="128">
        <v>2021</v>
      </c>
      <c r="B11305" s="128" t="s">
        <v>131</v>
      </c>
      <c r="C11305" s="128" t="s">
        <v>21</v>
      </c>
      <c r="D11305" s="128" t="s">
        <v>79</v>
      </c>
      <c r="E11305" s="128" t="s">
        <v>135</v>
      </c>
      <c r="F11305" s="128">
        <v>25400173.449999999</v>
      </c>
      <c r="G11305" s="128">
        <v>5633573.8600000003</v>
      </c>
      <c r="H11305" s="128">
        <v>1894182.83</v>
      </c>
      <c r="I11305" s="128">
        <v>21584</v>
      </c>
    </row>
    <row r="11306" spans="1:9" ht="13.5">
      <c r="A11306" s="128">
        <v>2021</v>
      </c>
      <c r="B11306" s="128" t="s">
        <v>131</v>
      </c>
      <c r="C11306" s="128" t="s">
        <v>21</v>
      </c>
      <c r="D11306" s="128" t="s">
        <v>77</v>
      </c>
      <c r="E11306" s="128" t="s">
        <v>132</v>
      </c>
      <c r="F11306" s="128">
        <v>2131969.12</v>
      </c>
      <c r="G11306" s="128">
        <v>1417968.92</v>
      </c>
      <c r="H11306" s="128">
        <v>597753.87</v>
      </c>
      <c r="I11306" s="128">
        <v>9944</v>
      </c>
    </row>
    <row r="11307" spans="1:9" ht="13.5">
      <c r="A11307" s="128">
        <v>2021</v>
      </c>
      <c r="B11307" s="128" t="s">
        <v>131</v>
      </c>
      <c r="C11307" s="128" t="s">
        <v>21</v>
      </c>
      <c r="D11307" s="128" t="s">
        <v>77</v>
      </c>
      <c r="E11307" s="128" t="s">
        <v>133</v>
      </c>
      <c r="F11307" s="128">
        <v>6408488.8399999999</v>
      </c>
      <c r="G11307" s="128">
        <v>3434724.56</v>
      </c>
      <c r="H11307" s="128">
        <v>2512678.23</v>
      </c>
      <c r="I11307" s="128">
        <v>20828</v>
      </c>
    </row>
    <row r="11308" spans="1:9" ht="13.5">
      <c r="A11308" s="128">
        <v>2021</v>
      </c>
      <c r="B11308" s="128" t="s">
        <v>131</v>
      </c>
      <c r="C11308" s="128" t="s">
        <v>21</v>
      </c>
      <c r="D11308" s="128" t="s">
        <v>77</v>
      </c>
      <c r="E11308" s="128" t="s">
        <v>134</v>
      </c>
      <c r="F11308" s="128">
        <v>16522539.58</v>
      </c>
      <c r="G11308" s="128">
        <v>7127754.8399999999</v>
      </c>
      <c r="H11308" s="128">
        <v>6884126.8799999999</v>
      </c>
      <c r="I11308" s="128">
        <v>34891</v>
      </c>
    </row>
    <row r="11309" spans="1:9" ht="13.5">
      <c r="A11309" s="128">
        <v>2021</v>
      </c>
      <c r="B11309" s="128" t="s">
        <v>131</v>
      </c>
      <c r="C11309" s="128" t="s">
        <v>21</v>
      </c>
      <c r="D11309" s="128" t="s">
        <v>77</v>
      </c>
      <c r="E11309" s="128" t="s">
        <v>135</v>
      </c>
      <c r="F11309" s="128">
        <v>39302319.549999997</v>
      </c>
      <c r="G11309" s="128">
        <v>10457256.74</v>
      </c>
      <c r="H11309" s="128">
        <v>11967498.210000001</v>
      </c>
      <c r="I11309" s="128">
        <v>141826</v>
      </c>
    </row>
    <row r="11310" spans="1:9" ht="13.5">
      <c r="A11310" s="128">
        <v>2021</v>
      </c>
      <c r="B11310" s="128" t="s">
        <v>131</v>
      </c>
      <c r="C11310" s="128" t="s">
        <v>21</v>
      </c>
      <c r="D11310" s="128" t="s">
        <v>76</v>
      </c>
      <c r="E11310" s="128" t="s">
        <v>136</v>
      </c>
      <c r="F11310" s="128">
        <v>19652711.73</v>
      </c>
      <c r="G11310" s="128">
        <v>14783561.48</v>
      </c>
      <c r="H11310" s="128">
        <v>4869197.04</v>
      </c>
      <c r="I11310" s="128">
        <v>283784</v>
      </c>
    </row>
    <row r="11311" spans="1:9" ht="13.5">
      <c r="A11311" s="128">
        <v>2021</v>
      </c>
      <c r="B11311" s="128" t="s">
        <v>131</v>
      </c>
      <c r="C11311" s="128" t="s">
        <v>21</v>
      </c>
      <c r="D11311" s="128" t="s">
        <v>76</v>
      </c>
      <c r="E11311" s="128" t="s">
        <v>132</v>
      </c>
      <c r="F11311" s="128">
        <v>43925073.350000001</v>
      </c>
      <c r="G11311" s="128">
        <v>28115296.329999998</v>
      </c>
      <c r="H11311" s="128">
        <v>15809628.869999999</v>
      </c>
      <c r="I11311" s="128">
        <v>364001</v>
      </c>
    </row>
    <row r="11312" spans="1:9" ht="13.5">
      <c r="A11312" s="128">
        <v>2021</v>
      </c>
      <c r="B11312" s="128" t="s">
        <v>131</v>
      </c>
      <c r="C11312" s="128" t="s">
        <v>21</v>
      </c>
      <c r="D11312" s="128" t="s">
        <v>76</v>
      </c>
      <c r="E11312" s="128" t="s">
        <v>133</v>
      </c>
      <c r="F11312" s="128">
        <v>107848392.47</v>
      </c>
      <c r="G11312" s="128">
        <v>59328735.299999997</v>
      </c>
      <c r="H11312" s="128">
        <v>48519522.939999998</v>
      </c>
      <c r="I11312" s="128">
        <v>675082</v>
      </c>
    </row>
    <row r="11313" spans="1:9" ht="13.5">
      <c r="A11313" s="128">
        <v>2021</v>
      </c>
      <c r="B11313" s="128" t="s">
        <v>131</v>
      </c>
      <c r="C11313" s="128" t="s">
        <v>21</v>
      </c>
      <c r="D11313" s="128" t="s">
        <v>76</v>
      </c>
      <c r="E11313" s="128" t="s">
        <v>134</v>
      </c>
      <c r="F11313" s="128">
        <v>82824117.290000007</v>
      </c>
      <c r="G11313" s="128">
        <v>37638681.030000001</v>
      </c>
      <c r="H11313" s="128">
        <v>45185368.299999997</v>
      </c>
      <c r="I11313" s="128">
        <v>464997</v>
      </c>
    </row>
    <row r="11314" spans="1:9" ht="13.5">
      <c r="A11314" s="128">
        <v>2021</v>
      </c>
      <c r="B11314" s="128" t="s">
        <v>131</v>
      </c>
      <c r="C11314" s="128" t="s">
        <v>21</v>
      </c>
      <c r="D11314" s="128" t="s">
        <v>76</v>
      </c>
      <c r="E11314" s="128" t="s">
        <v>135</v>
      </c>
      <c r="F11314" s="128">
        <v>3083668.73</v>
      </c>
      <c r="G11314" s="128">
        <v>854481.02</v>
      </c>
      <c r="H11314" s="128">
        <v>2229187.71</v>
      </c>
      <c r="I11314" s="128">
        <v>2458</v>
      </c>
    </row>
    <row r="11315" spans="1:9" ht="13.5">
      <c r="A11315" s="128">
        <v>2021</v>
      </c>
      <c r="B11315" s="128" t="s">
        <v>131</v>
      </c>
      <c r="C11315" s="128" t="s">
        <v>22</v>
      </c>
      <c r="D11315" s="128" t="s">
        <v>79</v>
      </c>
      <c r="E11315" s="128" t="s">
        <v>136</v>
      </c>
      <c r="F11315" s="128">
        <v>4844738.82</v>
      </c>
      <c r="G11315" s="128">
        <v>3617210.26</v>
      </c>
      <c r="H11315" s="128">
        <v>1195963.1100000001</v>
      </c>
      <c r="I11315" s="128">
        <v>67829</v>
      </c>
    </row>
    <row r="11316" spans="1:9" ht="13.5">
      <c r="A11316" s="128">
        <v>2021</v>
      </c>
      <c r="B11316" s="128" t="s">
        <v>131</v>
      </c>
      <c r="C11316" s="128" t="s">
        <v>22</v>
      </c>
      <c r="D11316" s="128" t="s">
        <v>79</v>
      </c>
      <c r="E11316" s="128" t="s">
        <v>132</v>
      </c>
      <c r="F11316" s="128">
        <v>1294100.1000000001</v>
      </c>
      <c r="G11316" s="128">
        <v>884624.29</v>
      </c>
      <c r="H11316" s="128">
        <v>301638.06</v>
      </c>
      <c r="I11316" s="128">
        <v>2769</v>
      </c>
    </row>
    <row r="11317" spans="1:9" ht="13.5">
      <c r="A11317" s="128">
        <v>2021</v>
      </c>
      <c r="B11317" s="128" t="s">
        <v>131</v>
      </c>
      <c r="C11317" s="128" t="s">
        <v>22</v>
      </c>
      <c r="D11317" s="128" t="s">
        <v>79</v>
      </c>
      <c r="E11317" s="128" t="s">
        <v>133</v>
      </c>
      <c r="F11317" s="128">
        <v>1055798.07</v>
      </c>
      <c r="G11317" s="128">
        <v>574689.24</v>
      </c>
      <c r="H11317" s="128">
        <v>195556.9</v>
      </c>
      <c r="I11317" s="128">
        <v>2072</v>
      </c>
    </row>
    <row r="11318" spans="1:9" ht="13.5">
      <c r="A11318" s="128">
        <v>2021</v>
      </c>
      <c r="B11318" s="128" t="s">
        <v>131</v>
      </c>
      <c r="C11318" s="128" t="s">
        <v>22</v>
      </c>
      <c r="D11318" s="128" t="s">
        <v>79</v>
      </c>
      <c r="E11318" s="128" t="s">
        <v>134</v>
      </c>
      <c r="F11318" s="128">
        <v>3659024.44</v>
      </c>
      <c r="G11318" s="128">
        <v>1579550.35</v>
      </c>
      <c r="H11318" s="128">
        <v>531695.88</v>
      </c>
      <c r="I11318" s="128">
        <v>18146</v>
      </c>
    </row>
    <row r="11319" spans="1:9" ht="13.5">
      <c r="A11319" s="128">
        <v>2021</v>
      </c>
      <c r="B11319" s="128" t="s">
        <v>131</v>
      </c>
      <c r="C11319" s="128" t="s">
        <v>22</v>
      </c>
      <c r="D11319" s="128" t="s">
        <v>79</v>
      </c>
      <c r="E11319" s="128" t="s">
        <v>135</v>
      </c>
      <c r="F11319" s="128">
        <v>42753057.490000002</v>
      </c>
      <c r="G11319" s="128">
        <v>9351364.1899999995</v>
      </c>
      <c r="H11319" s="128">
        <v>3133871.03</v>
      </c>
      <c r="I11319" s="128">
        <v>36398</v>
      </c>
    </row>
    <row r="11320" spans="1:9" ht="13.5">
      <c r="A11320" s="128">
        <v>2021</v>
      </c>
      <c r="B11320" s="128" t="s">
        <v>131</v>
      </c>
      <c r="C11320" s="128" t="s">
        <v>22</v>
      </c>
      <c r="D11320" s="128" t="s">
        <v>77</v>
      </c>
      <c r="E11320" s="128" t="s">
        <v>132</v>
      </c>
      <c r="F11320" s="128">
        <v>1523393.07</v>
      </c>
      <c r="G11320" s="128">
        <v>999941.4</v>
      </c>
      <c r="H11320" s="128">
        <v>439702.53</v>
      </c>
      <c r="I11320" s="128">
        <v>6908</v>
      </c>
    </row>
    <row r="11321" spans="1:9" ht="13.5">
      <c r="A11321" s="128">
        <v>2021</v>
      </c>
      <c r="B11321" s="128" t="s">
        <v>131</v>
      </c>
      <c r="C11321" s="128" t="s">
        <v>22</v>
      </c>
      <c r="D11321" s="128" t="s">
        <v>77</v>
      </c>
      <c r="E11321" s="128" t="s">
        <v>133</v>
      </c>
      <c r="F11321" s="128">
        <v>4416320.05</v>
      </c>
      <c r="G11321" s="128">
        <v>2367087.23</v>
      </c>
      <c r="H11321" s="128">
        <v>1744728.89</v>
      </c>
      <c r="I11321" s="128">
        <v>17675</v>
      </c>
    </row>
    <row r="11322" spans="1:9" ht="13.5">
      <c r="A11322" s="128">
        <v>2021</v>
      </c>
      <c r="B11322" s="128" t="s">
        <v>131</v>
      </c>
      <c r="C11322" s="128" t="s">
        <v>22</v>
      </c>
      <c r="D11322" s="128" t="s">
        <v>77</v>
      </c>
      <c r="E11322" s="128" t="s">
        <v>134</v>
      </c>
      <c r="F11322" s="128">
        <v>19937200.780000001</v>
      </c>
      <c r="G11322" s="128">
        <v>8463341.9000000004</v>
      </c>
      <c r="H11322" s="128">
        <v>8470661.3499999996</v>
      </c>
      <c r="I11322" s="128">
        <v>33343</v>
      </c>
    </row>
    <row r="11323" spans="1:9" ht="13.5">
      <c r="A11323" s="128">
        <v>2021</v>
      </c>
      <c r="B11323" s="128" t="s">
        <v>131</v>
      </c>
      <c r="C11323" s="128" t="s">
        <v>22</v>
      </c>
      <c r="D11323" s="128" t="s">
        <v>77</v>
      </c>
      <c r="E11323" s="128" t="s">
        <v>135</v>
      </c>
      <c r="F11323" s="128">
        <v>47420328.039999999</v>
      </c>
      <c r="G11323" s="128">
        <v>11723884.789999999</v>
      </c>
      <c r="H11323" s="128">
        <v>13359262.359999999</v>
      </c>
      <c r="I11323" s="128">
        <v>124161</v>
      </c>
    </row>
    <row r="11324" spans="1:9" ht="13.5">
      <c r="A11324" s="128">
        <v>2021</v>
      </c>
      <c r="B11324" s="128" t="s">
        <v>131</v>
      </c>
      <c r="C11324" s="128" t="s">
        <v>22</v>
      </c>
      <c r="D11324" s="128" t="s">
        <v>76</v>
      </c>
      <c r="E11324" s="128" t="s">
        <v>136</v>
      </c>
      <c r="F11324" s="128">
        <v>16090133.560000001</v>
      </c>
      <c r="G11324" s="128">
        <v>12085032.65</v>
      </c>
      <c r="H11324" s="128">
        <v>4005101.26</v>
      </c>
      <c r="I11324" s="128">
        <v>274696</v>
      </c>
    </row>
    <row r="11325" spans="1:9" ht="13.5">
      <c r="A11325" s="128">
        <v>2021</v>
      </c>
      <c r="B11325" s="128" t="s">
        <v>131</v>
      </c>
      <c r="C11325" s="128" t="s">
        <v>22</v>
      </c>
      <c r="D11325" s="128" t="s">
        <v>76</v>
      </c>
      <c r="E11325" s="128" t="s">
        <v>132</v>
      </c>
      <c r="F11325" s="128">
        <v>48371472.68</v>
      </c>
      <c r="G11325" s="128">
        <v>30932184.050000001</v>
      </c>
      <c r="H11325" s="128">
        <v>17439000.640000001</v>
      </c>
      <c r="I11325" s="128">
        <v>415327</v>
      </c>
    </row>
    <row r="11326" spans="1:9" ht="13.5">
      <c r="A11326" s="128">
        <v>2021</v>
      </c>
      <c r="B11326" s="128" t="s">
        <v>131</v>
      </c>
      <c r="C11326" s="128" t="s">
        <v>22</v>
      </c>
      <c r="D11326" s="128" t="s">
        <v>76</v>
      </c>
      <c r="E11326" s="128" t="s">
        <v>133</v>
      </c>
      <c r="F11326" s="128">
        <v>84414701</v>
      </c>
      <c r="G11326" s="128">
        <v>46604658.479999997</v>
      </c>
      <c r="H11326" s="128">
        <v>37809947.630000003</v>
      </c>
      <c r="I11326" s="128">
        <v>649756</v>
      </c>
    </row>
    <row r="11327" spans="1:9" ht="13.5">
      <c r="A11327" s="128">
        <v>2021</v>
      </c>
      <c r="B11327" s="128" t="s">
        <v>131</v>
      </c>
      <c r="C11327" s="128" t="s">
        <v>22</v>
      </c>
      <c r="D11327" s="128" t="s">
        <v>76</v>
      </c>
      <c r="E11327" s="128" t="s">
        <v>134</v>
      </c>
      <c r="F11327" s="128">
        <v>76352255.799999997</v>
      </c>
      <c r="G11327" s="128">
        <v>34928503.390000001</v>
      </c>
      <c r="H11327" s="128">
        <v>41423069.689999998</v>
      </c>
      <c r="I11327" s="128">
        <v>499379</v>
      </c>
    </row>
    <row r="11328" spans="1:9" ht="13.5">
      <c r="A11328" s="128">
        <v>2021</v>
      </c>
      <c r="B11328" s="128" t="s">
        <v>131</v>
      </c>
      <c r="C11328" s="128" t="s">
        <v>22</v>
      </c>
      <c r="D11328" s="128" t="s">
        <v>76</v>
      </c>
      <c r="E11328" s="128" t="s">
        <v>135</v>
      </c>
      <c r="F11328" s="128">
        <v>4652237.6500000004</v>
      </c>
      <c r="G11328" s="128">
        <v>1364639.51</v>
      </c>
      <c r="H11328" s="128">
        <v>3287597</v>
      </c>
      <c r="I11328" s="128">
        <v>6425</v>
      </c>
    </row>
    <row r="11329" spans="1:9" ht="13.5">
      <c r="A11329" s="128">
        <v>2021</v>
      </c>
      <c r="B11329" s="128" t="s">
        <v>131</v>
      </c>
      <c r="C11329" s="128" t="s">
        <v>23</v>
      </c>
      <c r="D11329" s="128" t="s">
        <v>79</v>
      </c>
      <c r="E11329" s="128" t="s">
        <v>136</v>
      </c>
      <c r="F11329" s="128">
        <v>1606568.39</v>
      </c>
      <c r="G11329" s="128">
        <v>1203438.03</v>
      </c>
      <c r="H11329" s="128">
        <v>396003.21</v>
      </c>
      <c r="I11329" s="128">
        <v>8887</v>
      </c>
    </row>
    <row r="11330" spans="1:9" ht="13.5">
      <c r="A11330" s="128">
        <v>2021</v>
      </c>
      <c r="B11330" s="128" t="s">
        <v>131</v>
      </c>
      <c r="C11330" s="128" t="s">
        <v>23</v>
      </c>
      <c r="D11330" s="128" t="s">
        <v>79</v>
      </c>
      <c r="E11330" s="128" t="s">
        <v>132</v>
      </c>
      <c r="F11330" s="128">
        <v>500253.36</v>
      </c>
      <c r="G11330" s="128">
        <v>337250.52</v>
      </c>
      <c r="H11330" s="128">
        <v>113273.55</v>
      </c>
      <c r="I11330" s="128">
        <v>743</v>
      </c>
    </row>
    <row r="11331" spans="1:9" ht="13.5">
      <c r="A11331" s="128">
        <v>2021</v>
      </c>
      <c r="B11331" s="128" t="s">
        <v>131</v>
      </c>
      <c r="C11331" s="128" t="s">
        <v>23</v>
      </c>
      <c r="D11331" s="128" t="s">
        <v>79</v>
      </c>
      <c r="E11331" s="128" t="s">
        <v>133</v>
      </c>
      <c r="F11331" s="128">
        <v>214227.79</v>
      </c>
      <c r="G11331" s="128">
        <v>115812.6</v>
      </c>
      <c r="H11331" s="128">
        <v>40680</v>
      </c>
      <c r="I11331" s="128">
        <v>349</v>
      </c>
    </row>
    <row r="11332" spans="1:9" ht="13.5">
      <c r="A11332" s="128">
        <v>2021</v>
      </c>
      <c r="B11332" s="128" t="s">
        <v>131</v>
      </c>
      <c r="C11332" s="128" t="s">
        <v>23</v>
      </c>
      <c r="D11332" s="128" t="s">
        <v>79</v>
      </c>
      <c r="E11332" s="128" t="s">
        <v>134</v>
      </c>
      <c r="F11332" s="128">
        <v>301767.52</v>
      </c>
      <c r="G11332" s="128">
        <v>128888.73</v>
      </c>
      <c r="H11332" s="128">
        <v>43844.42</v>
      </c>
      <c r="I11332" s="128">
        <v>856</v>
      </c>
    </row>
    <row r="11333" spans="1:9" ht="13.5">
      <c r="A11333" s="128">
        <v>2021</v>
      </c>
      <c r="B11333" s="128" t="s">
        <v>131</v>
      </c>
      <c r="C11333" s="128" t="s">
        <v>23</v>
      </c>
      <c r="D11333" s="128" t="s">
        <v>79</v>
      </c>
      <c r="E11333" s="128" t="s">
        <v>135</v>
      </c>
      <c r="F11333" s="128">
        <v>3771636.58</v>
      </c>
      <c r="G11333" s="128">
        <v>741822.68</v>
      </c>
      <c r="H11333" s="128">
        <v>248690.66</v>
      </c>
      <c r="I11333" s="128">
        <v>2465</v>
      </c>
    </row>
    <row r="11334" spans="1:9" ht="13.5">
      <c r="A11334" s="128">
        <v>2021</v>
      </c>
      <c r="B11334" s="128" t="s">
        <v>131</v>
      </c>
      <c r="C11334" s="128" t="s">
        <v>23</v>
      </c>
      <c r="D11334" s="128" t="s">
        <v>77</v>
      </c>
      <c r="E11334" s="128" t="s">
        <v>132</v>
      </c>
      <c r="F11334" s="128">
        <v>251065.25</v>
      </c>
      <c r="G11334" s="128">
        <v>155578.51999999999</v>
      </c>
      <c r="H11334" s="128">
        <v>71085.72</v>
      </c>
      <c r="I11334" s="128">
        <v>1676</v>
      </c>
    </row>
    <row r="11335" spans="1:9" ht="13.5">
      <c r="A11335" s="128">
        <v>2021</v>
      </c>
      <c r="B11335" s="128" t="s">
        <v>131</v>
      </c>
      <c r="C11335" s="128" t="s">
        <v>23</v>
      </c>
      <c r="D11335" s="128" t="s">
        <v>77</v>
      </c>
      <c r="E11335" s="128" t="s">
        <v>133</v>
      </c>
      <c r="F11335" s="128">
        <v>1656808.93</v>
      </c>
      <c r="G11335" s="128">
        <v>889417.26</v>
      </c>
      <c r="H11335" s="128">
        <v>672165.51</v>
      </c>
      <c r="I11335" s="128">
        <v>6834</v>
      </c>
    </row>
    <row r="11336" spans="1:9" ht="13.5">
      <c r="A11336" s="128">
        <v>2021</v>
      </c>
      <c r="B11336" s="128" t="s">
        <v>131</v>
      </c>
      <c r="C11336" s="128" t="s">
        <v>23</v>
      </c>
      <c r="D11336" s="128" t="s">
        <v>77</v>
      </c>
      <c r="E11336" s="128" t="s">
        <v>134</v>
      </c>
      <c r="F11336" s="128">
        <v>10422939.26</v>
      </c>
      <c r="G11336" s="128">
        <v>4395564.12</v>
      </c>
      <c r="H11336" s="128">
        <v>4647186.1500000004</v>
      </c>
      <c r="I11336" s="128">
        <v>15798</v>
      </c>
    </row>
    <row r="11337" spans="1:9" ht="13.5">
      <c r="A11337" s="128">
        <v>2021</v>
      </c>
      <c r="B11337" s="128" t="s">
        <v>131</v>
      </c>
      <c r="C11337" s="128" t="s">
        <v>23</v>
      </c>
      <c r="D11337" s="128" t="s">
        <v>77</v>
      </c>
      <c r="E11337" s="128" t="s">
        <v>135</v>
      </c>
      <c r="F11337" s="128">
        <v>12130848.779999999</v>
      </c>
      <c r="G11337" s="128">
        <v>3378511.35</v>
      </c>
      <c r="H11337" s="128">
        <v>3986576.43</v>
      </c>
      <c r="I11337" s="128">
        <v>43727</v>
      </c>
    </row>
    <row r="11338" spans="1:9" ht="13.5">
      <c r="A11338" s="128">
        <v>2021</v>
      </c>
      <c r="B11338" s="128" t="s">
        <v>131</v>
      </c>
      <c r="C11338" s="128" t="s">
        <v>23</v>
      </c>
      <c r="D11338" s="128" t="s">
        <v>76</v>
      </c>
      <c r="E11338" s="128" t="s">
        <v>136</v>
      </c>
      <c r="F11338" s="128">
        <v>7589761.21</v>
      </c>
      <c r="G11338" s="128">
        <v>5696633.2000000002</v>
      </c>
      <c r="H11338" s="128">
        <v>1893128.01</v>
      </c>
      <c r="I11338" s="128">
        <v>149491</v>
      </c>
    </row>
    <row r="11339" spans="1:9" ht="13.5">
      <c r="A11339" s="128">
        <v>2021</v>
      </c>
      <c r="B11339" s="128" t="s">
        <v>131</v>
      </c>
      <c r="C11339" s="128" t="s">
        <v>23</v>
      </c>
      <c r="D11339" s="128" t="s">
        <v>76</v>
      </c>
      <c r="E11339" s="128" t="s">
        <v>132</v>
      </c>
      <c r="F11339" s="128">
        <v>10345738.710000001</v>
      </c>
      <c r="G11339" s="128">
        <v>6508992.9199999999</v>
      </c>
      <c r="H11339" s="128">
        <v>3836632.46</v>
      </c>
      <c r="I11339" s="128">
        <v>84310</v>
      </c>
    </row>
    <row r="11340" spans="1:9" ht="13.5">
      <c r="A11340" s="128">
        <v>2021</v>
      </c>
      <c r="B11340" s="128" t="s">
        <v>131</v>
      </c>
      <c r="C11340" s="128" t="s">
        <v>23</v>
      </c>
      <c r="D11340" s="128" t="s">
        <v>76</v>
      </c>
      <c r="E11340" s="128" t="s">
        <v>133</v>
      </c>
      <c r="F11340" s="128">
        <v>33395842.73</v>
      </c>
      <c r="G11340" s="128">
        <v>18162478.91</v>
      </c>
      <c r="H11340" s="128">
        <v>15233338.84</v>
      </c>
      <c r="I11340" s="128">
        <v>223131</v>
      </c>
    </row>
    <row r="11341" spans="1:9" ht="13.5">
      <c r="A11341" s="128">
        <v>2021</v>
      </c>
      <c r="B11341" s="128" t="s">
        <v>131</v>
      </c>
      <c r="C11341" s="128" t="s">
        <v>23</v>
      </c>
      <c r="D11341" s="128" t="s">
        <v>76</v>
      </c>
      <c r="E11341" s="128" t="s">
        <v>134</v>
      </c>
      <c r="F11341" s="128">
        <v>37856992.840000004</v>
      </c>
      <c r="G11341" s="128">
        <v>17098328.260000002</v>
      </c>
      <c r="H11341" s="128">
        <v>20758659.469999999</v>
      </c>
      <c r="I11341" s="128">
        <v>165879</v>
      </c>
    </row>
    <row r="11342" spans="1:9" ht="13.5">
      <c r="A11342" s="128">
        <v>2021</v>
      </c>
      <c r="B11342" s="128" t="s">
        <v>131</v>
      </c>
      <c r="C11342" s="128" t="s">
        <v>23</v>
      </c>
      <c r="D11342" s="128" t="s">
        <v>76</v>
      </c>
      <c r="E11342" s="128" t="s">
        <v>135</v>
      </c>
      <c r="F11342" s="128">
        <v>1085227.94</v>
      </c>
      <c r="G11342" s="128">
        <v>295387.64</v>
      </c>
      <c r="H11342" s="128">
        <v>789840.3</v>
      </c>
      <c r="I11342" s="128">
        <v>850</v>
      </c>
    </row>
    <row r="11343" spans="1:9" ht="13.5">
      <c r="A11343" s="128">
        <v>2021</v>
      </c>
      <c r="B11343" s="128" t="s">
        <v>131</v>
      </c>
      <c r="C11343" s="128" t="s">
        <v>24</v>
      </c>
      <c r="D11343" s="128" t="s">
        <v>79</v>
      </c>
      <c r="E11343" s="128" t="s">
        <v>136</v>
      </c>
      <c r="F11343" s="128">
        <v>1655402.33</v>
      </c>
      <c r="G11343" s="128">
        <v>1248957.56</v>
      </c>
      <c r="H11343" s="128">
        <v>405280.21</v>
      </c>
      <c r="I11343" s="128">
        <v>20177</v>
      </c>
    </row>
    <row r="11344" spans="1:9" ht="13.5">
      <c r="A11344" s="128">
        <v>2021</v>
      </c>
      <c r="B11344" s="128" t="s">
        <v>131</v>
      </c>
      <c r="C11344" s="128" t="s">
        <v>24</v>
      </c>
      <c r="D11344" s="128" t="s">
        <v>79</v>
      </c>
      <c r="E11344" s="128" t="s">
        <v>132</v>
      </c>
      <c r="F11344" s="128">
        <v>352289.57</v>
      </c>
      <c r="G11344" s="128">
        <v>237927.83</v>
      </c>
      <c r="H11344" s="128">
        <v>79160.27</v>
      </c>
      <c r="I11344" s="128">
        <v>851</v>
      </c>
    </row>
    <row r="11345" spans="1:9" ht="13.5">
      <c r="A11345" s="128">
        <v>2021</v>
      </c>
      <c r="B11345" s="128" t="s">
        <v>131</v>
      </c>
      <c r="C11345" s="128" t="s">
        <v>24</v>
      </c>
      <c r="D11345" s="128" t="s">
        <v>79</v>
      </c>
      <c r="E11345" s="128" t="s">
        <v>133</v>
      </c>
      <c r="F11345" s="128">
        <v>416167.69</v>
      </c>
      <c r="G11345" s="128">
        <v>228168.05</v>
      </c>
      <c r="H11345" s="128">
        <v>80243.5</v>
      </c>
      <c r="I11345" s="128">
        <v>1087</v>
      </c>
    </row>
    <row r="11346" spans="1:9" ht="13.5">
      <c r="A11346" s="128">
        <v>2021</v>
      </c>
      <c r="B11346" s="128" t="s">
        <v>131</v>
      </c>
      <c r="C11346" s="128" t="s">
        <v>24</v>
      </c>
      <c r="D11346" s="128" t="s">
        <v>79</v>
      </c>
      <c r="E11346" s="128" t="s">
        <v>134</v>
      </c>
      <c r="F11346" s="128">
        <v>1292479.8</v>
      </c>
      <c r="G11346" s="128">
        <v>560450.62</v>
      </c>
      <c r="H11346" s="128">
        <v>190051.47</v>
      </c>
      <c r="I11346" s="128">
        <v>4015</v>
      </c>
    </row>
    <row r="11347" spans="1:9" ht="13.5">
      <c r="A11347" s="128">
        <v>2021</v>
      </c>
      <c r="B11347" s="128" t="s">
        <v>131</v>
      </c>
      <c r="C11347" s="128" t="s">
        <v>24</v>
      </c>
      <c r="D11347" s="128" t="s">
        <v>79</v>
      </c>
      <c r="E11347" s="128" t="s">
        <v>135</v>
      </c>
      <c r="F11347" s="128">
        <v>9169990.4000000004</v>
      </c>
      <c r="G11347" s="128">
        <v>1832553.8</v>
      </c>
      <c r="H11347" s="128">
        <v>615157.43999999994</v>
      </c>
      <c r="I11347" s="128">
        <v>8485</v>
      </c>
    </row>
    <row r="11348" spans="1:9" ht="13.5">
      <c r="A11348" s="128">
        <v>2021</v>
      </c>
      <c r="B11348" s="128" t="s">
        <v>131</v>
      </c>
      <c r="C11348" s="128" t="s">
        <v>24</v>
      </c>
      <c r="D11348" s="128" t="s">
        <v>77</v>
      </c>
      <c r="E11348" s="128" t="s">
        <v>132</v>
      </c>
      <c r="F11348" s="128">
        <v>737049.78</v>
      </c>
      <c r="G11348" s="128">
        <v>480429.05</v>
      </c>
      <c r="H11348" s="128">
        <v>228526.32</v>
      </c>
      <c r="I11348" s="128">
        <v>3538</v>
      </c>
    </row>
    <row r="11349" spans="1:9" ht="13.5">
      <c r="A11349" s="128">
        <v>2021</v>
      </c>
      <c r="B11349" s="128" t="s">
        <v>131</v>
      </c>
      <c r="C11349" s="128" t="s">
        <v>24</v>
      </c>
      <c r="D11349" s="128" t="s">
        <v>77</v>
      </c>
      <c r="E11349" s="128" t="s">
        <v>133</v>
      </c>
      <c r="F11349" s="128">
        <v>2888387.67</v>
      </c>
      <c r="G11349" s="128">
        <v>1532579.16</v>
      </c>
      <c r="H11349" s="128">
        <v>1164562.3400000001</v>
      </c>
      <c r="I11349" s="128">
        <v>22939</v>
      </c>
    </row>
    <row r="11350" spans="1:9" ht="13.5">
      <c r="A11350" s="128">
        <v>2021</v>
      </c>
      <c r="B11350" s="128" t="s">
        <v>131</v>
      </c>
      <c r="C11350" s="128" t="s">
        <v>24</v>
      </c>
      <c r="D11350" s="128" t="s">
        <v>77</v>
      </c>
      <c r="E11350" s="128" t="s">
        <v>134</v>
      </c>
      <c r="F11350" s="128">
        <v>9664453.3599999994</v>
      </c>
      <c r="G11350" s="128">
        <v>4240410.0599999996</v>
      </c>
      <c r="H11350" s="128">
        <v>3925311.15</v>
      </c>
      <c r="I11350" s="128">
        <v>15463</v>
      </c>
    </row>
    <row r="11351" spans="1:9" ht="13.5">
      <c r="A11351" s="128">
        <v>2021</v>
      </c>
      <c r="B11351" s="128" t="s">
        <v>131</v>
      </c>
      <c r="C11351" s="128" t="s">
        <v>24</v>
      </c>
      <c r="D11351" s="128" t="s">
        <v>77</v>
      </c>
      <c r="E11351" s="128" t="s">
        <v>135</v>
      </c>
      <c r="F11351" s="128">
        <v>20522046.609999999</v>
      </c>
      <c r="G11351" s="128">
        <v>4994826.84</v>
      </c>
      <c r="H11351" s="128">
        <v>3604531.53</v>
      </c>
      <c r="I11351" s="128">
        <v>48387</v>
      </c>
    </row>
    <row r="11352" spans="1:9" ht="13.5">
      <c r="A11352" s="128">
        <v>2021</v>
      </c>
      <c r="B11352" s="128" t="s">
        <v>131</v>
      </c>
      <c r="C11352" s="128" t="s">
        <v>24</v>
      </c>
      <c r="D11352" s="128" t="s">
        <v>76</v>
      </c>
      <c r="E11352" s="128" t="s">
        <v>136</v>
      </c>
      <c r="F11352" s="128">
        <v>11275164.76</v>
      </c>
      <c r="G11352" s="128">
        <v>8468175.0500000007</v>
      </c>
      <c r="H11352" s="128">
        <v>2806989.7</v>
      </c>
      <c r="I11352" s="128">
        <v>181874</v>
      </c>
    </row>
    <row r="11353" spans="1:9" ht="13.5">
      <c r="A11353" s="128">
        <v>2021</v>
      </c>
      <c r="B11353" s="128" t="s">
        <v>131</v>
      </c>
      <c r="C11353" s="128" t="s">
        <v>24</v>
      </c>
      <c r="D11353" s="128" t="s">
        <v>76</v>
      </c>
      <c r="E11353" s="128" t="s">
        <v>132</v>
      </c>
      <c r="F11353" s="128">
        <v>13265031.550000001</v>
      </c>
      <c r="G11353" s="128">
        <v>8605428.1600000001</v>
      </c>
      <c r="H11353" s="128">
        <v>4659549.04</v>
      </c>
      <c r="I11353" s="128">
        <v>85848</v>
      </c>
    </row>
    <row r="11354" spans="1:9" ht="13.5">
      <c r="A11354" s="128">
        <v>2021</v>
      </c>
      <c r="B11354" s="128" t="s">
        <v>131</v>
      </c>
      <c r="C11354" s="128" t="s">
        <v>24</v>
      </c>
      <c r="D11354" s="128" t="s">
        <v>76</v>
      </c>
      <c r="E11354" s="128" t="s">
        <v>133</v>
      </c>
      <c r="F11354" s="128">
        <v>52963644.770000003</v>
      </c>
      <c r="G11354" s="128">
        <v>29048821.57</v>
      </c>
      <c r="H11354" s="128">
        <v>23914816.690000001</v>
      </c>
      <c r="I11354" s="128">
        <v>349145</v>
      </c>
    </row>
    <row r="11355" spans="1:9" ht="13.5">
      <c r="A11355" s="128">
        <v>2021</v>
      </c>
      <c r="B11355" s="128" t="s">
        <v>131</v>
      </c>
      <c r="C11355" s="128" t="s">
        <v>24</v>
      </c>
      <c r="D11355" s="128" t="s">
        <v>76</v>
      </c>
      <c r="E11355" s="128" t="s">
        <v>134</v>
      </c>
      <c r="F11355" s="128">
        <v>60115989.07</v>
      </c>
      <c r="G11355" s="128">
        <v>26716862.390000001</v>
      </c>
      <c r="H11355" s="128">
        <v>33399097.780000001</v>
      </c>
      <c r="I11355" s="128">
        <v>277625</v>
      </c>
    </row>
    <row r="11356" spans="1:9" ht="13.5">
      <c r="A11356" s="128">
        <v>2021</v>
      </c>
      <c r="B11356" s="128" t="s">
        <v>131</v>
      </c>
      <c r="C11356" s="128" t="s">
        <v>24</v>
      </c>
      <c r="D11356" s="128" t="s">
        <v>76</v>
      </c>
      <c r="E11356" s="128" t="s">
        <v>135</v>
      </c>
      <c r="F11356" s="128">
        <v>2401819.66</v>
      </c>
      <c r="G11356" s="128">
        <v>636478.34</v>
      </c>
      <c r="H11356" s="128">
        <v>1765341.32</v>
      </c>
      <c r="I11356" s="128">
        <v>1786</v>
      </c>
    </row>
    <row r="11357" spans="1:9" ht="13.5">
      <c r="A11357" s="128">
        <v>2021</v>
      </c>
      <c r="B11357" s="128" t="s">
        <v>131</v>
      </c>
      <c r="C11357" s="128" t="s">
        <v>25</v>
      </c>
      <c r="D11357" s="128" t="s">
        <v>79</v>
      </c>
      <c r="E11357" s="128" t="s">
        <v>136</v>
      </c>
      <c r="F11357" s="128">
        <v>308124.64</v>
      </c>
      <c r="G11357" s="128">
        <v>231637.25</v>
      </c>
      <c r="H11357" s="128">
        <v>76464.44</v>
      </c>
      <c r="I11357" s="128">
        <v>3105</v>
      </c>
    </row>
    <row r="11358" spans="1:9" ht="13.5">
      <c r="A11358" s="128">
        <v>2021</v>
      </c>
      <c r="B11358" s="128" t="s">
        <v>131</v>
      </c>
      <c r="C11358" s="128" t="s">
        <v>25</v>
      </c>
      <c r="D11358" s="128" t="s">
        <v>79</v>
      </c>
      <c r="E11358" s="128" t="s">
        <v>132</v>
      </c>
      <c r="F11358" s="128">
        <v>55982.51</v>
      </c>
      <c r="G11358" s="128">
        <v>38321.46</v>
      </c>
      <c r="H11358" s="128">
        <v>12742.94</v>
      </c>
      <c r="I11358" s="128">
        <v>180</v>
      </c>
    </row>
    <row r="11359" spans="1:9" ht="13.5">
      <c r="A11359" s="128">
        <v>2021</v>
      </c>
      <c r="B11359" s="128" t="s">
        <v>131</v>
      </c>
      <c r="C11359" s="128" t="s">
        <v>25</v>
      </c>
      <c r="D11359" s="128" t="s">
        <v>79</v>
      </c>
      <c r="E11359" s="128" t="s">
        <v>133</v>
      </c>
      <c r="F11359" s="128">
        <v>38801.26</v>
      </c>
      <c r="G11359" s="128">
        <v>21224.36</v>
      </c>
      <c r="H11359" s="128">
        <v>6885.62</v>
      </c>
      <c r="I11359" s="128">
        <v>152</v>
      </c>
    </row>
    <row r="11360" spans="1:9" ht="13.5">
      <c r="A11360" s="128">
        <v>2021</v>
      </c>
      <c r="B11360" s="128" t="s">
        <v>131</v>
      </c>
      <c r="C11360" s="128" t="s">
        <v>25</v>
      </c>
      <c r="D11360" s="128" t="s">
        <v>79</v>
      </c>
      <c r="E11360" s="128" t="s">
        <v>134</v>
      </c>
      <c r="F11360" s="128">
        <v>154922.14000000001</v>
      </c>
      <c r="G11360" s="128">
        <v>67435.34</v>
      </c>
      <c r="H11360" s="128">
        <v>22880.76</v>
      </c>
      <c r="I11360" s="128">
        <v>431</v>
      </c>
    </row>
    <row r="11361" spans="1:9" ht="13.5">
      <c r="A11361" s="128">
        <v>2021</v>
      </c>
      <c r="B11361" s="128" t="s">
        <v>131</v>
      </c>
      <c r="C11361" s="128" t="s">
        <v>25</v>
      </c>
      <c r="D11361" s="128" t="s">
        <v>79</v>
      </c>
      <c r="E11361" s="128" t="s">
        <v>135</v>
      </c>
      <c r="F11361" s="128">
        <v>1943862.98</v>
      </c>
      <c r="G11361" s="128">
        <v>426894.11</v>
      </c>
      <c r="H11361" s="128">
        <v>143198.39000000001</v>
      </c>
      <c r="I11361" s="128">
        <v>1294</v>
      </c>
    </row>
    <row r="11362" spans="1:9" ht="13.5">
      <c r="A11362" s="128">
        <v>2021</v>
      </c>
      <c r="B11362" s="128" t="s">
        <v>131</v>
      </c>
      <c r="C11362" s="128" t="s">
        <v>25</v>
      </c>
      <c r="D11362" s="128" t="s">
        <v>77</v>
      </c>
      <c r="E11362" s="128" t="s">
        <v>132</v>
      </c>
      <c r="F11362" s="128">
        <v>104125.78</v>
      </c>
      <c r="G11362" s="128">
        <v>68911.28</v>
      </c>
      <c r="H11362" s="128">
        <v>25540.31</v>
      </c>
      <c r="I11362" s="128">
        <v>525</v>
      </c>
    </row>
    <row r="11363" spans="1:9" ht="13.5">
      <c r="A11363" s="128">
        <v>2021</v>
      </c>
      <c r="B11363" s="128" t="s">
        <v>131</v>
      </c>
      <c r="C11363" s="128" t="s">
        <v>25</v>
      </c>
      <c r="D11363" s="128" t="s">
        <v>77</v>
      </c>
      <c r="E11363" s="128" t="s">
        <v>133</v>
      </c>
      <c r="F11363" s="128">
        <v>398814.82</v>
      </c>
      <c r="G11363" s="128">
        <v>214471.87</v>
      </c>
      <c r="H11363" s="128">
        <v>162396.57999999999</v>
      </c>
      <c r="I11363" s="128">
        <v>1717</v>
      </c>
    </row>
    <row r="11364" spans="1:9" ht="13.5">
      <c r="A11364" s="128">
        <v>2021</v>
      </c>
      <c r="B11364" s="128" t="s">
        <v>131</v>
      </c>
      <c r="C11364" s="128" t="s">
        <v>25</v>
      </c>
      <c r="D11364" s="128" t="s">
        <v>77</v>
      </c>
      <c r="E11364" s="128" t="s">
        <v>134</v>
      </c>
      <c r="F11364" s="128">
        <v>2253927.27</v>
      </c>
      <c r="G11364" s="128">
        <v>960948.78</v>
      </c>
      <c r="H11364" s="128">
        <v>1000091.3</v>
      </c>
      <c r="I11364" s="128">
        <v>2786</v>
      </c>
    </row>
    <row r="11365" spans="1:9" ht="13.5">
      <c r="A11365" s="128">
        <v>2021</v>
      </c>
      <c r="B11365" s="128" t="s">
        <v>131</v>
      </c>
      <c r="C11365" s="128" t="s">
        <v>25</v>
      </c>
      <c r="D11365" s="128" t="s">
        <v>77</v>
      </c>
      <c r="E11365" s="128" t="s">
        <v>135</v>
      </c>
      <c r="F11365" s="128">
        <v>3176239.73</v>
      </c>
      <c r="G11365" s="128">
        <v>837266.69</v>
      </c>
      <c r="H11365" s="128">
        <v>991674.02</v>
      </c>
      <c r="I11365" s="128">
        <v>6713</v>
      </c>
    </row>
    <row r="11366" spans="1:9" ht="13.5">
      <c r="A11366" s="128">
        <v>2021</v>
      </c>
      <c r="B11366" s="128" t="s">
        <v>131</v>
      </c>
      <c r="C11366" s="128" t="s">
        <v>25</v>
      </c>
      <c r="D11366" s="128" t="s">
        <v>76</v>
      </c>
      <c r="E11366" s="128" t="s">
        <v>136</v>
      </c>
      <c r="F11366" s="128">
        <v>1690072.36</v>
      </c>
      <c r="G11366" s="128">
        <v>1269361.6399999999</v>
      </c>
      <c r="H11366" s="128">
        <v>420710.72</v>
      </c>
      <c r="I11366" s="128">
        <v>27656</v>
      </c>
    </row>
    <row r="11367" spans="1:9" ht="13.5">
      <c r="A11367" s="128">
        <v>2021</v>
      </c>
      <c r="B11367" s="128" t="s">
        <v>131</v>
      </c>
      <c r="C11367" s="128" t="s">
        <v>25</v>
      </c>
      <c r="D11367" s="128" t="s">
        <v>76</v>
      </c>
      <c r="E11367" s="128" t="s">
        <v>132</v>
      </c>
      <c r="F11367" s="128">
        <v>2707121.69</v>
      </c>
      <c r="G11367" s="128">
        <v>1710419.04</v>
      </c>
      <c r="H11367" s="128">
        <v>996702.25</v>
      </c>
      <c r="I11367" s="128">
        <v>18678</v>
      </c>
    </row>
    <row r="11368" spans="1:9" ht="13.5">
      <c r="A11368" s="128">
        <v>2021</v>
      </c>
      <c r="B11368" s="128" t="s">
        <v>131</v>
      </c>
      <c r="C11368" s="128" t="s">
        <v>25</v>
      </c>
      <c r="D11368" s="128" t="s">
        <v>76</v>
      </c>
      <c r="E11368" s="128" t="s">
        <v>133</v>
      </c>
      <c r="F11368" s="128">
        <v>9554571.1899999995</v>
      </c>
      <c r="G11368" s="128">
        <v>5203667.8600000003</v>
      </c>
      <c r="H11368" s="128">
        <v>4350896.9800000004</v>
      </c>
      <c r="I11368" s="128">
        <v>56908</v>
      </c>
    </row>
    <row r="11369" spans="1:9" ht="13.5">
      <c r="A11369" s="128">
        <v>2021</v>
      </c>
      <c r="B11369" s="128" t="s">
        <v>131</v>
      </c>
      <c r="C11369" s="128" t="s">
        <v>25</v>
      </c>
      <c r="D11369" s="128" t="s">
        <v>76</v>
      </c>
      <c r="E11369" s="128" t="s">
        <v>134</v>
      </c>
      <c r="F11369" s="128">
        <v>11177109.33</v>
      </c>
      <c r="G11369" s="128">
        <v>5113562.28</v>
      </c>
      <c r="H11369" s="128">
        <v>6063545.4900000002</v>
      </c>
      <c r="I11369" s="128">
        <v>55948</v>
      </c>
    </row>
    <row r="11370" spans="1:9" ht="13.5">
      <c r="A11370" s="128">
        <v>2021</v>
      </c>
      <c r="B11370" s="128" t="s">
        <v>131</v>
      </c>
      <c r="C11370" s="128" t="s">
        <v>25</v>
      </c>
      <c r="D11370" s="128" t="s">
        <v>76</v>
      </c>
      <c r="E11370" s="128" t="s">
        <v>135</v>
      </c>
      <c r="F11370" s="128">
        <v>354325.99</v>
      </c>
      <c r="G11370" s="128">
        <v>98845.93</v>
      </c>
      <c r="H11370" s="128">
        <v>255479.99</v>
      </c>
      <c r="I11370" s="128">
        <v>258</v>
      </c>
    </row>
    <row r="11371" spans="1:9" ht="13.5">
      <c r="A11371" s="128">
        <v>2021</v>
      </c>
      <c r="B11371" s="128" t="s">
        <v>131</v>
      </c>
      <c r="C11371" s="128" t="s">
        <v>26</v>
      </c>
      <c r="D11371" s="128" t="s">
        <v>79</v>
      </c>
      <c r="E11371" s="128" t="s">
        <v>136</v>
      </c>
      <c r="F11371" s="128">
        <v>317584.21999999997</v>
      </c>
      <c r="G11371" s="128">
        <v>224249.49</v>
      </c>
      <c r="H11371" s="128">
        <v>74323.38</v>
      </c>
      <c r="I11371" s="128">
        <v>2595</v>
      </c>
    </row>
    <row r="11372" spans="1:9" ht="13.5">
      <c r="A11372" s="128">
        <v>2021</v>
      </c>
      <c r="B11372" s="128" t="s">
        <v>131</v>
      </c>
      <c r="C11372" s="128" t="s">
        <v>26</v>
      </c>
      <c r="D11372" s="128" t="s">
        <v>79</v>
      </c>
      <c r="E11372" s="128" t="s">
        <v>132</v>
      </c>
      <c r="F11372" s="128">
        <v>72789.87</v>
      </c>
      <c r="G11372" s="128">
        <v>49451.39</v>
      </c>
      <c r="H11372" s="128">
        <v>16779.919999999998</v>
      </c>
      <c r="I11372" s="128">
        <v>210</v>
      </c>
    </row>
    <row r="11373" spans="1:9" ht="13.5">
      <c r="A11373" s="128">
        <v>2021</v>
      </c>
      <c r="B11373" s="128" t="s">
        <v>131</v>
      </c>
      <c r="C11373" s="128" t="s">
        <v>26</v>
      </c>
      <c r="D11373" s="128" t="s">
        <v>79</v>
      </c>
      <c r="E11373" s="128" t="s">
        <v>133</v>
      </c>
      <c r="F11373" s="128">
        <v>94692.45</v>
      </c>
      <c r="G11373" s="128">
        <v>51441.53</v>
      </c>
      <c r="H11373" s="128">
        <v>17612.16</v>
      </c>
      <c r="I11373" s="128">
        <v>215</v>
      </c>
    </row>
    <row r="11374" spans="1:9" ht="13.5">
      <c r="A11374" s="128">
        <v>2021</v>
      </c>
      <c r="B11374" s="128" t="s">
        <v>131</v>
      </c>
      <c r="C11374" s="128" t="s">
        <v>26</v>
      </c>
      <c r="D11374" s="128" t="s">
        <v>79</v>
      </c>
      <c r="E11374" s="128" t="s">
        <v>134</v>
      </c>
      <c r="F11374" s="128">
        <v>492070.74</v>
      </c>
      <c r="G11374" s="128">
        <v>207602.92</v>
      </c>
      <c r="H11374" s="128">
        <v>69095.399999999994</v>
      </c>
      <c r="I11374" s="128">
        <v>1570</v>
      </c>
    </row>
    <row r="11375" spans="1:9" ht="13.5">
      <c r="A11375" s="128">
        <v>2021</v>
      </c>
      <c r="B11375" s="128" t="s">
        <v>131</v>
      </c>
      <c r="C11375" s="128" t="s">
        <v>26</v>
      </c>
      <c r="D11375" s="128" t="s">
        <v>79</v>
      </c>
      <c r="E11375" s="128" t="s">
        <v>135</v>
      </c>
      <c r="F11375" s="128">
        <v>8410393.9299999997</v>
      </c>
      <c r="G11375" s="128">
        <v>1818955.76</v>
      </c>
      <c r="H11375" s="128">
        <v>609321.22</v>
      </c>
      <c r="I11375" s="128">
        <v>7050</v>
      </c>
    </row>
    <row r="11376" spans="1:9" ht="13.5">
      <c r="A11376" s="128">
        <v>2021</v>
      </c>
      <c r="B11376" s="128" t="s">
        <v>131</v>
      </c>
      <c r="C11376" s="128" t="s">
        <v>26</v>
      </c>
      <c r="D11376" s="128" t="s">
        <v>77</v>
      </c>
      <c r="E11376" s="128" t="s">
        <v>132</v>
      </c>
      <c r="F11376" s="128">
        <v>83449.09</v>
      </c>
      <c r="G11376" s="128">
        <v>56179.94</v>
      </c>
      <c r="H11376" s="128">
        <v>23721.75</v>
      </c>
      <c r="I11376" s="128">
        <v>324</v>
      </c>
    </row>
    <row r="11377" spans="1:9" ht="13.5">
      <c r="A11377" s="128">
        <v>2021</v>
      </c>
      <c r="B11377" s="128" t="s">
        <v>131</v>
      </c>
      <c r="C11377" s="128" t="s">
        <v>26</v>
      </c>
      <c r="D11377" s="128" t="s">
        <v>77</v>
      </c>
      <c r="E11377" s="128" t="s">
        <v>133</v>
      </c>
      <c r="F11377" s="128">
        <v>182137.59</v>
      </c>
      <c r="G11377" s="128">
        <v>96149.2</v>
      </c>
      <c r="H11377" s="128">
        <v>74749.03</v>
      </c>
      <c r="I11377" s="128">
        <v>438</v>
      </c>
    </row>
    <row r="11378" spans="1:9" ht="13.5">
      <c r="A11378" s="128">
        <v>2021</v>
      </c>
      <c r="B11378" s="128" t="s">
        <v>131</v>
      </c>
      <c r="C11378" s="128" t="s">
        <v>26</v>
      </c>
      <c r="D11378" s="128" t="s">
        <v>77</v>
      </c>
      <c r="E11378" s="128" t="s">
        <v>134</v>
      </c>
      <c r="F11378" s="128">
        <v>493323.79</v>
      </c>
      <c r="G11378" s="128">
        <v>209592.55</v>
      </c>
      <c r="H11378" s="128">
        <v>214482.99</v>
      </c>
      <c r="I11378" s="128">
        <v>1216</v>
      </c>
    </row>
    <row r="11379" spans="1:9" ht="13.5">
      <c r="A11379" s="128">
        <v>2021</v>
      </c>
      <c r="B11379" s="128" t="s">
        <v>131</v>
      </c>
      <c r="C11379" s="128" t="s">
        <v>26</v>
      </c>
      <c r="D11379" s="128" t="s">
        <v>77</v>
      </c>
      <c r="E11379" s="128" t="s">
        <v>135</v>
      </c>
      <c r="F11379" s="128">
        <v>4064158.56</v>
      </c>
      <c r="G11379" s="128">
        <v>1064559.52</v>
      </c>
      <c r="H11379" s="128">
        <v>1086073.49</v>
      </c>
      <c r="I11379" s="128">
        <v>14289</v>
      </c>
    </row>
    <row r="11380" spans="1:9" ht="13.5">
      <c r="A11380" s="128">
        <v>2021</v>
      </c>
      <c r="B11380" s="128" t="s">
        <v>131</v>
      </c>
      <c r="C11380" s="128" t="s">
        <v>26</v>
      </c>
      <c r="D11380" s="128" t="s">
        <v>76</v>
      </c>
      <c r="E11380" s="128" t="s">
        <v>136</v>
      </c>
      <c r="F11380" s="128">
        <v>447807.58</v>
      </c>
      <c r="G11380" s="128">
        <v>336492.2</v>
      </c>
      <c r="H11380" s="128">
        <v>111315.38</v>
      </c>
      <c r="I11380" s="128">
        <v>9900</v>
      </c>
    </row>
    <row r="11381" spans="1:9" ht="13.5">
      <c r="A11381" s="128">
        <v>2021</v>
      </c>
      <c r="B11381" s="128" t="s">
        <v>131</v>
      </c>
      <c r="C11381" s="128" t="s">
        <v>26</v>
      </c>
      <c r="D11381" s="128" t="s">
        <v>76</v>
      </c>
      <c r="E11381" s="128" t="s">
        <v>132</v>
      </c>
      <c r="F11381" s="128">
        <v>1853785.04</v>
      </c>
      <c r="G11381" s="128">
        <v>1182542</v>
      </c>
      <c r="H11381" s="128">
        <v>671240.84</v>
      </c>
      <c r="I11381" s="128">
        <v>15520</v>
      </c>
    </row>
    <row r="11382" spans="1:9" ht="13.5">
      <c r="A11382" s="128">
        <v>2021</v>
      </c>
      <c r="B11382" s="128" t="s">
        <v>131</v>
      </c>
      <c r="C11382" s="128" t="s">
        <v>26</v>
      </c>
      <c r="D11382" s="128" t="s">
        <v>76</v>
      </c>
      <c r="E11382" s="128" t="s">
        <v>133</v>
      </c>
      <c r="F11382" s="128">
        <v>4197909.57</v>
      </c>
      <c r="G11382" s="128">
        <v>2313165.92</v>
      </c>
      <c r="H11382" s="128">
        <v>1884732.91</v>
      </c>
      <c r="I11382" s="128">
        <v>34388</v>
      </c>
    </row>
    <row r="11383" spans="1:9" ht="13.5">
      <c r="A11383" s="128">
        <v>2021</v>
      </c>
      <c r="B11383" s="128" t="s">
        <v>131</v>
      </c>
      <c r="C11383" s="128" t="s">
        <v>26</v>
      </c>
      <c r="D11383" s="128" t="s">
        <v>76</v>
      </c>
      <c r="E11383" s="128" t="s">
        <v>134</v>
      </c>
      <c r="F11383" s="128">
        <v>3268619.12</v>
      </c>
      <c r="G11383" s="128">
        <v>1502295.65</v>
      </c>
      <c r="H11383" s="128">
        <v>1766283.22</v>
      </c>
      <c r="I11383" s="128">
        <v>17555</v>
      </c>
    </row>
    <row r="11384" spans="1:9" ht="13.5">
      <c r="A11384" s="128">
        <v>2021</v>
      </c>
      <c r="B11384" s="128" t="s">
        <v>131</v>
      </c>
      <c r="C11384" s="128" t="s">
        <v>26</v>
      </c>
      <c r="D11384" s="128" t="s">
        <v>76</v>
      </c>
      <c r="E11384" s="128" t="s">
        <v>135</v>
      </c>
      <c r="F11384" s="128">
        <v>230158.52</v>
      </c>
      <c r="G11384" s="128">
        <v>67358.929999999993</v>
      </c>
      <c r="H11384" s="128">
        <v>162799.59</v>
      </c>
      <c r="I11384" s="128">
        <v>267</v>
      </c>
    </row>
    <row r="11385" spans="1:9" ht="13.5">
      <c r="A11385" s="128">
        <v>2021</v>
      </c>
      <c r="B11385" s="128" t="s">
        <v>131</v>
      </c>
      <c r="C11385" s="128" t="s">
        <v>27</v>
      </c>
      <c r="D11385" s="128" t="s">
        <v>79</v>
      </c>
      <c r="E11385" s="128" t="s">
        <v>136</v>
      </c>
      <c r="F11385" s="128">
        <v>190773.72</v>
      </c>
      <c r="G11385" s="128">
        <v>141637.37</v>
      </c>
      <c r="H11385" s="128">
        <v>47140.45</v>
      </c>
      <c r="I11385" s="128">
        <v>1305</v>
      </c>
    </row>
    <row r="11386" spans="1:9" ht="13.5">
      <c r="A11386" s="128">
        <v>2021</v>
      </c>
      <c r="B11386" s="128" t="s">
        <v>131</v>
      </c>
      <c r="C11386" s="128" t="s">
        <v>27</v>
      </c>
      <c r="D11386" s="128" t="s">
        <v>79</v>
      </c>
      <c r="E11386" s="128" t="s">
        <v>132</v>
      </c>
      <c r="F11386" s="128">
        <v>41598.78</v>
      </c>
      <c r="G11386" s="128">
        <v>28890.67</v>
      </c>
      <c r="H11386" s="128">
        <v>9629.6</v>
      </c>
      <c r="I11386" s="128">
        <v>41</v>
      </c>
    </row>
    <row r="11387" spans="1:9" ht="13.5">
      <c r="A11387" s="128">
        <v>2021</v>
      </c>
      <c r="B11387" s="128" t="s">
        <v>131</v>
      </c>
      <c r="C11387" s="128" t="s">
        <v>27</v>
      </c>
      <c r="D11387" s="128" t="s">
        <v>79</v>
      </c>
      <c r="E11387" s="128" t="s">
        <v>133</v>
      </c>
      <c r="F11387" s="128">
        <v>25255.54</v>
      </c>
      <c r="G11387" s="128">
        <v>13537.61</v>
      </c>
      <c r="H11387" s="128">
        <v>4616.25</v>
      </c>
      <c r="I11387" s="128">
        <v>46</v>
      </c>
    </row>
    <row r="11388" spans="1:9" ht="13.5">
      <c r="A11388" s="128">
        <v>2021</v>
      </c>
      <c r="B11388" s="128" t="s">
        <v>131</v>
      </c>
      <c r="C11388" s="128" t="s">
        <v>27</v>
      </c>
      <c r="D11388" s="128" t="s">
        <v>79</v>
      </c>
      <c r="E11388" s="128" t="s">
        <v>134</v>
      </c>
      <c r="F11388" s="128">
        <v>50589.08</v>
      </c>
      <c r="G11388" s="128">
        <v>21284.47</v>
      </c>
      <c r="H11388" s="128">
        <v>7092.5</v>
      </c>
      <c r="I11388" s="128">
        <v>104</v>
      </c>
    </row>
    <row r="11389" spans="1:9" ht="13.5">
      <c r="A11389" s="128">
        <v>2021</v>
      </c>
      <c r="B11389" s="128" t="s">
        <v>131</v>
      </c>
      <c r="C11389" s="128" t="s">
        <v>27</v>
      </c>
      <c r="D11389" s="128" t="s">
        <v>79</v>
      </c>
      <c r="E11389" s="128" t="s">
        <v>135</v>
      </c>
      <c r="F11389" s="128">
        <v>1229364.6499999999</v>
      </c>
      <c r="G11389" s="128">
        <v>274768.49</v>
      </c>
      <c r="H11389" s="128">
        <v>91943</v>
      </c>
      <c r="I11389" s="128">
        <v>710</v>
      </c>
    </row>
    <row r="11390" spans="1:9" ht="13.5">
      <c r="A11390" s="128">
        <v>2021</v>
      </c>
      <c r="B11390" s="128" t="s">
        <v>131</v>
      </c>
      <c r="C11390" s="128" t="s">
        <v>27</v>
      </c>
      <c r="D11390" s="128" t="s">
        <v>77</v>
      </c>
      <c r="E11390" s="128" t="s">
        <v>132</v>
      </c>
      <c r="F11390" s="128">
        <v>24881.81</v>
      </c>
      <c r="G11390" s="128">
        <v>16521.689999999999</v>
      </c>
      <c r="H11390" s="128">
        <v>7495.85</v>
      </c>
      <c r="I11390" s="128">
        <v>127</v>
      </c>
    </row>
    <row r="11391" spans="1:9" ht="13.5">
      <c r="A11391" s="128">
        <v>2021</v>
      </c>
      <c r="B11391" s="128" t="s">
        <v>131</v>
      </c>
      <c r="C11391" s="128" t="s">
        <v>27</v>
      </c>
      <c r="D11391" s="128" t="s">
        <v>77</v>
      </c>
      <c r="E11391" s="128" t="s">
        <v>133</v>
      </c>
      <c r="F11391" s="128">
        <v>91699.79</v>
      </c>
      <c r="G11391" s="128">
        <v>49613.7</v>
      </c>
      <c r="H11391" s="128">
        <v>39968.71</v>
      </c>
      <c r="I11391" s="128">
        <v>175</v>
      </c>
    </row>
    <row r="11392" spans="1:9" ht="13.5">
      <c r="A11392" s="128">
        <v>2021</v>
      </c>
      <c r="B11392" s="128" t="s">
        <v>131</v>
      </c>
      <c r="C11392" s="128" t="s">
        <v>27</v>
      </c>
      <c r="D11392" s="128" t="s">
        <v>77</v>
      </c>
      <c r="E11392" s="128" t="s">
        <v>134</v>
      </c>
      <c r="F11392" s="128">
        <v>237557.41</v>
      </c>
      <c r="G11392" s="128">
        <v>102814.68</v>
      </c>
      <c r="H11392" s="128">
        <v>100383.62</v>
      </c>
      <c r="I11392" s="128">
        <v>398</v>
      </c>
    </row>
    <row r="11393" spans="1:9" ht="13.5">
      <c r="A11393" s="128">
        <v>2021</v>
      </c>
      <c r="B11393" s="128" t="s">
        <v>131</v>
      </c>
      <c r="C11393" s="128" t="s">
        <v>27</v>
      </c>
      <c r="D11393" s="128" t="s">
        <v>77</v>
      </c>
      <c r="E11393" s="128" t="s">
        <v>135</v>
      </c>
      <c r="F11393" s="128">
        <v>483372.27</v>
      </c>
      <c r="G11393" s="128">
        <v>131385.21</v>
      </c>
      <c r="H11393" s="128">
        <v>148517.51999999999</v>
      </c>
      <c r="I11393" s="128">
        <v>1663</v>
      </c>
    </row>
    <row r="11394" spans="1:9" ht="13.5">
      <c r="A11394" s="128">
        <v>2021</v>
      </c>
      <c r="B11394" s="128" t="s">
        <v>131</v>
      </c>
      <c r="C11394" s="128" t="s">
        <v>27</v>
      </c>
      <c r="D11394" s="128" t="s">
        <v>76</v>
      </c>
      <c r="E11394" s="128" t="s">
        <v>136</v>
      </c>
      <c r="F11394" s="128">
        <v>344309.97</v>
      </c>
      <c r="G11394" s="128">
        <v>258286.54</v>
      </c>
      <c r="H11394" s="128">
        <v>86023.43</v>
      </c>
      <c r="I11394" s="128">
        <v>3980</v>
      </c>
    </row>
    <row r="11395" spans="1:9" ht="13.5">
      <c r="A11395" s="128">
        <v>2021</v>
      </c>
      <c r="B11395" s="128" t="s">
        <v>131</v>
      </c>
      <c r="C11395" s="128" t="s">
        <v>27</v>
      </c>
      <c r="D11395" s="128" t="s">
        <v>76</v>
      </c>
      <c r="E11395" s="128" t="s">
        <v>132</v>
      </c>
      <c r="F11395" s="128">
        <v>465220</v>
      </c>
      <c r="G11395" s="128">
        <v>296509.2</v>
      </c>
      <c r="H11395" s="128">
        <v>168710.8</v>
      </c>
      <c r="I11395" s="128">
        <v>3197</v>
      </c>
    </row>
    <row r="11396" spans="1:9" ht="13.5">
      <c r="A11396" s="128">
        <v>2021</v>
      </c>
      <c r="B11396" s="128" t="s">
        <v>131</v>
      </c>
      <c r="C11396" s="128" t="s">
        <v>27</v>
      </c>
      <c r="D11396" s="128" t="s">
        <v>76</v>
      </c>
      <c r="E11396" s="128" t="s">
        <v>133</v>
      </c>
      <c r="F11396" s="128">
        <v>1304391.46</v>
      </c>
      <c r="G11396" s="128">
        <v>708364.25</v>
      </c>
      <c r="H11396" s="128">
        <v>596022.1</v>
      </c>
      <c r="I11396" s="128">
        <v>5853</v>
      </c>
    </row>
    <row r="11397" spans="1:9" ht="13.5">
      <c r="A11397" s="128">
        <v>2021</v>
      </c>
      <c r="B11397" s="128" t="s">
        <v>131</v>
      </c>
      <c r="C11397" s="128" t="s">
        <v>27</v>
      </c>
      <c r="D11397" s="128" t="s">
        <v>76</v>
      </c>
      <c r="E11397" s="128" t="s">
        <v>134</v>
      </c>
      <c r="F11397" s="128">
        <v>1881195.1</v>
      </c>
      <c r="G11397" s="128">
        <v>863898.59</v>
      </c>
      <c r="H11397" s="128">
        <v>1017295.64</v>
      </c>
      <c r="I11397" s="128">
        <v>9757</v>
      </c>
    </row>
    <row r="11398" spans="1:9" ht="13.5">
      <c r="A11398" s="128">
        <v>2021</v>
      </c>
      <c r="B11398" s="128" t="s">
        <v>131</v>
      </c>
      <c r="C11398" s="128" t="s">
        <v>27</v>
      </c>
      <c r="D11398" s="128" t="s">
        <v>76</v>
      </c>
      <c r="E11398" s="128" t="s">
        <v>135</v>
      </c>
      <c r="F11398" s="128">
        <v>63221.46</v>
      </c>
      <c r="G11398" s="128">
        <v>20053.66</v>
      </c>
      <c r="H11398" s="128">
        <v>43167.8</v>
      </c>
      <c r="I11398" s="128">
        <v>82</v>
      </c>
    </row>
    <row r="11399" spans="1:9" ht="13.5">
      <c r="A11399" s="128">
        <v>2021</v>
      </c>
      <c r="B11399" s="128" t="s">
        <v>138</v>
      </c>
      <c r="C11399" s="128" t="s">
        <v>20</v>
      </c>
      <c r="D11399" s="128" t="s">
        <v>79</v>
      </c>
      <c r="E11399" s="128" t="s">
        <v>136</v>
      </c>
      <c r="F11399" s="128">
        <v>28160166.719999999</v>
      </c>
      <c r="G11399" s="128">
        <v>21042227.329999998</v>
      </c>
      <c r="H11399" s="128">
        <v>7085685.9100000001</v>
      </c>
      <c r="I11399" s="128">
        <v>280084</v>
      </c>
    </row>
    <row r="11400" spans="1:9" ht="13.5">
      <c r="A11400" s="128">
        <v>2021</v>
      </c>
      <c r="B11400" s="128" t="s">
        <v>138</v>
      </c>
      <c r="C11400" s="128" t="s">
        <v>20</v>
      </c>
      <c r="D11400" s="128" t="s">
        <v>79</v>
      </c>
      <c r="E11400" s="128" t="s">
        <v>132</v>
      </c>
      <c r="F11400" s="128">
        <v>2696972.66</v>
      </c>
      <c r="G11400" s="128">
        <v>1836322.35</v>
      </c>
      <c r="H11400" s="128">
        <v>635479.42000000004</v>
      </c>
      <c r="I11400" s="128">
        <v>10446</v>
      </c>
    </row>
    <row r="11401" spans="1:9" ht="13.5">
      <c r="A11401" s="128">
        <v>2021</v>
      </c>
      <c r="B11401" s="128" t="s">
        <v>138</v>
      </c>
      <c r="C11401" s="128" t="s">
        <v>20</v>
      </c>
      <c r="D11401" s="128" t="s">
        <v>79</v>
      </c>
      <c r="E11401" s="128" t="s">
        <v>133</v>
      </c>
      <c r="F11401" s="128">
        <v>1650192.97</v>
      </c>
      <c r="G11401" s="128">
        <v>898597.21</v>
      </c>
      <c r="H11401" s="128">
        <v>298470.44</v>
      </c>
      <c r="I11401" s="128">
        <v>4609</v>
      </c>
    </row>
    <row r="11402" spans="1:9" ht="13.5">
      <c r="A11402" s="128">
        <v>2021</v>
      </c>
      <c r="B11402" s="128" t="s">
        <v>138</v>
      </c>
      <c r="C11402" s="128" t="s">
        <v>20</v>
      </c>
      <c r="D11402" s="128" t="s">
        <v>79</v>
      </c>
      <c r="E11402" s="128" t="s">
        <v>134</v>
      </c>
      <c r="F11402" s="128">
        <v>5273051.3</v>
      </c>
      <c r="G11402" s="128">
        <v>2273649.0299999998</v>
      </c>
      <c r="H11402" s="128">
        <v>816250.43</v>
      </c>
      <c r="I11402" s="128">
        <v>16445</v>
      </c>
    </row>
    <row r="11403" spans="1:9" ht="13.5">
      <c r="A11403" s="128">
        <v>2021</v>
      </c>
      <c r="B11403" s="128" t="s">
        <v>138</v>
      </c>
      <c r="C11403" s="128" t="s">
        <v>20</v>
      </c>
      <c r="D11403" s="128" t="s">
        <v>79</v>
      </c>
      <c r="E11403" s="128" t="s">
        <v>135</v>
      </c>
      <c r="F11403" s="128">
        <v>70092576.829999998</v>
      </c>
      <c r="G11403" s="128">
        <v>15215827.539999999</v>
      </c>
      <c r="H11403" s="128">
        <v>5366248.58</v>
      </c>
      <c r="I11403" s="128">
        <v>65637</v>
      </c>
    </row>
    <row r="11404" spans="1:9" ht="13.5">
      <c r="A11404" s="128">
        <v>2021</v>
      </c>
      <c r="B11404" s="128" t="s">
        <v>138</v>
      </c>
      <c r="C11404" s="128" t="s">
        <v>20</v>
      </c>
      <c r="D11404" s="128" t="s">
        <v>77</v>
      </c>
      <c r="E11404" s="128" t="s">
        <v>132</v>
      </c>
      <c r="F11404" s="128">
        <v>3047128.77</v>
      </c>
      <c r="G11404" s="128">
        <v>1998245.03</v>
      </c>
      <c r="H11404" s="128">
        <v>911967.26</v>
      </c>
      <c r="I11404" s="128">
        <v>12142</v>
      </c>
    </row>
    <row r="11405" spans="1:9" ht="13.5">
      <c r="A11405" s="128">
        <v>2021</v>
      </c>
      <c r="B11405" s="128" t="s">
        <v>138</v>
      </c>
      <c r="C11405" s="128" t="s">
        <v>20</v>
      </c>
      <c r="D11405" s="128" t="s">
        <v>77</v>
      </c>
      <c r="E11405" s="128" t="s">
        <v>133</v>
      </c>
      <c r="F11405" s="128">
        <v>5252852.9800000004</v>
      </c>
      <c r="G11405" s="128">
        <v>2821428.76</v>
      </c>
      <c r="H11405" s="128">
        <v>2143904.2200000002</v>
      </c>
      <c r="I11405" s="128">
        <v>17303</v>
      </c>
    </row>
    <row r="11406" spans="1:9" ht="13.5">
      <c r="A11406" s="128">
        <v>2021</v>
      </c>
      <c r="B11406" s="128" t="s">
        <v>138</v>
      </c>
      <c r="C11406" s="128" t="s">
        <v>20</v>
      </c>
      <c r="D11406" s="128" t="s">
        <v>77</v>
      </c>
      <c r="E11406" s="128" t="s">
        <v>134</v>
      </c>
      <c r="F11406" s="128">
        <v>17904507.850000001</v>
      </c>
      <c r="G11406" s="128">
        <v>7699074.1799999997</v>
      </c>
      <c r="H11406" s="128">
        <v>7591125.8799999999</v>
      </c>
      <c r="I11406" s="128">
        <v>31654</v>
      </c>
    </row>
    <row r="11407" spans="1:9" ht="13.5">
      <c r="A11407" s="128">
        <v>2021</v>
      </c>
      <c r="B11407" s="128" t="s">
        <v>138</v>
      </c>
      <c r="C11407" s="128" t="s">
        <v>20</v>
      </c>
      <c r="D11407" s="128" t="s">
        <v>77</v>
      </c>
      <c r="E11407" s="128" t="s">
        <v>135</v>
      </c>
      <c r="F11407" s="128">
        <v>60216283.57</v>
      </c>
      <c r="G11407" s="128">
        <v>14973895.33</v>
      </c>
      <c r="H11407" s="128">
        <v>14524174.08</v>
      </c>
      <c r="I11407" s="128">
        <v>163898</v>
      </c>
    </row>
    <row r="11408" spans="1:9" ht="13.5">
      <c r="A11408" s="128">
        <v>2021</v>
      </c>
      <c r="B11408" s="128" t="s">
        <v>138</v>
      </c>
      <c r="C11408" s="128" t="s">
        <v>20</v>
      </c>
      <c r="D11408" s="128" t="s">
        <v>76</v>
      </c>
      <c r="E11408" s="128" t="s">
        <v>136</v>
      </c>
      <c r="F11408" s="128">
        <v>32314273.32</v>
      </c>
      <c r="G11408" s="128">
        <v>24295158.25</v>
      </c>
      <c r="H11408" s="128">
        <v>8019114.4699999997</v>
      </c>
      <c r="I11408" s="128">
        <v>1033407</v>
      </c>
    </row>
    <row r="11409" spans="1:9" ht="13.5">
      <c r="A11409" s="128">
        <v>2021</v>
      </c>
      <c r="B11409" s="128" t="s">
        <v>138</v>
      </c>
      <c r="C11409" s="128" t="s">
        <v>20</v>
      </c>
      <c r="D11409" s="128" t="s">
        <v>76</v>
      </c>
      <c r="E11409" s="128" t="s">
        <v>132</v>
      </c>
      <c r="F11409" s="128">
        <v>56665606.460000001</v>
      </c>
      <c r="G11409" s="128">
        <v>36100909.25</v>
      </c>
      <c r="H11409" s="128">
        <v>20564627.66</v>
      </c>
      <c r="I11409" s="128">
        <v>467482</v>
      </c>
    </row>
    <row r="11410" spans="1:9" ht="13.5">
      <c r="A11410" s="128">
        <v>2021</v>
      </c>
      <c r="B11410" s="128" t="s">
        <v>138</v>
      </c>
      <c r="C11410" s="128" t="s">
        <v>20</v>
      </c>
      <c r="D11410" s="128" t="s">
        <v>76</v>
      </c>
      <c r="E11410" s="128" t="s">
        <v>133</v>
      </c>
      <c r="F11410" s="128">
        <v>113203141.17</v>
      </c>
      <c r="G11410" s="128">
        <v>62508846.920000002</v>
      </c>
      <c r="H11410" s="128">
        <v>50694256.57</v>
      </c>
      <c r="I11410" s="128">
        <v>653800</v>
      </c>
    </row>
    <row r="11411" spans="1:9" ht="13.5">
      <c r="A11411" s="128">
        <v>2021</v>
      </c>
      <c r="B11411" s="128" t="s">
        <v>138</v>
      </c>
      <c r="C11411" s="128" t="s">
        <v>20</v>
      </c>
      <c r="D11411" s="128" t="s">
        <v>76</v>
      </c>
      <c r="E11411" s="128" t="s">
        <v>134</v>
      </c>
      <c r="F11411" s="128">
        <v>119703026.37</v>
      </c>
      <c r="G11411" s="128">
        <v>55073150.210000001</v>
      </c>
      <c r="H11411" s="128">
        <v>64629800.799999997</v>
      </c>
      <c r="I11411" s="128">
        <v>664827</v>
      </c>
    </row>
    <row r="11412" spans="1:9" ht="13.5">
      <c r="A11412" s="128">
        <v>2021</v>
      </c>
      <c r="B11412" s="128" t="s">
        <v>138</v>
      </c>
      <c r="C11412" s="128" t="s">
        <v>20</v>
      </c>
      <c r="D11412" s="128" t="s">
        <v>76</v>
      </c>
      <c r="E11412" s="128" t="s">
        <v>135</v>
      </c>
      <c r="F11412" s="128">
        <v>7592946.4199999999</v>
      </c>
      <c r="G11412" s="128">
        <v>2389585.75</v>
      </c>
      <c r="H11412" s="128">
        <v>5203360.66</v>
      </c>
      <c r="I11412" s="128">
        <v>14960</v>
      </c>
    </row>
    <row r="11413" spans="1:9" ht="13.5">
      <c r="A11413" s="128">
        <v>2021</v>
      </c>
      <c r="B11413" s="128" t="s">
        <v>138</v>
      </c>
      <c r="C11413" s="128" t="s">
        <v>21</v>
      </c>
      <c r="D11413" s="128" t="s">
        <v>79</v>
      </c>
      <c r="E11413" s="128" t="s">
        <v>136</v>
      </c>
      <c r="F11413" s="128">
        <v>8094420.75</v>
      </c>
      <c r="G11413" s="128">
        <v>6079414.6100000003</v>
      </c>
      <c r="H11413" s="128">
        <v>1999407.35</v>
      </c>
      <c r="I11413" s="128">
        <v>156395</v>
      </c>
    </row>
    <row r="11414" spans="1:9" ht="13.5">
      <c r="A11414" s="128">
        <v>2021</v>
      </c>
      <c r="B11414" s="128" t="s">
        <v>138</v>
      </c>
      <c r="C11414" s="128" t="s">
        <v>21</v>
      </c>
      <c r="D11414" s="128" t="s">
        <v>79</v>
      </c>
      <c r="E11414" s="128" t="s">
        <v>132</v>
      </c>
      <c r="F11414" s="128">
        <v>1199946.6499999999</v>
      </c>
      <c r="G11414" s="128">
        <v>796098.84</v>
      </c>
      <c r="H11414" s="128">
        <v>271691.21999999997</v>
      </c>
      <c r="I11414" s="128">
        <v>3740</v>
      </c>
    </row>
    <row r="11415" spans="1:9" ht="13.5">
      <c r="A11415" s="128">
        <v>2021</v>
      </c>
      <c r="B11415" s="128" t="s">
        <v>138</v>
      </c>
      <c r="C11415" s="128" t="s">
        <v>21</v>
      </c>
      <c r="D11415" s="128" t="s">
        <v>79</v>
      </c>
      <c r="E11415" s="128" t="s">
        <v>133</v>
      </c>
      <c r="F11415" s="128">
        <v>1674452.78</v>
      </c>
      <c r="G11415" s="128">
        <v>901182.28</v>
      </c>
      <c r="H11415" s="128">
        <v>312590.12</v>
      </c>
      <c r="I11415" s="128">
        <v>6916</v>
      </c>
    </row>
    <row r="11416" spans="1:9" ht="13.5">
      <c r="A11416" s="128">
        <v>2021</v>
      </c>
      <c r="B11416" s="128" t="s">
        <v>138</v>
      </c>
      <c r="C11416" s="128" t="s">
        <v>21</v>
      </c>
      <c r="D11416" s="128" t="s">
        <v>79</v>
      </c>
      <c r="E11416" s="128" t="s">
        <v>134</v>
      </c>
      <c r="F11416" s="128">
        <v>3690532.04</v>
      </c>
      <c r="G11416" s="128">
        <v>1624838.18</v>
      </c>
      <c r="H11416" s="128">
        <v>605964.78</v>
      </c>
      <c r="I11416" s="128">
        <v>13057</v>
      </c>
    </row>
    <row r="11417" spans="1:9" ht="13.5">
      <c r="A11417" s="128">
        <v>2021</v>
      </c>
      <c r="B11417" s="128" t="s">
        <v>138</v>
      </c>
      <c r="C11417" s="128" t="s">
        <v>21</v>
      </c>
      <c r="D11417" s="128" t="s">
        <v>79</v>
      </c>
      <c r="E11417" s="128" t="s">
        <v>135</v>
      </c>
      <c r="F11417" s="128">
        <v>26091499.68</v>
      </c>
      <c r="G11417" s="128">
        <v>5905155.7699999996</v>
      </c>
      <c r="H11417" s="128">
        <v>2178471.0299999998</v>
      </c>
      <c r="I11417" s="128">
        <v>26075</v>
      </c>
    </row>
    <row r="11418" spans="1:9" ht="13.5">
      <c r="A11418" s="128">
        <v>2021</v>
      </c>
      <c r="B11418" s="128" t="s">
        <v>138</v>
      </c>
      <c r="C11418" s="128" t="s">
        <v>21</v>
      </c>
      <c r="D11418" s="128" t="s">
        <v>77</v>
      </c>
      <c r="E11418" s="128" t="s">
        <v>132</v>
      </c>
      <c r="F11418" s="128">
        <v>2320493.04</v>
      </c>
      <c r="G11418" s="128">
        <v>1531751.59</v>
      </c>
      <c r="H11418" s="128">
        <v>672924.45</v>
      </c>
      <c r="I11418" s="128">
        <v>11037</v>
      </c>
    </row>
    <row r="11419" spans="1:9" ht="13.5">
      <c r="A11419" s="128">
        <v>2021</v>
      </c>
      <c r="B11419" s="128" t="s">
        <v>138</v>
      </c>
      <c r="C11419" s="128" t="s">
        <v>21</v>
      </c>
      <c r="D11419" s="128" t="s">
        <v>77</v>
      </c>
      <c r="E11419" s="128" t="s">
        <v>133</v>
      </c>
      <c r="F11419" s="128">
        <v>6170178.7999999998</v>
      </c>
      <c r="G11419" s="128">
        <v>3335991.37</v>
      </c>
      <c r="H11419" s="128">
        <v>2390134.9900000002</v>
      </c>
      <c r="I11419" s="128">
        <v>21784</v>
      </c>
    </row>
    <row r="11420" spans="1:9" ht="13.5">
      <c r="A11420" s="128">
        <v>2021</v>
      </c>
      <c r="B11420" s="128" t="s">
        <v>138</v>
      </c>
      <c r="C11420" s="128" t="s">
        <v>21</v>
      </c>
      <c r="D11420" s="128" t="s">
        <v>77</v>
      </c>
      <c r="E11420" s="128" t="s">
        <v>134</v>
      </c>
      <c r="F11420" s="128">
        <v>17643968.07</v>
      </c>
      <c r="G11420" s="128">
        <v>7609059.1500000004</v>
      </c>
      <c r="H11420" s="128">
        <v>7251025.3499999996</v>
      </c>
      <c r="I11420" s="128">
        <v>35437</v>
      </c>
    </row>
    <row r="11421" spans="1:9" ht="13.5">
      <c r="A11421" s="128">
        <v>2021</v>
      </c>
      <c r="B11421" s="128" t="s">
        <v>138</v>
      </c>
      <c r="C11421" s="128" t="s">
        <v>21</v>
      </c>
      <c r="D11421" s="128" t="s">
        <v>77</v>
      </c>
      <c r="E11421" s="128" t="s">
        <v>135</v>
      </c>
      <c r="F11421" s="128">
        <v>47439473.640000001</v>
      </c>
      <c r="G11421" s="128">
        <v>12582088.27</v>
      </c>
      <c r="H11421" s="128">
        <v>13931364.970000001</v>
      </c>
      <c r="I11421" s="128">
        <v>162017</v>
      </c>
    </row>
    <row r="11422" spans="1:9" ht="13.5">
      <c r="A11422" s="128">
        <v>2021</v>
      </c>
      <c r="B11422" s="128" t="s">
        <v>138</v>
      </c>
      <c r="C11422" s="128" t="s">
        <v>21</v>
      </c>
      <c r="D11422" s="128" t="s">
        <v>76</v>
      </c>
      <c r="E11422" s="128" t="s">
        <v>136</v>
      </c>
      <c r="F11422" s="128">
        <v>22978185.07</v>
      </c>
      <c r="G11422" s="128">
        <v>17278604.949999999</v>
      </c>
      <c r="H11422" s="128">
        <v>5699576.71</v>
      </c>
      <c r="I11422" s="128">
        <v>338697</v>
      </c>
    </row>
    <row r="11423" spans="1:9" ht="13.5">
      <c r="A11423" s="128">
        <v>2021</v>
      </c>
      <c r="B11423" s="128" t="s">
        <v>138</v>
      </c>
      <c r="C11423" s="128" t="s">
        <v>21</v>
      </c>
      <c r="D11423" s="128" t="s">
        <v>76</v>
      </c>
      <c r="E11423" s="128" t="s">
        <v>132</v>
      </c>
      <c r="F11423" s="128">
        <v>51242081</v>
      </c>
      <c r="G11423" s="128">
        <v>32764559.59</v>
      </c>
      <c r="H11423" s="128">
        <v>18477410.620000001</v>
      </c>
      <c r="I11423" s="128">
        <v>411013</v>
      </c>
    </row>
    <row r="11424" spans="1:9" ht="13.5">
      <c r="A11424" s="128">
        <v>2021</v>
      </c>
      <c r="B11424" s="128" t="s">
        <v>138</v>
      </c>
      <c r="C11424" s="128" t="s">
        <v>21</v>
      </c>
      <c r="D11424" s="128" t="s">
        <v>76</v>
      </c>
      <c r="E11424" s="128" t="s">
        <v>133</v>
      </c>
      <c r="F11424" s="128">
        <v>124695789.37</v>
      </c>
      <c r="G11424" s="128">
        <v>68503509.950000003</v>
      </c>
      <c r="H11424" s="128">
        <v>56192163.490000002</v>
      </c>
      <c r="I11424" s="128">
        <v>801909</v>
      </c>
    </row>
    <row r="11425" spans="1:9" ht="13.5">
      <c r="A11425" s="128">
        <v>2021</v>
      </c>
      <c r="B11425" s="128" t="s">
        <v>138</v>
      </c>
      <c r="C11425" s="128" t="s">
        <v>21</v>
      </c>
      <c r="D11425" s="128" t="s">
        <v>76</v>
      </c>
      <c r="E11425" s="128" t="s">
        <v>134</v>
      </c>
      <c r="F11425" s="128">
        <v>102072626.28</v>
      </c>
      <c r="G11425" s="128">
        <v>46075361.68</v>
      </c>
      <c r="H11425" s="128">
        <v>55997188.640000001</v>
      </c>
      <c r="I11425" s="128">
        <v>549658</v>
      </c>
    </row>
    <row r="11426" spans="1:9" ht="13.5">
      <c r="A11426" s="128">
        <v>2021</v>
      </c>
      <c r="B11426" s="128" t="s">
        <v>138</v>
      </c>
      <c r="C11426" s="128" t="s">
        <v>21</v>
      </c>
      <c r="D11426" s="128" t="s">
        <v>76</v>
      </c>
      <c r="E11426" s="128" t="s">
        <v>135</v>
      </c>
      <c r="F11426" s="128">
        <v>3576016.11</v>
      </c>
      <c r="G11426" s="128">
        <v>1006185.44</v>
      </c>
      <c r="H11426" s="128">
        <v>2569830.67</v>
      </c>
      <c r="I11426" s="128">
        <v>3368</v>
      </c>
    </row>
    <row r="11427" spans="1:9" ht="13.5">
      <c r="A11427" s="128">
        <v>2021</v>
      </c>
      <c r="B11427" s="128" t="s">
        <v>138</v>
      </c>
      <c r="C11427" s="128" t="s">
        <v>22</v>
      </c>
      <c r="D11427" s="128" t="s">
        <v>79</v>
      </c>
      <c r="E11427" s="128" t="s">
        <v>136</v>
      </c>
      <c r="F11427" s="128">
        <v>4862730.0599999996</v>
      </c>
      <c r="G11427" s="128">
        <v>3615742.02</v>
      </c>
      <c r="H11427" s="128">
        <v>1197954.77</v>
      </c>
      <c r="I11427" s="128">
        <v>69796</v>
      </c>
    </row>
    <row r="11428" spans="1:9" ht="13.5">
      <c r="A11428" s="128">
        <v>2021</v>
      </c>
      <c r="B11428" s="128" t="s">
        <v>138</v>
      </c>
      <c r="C11428" s="128" t="s">
        <v>22</v>
      </c>
      <c r="D11428" s="128" t="s">
        <v>79</v>
      </c>
      <c r="E11428" s="128" t="s">
        <v>132</v>
      </c>
      <c r="F11428" s="128">
        <v>771099.96</v>
      </c>
      <c r="G11428" s="128">
        <v>524037.7</v>
      </c>
      <c r="H11428" s="128">
        <v>176410.4</v>
      </c>
      <c r="I11428" s="128">
        <v>2565</v>
      </c>
    </row>
    <row r="11429" spans="1:9" ht="13.5">
      <c r="A11429" s="128">
        <v>2021</v>
      </c>
      <c r="B11429" s="128" t="s">
        <v>138</v>
      </c>
      <c r="C11429" s="128" t="s">
        <v>22</v>
      </c>
      <c r="D11429" s="128" t="s">
        <v>79</v>
      </c>
      <c r="E11429" s="128" t="s">
        <v>133</v>
      </c>
      <c r="F11429" s="128">
        <v>1079732.9099999999</v>
      </c>
      <c r="G11429" s="128">
        <v>585911.94999999995</v>
      </c>
      <c r="H11429" s="128">
        <v>196044.77</v>
      </c>
      <c r="I11429" s="128">
        <v>2099</v>
      </c>
    </row>
    <row r="11430" spans="1:9" ht="13.5">
      <c r="A11430" s="128">
        <v>2021</v>
      </c>
      <c r="B11430" s="128" t="s">
        <v>138</v>
      </c>
      <c r="C11430" s="128" t="s">
        <v>22</v>
      </c>
      <c r="D11430" s="128" t="s">
        <v>79</v>
      </c>
      <c r="E11430" s="128" t="s">
        <v>134</v>
      </c>
      <c r="F11430" s="128">
        <v>3820906.27</v>
      </c>
      <c r="G11430" s="128">
        <v>1639219.07</v>
      </c>
      <c r="H11430" s="128">
        <v>593586.43000000005</v>
      </c>
      <c r="I11430" s="128">
        <v>19715</v>
      </c>
    </row>
    <row r="11431" spans="1:9" ht="13.5">
      <c r="A11431" s="128">
        <v>2021</v>
      </c>
      <c r="B11431" s="128" t="s">
        <v>138</v>
      </c>
      <c r="C11431" s="128" t="s">
        <v>22</v>
      </c>
      <c r="D11431" s="128" t="s">
        <v>79</v>
      </c>
      <c r="E11431" s="128" t="s">
        <v>135</v>
      </c>
      <c r="F11431" s="128">
        <v>35483299.149999999</v>
      </c>
      <c r="G11431" s="128">
        <v>7888069.4699999997</v>
      </c>
      <c r="H11431" s="128">
        <v>2773924.8</v>
      </c>
      <c r="I11431" s="128">
        <v>32416</v>
      </c>
    </row>
    <row r="11432" spans="1:9" ht="13.5">
      <c r="A11432" s="128">
        <v>2021</v>
      </c>
      <c r="B11432" s="128" t="s">
        <v>138</v>
      </c>
      <c r="C11432" s="128" t="s">
        <v>22</v>
      </c>
      <c r="D11432" s="128" t="s">
        <v>77</v>
      </c>
      <c r="E11432" s="128" t="s">
        <v>132</v>
      </c>
      <c r="F11432" s="128">
        <v>1816236.37</v>
      </c>
      <c r="G11432" s="128">
        <v>1205645.32</v>
      </c>
      <c r="H11432" s="128">
        <v>517582.19</v>
      </c>
      <c r="I11432" s="128">
        <v>7191</v>
      </c>
    </row>
    <row r="11433" spans="1:9" ht="13.5">
      <c r="A11433" s="128">
        <v>2021</v>
      </c>
      <c r="B11433" s="128" t="s">
        <v>138</v>
      </c>
      <c r="C11433" s="128" t="s">
        <v>22</v>
      </c>
      <c r="D11433" s="128" t="s">
        <v>77</v>
      </c>
      <c r="E11433" s="128" t="s">
        <v>133</v>
      </c>
      <c r="F11433" s="128">
        <v>3688417.21</v>
      </c>
      <c r="G11433" s="128">
        <v>1990784.86</v>
      </c>
      <c r="H11433" s="128">
        <v>1421528.91</v>
      </c>
      <c r="I11433" s="128">
        <v>15839</v>
      </c>
    </row>
    <row r="11434" spans="1:9" ht="13.5">
      <c r="A11434" s="128">
        <v>2021</v>
      </c>
      <c r="B11434" s="128" t="s">
        <v>138</v>
      </c>
      <c r="C11434" s="128" t="s">
        <v>22</v>
      </c>
      <c r="D11434" s="128" t="s">
        <v>77</v>
      </c>
      <c r="E11434" s="128" t="s">
        <v>134</v>
      </c>
      <c r="F11434" s="128">
        <v>19154816.629999999</v>
      </c>
      <c r="G11434" s="128">
        <v>8089074</v>
      </c>
      <c r="H11434" s="128">
        <v>8059027.0800000001</v>
      </c>
      <c r="I11434" s="128">
        <v>28674</v>
      </c>
    </row>
    <row r="11435" spans="1:9" ht="13.5">
      <c r="A11435" s="128">
        <v>2021</v>
      </c>
      <c r="B11435" s="128" t="s">
        <v>138</v>
      </c>
      <c r="C11435" s="128" t="s">
        <v>22</v>
      </c>
      <c r="D11435" s="128" t="s">
        <v>77</v>
      </c>
      <c r="E11435" s="128" t="s">
        <v>135</v>
      </c>
      <c r="F11435" s="128">
        <v>44741347.299999997</v>
      </c>
      <c r="G11435" s="128">
        <v>11199294.060000001</v>
      </c>
      <c r="H11435" s="128">
        <v>12081389.34</v>
      </c>
      <c r="I11435" s="128">
        <v>110717</v>
      </c>
    </row>
    <row r="11436" spans="1:9" ht="13.5">
      <c r="A11436" s="128">
        <v>2021</v>
      </c>
      <c r="B11436" s="128" t="s">
        <v>138</v>
      </c>
      <c r="C11436" s="128" t="s">
        <v>22</v>
      </c>
      <c r="D11436" s="128" t="s">
        <v>76</v>
      </c>
      <c r="E11436" s="128" t="s">
        <v>136</v>
      </c>
      <c r="F11436" s="128">
        <v>18423932.260000002</v>
      </c>
      <c r="G11436" s="128">
        <v>13833707.1</v>
      </c>
      <c r="H11436" s="128">
        <v>4590225.12</v>
      </c>
      <c r="I11436" s="128">
        <v>297581</v>
      </c>
    </row>
    <row r="11437" spans="1:9" ht="13.5">
      <c r="A11437" s="128">
        <v>2021</v>
      </c>
      <c r="B11437" s="128" t="s">
        <v>138</v>
      </c>
      <c r="C11437" s="128" t="s">
        <v>22</v>
      </c>
      <c r="D11437" s="128" t="s">
        <v>76</v>
      </c>
      <c r="E11437" s="128" t="s">
        <v>132</v>
      </c>
      <c r="F11437" s="128">
        <v>51013102.960000001</v>
      </c>
      <c r="G11437" s="128">
        <v>32566544.510000002</v>
      </c>
      <c r="H11437" s="128">
        <v>18446277.460000001</v>
      </c>
      <c r="I11437" s="128">
        <v>438690</v>
      </c>
    </row>
    <row r="11438" spans="1:9" ht="13.5">
      <c r="A11438" s="128">
        <v>2021</v>
      </c>
      <c r="B11438" s="128" t="s">
        <v>138</v>
      </c>
      <c r="C11438" s="128" t="s">
        <v>22</v>
      </c>
      <c r="D11438" s="128" t="s">
        <v>76</v>
      </c>
      <c r="E11438" s="128" t="s">
        <v>133</v>
      </c>
      <c r="F11438" s="128">
        <v>82748149.219999999</v>
      </c>
      <c r="G11438" s="128">
        <v>45701948.710000001</v>
      </c>
      <c r="H11438" s="128">
        <v>37046083.590000004</v>
      </c>
      <c r="I11438" s="128">
        <v>663667</v>
      </c>
    </row>
    <row r="11439" spans="1:9" ht="13.5">
      <c r="A11439" s="128">
        <v>2021</v>
      </c>
      <c r="B11439" s="128" t="s">
        <v>138</v>
      </c>
      <c r="C11439" s="128" t="s">
        <v>22</v>
      </c>
      <c r="D11439" s="128" t="s">
        <v>76</v>
      </c>
      <c r="E11439" s="128" t="s">
        <v>134</v>
      </c>
      <c r="F11439" s="128">
        <v>74872519</v>
      </c>
      <c r="G11439" s="128">
        <v>34274974.600000001</v>
      </c>
      <c r="H11439" s="128">
        <v>40596920.810000002</v>
      </c>
      <c r="I11439" s="128">
        <v>489969</v>
      </c>
    </row>
    <row r="11440" spans="1:9" ht="13.5">
      <c r="A11440" s="128">
        <v>2021</v>
      </c>
      <c r="B11440" s="128" t="s">
        <v>138</v>
      </c>
      <c r="C11440" s="128" t="s">
        <v>22</v>
      </c>
      <c r="D11440" s="128" t="s">
        <v>76</v>
      </c>
      <c r="E11440" s="128" t="s">
        <v>135</v>
      </c>
      <c r="F11440" s="128">
        <v>5338009.2300000004</v>
      </c>
      <c r="G11440" s="128">
        <v>1570841.31</v>
      </c>
      <c r="H11440" s="128">
        <v>3767167.88</v>
      </c>
      <c r="I11440" s="128">
        <v>7470</v>
      </c>
    </row>
    <row r="11441" spans="1:9" ht="13.5">
      <c r="A11441" s="128">
        <v>2021</v>
      </c>
      <c r="B11441" s="128" t="s">
        <v>138</v>
      </c>
      <c r="C11441" s="128" t="s">
        <v>23</v>
      </c>
      <c r="D11441" s="128" t="s">
        <v>79</v>
      </c>
      <c r="E11441" s="128" t="s">
        <v>136</v>
      </c>
      <c r="F11441" s="128">
        <v>1601665.97</v>
      </c>
      <c r="G11441" s="128">
        <v>1198259.3700000001</v>
      </c>
      <c r="H11441" s="128">
        <v>397462.36</v>
      </c>
      <c r="I11441" s="128">
        <v>9841</v>
      </c>
    </row>
    <row r="11442" spans="1:9" ht="13.5">
      <c r="A11442" s="128">
        <v>2021</v>
      </c>
      <c r="B11442" s="128" t="s">
        <v>138</v>
      </c>
      <c r="C11442" s="128" t="s">
        <v>23</v>
      </c>
      <c r="D11442" s="128" t="s">
        <v>79</v>
      </c>
      <c r="E11442" s="128" t="s">
        <v>132</v>
      </c>
      <c r="F11442" s="128">
        <v>278067.63</v>
      </c>
      <c r="G11442" s="128">
        <v>185638.62</v>
      </c>
      <c r="H11442" s="128">
        <v>62750.1</v>
      </c>
      <c r="I11442" s="128">
        <v>575</v>
      </c>
    </row>
    <row r="11443" spans="1:9" ht="13.5">
      <c r="A11443" s="128">
        <v>2021</v>
      </c>
      <c r="B11443" s="128" t="s">
        <v>138</v>
      </c>
      <c r="C11443" s="128" t="s">
        <v>23</v>
      </c>
      <c r="D11443" s="128" t="s">
        <v>79</v>
      </c>
      <c r="E11443" s="128" t="s">
        <v>133</v>
      </c>
      <c r="F11443" s="128">
        <v>190379.51</v>
      </c>
      <c r="G11443" s="128">
        <v>103990.24</v>
      </c>
      <c r="H11443" s="128">
        <v>35072.46</v>
      </c>
      <c r="I11443" s="128">
        <v>440</v>
      </c>
    </row>
    <row r="11444" spans="1:9" ht="13.5">
      <c r="A11444" s="128">
        <v>2021</v>
      </c>
      <c r="B11444" s="128" t="s">
        <v>138</v>
      </c>
      <c r="C11444" s="128" t="s">
        <v>23</v>
      </c>
      <c r="D11444" s="128" t="s">
        <v>79</v>
      </c>
      <c r="E11444" s="128" t="s">
        <v>134</v>
      </c>
      <c r="F11444" s="128">
        <v>340524.95</v>
      </c>
      <c r="G11444" s="128">
        <v>142853.56</v>
      </c>
      <c r="H11444" s="128">
        <v>76767.509999999995</v>
      </c>
      <c r="I11444" s="128">
        <v>833</v>
      </c>
    </row>
    <row r="11445" spans="1:9" ht="13.5">
      <c r="A11445" s="128">
        <v>2021</v>
      </c>
      <c r="B11445" s="128" t="s">
        <v>138</v>
      </c>
      <c r="C11445" s="128" t="s">
        <v>23</v>
      </c>
      <c r="D11445" s="128" t="s">
        <v>79</v>
      </c>
      <c r="E11445" s="128" t="s">
        <v>135</v>
      </c>
      <c r="F11445" s="128">
        <v>2496544.37</v>
      </c>
      <c r="G11445" s="128">
        <v>530944.39</v>
      </c>
      <c r="H11445" s="128">
        <v>202863.98</v>
      </c>
      <c r="I11445" s="128">
        <v>2327</v>
      </c>
    </row>
    <row r="11446" spans="1:9" ht="13.5">
      <c r="A11446" s="128">
        <v>2021</v>
      </c>
      <c r="B11446" s="128" t="s">
        <v>138</v>
      </c>
      <c r="C11446" s="128" t="s">
        <v>23</v>
      </c>
      <c r="D11446" s="128" t="s">
        <v>77</v>
      </c>
      <c r="E11446" s="128" t="s">
        <v>132</v>
      </c>
      <c r="F11446" s="128">
        <v>321249.61</v>
      </c>
      <c r="G11446" s="128">
        <v>204601.21</v>
      </c>
      <c r="H11446" s="128">
        <v>90829.66</v>
      </c>
      <c r="I11446" s="128">
        <v>1634</v>
      </c>
    </row>
    <row r="11447" spans="1:9" ht="13.5">
      <c r="A11447" s="128">
        <v>2021</v>
      </c>
      <c r="B11447" s="128" t="s">
        <v>138</v>
      </c>
      <c r="C11447" s="128" t="s">
        <v>23</v>
      </c>
      <c r="D11447" s="128" t="s">
        <v>77</v>
      </c>
      <c r="E11447" s="128" t="s">
        <v>133</v>
      </c>
      <c r="F11447" s="128">
        <v>1115647.77</v>
      </c>
      <c r="G11447" s="128">
        <v>603956.81000000006</v>
      </c>
      <c r="H11447" s="128">
        <v>439067.1</v>
      </c>
      <c r="I11447" s="128">
        <v>5217</v>
      </c>
    </row>
    <row r="11448" spans="1:9" ht="13.5">
      <c r="A11448" s="128">
        <v>2021</v>
      </c>
      <c r="B11448" s="128" t="s">
        <v>138</v>
      </c>
      <c r="C11448" s="128" t="s">
        <v>23</v>
      </c>
      <c r="D11448" s="128" t="s">
        <v>77</v>
      </c>
      <c r="E11448" s="128" t="s">
        <v>134</v>
      </c>
      <c r="F11448" s="128">
        <v>9077276.8499999996</v>
      </c>
      <c r="G11448" s="128">
        <v>3808173.6</v>
      </c>
      <c r="H11448" s="128">
        <v>3995292.9</v>
      </c>
      <c r="I11448" s="128">
        <v>12913</v>
      </c>
    </row>
    <row r="11449" spans="1:9" ht="13.5">
      <c r="A11449" s="128">
        <v>2021</v>
      </c>
      <c r="B11449" s="128" t="s">
        <v>138</v>
      </c>
      <c r="C11449" s="128" t="s">
        <v>23</v>
      </c>
      <c r="D11449" s="128" t="s">
        <v>77</v>
      </c>
      <c r="E11449" s="128" t="s">
        <v>135</v>
      </c>
      <c r="F11449" s="128">
        <v>12162700.85</v>
      </c>
      <c r="G11449" s="128">
        <v>3430325.86</v>
      </c>
      <c r="H11449" s="128">
        <v>4078748.53</v>
      </c>
      <c r="I11449" s="128">
        <v>41323</v>
      </c>
    </row>
    <row r="11450" spans="1:9" ht="13.5">
      <c r="A11450" s="128">
        <v>2021</v>
      </c>
      <c r="B11450" s="128" t="s">
        <v>138</v>
      </c>
      <c r="C11450" s="128" t="s">
        <v>23</v>
      </c>
      <c r="D11450" s="128" t="s">
        <v>76</v>
      </c>
      <c r="E11450" s="128" t="s">
        <v>136</v>
      </c>
      <c r="F11450" s="128">
        <v>8308525.9900000002</v>
      </c>
      <c r="G11450" s="128">
        <v>6243945.3499999996</v>
      </c>
      <c r="H11450" s="128">
        <v>2064580.64</v>
      </c>
      <c r="I11450" s="128">
        <v>166722</v>
      </c>
    </row>
    <row r="11451" spans="1:9" ht="13.5">
      <c r="A11451" s="128">
        <v>2021</v>
      </c>
      <c r="B11451" s="128" t="s">
        <v>138</v>
      </c>
      <c r="C11451" s="128" t="s">
        <v>23</v>
      </c>
      <c r="D11451" s="128" t="s">
        <v>76</v>
      </c>
      <c r="E11451" s="128" t="s">
        <v>132</v>
      </c>
      <c r="F11451" s="128">
        <v>10477761.49</v>
      </c>
      <c r="G11451" s="128">
        <v>6594003.2000000002</v>
      </c>
      <c r="H11451" s="128">
        <v>3883749.16</v>
      </c>
      <c r="I11451" s="128">
        <v>83568</v>
      </c>
    </row>
    <row r="11452" spans="1:9" ht="13.5">
      <c r="A11452" s="128">
        <v>2021</v>
      </c>
      <c r="B11452" s="128" t="s">
        <v>138</v>
      </c>
      <c r="C11452" s="128" t="s">
        <v>23</v>
      </c>
      <c r="D11452" s="128" t="s">
        <v>76</v>
      </c>
      <c r="E11452" s="128" t="s">
        <v>133</v>
      </c>
      <c r="F11452" s="128">
        <v>31795240.73</v>
      </c>
      <c r="G11452" s="128">
        <v>17345991.280000001</v>
      </c>
      <c r="H11452" s="128">
        <v>14449228.59</v>
      </c>
      <c r="I11452" s="128">
        <v>234266</v>
      </c>
    </row>
    <row r="11453" spans="1:9" ht="13.5">
      <c r="A11453" s="128">
        <v>2021</v>
      </c>
      <c r="B11453" s="128" t="s">
        <v>138</v>
      </c>
      <c r="C11453" s="128" t="s">
        <v>23</v>
      </c>
      <c r="D11453" s="128" t="s">
        <v>76</v>
      </c>
      <c r="E11453" s="128" t="s">
        <v>134</v>
      </c>
      <c r="F11453" s="128">
        <v>43654582.439999998</v>
      </c>
      <c r="G11453" s="128">
        <v>19556438.43</v>
      </c>
      <c r="H11453" s="128">
        <v>24098126.489999998</v>
      </c>
      <c r="I11453" s="128">
        <v>175199</v>
      </c>
    </row>
    <row r="11454" spans="1:9" ht="13.5">
      <c r="A11454" s="128">
        <v>2021</v>
      </c>
      <c r="B11454" s="128" t="s">
        <v>138</v>
      </c>
      <c r="C11454" s="128" t="s">
        <v>23</v>
      </c>
      <c r="D11454" s="128" t="s">
        <v>76</v>
      </c>
      <c r="E11454" s="128" t="s">
        <v>135</v>
      </c>
      <c r="F11454" s="128">
        <v>1175483.72</v>
      </c>
      <c r="G11454" s="128">
        <v>319116.14</v>
      </c>
      <c r="H11454" s="128">
        <v>856367.58</v>
      </c>
      <c r="I11454" s="128">
        <v>974</v>
      </c>
    </row>
    <row r="11455" spans="1:9" ht="13.5">
      <c r="A11455" s="128">
        <v>2021</v>
      </c>
      <c r="B11455" s="128" t="s">
        <v>138</v>
      </c>
      <c r="C11455" s="128" t="s">
        <v>24</v>
      </c>
      <c r="D11455" s="128" t="s">
        <v>79</v>
      </c>
      <c r="E11455" s="128" t="s">
        <v>136</v>
      </c>
      <c r="F11455" s="128">
        <v>1531437.93</v>
      </c>
      <c r="G11455" s="128">
        <v>1148642.51</v>
      </c>
      <c r="H11455" s="128">
        <v>379185.62</v>
      </c>
      <c r="I11455" s="128">
        <v>19908</v>
      </c>
    </row>
    <row r="11456" spans="1:9" ht="13.5">
      <c r="A11456" s="128">
        <v>2021</v>
      </c>
      <c r="B11456" s="128" t="s">
        <v>138</v>
      </c>
      <c r="C11456" s="128" t="s">
        <v>24</v>
      </c>
      <c r="D11456" s="128" t="s">
        <v>79</v>
      </c>
      <c r="E11456" s="128" t="s">
        <v>132</v>
      </c>
      <c r="F11456" s="128">
        <v>257919.05</v>
      </c>
      <c r="G11456" s="128">
        <v>170910.28</v>
      </c>
      <c r="H11456" s="128">
        <v>57546.74</v>
      </c>
      <c r="I11456" s="128">
        <v>744</v>
      </c>
    </row>
    <row r="11457" spans="1:9" ht="13.5">
      <c r="A11457" s="128">
        <v>2021</v>
      </c>
      <c r="B11457" s="128" t="s">
        <v>138</v>
      </c>
      <c r="C11457" s="128" t="s">
        <v>24</v>
      </c>
      <c r="D11457" s="128" t="s">
        <v>79</v>
      </c>
      <c r="E11457" s="128" t="s">
        <v>133</v>
      </c>
      <c r="F11457" s="128">
        <v>430270.23</v>
      </c>
      <c r="G11457" s="128">
        <v>233741.03</v>
      </c>
      <c r="H11457" s="128">
        <v>80948.240000000005</v>
      </c>
      <c r="I11457" s="128">
        <v>1012</v>
      </c>
    </row>
    <row r="11458" spans="1:9" ht="13.5">
      <c r="A11458" s="128">
        <v>2021</v>
      </c>
      <c r="B11458" s="128" t="s">
        <v>138</v>
      </c>
      <c r="C11458" s="128" t="s">
        <v>24</v>
      </c>
      <c r="D11458" s="128" t="s">
        <v>79</v>
      </c>
      <c r="E11458" s="128" t="s">
        <v>134</v>
      </c>
      <c r="F11458" s="128">
        <v>1923944.31</v>
      </c>
      <c r="G11458" s="128">
        <v>843035.25</v>
      </c>
      <c r="H11458" s="128">
        <v>305553.91999999998</v>
      </c>
      <c r="I11458" s="128">
        <v>15827</v>
      </c>
    </row>
    <row r="11459" spans="1:9" ht="13.5">
      <c r="A11459" s="128">
        <v>2021</v>
      </c>
      <c r="B11459" s="128" t="s">
        <v>138</v>
      </c>
      <c r="C11459" s="128" t="s">
        <v>24</v>
      </c>
      <c r="D11459" s="128" t="s">
        <v>79</v>
      </c>
      <c r="E11459" s="128" t="s">
        <v>135</v>
      </c>
      <c r="F11459" s="128">
        <v>7319794.0300000003</v>
      </c>
      <c r="G11459" s="128">
        <v>1517183.68</v>
      </c>
      <c r="H11459" s="128">
        <v>538325.91</v>
      </c>
      <c r="I11459" s="128">
        <v>8012</v>
      </c>
    </row>
    <row r="11460" spans="1:9" ht="13.5">
      <c r="A11460" s="128">
        <v>2021</v>
      </c>
      <c r="B11460" s="128" t="s">
        <v>138</v>
      </c>
      <c r="C11460" s="128" t="s">
        <v>24</v>
      </c>
      <c r="D11460" s="128" t="s">
        <v>77</v>
      </c>
      <c r="E11460" s="128" t="s">
        <v>132</v>
      </c>
      <c r="F11460" s="128">
        <v>956624.26</v>
      </c>
      <c r="G11460" s="128">
        <v>623168.38</v>
      </c>
      <c r="H11460" s="128">
        <v>297738</v>
      </c>
      <c r="I11460" s="128">
        <v>4219</v>
      </c>
    </row>
    <row r="11461" spans="1:9" ht="13.5">
      <c r="A11461" s="128">
        <v>2021</v>
      </c>
      <c r="B11461" s="128" t="s">
        <v>138</v>
      </c>
      <c r="C11461" s="128" t="s">
        <v>24</v>
      </c>
      <c r="D11461" s="128" t="s">
        <v>77</v>
      </c>
      <c r="E11461" s="128" t="s">
        <v>133</v>
      </c>
      <c r="F11461" s="128">
        <v>2826153.43</v>
      </c>
      <c r="G11461" s="128">
        <v>1511240.21</v>
      </c>
      <c r="H11461" s="128">
        <v>1113071.1399999999</v>
      </c>
      <c r="I11461" s="128">
        <v>23825</v>
      </c>
    </row>
    <row r="11462" spans="1:9" ht="13.5">
      <c r="A11462" s="128">
        <v>2021</v>
      </c>
      <c r="B11462" s="128" t="s">
        <v>138</v>
      </c>
      <c r="C11462" s="128" t="s">
        <v>24</v>
      </c>
      <c r="D11462" s="128" t="s">
        <v>77</v>
      </c>
      <c r="E11462" s="128" t="s">
        <v>134</v>
      </c>
      <c r="F11462" s="128">
        <v>8939587.4299999997</v>
      </c>
      <c r="G11462" s="128">
        <v>3950340.46</v>
      </c>
      <c r="H11462" s="128">
        <v>3623222.64</v>
      </c>
      <c r="I11462" s="128">
        <v>15930</v>
      </c>
    </row>
    <row r="11463" spans="1:9" ht="13.5">
      <c r="A11463" s="128">
        <v>2021</v>
      </c>
      <c r="B11463" s="128" t="s">
        <v>138</v>
      </c>
      <c r="C11463" s="128" t="s">
        <v>24</v>
      </c>
      <c r="D11463" s="128" t="s">
        <v>77</v>
      </c>
      <c r="E11463" s="128" t="s">
        <v>135</v>
      </c>
      <c r="F11463" s="128">
        <v>17807025.140000001</v>
      </c>
      <c r="G11463" s="128">
        <v>4385683.79</v>
      </c>
      <c r="H11463" s="128">
        <v>3168909.02</v>
      </c>
      <c r="I11463" s="128">
        <v>43503</v>
      </c>
    </row>
    <row r="11464" spans="1:9" ht="13.5">
      <c r="A11464" s="128">
        <v>2021</v>
      </c>
      <c r="B11464" s="128" t="s">
        <v>138</v>
      </c>
      <c r="C11464" s="128" t="s">
        <v>24</v>
      </c>
      <c r="D11464" s="128" t="s">
        <v>76</v>
      </c>
      <c r="E11464" s="128" t="s">
        <v>136</v>
      </c>
      <c r="F11464" s="128">
        <v>10430306.5</v>
      </c>
      <c r="G11464" s="128">
        <v>7834612.1699999999</v>
      </c>
      <c r="H11464" s="128">
        <v>2595694.33</v>
      </c>
      <c r="I11464" s="128">
        <v>159457</v>
      </c>
    </row>
    <row r="11465" spans="1:9" ht="13.5">
      <c r="A11465" s="128">
        <v>2021</v>
      </c>
      <c r="B11465" s="128" t="s">
        <v>138</v>
      </c>
      <c r="C11465" s="128" t="s">
        <v>24</v>
      </c>
      <c r="D11465" s="128" t="s">
        <v>76</v>
      </c>
      <c r="E11465" s="128" t="s">
        <v>132</v>
      </c>
      <c r="F11465" s="128">
        <v>11885732.93</v>
      </c>
      <c r="G11465" s="128">
        <v>7698202.1100000003</v>
      </c>
      <c r="H11465" s="128">
        <v>4187512.75</v>
      </c>
      <c r="I11465" s="128">
        <v>81551</v>
      </c>
    </row>
    <row r="11466" spans="1:9" ht="13.5">
      <c r="A11466" s="128">
        <v>2021</v>
      </c>
      <c r="B11466" s="128" t="s">
        <v>138</v>
      </c>
      <c r="C11466" s="128" t="s">
        <v>24</v>
      </c>
      <c r="D11466" s="128" t="s">
        <v>76</v>
      </c>
      <c r="E11466" s="128" t="s">
        <v>133</v>
      </c>
      <c r="F11466" s="128">
        <v>49376167.509999998</v>
      </c>
      <c r="G11466" s="128">
        <v>27143442.629999999</v>
      </c>
      <c r="H11466" s="128">
        <v>22232720.649999999</v>
      </c>
      <c r="I11466" s="128">
        <v>337448</v>
      </c>
    </row>
    <row r="11467" spans="1:9" ht="13.5">
      <c r="A11467" s="128">
        <v>2021</v>
      </c>
      <c r="B11467" s="128" t="s">
        <v>138</v>
      </c>
      <c r="C11467" s="128" t="s">
        <v>24</v>
      </c>
      <c r="D11467" s="128" t="s">
        <v>76</v>
      </c>
      <c r="E11467" s="128" t="s">
        <v>134</v>
      </c>
      <c r="F11467" s="128">
        <v>58039151.93</v>
      </c>
      <c r="G11467" s="128">
        <v>25951440.510000002</v>
      </c>
      <c r="H11467" s="128">
        <v>32087702.870000001</v>
      </c>
      <c r="I11467" s="128">
        <v>256752</v>
      </c>
    </row>
    <row r="11468" spans="1:9" ht="13.5">
      <c r="A11468" s="128">
        <v>2021</v>
      </c>
      <c r="B11468" s="128" t="s">
        <v>138</v>
      </c>
      <c r="C11468" s="128" t="s">
        <v>24</v>
      </c>
      <c r="D11468" s="128" t="s">
        <v>76</v>
      </c>
      <c r="E11468" s="128" t="s">
        <v>135</v>
      </c>
      <c r="F11468" s="128">
        <v>2382797.12</v>
      </c>
      <c r="G11468" s="128">
        <v>643587.37</v>
      </c>
      <c r="H11468" s="128">
        <v>1739209.75</v>
      </c>
      <c r="I11468" s="128">
        <v>1922</v>
      </c>
    </row>
    <row r="11469" spans="1:9" ht="13.5">
      <c r="A11469" s="128">
        <v>2021</v>
      </c>
      <c r="B11469" s="128" t="s">
        <v>138</v>
      </c>
      <c r="C11469" s="128" t="s">
        <v>25</v>
      </c>
      <c r="D11469" s="128" t="s">
        <v>79</v>
      </c>
      <c r="E11469" s="128" t="s">
        <v>136</v>
      </c>
      <c r="F11469" s="128">
        <v>431535.75</v>
      </c>
      <c r="G11469" s="128">
        <v>323953.98</v>
      </c>
      <c r="H11469" s="128">
        <v>107120.47</v>
      </c>
      <c r="I11469" s="128">
        <v>3650</v>
      </c>
    </row>
    <row r="11470" spans="1:9" ht="13.5">
      <c r="A11470" s="128">
        <v>2021</v>
      </c>
      <c r="B11470" s="128" t="s">
        <v>138</v>
      </c>
      <c r="C11470" s="128" t="s">
        <v>25</v>
      </c>
      <c r="D11470" s="128" t="s">
        <v>79</v>
      </c>
      <c r="E11470" s="128" t="s">
        <v>132</v>
      </c>
      <c r="F11470" s="128">
        <v>91894.86</v>
      </c>
      <c r="G11470" s="128">
        <v>61998.879999999997</v>
      </c>
      <c r="H11470" s="128">
        <v>20617.669999999998</v>
      </c>
      <c r="I11470" s="128">
        <v>326</v>
      </c>
    </row>
    <row r="11471" spans="1:9" ht="13.5">
      <c r="A11471" s="128">
        <v>2021</v>
      </c>
      <c r="B11471" s="128" t="s">
        <v>138</v>
      </c>
      <c r="C11471" s="128" t="s">
        <v>25</v>
      </c>
      <c r="D11471" s="128" t="s">
        <v>79</v>
      </c>
      <c r="E11471" s="128" t="s">
        <v>133</v>
      </c>
      <c r="F11471" s="128">
        <v>59800.98</v>
      </c>
      <c r="G11471" s="128">
        <v>32152.87</v>
      </c>
      <c r="H11471" s="128">
        <v>11725.05</v>
      </c>
      <c r="I11471" s="128">
        <v>186</v>
      </c>
    </row>
    <row r="11472" spans="1:9" ht="13.5">
      <c r="A11472" s="128">
        <v>2021</v>
      </c>
      <c r="B11472" s="128" t="s">
        <v>138</v>
      </c>
      <c r="C11472" s="128" t="s">
        <v>25</v>
      </c>
      <c r="D11472" s="128" t="s">
        <v>79</v>
      </c>
      <c r="E11472" s="128" t="s">
        <v>134</v>
      </c>
      <c r="F11472" s="128">
        <v>185517.54</v>
      </c>
      <c r="G11472" s="128">
        <v>79577.77</v>
      </c>
      <c r="H11472" s="128">
        <v>34446.080000000002</v>
      </c>
      <c r="I11472" s="128">
        <v>451</v>
      </c>
    </row>
    <row r="11473" spans="1:9" ht="13.5">
      <c r="A11473" s="128">
        <v>2021</v>
      </c>
      <c r="B11473" s="128" t="s">
        <v>138</v>
      </c>
      <c r="C11473" s="128" t="s">
        <v>25</v>
      </c>
      <c r="D11473" s="128" t="s">
        <v>79</v>
      </c>
      <c r="E11473" s="128" t="s">
        <v>135</v>
      </c>
      <c r="F11473" s="128">
        <v>1765287.93</v>
      </c>
      <c r="G11473" s="128">
        <v>396447.43</v>
      </c>
      <c r="H11473" s="128">
        <v>146037.82999999999</v>
      </c>
      <c r="I11473" s="128">
        <v>1402</v>
      </c>
    </row>
    <row r="11474" spans="1:9" ht="13.5">
      <c r="A11474" s="128">
        <v>2021</v>
      </c>
      <c r="B11474" s="128" t="s">
        <v>138</v>
      </c>
      <c r="C11474" s="128" t="s">
        <v>25</v>
      </c>
      <c r="D11474" s="128" t="s">
        <v>77</v>
      </c>
      <c r="E11474" s="128" t="s">
        <v>132</v>
      </c>
      <c r="F11474" s="128">
        <v>135851.04999999999</v>
      </c>
      <c r="G11474" s="128">
        <v>90425.27</v>
      </c>
      <c r="H11474" s="128">
        <v>37222.79</v>
      </c>
      <c r="I11474" s="128">
        <v>653</v>
      </c>
    </row>
    <row r="11475" spans="1:9" ht="13.5">
      <c r="A11475" s="128">
        <v>2021</v>
      </c>
      <c r="B11475" s="128" t="s">
        <v>138</v>
      </c>
      <c r="C11475" s="128" t="s">
        <v>25</v>
      </c>
      <c r="D11475" s="128" t="s">
        <v>77</v>
      </c>
      <c r="E11475" s="128" t="s">
        <v>133</v>
      </c>
      <c r="F11475" s="128">
        <v>347100.97</v>
      </c>
      <c r="G11475" s="128">
        <v>186680.13</v>
      </c>
      <c r="H11475" s="128">
        <v>148957.15</v>
      </c>
      <c r="I11475" s="128">
        <v>1543</v>
      </c>
    </row>
    <row r="11476" spans="1:9" ht="13.5">
      <c r="A11476" s="128">
        <v>2021</v>
      </c>
      <c r="B11476" s="128" t="s">
        <v>138</v>
      </c>
      <c r="C11476" s="128" t="s">
        <v>25</v>
      </c>
      <c r="D11476" s="128" t="s">
        <v>77</v>
      </c>
      <c r="E11476" s="128" t="s">
        <v>134</v>
      </c>
      <c r="F11476" s="128">
        <v>2175471.62</v>
      </c>
      <c r="G11476" s="128">
        <v>921885.74</v>
      </c>
      <c r="H11476" s="128">
        <v>985104.15</v>
      </c>
      <c r="I11476" s="128">
        <v>2994</v>
      </c>
    </row>
    <row r="11477" spans="1:9" ht="13.5">
      <c r="A11477" s="128">
        <v>2021</v>
      </c>
      <c r="B11477" s="128" t="s">
        <v>138</v>
      </c>
      <c r="C11477" s="128" t="s">
        <v>25</v>
      </c>
      <c r="D11477" s="128" t="s">
        <v>77</v>
      </c>
      <c r="E11477" s="128" t="s">
        <v>135</v>
      </c>
      <c r="F11477" s="128">
        <v>3114334.42</v>
      </c>
      <c r="G11477" s="128">
        <v>834018.88</v>
      </c>
      <c r="H11477" s="128">
        <v>966786.12</v>
      </c>
      <c r="I11477" s="128">
        <v>6987</v>
      </c>
    </row>
    <row r="11478" spans="1:9" ht="13.5">
      <c r="A11478" s="128">
        <v>2021</v>
      </c>
      <c r="B11478" s="128" t="s">
        <v>138</v>
      </c>
      <c r="C11478" s="128" t="s">
        <v>25</v>
      </c>
      <c r="D11478" s="128" t="s">
        <v>76</v>
      </c>
      <c r="E11478" s="128" t="s">
        <v>136</v>
      </c>
      <c r="F11478" s="128">
        <v>2187877.2999999998</v>
      </c>
      <c r="G11478" s="128">
        <v>1642207.81</v>
      </c>
      <c r="H11478" s="128">
        <v>545669.49</v>
      </c>
      <c r="I11478" s="128">
        <v>44430</v>
      </c>
    </row>
    <row r="11479" spans="1:9" ht="13.5">
      <c r="A11479" s="128">
        <v>2021</v>
      </c>
      <c r="B11479" s="128" t="s">
        <v>138</v>
      </c>
      <c r="C11479" s="128" t="s">
        <v>25</v>
      </c>
      <c r="D11479" s="128" t="s">
        <v>76</v>
      </c>
      <c r="E11479" s="128" t="s">
        <v>132</v>
      </c>
      <c r="F11479" s="128">
        <v>3387972.93</v>
      </c>
      <c r="G11479" s="128">
        <v>2148565.34</v>
      </c>
      <c r="H11479" s="128">
        <v>1239407.5900000001</v>
      </c>
      <c r="I11479" s="128">
        <v>23335</v>
      </c>
    </row>
    <row r="11480" spans="1:9" ht="13.5">
      <c r="A11480" s="128">
        <v>2021</v>
      </c>
      <c r="B11480" s="128" t="s">
        <v>138</v>
      </c>
      <c r="C11480" s="128" t="s">
        <v>25</v>
      </c>
      <c r="D11480" s="128" t="s">
        <v>76</v>
      </c>
      <c r="E11480" s="128" t="s">
        <v>133</v>
      </c>
      <c r="F11480" s="128">
        <v>9538334.0700000003</v>
      </c>
      <c r="G11480" s="128">
        <v>5216174.58</v>
      </c>
      <c r="H11480" s="128">
        <v>4322158.53</v>
      </c>
      <c r="I11480" s="128">
        <v>59162</v>
      </c>
    </row>
    <row r="11481" spans="1:9" ht="13.5">
      <c r="A11481" s="128">
        <v>2021</v>
      </c>
      <c r="B11481" s="128" t="s">
        <v>138</v>
      </c>
      <c r="C11481" s="128" t="s">
        <v>25</v>
      </c>
      <c r="D11481" s="128" t="s">
        <v>76</v>
      </c>
      <c r="E11481" s="128" t="s">
        <v>134</v>
      </c>
      <c r="F11481" s="128">
        <v>11894316.970000001</v>
      </c>
      <c r="G11481" s="128">
        <v>5456252.8700000001</v>
      </c>
      <c r="H11481" s="128">
        <v>6438062.0899999999</v>
      </c>
      <c r="I11481" s="128">
        <v>54874</v>
      </c>
    </row>
    <row r="11482" spans="1:9" ht="13.5">
      <c r="A11482" s="128">
        <v>2021</v>
      </c>
      <c r="B11482" s="128" t="s">
        <v>138</v>
      </c>
      <c r="C11482" s="128" t="s">
        <v>25</v>
      </c>
      <c r="D11482" s="128" t="s">
        <v>76</v>
      </c>
      <c r="E11482" s="128" t="s">
        <v>135</v>
      </c>
      <c r="F11482" s="128">
        <v>379669.66</v>
      </c>
      <c r="G11482" s="128">
        <v>106150.18</v>
      </c>
      <c r="H11482" s="128">
        <v>273519.48</v>
      </c>
      <c r="I11482" s="128">
        <v>315</v>
      </c>
    </row>
    <row r="11483" spans="1:9" ht="13.5">
      <c r="A11483" s="128">
        <v>2021</v>
      </c>
      <c r="B11483" s="128" t="s">
        <v>138</v>
      </c>
      <c r="C11483" s="128" t="s">
        <v>26</v>
      </c>
      <c r="D11483" s="128" t="s">
        <v>79</v>
      </c>
      <c r="E11483" s="128" t="s">
        <v>136</v>
      </c>
      <c r="F11483" s="128">
        <v>415059.64</v>
      </c>
      <c r="G11483" s="128">
        <v>297148.89</v>
      </c>
      <c r="H11483" s="128">
        <v>98518.89</v>
      </c>
      <c r="I11483" s="128">
        <v>3703</v>
      </c>
    </row>
    <row r="11484" spans="1:9" ht="13.5">
      <c r="A11484" s="128">
        <v>2021</v>
      </c>
      <c r="B11484" s="128" t="s">
        <v>138</v>
      </c>
      <c r="C11484" s="128" t="s">
        <v>26</v>
      </c>
      <c r="D11484" s="128" t="s">
        <v>79</v>
      </c>
      <c r="E11484" s="128" t="s">
        <v>132</v>
      </c>
      <c r="F11484" s="128">
        <v>64865.11</v>
      </c>
      <c r="G11484" s="128">
        <v>43964.37</v>
      </c>
      <c r="H11484" s="128">
        <v>15017.21</v>
      </c>
      <c r="I11484" s="128">
        <v>260</v>
      </c>
    </row>
    <row r="11485" spans="1:9" ht="13.5">
      <c r="A11485" s="128">
        <v>2021</v>
      </c>
      <c r="B11485" s="128" t="s">
        <v>138</v>
      </c>
      <c r="C11485" s="128" t="s">
        <v>26</v>
      </c>
      <c r="D11485" s="128" t="s">
        <v>79</v>
      </c>
      <c r="E11485" s="128" t="s">
        <v>133</v>
      </c>
      <c r="F11485" s="128">
        <v>109267.92</v>
      </c>
      <c r="G11485" s="128">
        <v>58705.2</v>
      </c>
      <c r="H11485" s="128">
        <v>19507.669999999998</v>
      </c>
      <c r="I11485" s="128">
        <v>142</v>
      </c>
    </row>
    <row r="11486" spans="1:9" ht="13.5">
      <c r="A11486" s="128">
        <v>2021</v>
      </c>
      <c r="B11486" s="128" t="s">
        <v>138</v>
      </c>
      <c r="C11486" s="128" t="s">
        <v>26</v>
      </c>
      <c r="D11486" s="128" t="s">
        <v>79</v>
      </c>
      <c r="E11486" s="128" t="s">
        <v>134</v>
      </c>
      <c r="F11486" s="128">
        <v>327481.3</v>
      </c>
      <c r="G11486" s="128">
        <v>139147.24</v>
      </c>
      <c r="H11486" s="128">
        <v>46507.45</v>
      </c>
      <c r="I11486" s="128">
        <v>1424</v>
      </c>
    </row>
    <row r="11487" spans="1:9" ht="13.5">
      <c r="A11487" s="128">
        <v>2021</v>
      </c>
      <c r="B11487" s="128" t="s">
        <v>138</v>
      </c>
      <c r="C11487" s="128" t="s">
        <v>26</v>
      </c>
      <c r="D11487" s="128" t="s">
        <v>79</v>
      </c>
      <c r="E11487" s="128" t="s">
        <v>135</v>
      </c>
      <c r="F11487" s="128">
        <v>6471590.4199999999</v>
      </c>
      <c r="G11487" s="128">
        <v>1388667.16</v>
      </c>
      <c r="H11487" s="128">
        <v>474108.49</v>
      </c>
      <c r="I11487" s="128">
        <v>5531</v>
      </c>
    </row>
    <row r="11488" spans="1:9" ht="13.5">
      <c r="A11488" s="128">
        <v>2021</v>
      </c>
      <c r="B11488" s="128" t="s">
        <v>138</v>
      </c>
      <c r="C11488" s="128" t="s">
        <v>26</v>
      </c>
      <c r="D11488" s="128" t="s">
        <v>77</v>
      </c>
      <c r="E11488" s="128" t="s">
        <v>132</v>
      </c>
      <c r="F11488" s="128">
        <v>112156.47</v>
      </c>
      <c r="G11488" s="128">
        <v>73974.8</v>
      </c>
      <c r="H11488" s="128">
        <v>33462.01</v>
      </c>
      <c r="I11488" s="128">
        <v>415</v>
      </c>
    </row>
    <row r="11489" spans="1:9" ht="13.5">
      <c r="A11489" s="128">
        <v>2021</v>
      </c>
      <c r="B11489" s="128" t="s">
        <v>138</v>
      </c>
      <c r="C11489" s="128" t="s">
        <v>26</v>
      </c>
      <c r="D11489" s="128" t="s">
        <v>77</v>
      </c>
      <c r="E11489" s="128" t="s">
        <v>133</v>
      </c>
      <c r="F11489" s="128">
        <v>201808.34</v>
      </c>
      <c r="G11489" s="128">
        <v>109407.12</v>
      </c>
      <c r="H11489" s="128">
        <v>78914.91</v>
      </c>
      <c r="I11489" s="128">
        <v>452</v>
      </c>
    </row>
    <row r="11490" spans="1:9" ht="13.5">
      <c r="A11490" s="128">
        <v>2021</v>
      </c>
      <c r="B11490" s="128" t="s">
        <v>138</v>
      </c>
      <c r="C11490" s="128" t="s">
        <v>26</v>
      </c>
      <c r="D11490" s="128" t="s">
        <v>77</v>
      </c>
      <c r="E11490" s="128" t="s">
        <v>134</v>
      </c>
      <c r="F11490" s="128">
        <v>518019.05</v>
      </c>
      <c r="G11490" s="128">
        <v>221754.43</v>
      </c>
      <c r="H11490" s="128">
        <v>211706.65</v>
      </c>
      <c r="I11490" s="128">
        <v>1131</v>
      </c>
    </row>
    <row r="11491" spans="1:9" ht="13.5">
      <c r="A11491" s="128">
        <v>2021</v>
      </c>
      <c r="B11491" s="128" t="s">
        <v>138</v>
      </c>
      <c r="C11491" s="128" t="s">
        <v>26</v>
      </c>
      <c r="D11491" s="128" t="s">
        <v>77</v>
      </c>
      <c r="E11491" s="128" t="s">
        <v>135</v>
      </c>
      <c r="F11491" s="128">
        <v>4755873.97</v>
      </c>
      <c r="G11491" s="128">
        <v>1215326.3500000001</v>
      </c>
      <c r="H11491" s="128">
        <v>1121438.46</v>
      </c>
      <c r="I11491" s="128">
        <v>14613</v>
      </c>
    </row>
    <row r="11492" spans="1:9" ht="13.5">
      <c r="A11492" s="128">
        <v>2021</v>
      </c>
      <c r="B11492" s="128" t="s">
        <v>138</v>
      </c>
      <c r="C11492" s="128" t="s">
        <v>26</v>
      </c>
      <c r="D11492" s="128" t="s">
        <v>76</v>
      </c>
      <c r="E11492" s="128" t="s">
        <v>136</v>
      </c>
      <c r="F11492" s="128">
        <v>516943.53</v>
      </c>
      <c r="G11492" s="128">
        <v>388387.32</v>
      </c>
      <c r="H11492" s="128">
        <v>128556.21</v>
      </c>
      <c r="I11492" s="128">
        <v>13433</v>
      </c>
    </row>
    <row r="11493" spans="1:9" ht="13.5">
      <c r="A11493" s="128">
        <v>2021</v>
      </c>
      <c r="B11493" s="128" t="s">
        <v>138</v>
      </c>
      <c r="C11493" s="128" t="s">
        <v>26</v>
      </c>
      <c r="D11493" s="128" t="s">
        <v>76</v>
      </c>
      <c r="E11493" s="128" t="s">
        <v>132</v>
      </c>
      <c r="F11493" s="128">
        <v>2149625.25</v>
      </c>
      <c r="G11493" s="128">
        <v>1370345.26</v>
      </c>
      <c r="H11493" s="128">
        <v>779278.02</v>
      </c>
      <c r="I11493" s="128">
        <v>17063</v>
      </c>
    </row>
    <row r="11494" spans="1:9" ht="13.5">
      <c r="A11494" s="128">
        <v>2021</v>
      </c>
      <c r="B11494" s="128" t="s">
        <v>138</v>
      </c>
      <c r="C11494" s="128" t="s">
        <v>26</v>
      </c>
      <c r="D11494" s="128" t="s">
        <v>76</v>
      </c>
      <c r="E11494" s="128" t="s">
        <v>133</v>
      </c>
      <c r="F11494" s="128">
        <v>4463615.18</v>
      </c>
      <c r="G11494" s="128">
        <v>2519638.77</v>
      </c>
      <c r="H11494" s="128">
        <v>1943972.07</v>
      </c>
      <c r="I11494" s="128">
        <v>34841</v>
      </c>
    </row>
    <row r="11495" spans="1:9" ht="13.5">
      <c r="A11495" s="128">
        <v>2021</v>
      </c>
      <c r="B11495" s="128" t="s">
        <v>138</v>
      </c>
      <c r="C11495" s="128" t="s">
        <v>26</v>
      </c>
      <c r="D11495" s="128" t="s">
        <v>76</v>
      </c>
      <c r="E11495" s="128" t="s">
        <v>134</v>
      </c>
      <c r="F11495" s="128">
        <v>3214663.63</v>
      </c>
      <c r="G11495" s="128">
        <v>1482863.95</v>
      </c>
      <c r="H11495" s="128">
        <v>1731370.22</v>
      </c>
      <c r="I11495" s="128">
        <v>17677</v>
      </c>
    </row>
    <row r="11496" spans="1:9" ht="13.5">
      <c r="A11496" s="128">
        <v>2021</v>
      </c>
      <c r="B11496" s="128" t="s">
        <v>138</v>
      </c>
      <c r="C11496" s="128" t="s">
        <v>26</v>
      </c>
      <c r="D11496" s="128" t="s">
        <v>76</v>
      </c>
      <c r="E11496" s="128" t="s">
        <v>135</v>
      </c>
      <c r="F11496" s="128">
        <v>298657.03000000003</v>
      </c>
      <c r="G11496" s="128">
        <v>96429.98</v>
      </c>
      <c r="H11496" s="128">
        <v>202227.05</v>
      </c>
      <c r="I11496" s="128">
        <v>723</v>
      </c>
    </row>
    <row r="11497" spans="1:9" ht="13.5">
      <c r="A11497" s="128">
        <v>2021</v>
      </c>
      <c r="B11497" s="128" t="s">
        <v>138</v>
      </c>
      <c r="C11497" s="128" t="s">
        <v>27</v>
      </c>
      <c r="D11497" s="128" t="s">
        <v>79</v>
      </c>
      <c r="E11497" s="128" t="s">
        <v>136</v>
      </c>
      <c r="F11497" s="128">
        <v>222738.17</v>
      </c>
      <c r="G11497" s="128">
        <v>166584.79</v>
      </c>
      <c r="H11497" s="128">
        <v>55203.38</v>
      </c>
      <c r="I11497" s="128">
        <v>1286</v>
      </c>
    </row>
    <row r="11498" spans="1:9" ht="13.5">
      <c r="A11498" s="128">
        <v>2021</v>
      </c>
      <c r="B11498" s="128" t="s">
        <v>138</v>
      </c>
      <c r="C11498" s="128" t="s">
        <v>27</v>
      </c>
      <c r="D11498" s="128" t="s">
        <v>79</v>
      </c>
      <c r="E11498" s="128" t="s">
        <v>132</v>
      </c>
      <c r="F11498" s="128">
        <v>13392.95</v>
      </c>
      <c r="G11498" s="128">
        <v>9035.33</v>
      </c>
      <c r="H11498" s="128">
        <v>2993.8</v>
      </c>
      <c r="I11498" s="128">
        <v>26</v>
      </c>
    </row>
    <row r="11499" spans="1:9" ht="13.5">
      <c r="A11499" s="128">
        <v>2021</v>
      </c>
      <c r="B11499" s="128" t="s">
        <v>138</v>
      </c>
      <c r="C11499" s="128" t="s">
        <v>27</v>
      </c>
      <c r="D11499" s="128" t="s">
        <v>79</v>
      </c>
      <c r="E11499" s="128" t="s">
        <v>133</v>
      </c>
      <c r="F11499" s="128">
        <v>27280.7</v>
      </c>
      <c r="G11499" s="128">
        <v>14525.76</v>
      </c>
      <c r="H11499" s="128">
        <v>4840.1000000000004</v>
      </c>
      <c r="I11499" s="128">
        <v>66</v>
      </c>
    </row>
    <row r="11500" spans="1:9" ht="13.5">
      <c r="A11500" s="128">
        <v>2021</v>
      </c>
      <c r="B11500" s="128" t="s">
        <v>138</v>
      </c>
      <c r="C11500" s="128" t="s">
        <v>27</v>
      </c>
      <c r="D11500" s="128" t="s">
        <v>79</v>
      </c>
      <c r="E11500" s="128" t="s">
        <v>134</v>
      </c>
      <c r="F11500" s="128">
        <v>49326.01</v>
      </c>
      <c r="G11500" s="128">
        <v>21145.01</v>
      </c>
      <c r="H11500" s="128">
        <v>7044.45</v>
      </c>
      <c r="I11500" s="128">
        <v>145</v>
      </c>
    </row>
    <row r="11501" spans="1:9" ht="13.5">
      <c r="A11501" s="128">
        <v>2021</v>
      </c>
      <c r="B11501" s="128" t="s">
        <v>138</v>
      </c>
      <c r="C11501" s="128" t="s">
        <v>27</v>
      </c>
      <c r="D11501" s="128" t="s">
        <v>79</v>
      </c>
      <c r="E11501" s="128" t="s">
        <v>135</v>
      </c>
      <c r="F11501" s="128">
        <v>1136718.8400000001</v>
      </c>
      <c r="G11501" s="128">
        <v>260309.15</v>
      </c>
      <c r="H11501" s="128">
        <v>86918.53</v>
      </c>
      <c r="I11501" s="128">
        <v>754</v>
      </c>
    </row>
    <row r="11502" spans="1:9" ht="13.5">
      <c r="A11502" s="128">
        <v>2021</v>
      </c>
      <c r="B11502" s="128" t="s">
        <v>138</v>
      </c>
      <c r="C11502" s="128" t="s">
        <v>27</v>
      </c>
      <c r="D11502" s="128" t="s">
        <v>77</v>
      </c>
      <c r="E11502" s="128" t="s">
        <v>132</v>
      </c>
      <c r="F11502" s="128">
        <v>20678.39</v>
      </c>
      <c r="G11502" s="128">
        <v>13246.48</v>
      </c>
      <c r="H11502" s="128">
        <v>5926.43</v>
      </c>
      <c r="I11502" s="128">
        <v>85</v>
      </c>
    </row>
    <row r="11503" spans="1:9" ht="13.5">
      <c r="A11503" s="128">
        <v>2021</v>
      </c>
      <c r="B11503" s="128" t="s">
        <v>138</v>
      </c>
      <c r="C11503" s="128" t="s">
        <v>27</v>
      </c>
      <c r="D11503" s="128" t="s">
        <v>77</v>
      </c>
      <c r="E11503" s="128" t="s">
        <v>133</v>
      </c>
      <c r="F11503" s="128">
        <v>110965.84</v>
      </c>
      <c r="G11503" s="128">
        <v>60937.21</v>
      </c>
      <c r="H11503" s="128">
        <v>46478.01</v>
      </c>
      <c r="I11503" s="128">
        <v>215</v>
      </c>
    </row>
    <row r="11504" spans="1:9" ht="13.5">
      <c r="A11504" s="128">
        <v>2021</v>
      </c>
      <c r="B11504" s="128" t="s">
        <v>138</v>
      </c>
      <c r="C11504" s="128" t="s">
        <v>27</v>
      </c>
      <c r="D11504" s="128" t="s">
        <v>77</v>
      </c>
      <c r="E11504" s="128" t="s">
        <v>134</v>
      </c>
      <c r="F11504" s="128">
        <v>281206.51</v>
      </c>
      <c r="G11504" s="128">
        <v>119165.21</v>
      </c>
      <c r="H11504" s="128">
        <v>119555.28</v>
      </c>
      <c r="I11504" s="128">
        <v>386</v>
      </c>
    </row>
    <row r="11505" spans="1:9" ht="13.5">
      <c r="A11505" s="128">
        <v>2021</v>
      </c>
      <c r="B11505" s="128" t="s">
        <v>138</v>
      </c>
      <c r="C11505" s="128" t="s">
        <v>27</v>
      </c>
      <c r="D11505" s="128" t="s">
        <v>77</v>
      </c>
      <c r="E11505" s="128" t="s">
        <v>135</v>
      </c>
      <c r="F11505" s="128">
        <v>462216.86</v>
      </c>
      <c r="G11505" s="128">
        <v>120872.59</v>
      </c>
      <c r="H11505" s="128">
        <v>129138.01</v>
      </c>
      <c r="I11505" s="128">
        <v>1318</v>
      </c>
    </row>
    <row r="11506" spans="1:9" ht="13.5">
      <c r="A11506" s="128">
        <v>2021</v>
      </c>
      <c r="B11506" s="128" t="s">
        <v>138</v>
      </c>
      <c r="C11506" s="128" t="s">
        <v>27</v>
      </c>
      <c r="D11506" s="128" t="s">
        <v>76</v>
      </c>
      <c r="E11506" s="128" t="s">
        <v>136</v>
      </c>
      <c r="F11506" s="128">
        <v>314484.67</v>
      </c>
      <c r="G11506" s="128">
        <v>235426.89</v>
      </c>
      <c r="H11506" s="128">
        <v>79057.78</v>
      </c>
      <c r="I11506" s="128">
        <v>4968</v>
      </c>
    </row>
    <row r="11507" spans="1:9" ht="13.5">
      <c r="A11507" s="128">
        <v>2021</v>
      </c>
      <c r="B11507" s="128" t="s">
        <v>138</v>
      </c>
      <c r="C11507" s="128" t="s">
        <v>27</v>
      </c>
      <c r="D11507" s="128" t="s">
        <v>76</v>
      </c>
      <c r="E11507" s="128" t="s">
        <v>132</v>
      </c>
      <c r="F11507" s="128">
        <v>534932.02</v>
      </c>
      <c r="G11507" s="128">
        <v>339579.05</v>
      </c>
      <c r="H11507" s="128">
        <v>195352.51</v>
      </c>
      <c r="I11507" s="128">
        <v>3663</v>
      </c>
    </row>
    <row r="11508" spans="1:9" ht="13.5">
      <c r="A11508" s="128">
        <v>2021</v>
      </c>
      <c r="B11508" s="128" t="s">
        <v>138</v>
      </c>
      <c r="C11508" s="128" t="s">
        <v>27</v>
      </c>
      <c r="D11508" s="128" t="s">
        <v>76</v>
      </c>
      <c r="E11508" s="128" t="s">
        <v>133</v>
      </c>
      <c r="F11508" s="128">
        <v>1249645.29</v>
      </c>
      <c r="G11508" s="128">
        <v>680085.07</v>
      </c>
      <c r="H11508" s="128">
        <v>569558.91</v>
      </c>
      <c r="I11508" s="128">
        <v>6174</v>
      </c>
    </row>
    <row r="11509" spans="1:9" ht="13.5">
      <c r="A11509" s="128">
        <v>2021</v>
      </c>
      <c r="B11509" s="128" t="s">
        <v>138</v>
      </c>
      <c r="C11509" s="128" t="s">
        <v>27</v>
      </c>
      <c r="D11509" s="128" t="s">
        <v>76</v>
      </c>
      <c r="E11509" s="128" t="s">
        <v>134</v>
      </c>
      <c r="F11509" s="128">
        <v>1919977.08</v>
      </c>
      <c r="G11509" s="128">
        <v>881197.65</v>
      </c>
      <c r="H11509" s="128">
        <v>1038776.94</v>
      </c>
      <c r="I11509" s="128">
        <v>9362</v>
      </c>
    </row>
    <row r="11510" spans="1:9" ht="13.5">
      <c r="A11510" s="128">
        <v>2021</v>
      </c>
      <c r="B11510" s="128" t="s">
        <v>138</v>
      </c>
      <c r="C11510" s="128" t="s">
        <v>27</v>
      </c>
      <c r="D11510" s="128" t="s">
        <v>76</v>
      </c>
      <c r="E11510" s="128" t="s">
        <v>135</v>
      </c>
      <c r="F11510" s="128">
        <v>68330.09</v>
      </c>
      <c r="G11510" s="128">
        <v>21528.93</v>
      </c>
      <c r="H11510" s="128">
        <v>46801.16</v>
      </c>
      <c r="I11510" s="128">
        <v>98</v>
      </c>
    </row>
    <row r="11511" spans="1:9" ht="13.5">
      <c r="A11511" s="128">
        <v>2021</v>
      </c>
      <c r="B11511" s="128" t="s">
        <v>139</v>
      </c>
      <c r="C11511" s="128" t="s">
        <v>20</v>
      </c>
      <c r="D11511" s="128" t="s">
        <v>79</v>
      </c>
      <c r="E11511" s="128" t="s">
        <v>136</v>
      </c>
      <c r="F11511" s="128">
        <v>26929328.989999998</v>
      </c>
      <c r="G11511" s="128">
        <v>20171360.52</v>
      </c>
      <c r="H11511" s="128">
        <v>6740809.2699999996</v>
      </c>
      <c r="I11511" s="128">
        <v>244944</v>
      </c>
    </row>
    <row r="11512" spans="1:9" ht="13.5">
      <c r="A11512" s="128">
        <v>2021</v>
      </c>
      <c r="B11512" s="128" t="s">
        <v>139</v>
      </c>
      <c r="C11512" s="128" t="s">
        <v>20</v>
      </c>
      <c r="D11512" s="128" t="s">
        <v>79</v>
      </c>
      <c r="E11512" s="128" t="s">
        <v>132</v>
      </c>
      <c r="F11512" s="128">
        <v>2635899.31</v>
      </c>
      <c r="G11512" s="128">
        <v>1797958.78</v>
      </c>
      <c r="H11512" s="128">
        <v>627308.54</v>
      </c>
      <c r="I11512" s="128">
        <v>10055</v>
      </c>
    </row>
    <row r="11513" spans="1:9" ht="13.5">
      <c r="A11513" s="128">
        <v>2021</v>
      </c>
      <c r="B11513" s="128" t="s">
        <v>139</v>
      </c>
      <c r="C11513" s="128" t="s">
        <v>20</v>
      </c>
      <c r="D11513" s="128" t="s">
        <v>79</v>
      </c>
      <c r="E11513" s="128" t="s">
        <v>133</v>
      </c>
      <c r="F11513" s="128">
        <v>1618084.45</v>
      </c>
      <c r="G11513" s="128">
        <v>879210.82</v>
      </c>
      <c r="H11513" s="128">
        <v>294542.34999999998</v>
      </c>
      <c r="I11513" s="128">
        <v>4479</v>
      </c>
    </row>
    <row r="11514" spans="1:9" ht="13.5">
      <c r="A11514" s="128">
        <v>2021</v>
      </c>
      <c r="B11514" s="128" t="s">
        <v>139</v>
      </c>
      <c r="C11514" s="128" t="s">
        <v>20</v>
      </c>
      <c r="D11514" s="128" t="s">
        <v>79</v>
      </c>
      <c r="E11514" s="128" t="s">
        <v>134</v>
      </c>
      <c r="F11514" s="128">
        <v>4956412.18</v>
      </c>
      <c r="G11514" s="128">
        <v>2138275.7599999998</v>
      </c>
      <c r="H11514" s="128">
        <v>760687.5</v>
      </c>
      <c r="I11514" s="128">
        <v>15639</v>
      </c>
    </row>
    <row r="11515" spans="1:9" ht="13.5">
      <c r="A11515" s="128">
        <v>2021</v>
      </c>
      <c r="B11515" s="128" t="s">
        <v>139</v>
      </c>
      <c r="C11515" s="128" t="s">
        <v>20</v>
      </c>
      <c r="D11515" s="128" t="s">
        <v>79</v>
      </c>
      <c r="E11515" s="128" t="s">
        <v>135</v>
      </c>
      <c r="F11515" s="128">
        <v>63598365.640000001</v>
      </c>
      <c r="G11515" s="128">
        <v>13793624.32</v>
      </c>
      <c r="H11515" s="128">
        <v>4844438.05</v>
      </c>
      <c r="I11515" s="128">
        <v>59954</v>
      </c>
    </row>
    <row r="11516" spans="1:9" ht="13.5">
      <c r="A11516" s="128">
        <v>2021</v>
      </c>
      <c r="B11516" s="128" t="s">
        <v>139</v>
      </c>
      <c r="C11516" s="128" t="s">
        <v>20</v>
      </c>
      <c r="D11516" s="128" t="s">
        <v>77</v>
      </c>
      <c r="E11516" s="128" t="s">
        <v>132</v>
      </c>
      <c r="F11516" s="128">
        <v>2913220.14</v>
      </c>
      <c r="G11516" s="128">
        <v>1911905.72</v>
      </c>
      <c r="H11516" s="128">
        <v>874419.27</v>
      </c>
      <c r="I11516" s="128">
        <v>11698</v>
      </c>
    </row>
    <row r="11517" spans="1:9" ht="13.5">
      <c r="A11517" s="128">
        <v>2021</v>
      </c>
      <c r="B11517" s="128" t="s">
        <v>139</v>
      </c>
      <c r="C11517" s="128" t="s">
        <v>20</v>
      </c>
      <c r="D11517" s="128" t="s">
        <v>77</v>
      </c>
      <c r="E11517" s="128" t="s">
        <v>133</v>
      </c>
      <c r="F11517" s="128">
        <v>5287006.38</v>
      </c>
      <c r="G11517" s="128">
        <v>2840869.57</v>
      </c>
      <c r="H11517" s="128">
        <v>2167610.13</v>
      </c>
      <c r="I11517" s="128">
        <v>17016</v>
      </c>
    </row>
    <row r="11518" spans="1:9" ht="13.5">
      <c r="A11518" s="128">
        <v>2021</v>
      </c>
      <c r="B11518" s="128" t="s">
        <v>139</v>
      </c>
      <c r="C11518" s="128" t="s">
        <v>20</v>
      </c>
      <c r="D11518" s="128" t="s">
        <v>77</v>
      </c>
      <c r="E11518" s="128" t="s">
        <v>134</v>
      </c>
      <c r="F11518" s="128">
        <v>17357705.199999999</v>
      </c>
      <c r="G11518" s="128">
        <v>7468693.9500000002</v>
      </c>
      <c r="H11518" s="128">
        <v>7341812.9100000001</v>
      </c>
      <c r="I11518" s="128">
        <v>30758</v>
      </c>
    </row>
    <row r="11519" spans="1:9" ht="13.5">
      <c r="A11519" s="128">
        <v>2021</v>
      </c>
      <c r="B11519" s="128" t="s">
        <v>139</v>
      </c>
      <c r="C11519" s="128" t="s">
        <v>20</v>
      </c>
      <c r="D11519" s="128" t="s">
        <v>77</v>
      </c>
      <c r="E11519" s="128" t="s">
        <v>135</v>
      </c>
      <c r="F11519" s="128">
        <v>53924618.539999999</v>
      </c>
      <c r="G11519" s="128">
        <v>13544429.83</v>
      </c>
      <c r="H11519" s="128">
        <v>12976962.210000001</v>
      </c>
      <c r="I11519" s="128">
        <v>144274</v>
      </c>
    </row>
    <row r="11520" spans="1:9" ht="13.5">
      <c r="A11520" s="128">
        <v>2021</v>
      </c>
      <c r="B11520" s="128" t="s">
        <v>139</v>
      </c>
      <c r="C11520" s="128" t="s">
        <v>20</v>
      </c>
      <c r="D11520" s="128" t="s">
        <v>76</v>
      </c>
      <c r="E11520" s="128" t="s">
        <v>136</v>
      </c>
      <c r="F11520" s="128">
        <v>35436996.130000003</v>
      </c>
      <c r="G11520" s="128">
        <v>26658151.16</v>
      </c>
      <c r="H11520" s="128">
        <v>8778920.3200000003</v>
      </c>
      <c r="I11520" s="128">
        <v>1044814</v>
      </c>
    </row>
    <row r="11521" spans="1:9" ht="13.5">
      <c r="A11521" s="128">
        <v>2021</v>
      </c>
      <c r="B11521" s="128" t="s">
        <v>139</v>
      </c>
      <c r="C11521" s="128" t="s">
        <v>20</v>
      </c>
      <c r="D11521" s="128" t="s">
        <v>76</v>
      </c>
      <c r="E11521" s="128" t="s">
        <v>132</v>
      </c>
      <c r="F11521" s="128">
        <v>53575569.390000001</v>
      </c>
      <c r="G11521" s="128">
        <v>34171831.880000003</v>
      </c>
      <c r="H11521" s="128">
        <v>19403684.690000001</v>
      </c>
      <c r="I11521" s="128">
        <v>441301</v>
      </c>
    </row>
    <row r="11522" spans="1:9" ht="13.5">
      <c r="A11522" s="128">
        <v>2021</v>
      </c>
      <c r="B11522" s="128" t="s">
        <v>139</v>
      </c>
      <c r="C11522" s="128" t="s">
        <v>20</v>
      </c>
      <c r="D11522" s="128" t="s">
        <v>76</v>
      </c>
      <c r="E11522" s="128" t="s">
        <v>133</v>
      </c>
      <c r="F11522" s="128">
        <v>102416002.63</v>
      </c>
      <c r="G11522" s="128">
        <v>56093506.25</v>
      </c>
      <c r="H11522" s="128">
        <v>46322438.009999998</v>
      </c>
      <c r="I11522" s="128">
        <v>584286</v>
      </c>
    </row>
    <row r="11523" spans="1:9" ht="13.5">
      <c r="A11523" s="128">
        <v>2021</v>
      </c>
      <c r="B11523" s="128" t="s">
        <v>139</v>
      </c>
      <c r="C11523" s="128" t="s">
        <v>20</v>
      </c>
      <c r="D11523" s="128" t="s">
        <v>76</v>
      </c>
      <c r="E11523" s="128" t="s">
        <v>134</v>
      </c>
      <c r="F11523" s="128">
        <v>107993784.16</v>
      </c>
      <c r="G11523" s="128">
        <v>49099509.789999999</v>
      </c>
      <c r="H11523" s="128">
        <v>58891804.310000002</v>
      </c>
      <c r="I11523" s="128">
        <v>600574</v>
      </c>
    </row>
    <row r="11524" spans="1:9" ht="13.5">
      <c r="A11524" s="128">
        <v>2021</v>
      </c>
      <c r="B11524" s="128" t="s">
        <v>139</v>
      </c>
      <c r="C11524" s="128" t="s">
        <v>20</v>
      </c>
      <c r="D11524" s="128" t="s">
        <v>76</v>
      </c>
      <c r="E11524" s="128" t="s">
        <v>135</v>
      </c>
      <c r="F11524" s="128">
        <v>7436431.4699999997</v>
      </c>
      <c r="G11524" s="128">
        <v>2321329.46</v>
      </c>
      <c r="H11524" s="128">
        <v>5115101.09</v>
      </c>
      <c r="I11524" s="128">
        <v>14903</v>
      </c>
    </row>
    <row r="11525" spans="1:9" ht="13.5">
      <c r="A11525" s="128">
        <v>2021</v>
      </c>
      <c r="B11525" s="128" t="s">
        <v>139</v>
      </c>
      <c r="C11525" s="128" t="s">
        <v>21</v>
      </c>
      <c r="D11525" s="128" t="s">
        <v>79</v>
      </c>
      <c r="E11525" s="128" t="s">
        <v>136</v>
      </c>
      <c r="F11525" s="128">
        <v>7878091.9400000004</v>
      </c>
      <c r="G11525" s="128">
        <v>5907339.6600000001</v>
      </c>
      <c r="H11525" s="128">
        <v>1954098.5</v>
      </c>
      <c r="I11525" s="128">
        <v>140650</v>
      </c>
    </row>
    <row r="11526" spans="1:9" ht="13.5">
      <c r="A11526" s="128">
        <v>2021</v>
      </c>
      <c r="B11526" s="128" t="s">
        <v>139</v>
      </c>
      <c r="C11526" s="128" t="s">
        <v>21</v>
      </c>
      <c r="D11526" s="128" t="s">
        <v>79</v>
      </c>
      <c r="E11526" s="128" t="s">
        <v>132</v>
      </c>
      <c r="F11526" s="128">
        <v>1076063.3500000001</v>
      </c>
      <c r="G11526" s="128">
        <v>720895</v>
      </c>
      <c r="H11526" s="128">
        <v>250845.37</v>
      </c>
      <c r="I11526" s="128">
        <v>3577</v>
      </c>
    </row>
    <row r="11527" spans="1:9" ht="13.5">
      <c r="A11527" s="128">
        <v>2021</v>
      </c>
      <c r="B11527" s="128" t="s">
        <v>139</v>
      </c>
      <c r="C11527" s="128" t="s">
        <v>21</v>
      </c>
      <c r="D11527" s="128" t="s">
        <v>79</v>
      </c>
      <c r="E11527" s="128" t="s">
        <v>133</v>
      </c>
      <c r="F11527" s="128">
        <v>1704594.09</v>
      </c>
      <c r="G11527" s="128">
        <v>922542.59</v>
      </c>
      <c r="H11527" s="128">
        <v>316715.56</v>
      </c>
      <c r="I11527" s="128">
        <v>6717</v>
      </c>
    </row>
    <row r="11528" spans="1:9" ht="13.5">
      <c r="A11528" s="128">
        <v>2021</v>
      </c>
      <c r="B11528" s="128" t="s">
        <v>139</v>
      </c>
      <c r="C11528" s="128" t="s">
        <v>21</v>
      </c>
      <c r="D11528" s="128" t="s">
        <v>79</v>
      </c>
      <c r="E11528" s="128" t="s">
        <v>134</v>
      </c>
      <c r="F11528" s="128">
        <v>3574609.73</v>
      </c>
      <c r="G11528" s="128">
        <v>1563823.25</v>
      </c>
      <c r="H11528" s="128">
        <v>571444.85</v>
      </c>
      <c r="I11528" s="128">
        <v>13053</v>
      </c>
    </row>
    <row r="11529" spans="1:9" ht="13.5">
      <c r="A11529" s="128">
        <v>2021</v>
      </c>
      <c r="B11529" s="128" t="s">
        <v>139</v>
      </c>
      <c r="C11529" s="128" t="s">
        <v>21</v>
      </c>
      <c r="D11529" s="128" t="s">
        <v>79</v>
      </c>
      <c r="E11529" s="128" t="s">
        <v>135</v>
      </c>
      <c r="F11529" s="128">
        <v>23693087.52</v>
      </c>
      <c r="G11529" s="128">
        <v>5343929.03</v>
      </c>
      <c r="H11529" s="128">
        <v>1944622.72</v>
      </c>
      <c r="I11529" s="128">
        <v>23947</v>
      </c>
    </row>
    <row r="11530" spans="1:9" ht="13.5">
      <c r="A11530" s="128">
        <v>2021</v>
      </c>
      <c r="B11530" s="128" t="s">
        <v>139</v>
      </c>
      <c r="C11530" s="128" t="s">
        <v>21</v>
      </c>
      <c r="D11530" s="128" t="s">
        <v>77</v>
      </c>
      <c r="E11530" s="128" t="s">
        <v>132</v>
      </c>
      <c r="F11530" s="128">
        <v>2302118.06</v>
      </c>
      <c r="G11530" s="128">
        <v>1522208.03</v>
      </c>
      <c r="H11530" s="128">
        <v>652229.68999999994</v>
      </c>
      <c r="I11530" s="128">
        <v>9796</v>
      </c>
    </row>
    <row r="11531" spans="1:9" ht="13.5">
      <c r="A11531" s="128">
        <v>2021</v>
      </c>
      <c r="B11531" s="128" t="s">
        <v>139</v>
      </c>
      <c r="C11531" s="128" t="s">
        <v>21</v>
      </c>
      <c r="D11531" s="128" t="s">
        <v>77</v>
      </c>
      <c r="E11531" s="128" t="s">
        <v>133</v>
      </c>
      <c r="F11531" s="128">
        <v>6080264.1799999997</v>
      </c>
      <c r="G11531" s="128">
        <v>3285012.57</v>
      </c>
      <c r="H11531" s="128">
        <v>2365865.86</v>
      </c>
      <c r="I11531" s="128">
        <v>21019</v>
      </c>
    </row>
    <row r="11532" spans="1:9" ht="13.5">
      <c r="A11532" s="128">
        <v>2021</v>
      </c>
      <c r="B11532" s="128" t="s">
        <v>139</v>
      </c>
      <c r="C11532" s="128" t="s">
        <v>21</v>
      </c>
      <c r="D11532" s="128" t="s">
        <v>77</v>
      </c>
      <c r="E11532" s="128" t="s">
        <v>134</v>
      </c>
      <c r="F11532" s="128">
        <v>16288127.4</v>
      </c>
      <c r="G11532" s="128">
        <v>7041006.1100000003</v>
      </c>
      <c r="H11532" s="128">
        <v>6659701.75</v>
      </c>
      <c r="I11532" s="128">
        <v>33614</v>
      </c>
    </row>
    <row r="11533" spans="1:9" ht="13.5">
      <c r="A11533" s="128">
        <v>2021</v>
      </c>
      <c r="B11533" s="128" t="s">
        <v>139</v>
      </c>
      <c r="C11533" s="128" t="s">
        <v>21</v>
      </c>
      <c r="D11533" s="128" t="s">
        <v>77</v>
      </c>
      <c r="E11533" s="128" t="s">
        <v>135</v>
      </c>
      <c r="F11533" s="128">
        <v>43007121.109999999</v>
      </c>
      <c r="G11533" s="128">
        <v>11314320.949999999</v>
      </c>
      <c r="H11533" s="128">
        <v>12481401.35</v>
      </c>
      <c r="I11533" s="128">
        <v>148965</v>
      </c>
    </row>
    <row r="11534" spans="1:9" ht="13.5">
      <c r="A11534" s="128">
        <v>2021</v>
      </c>
      <c r="B11534" s="128" t="s">
        <v>139</v>
      </c>
      <c r="C11534" s="128" t="s">
        <v>21</v>
      </c>
      <c r="D11534" s="128" t="s">
        <v>76</v>
      </c>
      <c r="E11534" s="128" t="s">
        <v>136</v>
      </c>
      <c r="F11534" s="128">
        <v>19750737.539999999</v>
      </c>
      <c r="G11534" s="128">
        <v>14850783.1</v>
      </c>
      <c r="H11534" s="128">
        <v>4899954.41</v>
      </c>
      <c r="I11534" s="128">
        <v>287966</v>
      </c>
    </row>
    <row r="11535" spans="1:9" ht="13.5">
      <c r="A11535" s="128">
        <v>2021</v>
      </c>
      <c r="B11535" s="128" t="s">
        <v>139</v>
      </c>
      <c r="C11535" s="128" t="s">
        <v>21</v>
      </c>
      <c r="D11535" s="128" t="s">
        <v>76</v>
      </c>
      <c r="E11535" s="128" t="s">
        <v>132</v>
      </c>
      <c r="F11535" s="128">
        <v>47523876.310000002</v>
      </c>
      <c r="G11535" s="128">
        <v>30373390.620000001</v>
      </c>
      <c r="H11535" s="128">
        <v>17150625.07</v>
      </c>
      <c r="I11535" s="128">
        <v>385728</v>
      </c>
    </row>
    <row r="11536" spans="1:9" ht="13.5">
      <c r="A11536" s="128">
        <v>2021</v>
      </c>
      <c r="B11536" s="128" t="s">
        <v>139</v>
      </c>
      <c r="C11536" s="128" t="s">
        <v>21</v>
      </c>
      <c r="D11536" s="128" t="s">
        <v>76</v>
      </c>
      <c r="E11536" s="128" t="s">
        <v>133</v>
      </c>
      <c r="F11536" s="128">
        <v>116302839.15000001</v>
      </c>
      <c r="G11536" s="128">
        <v>63886505.119999997</v>
      </c>
      <c r="H11536" s="128">
        <v>52416263.369999997</v>
      </c>
      <c r="I11536" s="128">
        <v>757759</v>
      </c>
    </row>
    <row r="11537" spans="1:9" ht="13.5">
      <c r="A11537" s="128">
        <v>2021</v>
      </c>
      <c r="B11537" s="128" t="s">
        <v>139</v>
      </c>
      <c r="C11537" s="128" t="s">
        <v>21</v>
      </c>
      <c r="D11537" s="128" t="s">
        <v>76</v>
      </c>
      <c r="E11537" s="128" t="s">
        <v>134</v>
      </c>
      <c r="F11537" s="128">
        <v>95285618.430000007</v>
      </c>
      <c r="G11537" s="128">
        <v>43081715.159999996</v>
      </c>
      <c r="H11537" s="128">
        <v>52203858.729999997</v>
      </c>
      <c r="I11537" s="128">
        <v>521051</v>
      </c>
    </row>
    <row r="11538" spans="1:9" ht="13.5">
      <c r="A11538" s="128">
        <v>2021</v>
      </c>
      <c r="B11538" s="128" t="s">
        <v>139</v>
      </c>
      <c r="C11538" s="128" t="s">
        <v>21</v>
      </c>
      <c r="D11538" s="128" t="s">
        <v>76</v>
      </c>
      <c r="E11538" s="128" t="s">
        <v>135</v>
      </c>
      <c r="F11538" s="128">
        <v>3472069.97</v>
      </c>
      <c r="G11538" s="128">
        <v>972888.49</v>
      </c>
      <c r="H11538" s="128">
        <v>2499181.48</v>
      </c>
      <c r="I11538" s="128">
        <v>3243</v>
      </c>
    </row>
    <row r="11539" spans="1:9" ht="13.5">
      <c r="A11539" s="128">
        <v>2021</v>
      </c>
      <c r="B11539" s="128" t="s">
        <v>139</v>
      </c>
      <c r="C11539" s="128" t="s">
        <v>22</v>
      </c>
      <c r="D11539" s="128" t="s">
        <v>79</v>
      </c>
      <c r="E11539" s="128" t="s">
        <v>136</v>
      </c>
      <c r="F11539" s="128">
        <v>5067420.55</v>
      </c>
      <c r="G11539" s="128">
        <v>3786513.23</v>
      </c>
      <c r="H11539" s="128">
        <v>1257764.9099999999</v>
      </c>
      <c r="I11539" s="128">
        <v>69932</v>
      </c>
    </row>
    <row r="11540" spans="1:9" ht="13.5">
      <c r="A11540" s="128">
        <v>2021</v>
      </c>
      <c r="B11540" s="128" t="s">
        <v>139</v>
      </c>
      <c r="C11540" s="128" t="s">
        <v>22</v>
      </c>
      <c r="D11540" s="128" t="s">
        <v>79</v>
      </c>
      <c r="E11540" s="128" t="s">
        <v>132</v>
      </c>
      <c r="F11540" s="128">
        <v>979249.91</v>
      </c>
      <c r="G11540" s="128">
        <v>665742.26</v>
      </c>
      <c r="H11540" s="128">
        <v>228657.93</v>
      </c>
      <c r="I11540" s="128">
        <v>3089</v>
      </c>
    </row>
    <row r="11541" spans="1:9" ht="13.5">
      <c r="A11541" s="128">
        <v>2021</v>
      </c>
      <c r="B11541" s="128" t="s">
        <v>139</v>
      </c>
      <c r="C11541" s="128" t="s">
        <v>22</v>
      </c>
      <c r="D11541" s="128" t="s">
        <v>79</v>
      </c>
      <c r="E11541" s="128" t="s">
        <v>133</v>
      </c>
      <c r="F11541" s="128">
        <v>1081553.3400000001</v>
      </c>
      <c r="G11541" s="128">
        <v>583694.42000000004</v>
      </c>
      <c r="H11541" s="128">
        <v>202108.04</v>
      </c>
      <c r="I11541" s="128">
        <v>2172</v>
      </c>
    </row>
    <row r="11542" spans="1:9" ht="13.5">
      <c r="A11542" s="128">
        <v>2021</v>
      </c>
      <c r="B11542" s="128" t="s">
        <v>139</v>
      </c>
      <c r="C11542" s="128" t="s">
        <v>22</v>
      </c>
      <c r="D11542" s="128" t="s">
        <v>79</v>
      </c>
      <c r="E11542" s="128" t="s">
        <v>134</v>
      </c>
      <c r="F11542" s="128">
        <v>3572857.38</v>
      </c>
      <c r="G11542" s="128">
        <v>1538310.53</v>
      </c>
      <c r="H11542" s="128">
        <v>552705.97</v>
      </c>
      <c r="I11542" s="128">
        <v>17358</v>
      </c>
    </row>
    <row r="11543" spans="1:9" ht="13.5">
      <c r="A11543" s="128">
        <v>2021</v>
      </c>
      <c r="B11543" s="128" t="s">
        <v>139</v>
      </c>
      <c r="C11543" s="128" t="s">
        <v>22</v>
      </c>
      <c r="D11543" s="128" t="s">
        <v>79</v>
      </c>
      <c r="E11543" s="128" t="s">
        <v>135</v>
      </c>
      <c r="F11543" s="128">
        <v>33380956.850000001</v>
      </c>
      <c r="G11543" s="128">
        <v>7441784.1399999997</v>
      </c>
      <c r="H11543" s="128">
        <v>2614447.9300000002</v>
      </c>
      <c r="I11543" s="128">
        <v>32252</v>
      </c>
    </row>
    <row r="11544" spans="1:9" ht="13.5">
      <c r="A11544" s="128">
        <v>2021</v>
      </c>
      <c r="B11544" s="128" t="s">
        <v>139</v>
      </c>
      <c r="C11544" s="128" t="s">
        <v>22</v>
      </c>
      <c r="D11544" s="128" t="s">
        <v>77</v>
      </c>
      <c r="E11544" s="128" t="s">
        <v>132</v>
      </c>
      <c r="F11544" s="128">
        <v>1723046.81</v>
      </c>
      <c r="G11544" s="128">
        <v>1125439.19</v>
      </c>
      <c r="H11544" s="128">
        <v>493862.77</v>
      </c>
      <c r="I11544" s="128">
        <v>7096</v>
      </c>
    </row>
    <row r="11545" spans="1:9" ht="13.5">
      <c r="A11545" s="128">
        <v>2021</v>
      </c>
      <c r="B11545" s="128" t="s">
        <v>139</v>
      </c>
      <c r="C11545" s="128" t="s">
        <v>22</v>
      </c>
      <c r="D11545" s="128" t="s">
        <v>77</v>
      </c>
      <c r="E11545" s="128" t="s">
        <v>133</v>
      </c>
      <c r="F11545" s="128">
        <v>3903691.78</v>
      </c>
      <c r="G11545" s="128">
        <v>2102130.38</v>
      </c>
      <c r="H11545" s="128">
        <v>1525093.46</v>
      </c>
      <c r="I11545" s="128">
        <v>15801</v>
      </c>
    </row>
    <row r="11546" spans="1:9" ht="13.5">
      <c r="A11546" s="128">
        <v>2021</v>
      </c>
      <c r="B11546" s="128" t="s">
        <v>139</v>
      </c>
      <c r="C11546" s="128" t="s">
        <v>22</v>
      </c>
      <c r="D11546" s="128" t="s">
        <v>77</v>
      </c>
      <c r="E11546" s="128" t="s">
        <v>134</v>
      </c>
      <c r="F11546" s="128">
        <v>18698704.629999999</v>
      </c>
      <c r="G11546" s="128">
        <v>7910214.21</v>
      </c>
      <c r="H11546" s="128">
        <v>7859340.7400000002</v>
      </c>
      <c r="I11546" s="128">
        <v>27371</v>
      </c>
    </row>
    <row r="11547" spans="1:9" ht="13.5">
      <c r="A11547" s="128">
        <v>2021</v>
      </c>
      <c r="B11547" s="128" t="s">
        <v>139</v>
      </c>
      <c r="C11547" s="128" t="s">
        <v>22</v>
      </c>
      <c r="D11547" s="128" t="s">
        <v>77</v>
      </c>
      <c r="E11547" s="128" t="s">
        <v>135</v>
      </c>
      <c r="F11547" s="128">
        <v>41203476.640000001</v>
      </c>
      <c r="G11547" s="128">
        <v>10442256.49</v>
      </c>
      <c r="H11547" s="128">
        <v>11200358.199999999</v>
      </c>
      <c r="I11547" s="128">
        <v>99113</v>
      </c>
    </row>
    <row r="11548" spans="1:9" ht="13.5">
      <c r="A11548" s="128">
        <v>2021</v>
      </c>
      <c r="B11548" s="128" t="s">
        <v>139</v>
      </c>
      <c r="C11548" s="128" t="s">
        <v>22</v>
      </c>
      <c r="D11548" s="128" t="s">
        <v>76</v>
      </c>
      <c r="E11548" s="128" t="s">
        <v>136</v>
      </c>
      <c r="F11548" s="128">
        <v>16949763.77</v>
      </c>
      <c r="G11548" s="128">
        <v>12728478.630000001</v>
      </c>
      <c r="H11548" s="128">
        <v>4221160.96</v>
      </c>
      <c r="I11548" s="128">
        <v>277597</v>
      </c>
    </row>
    <row r="11549" spans="1:9" ht="13.5">
      <c r="A11549" s="128">
        <v>2021</v>
      </c>
      <c r="B11549" s="128" t="s">
        <v>139</v>
      </c>
      <c r="C11549" s="128" t="s">
        <v>22</v>
      </c>
      <c r="D11549" s="128" t="s">
        <v>76</v>
      </c>
      <c r="E11549" s="128" t="s">
        <v>132</v>
      </c>
      <c r="F11549" s="128">
        <v>49148202.090000004</v>
      </c>
      <c r="G11549" s="128">
        <v>31380108.530000001</v>
      </c>
      <c r="H11549" s="128">
        <v>17767808.25</v>
      </c>
      <c r="I11549" s="128">
        <v>425063</v>
      </c>
    </row>
    <row r="11550" spans="1:9" ht="13.5">
      <c r="A11550" s="128">
        <v>2021</v>
      </c>
      <c r="B11550" s="128" t="s">
        <v>139</v>
      </c>
      <c r="C11550" s="128" t="s">
        <v>22</v>
      </c>
      <c r="D11550" s="128" t="s">
        <v>76</v>
      </c>
      <c r="E11550" s="128" t="s">
        <v>133</v>
      </c>
      <c r="F11550" s="128">
        <v>80077313.129999995</v>
      </c>
      <c r="G11550" s="128">
        <v>44209197.079999998</v>
      </c>
      <c r="H11550" s="128">
        <v>35867973.030000001</v>
      </c>
      <c r="I11550" s="128">
        <v>634784</v>
      </c>
    </row>
    <row r="11551" spans="1:9" ht="13.5">
      <c r="A11551" s="128">
        <v>2021</v>
      </c>
      <c r="B11551" s="128" t="s">
        <v>139</v>
      </c>
      <c r="C11551" s="128" t="s">
        <v>22</v>
      </c>
      <c r="D11551" s="128" t="s">
        <v>76</v>
      </c>
      <c r="E11551" s="128" t="s">
        <v>134</v>
      </c>
      <c r="F11551" s="128">
        <v>72674435.609999999</v>
      </c>
      <c r="G11551" s="128">
        <v>33322736.550000001</v>
      </c>
      <c r="H11551" s="128">
        <v>39350942.659999996</v>
      </c>
      <c r="I11551" s="128">
        <v>474821</v>
      </c>
    </row>
    <row r="11552" spans="1:9" ht="13.5">
      <c r="A11552" s="128">
        <v>2021</v>
      </c>
      <c r="B11552" s="128" t="s">
        <v>139</v>
      </c>
      <c r="C11552" s="128" t="s">
        <v>22</v>
      </c>
      <c r="D11552" s="128" t="s">
        <v>76</v>
      </c>
      <c r="E11552" s="128" t="s">
        <v>135</v>
      </c>
      <c r="F11552" s="128">
        <v>5075688.33</v>
      </c>
      <c r="G11552" s="128">
        <v>1488562.85</v>
      </c>
      <c r="H11552" s="128">
        <v>3587125.42</v>
      </c>
      <c r="I11552" s="128">
        <v>7176</v>
      </c>
    </row>
    <row r="11553" spans="1:9" ht="13.5">
      <c r="A11553" s="128">
        <v>2021</v>
      </c>
      <c r="B11553" s="128" t="s">
        <v>139</v>
      </c>
      <c r="C11553" s="128" t="s">
        <v>23</v>
      </c>
      <c r="D11553" s="128" t="s">
        <v>79</v>
      </c>
      <c r="E11553" s="128" t="s">
        <v>136</v>
      </c>
      <c r="F11553" s="128">
        <v>1680710.67</v>
      </c>
      <c r="G11553" s="128">
        <v>1254390.57</v>
      </c>
      <c r="H11553" s="128">
        <v>417699.5</v>
      </c>
      <c r="I11553" s="128">
        <v>10415</v>
      </c>
    </row>
    <row r="11554" spans="1:9" ht="13.5">
      <c r="A11554" s="128">
        <v>2021</v>
      </c>
      <c r="B11554" s="128" t="s">
        <v>139</v>
      </c>
      <c r="C11554" s="128" t="s">
        <v>23</v>
      </c>
      <c r="D11554" s="128" t="s">
        <v>79</v>
      </c>
      <c r="E11554" s="128" t="s">
        <v>132</v>
      </c>
      <c r="F11554" s="128">
        <v>213001.28</v>
      </c>
      <c r="G11554" s="128">
        <v>141668.5</v>
      </c>
      <c r="H11554" s="128">
        <v>48126.25</v>
      </c>
      <c r="I11554" s="128">
        <v>516</v>
      </c>
    </row>
    <row r="11555" spans="1:9" ht="13.5">
      <c r="A11555" s="128">
        <v>2021</v>
      </c>
      <c r="B11555" s="128" t="s">
        <v>139</v>
      </c>
      <c r="C11555" s="128" t="s">
        <v>23</v>
      </c>
      <c r="D11555" s="128" t="s">
        <v>79</v>
      </c>
      <c r="E11555" s="128" t="s">
        <v>133</v>
      </c>
      <c r="F11555" s="128">
        <v>179705.94</v>
      </c>
      <c r="G11555" s="128">
        <v>97859.08</v>
      </c>
      <c r="H11555" s="128">
        <v>33787.379999999997</v>
      </c>
      <c r="I11555" s="128">
        <v>337</v>
      </c>
    </row>
    <row r="11556" spans="1:9" ht="13.5">
      <c r="A11556" s="128">
        <v>2021</v>
      </c>
      <c r="B11556" s="128" t="s">
        <v>139</v>
      </c>
      <c r="C11556" s="128" t="s">
        <v>23</v>
      </c>
      <c r="D11556" s="128" t="s">
        <v>79</v>
      </c>
      <c r="E11556" s="128" t="s">
        <v>134</v>
      </c>
      <c r="F11556" s="128">
        <v>318884.09999999998</v>
      </c>
      <c r="G11556" s="128">
        <v>135481.88</v>
      </c>
      <c r="H11556" s="128">
        <v>62443.02</v>
      </c>
      <c r="I11556" s="128">
        <v>792</v>
      </c>
    </row>
    <row r="11557" spans="1:9" ht="13.5">
      <c r="A11557" s="128">
        <v>2021</v>
      </c>
      <c r="B11557" s="128" t="s">
        <v>139</v>
      </c>
      <c r="C11557" s="128" t="s">
        <v>23</v>
      </c>
      <c r="D11557" s="128" t="s">
        <v>79</v>
      </c>
      <c r="E11557" s="128" t="s">
        <v>135</v>
      </c>
      <c r="F11557" s="128">
        <v>2046297.38</v>
      </c>
      <c r="G11557" s="128">
        <v>432121.01</v>
      </c>
      <c r="H11557" s="128">
        <v>158390.10999999999</v>
      </c>
      <c r="I11557" s="128">
        <v>2065</v>
      </c>
    </row>
    <row r="11558" spans="1:9" ht="13.5">
      <c r="A11558" s="128">
        <v>2021</v>
      </c>
      <c r="B11558" s="128" t="s">
        <v>139</v>
      </c>
      <c r="C11558" s="128" t="s">
        <v>23</v>
      </c>
      <c r="D11558" s="128" t="s">
        <v>77</v>
      </c>
      <c r="E11558" s="128" t="s">
        <v>132</v>
      </c>
      <c r="F11558" s="128">
        <v>324664.74</v>
      </c>
      <c r="G11558" s="128">
        <v>206243.20000000001</v>
      </c>
      <c r="H11558" s="128">
        <v>98326.82</v>
      </c>
      <c r="I11558" s="128">
        <v>1676</v>
      </c>
    </row>
    <row r="11559" spans="1:9" ht="13.5">
      <c r="A11559" s="128">
        <v>2021</v>
      </c>
      <c r="B11559" s="128" t="s">
        <v>139</v>
      </c>
      <c r="C11559" s="128" t="s">
        <v>23</v>
      </c>
      <c r="D11559" s="128" t="s">
        <v>77</v>
      </c>
      <c r="E11559" s="128" t="s">
        <v>133</v>
      </c>
      <c r="F11559" s="128">
        <v>1231903.8999999999</v>
      </c>
      <c r="G11559" s="128">
        <v>670385.15</v>
      </c>
      <c r="H11559" s="128">
        <v>498487.51</v>
      </c>
      <c r="I11559" s="128">
        <v>5560</v>
      </c>
    </row>
    <row r="11560" spans="1:9" ht="13.5">
      <c r="A11560" s="128">
        <v>2021</v>
      </c>
      <c r="B11560" s="128" t="s">
        <v>139</v>
      </c>
      <c r="C11560" s="128" t="s">
        <v>23</v>
      </c>
      <c r="D11560" s="128" t="s">
        <v>77</v>
      </c>
      <c r="E11560" s="128" t="s">
        <v>134</v>
      </c>
      <c r="F11560" s="128">
        <v>8066475.1299999999</v>
      </c>
      <c r="G11560" s="128">
        <v>3385681.72</v>
      </c>
      <c r="H11560" s="128">
        <v>3549011.45</v>
      </c>
      <c r="I11560" s="128">
        <v>11833</v>
      </c>
    </row>
    <row r="11561" spans="1:9" ht="13.5">
      <c r="A11561" s="128">
        <v>2021</v>
      </c>
      <c r="B11561" s="128" t="s">
        <v>139</v>
      </c>
      <c r="C11561" s="128" t="s">
        <v>23</v>
      </c>
      <c r="D11561" s="128" t="s">
        <v>77</v>
      </c>
      <c r="E11561" s="128" t="s">
        <v>135</v>
      </c>
      <c r="F11561" s="128">
        <v>10602563.550000001</v>
      </c>
      <c r="G11561" s="128">
        <v>2997915.35</v>
      </c>
      <c r="H11561" s="128">
        <v>3562255.61</v>
      </c>
      <c r="I11561" s="128">
        <v>36664</v>
      </c>
    </row>
    <row r="11562" spans="1:9" ht="13.5">
      <c r="A11562" s="128">
        <v>2021</v>
      </c>
      <c r="B11562" s="128" t="s">
        <v>139</v>
      </c>
      <c r="C11562" s="128" t="s">
        <v>23</v>
      </c>
      <c r="D11562" s="128" t="s">
        <v>76</v>
      </c>
      <c r="E11562" s="128" t="s">
        <v>136</v>
      </c>
      <c r="F11562" s="128">
        <v>6751005.9199999999</v>
      </c>
      <c r="G11562" s="128">
        <v>5072237.5199999996</v>
      </c>
      <c r="H11562" s="128">
        <v>1678768.5</v>
      </c>
      <c r="I11562" s="128">
        <v>120489</v>
      </c>
    </row>
    <row r="11563" spans="1:9" ht="13.5">
      <c r="A11563" s="128">
        <v>2021</v>
      </c>
      <c r="B11563" s="128" t="s">
        <v>139</v>
      </c>
      <c r="C11563" s="128" t="s">
        <v>23</v>
      </c>
      <c r="D11563" s="128" t="s">
        <v>76</v>
      </c>
      <c r="E11563" s="128" t="s">
        <v>132</v>
      </c>
      <c r="F11563" s="128">
        <v>9618470.9800000004</v>
      </c>
      <c r="G11563" s="128">
        <v>6052513.54</v>
      </c>
      <c r="H11563" s="128">
        <v>3565778.14</v>
      </c>
      <c r="I11563" s="128">
        <v>76516</v>
      </c>
    </row>
    <row r="11564" spans="1:9" ht="13.5">
      <c r="A11564" s="128">
        <v>2021</v>
      </c>
      <c r="B11564" s="128" t="s">
        <v>139</v>
      </c>
      <c r="C11564" s="128" t="s">
        <v>23</v>
      </c>
      <c r="D11564" s="128" t="s">
        <v>76</v>
      </c>
      <c r="E11564" s="128" t="s">
        <v>133</v>
      </c>
      <c r="F11564" s="128">
        <v>29496565.850000001</v>
      </c>
      <c r="G11564" s="128">
        <v>16093224.65</v>
      </c>
      <c r="H11564" s="128">
        <v>13403305.210000001</v>
      </c>
      <c r="I11564" s="128">
        <v>217328</v>
      </c>
    </row>
    <row r="11565" spans="1:9" ht="13.5">
      <c r="A11565" s="128">
        <v>2021</v>
      </c>
      <c r="B11565" s="128" t="s">
        <v>139</v>
      </c>
      <c r="C11565" s="128" t="s">
        <v>23</v>
      </c>
      <c r="D11565" s="128" t="s">
        <v>76</v>
      </c>
      <c r="E11565" s="128" t="s">
        <v>134</v>
      </c>
      <c r="F11565" s="128">
        <v>40581399.789999999</v>
      </c>
      <c r="G11565" s="128">
        <v>18198080.600000001</v>
      </c>
      <c r="H11565" s="128">
        <v>22383308.039999999</v>
      </c>
      <c r="I11565" s="128">
        <v>161528</v>
      </c>
    </row>
    <row r="11566" spans="1:9" ht="13.5">
      <c r="A11566" s="128">
        <v>2021</v>
      </c>
      <c r="B11566" s="128" t="s">
        <v>139</v>
      </c>
      <c r="C11566" s="128" t="s">
        <v>23</v>
      </c>
      <c r="D11566" s="128" t="s">
        <v>76</v>
      </c>
      <c r="E11566" s="128" t="s">
        <v>135</v>
      </c>
      <c r="F11566" s="128">
        <v>1263294.46</v>
      </c>
      <c r="G11566" s="128">
        <v>345483.28</v>
      </c>
      <c r="H11566" s="128">
        <v>917811.18</v>
      </c>
      <c r="I11566" s="128">
        <v>964</v>
      </c>
    </row>
    <row r="11567" spans="1:9" ht="13.5">
      <c r="A11567" s="128">
        <v>2021</v>
      </c>
      <c r="B11567" s="128" t="s">
        <v>139</v>
      </c>
      <c r="C11567" s="128" t="s">
        <v>24</v>
      </c>
      <c r="D11567" s="128" t="s">
        <v>79</v>
      </c>
      <c r="E11567" s="128" t="s">
        <v>136</v>
      </c>
      <c r="F11567" s="128">
        <v>1226037.3700000001</v>
      </c>
      <c r="G11567" s="128">
        <v>918397.85</v>
      </c>
      <c r="H11567" s="128">
        <v>303076.06</v>
      </c>
      <c r="I11567" s="128">
        <v>16516</v>
      </c>
    </row>
    <row r="11568" spans="1:9" ht="13.5">
      <c r="A11568" s="128">
        <v>2021</v>
      </c>
      <c r="B11568" s="128" t="s">
        <v>139</v>
      </c>
      <c r="C11568" s="128" t="s">
        <v>24</v>
      </c>
      <c r="D11568" s="128" t="s">
        <v>79</v>
      </c>
      <c r="E11568" s="128" t="s">
        <v>132</v>
      </c>
      <c r="F11568" s="128">
        <v>269228</v>
      </c>
      <c r="G11568" s="128">
        <v>180562.63</v>
      </c>
      <c r="H11568" s="128">
        <v>60811.13</v>
      </c>
      <c r="I11568" s="128">
        <v>834</v>
      </c>
    </row>
    <row r="11569" spans="1:9" ht="13.5">
      <c r="A11569" s="128">
        <v>2021</v>
      </c>
      <c r="B11569" s="128" t="s">
        <v>139</v>
      </c>
      <c r="C11569" s="128" t="s">
        <v>24</v>
      </c>
      <c r="D11569" s="128" t="s">
        <v>79</v>
      </c>
      <c r="E11569" s="128" t="s">
        <v>133</v>
      </c>
      <c r="F11569" s="128">
        <v>445298.08</v>
      </c>
      <c r="G11569" s="128">
        <v>239862.25</v>
      </c>
      <c r="H11569" s="128">
        <v>82070.679999999993</v>
      </c>
      <c r="I11569" s="128">
        <v>991</v>
      </c>
    </row>
    <row r="11570" spans="1:9" ht="13.5">
      <c r="A11570" s="128">
        <v>2021</v>
      </c>
      <c r="B11570" s="128" t="s">
        <v>139</v>
      </c>
      <c r="C11570" s="128" t="s">
        <v>24</v>
      </c>
      <c r="D11570" s="128" t="s">
        <v>79</v>
      </c>
      <c r="E11570" s="128" t="s">
        <v>134</v>
      </c>
      <c r="F11570" s="128">
        <v>1757266.38</v>
      </c>
      <c r="G11570" s="128">
        <v>769682.74</v>
      </c>
      <c r="H11570" s="128">
        <v>275680.63</v>
      </c>
      <c r="I11570" s="128">
        <v>15305</v>
      </c>
    </row>
    <row r="11571" spans="1:9" ht="13.5">
      <c r="A11571" s="128">
        <v>2021</v>
      </c>
      <c r="B11571" s="128" t="s">
        <v>139</v>
      </c>
      <c r="C11571" s="128" t="s">
        <v>24</v>
      </c>
      <c r="D11571" s="128" t="s">
        <v>79</v>
      </c>
      <c r="E11571" s="128" t="s">
        <v>135</v>
      </c>
      <c r="F11571" s="128">
        <v>6816753.2199999997</v>
      </c>
      <c r="G11571" s="128">
        <v>1461810.93</v>
      </c>
      <c r="H11571" s="128">
        <v>509616.68</v>
      </c>
      <c r="I11571" s="128">
        <v>8175</v>
      </c>
    </row>
    <row r="11572" spans="1:9" ht="13.5">
      <c r="A11572" s="128">
        <v>2021</v>
      </c>
      <c r="B11572" s="128" t="s">
        <v>139</v>
      </c>
      <c r="C11572" s="128" t="s">
        <v>24</v>
      </c>
      <c r="D11572" s="128" t="s">
        <v>77</v>
      </c>
      <c r="E11572" s="128" t="s">
        <v>132</v>
      </c>
      <c r="F11572" s="128">
        <v>816152.98</v>
      </c>
      <c r="G11572" s="128">
        <v>525811.9</v>
      </c>
      <c r="H11572" s="128">
        <v>246329.75</v>
      </c>
      <c r="I11572" s="128">
        <v>3702</v>
      </c>
    </row>
    <row r="11573" spans="1:9" ht="13.5">
      <c r="A11573" s="128">
        <v>2021</v>
      </c>
      <c r="B11573" s="128" t="s">
        <v>139</v>
      </c>
      <c r="C11573" s="128" t="s">
        <v>24</v>
      </c>
      <c r="D11573" s="128" t="s">
        <v>77</v>
      </c>
      <c r="E11573" s="128" t="s">
        <v>133</v>
      </c>
      <c r="F11573" s="128">
        <v>2648919.7599999998</v>
      </c>
      <c r="G11573" s="128">
        <v>1418295.44</v>
      </c>
      <c r="H11573" s="128">
        <v>1035896.95</v>
      </c>
      <c r="I11573" s="128">
        <v>22812</v>
      </c>
    </row>
    <row r="11574" spans="1:9" ht="13.5">
      <c r="A11574" s="128">
        <v>2021</v>
      </c>
      <c r="B11574" s="128" t="s">
        <v>139</v>
      </c>
      <c r="C11574" s="128" t="s">
        <v>24</v>
      </c>
      <c r="D11574" s="128" t="s">
        <v>77</v>
      </c>
      <c r="E11574" s="128" t="s">
        <v>134</v>
      </c>
      <c r="F11574" s="128">
        <v>8272498.4299999997</v>
      </c>
      <c r="G11574" s="128">
        <v>3654007.68</v>
      </c>
      <c r="H11574" s="128">
        <v>3333945.5</v>
      </c>
      <c r="I11574" s="128">
        <v>15190</v>
      </c>
    </row>
    <row r="11575" spans="1:9" ht="13.5">
      <c r="A11575" s="128">
        <v>2021</v>
      </c>
      <c r="B11575" s="128" t="s">
        <v>139</v>
      </c>
      <c r="C11575" s="128" t="s">
        <v>24</v>
      </c>
      <c r="D11575" s="128" t="s">
        <v>77</v>
      </c>
      <c r="E11575" s="128" t="s">
        <v>135</v>
      </c>
      <c r="F11575" s="128">
        <v>16798896.489999998</v>
      </c>
      <c r="G11575" s="128">
        <v>4173171.96</v>
      </c>
      <c r="H11575" s="128">
        <v>2995474.95</v>
      </c>
      <c r="I11575" s="128">
        <v>40367</v>
      </c>
    </row>
    <row r="11576" spans="1:9" ht="13.5">
      <c r="A11576" s="128">
        <v>2021</v>
      </c>
      <c r="B11576" s="128" t="s">
        <v>139</v>
      </c>
      <c r="C11576" s="128" t="s">
        <v>24</v>
      </c>
      <c r="D11576" s="128" t="s">
        <v>76</v>
      </c>
      <c r="E11576" s="128" t="s">
        <v>136</v>
      </c>
      <c r="F11576" s="128">
        <v>9333318.7300000004</v>
      </c>
      <c r="G11576" s="128">
        <v>7011481.3700000001</v>
      </c>
      <c r="H11576" s="128">
        <v>2321835.81</v>
      </c>
      <c r="I11576" s="128">
        <v>131960</v>
      </c>
    </row>
    <row r="11577" spans="1:9" ht="13.5">
      <c r="A11577" s="128">
        <v>2021</v>
      </c>
      <c r="B11577" s="128" t="s">
        <v>139</v>
      </c>
      <c r="C11577" s="128" t="s">
        <v>24</v>
      </c>
      <c r="D11577" s="128" t="s">
        <v>76</v>
      </c>
      <c r="E11577" s="128" t="s">
        <v>132</v>
      </c>
      <c r="F11577" s="128">
        <v>10688171.449999999</v>
      </c>
      <c r="G11577" s="128">
        <v>6924998.96</v>
      </c>
      <c r="H11577" s="128">
        <v>3763164.3</v>
      </c>
      <c r="I11577" s="128">
        <v>73663</v>
      </c>
    </row>
    <row r="11578" spans="1:9" ht="13.5">
      <c r="A11578" s="128">
        <v>2021</v>
      </c>
      <c r="B11578" s="128" t="s">
        <v>139</v>
      </c>
      <c r="C11578" s="128" t="s">
        <v>24</v>
      </c>
      <c r="D11578" s="128" t="s">
        <v>76</v>
      </c>
      <c r="E11578" s="128" t="s">
        <v>133</v>
      </c>
      <c r="F11578" s="128">
        <v>46984584.390000001</v>
      </c>
      <c r="G11578" s="128">
        <v>25839347.079999998</v>
      </c>
      <c r="H11578" s="128">
        <v>21145234.050000001</v>
      </c>
      <c r="I11578" s="128">
        <v>315883</v>
      </c>
    </row>
    <row r="11579" spans="1:9" ht="13.5">
      <c r="A11579" s="128">
        <v>2021</v>
      </c>
      <c r="B11579" s="128" t="s">
        <v>139</v>
      </c>
      <c r="C11579" s="128" t="s">
        <v>24</v>
      </c>
      <c r="D11579" s="128" t="s">
        <v>76</v>
      </c>
      <c r="E11579" s="128" t="s">
        <v>134</v>
      </c>
      <c r="F11579" s="128">
        <v>53265752.170000002</v>
      </c>
      <c r="G11579" s="128">
        <v>23752834.539999999</v>
      </c>
      <c r="H11579" s="128">
        <v>29512914.93</v>
      </c>
      <c r="I11579" s="128">
        <v>235798</v>
      </c>
    </row>
    <row r="11580" spans="1:9" ht="13.5">
      <c r="A11580" s="128">
        <v>2021</v>
      </c>
      <c r="B11580" s="128" t="s">
        <v>139</v>
      </c>
      <c r="C11580" s="128" t="s">
        <v>24</v>
      </c>
      <c r="D11580" s="128" t="s">
        <v>76</v>
      </c>
      <c r="E11580" s="128" t="s">
        <v>135</v>
      </c>
      <c r="F11580" s="128">
        <v>2365356.86</v>
      </c>
      <c r="G11580" s="128">
        <v>631540.31999999995</v>
      </c>
      <c r="H11580" s="128">
        <v>1733816.54</v>
      </c>
      <c r="I11580" s="128">
        <v>1798</v>
      </c>
    </row>
    <row r="11581" spans="1:9" ht="13.5">
      <c r="A11581" s="128">
        <v>2021</v>
      </c>
      <c r="B11581" s="128" t="s">
        <v>139</v>
      </c>
      <c r="C11581" s="128" t="s">
        <v>25</v>
      </c>
      <c r="D11581" s="128" t="s">
        <v>79</v>
      </c>
      <c r="E11581" s="128" t="s">
        <v>136</v>
      </c>
      <c r="F11581" s="128">
        <v>517884.26</v>
      </c>
      <c r="G11581" s="128">
        <v>388654.83</v>
      </c>
      <c r="H11581" s="128">
        <v>129107.49</v>
      </c>
      <c r="I11581" s="128">
        <v>6385</v>
      </c>
    </row>
    <row r="11582" spans="1:9" ht="13.5">
      <c r="A11582" s="128">
        <v>2021</v>
      </c>
      <c r="B11582" s="128" t="s">
        <v>139</v>
      </c>
      <c r="C11582" s="128" t="s">
        <v>25</v>
      </c>
      <c r="D11582" s="128" t="s">
        <v>79</v>
      </c>
      <c r="E11582" s="128" t="s">
        <v>132</v>
      </c>
      <c r="F11582" s="128">
        <v>74153.05</v>
      </c>
      <c r="G11582" s="128">
        <v>50657.97</v>
      </c>
      <c r="H11582" s="128">
        <v>17107.810000000001</v>
      </c>
      <c r="I11582" s="128">
        <v>277</v>
      </c>
    </row>
    <row r="11583" spans="1:9" ht="13.5">
      <c r="A11583" s="128">
        <v>2021</v>
      </c>
      <c r="B11583" s="128" t="s">
        <v>139</v>
      </c>
      <c r="C11583" s="128" t="s">
        <v>25</v>
      </c>
      <c r="D11583" s="128" t="s">
        <v>79</v>
      </c>
      <c r="E11583" s="128" t="s">
        <v>133</v>
      </c>
      <c r="F11583" s="128">
        <v>54148.4</v>
      </c>
      <c r="G11583" s="128">
        <v>29338.42</v>
      </c>
      <c r="H11583" s="128">
        <v>10079.16</v>
      </c>
      <c r="I11583" s="128">
        <v>120</v>
      </c>
    </row>
    <row r="11584" spans="1:9" ht="13.5">
      <c r="A11584" s="128">
        <v>2021</v>
      </c>
      <c r="B11584" s="128" t="s">
        <v>139</v>
      </c>
      <c r="C11584" s="128" t="s">
        <v>25</v>
      </c>
      <c r="D11584" s="128" t="s">
        <v>79</v>
      </c>
      <c r="E11584" s="128" t="s">
        <v>134</v>
      </c>
      <c r="F11584" s="128">
        <v>197684.13</v>
      </c>
      <c r="G11584" s="128">
        <v>85447.77</v>
      </c>
      <c r="H11584" s="128">
        <v>31978.880000000001</v>
      </c>
      <c r="I11584" s="128">
        <v>550</v>
      </c>
    </row>
    <row r="11585" spans="1:9" ht="13.5">
      <c r="A11585" s="128">
        <v>2021</v>
      </c>
      <c r="B11585" s="128" t="s">
        <v>139</v>
      </c>
      <c r="C11585" s="128" t="s">
        <v>25</v>
      </c>
      <c r="D11585" s="128" t="s">
        <v>79</v>
      </c>
      <c r="E11585" s="128" t="s">
        <v>135</v>
      </c>
      <c r="F11585" s="128">
        <v>1592345</v>
      </c>
      <c r="G11585" s="128">
        <v>366082.24</v>
      </c>
      <c r="H11585" s="128">
        <v>138594.04999999999</v>
      </c>
      <c r="I11585" s="128">
        <v>2627</v>
      </c>
    </row>
    <row r="11586" spans="1:9" ht="13.5">
      <c r="A11586" s="128">
        <v>2021</v>
      </c>
      <c r="B11586" s="128" t="s">
        <v>139</v>
      </c>
      <c r="C11586" s="128" t="s">
        <v>25</v>
      </c>
      <c r="D11586" s="128" t="s">
        <v>77</v>
      </c>
      <c r="E11586" s="128" t="s">
        <v>132</v>
      </c>
      <c r="F11586" s="128">
        <v>128162.35</v>
      </c>
      <c r="G11586" s="128">
        <v>87148.46</v>
      </c>
      <c r="H11586" s="128">
        <v>33899.94</v>
      </c>
      <c r="I11586" s="128">
        <v>566</v>
      </c>
    </row>
    <row r="11587" spans="1:9" ht="13.5">
      <c r="A11587" s="128">
        <v>2021</v>
      </c>
      <c r="B11587" s="128" t="s">
        <v>139</v>
      </c>
      <c r="C11587" s="128" t="s">
        <v>25</v>
      </c>
      <c r="D11587" s="128" t="s">
        <v>77</v>
      </c>
      <c r="E11587" s="128" t="s">
        <v>133</v>
      </c>
      <c r="F11587" s="128">
        <v>267943.25</v>
      </c>
      <c r="G11587" s="128">
        <v>143790.63</v>
      </c>
      <c r="H11587" s="128">
        <v>113428.62</v>
      </c>
      <c r="I11587" s="128">
        <v>1328</v>
      </c>
    </row>
    <row r="11588" spans="1:9" ht="13.5">
      <c r="A11588" s="128">
        <v>2021</v>
      </c>
      <c r="B11588" s="128" t="s">
        <v>139</v>
      </c>
      <c r="C11588" s="128" t="s">
        <v>25</v>
      </c>
      <c r="D11588" s="128" t="s">
        <v>77</v>
      </c>
      <c r="E11588" s="128" t="s">
        <v>134</v>
      </c>
      <c r="F11588" s="128">
        <v>1955757.4</v>
      </c>
      <c r="G11588" s="128">
        <v>831295.09</v>
      </c>
      <c r="H11588" s="128">
        <v>882150.92</v>
      </c>
      <c r="I11588" s="128">
        <v>2638</v>
      </c>
    </row>
    <row r="11589" spans="1:9" ht="13.5">
      <c r="A11589" s="128">
        <v>2021</v>
      </c>
      <c r="B11589" s="128" t="s">
        <v>139</v>
      </c>
      <c r="C11589" s="128" t="s">
        <v>25</v>
      </c>
      <c r="D11589" s="128" t="s">
        <v>77</v>
      </c>
      <c r="E11589" s="128" t="s">
        <v>135</v>
      </c>
      <c r="F11589" s="128">
        <v>2587101.19</v>
      </c>
      <c r="G11589" s="128">
        <v>681228.09</v>
      </c>
      <c r="H11589" s="128">
        <v>785657.43</v>
      </c>
      <c r="I11589" s="128">
        <v>5986</v>
      </c>
    </row>
    <row r="11590" spans="1:9" ht="13.5">
      <c r="A11590" s="128">
        <v>2021</v>
      </c>
      <c r="B11590" s="128" t="s">
        <v>139</v>
      </c>
      <c r="C11590" s="128" t="s">
        <v>25</v>
      </c>
      <c r="D11590" s="128" t="s">
        <v>76</v>
      </c>
      <c r="E11590" s="128" t="s">
        <v>136</v>
      </c>
      <c r="F11590" s="128">
        <v>2064349.95</v>
      </c>
      <c r="G11590" s="128">
        <v>1550303.61</v>
      </c>
      <c r="H11590" s="128">
        <v>514046.34</v>
      </c>
      <c r="I11590" s="128">
        <v>32922</v>
      </c>
    </row>
    <row r="11591" spans="1:9" ht="13.5">
      <c r="A11591" s="128">
        <v>2021</v>
      </c>
      <c r="B11591" s="128" t="s">
        <v>139</v>
      </c>
      <c r="C11591" s="128" t="s">
        <v>25</v>
      </c>
      <c r="D11591" s="128" t="s">
        <v>76</v>
      </c>
      <c r="E11591" s="128" t="s">
        <v>132</v>
      </c>
      <c r="F11591" s="128">
        <v>2832253.86</v>
      </c>
      <c r="G11591" s="128">
        <v>1796471.23</v>
      </c>
      <c r="H11591" s="128">
        <v>1035779.08</v>
      </c>
      <c r="I11591" s="128">
        <v>19785</v>
      </c>
    </row>
    <row r="11592" spans="1:9" ht="13.5">
      <c r="A11592" s="128">
        <v>2021</v>
      </c>
      <c r="B11592" s="128" t="s">
        <v>139</v>
      </c>
      <c r="C11592" s="128" t="s">
        <v>25</v>
      </c>
      <c r="D11592" s="128" t="s">
        <v>76</v>
      </c>
      <c r="E11592" s="128" t="s">
        <v>133</v>
      </c>
      <c r="F11592" s="128">
        <v>9166436.3300000001</v>
      </c>
      <c r="G11592" s="128">
        <v>5009728.97</v>
      </c>
      <c r="H11592" s="128">
        <v>4156705.48</v>
      </c>
      <c r="I11592" s="128">
        <v>56177</v>
      </c>
    </row>
    <row r="11593" spans="1:9" ht="13.5">
      <c r="A11593" s="128">
        <v>2021</v>
      </c>
      <c r="B11593" s="128" t="s">
        <v>139</v>
      </c>
      <c r="C11593" s="128" t="s">
        <v>25</v>
      </c>
      <c r="D11593" s="128" t="s">
        <v>76</v>
      </c>
      <c r="E11593" s="128" t="s">
        <v>134</v>
      </c>
      <c r="F11593" s="128">
        <v>11307851.789999999</v>
      </c>
      <c r="G11593" s="128">
        <v>5185305.93</v>
      </c>
      <c r="H11593" s="128">
        <v>6122544.4400000004</v>
      </c>
      <c r="I11593" s="128">
        <v>53184</v>
      </c>
    </row>
    <row r="11594" spans="1:9" ht="13.5">
      <c r="A11594" s="128">
        <v>2021</v>
      </c>
      <c r="B11594" s="128" t="s">
        <v>139</v>
      </c>
      <c r="C11594" s="128" t="s">
        <v>25</v>
      </c>
      <c r="D11594" s="128" t="s">
        <v>76</v>
      </c>
      <c r="E11594" s="128" t="s">
        <v>135</v>
      </c>
      <c r="F11594" s="128">
        <v>435050.48</v>
      </c>
      <c r="G11594" s="128">
        <v>119698.2</v>
      </c>
      <c r="H11594" s="128">
        <v>315351.28000000003</v>
      </c>
      <c r="I11594" s="128">
        <v>317</v>
      </c>
    </row>
    <row r="11595" spans="1:9" ht="13.5">
      <c r="A11595" s="128">
        <v>2021</v>
      </c>
      <c r="B11595" s="128" t="s">
        <v>139</v>
      </c>
      <c r="C11595" s="128" t="s">
        <v>26</v>
      </c>
      <c r="D11595" s="128" t="s">
        <v>79</v>
      </c>
      <c r="E11595" s="128" t="s">
        <v>136</v>
      </c>
      <c r="F11595" s="128">
        <v>518503.79</v>
      </c>
      <c r="G11595" s="128">
        <v>379573.42</v>
      </c>
      <c r="H11595" s="128">
        <v>128454.38</v>
      </c>
      <c r="I11595" s="128">
        <v>5478</v>
      </c>
    </row>
    <row r="11596" spans="1:9" ht="13.5">
      <c r="A11596" s="128">
        <v>2021</v>
      </c>
      <c r="B11596" s="128" t="s">
        <v>139</v>
      </c>
      <c r="C11596" s="128" t="s">
        <v>26</v>
      </c>
      <c r="D11596" s="128" t="s">
        <v>79</v>
      </c>
      <c r="E11596" s="128" t="s">
        <v>132</v>
      </c>
      <c r="F11596" s="128">
        <v>79117.25</v>
      </c>
      <c r="G11596" s="128">
        <v>54163.64</v>
      </c>
      <c r="H11596" s="128">
        <v>17849.400000000001</v>
      </c>
      <c r="I11596" s="128">
        <v>396</v>
      </c>
    </row>
    <row r="11597" spans="1:9" ht="13.5">
      <c r="A11597" s="128">
        <v>2021</v>
      </c>
      <c r="B11597" s="128" t="s">
        <v>139</v>
      </c>
      <c r="C11597" s="128" t="s">
        <v>26</v>
      </c>
      <c r="D11597" s="128" t="s">
        <v>79</v>
      </c>
      <c r="E11597" s="128" t="s">
        <v>133</v>
      </c>
      <c r="F11597" s="128">
        <v>100706.51</v>
      </c>
      <c r="G11597" s="128">
        <v>54167.67</v>
      </c>
      <c r="H11597" s="128">
        <v>17242.61</v>
      </c>
      <c r="I11597" s="128">
        <v>344</v>
      </c>
    </row>
    <row r="11598" spans="1:9" ht="13.5">
      <c r="A11598" s="128">
        <v>2021</v>
      </c>
      <c r="B11598" s="128" t="s">
        <v>139</v>
      </c>
      <c r="C11598" s="128" t="s">
        <v>26</v>
      </c>
      <c r="D11598" s="128" t="s">
        <v>79</v>
      </c>
      <c r="E11598" s="128" t="s">
        <v>134</v>
      </c>
      <c r="F11598" s="128">
        <v>360823.08</v>
      </c>
      <c r="G11598" s="128">
        <v>154391.96</v>
      </c>
      <c r="H11598" s="128">
        <v>51893.05</v>
      </c>
      <c r="I11598" s="128">
        <v>1379</v>
      </c>
    </row>
    <row r="11599" spans="1:9" ht="13.5">
      <c r="A11599" s="128">
        <v>2021</v>
      </c>
      <c r="B11599" s="128" t="s">
        <v>139</v>
      </c>
      <c r="C11599" s="128" t="s">
        <v>26</v>
      </c>
      <c r="D11599" s="128" t="s">
        <v>79</v>
      </c>
      <c r="E11599" s="128" t="s">
        <v>135</v>
      </c>
      <c r="F11599" s="128">
        <v>5601550.3799999999</v>
      </c>
      <c r="G11599" s="128">
        <v>1222569.83</v>
      </c>
      <c r="H11599" s="128">
        <v>410977.73</v>
      </c>
      <c r="I11599" s="128">
        <v>4935</v>
      </c>
    </row>
    <row r="11600" spans="1:9" ht="13.5">
      <c r="A11600" s="128">
        <v>2021</v>
      </c>
      <c r="B11600" s="128" t="s">
        <v>139</v>
      </c>
      <c r="C11600" s="128" t="s">
        <v>26</v>
      </c>
      <c r="D11600" s="128" t="s">
        <v>77</v>
      </c>
      <c r="E11600" s="128" t="s">
        <v>132</v>
      </c>
      <c r="F11600" s="128">
        <v>79063.600000000006</v>
      </c>
      <c r="G11600" s="128">
        <v>51931.23</v>
      </c>
      <c r="H11600" s="128">
        <v>23659.42</v>
      </c>
      <c r="I11600" s="128">
        <v>336</v>
      </c>
    </row>
    <row r="11601" spans="1:9" ht="13.5">
      <c r="A11601" s="128">
        <v>2021</v>
      </c>
      <c r="B11601" s="128" t="s">
        <v>139</v>
      </c>
      <c r="C11601" s="128" t="s">
        <v>26</v>
      </c>
      <c r="D11601" s="128" t="s">
        <v>77</v>
      </c>
      <c r="E11601" s="128" t="s">
        <v>133</v>
      </c>
      <c r="F11601" s="128">
        <v>159494.72</v>
      </c>
      <c r="G11601" s="128">
        <v>86679.45</v>
      </c>
      <c r="H11601" s="128">
        <v>62958.57</v>
      </c>
      <c r="I11601" s="128">
        <v>431</v>
      </c>
    </row>
    <row r="11602" spans="1:9" ht="13.5">
      <c r="A11602" s="128">
        <v>2021</v>
      </c>
      <c r="B11602" s="128" t="s">
        <v>139</v>
      </c>
      <c r="C11602" s="128" t="s">
        <v>26</v>
      </c>
      <c r="D11602" s="128" t="s">
        <v>77</v>
      </c>
      <c r="E11602" s="128" t="s">
        <v>134</v>
      </c>
      <c r="F11602" s="128">
        <v>492476.81</v>
      </c>
      <c r="G11602" s="128">
        <v>211675.72</v>
      </c>
      <c r="H11602" s="128">
        <v>202541.01</v>
      </c>
      <c r="I11602" s="128">
        <v>1090</v>
      </c>
    </row>
    <row r="11603" spans="1:9" ht="13.5">
      <c r="A11603" s="128">
        <v>2021</v>
      </c>
      <c r="B11603" s="128" t="s">
        <v>139</v>
      </c>
      <c r="C11603" s="128" t="s">
        <v>26</v>
      </c>
      <c r="D11603" s="128" t="s">
        <v>77</v>
      </c>
      <c r="E11603" s="128" t="s">
        <v>135</v>
      </c>
      <c r="F11603" s="128">
        <v>4421750.6500000004</v>
      </c>
      <c r="G11603" s="128">
        <v>1129827.24</v>
      </c>
      <c r="H11603" s="128">
        <v>1017528.06</v>
      </c>
      <c r="I11603" s="128">
        <v>13082</v>
      </c>
    </row>
    <row r="11604" spans="1:9" ht="13.5">
      <c r="A11604" s="128">
        <v>2021</v>
      </c>
      <c r="B11604" s="128" t="s">
        <v>139</v>
      </c>
      <c r="C11604" s="128" t="s">
        <v>26</v>
      </c>
      <c r="D11604" s="128" t="s">
        <v>76</v>
      </c>
      <c r="E11604" s="128" t="s">
        <v>136</v>
      </c>
      <c r="F11604" s="128">
        <v>425971.72</v>
      </c>
      <c r="G11604" s="128">
        <v>320267.59999999998</v>
      </c>
      <c r="H11604" s="128">
        <v>105704.12</v>
      </c>
      <c r="I11604" s="128">
        <v>11225</v>
      </c>
    </row>
    <row r="11605" spans="1:9" ht="13.5">
      <c r="A11605" s="128">
        <v>2021</v>
      </c>
      <c r="B11605" s="128" t="s">
        <v>139</v>
      </c>
      <c r="C11605" s="128" t="s">
        <v>26</v>
      </c>
      <c r="D11605" s="128" t="s">
        <v>76</v>
      </c>
      <c r="E11605" s="128" t="s">
        <v>132</v>
      </c>
      <c r="F11605" s="128">
        <v>2196825.3199999998</v>
      </c>
      <c r="G11605" s="128">
        <v>1449644.49</v>
      </c>
      <c r="H11605" s="128">
        <v>747152.93</v>
      </c>
      <c r="I11605" s="128">
        <v>19125</v>
      </c>
    </row>
    <row r="11606" spans="1:9" ht="13.5">
      <c r="A11606" s="128">
        <v>2021</v>
      </c>
      <c r="B11606" s="128" t="s">
        <v>139</v>
      </c>
      <c r="C11606" s="128" t="s">
        <v>26</v>
      </c>
      <c r="D11606" s="128" t="s">
        <v>76</v>
      </c>
      <c r="E11606" s="128" t="s">
        <v>133</v>
      </c>
      <c r="F11606" s="128">
        <v>3843367.33</v>
      </c>
      <c r="G11606" s="128">
        <v>2123796.4</v>
      </c>
      <c r="H11606" s="128">
        <v>1719566.81</v>
      </c>
      <c r="I11606" s="128">
        <v>30158</v>
      </c>
    </row>
    <row r="11607" spans="1:9" ht="13.5">
      <c r="A11607" s="128">
        <v>2021</v>
      </c>
      <c r="B11607" s="128" t="s">
        <v>139</v>
      </c>
      <c r="C11607" s="128" t="s">
        <v>26</v>
      </c>
      <c r="D11607" s="128" t="s">
        <v>76</v>
      </c>
      <c r="E11607" s="128" t="s">
        <v>134</v>
      </c>
      <c r="F11607" s="128">
        <v>2985206.44</v>
      </c>
      <c r="G11607" s="128">
        <v>1374926.5</v>
      </c>
      <c r="H11607" s="128">
        <v>1610231.98</v>
      </c>
      <c r="I11607" s="128">
        <v>15810</v>
      </c>
    </row>
    <row r="11608" spans="1:9" ht="13.5">
      <c r="A11608" s="128">
        <v>2021</v>
      </c>
      <c r="B11608" s="128" t="s">
        <v>139</v>
      </c>
      <c r="C11608" s="128" t="s">
        <v>26</v>
      </c>
      <c r="D11608" s="128" t="s">
        <v>76</v>
      </c>
      <c r="E11608" s="128" t="s">
        <v>135</v>
      </c>
      <c r="F11608" s="128">
        <v>352968.48</v>
      </c>
      <c r="G11608" s="128">
        <v>113583.83</v>
      </c>
      <c r="H11608" s="128">
        <v>239384.65</v>
      </c>
      <c r="I11608" s="128">
        <v>879</v>
      </c>
    </row>
    <row r="11609" spans="1:9" ht="13.5">
      <c r="A11609" s="128">
        <v>2021</v>
      </c>
      <c r="B11609" s="128" t="s">
        <v>139</v>
      </c>
      <c r="C11609" s="128" t="s">
        <v>27</v>
      </c>
      <c r="D11609" s="128" t="s">
        <v>79</v>
      </c>
      <c r="E11609" s="128" t="s">
        <v>136</v>
      </c>
      <c r="F11609" s="128">
        <v>215609.79</v>
      </c>
      <c r="G11609" s="128">
        <v>161313.57</v>
      </c>
      <c r="H11609" s="128">
        <v>53724.91</v>
      </c>
      <c r="I11609" s="128">
        <v>1438</v>
      </c>
    </row>
    <row r="11610" spans="1:9" ht="13.5">
      <c r="A11610" s="128">
        <v>2021</v>
      </c>
      <c r="B11610" s="128" t="s">
        <v>139</v>
      </c>
      <c r="C11610" s="128" t="s">
        <v>27</v>
      </c>
      <c r="D11610" s="128" t="s">
        <v>79</v>
      </c>
      <c r="E11610" s="128" t="s">
        <v>132</v>
      </c>
      <c r="F11610" s="128">
        <v>24331.75</v>
      </c>
      <c r="G11610" s="128">
        <v>16226.3</v>
      </c>
      <c r="H11610" s="128">
        <v>4809.6000000000004</v>
      </c>
      <c r="I11610" s="128">
        <v>116</v>
      </c>
    </row>
    <row r="11611" spans="1:9" ht="13.5">
      <c r="A11611" s="128">
        <v>2021</v>
      </c>
      <c r="B11611" s="128" t="s">
        <v>139</v>
      </c>
      <c r="C11611" s="128" t="s">
        <v>27</v>
      </c>
      <c r="D11611" s="128" t="s">
        <v>79</v>
      </c>
      <c r="E11611" s="128" t="s">
        <v>133</v>
      </c>
      <c r="F11611" s="128">
        <v>17176.29</v>
      </c>
      <c r="G11611" s="128">
        <v>9074.16</v>
      </c>
      <c r="H11611" s="128">
        <v>3055.13</v>
      </c>
      <c r="I11611" s="128">
        <v>48</v>
      </c>
    </row>
    <row r="11612" spans="1:9" ht="13.5">
      <c r="A11612" s="128">
        <v>2021</v>
      </c>
      <c r="B11612" s="128" t="s">
        <v>139</v>
      </c>
      <c r="C11612" s="128" t="s">
        <v>27</v>
      </c>
      <c r="D11612" s="128" t="s">
        <v>79</v>
      </c>
      <c r="E11612" s="128" t="s">
        <v>134</v>
      </c>
      <c r="F11612" s="128">
        <v>64491.85</v>
      </c>
      <c r="G11612" s="128">
        <v>27919.31</v>
      </c>
      <c r="H11612" s="128">
        <v>9742.5300000000007</v>
      </c>
      <c r="I11612" s="128">
        <v>270</v>
      </c>
    </row>
    <row r="11613" spans="1:9" ht="13.5">
      <c r="A11613" s="128">
        <v>2021</v>
      </c>
      <c r="B11613" s="128" t="s">
        <v>139</v>
      </c>
      <c r="C11613" s="128" t="s">
        <v>27</v>
      </c>
      <c r="D11613" s="128" t="s">
        <v>79</v>
      </c>
      <c r="E11613" s="128" t="s">
        <v>135</v>
      </c>
      <c r="F11613" s="128">
        <v>1266427.81</v>
      </c>
      <c r="G11613" s="128">
        <v>289148.21999999997</v>
      </c>
      <c r="H11613" s="128">
        <v>95782.7</v>
      </c>
      <c r="I11613" s="128">
        <v>784</v>
      </c>
    </row>
    <row r="11614" spans="1:9" ht="13.5">
      <c r="A11614" s="128">
        <v>2021</v>
      </c>
      <c r="B11614" s="128" t="s">
        <v>139</v>
      </c>
      <c r="C11614" s="128" t="s">
        <v>27</v>
      </c>
      <c r="D11614" s="128" t="s">
        <v>77</v>
      </c>
      <c r="E11614" s="128" t="s">
        <v>132</v>
      </c>
      <c r="F11614" s="128">
        <v>27587.18</v>
      </c>
      <c r="G11614" s="128">
        <v>17549.16</v>
      </c>
      <c r="H11614" s="128">
        <v>7747.1</v>
      </c>
      <c r="I11614" s="128">
        <v>102</v>
      </c>
    </row>
    <row r="11615" spans="1:9" ht="13.5">
      <c r="A11615" s="128">
        <v>2021</v>
      </c>
      <c r="B11615" s="128" t="s">
        <v>139</v>
      </c>
      <c r="C11615" s="128" t="s">
        <v>27</v>
      </c>
      <c r="D11615" s="128" t="s">
        <v>77</v>
      </c>
      <c r="E11615" s="128" t="s">
        <v>133</v>
      </c>
      <c r="F11615" s="128">
        <v>96121.89</v>
      </c>
      <c r="G11615" s="128">
        <v>52405.29</v>
      </c>
      <c r="H11615" s="128">
        <v>40717.519999999997</v>
      </c>
      <c r="I11615" s="128">
        <v>218</v>
      </c>
    </row>
    <row r="11616" spans="1:9" ht="13.5">
      <c r="A11616" s="128">
        <v>2021</v>
      </c>
      <c r="B11616" s="128" t="s">
        <v>139</v>
      </c>
      <c r="C11616" s="128" t="s">
        <v>27</v>
      </c>
      <c r="D11616" s="128" t="s">
        <v>77</v>
      </c>
      <c r="E11616" s="128" t="s">
        <v>134</v>
      </c>
      <c r="F11616" s="128">
        <v>275012.37</v>
      </c>
      <c r="G11616" s="128">
        <v>117794.83</v>
      </c>
      <c r="H11616" s="128">
        <v>118815.2</v>
      </c>
      <c r="I11616" s="128">
        <v>399</v>
      </c>
    </row>
    <row r="11617" spans="1:9" ht="13.5">
      <c r="A11617" s="128">
        <v>2021</v>
      </c>
      <c r="B11617" s="128" t="s">
        <v>139</v>
      </c>
      <c r="C11617" s="128" t="s">
        <v>27</v>
      </c>
      <c r="D11617" s="128" t="s">
        <v>77</v>
      </c>
      <c r="E11617" s="128" t="s">
        <v>135</v>
      </c>
      <c r="F11617" s="128">
        <v>520439.24</v>
      </c>
      <c r="G11617" s="128">
        <v>140485.01999999999</v>
      </c>
      <c r="H11617" s="128">
        <v>154523.26</v>
      </c>
      <c r="I11617" s="128">
        <v>1830</v>
      </c>
    </row>
    <row r="11618" spans="1:9" ht="13.5">
      <c r="A11618" s="128">
        <v>2021</v>
      </c>
      <c r="B11618" s="128" t="s">
        <v>139</v>
      </c>
      <c r="C11618" s="128" t="s">
        <v>27</v>
      </c>
      <c r="D11618" s="128" t="s">
        <v>76</v>
      </c>
      <c r="E11618" s="128" t="s">
        <v>136</v>
      </c>
      <c r="F11618" s="128">
        <v>366723.24</v>
      </c>
      <c r="G11618" s="128">
        <v>275321.2</v>
      </c>
      <c r="H11618" s="128">
        <v>91402.04</v>
      </c>
      <c r="I11618" s="128">
        <v>5599</v>
      </c>
    </row>
    <row r="11619" spans="1:9" ht="13.5">
      <c r="A11619" s="128">
        <v>2021</v>
      </c>
      <c r="B11619" s="128" t="s">
        <v>139</v>
      </c>
      <c r="C11619" s="128" t="s">
        <v>27</v>
      </c>
      <c r="D11619" s="128" t="s">
        <v>76</v>
      </c>
      <c r="E11619" s="128" t="s">
        <v>132</v>
      </c>
      <c r="F11619" s="128">
        <v>521991.72</v>
      </c>
      <c r="G11619" s="128">
        <v>332845.55</v>
      </c>
      <c r="H11619" s="128">
        <v>189145.17</v>
      </c>
      <c r="I11619" s="128">
        <v>3526</v>
      </c>
    </row>
    <row r="11620" spans="1:9" ht="13.5">
      <c r="A11620" s="128">
        <v>2021</v>
      </c>
      <c r="B11620" s="128" t="s">
        <v>139</v>
      </c>
      <c r="C11620" s="128" t="s">
        <v>27</v>
      </c>
      <c r="D11620" s="128" t="s">
        <v>76</v>
      </c>
      <c r="E11620" s="128" t="s">
        <v>133</v>
      </c>
      <c r="F11620" s="128">
        <v>1246116.05</v>
      </c>
      <c r="G11620" s="128">
        <v>676061.3</v>
      </c>
      <c r="H11620" s="128">
        <v>570056.02</v>
      </c>
      <c r="I11620" s="128">
        <v>5717</v>
      </c>
    </row>
    <row r="11621" spans="1:9" ht="13.5">
      <c r="A11621" s="128">
        <v>2021</v>
      </c>
      <c r="B11621" s="128" t="s">
        <v>139</v>
      </c>
      <c r="C11621" s="128" t="s">
        <v>27</v>
      </c>
      <c r="D11621" s="128" t="s">
        <v>76</v>
      </c>
      <c r="E11621" s="128" t="s">
        <v>134</v>
      </c>
      <c r="F11621" s="128">
        <v>2050201.09</v>
      </c>
      <c r="G11621" s="128">
        <v>940670.81</v>
      </c>
      <c r="H11621" s="128">
        <v>1109518.8999999999</v>
      </c>
      <c r="I11621" s="128">
        <v>10091</v>
      </c>
    </row>
    <row r="11622" spans="1:9" ht="13.5">
      <c r="A11622" s="128">
        <v>2021</v>
      </c>
      <c r="B11622" s="128" t="s">
        <v>139</v>
      </c>
      <c r="C11622" s="128" t="s">
        <v>27</v>
      </c>
      <c r="D11622" s="128" t="s">
        <v>76</v>
      </c>
      <c r="E11622" s="128" t="s">
        <v>135</v>
      </c>
      <c r="F11622" s="128">
        <v>58408.85</v>
      </c>
      <c r="G11622" s="128">
        <v>18138.79</v>
      </c>
      <c r="H11622" s="128">
        <v>40270.06</v>
      </c>
      <c r="I11622" s="128">
        <v>76</v>
      </c>
    </row>
    <row r="11623" spans="1:9" ht="13.5">
      <c r="A11623" s="128">
        <v>2021</v>
      </c>
      <c r="B11623" s="128" t="s">
        <v>137</v>
      </c>
      <c r="C11623" s="128" t="s">
        <v>20</v>
      </c>
      <c r="D11623" s="128" t="s">
        <v>79</v>
      </c>
      <c r="E11623" s="128" t="s">
        <v>136</v>
      </c>
      <c r="F11623" s="128">
        <v>27140902.079999998</v>
      </c>
      <c r="G11623" s="128">
        <v>20293961.75</v>
      </c>
      <c r="H11623" s="128">
        <v>6817103.3899999997</v>
      </c>
      <c r="I11623" s="128">
        <v>230138</v>
      </c>
    </row>
    <row r="11624" spans="1:9" ht="13.5">
      <c r="A11624" s="128">
        <v>2021</v>
      </c>
      <c r="B11624" s="128" t="s">
        <v>137</v>
      </c>
      <c r="C11624" s="128" t="s">
        <v>20</v>
      </c>
      <c r="D11624" s="128" t="s">
        <v>79</v>
      </c>
      <c r="E11624" s="128" t="s">
        <v>132</v>
      </c>
      <c r="F11624" s="128">
        <v>2779431.56</v>
      </c>
      <c r="G11624" s="128">
        <v>1885144.02</v>
      </c>
      <c r="H11624" s="128">
        <v>656194.05000000005</v>
      </c>
      <c r="I11624" s="128">
        <v>10455</v>
      </c>
    </row>
    <row r="11625" spans="1:9" ht="13.5">
      <c r="A11625" s="128">
        <v>2021</v>
      </c>
      <c r="B11625" s="128" t="s">
        <v>137</v>
      </c>
      <c r="C11625" s="128" t="s">
        <v>20</v>
      </c>
      <c r="D11625" s="128" t="s">
        <v>79</v>
      </c>
      <c r="E11625" s="128" t="s">
        <v>133</v>
      </c>
      <c r="F11625" s="128">
        <v>1773126.91</v>
      </c>
      <c r="G11625" s="128">
        <v>963386.39</v>
      </c>
      <c r="H11625" s="128">
        <v>325816.93</v>
      </c>
      <c r="I11625" s="128">
        <v>4521</v>
      </c>
    </row>
    <row r="11626" spans="1:9" ht="13.5">
      <c r="A11626" s="128">
        <v>2021</v>
      </c>
      <c r="B11626" s="128" t="s">
        <v>137</v>
      </c>
      <c r="C11626" s="128" t="s">
        <v>20</v>
      </c>
      <c r="D11626" s="128" t="s">
        <v>79</v>
      </c>
      <c r="E11626" s="128" t="s">
        <v>134</v>
      </c>
      <c r="F11626" s="128">
        <v>5631552.9500000002</v>
      </c>
      <c r="G11626" s="128">
        <v>2433056.2400000002</v>
      </c>
      <c r="H11626" s="128">
        <v>824712.06</v>
      </c>
      <c r="I11626" s="128">
        <v>16955</v>
      </c>
    </row>
    <row r="11627" spans="1:9" ht="13.5">
      <c r="A11627" s="128">
        <v>2021</v>
      </c>
      <c r="B11627" s="128" t="s">
        <v>137</v>
      </c>
      <c r="C11627" s="128" t="s">
        <v>20</v>
      </c>
      <c r="D11627" s="128" t="s">
        <v>79</v>
      </c>
      <c r="E11627" s="128" t="s">
        <v>135</v>
      </c>
      <c r="F11627" s="128">
        <v>69665853.090000004</v>
      </c>
      <c r="G11627" s="128">
        <v>14940551.970000001</v>
      </c>
      <c r="H11627" s="128">
        <v>5028071.51</v>
      </c>
      <c r="I11627" s="128">
        <v>62448</v>
      </c>
    </row>
    <row r="11628" spans="1:9" ht="13.5">
      <c r="A11628" s="128">
        <v>2021</v>
      </c>
      <c r="B11628" s="128" t="s">
        <v>137</v>
      </c>
      <c r="C11628" s="128" t="s">
        <v>20</v>
      </c>
      <c r="D11628" s="128" t="s">
        <v>77</v>
      </c>
      <c r="E11628" s="128" t="s">
        <v>132</v>
      </c>
      <c r="F11628" s="128">
        <v>2844366.94</v>
      </c>
      <c r="G11628" s="128">
        <v>1868835.43</v>
      </c>
      <c r="H11628" s="128">
        <v>839091.75</v>
      </c>
      <c r="I11628" s="128">
        <v>11925</v>
      </c>
    </row>
    <row r="11629" spans="1:9" ht="13.5">
      <c r="A11629" s="128">
        <v>2021</v>
      </c>
      <c r="B11629" s="128" t="s">
        <v>137</v>
      </c>
      <c r="C11629" s="128" t="s">
        <v>20</v>
      </c>
      <c r="D11629" s="128" t="s">
        <v>77</v>
      </c>
      <c r="E11629" s="128" t="s">
        <v>133</v>
      </c>
      <c r="F11629" s="128">
        <v>6394987.1799999997</v>
      </c>
      <c r="G11629" s="128">
        <v>3440187.78</v>
      </c>
      <c r="H11629" s="128">
        <v>2655491.2799999998</v>
      </c>
      <c r="I11629" s="128">
        <v>20536</v>
      </c>
    </row>
    <row r="11630" spans="1:9" ht="13.5">
      <c r="A11630" s="128">
        <v>2021</v>
      </c>
      <c r="B11630" s="128" t="s">
        <v>137</v>
      </c>
      <c r="C11630" s="128" t="s">
        <v>20</v>
      </c>
      <c r="D11630" s="128" t="s">
        <v>77</v>
      </c>
      <c r="E11630" s="128" t="s">
        <v>134</v>
      </c>
      <c r="F11630" s="128">
        <v>18353667.309999999</v>
      </c>
      <c r="G11630" s="128">
        <v>7858502.5700000003</v>
      </c>
      <c r="H11630" s="128">
        <v>7834280.7400000002</v>
      </c>
      <c r="I11630" s="128">
        <v>33543</v>
      </c>
    </row>
    <row r="11631" spans="1:9" ht="13.5">
      <c r="A11631" s="128">
        <v>2021</v>
      </c>
      <c r="B11631" s="128" t="s">
        <v>137</v>
      </c>
      <c r="C11631" s="128" t="s">
        <v>20</v>
      </c>
      <c r="D11631" s="128" t="s">
        <v>77</v>
      </c>
      <c r="E11631" s="128" t="s">
        <v>135</v>
      </c>
      <c r="F11631" s="128">
        <v>55745719.729999997</v>
      </c>
      <c r="G11631" s="128">
        <v>14084091.99</v>
      </c>
      <c r="H11631" s="128">
        <v>14150951.73</v>
      </c>
      <c r="I11631" s="128">
        <v>156883</v>
      </c>
    </row>
    <row r="11632" spans="1:9" ht="13.5">
      <c r="A11632" s="128">
        <v>2021</v>
      </c>
      <c r="B11632" s="128" t="s">
        <v>137</v>
      </c>
      <c r="C11632" s="128" t="s">
        <v>20</v>
      </c>
      <c r="D11632" s="128" t="s">
        <v>76</v>
      </c>
      <c r="E11632" s="128" t="s">
        <v>136</v>
      </c>
      <c r="F11632" s="128">
        <v>30023830.34</v>
      </c>
      <c r="G11632" s="128">
        <v>22581868.109999999</v>
      </c>
      <c r="H11632" s="128">
        <v>7441956.6100000003</v>
      </c>
      <c r="I11632" s="128">
        <v>905666</v>
      </c>
    </row>
    <row r="11633" spans="1:9" ht="13.5">
      <c r="A11633" s="128">
        <v>2021</v>
      </c>
      <c r="B11633" s="128" t="s">
        <v>137</v>
      </c>
      <c r="C11633" s="128" t="s">
        <v>20</v>
      </c>
      <c r="D11633" s="128" t="s">
        <v>76</v>
      </c>
      <c r="E11633" s="128" t="s">
        <v>132</v>
      </c>
      <c r="F11633" s="128">
        <v>56275644.909999996</v>
      </c>
      <c r="G11633" s="128">
        <v>35933310.890000001</v>
      </c>
      <c r="H11633" s="128">
        <v>20341964.530000001</v>
      </c>
      <c r="I11633" s="128">
        <v>465583</v>
      </c>
    </row>
    <row r="11634" spans="1:9" ht="13.5">
      <c r="A11634" s="128">
        <v>2021</v>
      </c>
      <c r="B11634" s="128" t="s">
        <v>137</v>
      </c>
      <c r="C11634" s="128" t="s">
        <v>20</v>
      </c>
      <c r="D11634" s="128" t="s">
        <v>76</v>
      </c>
      <c r="E11634" s="128" t="s">
        <v>133</v>
      </c>
      <c r="F11634" s="128">
        <v>109071386.53</v>
      </c>
      <c r="G11634" s="128">
        <v>59778720.439999998</v>
      </c>
      <c r="H11634" s="128">
        <v>49292582.729999997</v>
      </c>
      <c r="I11634" s="128">
        <v>616149</v>
      </c>
    </row>
    <row r="11635" spans="1:9" ht="13.5">
      <c r="A11635" s="128">
        <v>2021</v>
      </c>
      <c r="B11635" s="128" t="s">
        <v>137</v>
      </c>
      <c r="C11635" s="128" t="s">
        <v>20</v>
      </c>
      <c r="D11635" s="128" t="s">
        <v>76</v>
      </c>
      <c r="E11635" s="128" t="s">
        <v>134</v>
      </c>
      <c r="F11635" s="128">
        <v>114717380.79000001</v>
      </c>
      <c r="G11635" s="128">
        <v>53318799.409999996</v>
      </c>
      <c r="H11635" s="128">
        <v>61398352.140000001</v>
      </c>
      <c r="I11635" s="128">
        <v>630102</v>
      </c>
    </row>
    <row r="11636" spans="1:9" ht="13.5">
      <c r="A11636" s="128">
        <v>2021</v>
      </c>
      <c r="B11636" s="128" t="s">
        <v>137</v>
      </c>
      <c r="C11636" s="128" t="s">
        <v>20</v>
      </c>
      <c r="D11636" s="128" t="s">
        <v>76</v>
      </c>
      <c r="E11636" s="128" t="s">
        <v>135</v>
      </c>
      <c r="F11636" s="128">
        <v>7204553.4299999997</v>
      </c>
      <c r="G11636" s="128">
        <v>2270210.92</v>
      </c>
      <c r="H11636" s="128">
        <v>4934342.5</v>
      </c>
      <c r="I11636" s="128">
        <v>13970</v>
      </c>
    </row>
    <row r="11637" spans="1:9" ht="13.5">
      <c r="A11637" s="128">
        <v>2021</v>
      </c>
      <c r="B11637" s="128" t="s">
        <v>137</v>
      </c>
      <c r="C11637" s="128" t="s">
        <v>21</v>
      </c>
      <c r="D11637" s="128" t="s">
        <v>79</v>
      </c>
      <c r="E11637" s="128" t="s">
        <v>136</v>
      </c>
      <c r="F11637" s="128">
        <v>7554842.4400000004</v>
      </c>
      <c r="G11637" s="128">
        <v>5657035.5700000003</v>
      </c>
      <c r="H11637" s="128">
        <v>1856363.2</v>
      </c>
      <c r="I11637" s="128">
        <v>141035</v>
      </c>
    </row>
    <row r="11638" spans="1:9" ht="13.5">
      <c r="A11638" s="128">
        <v>2021</v>
      </c>
      <c r="B11638" s="128" t="s">
        <v>137</v>
      </c>
      <c r="C11638" s="128" t="s">
        <v>21</v>
      </c>
      <c r="D11638" s="128" t="s">
        <v>79</v>
      </c>
      <c r="E11638" s="128" t="s">
        <v>132</v>
      </c>
      <c r="F11638" s="128">
        <v>1279919.1000000001</v>
      </c>
      <c r="G11638" s="128">
        <v>853782.4</v>
      </c>
      <c r="H11638" s="128">
        <v>292195.11</v>
      </c>
      <c r="I11638" s="128">
        <v>3374</v>
      </c>
    </row>
    <row r="11639" spans="1:9" ht="13.5">
      <c r="A11639" s="128">
        <v>2021</v>
      </c>
      <c r="B11639" s="128" t="s">
        <v>137</v>
      </c>
      <c r="C11639" s="128" t="s">
        <v>21</v>
      </c>
      <c r="D11639" s="128" t="s">
        <v>79</v>
      </c>
      <c r="E11639" s="128" t="s">
        <v>133</v>
      </c>
      <c r="F11639" s="128">
        <v>2047004.18</v>
      </c>
      <c r="G11639" s="128">
        <v>1103198.68</v>
      </c>
      <c r="H11639" s="128">
        <v>383773.85</v>
      </c>
      <c r="I11639" s="128">
        <v>21007</v>
      </c>
    </row>
    <row r="11640" spans="1:9" ht="13.5">
      <c r="A11640" s="128">
        <v>2021</v>
      </c>
      <c r="B11640" s="128" t="s">
        <v>137</v>
      </c>
      <c r="C11640" s="128" t="s">
        <v>21</v>
      </c>
      <c r="D11640" s="128" t="s">
        <v>79</v>
      </c>
      <c r="E11640" s="128" t="s">
        <v>134</v>
      </c>
      <c r="F11640" s="128">
        <v>3654300.31</v>
      </c>
      <c r="G11640" s="128">
        <v>1595323.74</v>
      </c>
      <c r="H11640" s="128">
        <v>549971.65</v>
      </c>
      <c r="I11640" s="128">
        <v>12740</v>
      </c>
    </row>
    <row r="11641" spans="1:9" ht="13.5">
      <c r="A11641" s="128">
        <v>2021</v>
      </c>
      <c r="B11641" s="128" t="s">
        <v>137</v>
      </c>
      <c r="C11641" s="128" t="s">
        <v>21</v>
      </c>
      <c r="D11641" s="128" t="s">
        <v>79</v>
      </c>
      <c r="E11641" s="128" t="s">
        <v>135</v>
      </c>
      <c r="F11641" s="128">
        <v>27939537.82</v>
      </c>
      <c r="G11641" s="128">
        <v>6367358</v>
      </c>
      <c r="H11641" s="128">
        <v>2186718.52</v>
      </c>
      <c r="I11641" s="128">
        <v>25024</v>
      </c>
    </row>
    <row r="11642" spans="1:9" ht="13.5">
      <c r="A11642" s="128">
        <v>2021</v>
      </c>
      <c r="B11642" s="128" t="s">
        <v>137</v>
      </c>
      <c r="C11642" s="128" t="s">
        <v>21</v>
      </c>
      <c r="D11642" s="128" t="s">
        <v>77</v>
      </c>
      <c r="E11642" s="128" t="s">
        <v>132</v>
      </c>
      <c r="F11642" s="128">
        <v>2627025.2799999998</v>
      </c>
      <c r="G11642" s="128">
        <v>1730497.18</v>
      </c>
      <c r="H11642" s="128">
        <v>754116.71</v>
      </c>
      <c r="I11642" s="128">
        <v>12469</v>
      </c>
    </row>
    <row r="11643" spans="1:9" ht="13.5">
      <c r="A11643" s="128">
        <v>2021</v>
      </c>
      <c r="B11643" s="128" t="s">
        <v>137</v>
      </c>
      <c r="C11643" s="128" t="s">
        <v>21</v>
      </c>
      <c r="D11643" s="128" t="s">
        <v>77</v>
      </c>
      <c r="E11643" s="128" t="s">
        <v>133</v>
      </c>
      <c r="F11643" s="128">
        <v>7802740.75</v>
      </c>
      <c r="G11643" s="128">
        <v>4226115.01</v>
      </c>
      <c r="H11643" s="128">
        <v>3096767.59</v>
      </c>
      <c r="I11643" s="128">
        <v>28849</v>
      </c>
    </row>
    <row r="11644" spans="1:9" ht="13.5">
      <c r="A11644" s="128">
        <v>2021</v>
      </c>
      <c r="B11644" s="128" t="s">
        <v>137</v>
      </c>
      <c r="C11644" s="128" t="s">
        <v>21</v>
      </c>
      <c r="D11644" s="128" t="s">
        <v>77</v>
      </c>
      <c r="E11644" s="128" t="s">
        <v>134</v>
      </c>
      <c r="F11644" s="128">
        <v>19173945.329999998</v>
      </c>
      <c r="G11644" s="128">
        <v>8225553.9800000004</v>
      </c>
      <c r="H11644" s="128">
        <v>7900876.1299999999</v>
      </c>
      <c r="I11644" s="128">
        <v>39272</v>
      </c>
    </row>
    <row r="11645" spans="1:9" ht="13.5">
      <c r="A11645" s="128">
        <v>2021</v>
      </c>
      <c r="B11645" s="128" t="s">
        <v>137</v>
      </c>
      <c r="C11645" s="128" t="s">
        <v>21</v>
      </c>
      <c r="D11645" s="128" t="s">
        <v>77</v>
      </c>
      <c r="E11645" s="128" t="s">
        <v>135</v>
      </c>
      <c r="F11645" s="128">
        <v>53473168.039999999</v>
      </c>
      <c r="G11645" s="128">
        <v>14155827.01</v>
      </c>
      <c r="H11645" s="128">
        <v>15716256.880000001</v>
      </c>
      <c r="I11645" s="128">
        <v>181724</v>
      </c>
    </row>
    <row r="11646" spans="1:9" ht="13.5">
      <c r="A11646" s="128">
        <v>2021</v>
      </c>
      <c r="B11646" s="128" t="s">
        <v>137</v>
      </c>
      <c r="C11646" s="128" t="s">
        <v>21</v>
      </c>
      <c r="D11646" s="128" t="s">
        <v>76</v>
      </c>
      <c r="E11646" s="128" t="s">
        <v>136</v>
      </c>
      <c r="F11646" s="128">
        <v>23386285.82</v>
      </c>
      <c r="G11646" s="128">
        <v>17606830.73</v>
      </c>
      <c r="H11646" s="128">
        <v>5779462.0800000001</v>
      </c>
      <c r="I11646" s="128">
        <v>328163</v>
      </c>
    </row>
    <row r="11647" spans="1:9" ht="13.5">
      <c r="A11647" s="128">
        <v>2021</v>
      </c>
      <c r="B11647" s="128" t="s">
        <v>137</v>
      </c>
      <c r="C11647" s="128" t="s">
        <v>21</v>
      </c>
      <c r="D11647" s="128" t="s">
        <v>76</v>
      </c>
      <c r="E11647" s="128" t="s">
        <v>132</v>
      </c>
      <c r="F11647" s="128">
        <v>51554701.090000004</v>
      </c>
      <c r="G11647" s="128">
        <v>33003952.960000001</v>
      </c>
      <c r="H11647" s="128">
        <v>18550101.73</v>
      </c>
      <c r="I11647" s="128">
        <v>414465</v>
      </c>
    </row>
    <row r="11648" spans="1:9" ht="13.5">
      <c r="A11648" s="128">
        <v>2021</v>
      </c>
      <c r="B11648" s="128" t="s">
        <v>137</v>
      </c>
      <c r="C11648" s="128" t="s">
        <v>21</v>
      </c>
      <c r="D11648" s="128" t="s">
        <v>76</v>
      </c>
      <c r="E11648" s="128" t="s">
        <v>133</v>
      </c>
      <c r="F11648" s="128">
        <v>130171434.33</v>
      </c>
      <c r="G11648" s="128">
        <v>71547941.430000007</v>
      </c>
      <c r="H11648" s="128">
        <v>58623267.18</v>
      </c>
      <c r="I11648" s="128">
        <v>797004</v>
      </c>
    </row>
    <row r="11649" spans="1:9" ht="13.5">
      <c r="A11649" s="128">
        <v>2021</v>
      </c>
      <c r="B11649" s="128" t="s">
        <v>137</v>
      </c>
      <c r="C11649" s="128" t="s">
        <v>21</v>
      </c>
      <c r="D11649" s="128" t="s">
        <v>76</v>
      </c>
      <c r="E11649" s="128" t="s">
        <v>134</v>
      </c>
      <c r="F11649" s="128">
        <v>106936626.25</v>
      </c>
      <c r="G11649" s="128">
        <v>48454026.509999998</v>
      </c>
      <c r="H11649" s="128">
        <v>58482406.100000001</v>
      </c>
      <c r="I11649" s="128">
        <v>578690</v>
      </c>
    </row>
    <row r="11650" spans="1:9" ht="13.5">
      <c r="A11650" s="128">
        <v>2021</v>
      </c>
      <c r="B11650" s="128" t="s">
        <v>137</v>
      </c>
      <c r="C11650" s="128" t="s">
        <v>21</v>
      </c>
      <c r="D11650" s="128" t="s">
        <v>76</v>
      </c>
      <c r="E11650" s="128" t="s">
        <v>135</v>
      </c>
      <c r="F11650" s="128">
        <v>3319482.05</v>
      </c>
      <c r="G11650" s="128">
        <v>938046.76</v>
      </c>
      <c r="H11650" s="128">
        <v>2381435.29</v>
      </c>
      <c r="I11650" s="128">
        <v>3381</v>
      </c>
    </row>
    <row r="11651" spans="1:9" ht="13.5">
      <c r="A11651" s="128">
        <v>2021</v>
      </c>
      <c r="B11651" s="128" t="s">
        <v>137</v>
      </c>
      <c r="C11651" s="128" t="s">
        <v>22</v>
      </c>
      <c r="D11651" s="128" t="s">
        <v>79</v>
      </c>
      <c r="E11651" s="128" t="s">
        <v>136</v>
      </c>
      <c r="F11651" s="128">
        <v>5280834.6500000004</v>
      </c>
      <c r="G11651" s="128">
        <v>3911032.08</v>
      </c>
      <c r="H11651" s="128">
        <v>1293876.83</v>
      </c>
      <c r="I11651" s="128">
        <v>74574</v>
      </c>
    </row>
    <row r="11652" spans="1:9" ht="13.5">
      <c r="A11652" s="128">
        <v>2021</v>
      </c>
      <c r="B11652" s="128" t="s">
        <v>137</v>
      </c>
      <c r="C11652" s="128" t="s">
        <v>22</v>
      </c>
      <c r="D11652" s="128" t="s">
        <v>79</v>
      </c>
      <c r="E11652" s="128" t="s">
        <v>132</v>
      </c>
      <c r="F11652" s="128">
        <v>1007087.67</v>
      </c>
      <c r="G11652" s="128">
        <v>687608.63</v>
      </c>
      <c r="H11652" s="128">
        <v>230613.27</v>
      </c>
      <c r="I11652" s="128">
        <v>2716</v>
      </c>
    </row>
    <row r="11653" spans="1:9" ht="13.5">
      <c r="A11653" s="128">
        <v>2021</v>
      </c>
      <c r="B11653" s="128" t="s">
        <v>137</v>
      </c>
      <c r="C11653" s="128" t="s">
        <v>22</v>
      </c>
      <c r="D11653" s="128" t="s">
        <v>79</v>
      </c>
      <c r="E11653" s="128" t="s">
        <v>133</v>
      </c>
      <c r="F11653" s="128">
        <v>1064737.03</v>
      </c>
      <c r="G11653" s="128">
        <v>578664.80000000005</v>
      </c>
      <c r="H11653" s="128">
        <v>192183.15</v>
      </c>
      <c r="I11653" s="128">
        <v>2192</v>
      </c>
    </row>
    <row r="11654" spans="1:9" ht="13.5">
      <c r="A11654" s="128">
        <v>2021</v>
      </c>
      <c r="B11654" s="128" t="s">
        <v>137</v>
      </c>
      <c r="C11654" s="128" t="s">
        <v>22</v>
      </c>
      <c r="D11654" s="128" t="s">
        <v>79</v>
      </c>
      <c r="E11654" s="128" t="s">
        <v>134</v>
      </c>
      <c r="F11654" s="128">
        <v>3981691.95</v>
      </c>
      <c r="G11654" s="128">
        <v>1715082.93</v>
      </c>
      <c r="H11654" s="128">
        <v>580765.54</v>
      </c>
      <c r="I11654" s="128">
        <v>21084</v>
      </c>
    </row>
    <row r="11655" spans="1:9" ht="13.5">
      <c r="A11655" s="128">
        <v>2021</v>
      </c>
      <c r="B11655" s="128" t="s">
        <v>137</v>
      </c>
      <c r="C11655" s="128" t="s">
        <v>22</v>
      </c>
      <c r="D11655" s="128" t="s">
        <v>79</v>
      </c>
      <c r="E11655" s="128" t="s">
        <v>135</v>
      </c>
      <c r="F11655" s="128">
        <v>38132816.789999999</v>
      </c>
      <c r="G11655" s="128">
        <v>8451791.8499999996</v>
      </c>
      <c r="H11655" s="128">
        <v>2843163.83</v>
      </c>
      <c r="I11655" s="128">
        <v>33509</v>
      </c>
    </row>
    <row r="11656" spans="1:9" ht="13.5">
      <c r="A11656" s="128">
        <v>2021</v>
      </c>
      <c r="B11656" s="128" t="s">
        <v>137</v>
      </c>
      <c r="C11656" s="128" t="s">
        <v>22</v>
      </c>
      <c r="D11656" s="128" t="s">
        <v>77</v>
      </c>
      <c r="E11656" s="128" t="s">
        <v>132</v>
      </c>
      <c r="F11656" s="128">
        <v>1822749.9</v>
      </c>
      <c r="G11656" s="128">
        <v>1212880.6499999999</v>
      </c>
      <c r="H11656" s="128">
        <v>513308.42</v>
      </c>
      <c r="I11656" s="128">
        <v>7797</v>
      </c>
    </row>
    <row r="11657" spans="1:9" ht="13.5">
      <c r="A11657" s="128">
        <v>2021</v>
      </c>
      <c r="B11657" s="128" t="s">
        <v>137</v>
      </c>
      <c r="C11657" s="128" t="s">
        <v>22</v>
      </c>
      <c r="D11657" s="128" t="s">
        <v>77</v>
      </c>
      <c r="E11657" s="128" t="s">
        <v>133</v>
      </c>
      <c r="F11657" s="128">
        <v>4316798.8899999997</v>
      </c>
      <c r="G11657" s="128">
        <v>2335832.06</v>
      </c>
      <c r="H11657" s="128">
        <v>1691263.91</v>
      </c>
      <c r="I11657" s="128">
        <v>18299</v>
      </c>
    </row>
    <row r="11658" spans="1:9" ht="13.5">
      <c r="A11658" s="128">
        <v>2021</v>
      </c>
      <c r="B11658" s="128" t="s">
        <v>137</v>
      </c>
      <c r="C11658" s="128" t="s">
        <v>22</v>
      </c>
      <c r="D11658" s="128" t="s">
        <v>77</v>
      </c>
      <c r="E11658" s="128" t="s">
        <v>134</v>
      </c>
      <c r="F11658" s="128">
        <v>19877862.510000002</v>
      </c>
      <c r="G11658" s="128">
        <v>8393382.8200000003</v>
      </c>
      <c r="H11658" s="128">
        <v>8443809.4000000004</v>
      </c>
      <c r="I11658" s="128">
        <v>32074</v>
      </c>
    </row>
    <row r="11659" spans="1:9" ht="13.5">
      <c r="A11659" s="128">
        <v>2021</v>
      </c>
      <c r="B11659" s="128" t="s">
        <v>137</v>
      </c>
      <c r="C11659" s="128" t="s">
        <v>22</v>
      </c>
      <c r="D11659" s="128" t="s">
        <v>77</v>
      </c>
      <c r="E11659" s="128" t="s">
        <v>135</v>
      </c>
      <c r="F11659" s="128">
        <v>49136994.380000003</v>
      </c>
      <c r="G11659" s="128">
        <v>12157560.42</v>
      </c>
      <c r="H11659" s="128">
        <v>13281109.390000001</v>
      </c>
      <c r="I11659" s="128">
        <v>122140</v>
      </c>
    </row>
    <row r="11660" spans="1:9" ht="13.5">
      <c r="A11660" s="128">
        <v>2021</v>
      </c>
      <c r="B11660" s="128" t="s">
        <v>137</v>
      </c>
      <c r="C11660" s="128" t="s">
        <v>22</v>
      </c>
      <c r="D11660" s="128" t="s">
        <v>76</v>
      </c>
      <c r="E11660" s="128" t="s">
        <v>136</v>
      </c>
      <c r="F11660" s="128">
        <v>18443435.260000002</v>
      </c>
      <c r="G11660" s="128">
        <v>13851071.210000001</v>
      </c>
      <c r="H11660" s="128">
        <v>4592411.0199999996</v>
      </c>
      <c r="I11660" s="128">
        <v>274081</v>
      </c>
    </row>
    <row r="11661" spans="1:9" ht="13.5">
      <c r="A11661" s="128">
        <v>2021</v>
      </c>
      <c r="B11661" s="128" t="s">
        <v>137</v>
      </c>
      <c r="C11661" s="128" t="s">
        <v>22</v>
      </c>
      <c r="D11661" s="128" t="s">
        <v>76</v>
      </c>
      <c r="E11661" s="128" t="s">
        <v>132</v>
      </c>
      <c r="F11661" s="128">
        <v>50718919.18</v>
      </c>
      <c r="G11661" s="128">
        <v>32438817.539999999</v>
      </c>
      <c r="H11661" s="128">
        <v>18279170.989999998</v>
      </c>
      <c r="I11661" s="128">
        <v>438653</v>
      </c>
    </row>
    <row r="11662" spans="1:9" ht="13.5">
      <c r="A11662" s="128">
        <v>2021</v>
      </c>
      <c r="B11662" s="128" t="s">
        <v>137</v>
      </c>
      <c r="C11662" s="128" t="s">
        <v>22</v>
      </c>
      <c r="D11662" s="128" t="s">
        <v>76</v>
      </c>
      <c r="E11662" s="128" t="s">
        <v>133</v>
      </c>
      <c r="F11662" s="128">
        <v>84912944.829999998</v>
      </c>
      <c r="G11662" s="128">
        <v>46872692.289999999</v>
      </c>
      <c r="H11662" s="128">
        <v>38039969.979999997</v>
      </c>
      <c r="I11662" s="128">
        <v>663429</v>
      </c>
    </row>
    <row r="11663" spans="1:9" ht="13.5">
      <c r="A11663" s="128">
        <v>2021</v>
      </c>
      <c r="B11663" s="128" t="s">
        <v>137</v>
      </c>
      <c r="C11663" s="128" t="s">
        <v>22</v>
      </c>
      <c r="D11663" s="128" t="s">
        <v>76</v>
      </c>
      <c r="E11663" s="128" t="s">
        <v>134</v>
      </c>
      <c r="F11663" s="128">
        <v>77592258.049999997</v>
      </c>
      <c r="G11663" s="128">
        <v>35546482.990000002</v>
      </c>
      <c r="H11663" s="128">
        <v>42044724.340000004</v>
      </c>
      <c r="I11663" s="128">
        <v>503125</v>
      </c>
    </row>
    <row r="11664" spans="1:9" ht="13.5">
      <c r="A11664" s="128">
        <v>2021</v>
      </c>
      <c r="B11664" s="128" t="s">
        <v>137</v>
      </c>
      <c r="C11664" s="128" t="s">
        <v>22</v>
      </c>
      <c r="D11664" s="128" t="s">
        <v>76</v>
      </c>
      <c r="E11664" s="128" t="s">
        <v>135</v>
      </c>
      <c r="F11664" s="128">
        <v>5200295.26</v>
      </c>
      <c r="G11664" s="128">
        <v>1531029.83</v>
      </c>
      <c r="H11664" s="128">
        <v>3669257.57</v>
      </c>
      <c r="I11664" s="128">
        <v>7337</v>
      </c>
    </row>
    <row r="11665" spans="1:9" ht="13.5">
      <c r="A11665" s="128">
        <v>2021</v>
      </c>
      <c r="B11665" s="128" t="s">
        <v>137</v>
      </c>
      <c r="C11665" s="128" t="s">
        <v>23</v>
      </c>
      <c r="D11665" s="128" t="s">
        <v>79</v>
      </c>
      <c r="E11665" s="128" t="s">
        <v>136</v>
      </c>
      <c r="F11665" s="128">
        <v>1795270.19</v>
      </c>
      <c r="G11665" s="128">
        <v>1344955.28</v>
      </c>
      <c r="H11665" s="128">
        <v>447749.2</v>
      </c>
      <c r="I11665" s="128">
        <v>10116</v>
      </c>
    </row>
    <row r="11666" spans="1:9" ht="13.5">
      <c r="A11666" s="128">
        <v>2021</v>
      </c>
      <c r="B11666" s="128" t="s">
        <v>137</v>
      </c>
      <c r="C11666" s="128" t="s">
        <v>23</v>
      </c>
      <c r="D11666" s="128" t="s">
        <v>79</v>
      </c>
      <c r="E11666" s="128" t="s">
        <v>132</v>
      </c>
      <c r="F11666" s="128">
        <v>350977.65</v>
      </c>
      <c r="G11666" s="128">
        <v>237119.22</v>
      </c>
      <c r="H11666" s="128">
        <v>78565.69</v>
      </c>
      <c r="I11666" s="128">
        <v>607</v>
      </c>
    </row>
    <row r="11667" spans="1:9" ht="13.5">
      <c r="A11667" s="128">
        <v>2021</v>
      </c>
      <c r="B11667" s="128" t="s">
        <v>137</v>
      </c>
      <c r="C11667" s="128" t="s">
        <v>23</v>
      </c>
      <c r="D11667" s="128" t="s">
        <v>79</v>
      </c>
      <c r="E11667" s="128" t="s">
        <v>133</v>
      </c>
      <c r="F11667" s="128">
        <v>160076.97</v>
      </c>
      <c r="G11667" s="128">
        <v>87124.63</v>
      </c>
      <c r="H11667" s="128">
        <v>29326.18</v>
      </c>
      <c r="I11667" s="128">
        <v>324</v>
      </c>
    </row>
    <row r="11668" spans="1:9" ht="13.5">
      <c r="A11668" s="128">
        <v>2021</v>
      </c>
      <c r="B11668" s="128" t="s">
        <v>137</v>
      </c>
      <c r="C11668" s="128" t="s">
        <v>23</v>
      </c>
      <c r="D11668" s="128" t="s">
        <v>79</v>
      </c>
      <c r="E11668" s="128" t="s">
        <v>134</v>
      </c>
      <c r="F11668" s="128">
        <v>303353.23</v>
      </c>
      <c r="G11668" s="128">
        <v>130001.79</v>
      </c>
      <c r="H11668" s="128">
        <v>47173.65</v>
      </c>
      <c r="I11668" s="128">
        <v>810</v>
      </c>
    </row>
    <row r="11669" spans="1:9" ht="13.5">
      <c r="A11669" s="128">
        <v>2021</v>
      </c>
      <c r="B11669" s="128" t="s">
        <v>137</v>
      </c>
      <c r="C11669" s="128" t="s">
        <v>23</v>
      </c>
      <c r="D11669" s="128" t="s">
        <v>79</v>
      </c>
      <c r="E11669" s="128" t="s">
        <v>135</v>
      </c>
      <c r="F11669" s="128">
        <v>3412589.4</v>
      </c>
      <c r="G11669" s="128">
        <v>676578.14</v>
      </c>
      <c r="H11669" s="128">
        <v>227610.94</v>
      </c>
      <c r="I11669" s="128">
        <v>2366</v>
      </c>
    </row>
    <row r="11670" spans="1:9" ht="13.5">
      <c r="A11670" s="128">
        <v>2021</v>
      </c>
      <c r="B11670" s="128" t="s">
        <v>137</v>
      </c>
      <c r="C11670" s="128" t="s">
        <v>23</v>
      </c>
      <c r="D11670" s="128" t="s">
        <v>77</v>
      </c>
      <c r="E11670" s="128" t="s">
        <v>132</v>
      </c>
      <c r="F11670" s="128">
        <v>315394.96999999997</v>
      </c>
      <c r="G11670" s="128">
        <v>203539.02</v>
      </c>
      <c r="H11670" s="128">
        <v>94099.06</v>
      </c>
      <c r="I11670" s="128">
        <v>1617</v>
      </c>
    </row>
    <row r="11671" spans="1:9" ht="13.5">
      <c r="A11671" s="128">
        <v>2021</v>
      </c>
      <c r="B11671" s="128" t="s">
        <v>137</v>
      </c>
      <c r="C11671" s="128" t="s">
        <v>23</v>
      </c>
      <c r="D11671" s="128" t="s">
        <v>77</v>
      </c>
      <c r="E11671" s="128" t="s">
        <v>133</v>
      </c>
      <c r="F11671" s="128">
        <v>1482171.89</v>
      </c>
      <c r="G11671" s="128">
        <v>801927.06</v>
      </c>
      <c r="H11671" s="128">
        <v>611536.06999999995</v>
      </c>
      <c r="I11671" s="128">
        <v>5976</v>
      </c>
    </row>
    <row r="11672" spans="1:9" ht="13.5">
      <c r="A11672" s="128">
        <v>2021</v>
      </c>
      <c r="B11672" s="128" t="s">
        <v>137</v>
      </c>
      <c r="C11672" s="128" t="s">
        <v>23</v>
      </c>
      <c r="D11672" s="128" t="s">
        <v>77</v>
      </c>
      <c r="E11672" s="128" t="s">
        <v>134</v>
      </c>
      <c r="F11672" s="128">
        <v>9660711.2599999998</v>
      </c>
      <c r="G11672" s="128">
        <v>4056892.17</v>
      </c>
      <c r="H11672" s="128">
        <v>4273386.95</v>
      </c>
      <c r="I11672" s="128">
        <v>13560</v>
      </c>
    </row>
    <row r="11673" spans="1:9" ht="13.5">
      <c r="A11673" s="128">
        <v>2021</v>
      </c>
      <c r="B11673" s="128" t="s">
        <v>137</v>
      </c>
      <c r="C11673" s="128" t="s">
        <v>23</v>
      </c>
      <c r="D11673" s="128" t="s">
        <v>77</v>
      </c>
      <c r="E11673" s="128" t="s">
        <v>135</v>
      </c>
      <c r="F11673" s="128">
        <v>12489136.960000001</v>
      </c>
      <c r="G11673" s="128">
        <v>3481989</v>
      </c>
      <c r="H11673" s="128">
        <v>4114350.48</v>
      </c>
      <c r="I11673" s="128">
        <v>44286</v>
      </c>
    </row>
    <row r="11674" spans="1:9" ht="13.5">
      <c r="A11674" s="128">
        <v>2021</v>
      </c>
      <c r="B11674" s="128" t="s">
        <v>137</v>
      </c>
      <c r="C11674" s="128" t="s">
        <v>23</v>
      </c>
      <c r="D11674" s="128" t="s">
        <v>76</v>
      </c>
      <c r="E11674" s="128" t="s">
        <v>136</v>
      </c>
      <c r="F11674" s="128">
        <v>8527195.2200000007</v>
      </c>
      <c r="G11674" s="128">
        <v>6401024.0300000003</v>
      </c>
      <c r="H11674" s="128">
        <v>2126171.19</v>
      </c>
      <c r="I11674" s="128">
        <v>167036</v>
      </c>
    </row>
    <row r="11675" spans="1:9" ht="13.5">
      <c r="A11675" s="128">
        <v>2021</v>
      </c>
      <c r="B11675" s="128" t="s">
        <v>137</v>
      </c>
      <c r="C11675" s="128" t="s">
        <v>23</v>
      </c>
      <c r="D11675" s="128" t="s">
        <v>76</v>
      </c>
      <c r="E11675" s="128" t="s">
        <v>132</v>
      </c>
      <c r="F11675" s="128">
        <v>10576178.310000001</v>
      </c>
      <c r="G11675" s="128">
        <v>6652948.4400000004</v>
      </c>
      <c r="H11675" s="128">
        <v>3922936.25</v>
      </c>
      <c r="I11675" s="128">
        <v>85754</v>
      </c>
    </row>
    <row r="11676" spans="1:9" ht="13.5">
      <c r="A11676" s="128">
        <v>2021</v>
      </c>
      <c r="B11676" s="128" t="s">
        <v>137</v>
      </c>
      <c r="C11676" s="128" t="s">
        <v>23</v>
      </c>
      <c r="D11676" s="128" t="s">
        <v>76</v>
      </c>
      <c r="E11676" s="128" t="s">
        <v>133</v>
      </c>
      <c r="F11676" s="128">
        <v>34378690.07</v>
      </c>
      <c r="G11676" s="128">
        <v>18727079.91</v>
      </c>
      <c r="H11676" s="128">
        <v>15651542.01</v>
      </c>
      <c r="I11676" s="128">
        <v>240977</v>
      </c>
    </row>
    <row r="11677" spans="1:9" ht="13.5">
      <c r="A11677" s="128">
        <v>2021</v>
      </c>
      <c r="B11677" s="128" t="s">
        <v>137</v>
      </c>
      <c r="C11677" s="128" t="s">
        <v>23</v>
      </c>
      <c r="D11677" s="128" t="s">
        <v>76</v>
      </c>
      <c r="E11677" s="128" t="s">
        <v>134</v>
      </c>
      <c r="F11677" s="128">
        <v>41408327.43</v>
      </c>
      <c r="G11677" s="128">
        <v>18596914.09</v>
      </c>
      <c r="H11677" s="128">
        <v>22811215.899999999</v>
      </c>
      <c r="I11677" s="128">
        <v>175947</v>
      </c>
    </row>
    <row r="11678" spans="1:9" ht="13.5">
      <c r="A11678" s="128">
        <v>2021</v>
      </c>
      <c r="B11678" s="128" t="s">
        <v>137</v>
      </c>
      <c r="C11678" s="128" t="s">
        <v>23</v>
      </c>
      <c r="D11678" s="128" t="s">
        <v>76</v>
      </c>
      <c r="E11678" s="128" t="s">
        <v>135</v>
      </c>
      <c r="F11678" s="128">
        <v>1058713.5</v>
      </c>
      <c r="G11678" s="128">
        <v>287891.99</v>
      </c>
      <c r="H11678" s="128">
        <v>770821.51</v>
      </c>
      <c r="I11678" s="128">
        <v>852</v>
      </c>
    </row>
    <row r="11679" spans="1:9" ht="13.5">
      <c r="A11679" s="128">
        <v>2021</v>
      </c>
      <c r="B11679" s="128" t="s">
        <v>137</v>
      </c>
      <c r="C11679" s="128" t="s">
        <v>24</v>
      </c>
      <c r="D11679" s="128" t="s">
        <v>79</v>
      </c>
      <c r="E11679" s="128" t="s">
        <v>136</v>
      </c>
      <c r="F11679" s="128">
        <v>1621659.65</v>
      </c>
      <c r="G11679" s="128">
        <v>1216114.4099999999</v>
      </c>
      <c r="H11679" s="128">
        <v>399780.08</v>
      </c>
      <c r="I11679" s="128">
        <v>20206</v>
      </c>
    </row>
    <row r="11680" spans="1:9" ht="13.5">
      <c r="A11680" s="128">
        <v>2021</v>
      </c>
      <c r="B11680" s="128" t="s">
        <v>137</v>
      </c>
      <c r="C11680" s="128" t="s">
        <v>24</v>
      </c>
      <c r="D11680" s="128" t="s">
        <v>79</v>
      </c>
      <c r="E11680" s="128" t="s">
        <v>132</v>
      </c>
      <c r="F11680" s="128">
        <v>271635.11</v>
      </c>
      <c r="G11680" s="128">
        <v>182432.13</v>
      </c>
      <c r="H11680" s="128">
        <v>60633.66</v>
      </c>
      <c r="I11680" s="128">
        <v>778</v>
      </c>
    </row>
    <row r="11681" spans="1:9" ht="13.5">
      <c r="A11681" s="128">
        <v>2021</v>
      </c>
      <c r="B11681" s="128" t="s">
        <v>137</v>
      </c>
      <c r="C11681" s="128" t="s">
        <v>24</v>
      </c>
      <c r="D11681" s="128" t="s">
        <v>79</v>
      </c>
      <c r="E11681" s="128" t="s">
        <v>133</v>
      </c>
      <c r="F11681" s="128">
        <v>456894.07</v>
      </c>
      <c r="G11681" s="128">
        <v>247930.75</v>
      </c>
      <c r="H11681" s="128">
        <v>82375.03</v>
      </c>
      <c r="I11681" s="128">
        <v>1333</v>
      </c>
    </row>
    <row r="11682" spans="1:9" ht="13.5">
      <c r="A11682" s="128">
        <v>2021</v>
      </c>
      <c r="B11682" s="128" t="s">
        <v>137</v>
      </c>
      <c r="C11682" s="128" t="s">
        <v>24</v>
      </c>
      <c r="D11682" s="128" t="s">
        <v>79</v>
      </c>
      <c r="E11682" s="128" t="s">
        <v>134</v>
      </c>
      <c r="F11682" s="128">
        <v>1906234.19</v>
      </c>
      <c r="G11682" s="128">
        <v>836070.40000000002</v>
      </c>
      <c r="H11682" s="128">
        <v>278915.38</v>
      </c>
      <c r="I11682" s="128">
        <v>16950</v>
      </c>
    </row>
    <row r="11683" spans="1:9" ht="13.5">
      <c r="A11683" s="128">
        <v>2021</v>
      </c>
      <c r="B11683" s="128" t="s">
        <v>137</v>
      </c>
      <c r="C11683" s="128" t="s">
        <v>24</v>
      </c>
      <c r="D11683" s="128" t="s">
        <v>79</v>
      </c>
      <c r="E11683" s="128" t="s">
        <v>135</v>
      </c>
      <c r="F11683" s="128">
        <v>8454229.5399999991</v>
      </c>
      <c r="G11683" s="128">
        <v>1730726.59</v>
      </c>
      <c r="H11683" s="128">
        <v>585050.9</v>
      </c>
      <c r="I11683" s="128">
        <v>8356</v>
      </c>
    </row>
    <row r="11684" spans="1:9" ht="13.5">
      <c r="A11684" s="128">
        <v>2021</v>
      </c>
      <c r="B11684" s="128" t="s">
        <v>137</v>
      </c>
      <c r="C11684" s="128" t="s">
        <v>24</v>
      </c>
      <c r="D11684" s="128" t="s">
        <v>77</v>
      </c>
      <c r="E11684" s="128" t="s">
        <v>132</v>
      </c>
      <c r="F11684" s="128">
        <v>850994.59</v>
      </c>
      <c r="G11684" s="128">
        <v>556893.62</v>
      </c>
      <c r="H11684" s="128">
        <v>262280.05</v>
      </c>
      <c r="I11684" s="128">
        <v>3879</v>
      </c>
    </row>
    <row r="11685" spans="1:9" ht="13.5">
      <c r="A11685" s="128">
        <v>2021</v>
      </c>
      <c r="B11685" s="128" t="s">
        <v>137</v>
      </c>
      <c r="C11685" s="128" t="s">
        <v>24</v>
      </c>
      <c r="D11685" s="128" t="s">
        <v>77</v>
      </c>
      <c r="E11685" s="128" t="s">
        <v>133</v>
      </c>
      <c r="F11685" s="128">
        <v>3112206.02</v>
      </c>
      <c r="G11685" s="128">
        <v>1660964.84</v>
      </c>
      <c r="H11685" s="128">
        <v>1240961.6100000001</v>
      </c>
      <c r="I11685" s="128">
        <v>21341</v>
      </c>
    </row>
    <row r="11686" spans="1:9" ht="13.5">
      <c r="A11686" s="128">
        <v>2021</v>
      </c>
      <c r="B11686" s="128" t="s">
        <v>137</v>
      </c>
      <c r="C11686" s="128" t="s">
        <v>24</v>
      </c>
      <c r="D11686" s="128" t="s">
        <v>77</v>
      </c>
      <c r="E11686" s="128" t="s">
        <v>134</v>
      </c>
      <c r="F11686" s="128">
        <v>9702072.8599999994</v>
      </c>
      <c r="G11686" s="128">
        <v>4255548.1500000004</v>
      </c>
      <c r="H11686" s="128">
        <v>3914747.26</v>
      </c>
      <c r="I11686" s="128">
        <v>15947</v>
      </c>
    </row>
    <row r="11687" spans="1:9" ht="13.5">
      <c r="A11687" s="128">
        <v>2021</v>
      </c>
      <c r="B11687" s="128" t="s">
        <v>137</v>
      </c>
      <c r="C11687" s="128" t="s">
        <v>24</v>
      </c>
      <c r="D11687" s="128" t="s">
        <v>77</v>
      </c>
      <c r="E11687" s="128" t="s">
        <v>135</v>
      </c>
      <c r="F11687" s="128">
        <v>20292025.43</v>
      </c>
      <c r="G11687" s="128">
        <v>4931891.34</v>
      </c>
      <c r="H11687" s="128">
        <v>3542643.09</v>
      </c>
      <c r="I11687" s="128">
        <v>46231</v>
      </c>
    </row>
    <row r="11688" spans="1:9" ht="13.5">
      <c r="A11688" s="128">
        <v>2021</v>
      </c>
      <c r="B11688" s="128" t="s">
        <v>137</v>
      </c>
      <c r="C11688" s="128" t="s">
        <v>24</v>
      </c>
      <c r="D11688" s="128" t="s">
        <v>76</v>
      </c>
      <c r="E11688" s="128" t="s">
        <v>136</v>
      </c>
      <c r="F11688" s="128">
        <v>10527881.029999999</v>
      </c>
      <c r="G11688" s="128">
        <v>7908395.4100000001</v>
      </c>
      <c r="H11688" s="128">
        <v>2619583.59</v>
      </c>
      <c r="I11688" s="128">
        <v>169372</v>
      </c>
    </row>
    <row r="11689" spans="1:9" ht="13.5">
      <c r="A11689" s="128">
        <v>2021</v>
      </c>
      <c r="B11689" s="128" t="s">
        <v>137</v>
      </c>
      <c r="C11689" s="128" t="s">
        <v>24</v>
      </c>
      <c r="D11689" s="128" t="s">
        <v>76</v>
      </c>
      <c r="E11689" s="128" t="s">
        <v>132</v>
      </c>
      <c r="F11689" s="128">
        <v>13178342.199999999</v>
      </c>
      <c r="G11689" s="128">
        <v>8529798.1300000008</v>
      </c>
      <c r="H11689" s="128">
        <v>4648477.17</v>
      </c>
      <c r="I11689" s="128">
        <v>86790</v>
      </c>
    </row>
    <row r="11690" spans="1:9" ht="13.5">
      <c r="A11690" s="128">
        <v>2021</v>
      </c>
      <c r="B11690" s="128" t="s">
        <v>137</v>
      </c>
      <c r="C11690" s="128" t="s">
        <v>24</v>
      </c>
      <c r="D11690" s="128" t="s">
        <v>76</v>
      </c>
      <c r="E11690" s="128" t="s">
        <v>133</v>
      </c>
      <c r="F11690" s="128">
        <v>53651891.310000002</v>
      </c>
      <c r="G11690" s="128">
        <v>29460771.620000001</v>
      </c>
      <c r="H11690" s="128">
        <v>24191099.420000002</v>
      </c>
      <c r="I11690" s="128">
        <v>339282</v>
      </c>
    </row>
    <row r="11691" spans="1:9" ht="13.5">
      <c r="A11691" s="128">
        <v>2021</v>
      </c>
      <c r="B11691" s="128" t="s">
        <v>137</v>
      </c>
      <c r="C11691" s="128" t="s">
        <v>24</v>
      </c>
      <c r="D11691" s="128" t="s">
        <v>76</v>
      </c>
      <c r="E11691" s="128" t="s">
        <v>134</v>
      </c>
      <c r="F11691" s="128">
        <v>58527491.469999999</v>
      </c>
      <c r="G11691" s="128">
        <v>26048764.780000001</v>
      </c>
      <c r="H11691" s="128">
        <v>32478646.440000001</v>
      </c>
      <c r="I11691" s="128">
        <v>269422</v>
      </c>
    </row>
    <row r="11692" spans="1:9" ht="13.5">
      <c r="A11692" s="128">
        <v>2021</v>
      </c>
      <c r="B11692" s="128" t="s">
        <v>137</v>
      </c>
      <c r="C11692" s="128" t="s">
        <v>24</v>
      </c>
      <c r="D11692" s="128" t="s">
        <v>76</v>
      </c>
      <c r="E11692" s="128" t="s">
        <v>135</v>
      </c>
      <c r="F11692" s="128">
        <v>2387014.71</v>
      </c>
      <c r="G11692" s="128">
        <v>638997.76000000001</v>
      </c>
      <c r="H11692" s="128">
        <v>1748016.95</v>
      </c>
      <c r="I11692" s="128">
        <v>2215</v>
      </c>
    </row>
    <row r="11693" spans="1:9" ht="13.5">
      <c r="A11693" s="128">
        <v>2021</v>
      </c>
      <c r="B11693" s="128" t="s">
        <v>137</v>
      </c>
      <c r="C11693" s="128" t="s">
        <v>25</v>
      </c>
      <c r="D11693" s="128" t="s">
        <v>79</v>
      </c>
      <c r="E11693" s="128" t="s">
        <v>136</v>
      </c>
      <c r="F11693" s="128">
        <v>438130.63</v>
      </c>
      <c r="G11693" s="128">
        <v>328686.62</v>
      </c>
      <c r="H11693" s="128">
        <v>108649.86</v>
      </c>
      <c r="I11693" s="128">
        <v>4072</v>
      </c>
    </row>
    <row r="11694" spans="1:9" ht="13.5">
      <c r="A11694" s="128">
        <v>2021</v>
      </c>
      <c r="B11694" s="128" t="s">
        <v>137</v>
      </c>
      <c r="C11694" s="128" t="s">
        <v>25</v>
      </c>
      <c r="D11694" s="128" t="s">
        <v>79</v>
      </c>
      <c r="E11694" s="128" t="s">
        <v>132</v>
      </c>
      <c r="F11694" s="128">
        <v>109079.93</v>
      </c>
      <c r="G11694" s="128">
        <v>72200.070000000007</v>
      </c>
      <c r="H11694" s="128">
        <v>24342.83</v>
      </c>
      <c r="I11694" s="128">
        <v>350</v>
      </c>
    </row>
    <row r="11695" spans="1:9" ht="13.5">
      <c r="A11695" s="128">
        <v>2021</v>
      </c>
      <c r="B11695" s="128" t="s">
        <v>137</v>
      </c>
      <c r="C11695" s="128" t="s">
        <v>25</v>
      </c>
      <c r="D11695" s="128" t="s">
        <v>79</v>
      </c>
      <c r="E11695" s="128" t="s">
        <v>133</v>
      </c>
      <c r="F11695" s="128">
        <v>111599.88</v>
      </c>
      <c r="G11695" s="128">
        <v>59973.68</v>
      </c>
      <c r="H11695" s="128">
        <v>19509.990000000002</v>
      </c>
      <c r="I11695" s="128">
        <v>273</v>
      </c>
    </row>
    <row r="11696" spans="1:9" ht="13.5">
      <c r="A11696" s="128">
        <v>2021</v>
      </c>
      <c r="B11696" s="128" t="s">
        <v>137</v>
      </c>
      <c r="C11696" s="128" t="s">
        <v>25</v>
      </c>
      <c r="D11696" s="128" t="s">
        <v>79</v>
      </c>
      <c r="E11696" s="128" t="s">
        <v>134</v>
      </c>
      <c r="F11696" s="128">
        <v>160209.23000000001</v>
      </c>
      <c r="G11696" s="128">
        <v>68198.960000000006</v>
      </c>
      <c r="H11696" s="128">
        <v>24951.03</v>
      </c>
      <c r="I11696" s="128">
        <v>549</v>
      </c>
    </row>
    <row r="11697" spans="1:9" ht="13.5">
      <c r="A11697" s="128">
        <v>2021</v>
      </c>
      <c r="B11697" s="128" t="s">
        <v>137</v>
      </c>
      <c r="C11697" s="128" t="s">
        <v>25</v>
      </c>
      <c r="D11697" s="128" t="s">
        <v>79</v>
      </c>
      <c r="E11697" s="128" t="s">
        <v>135</v>
      </c>
      <c r="F11697" s="128">
        <v>2129003.98</v>
      </c>
      <c r="G11697" s="128">
        <v>459796.96</v>
      </c>
      <c r="H11697" s="128">
        <v>154145.25</v>
      </c>
      <c r="I11697" s="128">
        <v>1364</v>
      </c>
    </row>
    <row r="11698" spans="1:9" ht="13.5">
      <c r="A11698" s="128">
        <v>2021</v>
      </c>
      <c r="B11698" s="128" t="s">
        <v>137</v>
      </c>
      <c r="C11698" s="128" t="s">
        <v>25</v>
      </c>
      <c r="D11698" s="128" t="s">
        <v>77</v>
      </c>
      <c r="E11698" s="128" t="s">
        <v>132</v>
      </c>
      <c r="F11698" s="128">
        <v>94582.94</v>
      </c>
      <c r="G11698" s="128">
        <v>62798.68</v>
      </c>
      <c r="H11698" s="128">
        <v>26907.33</v>
      </c>
      <c r="I11698" s="128">
        <v>399</v>
      </c>
    </row>
    <row r="11699" spans="1:9" ht="13.5">
      <c r="A11699" s="128">
        <v>2021</v>
      </c>
      <c r="B11699" s="128" t="s">
        <v>137</v>
      </c>
      <c r="C11699" s="128" t="s">
        <v>25</v>
      </c>
      <c r="D11699" s="128" t="s">
        <v>77</v>
      </c>
      <c r="E11699" s="128" t="s">
        <v>133</v>
      </c>
      <c r="F11699" s="128">
        <v>409389.53</v>
      </c>
      <c r="G11699" s="128">
        <v>220988.61</v>
      </c>
      <c r="H11699" s="128">
        <v>170276.28</v>
      </c>
      <c r="I11699" s="128">
        <v>1602</v>
      </c>
    </row>
    <row r="11700" spans="1:9" ht="13.5">
      <c r="A11700" s="128">
        <v>2021</v>
      </c>
      <c r="B11700" s="128" t="s">
        <v>137</v>
      </c>
      <c r="C11700" s="128" t="s">
        <v>25</v>
      </c>
      <c r="D11700" s="128" t="s">
        <v>77</v>
      </c>
      <c r="E11700" s="128" t="s">
        <v>134</v>
      </c>
      <c r="F11700" s="128">
        <v>2198134.0699999998</v>
      </c>
      <c r="G11700" s="128">
        <v>930263.97</v>
      </c>
      <c r="H11700" s="128">
        <v>987037.29</v>
      </c>
      <c r="I11700" s="128">
        <v>2819</v>
      </c>
    </row>
    <row r="11701" spans="1:9" ht="13.5">
      <c r="A11701" s="128">
        <v>2021</v>
      </c>
      <c r="B11701" s="128" t="s">
        <v>137</v>
      </c>
      <c r="C11701" s="128" t="s">
        <v>25</v>
      </c>
      <c r="D11701" s="128" t="s">
        <v>77</v>
      </c>
      <c r="E11701" s="128" t="s">
        <v>135</v>
      </c>
      <c r="F11701" s="128">
        <v>3430458.04</v>
      </c>
      <c r="G11701" s="128">
        <v>905568.34</v>
      </c>
      <c r="H11701" s="128">
        <v>1064952.8</v>
      </c>
      <c r="I11701" s="128">
        <v>7409</v>
      </c>
    </row>
    <row r="11702" spans="1:9" ht="13.5">
      <c r="A11702" s="128">
        <v>2021</v>
      </c>
      <c r="B11702" s="128" t="s">
        <v>137</v>
      </c>
      <c r="C11702" s="128" t="s">
        <v>25</v>
      </c>
      <c r="D11702" s="128" t="s">
        <v>76</v>
      </c>
      <c r="E11702" s="128" t="s">
        <v>136</v>
      </c>
      <c r="F11702" s="128">
        <v>1837781.4</v>
      </c>
      <c r="G11702" s="128">
        <v>1380885.98</v>
      </c>
      <c r="H11702" s="128">
        <v>456895.42</v>
      </c>
      <c r="I11702" s="128">
        <v>32634</v>
      </c>
    </row>
    <row r="11703" spans="1:9" ht="13.5">
      <c r="A11703" s="128">
        <v>2021</v>
      </c>
      <c r="B11703" s="128" t="s">
        <v>137</v>
      </c>
      <c r="C11703" s="128" t="s">
        <v>25</v>
      </c>
      <c r="D11703" s="128" t="s">
        <v>76</v>
      </c>
      <c r="E11703" s="128" t="s">
        <v>132</v>
      </c>
      <c r="F11703" s="128">
        <v>3258050.32</v>
      </c>
      <c r="G11703" s="128">
        <v>2058088.15</v>
      </c>
      <c r="H11703" s="128">
        <v>1199920.8700000001</v>
      </c>
      <c r="I11703" s="128">
        <v>22813</v>
      </c>
    </row>
    <row r="11704" spans="1:9" ht="13.5">
      <c r="A11704" s="128">
        <v>2021</v>
      </c>
      <c r="B11704" s="128" t="s">
        <v>137</v>
      </c>
      <c r="C11704" s="128" t="s">
        <v>25</v>
      </c>
      <c r="D11704" s="128" t="s">
        <v>76</v>
      </c>
      <c r="E11704" s="128" t="s">
        <v>133</v>
      </c>
      <c r="F11704" s="128">
        <v>10371919.039999999</v>
      </c>
      <c r="G11704" s="128">
        <v>5653867.54</v>
      </c>
      <c r="H11704" s="128">
        <v>4718039.47</v>
      </c>
      <c r="I11704" s="128">
        <v>63497</v>
      </c>
    </row>
    <row r="11705" spans="1:9" ht="13.5">
      <c r="A11705" s="128">
        <v>2021</v>
      </c>
      <c r="B11705" s="128" t="s">
        <v>137</v>
      </c>
      <c r="C11705" s="128" t="s">
        <v>25</v>
      </c>
      <c r="D11705" s="128" t="s">
        <v>76</v>
      </c>
      <c r="E11705" s="128" t="s">
        <v>134</v>
      </c>
      <c r="F11705" s="128">
        <v>12334590.93</v>
      </c>
      <c r="G11705" s="128">
        <v>5633364.21</v>
      </c>
      <c r="H11705" s="128">
        <v>6701204.7000000002</v>
      </c>
      <c r="I11705" s="128">
        <v>61175</v>
      </c>
    </row>
    <row r="11706" spans="1:9" ht="13.5">
      <c r="A11706" s="128">
        <v>2021</v>
      </c>
      <c r="B11706" s="128" t="s">
        <v>137</v>
      </c>
      <c r="C11706" s="128" t="s">
        <v>25</v>
      </c>
      <c r="D11706" s="128" t="s">
        <v>76</v>
      </c>
      <c r="E11706" s="128" t="s">
        <v>135</v>
      </c>
      <c r="F11706" s="128">
        <v>375120.2</v>
      </c>
      <c r="G11706" s="128">
        <v>106491.82</v>
      </c>
      <c r="H11706" s="128">
        <v>268627.58</v>
      </c>
      <c r="I11706" s="128">
        <v>336</v>
      </c>
    </row>
    <row r="11707" spans="1:9" ht="13.5">
      <c r="A11707" s="128">
        <v>2021</v>
      </c>
      <c r="B11707" s="128" t="s">
        <v>137</v>
      </c>
      <c r="C11707" s="128" t="s">
        <v>26</v>
      </c>
      <c r="D11707" s="128" t="s">
        <v>79</v>
      </c>
      <c r="E11707" s="128" t="s">
        <v>136</v>
      </c>
      <c r="F11707" s="128">
        <v>451419.43</v>
      </c>
      <c r="G11707" s="128">
        <v>321815.34000000003</v>
      </c>
      <c r="H11707" s="128">
        <v>102369.92</v>
      </c>
      <c r="I11707" s="128">
        <v>4241</v>
      </c>
    </row>
    <row r="11708" spans="1:9" ht="13.5">
      <c r="A11708" s="128">
        <v>2021</v>
      </c>
      <c r="B11708" s="128" t="s">
        <v>137</v>
      </c>
      <c r="C11708" s="128" t="s">
        <v>26</v>
      </c>
      <c r="D11708" s="128" t="s">
        <v>79</v>
      </c>
      <c r="E11708" s="128" t="s">
        <v>132</v>
      </c>
      <c r="F11708" s="128">
        <v>76060.02</v>
      </c>
      <c r="G11708" s="128">
        <v>51788.91</v>
      </c>
      <c r="H11708" s="128">
        <v>17654.099999999999</v>
      </c>
      <c r="I11708" s="128">
        <v>223</v>
      </c>
    </row>
    <row r="11709" spans="1:9" ht="13.5">
      <c r="A11709" s="128">
        <v>2021</v>
      </c>
      <c r="B11709" s="128" t="s">
        <v>137</v>
      </c>
      <c r="C11709" s="128" t="s">
        <v>26</v>
      </c>
      <c r="D11709" s="128" t="s">
        <v>79</v>
      </c>
      <c r="E11709" s="128" t="s">
        <v>133</v>
      </c>
      <c r="F11709" s="128">
        <v>103319.12</v>
      </c>
      <c r="G11709" s="128">
        <v>56076.79</v>
      </c>
      <c r="H11709" s="128">
        <v>18325.080000000002</v>
      </c>
      <c r="I11709" s="128">
        <v>158</v>
      </c>
    </row>
    <row r="11710" spans="1:9" ht="13.5">
      <c r="A11710" s="128">
        <v>2021</v>
      </c>
      <c r="B11710" s="128" t="s">
        <v>137</v>
      </c>
      <c r="C11710" s="128" t="s">
        <v>26</v>
      </c>
      <c r="D11710" s="128" t="s">
        <v>79</v>
      </c>
      <c r="E11710" s="128" t="s">
        <v>134</v>
      </c>
      <c r="F11710" s="128">
        <v>380558.38</v>
      </c>
      <c r="G11710" s="128">
        <v>162614.65</v>
      </c>
      <c r="H11710" s="128">
        <v>54696.27</v>
      </c>
      <c r="I11710" s="128">
        <v>1478</v>
      </c>
    </row>
    <row r="11711" spans="1:9" ht="13.5">
      <c r="A11711" s="128">
        <v>2021</v>
      </c>
      <c r="B11711" s="128" t="s">
        <v>137</v>
      </c>
      <c r="C11711" s="128" t="s">
        <v>26</v>
      </c>
      <c r="D11711" s="128" t="s">
        <v>79</v>
      </c>
      <c r="E11711" s="128" t="s">
        <v>135</v>
      </c>
      <c r="F11711" s="128">
        <v>6263603.71</v>
      </c>
      <c r="G11711" s="128">
        <v>1373396.02</v>
      </c>
      <c r="H11711" s="128">
        <v>458443.29</v>
      </c>
      <c r="I11711" s="128">
        <v>5278</v>
      </c>
    </row>
    <row r="11712" spans="1:9" ht="13.5">
      <c r="A11712" s="128">
        <v>2021</v>
      </c>
      <c r="B11712" s="128" t="s">
        <v>137</v>
      </c>
      <c r="C11712" s="128" t="s">
        <v>26</v>
      </c>
      <c r="D11712" s="128" t="s">
        <v>77</v>
      </c>
      <c r="E11712" s="128" t="s">
        <v>132</v>
      </c>
      <c r="F11712" s="128">
        <v>97617.01</v>
      </c>
      <c r="G11712" s="128">
        <v>65908.61</v>
      </c>
      <c r="H11712" s="128">
        <v>28061.61</v>
      </c>
      <c r="I11712" s="128">
        <v>337</v>
      </c>
    </row>
    <row r="11713" spans="1:9" ht="13.5">
      <c r="A11713" s="128">
        <v>2021</v>
      </c>
      <c r="B11713" s="128" t="s">
        <v>137</v>
      </c>
      <c r="C11713" s="128" t="s">
        <v>26</v>
      </c>
      <c r="D11713" s="128" t="s">
        <v>77</v>
      </c>
      <c r="E11713" s="128" t="s">
        <v>133</v>
      </c>
      <c r="F11713" s="128">
        <v>235514.52</v>
      </c>
      <c r="G11713" s="128">
        <v>125929.95</v>
      </c>
      <c r="H11713" s="128">
        <v>95052.63</v>
      </c>
      <c r="I11713" s="128">
        <v>576</v>
      </c>
    </row>
    <row r="11714" spans="1:9" ht="13.5">
      <c r="A11714" s="128">
        <v>2021</v>
      </c>
      <c r="B11714" s="128" t="s">
        <v>137</v>
      </c>
      <c r="C11714" s="128" t="s">
        <v>26</v>
      </c>
      <c r="D11714" s="128" t="s">
        <v>77</v>
      </c>
      <c r="E11714" s="128" t="s">
        <v>134</v>
      </c>
      <c r="F11714" s="128">
        <v>576339.28</v>
      </c>
      <c r="G11714" s="128">
        <v>246455.82</v>
      </c>
      <c r="H11714" s="128">
        <v>242054.57</v>
      </c>
      <c r="I11714" s="128">
        <v>1186</v>
      </c>
    </row>
    <row r="11715" spans="1:9" ht="13.5">
      <c r="A11715" s="128">
        <v>2021</v>
      </c>
      <c r="B11715" s="128" t="s">
        <v>137</v>
      </c>
      <c r="C11715" s="128" t="s">
        <v>26</v>
      </c>
      <c r="D11715" s="128" t="s">
        <v>77</v>
      </c>
      <c r="E11715" s="128" t="s">
        <v>135</v>
      </c>
      <c r="F11715" s="128">
        <v>4962409.18</v>
      </c>
      <c r="G11715" s="128">
        <v>1268699.1599999999</v>
      </c>
      <c r="H11715" s="128">
        <v>1198393.3400000001</v>
      </c>
      <c r="I11715" s="128">
        <v>15121</v>
      </c>
    </row>
    <row r="11716" spans="1:9" ht="13.5">
      <c r="A11716" s="128">
        <v>2021</v>
      </c>
      <c r="B11716" s="128" t="s">
        <v>137</v>
      </c>
      <c r="C11716" s="128" t="s">
        <v>26</v>
      </c>
      <c r="D11716" s="128" t="s">
        <v>76</v>
      </c>
      <c r="E11716" s="128" t="s">
        <v>136</v>
      </c>
      <c r="F11716" s="128">
        <v>463635.61</v>
      </c>
      <c r="G11716" s="128">
        <v>348270.47</v>
      </c>
      <c r="H11716" s="128">
        <v>115365.14</v>
      </c>
      <c r="I11716" s="128">
        <v>11498</v>
      </c>
    </row>
    <row r="11717" spans="1:9" ht="13.5">
      <c r="A11717" s="128">
        <v>2021</v>
      </c>
      <c r="B11717" s="128" t="s">
        <v>137</v>
      </c>
      <c r="C11717" s="128" t="s">
        <v>26</v>
      </c>
      <c r="D11717" s="128" t="s">
        <v>76</v>
      </c>
      <c r="E11717" s="128" t="s">
        <v>132</v>
      </c>
      <c r="F11717" s="128">
        <v>2130069.66</v>
      </c>
      <c r="G11717" s="128">
        <v>1397804.82</v>
      </c>
      <c r="H11717" s="128">
        <v>732243.63</v>
      </c>
      <c r="I11717" s="128">
        <v>16494</v>
      </c>
    </row>
    <row r="11718" spans="1:9" ht="13.5">
      <c r="A11718" s="128">
        <v>2021</v>
      </c>
      <c r="B11718" s="128" t="s">
        <v>137</v>
      </c>
      <c r="C11718" s="128" t="s">
        <v>26</v>
      </c>
      <c r="D11718" s="128" t="s">
        <v>76</v>
      </c>
      <c r="E11718" s="128" t="s">
        <v>133</v>
      </c>
      <c r="F11718" s="128">
        <v>4345915.82</v>
      </c>
      <c r="G11718" s="128">
        <v>2398642.65</v>
      </c>
      <c r="H11718" s="128">
        <v>1947244.38</v>
      </c>
      <c r="I11718" s="128">
        <v>36076</v>
      </c>
    </row>
    <row r="11719" spans="1:9" ht="13.5">
      <c r="A11719" s="128">
        <v>2021</v>
      </c>
      <c r="B11719" s="128" t="s">
        <v>137</v>
      </c>
      <c r="C11719" s="128" t="s">
        <v>26</v>
      </c>
      <c r="D11719" s="128" t="s">
        <v>76</v>
      </c>
      <c r="E11719" s="128" t="s">
        <v>134</v>
      </c>
      <c r="F11719" s="128">
        <v>3271402.02</v>
      </c>
      <c r="G11719" s="128">
        <v>1506653.63</v>
      </c>
      <c r="H11719" s="128">
        <v>1764696.32</v>
      </c>
      <c r="I11719" s="128">
        <v>18127</v>
      </c>
    </row>
    <row r="11720" spans="1:9" ht="13.5">
      <c r="A11720" s="128">
        <v>2021</v>
      </c>
      <c r="B11720" s="128" t="s">
        <v>137</v>
      </c>
      <c r="C11720" s="128" t="s">
        <v>26</v>
      </c>
      <c r="D11720" s="128" t="s">
        <v>76</v>
      </c>
      <c r="E11720" s="128" t="s">
        <v>135</v>
      </c>
      <c r="F11720" s="128">
        <v>296351.86</v>
      </c>
      <c r="G11720" s="128">
        <v>96676.160000000003</v>
      </c>
      <c r="H11720" s="128">
        <v>199675.7</v>
      </c>
      <c r="I11720" s="128">
        <v>691</v>
      </c>
    </row>
    <row r="11721" spans="1:9" ht="13.5">
      <c r="A11721" s="128">
        <v>2021</v>
      </c>
      <c r="B11721" s="128" t="s">
        <v>137</v>
      </c>
      <c r="C11721" s="128" t="s">
        <v>27</v>
      </c>
      <c r="D11721" s="128" t="s">
        <v>79</v>
      </c>
      <c r="E11721" s="128" t="s">
        <v>136</v>
      </c>
      <c r="F11721" s="128">
        <v>260194.22</v>
      </c>
      <c r="G11721" s="128">
        <v>193660.16</v>
      </c>
      <c r="H11721" s="128">
        <v>64536.4</v>
      </c>
      <c r="I11721" s="128">
        <v>1348</v>
      </c>
    </row>
    <row r="11722" spans="1:9" ht="13.5">
      <c r="A11722" s="128">
        <v>2021</v>
      </c>
      <c r="B11722" s="128" t="s">
        <v>137</v>
      </c>
      <c r="C11722" s="128" t="s">
        <v>27</v>
      </c>
      <c r="D11722" s="128" t="s">
        <v>79</v>
      </c>
      <c r="E11722" s="128" t="s">
        <v>132</v>
      </c>
      <c r="F11722" s="128">
        <v>26762.35</v>
      </c>
      <c r="G11722" s="128">
        <v>18633.25</v>
      </c>
      <c r="H11722" s="128">
        <v>6211</v>
      </c>
      <c r="I11722" s="128">
        <v>52</v>
      </c>
    </row>
    <row r="11723" spans="1:9" ht="13.5">
      <c r="A11723" s="128">
        <v>2021</v>
      </c>
      <c r="B11723" s="128" t="s">
        <v>137</v>
      </c>
      <c r="C11723" s="128" t="s">
        <v>27</v>
      </c>
      <c r="D11723" s="128" t="s">
        <v>79</v>
      </c>
      <c r="E11723" s="128" t="s">
        <v>133</v>
      </c>
      <c r="F11723" s="128">
        <v>33948.550000000003</v>
      </c>
      <c r="G11723" s="128">
        <v>18274</v>
      </c>
      <c r="H11723" s="128">
        <v>6090.45</v>
      </c>
      <c r="I11723" s="128">
        <v>69</v>
      </c>
    </row>
    <row r="11724" spans="1:9" ht="13.5">
      <c r="A11724" s="128">
        <v>2021</v>
      </c>
      <c r="B11724" s="128" t="s">
        <v>137</v>
      </c>
      <c r="C11724" s="128" t="s">
        <v>27</v>
      </c>
      <c r="D11724" s="128" t="s">
        <v>79</v>
      </c>
      <c r="E11724" s="128" t="s">
        <v>134</v>
      </c>
      <c r="F11724" s="128">
        <v>53736.97</v>
      </c>
      <c r="G11724" s="128">
        <v>23105.64</v>
      </c>
      <c r="H11724" s="128">
        <v>7698</v>
      </c>
      <c r="I11724" s="128">
        <v>152</v>
      </c>
    </row>
    <row r="11725" spans="1:9" ht="13.5">
      <c r="A11725" s="128">
        <v>2021</v>
      </c>
      <c r="B11725" s="128" t="s">
        <v>137</v>
      </c>
      <c r="C11725" s="128" t="s">
        <v>27</v>
      </c>
      <c r="D11725" s="128" t="s">
        <v>79</v>
      </c>
      <c r="E11725" s="128" t="s">
        <v>135</v>
      </c>
      <c r="F11725" s="128">
        <v>1308634.19</v>
      </c>
      <c r="G11725" s="128">
        <v>300090.38</v>
      </c>
      <c r="H11725" s="128">
        <v>100022.9</v>
      </c>
      <c r="I11725" s="128">
        <v>723</v>
      </c>
    </row>
    <row r="11726" spans="1:9" ht="13.5">
      <c r="A11726" s="128">
        <v>2021</v>
      </c>
      <c r="B11726" s="128" t="s">
        <v>137</v>
      </c>
      <c r="C11726" s="128" t="s">
        <v>27</v>
      </c>
      <c r="D11726" s="128" t="s">
        <v>77</v>
      </c>
      <c r="E11726" s="128" t="s">
        <v>132</v>
      </c>
      <c r="F11726" s="128">
        <v>12506.12</v>
      </c>
      <c r="G11726" s="128">
        <v>8061.2</v>
      </c>
      <c r="H11726" s="128">
        <v>3463.2</v>
      </c>
      <c r="I11726" s="128">
        <v>71</v>
      </c>
    </row>
    <row r="11727" spans="1:9" ht="13.5">
      <c r="A11727" s="128">
        <v>2021</v>
      </c>
      <c r="B11727" s="128" t="s">
        <v>137</v>
      </c>
      <c r="C11727" s="128" t="s">
        <v>27</v>
      </c>
      <c r="D11727" s="128" t="s">
        <v>77</v>
      </c>
      <c r="E11727" s="128" t="s">
        <v>133</v>
      </c>
      <c r="F11727" s="128">
        <v>93600.67</v>
      </c>
      <c r="G11727" s="128">
        <v>51141.61</v>
      </c>
      <c r="H11727" s="128">
        <v>40429.9</v>
      </c>
      <c r="I11727" s="128">
        <v>223</v>
      </c>
    </row>
    <row r="11728" spans="1:9" ht="13.5">
      <c r="A11728" s="128">
        <v>2021</v>
      </c>
      <c r="B11728" s="128" t="s">
        <v>137</v>
      </c>
      <c r="C11728" s="128" t="s">
        <v>27</v>
      </c>
      <c r="D11728" s="128" t="s">
        <v>77</v>
      </c>
      <c r="E11728" s="128" t="s">
        <v>134</v>
      </c>
      <c r="F11728" s="128">
        <v>260393.24</v>
      </c>
      <c r="G11728" s="128">
        <v>112477.51</v>
      </c>
      <c r="H11728" s="128">
        <v>111642.48</v>
      </c>
      <c r="I11728" s="128">
        <v>419</v>
      </c>
    </row>
    <row r="11729" spans="1:9" ht="13.5">
      <c r="A11729" s="128">
        <v>2021</v>
      </c>
      <c r="B11729" s="128" t="s">
        <v>137</v>
      </c>
      <c r="C11729" s="128" t="s">
        <v>27</v>
      </c>
      <c r="D11729" s="128" t="s">
        <v>77</v>
      </c>
      <c r="E11729" s="128" t="s">
        <v>135</v>
      </c>
      <c r="F11729" s="128">
        <v>530189.25</v>
      </c>
      <c r="G11729" s="128">
        <v>141809.01999999999</v>
      </c>
      <c r="H11729" s="128">
        <v>148663.21</v>
      </c>
      <c r="I11729" s="128">
        <v>1625</v>
      </c>
    </row>
    <row r="11730" spans="1:9" ht="13.5">
      <c r="A11730" s="128">
        <v>2021</v>
      </c>
      <c r="B11730" s="128" t="s">
        <v>137</v>
      </c>
      <c r="C11730" s="128" t="s">
        <v>27</v>
      </c>
      <c r="D11730" s="128" t="s">
        <v>76</v>
      </c>
      <c r="E11730" s="128" t="s">
        <v>136</v>
      </c>
      <c r="F11730" s="128">
        <v>333530.49</v>
      </c>
      <c r="G11730" s="128">
        <v>250402.1</v>
      </c>
      <c r="H11730" s="128">
        <v>83128.39</v>
      </c>
      <c r="I11730" s="128">
        <v>3925</v>
      </c>
    </row>
    <row r="11731" spans="1:9" ht="13.5">
      <c r="A11731" s="128">
        <v>2021</v>
      </c>
      <c r="B11731" s="128" t="s">
        <v>137</v>
      </c>
      <c r="C11731" s="128" t="s">
        <v>27</v>
      </c>
      <c r="D11731" s="128" t="s">
        <v>76</v>
      </c>
      <c r="E11731" s="128" t="s">
        <v>132</v>
      </c>
      <c r="F11731" s="128">
        <v>642402.81000000006</v>
      </c>
      <c r="G11731" s="128">
        <v>406653.8</v>
      </c>
      <c r="H11731" s="128">
        <v>235728.31</v>
      </c>
      <c r="I11731" s="128">
        <v>4351</v>
      </c>
    </row>
    <row r="11732" spans="1:9" ht="13.5">
      <c r="A11732" s="128">
        <v>2021</v>
      </c>
      <c r="B11732" s="128" t="s">
        <v>137</v>
      </c>
      <c r="C11732" s="128" t="s">
        <v>27</v>
      </c>
      <c r="D11732" s="128" t="s">
        <v>76</v>
      </c>
      <c r="E11732" s="128" t="s">
        <v>133</v>
      </c>
      <c r="F11732" s="128">
        <v>1294665.31</v>
      </c>
      <c r="G11732" s="128">
        <v>703208.75</v>
      </c>
      <c r="H11732" s="128">
        <v>591448.99</v>
      </c>
      <c r="I11732" s="128">
        <v>5723</v>
      </c>
    </row>
    <row r="11733" spans="1:9" ht="13.5">
      <c r="A11733" s="128">
        <v>2021</v>
      </c>
      <c r="B11733" s="128" t="s">
        <v>137</v>
      </c>
      <c r="C11733" s="128" t="s">
        <v>27</v>
      </c>
      <c r="D11733" s="128" t="s">
        <v>76</v>
      </c>
      <c r="E11733" s="128" t="s">
        <v>134</v>
      </c>
      <c r="F11733" s="128">
        <v>1870543.9</v>
      </c>
      <c r="G11733" s="128">
        <v>861560.16</v>
      </c>
      <c r="H11733" s="128">
        <v>1008964.74</v>
      </c>
      <c r="I11733" s="128">
        <v>9719</v>
      </c>
    </row>
    <row r="11734" spans="1:9" ht="13.5">
      <c r="A11734" s="128">
        <v>2021</v>
      </c>
      <c r="B11734" s="128" t="s">
        <v>137</v>
      </c>
      <c r="C11734" s="128" t="s">
        <v>27</v>
      </c>
      <c r="D11734" s="128" t="s">
        <v>76</v>
      </c>
      <c r="E11734" s="128" t="s">
        <v>135</v>
      </c>
      <c r="F11734" s="128">
        <v>49449.79</v>
      </c>
      <c r="G11734" s="128">
        <v>15798.79</v>
      </c>
      <c r="H11734" s="128">
        <v>33651</v>
      </c>
      <c r="I11734" s="128">
        <v>71</v>
      </c>
    </row>
    <row r="11735" spans="1:9" ht="13.5">
      <c r="A11735" s="128">
        <v>2022</v>
      </c>
      <c r="B11735" s="128" t="s">
        <v>131</v>
      </c>
      <c r="C11735" s="128" t="s">
        <v>20</v>
      </c>
      <c r="D11735" s="128" t="s">
        <v>79</v>
      </c>
      <c r="E11735" s="128" t="s">
        <v>136</v>
      </c>
      <c r="F11735" s="128">
        <v>28062951.100000001</v>
      </c>
      <c r="G11735" s="128">
        <v>20984641.129999999</v>
      </c>
      <c r="H11735" s="128">
        <v>7043814.7199999997</v>
      </c>
      <c r="I11735" s="128">
        <v>228382</v>
      </c>
    </row>
    <row r="11736" spans="1:9" ht="13.5">
      <c r="A11736" s="128">
        <v>2022</v>
      </c>
      <c r="B11736" s="128" t="s">
        <v>131</v>
      </c>
      <c r="C11736" s="128" t="s">
        <v>20</v>
      </c>
      <c r="D11736" s="128" t="s">
        <v>79</v>
      </c>
      <c r="E11736" s="128" t="s">
        <v>132</v>
      </c>
      <c r="F11736" s="128">
        <v>2431554.08</v>
      </c>
      <c r="G11736" s="128">
        <v>1631769.74</v>
      </c>
      <c r="H11736" s="128">
        <v>570289.52</v>
      </c>
      <c r="I11736" s="128">
        <v>8943</v>
      </c>
    </row>
    <row r="11737" spans="1:9" ht="13.5">
      <c r="A11737" s="128">
        <v>2022</v>
      </c>
      <c r="B11737" s="128" t="s">
        <v>131</v>
      </c>
      <c r="C11737" s="128" t="s">
        <v>20</v>
      </c>
      <c r="D11737" s="128" t="s">
        <v>79</v>
      </c>
      <c r="E11737" s="128" t="s">
        <v>133</v>
      </c>
      <c r="F11737" s="128">
        <v>1866594.18</v>
      </c>
      <c r="G11737" s="128">
        <v>1009267.79</v>
      </c>
      <c r="H11737" s="128">
        <v>346471.69</v>
      </c>
      <c r="I11737" s="128">
        <v>3836</v>
      </c>
    </row>
    <row r="11738" spans="1:9" ht="13.5">
      <c r="A11738" s="128">
        <v>2022</v>
      </c>
      <c r="B11738" s="128" t="s">
        <v>131</v>
      </c>
      <c r="C11738" s="128" t="s">
        <v>20</v>
      </c>
      <c r="D11738" s="128" t="s">
        <v>79</v>
      </c>
      <c r="E11738" s="128" t="s">
        <v>134</v>
      </c>
      <c r="F11738" s="128">
        <v>6945758.0599999996</v>
      </c>
      <c r="G11738" s="128">
        <v>2949921.57</v>
      </c>
      <c r="H11738" s="128">
        <v>1032041.77</v>
      </c>
      <c r="I11738" s="128">
        <v>17413</v>
      </c>
    </row>
    <row r="11739" spans="1:9" ht="13.5">
      <c r="A11739" s="128">
        <v>2022</v>
      </c>
      <c r="B11739" s="128" t="s">
        <v>131</v>
      </c>
      <c r="C11739" s="128" t="s">
        <v>20</v>
      </c>
      <c r="D11739" s="128" t="s">
        <v>79</v>
      </c>
      <c r="E11739" s="128" t="s">
        <v>135</v>
      </c>
      <c r="F11739" s="128">
        <v>102066779.86</v>
      </c>
      <c r="G11739" s="128">
        <v>21542559.07</v>
      </c>
      <c r="H11739" s="128">
        <v>7249784.2400000002</v>
      </c>
      <c r="I11739" s="128">
        <v>86356</v>
      </c>
    </row>
    <row r="11740" spans="1:9" ht="13.5">
      <c r="A11740" s="128">
        <v>2022</v>
      </c>
      <c r="B11740" s="128" t="s">
        <v>131</v>
      </c>
      <c r="C11740" s="128" t="s">
        <v>20</v>
      </c>
      <c r="D11740" s="128" t="s">
        <v>77</v>
      </c>
      <c r="E11740" s="128" t="s">
        <v>132</v>
      </c>
      <c r="F11740" s="128">
        <v>2973242.96</v>
      </c>
      <c r="G11740" s="128">
        <v>1951193.89</v>
      </c>
      <c r="H11740" s="128">
        <v>885842.64</v>
      </c>
      <c r="I11740" s="128">
        <v>13305</v>
      </c>
    </row>
    <row r="11741" spans="1:9" ht="13.5">
      <c r="A11741" s="128">
        <v>2022</v>
      </c>
      <c r="B11741" s="128" t="s">
        <v>131</v>
      </c>
      <c r="C11741" s="128" t="s">
        <v>20</v>
      </c>
      <c r="D11741" s="128" t="s">
        <v>77</v>
      </c>
      <c r="E11741" s="128" t="s">
        <v>133</v>
      </c>
      <c r="F11741" s="128">
        <v>6697477.9199999999</v>
      </c>
      <c r="G11741" s="128">
        <v>3590582.24</v>
      </c>
      <c r="H11741" s="128">
        <v>2703610.82</v>
      </c>
      <c r="I11741" s="128">
        <v>24865</v>
      </c>
    </row>
    <row r="11742" spans="1:9" ht="13.5">
      <c r="A11742" s="128">
        <v>2022</v>
      </c>
      <c r="B11742" s="128" t="s">
        <v>131</v>
      </c>
      <c r="C11742" s="128" t="s">
        <v>20</v>
      </c>
      <c r="D11742" s="128" t="s">
        <v>77</v>
      </c>
      <c r="E11742" s="128" t="s">
        <v>134</v>
      </c>
      <c r="F11742" s="128">
        <v>18967981.57</v>
      </c>
      <c r="G11742" s="128">
        <v>8202322.2199999997</v>
      </c>
      <c r="H11742" s="128">
        <v>8203843.3200000003</v>
      </c>
      <c r="I11742" s="128">
        <v>32146</v>
      </c>
    </row>
    <row r="11743" spans="1:9" ht="13.5">
      <c r="A11743" s="128">
        <v>2022</v>
      </c>
      <c r="B11743" s="128" t="s">
        <v>131</v>
      </c>
      <c r="C11743" s="128" t="s">
        <v>20</v>
      </c>
      <c r="D11743" s="128" t="s">
        <v>77</v>
      </c>
      <c r="E11743" s="128" t="s">
        <v>135</v>
      </c>
      <c r="F11743" s="128">
        <v>54003927.329999998</v>
      </c>
      <c r="G11743" s="128">
        <v>14053765.189999999</v>
      </c>
      <c r="H11743" s="128">
        <v>15975981.82</v>
      </c>
      <c r="I11743" s="128">
        <v>174898</v>
      </c>
    </row>
    <row r="11744" spans="1:9" ht="13.5">
      <c r="A11744" s="128">
        <v>2022</v>
      </c>
      <c r="B11744" s="128" t="s">
        <v>131</v>
      </c>
      <c r="C11744" s="128" t="s">
        <v>20</v>
      </c>
      <c r="D11744" s="128" t="s">
        <v>76</v>
      </c>
      <c r="E11744" s="128" t="s">
        <v>136</v>
      </c>
      <c r="F11744" s="128">
        <v>27966416.93</v>
      </c>
      <c r="G11744" s="128">
        <v>21039779.280000001</v>
      </c>
      <c r="H11744" s="128">
        <v>6926631.6500000004</v>
      </c>
      <c r="I11744" s="128">
        <v>987808</v>
      </c>
    </row>
    <row r="11745" spans="1:9" ht="13.5">
      <c r="A11745" s="128">
        <v>2022</v>
      </c>
      <c r="B11745" s="128" t="s">
        <v>131</v>
      </c>
      <c r="C11745" s="128" t="s">
        <v>20</v>
      </c>
      <c r="D11745" s="128" t="s">
        <v>76</v>
      </c>
      <c r="E11745" s="128" t="s">
        <v>132</v>
      </c>
      <c r="F11745" s="128">
        <v>55088362.549999997</v>
      </c>
      <c r="G11745" s="128">
        <v>35153962.420000002</v>
      </c>
      <c r="H11745" s="128">
        <v>19934272.289999999</v>
      </c>
      <c r="I11745" s="128">
        <v>435332</v>
      </c>
    </row>
    <row r="11746" spans="1:9" ht="13.5">
      <c r="A11746" s="128">
        <v>2022</v>
      </c>
      <c r="B11746" s="128" t="s">
        <v>131</v>
      </c>
      <c r="C11746" s="128" t="s">
        <v>20</v>
      </c>
      <c r="D11746" s="128" t="s">
        <v>76</v>
      </c>
      <c r="E11746" s="128" t="s">
        <v>133</v>
      </c>
      <c r="F11746" s="128">
        <v>114349826.66</v>
      </c>
      <c r="G11746" s="128">
        <v>62697867.340000004</v>
      </c>
      <c r="H11746" s="128">
        <v>51651935.18</v>
      </c>
      <c r="I11746" s="128">
        <v>627706</v>
      </c>
    </row>
    <row r="11747" spans="1:9" ht="13.5">
      <c r="A11747" s="128">
        <v>2022</v>
      </c>
      <c r="B11747" s="128" t="s">
        <v>131</v>
      </c>
      <c r="C11747" s="128" t="s">
        <v>20</v>
      </c>
      <c r="D11747" s="128" t="s">
        <v>76</v>
      </c>
      <c r="E11747" s="128" t="s">
        <v>134</v>
      </c>
      <c r="F11747" s="128">
        <v>114524628.84</v>
      </c>
      <c r="G11747" s="128">
        <v>52421717.43</v>
      </c>
      <c r="H11747" s="128">
        <v>62102871.68</v>
      </c>
      <c r="I11747" s="128">
        <v>654315</v>
      </c>
    </row>
    <row r="11748" spans="1:9" ht="13.5">
      <c r="A11748" s="128">
        <v>2022</v>
      </c>
      <c r="B11748" s="128" t="s">
        <v>131</v>
      </c>
      <c r="C11748" s="128" t="s">
        <v>20</v>
      </c>
      <c r="D11748" s="128" t="s">
        <v>76</v>
      </c>
      <c r="E11748" s="128" t="s">
        <v>135</v>
      </c>
      <c r="F11748" s="128">
        <v>6390270.4100000001</v>
      </c>
      <c r="G11748" s="128">
        <v>1900189.64</v>
      </c>
      <c r="H11748" s="128">
        <v>4490080.7699999996</v>
      </c>
      <c r="I11748" s="128">
        <v>6359</v>
      </c>
    </row>
    <row r="11749" spans="1:9" ht="13.5">
      <c r="A11749" s="128">
        <v>2022</v>
      </c>
      <c r="B11749" s="128" t="s">
        <v>131</v>
      </c>
      <c r="C11749" s="128" t="s">
        <v>21</v>
      </c>
      <c r="D11749" s="128" t="s">
        <v>79</v>
      </c>
      <c r="E11749" s="128" t="s">
        <v>136</v>
      </c>
      <c r="F11749" s="128">
        <v>5328927.47</v>
      </c>
      <c r="G11749" s="128">
        <v>3969083.93</v>
      </c>
      <c r="H11749" s="128">
        <v>1303269.06</v>
      </c>
      <c r="I11749" s="128">
        <v>110221</v>
      </c>
    </row>
    <row r="11750" spans="1:9" ht="13.5">
      <c r="A11750" s="128">
        <v>2022</v>
      </c>
      <c r="B11750" s="128" t="s">
        <v>131</v>
      </c>
      <c r="C11750" s="128" t="s">
        <v>21</v>
      </c>
      <c r="D11750" s="128" t="s">
        <v>79</v>
      </c>
      <c r="E11750" s="128" t="s">
        <v>132</v>
      </c>
      <c r="F11750" s="128">
        <v>1037364.3</v>
      </c>
      <c r="G11750" s="128">
        <v>686090.86</v>
      </c>
      <c r="H11750" s="128">
        <v>229789.46</v>
      </c>
      <c r="I11750" s="128">
        <v>2625</v>
      </c>
    </row>
    <row r="11751" spans="1:9" ht="13.5">
      <c r="A11751" s="128">
        <v>2022</v>
      </c>
      <c r="B11751" s="128" t="s">
        <v>131</v>
      </c>
      <c r="C11751" s="128" t="s">
        <v>21</v>
      </c>
      <c r="D11751" s="128" t="s">
        <v>79</v>
      </c>
      <c r="E11751" s="128" t="s">
        <v>133</v>
      </c>
      <c r="F11751" s="128">
        <v>1556049.88</v>
      </c>
      <c r="G11751" s="128">
        <v>832887.65</v>
      </c>
      <c r="H11751" s="128">
        <v>284654.55</v>
      </c>
      <c r="I11751" s="128">
        <v>6244</v>
      </c>
    </row>
    <row r="11752" spans="1:9" ht="13.5">
      <c r="A11752" s="128">
        <v>2022</v>
      </c>
      <c r="B11752" s="128" t="s">
        <v>131</v>
      </c>
      <c r="C11752" s="128" t="s">
        <v>21</v>
      </c>
      <c r="D11752" s="128" t="s">
        <v>79</v>
      </c>
      <c r="E11752" s="128" t="s">
        <v>134</v>
      </c>
      <c r="F11752" s="128">
        <v>3979010.04</v>
      </c>
      <c r="G11752" s="128">
        <v>1737094.75</v>
      </c>
      <c r="H11752" s="128">
        <v>581040.57999999996</v>
      </c>
      <c r="I11752" s="128">
        <v>12921</v>
      </c>
    </row>
    <row r="11753" spans="1:9" ht="13.5">
      <c r="A11753" s="128">
        <v>2022</v>
      </c>
      <c r="B11753" s="128" t="s">
        <v>131</v>
      </c>
      <c r="C11753" s="128" t="s">
        <v>21</v>
      </c>
      <c r="D11753" s="128" t="s">
        <v>79</v>
      </c>
      <c r="E11753" s="128" t="s">
        <v>135</v>
      </c>
      <c r="F11753" s="128">
        <v>38120486.880000003</v>
      </c>
      <c r="G11753" s="128">
        <v>8338813.1200000001</v>
      </c>
      <c r="H11753" s="128">
        <v>2800639.05</v>
      </c>
      <c r="I11753" s="128">
        <v>31556</v>
      </c>
    </row>
    <row r="11754" spans="1:9" ht="13.5">
      <c r="A11754" s="128">
        <v>2022</v>
      </c>
      <c r="B11754" s="128" t="s">
        <v>131</v>
      </c>
      <c r="C11754" s="128" t="s">
        <v>21</v>
      </c>
      <c r="D11754" s="128" t="s">
        <v>77</v>
      </c>
      <c r="E11754" s="128" t="s">
        <v>132</v>
      </c>
      <c r="F11754" s="128">
        <v>2611346.86</v>
      </c>
      <c r="G11754" s="128">
        <v>1710446.94</v>
      </c>
      <c r="H11754" s="128">
        <v>761369.13</v>
      </c>
      <c r="I11754" s="128">
        <v>12664</v>
      </c>
    </row>
    <row r="11755" spans="1:9" ht="13.5">
      <c r="A11755" s="128">
        <v>2022</v>
      </c>
      <c r="B11755" s="128" t="s">
        <v>131</v>
      </c>
      <c r="C11755" s="128" t="s">
        <v>21</v>
      </c>
      <c r="D11755" s="128" t="s">
        <v>77</v>
      </c>
      <c r="E11755" s="128" t="s">
        <v>133</v>
      </c>
      <c r="F11755" s="128">
        <v>7793505.8399999999</v>
      </c>
      <c r="G11755" s="128">
        <v>4171198.37</v>
      </c>
      <c r="H11755" s="128">
        <v>3081142.51</v>
      </c>
      <c r="I11755" s="128">
        <v>22329</v>
      </c>
    </row>
    <row r="11756" spans="1:9" ht="13.5">
      <c r="A11756" s="128">
        <v>2022</v>
      </c>
      <c r="B11756" s="128" t="s">
        <v>131</v>
      </c>
      <c r="C11756" s="128" t="s">
        <v>21</v>
      </c>
      <c r="D11756" s="128" t="s">
        <v>77</v>
      </c>
      <c r="E11756" s="128" t="s">
        <v>134</v>
      </c>
      <c r="F11756" s="128">
        <v>21102478.41</v>
      </c>
      <c r="G11756" s="128">
        <v>9059353.0800000001</v>
      </c>
      <c r="H11756" s="128">
        <v>8537851.0899999999</v>
      </c>
      <c r="I11756" s="128">
        <v>37608</v>
      </c>
    </row>
    <row r="11757" spans="1:9" ht="13.5">
      <c r="A11757" s="128">
        <v>2022</v>
      </c>
      <c r="B11757" s="128" t="s">
        <v>131</v>
      </c>
      <c r="C11757" s="128" t="s">
        <v>21</v>
      </c>
      <c r="D11757" s="128" t="s">
        <v>77</v>
      </c>
      <c r="E11757" s="128" t="s">
        <v>135</v>
      </c>
      <c r="F11757" s="128">
        <v>52543581.969999999</v>
      </c>
      <c r="G11757" s="128">
        <v>13886545.08</v>
      </c>
      <c r="H11757" s="128">
        <v>15082080.98</v>
      </c>
      <c r="I11757" s="128">
        <v>180554</v>
      </c>
    </row>
    <row r="11758" spans="1:9" ht="13.5">
      <c r="A11758" s="128">
        <v>2022</v>
      </c>
      <c r="B11758" s="128" t="s">
        <v>131</v>
      </c>
      <c r="C11758" s="128" t="s">
        <v>21</v>
      </c>
      <c r="D11758" s="128" t="s">
        <v>76</v>
      </c>
      <c r="E11758" s="128" t="s">
        <v>136</v>
      </c>
      <c r="F11758" s="128">
        <v>19762606.5</v>
      </c>
      <c r="G11758" s="128">
        <v>14865373.23</v>
      </c>
      <c r="H11758" s="128">
        <v>4897272.04</v>
      </c>
      <c r="I11758" s="128">
        <v>271741</v>
      </c>
    </row>
    <row r="11759" spans="1:9" ht="13.5">
      <c r="A11759" s="128">
        <v>2022</v>
      </c>
      <c r="B11759" s="128" t="s">
        <v>131</v>
      </c>
      <c r="C11759" s="128" t="s">
        <v>21</v>
      </c>
      <c r="D11759" s="128" t="s">
        <v>76</v>
      </c>
      <c r="E11759" s="128" t="s">
        <v>132</v>
      </c>
      <c r="F11759" s="128">
        <v>58441400.539999999</v>
      </c>
      <c r="G11759" s="128">
        <v>37286829.210000001</v>
      </c>
      <c r="H11759" s="128">
        <v>21154365.129999999</v>
      </c>
      <c r="I11759" s="128">
        <v>468349</v>
      </c>
    </row>
    <row r="11760" spans="1:9" ht="13.5">
      <c r="A11760" s="128">
        <v>2022</v>
      </c>
      <c r="B11760" s="128" t="s">
        <v>131</v>
      </c>
      <c r="C11760" s="128" t="s">
        <v>21</v>
      </c>
      <c r="D11760" s="128" t="s">
        <v>76</v>
      </c>
      <c r="E11760" s="128" t="s">
        <v>133</v>
      </c>
      <c r="F11760" s="128">
        <v>118929983.53</v>
      </c>
      <c r="G11760" s="128">
        <v>65294424.789999999</v>
      </c>
      <c r="H11760" s="128">
        <v>53635491.530000001</v>
      </c>
      <c r="I11760" s="128">
        <v>685072</v>
      </c>
    </row>
    <row r="11761" spans="1:9" ht="13.5">
      <c r="A11761" s="128">
        <v>2022</v>
      </c>
      <c r="B11761" s="128" t="s">
        <v>131</v>
      </c>
      <c r="C11761" s="128" t="s">
        <v>21</v>
      </c>
      <c r="D11761" s="128" t="s">
        <v>76</v>
      </c>
      <c r="E11761" s="128" t="s">
        <v>134</v>
      </c>
      <c r="F11761" s="128">
        <v>80756934.719999999</v>
      </c>
      <c r="G11761" s="128">
        <v>37211023.170000002</v>
      </c>
      <c r="H11761" s="128">
        <v>43545884.530000001</v>
      </c>
      <c r="I11761" s="128">
        <v>508025</v>
      </c>
    </row>
    <row r="11762" spans="1:9" ht="13.5">
      <c r="A11762" s="128">
        <v>2022</v>
      </c>
      <c r="B11762" s="128" t="s">
        <v>131</v>
      </c>
      <c r="C11762" s="128" t="s">
        <v>21</v>
      </c>
      <c r="D11762" s="128" t="s">
        <v>76</v>
      </c>
      <c r="E11762" s="128" t="s">
        <v>135</v>
      </c>
      <c r="F11762" s="128">
        <v>2885833.15</v>
      </c>
      <c r="G11762" s="128">
        <v>826070.27</v>
      </c>
      <c r="H11762" s="128">
        <v>2059762.88</v>
      </c>
      <c r="I11762" s="128">
        <v>3089</v>
      </c>
    </row>
    <row r="11763" spans="1:9" ht="13.5">
      <c r="A11763" s="128">
        <v>2022</v>
      </c>
      <c r="B11763" s="128" t="s">
        <v>131</v>
      </c>
      <c r="C11763" s="128" t="s">
        <v>22</v>
      </c>
      <c r="D11763" s="128" t="s">
        <v>79</v>
      </c>
      <c r="E11763" s="128" t="s">
        <v>136</v>
      </c>
      <c r="F11763" s="128">
        <v>3707984.46</v>
      </c>
      <c r="G11763" s="128">
        <v>2738178.29</v>
      </c>
      <c r="H11763" s="128">
        <v>897664.09</v>
      </c>
      <c r="I11763" s="128">
        <v>55056</v>
      </c>
    </row>
    <row r="11764" spans="1:9" ht="13.5">
      <c r="A11764" s="128">
        <v>2022</v>
      </c>
      <c r="B11764" s="128" t="s">
        <v>131</v>
      </c>
      <c r="C11764" s="128" t="s">
        <v>22</v>
      </c>
      <c r="D11764" s="128" t="s">
        <v>79</v>
      </c>
      <c r="E11764" s="128" t="s">
        <v>132</v>
      </c>
      <c r="F11764" s="128">
        <v>1231602</v>
      </c>
      <c r="G11764" s="128">
        <v>821073.85</v>
      </c>
      <c r="H11764" s="128">
        <v>276136.93</v>
      </c>
      <c r="I11764" s="128">
        <v>2375</v>
      </c>
    </row>
    <row r="11765" spans="1:9" ht="13.5">
      <c r="A11765" s="128">
        <v>2022</v>
      </c>
      <c r="B11765" s="128" t="s">
        <v>131</v>
      </c>
      <c r="C11765" s="128" t="s">
        <v>22</v>
      </c>
      <c r="D11765" s="128" t="s">
        <v>79</v>
      </c>
      <c r="E11765" s="128" t="s">
        <v>133</v>
      </c>
      <c r="F11765" s="128">
        <v>1384036.96</v>
      </c>
      <c r="G11765" s="128">
        <v>755121.48</v>
      </c>
      <c r="H11765" s="128">
        <v>250035.91</v>
      </c>
      <c r="I11765" s="128">
        <v>3361</v>
      </c>
    </row>
    <row r="11766" spans="1:9" ht="13.5">
      <c r="A11766" s="128">
        <v>2022</v>
      </c>
      <c r="B11766" s="128" t="s">
        <v>131</v>
      </c>
      <c r="C11766" s="128" t="s">
        <v>22</v>
      </c>
      <c r="D11766" s="128" t="s">
        <v>79</v>
      </c>
      <c r="E11766" s="128" t="s">
        <v>134</v>
      </c>
      <c r="F11766" s="128">
        <v>4737827.84</v>
      </c>
      <c r="G11766" s="128">
        <v>2044661.76</v>
      </c>
      <c r="H11766" s="128">
        <v>683253.08</v>
      </c>
      <c r="I11766" s="128">
        <v>19598</v>
      </c>
    </row>
    <row r="11767" spans="1:9" ht="13.5">
      <c r="A11767" s="128">
        <v>2022</v>
      </c>
      <c r="B11767" s="128" t="s">
        <v>131</v>
      </c>
      <c r="C11767" s="128" t="s">
        <v>22</v>
      </c>
      <c r="D11767" s="128" t="s">
        <v>79</v>
      </c>
      <c r="E11767" s="128" t="s">
        <v>135</v>
      </c>
      <c r="F11767" s="128">
        <v>49227573.079999998</v>
      </c>
      <c r="G11767" s="128">
        <v>10655381.82</v>
      </c>
      <c r="H11767" s="128">
        <v>3579167.31</v>
      </c>
      <c r="I11767" s="128">
        <v>42664</v>
      </c>
    </row>
    <row r="11768" spans="1:9" ht="13.5">
      <c r="A11768" s="128">
        <v>2022</v>
      </c>
      <c r="B11768" s="128" t="s">
        <v>131</v>
      </c>
      <c r="C11768" s="128" t="s">
        <v>22</v>
      </c>
      <c r="D11768" s="128" t="s">
        <v>77</v>
      </c>
      <c r="E11768" s="128" t="s">
        <v>132</v>
      </c>
      <c r="F11768" s="128">
        <v>1567349.45</v>
      </c>
      <c r="G11768" s="128">
        <v>1017514.73</v>
      </c>
      <c r="H11768" s="128">
        <v>449142.35</v>
      </c>
      <c r="I11768" s="128">
        <v>7494</v>
      </c>
    </row>
    <row r="11769" spans="1:9" ht="13.5">
      <c r="A11769" s="128">
        <v>2022</v>
      </c>
      <c r="B11769" s="128" t="s">
        <v>131</v>
      </c>
      <c r="C11769" s="128" t="s">
        <v>22</v>
      </c>
      <c r="D11769" s="128" t="s">
        <v>77</v>
      </c>
      <c r="E11769" s="128" t="s">
        <v>133</v>
      </c>
      <c r="F11769" s="128">
        <v>5127401.2300000004</v>
      </c>
      <c r="G11769" s="128">
        <v>2725654.07</v>
      </c>
      <c r="H11769" s="128">
        <v>2055383.23</v>
      </c>
      <c r="I11769" s="128">
        <v>18557</v>
      </c>
    </row>
    <row r="11770" spans="1:9" ht="13.5">
      <c r="A11770" s="128">
        <v>2022</v>
      </c>
      <c r="B11770" s="128" t="s">
        <v>131</v>
      </c>
      <c r="C11770" s="128" t="s">
        <v>22</v>
      </c>
      <c r="D11770" s="128" t="s">
        <v>77</v>
      </c>
      <c r="E11770" s="128" t="s">
        <v>134</v>
      </c>
      <c r="F11770" s="128">
        <v>20686644.739999998</v>
      </c>
      <c r="G11770" s="128">
        <v>8796206.4900000002</v>
      </c>
      <c r="H11770" s="128">
        <v>8669022.0800000001</v>
      </c>
      <c r="I11770" s="128">
        <v>31827</v>
      </c>
    </row>
    <row r="11771" spans="1:9" ht="13.5">
      <c r="A11771" s="128">
        <v>2022</v>
      </c>
      <c r="B11771" s="128" t="s">
        <v>131</v>
      </c>
      <c r="C11771" s="128" t="s">
        <v>22</v>
      </c>
      <c r="D11771" s="128" t="s">
        <v>77</v>
      </c>
      <c r="E11771" s="128" t="s">
        <v>135</v>
      </c>
      <c r="F11771" s="128">
        <v>49323890.719999999</v>
      </c>
      <c r="G11771" s="128">
        <v>12286881.5</v>
      </c>
      <c r="H11771" s="128">
        <v>13735321.949999999</v>
      </c>
      <c r="I11771" s="128">
        <v>127943</v>
      </c>
    </row>
    <row r="11772" spans="1:9" ht="13.5">
      <c r="A11772" s="128">
        <v>2022</v>
      </c>
      <c r="B11772" s="128" t="s">
        <v>131</v>
      </c>
      <c r="C11772" s="128" t="s">
        <v>22</v>
      </c>
      <c r="D11772" s="128" t="s">
        <v>76</v>
      </c>
      <c r="E11772" s="128" t="s">
        <v>136</v>
      </c>
      <c r="F11772" s="128">
        <v>17363007.850000001</v>
      </c>
      <c r="G11772" s="128">
        <v>13041419.710000001</v>
      </c>
      <c r="H11772" s="128">
        <v>4321625.46</v>
      </c>
      <c r="I11772" s="128">
        <v>272196</v>
      </c>
    </row>
    <row r="11773" spans="1:9" ht="13.5">
      <c r="A11773" s="128">
        <v>2022</v>
      </c>
      <c r="B11773" s="128" t="s">
        <v>131</v>
      </c>
      <c r="C11773" s="128" t="s">
        <v>22</v>
      </c>
      <c r="D11773" s="128" t="s">
        <v>76</v>
      </c>
      <c r="E11773" s="128" t="s">
        <v>132</v>
      </c>
      <c r="F11773" s="128">
        <v>47813181.479999997</v>
      </c>
      <c r="G11773" s="128">
        <v>30494656.379999999</v>
      </c>
      <c r="H11773" s="128">
        <v>17318358.16</v>
      </c>
      <c r="I11773" s="128">
        <v>395231</v>
      </c>
    </row>
    <row r="11774" spans="1:9" ht="13.5">
      <c r="A11774" s="128">
        <v>2022</v>
      </c>
      <c r="B11774" s="128" t="s">
        <v>131</v>
      </c>
      <c r="C11774" s="128" t="s">
        <v>22</v>
      </c>
      <c r="D11774" s="128" t="s">
        <v>76</v>
      </c>
      <c r="E11774" s="128" t="s">
        <v>133</v>
      </c>
      <c r="F11774" s="128">
        <v>81293180.840000004</v>
      </c>
      <c r="G11774" s="128">
        <v>44971700.450000003</v>
      </c>
      <c r="H11774" s="128">
        <v>36321456.539999999</v>
      </c>
      <c r="I11774" s="128">
        <v>615388</v>
      </c>
    </row>
    <row r="11775" spans="1:9" ht="13.5">
      <c r="A11775" s="128">
        <v>2022</v>
      </c>
      <c r="B11775" s="128" t="s">
        <v>131</v>
      </c>
      <c r="C11775" s="128" t="s">
        <v>22</v>
      </c>
      <c r="D11775" s="128" t="s">
        <v>76</v>
      </c>
      <c r="E11775" s="128" t="s">
        <v>134</v>
      </c>
      <c r="F11775" s="128">
        <v>72070855.129999995</v>
      </c>
      <c r="G11775" s="128">
        <v>33089689.77</v>
      </c>
      <c r="H11775" s="128">
        <v>38980757.310000002</v>
      </c>
      <c r="I11775" s="128">
        <v>482880</v>
      </c>
    </row>
    <row r="11776" spans="1:9" ht="13.5">
      <c r="A11776" s="128">
        <v>2022</v>
      </c>
      <c r="B11776" s="128" t="s">
        <v>131</v>
      </c>
      <c r="C11776" s="128" t="s">
        <v>22</v>
      </c>
      <c r="D11776" s="128" t="s">
        <v>76</v>
      </c>
      <c r="E11776" s="128" t="s">
        <v>135</v>
      </c>
      <c r="F11776" s="128">
        <v>3924678.99</v>
      </c>
      <c r="G11776" s="128">
        <v>1168073.3500000001</v>
      </c>
      <c r="H11776" s="128">
        <v>2756605.42</v>
      </c>
      <c r="I11776" s="128">
        <v>5729</v>
      </c>
    </row>
    <row r="11777" spans="1:9" ht="13.5">
      <c r="A11777" s="128">
        <v>2022</v>
      </c>
      <c r="B11777" s="128" t="s">
        <v>131</v>
      </c>
      <c r="C11777" s="128" t="s">
        <v>23</v>
      </c>
      <c r="D11777" s="128" t="s">
        <v>79</v>
      </c>
      <c r="E11777" s="128" t="s">
        <v>136</v>
      </c>
      <c r="F11777" s="128">
        <v>1450572.76</v>
      </c>
      <c r="G11777" s="128">
        <v>1082714.26</v>
      </c>
      <c r="H11777" s="128">
        <v>357747.37</v>
      </c>
      <c r="I11777" s="128">
        <v>8406</v>
      </c>
    </row>
    <row r="11778" spans="1:9" ht="13.5">
      <c r="A11778" s="128">
        <v>2022</v>
      </c>
      <c r="B11778" s="128" t="s">
        <v>131</v>
      </c>
      <c r="C11778" s="128" t="s">
        <v>23</v>
      </c>
      <c r="D11778" s="128" t="s">
        <v>79</v>
      </c>
      <c r="E11778" s="128" t="s">
        <v>132</v>
      </c>
      <c r="F11778" s="128">
        <v>290931.75</v>
      </c>
      <c r="G11778" s="128">
        <v>195399.73</v>
      </c>
      <c r="H11778" s="128">
        <v>65331.57</v>
      </c>
      <c r="I11778" s="128">
        <v>357</v>
      </c>
    </row>
    <row r="11779" spans="1:9" ht="13.5">
      <c r="A11779" s="128">
        <v>2022</v>
      </c>
      <c r="B11779" s="128" t="s">
        <v>131</v>
      </c>
      <c r="C11779" s="128" t="s">
        <v>23</v>
      </c>
      <c r="D11779" s="128" t="s">
        <v>79</v>
      </c>
      <c r="E11779" s="128" t="s">
        <v>133</v>
      </c>
      <c r="F11779" s="128">
        <v>213125</v>
      </c>
      <c r="G11779" s="128">
        <v>114950.05</v>
      </c>
      <c r="H11779" s="128">
        <v>38244.050000000003</v>
      </c>
      <c r="I11779" s="128">
        <v>332</v>
      </c>
    </row>
    <row r="11780" spans="1:9" ht="13.5">
      <c r="A11780" s="128">
        <v>2022</v>
      </c>
      <c r="B11780" s="128" t="s">
        <v>131</v>
      </c>
      <c r="C11780" s="128" t="s">
        <v>23</v>
      </c>
      <c r="D11780" s="128" t="s">
        <v>79</v>
      </c>
      <c r="E11780" s="128" t="s">
        <v>134</v>
      </c>
      <c r="F11780" s="128">
        <v>486251.09</v>
      </c>
      <c r="G11780" s="128">
        <v>205363.09</v>
      </c>
      <c r="H11780" s="128">
        <v>68731.539999999994</v>
      </c>
      <c r="I11780" s="128">
        <v>1016</v>
      </c>
    </row>
    <row r="11781" spans="1:9" ht="13.5">
      <c r="A11781" s="128">
        <v>2022</v>
      </c>
      <c r="B11781" s="128" t="s">
        <v>131</v>
      </c>
      <c r="C11781" s="128" t="s">
        <v>23</v>
      </c>
      <c r="D11781" s="128" t="s">
        <v>79</v>
      </c>
      <c r="E11781" s="128" t="s">
        <v>135</v>
      </c>
      <c r="F11781" s="128">
        <v>5531643.5499999998</v>
      </c>
      <c r="G11781" s="128">
        <v>1153586.68</v>
      </c>
      <c r="H11781" s="128">
        <v>396299.74</v>
      </c>
      <c r="I11781" s="128">
        <v>3342</v>
      </c>
    </row>
    <row r="11782" spans="1:9" ht="13.5">
      <c r="A11782" s="128">
        <v>2022</v>
      </c>
      <c r="B11782" s="128" t="s">
        <v>131</v>
      </c>
      <c r="C11782" s="128" t="s">
        <v>23</v>
      </c>
      <c r="D11782" s="128" t="s">
        <v>77</v>
      </c>
      <c r="E11782" s="128" t="s">
        <v>132</v>
      </c>
      <c r="F11782" s="128">
        <v>488447.17</v>
      </c>
      <c r="G11782" s="128">
        <v>314198.86</v>
      </c>
      <c r="H11782" s="128">
        <v>148931.44</v>
      </c>
      <c r="I11782" s="128">
        <v>2113</v>
      </c>
    </row>
    <row r="11783" spans="1:9" ht="13.5">
      <c r="A11783" s="128">
        <v>2022</v>
      </c>
      <c r="B11783" s="128" t="s">
        <v>131</v>
      </c>
      <c r="C11783" s="128" t="s">
        <v>23</v>
      </c>
      <c r="D11783" s="128" t="s">
        <v>77</v>
      </c>
      <c r="E11783" s="128" t="s">
        <v>133</v>
      </c>
      <c r="F11783" s="128">
        <v>2083773.45</v>
      </c>
      <c r="G11783" s="128">
        <v>1110207.98</v>
      </c>
      <c r="H11783" s="128">
        <v>865513.44</v>
      </c>
      <c r="I11783" s="128">
        <v>7115</v>
      </c>
    </row>
    <row r="11784" spans="1:9" ht="13.5">
      <c r="A11784" s="128">
        <v>2022</v>
      </c>
      <c r="B11784" s="128" t="s">
        <v>131</v>
      </c>
      <c r="C11784" s="128" t="s">
        <v>23</v>
      </c>
      <c r="D11784" s="128" t="s">
        <v>77</v>
      </c>
      <c r="E11784" s="128" t="s">
        <v>134</v>
      </c>
      <c r="F11784" s="128">
        <v>10820701.140000001</v>
      </c>
      <c r="G11784" s="128">
        <v>4608969.58</v>
      </c>
      <c r="H11784" s="128">
        <v>4669111.1900000004</v>
      </c>
      <c r="I11784" s="128">
        <v>16673</v>
      </c>
    </row>
    <row r="11785" spans="1:9" ht="13.5">
      <c r="A11785" s="128">
        <v>2022</v>
      </c>
      <c r="B11785" s="128" t="s">
        <v>131</v>
      </c>
      <c r="C11785" s="128" t="s">
        <v>23</v>
      </c>
      <c r="D11785" s="128" t="s">
        <v>77</v>
      </c>
      <c r="E11785" s="128" t="s">
        <v>135</v>
      </c>
      <c r="F11785" s="128">
        <v>13565772.68</v>
      </c>
      <c r="G11785" s="128">
        <v>3813852.49</v>
      </c>
      <c r="H11785" s="128">
        <v>4320728.16</v>
      </c>
      <c r="I11785" s="128">
        <v>48444</v>
      </c>
    </row>
    <row r="11786" spans="1:9" ht="13.5">
      <c r="A11786" s="128">
        <v>2022</v>
      </c>
      <c r="B11786" s="128" t="s">
        <v>131</v>
      </c>
      <c r="C11786" s="128" t="s">
        <v>23</v>
      </c>
      <c r="D11786" s="128" t="s">
        <v>76</v>
      </c>
      <c r="E11786" s="128" t="s">
        <v>136</v>
      </c>
      <c r="F11786" s="128">
        <v>7186484.54</v>
      </c>
      <c r="G11786" s="128">
        <v>5395388.0999999996</v>
      </c>
      <c r="H11786" s="128">
        <v>1791096.44</v>
      </c>
      <c r="I11786" s="128">
        <v>154373</v>
      </c>
    </row>
    <row r="11787" spans="1:9" ht="13.5">
      <c r="A11787" s="128">
        <v>2022</v>
      </c>
      <c r="B11787" s="128" t="s">
        <v>131</v>
      </c>
      <c r="C11787" s="128" t="s">
        <v>23</v>
      </c>
      <c r="D11787" s="128" t="s">
        <v>76</v>
      </c>
      <c r="E11787" s="128" t="s">
        <v>132</v>
      </c>
      <c r="F11787" s="128">
        <v>15303764.869999999</v>
      </c>
      <c r="G11787" s="128">
        <v>9634220.0500000007</v>
      </c>
      <c r="H11787" s="128">
        <v>5669432.5800000001</v>
      </c>
      <c r="I11787" s="128">
        <v>118407</v>
      </c>
    </row>
    <row r="11788" spans="1:9" ht="13.5">
      <c r="A11788" s="128">
        <v>2022</v>
      </c>
      <c r="B11788" s="128" t="s">
        <v>131</v>
      </c>
      <c r="C11788" s="128" t="s">
        <v>23</v>
      </c>
      <c r="D11788" s="128" t="s">
        <v>76</v>
      </c>
      <c r="E11788" s="128" t="s">
        <v>133</v>
      </c>
      <c r="F11788" s="128">
        <v>32816476.890000001</v>
      </c>
      <c r="G11788" s="128">
        <v>17778335.91</v>
      </c>
      <c r="H11788" s="128">
        <v>15038122.83</v>
      </c>
      <c r="I11788" s="128">
        <v>202362</v>
      </c>
    </row>
    <row r="11789" spans="1:9" ht="13.5">
      <c r="A11789" s="128">
        <v>2022</v>
      </c>
      <c r="B11789" s="128" t="s">
        <v>131</v>
      </c>
      <c r="C11789" s="128" t="s">
        <v>23</v>
      </c>
      <c r="D11789" s="128" t="s">
        <v>76</v>
      </c>
      <c r="E11789" s="128" t="s">
        <v>134</v>
      </c>
      <c r="F11789" s="128">
        <v>30023345.100000001</v>
      </c>
      <c r="G11789" s="128">
        <v>13894831.41</v>
      </c>
      <c r="H11789" s="128">
        <v>16128511.140000001</v>
      </c>
      <c r="I11789" s="128">
        <v>146353</v>
      </c>
    </row>
    <row r="11790" spans="1:9" ht="13.5">
      <c r="A11790" s="128">
        <v>2022</v>
      </c>
      <c r="B11790" s="128" t="s">
        <v>131</v>
      </c>
      <c r="C11790" s="128" t="s">
        <v>23</v>
      </c>
      <c r="D11790" s="128" t="s">
        <v>76</v>
      </c>
      <c r="E11790" s="128" t="s">
        <v>135</v>
      </c>
      <c r="F11790" s="128">
        <v>915167.11</v>
      </c>
      <c r="G11790" s="128">
        <v>258936.5</v>
      </c>
      <c r="H11790" s="128">
        <v>656230.61</v>
      </c>
      <c r="I11790" s="128">
        <v>788</v>
      </c>
    </row>
    <row r="11791" spans="1:9" ht="13.5">
      <c r="A11791" s="128">
        <v>2022</v>
      </c>
      <c r="B11791" s="128" t="s">
        <v>131</v>
      </c>
      <c r="C11791" s="128" t="s">
        <v>24</v>
      </c>
      <c r="D11791" s="128" t="s">
        <v>79</v>
      </c>
      <c r="E11791" s="128" t="s">
        <v>136</v>
      </c>
      <c r="F11791" s="128">
        <v>1717278.26</v>
      </c>
      <c r="G11791" s="128">
        <v>1290170.3400000001</v>
      </c>
      <c r="H11791" s="128">
        <v>424083.17</v>
      </c>
      <c r="I11791" s="128">
        <v>24409</v>
      </c>
    </row>
    <row r="11792" spans="1:9" ht="13.5">
      <c r="A11792" s="128">
        <v>2022</v>
      </c>
      <c r="B11792" s="128" t="s">
        <v>131</v>
      </c>
      <c r="C11792" s="128" t="s">
        <v>24</v>
      </c>
      <c r="D11792" s="128" t="s">
        <v>79</v>
      </c>
      <c r="E11792" s="128" t="s">
        <v>132</v>
      </c>
      <c r="F11792" s="128">
        <v>320393.21999999997</v>
      </c>
      <c r="G11792" s="128">
        <v>214143.81</v>
      </c>
      <c r="H11792" s="128">
        <v>71895</v>
      </c>
      <c r="I11792" s="128">
        <v>911</v>
      </c>
    </row>
    <row r="11793" spans="1:9" ht="13.5">
      <c r="A11793" s="128">
        <v>2022</v>
      </c>
      <c r="B11793" s="128" t="s">
        <v>131</v>
      </c>
      <c r="C11793" s="128" t="s">
        <v>24</v>
      </c>
      <c r="D11793" s="128" t="s">
        <v>79</v>
      </c>
      <c r="E11793" s="128" t="s">
        <v>133</v>
      </c>
      <c r="F11793" s="128">
        <v>450847.52</v>
      </c>
      <c r="G11793" s="128">
        <v>247647.64</v>
      </c>
      <c r="H11793" s="128">
        <v>81768.23</v>
      </c>
      <c r="I11793" s="128">
        <v>1081</v>
      </c>
    </row>
    <row r="11794" spans="1:9" ht="13.5">
      <c r="A11794" s="128">
        <v>2022</v>
      </c>
      <c r="B11794" s="128" t="s">
        <v>131</v>
      </c>
      <c r="C11794" s="128" t="s">
        <v>24</v>
      </c>
      <c r="D11794" s="128" t="s">
        <v>79</v>
      </c>
      <c r="E11794" s="128" t="s">
        <v>134</v>
      </c>
      <c r="F11794" s="128">
        <v>1706095.23</v>
      </c>
      <c r="G11794" s="128">
        <v>742325.93</v>
      </c>
      <c r="H11794" s="128">
        <v>248880.72</v>
      </c>
      <c r="I11794" s="128">
        <v>8299</v>
      </c>
    </row>
    <row r="11795" spans="1:9" ht="13.5">
      <c r="A11795" s="128">
        <v>2022</v>
      </c>
      <c r="B11795" s="128" t="s">
        <v>131</v>
      </c>
      <c r="C11795" s="128" t="s">
        <v>24</v>
      </c>
      <c r="D11795" s="128" t="s">
        <v>79</v>
      </c>
      <c r="E11795" s="128" t="s">
        <v>135</v>
      </c>
      <c r="F11795" s="128">
        <v>9313678.8599999994</v>
      </c>
      <c r="G11795" s="128">
        <v>1867292.49</v>
      </c>
      <c r="H11795" s="128">
        <v>632672.09</v>
      </c>
      <c r="I11795" s="128">
        <v>9702</v>
      </c>
    </row>
    <row r="11796" spans="1:9" ht="13.5">
      <c r="A11796" s="128">
        <v>2022</v>
      </c>
      <c r="B11796" s="128" t="s">
        <v>131</v>
      </c>
      <c r="C11796" s="128" t="s">
        <v>24</v>
      </c>
      <c r="D11796" s="128" t="s">
        <v>77</v>
      </c>
      <c r="E11796" s="128" t="s">
        <v>132</v>
      </c>
      <c r="F11796" s="128">
        <v>590507.61</v>
      </c>
      <c r="G11796" s="128">
        <v>388370.61</v>
      </c>
      <c r="H11796" s="128">
        <v>181919.21</v>
      </c>
      <c r="I11796" s="128">
        <v>2631</v>
      </c>
    </row>
    <row r="11797" spans="1:9" ht="13.5">
      <c r="A11797" s="128">
        <v>2022</v>
      </c>
      <c r="B11797" s="128" t="s">
        <v>131</v>
      </c>
      <c r="C11797" s="128" t="s">
        <v>24</v>
      </c>
      <c r="D11797" s="128" t="s">
        <v>77</v>
      </c>
      <c r="E11797" s="128" t="s">
        <v>133</v>
      </c>
      <c r="F11797" s="128">
        <v>2941014.28</v>
      </c>
      <c r="G11797" s="128">
        <v>1573677.73</v>
      </c>
      <c r="H11797" s="128">
        <v>1163914.75</v>
      </c>
      <c r="I11797" s="128">
        <v>23075</v>
      </c>
    </row>
    <row r="11798" spans="1:9" ht="13.5">
      <c r="A11798" s="128">
        <v>2022</v>
      </c>
      <c r="B11798" s="128" t="s">
        <v>131</v>
      </c>
      <c r="C11798" s="128" t="s">
        <v>24</v>
      </c>
      <c r="D11798" s="128" t="s">
        <v>77</v>
      </c>
      <c r="E11798" s="128" t="s">
        <v>134</v>
      </c>
      <c r="F11798" s="128">
        <v>9512547.9399999995</v>
      </c>
      <c r="G11798" s="128">
        <v>4175661.72</v>
      </c>
      <c r="H11798" s="128">
        <v>3863740.19</v>
      </c>
      <c r="I11798" s="128">
        <v>15788</v>
      </c>
    </row>
    <row r="11799" spans="1:9" ht="13.5">
      <c r="A11799" s="128">
        <v>2022</v>
      </c>
      <c r="B11799" s="128" t="s">
        <v>131</v>
      </c>
      <c r="C11799" s="128" t="s">
        <v>24</v>
      </c>
      <c r="D11799" s="128" t="s">
        <v>77</v>
      </c>
      <c r="E11799" s="128" t="s">
        <v>135</v>
      </c>
      <c r="F11799" s="128">
        <v>20571613.899999999</v>
      </c>
      <c r="G11799" s="128">
        <v>5010016.5999999996</v>
      </c>
      <c r="H11799" s="128">
        <v>3610677.72</v>
      </c>
      <c r="I11799" s="128">
        <v>49279</v>
      </c>
    </row>
    <row r="11800" spans="1:9" ht="13.5">
      <c r="A11800" s="128">
        <v>2022</v>
      </c>
      <c r="B11800" s="128" t="s">
        <v>131</v>
      </c>
      <c r="C11800" s="128" t="s">
        <v>24</v>
      </c>
      <c r="D11800" s="128" t="s">
        <v>76</v>
      </c>
      <c r="E11800" s="128" t="s">
        <v>136</v>
      </c>
      <c r="F11800" s="128">
        <v>10658226.73</v>
      </c>
      <c r="G11800" s="128">
        <v>8007924.0599999996</v>
      </c>
      <c r="H11800" s="128">
        <v>2650307.5699999998</v>
      </c>
      <c r="I11800" s="128">
        <v>192756</v>
      </c>
    </row>
    <row r="11801" spans="1:9" ht="13.5">
      <c r="A11801" s="128">
        <v>2022</v>
      </c>
      <c r="B11801" s="128" t="s">
        <v>131</v>
      </c>
      <c r="C11801" s="128" t="s">
        <v>24</v>
      </c>
      <c r="D11801" s="128" t="s">
        <v>76</v>
      </c>
      <c r="E11801" s="128" t="s">
        <v>132</v>
      </c>
      <c r="F11801" s="128">
        <v>11981598.550000001</v>
      </c>
      <c r="G11801" s="128">
        <v>7744510.1600000001</v>
      </c>
      <c r="H11801" s="128">
        <v>4237054.4800000004</v>
      </c>
      <c r="I11801" s="128">
        <v>80603</v>
      </c>
    </row>
    <row r="11802" spans="1:9" ht="13.5">
      <c r="A11802" s="128">
        <v>2022</v>
      </c>
      <c r="B11802" s="128" t="s">
        <v>131</v>
      </c>
      <c r="C11802" s="128" t="s">
        <v>24</v>
      </c>
      <c r="D11802" s="128" t="s">
        <v>76</v>
      </c>
      <c r="E11802" s="128" t="s">
        <v>133</v>
      </c>
      <c r="F11802" s="128">
        <v>52225859.729999997</v>
      </c>
      <c r="G11802" s="128">
        <v>28604283.18</v>
      </c>
      <c r="H11802" s="128">
        <v>23621112.989999998</v>
      </c>
      <c r="I11802" s="128">
        <v>333253</v>
      </c>
    </row>
    <row r="11803" spans="1:9" ht="13.5">
      <c r="A11803" s="128">
        <v>2022</v>
      </c>
      <c r="B11803" s="128" t="s">
        <v>131</v>
      </c>
      <c r="C11803" s="128" t="s">
        <v>24</v>
      </c>
      <c r="D11803" s="128" t="s">
        <v>76</v>
      </c>
      <c r="E11803" s="128" t="s">
        <v>134</v>
      </c>
      <c r="F11803" s="128">
        <v>55159259.479999997</v>
      </c>
      <c r="G11803" s="128">
        <v>24609458.859999999</v>
      </c>
      <c r="H11803" s="128">
        <v>30549327.649999999</v>
      </c>
      <c r="I11803" s="128">
        <v>251836</v>
      </c>
    </row>
    <row r="11804" spans="1:9" ht="13.5">
      <c r="A11804" s="128">
        <v>2022</v>
      </c>
      <c r="B11804" s="128" t="s">
        <v>131</v>
      </c>
      <c r="C11804" s="128" t="s">
        <v>24</v>
      </c>
      <c r="D11804" s="128" t="s">
        <v>76</v>
      </c>
      <c r="E11804" s="128" t="s">
        <v>135</v>
      </c>
      <c r="F11804" s="128">
        <v>2160457.37</v>
      </c>
      <c r="G11804" s="128">
        <v>578610.43000000005</v>
      </c>
      <c r="H11804" s="128">
        <v>1581396.94</v>
      </c>
      <c r="I11804" s="128">
        <v>1637</v>
      </c>
    </row>
    <row r="11805" spans="1:9" ht="13.5">
      <c r="A11805" s="128">
        <v>2022</v>
      </c>
      <c r="B11805" s="128" t="s">
        <v>131</v>
      </c>
      <c r="C11805" s="128" t="s">
        <v>25</v>
      </c>
      <c r="D11805" s="128" t="s">
        <v>79</v>
      </c>
      <c r="E11805" s="128" t="s">
        <v>136</v>
      </c>
      <c r="F11805" s="128">
        <v>322342.96999999997</v>
      </c>
      <c r="G11805" s="128">
        <v>241932.2</v>
      </c>
      <c r="H11805" s="128">
        <v>80169.52</v>
      </c>
      <c r="I11805" s="128">
        <v>3808</v>
      </c>
    </row>
    <row r="11806" spans="1:9" ht="13.5">
      <c r="A11806" s="128">
        <v>2022</v>
      </c>
      <c r="B11806" s="128" t="s">
        <v>131</v>
      </c>
      <c r="C11806" s="128" t="s">
        <v>25</v>
      </c>
      <c r="D11806" s="128" t="s">
        <v>79</v>
      </c>
      <c r="E11806" s="128" t="s">
        <v>132</v>
      </c>
      <c r="F11806" s="128">
        <v>94696.28</v>
      </c>
      <c r="G11806" s="128">
        <v>62959.839999999997</v>
      </c>
      <c r="H11806" s="128">
        <v>20936.75</v>
      </c>
      <c r="I11806" s="128">
        <v>190</v>
      </c>
    </row>
    <row r="11807" spans="1:9" ht="13.5">
      <c r="A11807" s="128">
        <v>2022</v>
      </c>
      <c r="B11807" s="128" t="s">
        <v>131</v>
      </c>
      <c r="C11807" s="128" t="s">
        <v>25</v>
      </c>
      <c r="D11807" s="128" t="s">
        <v>79</v>
      </c>
      <c r="E11807" s="128" t="s">
        <v>133</v>
      </c>
      <c r="F11807" s="128">
        <v>48362.47</v>
      </c>
      <c r="G11807" s="128">
        <v>25945.35</v>
      </c>
      <c r="H11807" s="128">
        <v>8754.31</v>
      </c>
      <c r="I11807" s="128">
        <v>175</v>
      </c>
    </row>
    <row r="11808" spans="1:9" ht="13.5">
      <c r="A11808" s="128">
        <v>2022</v>
      </c>
      <c r="B11808" s="128" t="s">
        <v>131</v>
      </c>
      <c r="C11808" s="128" t="s">
        <v>25</v>
      </c>
      <c r="D11808" s="128" t="s">
        <v>79</v>
      </c>
      <c r="E11808" s="128" t="s">
        <v>134</v>
      </c>
      <c r="F11808" s="128">
        <v>149719.35999999999</v>
      </c>
      <c r="G11808" s="128">
        <v>64905.47</v>
      </c>
      <c r="H11808" s="128">
        <v>21817.87</v>
      </c>
      <c r="I11808" s="128">
        <v>341</v>
      </c>
    </row>
    <row r="11809" spans="1:9" ht="13.5">
      <c r="A11809" s="128">
        <v>2022</v>
      </c>
      <c r="B11809" s="128" t="s">
        <v>131</v>
      </c>
      <c r="C11809" s="128" t="s">
        <v>25</v>
      </c>
      <c r="D11809" s="128" t="s">
        <v>79</v>
      </c>
      <c r="E11809" s="128" t="s">
        <v>135</v>
      </c>
      <c r="F11809" s="128">
        <v>2339515.1800000002</v>
      </c>
      <c r="G11809" s="128">
        <v>510844.43</v>
      </c>
      <c r="H11809" s="128">
        <v>171051.51</v>
      </c>
      <c r="I11809" s="128">
        <v>1633</v>
      </c>
    </row>
    <row r="11810" spans="1:9" ht="13.5">
      <c r="A11810" s="128">
        <v>2022</v>
      </c>
      <c r="B11810" s="128" t="s">
        <v>131</v>
      </c>
      <c r="C11810" s="128" t="s">
        <v>25</v>
      </c>
      <c r="D11810" s="128" t="s">
        <v>77</v>
      </c>
      <c r="E11810" s="128" t="s">
        <v>132</v>
      </c>
      <c r="F11810" s="128">
        <v>248720.56</v>
      </c>
      <c r="G11810" s="128">
        <v>162292.43</v>
      </c>
      <c r="H11810" s="128">
        <v>78399.91</v>
      </c>
      <c r="I11810" s="128">
        <v>1392</v>
      </c>
    </row>
    <row r="11811" spans="1:9" ht="13.5">
      <c r="A11811" s="128">
        <v>2022</v>
      </c>
      <c r="B11811" s="128" t="s">
        <v>131</v>
      </c>
      <c r="C11811" s="128" t="s">
        <v>25</v>
      </c>
      <c r="D11811" s="128" t="s">
        <v>77</v>
      </c>
      <c r="E11811" s="128" t="s">
        <v>133</v>
      </c>
      <c r="F11811" s="128">
        <v>578410.72</v>
      </c>
      <c r="G11811" s="128">
        <v>311043.96000000002</v>
      </c>
      <c r="H11811" s="128">
        <v>237796.46</v>
      </c>
      <c r="I11811" s="128">
        <v>2389</v>
      </c>
    </row>
    <row r="11812" spans="1:9" ht="13.5">
      <c r="A11812" s="128">
        <v>2022</v>
      </c>
      <c r="B11812" s="128" t="s">
        <v>131</v>
      </c>
      <c r="C11812" s="128" t="s">
        <v>25</v>
      </c>
      <c r="D11812" s="128" t="s">
        <v>77</v>
      </c>
      <c r="E11812" s="128" t="s">
        <v>134</v>
      </c>
      <c r="F11812" s="128">
        <v>2641503.17</v>
      </c>
      <c r="G11812" s="128">
        <v>1132303.0900000001</v>
      </c>
      <c r="H11812" s="128">
        <v>1154692.76</v>
      </c>
      <c r="I11812" s="128">
        <v>3077</v>
      </c>
    </row>
    <row r="11813" spans="1:9" ht="13.5">
      <c r="A11813" s="128">
        <v>2022</v>
      </c>
      <c r="B11813" s="128" t="s">
        <v>131</v>
      </c>
      <c r="C11813" s="128" t="s">
        <v>25</v>
      </c>
      <c r="D11813" s="128" t="s">
        <v>77</v>
      </c>
      <c r="E11813" s="128" t="s">
        <v>135</v>
      </c>
      <c r="F11813" s="128">
        <v>3362425.31</v>
      </c>
      <c r="G11813" s="128">
        <v>877877.94</v>
      </c>
      <c r="H11813" s="128">
        <v>1004601.44</v>
      </c>
      <c r="I11813" s="128">
        <v>6950</v>
      </c>
    </row>
    <row r="11814" spans="1:9" ht="13.5">
      <c r="A11814" s="128">
        <v>2022</v>
      </c>
      <c r="B11814" s="128" t="s">
        <v>131</v>
      </c>
      <c r="C11814" s="128" t="s">
        <v>25</v>
      </c>
      <c r="D11814" s="128" t="s">
        <v>76</v>
      </c>
      <c r="E11814" s="128" t="s">
        <v>136</v>
      </c>
      <c r="F11814" s="128">
        <v>1732810.96</v>
      </c>
      <c r="G11814" s="128">
        <v>1301050.25</v>
      </c>
      <c r="H11814" s="128">
        <v>431760.71</v>
      </c>
      <c r="I11814" s="128">
        <v>23977</v>
      </c>
    </row>
    <row r="11815" spans="1:9" ht="13.5">
      <c r="A11815" s="128">
        <v>2022</v>
      </c>
      <c r="B11815" s="128" t="s">
        <v>131</v>
      </c>
      <c r="C11815" s="128" t="s">
        <v>25</v>
      </c>
      <c r="D11815" s="128" t="s">
        <v>76</v>
      </c>
      <c r="E11815" s="128" t="s">
        <v>132</v>
      </c>
      <c r="F11815" s="128">
        <v>2918196.22</v>
      </c>
      <c r="G11815" s="128">
        <v>1835205.21</v>
      </c>
      <c r="H11815" s="128">
        <v>1082990.01</v>
      </c>
      <c r="I11815" s="128">
        <v>19615</v>
      </c>
    </row>
    <row r="11816" spans="1:9" ht="13.5">
      <c r="A11816" s="128">
        <v>2022</v>
      </c>
      <c r="B11816" s="128" t="s">
        <v>131</v>
      </c>
      <c r="C11816" s="128" t="s">
        <v>25</v>
      </c>
      <c r="D11816" s="128" t="s">
        <v>76</v>
      </c>
      <c r="E11816" s="128" t="s">
        <v>133</v>
      </c>
      <c r="F11816" s="128">
        <v>9302808.3900000006</v>
      </c>
      <c r="G11816" s="128">
        <v>5062792.32</v>
      </c>
      <c r="H11816" s="128">
        <v>4240014.93</v>
      </c>
      <c r="I11816" s="128">
        <v>55631</v>
      </c>
    </row>
    <row r="11817" spans="1:9" ht="13.5">
      <c r="A11817" s="128">
        <v>2022</v>
      </c>
      <c r="B11817" s="128" t="s">
        <v>131</v>
      </c>
      <c r="C11817" s="128" t="s">
        <v>25</v>
      </c>
      <c r="D11817" s="128" t="s">
        <v>76</v>
      </c>
      <c r="E11817" s="128" t="s">
        <v>134</v>
      </c>
      <c r="F11817" s="128">
        <v>11040135.83</v>
      </c>
      <c r="G11817" s="128">
        <v>5085220.38</v>
      </c>
      <c r="H11817" s="128">
        <v>5954907.5599999996</v>
      </c>
      <c r="I11817" s="128">
        <v>55935</v>
      </c>
    </row>
    <row r="11818" spans="1:9" ht="13.5">
      <c r="A11818" s="128">
        <v>2022</v>
      </c>
      <c r="B11818" s="128" t="s">
        <v>131</v>
      </c>
      <c r="C11818" s="128" t="s">
        <v>25</v>
      </c>
      <c r="D11818" s="128" t="s">
        <v>76</v>
      </c>
      <c r="E11818" s="128" t="s">
        <v>135</v>
      </c>
      <c r="F11818" s="128">
        <v>279624.73</v>
      </c>
      <c r="G11818" s="128">
        <v>78187.78</v>
      </c>
      <c r="H11818" s="128">
        <v>201436.95</v>
      </c>
      <c r="I11818" s="128">
        <v>217</v>
      </c>
    </row>
    <row r="11819" spans="1:9" ht="13.5">
      <c r="A11819" s="128">
        <v>2022</v>
      </c>
      <c r="B11819" s="128" t="s">
        <v>131</v>
      </c>
      <c r="C11819" s="128" t="s">
        <v>26</v>
      </c>
      <c r="D11819" s="128" t="s">
        <v>79</v>
      </c>
      <c r="E11819" s="128" t="s">
        <v>136</v>
      </c>
      <c r="F11819" s="128">
        <v>387305.47</v>
      </c>
      <c r="G11819" s="128">
        <v>277117.84999999998</v>
      </c>
      <c r="H11819" s="128">
        <v>89718.48</v>
      </c>
      <c r="I11819" s="128">
        <v>2764</v>
      </c>
    </row>
    <row r="11820" spans="1:9" ht="13.5">
      <c r="A11820" s="128">
        <v>2022</v>
      </c>
      <c r="B11820" s="128" t="s">
        <v>131</v>
      </c>
      <c r="C11820" s="128" t="s">
        <v>26</v>
      </c>
      <c r="D11820" s="128" t="s">
        <v>79</v>
      </c>
      <c r="E11820" s="128" t="s">
        <v>132</v>
      </c>
      <c r="F11820" s="128">
        <v>63064.66</v>
      </c>
      <c r="G11820" s="128">
        <v>41568.42</v>
      </c>
      <c r="H11820" s="128">
        <v>13872.34</v>
      </c>
      <c r="I11820" s="128">
        <v>232</v>
      </c>
    </row>
    <row r="11821" spans="1:9" ht="13.5">
      <c r="A11821" s="128">
        <v>2022</v>
      </c>
      <c r="B11821" s="128" t="s">
        <v>131</v>
      </c>
      <c r="C11821" s="128" t="s">
        <v>26</v>
      </c>
      <c r="D11821" s="128" t="s">
        <v>79</v>
      </c>
      <c r="E11821" s="128" t="s">
        <v>133</v>
      </c>
      <c r="F11821" s="128">
        <v>93318.67</v>
      </c>
      <c r="G11821" s="128">
        <v>50155.62</v>
      </c>
      <c r="H11821" s="128">
        <v>16757.16</v>
      </c>
      <c r="I11821" s="128">
        <v>222</v>
      </c>
    </row>
    <row r="11822" spans="1:9" ht="13.5">
      <c r="A11822" s="128">
        <v>2022</v>
      </c>
      <c r="B11822" s="128" t="s">
        <v>131</v>
      </c>
      <c r="C11822" s="128" t="s">
        <v>26</v>
      </c>
      <c r="D11822" s="128" t="s">
        <v>79</v>
      </c>
      <c r="E11822" s="128" t="s">
        <v>134</v>
      </c>
      <c r="F11822" s="128">
        <v>456454.23</v>
      </c>
      <c r="G11822" s="128">
        <v>192826.96</v>
      </c>
      <c r="H11822" s="128">
        <v>64713.32</v>
      </c>
      <c r="I11822" s="128">
        <v>1998</v>
      </c>
    </row>
    <row r="11823" spans="1:9" ht="13.5">
      <c r="A11823" s="128">
        <v>2022</v>
      </c>
      <c r="B11823" s="128" t="s">
        <v>131</v>
      </c>
      <c r="C11823" s="128" t="s">
        <v>26</v>
      </c>
      <c r="D11823" s="128" t="s">
        <v>79</v>
      </c>
      <c r="E11823" s="128" t="s">
        <v>135</v>
      </c>
      <c r="F11823" s="128">
        <v>9377603.7100000009</v>
      </c>
      <c r="G11823" s="128">
        <v>1955418.19</v>
      </c>
      <c r="H11823" s="128">
        <v>651866</v>
      </c>
      <c r="I11823" s="128">
        <v>7440</v>
      </c>
    </row>
    <row r="11824" spans="1:9" ht="13.5">
      <c r="A11824" s="128">
        <v>2022</v>
      </c>
      <c r="B11824" s="128" t="s">
        <v>131</v>
      </c>
      <c r="C11824" s="128" t="s">
        <v>26</v>
      </c>
      <c r="D11824" s="128" t="s">
        <v>77</v>
      </c>
      <c r="E11824" s="128" t="s">
        <v>132</v>
      </c>
      <c r="F11824" s="128">
        <v>98591.11</v>
      </c>
      <c r="G11824" s="128">
        <v>64333.51</v>
      </c>
      <c r="H11824" s="128">
        <v>30842.41</v>
      </c>
      <c r="I11824" s="128">
        <v>399</v>
      </c>
    </row>
    <row r="11825" spans="1:9" ht="13.5">
      <c r="A11825" s="128">
        <v>2022</v>
      </c>
      <c r="B11825" s="128" t="s">
        <v>131</v>
      </c>
      <c r="C11825" s="128" t="s">
        <v>26</v>
      </c>
      <c r="D11825" s="128" t="s">
        <v>77</v>
      </c>
      <c r="E11825" s="128" t="s">
        <v>133</v>
      </c>
      <c r="F11825" s="128">
        <v>151522.79</v>
      </c>
      <c r="G11825" s="128">
        <v>81300.27</v>
      </c>
      <c r="H11825" s="128">
        <v>61943.58</v>
      </c>
      <c r="I11825" s="128">
        <v>425</v>
      </c>
    </row>
    <row r="11826" spans="1:9" ht="13.5">
      <c r="A11826" s="128">
        <v>2022</v>
      </c>
      <c r="B11826" s="128" t="s">
        <v>131</v>
      </c>
      <c r="C11826" s="128" t="s">
        <v>26</v>
      </c>
      <c r="D11826" s="128" t="s">
        <v>77</v>
      </c>
      <c r="E11826" s="128" t="s">
        <v>134</v>
      </c>
      <c r="F11826" s="128">
        <v>786115.13</v>
      </c>
      <c r="G11826" s="128">
        <v>335723.45</v>
      </c>
      <c r="H11826" s="128">
        <v>326124.49</v>
      </c>
      <c r="I11826" s="128">
        <v>1681</v>
      </c>
    </row>
    <row r="11827" spans="1:9" ht="13.5">
      <c r="A11827" s="128">
        <v>2022</v>
      </c>
      <c r="B11827" s="128" t="s">
        <v>131</v>
      </c>
      <c r="C11827" s="128" t="s">
        <v>26</v>
      </c>
      <c r="D11827" s="128" t="s">
        <v>77</v>
      </c>
      <c r="E11827" s="128" t="s">
        <v>135</v>
      </c>
      <c r="F11827" s="128">
        <v>4373418.99</v>
      </c>
      <c r="G11827" s="128">
        <v>1134715.8899999999</v>
      </c>
      <c r="H11827" s="128">
        <v>1162234.74</v>
      </c>
      <c r="I11827" s="128">
        <v>14905</v>
      </c>
    </row>
    <row r="11828" spans="1:9" ht="13.5">
      <c r="A11828" s="128">
        <v>2022</v>
      </c>
      <c r="B11828" s="128" t="s">
        <v>131</v>
      </c>
      <c r="C11828" s="128" t="s">
        <v>26</v>
      </c>
      <c r="D11828" s="128" t="s">
        <v>76</v>
      </c>
      <c r="E11828" s="128" t="s">
        <v>136</v>
      </c>
      <c r="F11828" s="128">
        <v>461218.14</v>
      </c>
      <c r="G11828" s="128">
        <v>346293.2</v>
      </c>
      <c r="H11828" s="128">
        <v>114924.94</v>
      </c>
      <c r="I11828" s="128">
        <v>10742</v>
      </c>
    </row>
    <row r="11829" spans="1:9" ht="13.5">
      <c r="A11829" s="128">
        <v>2022</v>
      </c>
      <c r="B11829" s="128" t="s">
        <v>131</v>
      </c>
      <c r="C11829" s="128" t="s">
        <v>26</v>
      </c>
      <c r="D11829" s="128" t="s">
        <v>76</v>
      </c>
      <c r="E11829" s="128" t="s">
        <v>132</v>
      </c>
      <c r="F11829" s="128">
        <v>1760447.81</v>
      </c>
      <c r="G11829" s="128">
        <v>1126502.28</v>
      </c>
      <c r="H11829" s="128">
        <v>633943.18999999994</v>
      </c>
      <c r="I11829" s="128">
        <v>14453</v>
      </c>
    </row>
    <row r="11830" spans="1:9" ht="13.5">
      <c r="A11830" s="128">
        <v>2022</v>
      </c>
      <c r="B11830" s="128" t="s">
        <v>131</v>
      </c>
      <c r="C11830" s="128" t="s">
        <v>26</v>
      </c>
      <c r="D11830" s="128" t="s">
        <v>76</v>
      </c>
      <c r="E11830" s="128" t="s">
        <v>133</v>
      </c>
      <c r="F11830" s="128">
        <v>4573569.0199999996</v>
      </c>
      <c r="G11830" s="128">
        <v>2534048.77</v>
      </c>
      <c r="H11830" s="128">
        <v>2039514.81</v>
      </c>
      <c r="I11830" s="128">
        <v>39261</v>
      </c>
    </row>
    <row r="11831" spans="1:9" ht="13.5">
      <c r="A11831" s="128">
        <v>2022</v>
      </c>
      <c r="B11831" s="128" t="s">
        <v>131</v>
      </c>
      <c r="C11831" s="128" t="s">
        <v>26</v>
      </c>
      <c r="D11831" s="128" t="s">
        <v>76</v>
      </c>
      <c r="E11831" s="128" t="s">
        <v>134</v>
      </c>
      <c r="F11831" s="128">
        <v>3406932.57</v>
      </c>
      <c r="G11831" s="128">
        <v>1568268.22</v>
      </c>
      <c r="H11831" s="128">
        <v>1838645.61</v>
      </c>
      <c r="I11831" s="128">
        <v>18599</v>
      </c>
    </row>
    <row r="11832" spans="1:9" ht="13.5">
      <c r="A11832" s="128">
        <v>2022</v>
      </c>
      <c r="B11832" s="128" t="s">
        <v>131</v>
      </c>
      <c r="C11832" s="128" t="s">
        <v>26</v>
      </c>
      <c r="D11832" s="128" t="s">
        <v>76</v>
      </c>
      <c r="E11832" s="128" t="s">
        <v>135</v>
      </c>
      <c r="F11832" s="128">
        <v>234817.56</v>
      </c>
      <c r="G11832" s="128">
        <v>68942.52</v>
      </c>
      <c r="H11832" s="128">
        <v>165875.04</v>
      </c>
      <c r="I11832" s="128">
        <v>307</v>
      </c>
    </row>
    <row r="11833" spans="1:9" ht="13.5">
      <c r="A11833" s="128">
        <v>2022</v>
      </c>
      <c r="B11833" s="128" t="s">
        <v>131</v>
      </c>
      <c r="C11833" s="128" t="s">
        <v>27</v>
      </c>
      <c r="D11833" s="128" t="s">
        <v>79</v>
      </c>
      <c r="E11833" s="128" t="s">
        <v>136</v>
      </c>
      <c r="F11833" s="128">
        <v>234383.2</v>
      </c>
      <c r="G11833" s="128">
        <v>171508.75</v>
      </c>
      <c r="H11833" s="128">
        <v>56824.45</v>
      </c>
      <c r="I11833" s="128">
        <v>1540</v>
      </c>
    </row>
    <row r="11834" spans="1:9" ht="13.5">
      <c r="A11834" s="128">
        <v>2022</v>
      </c>
      <c r="B11834" s="128" t="s">
        <v>131</v>
      </c>
      <c r="C11834" s="128" t="s">
        <v>27</v>
      </c>
      <c r="D11834" s="128" t="s">
        <v>79</v>
      </c>
      <c r="E11834" s="128" t="s">
        <v>132</v>
      </c>
      <c r="F11834" s="128">
        <v>42917.63</v>
      </c>
      <c r="G11834" s="128">
        <v>29322.46</v>
      </c>
      <c r="H11834" s="128">
        <v>9773.23</v>
      </c>
      <c r="I11834" s="128">
        <v>61</v>
      </c>
    </row>
    <row r="11835" spans="1:9" ht="13.5">
      <c r="A11835" s="128">
        <v>2022</v>
      </c>
      <c r="B11835" s="128" t="s">
        <v>131</v>
      </c>
      <c r="C11835" s="128" t="s">
        <v>27</v>
      </c>
      <c r="D11835" s="128" t="s">
        <v>79</v>
      </c>
      <c r="E11835" s="128" t="s">
        <v>133</v>
      </c>
      <c r="F11835" s="128">
        <v>32648.9</v>
      </c>
      <c r="G11835" s="128">
        <v>17576.7</v>
      </c>
      <c r="H11835" s="128">
        <v>5856.9</v>
      </c>
      <c r="I11835" s="128">
        <v>68</v>
      </c>
    </row>
    <row r="11836" spans="1:9" ht="13.5">
      <c r="A11836" s="128">
        <v>2022</v>
      </c>
      <c r="B11836" s="128" t="s">
        <v>131</v>
      </c>
      <c r="C11836" s="128" t="s">
        <v>27</v>
      </c>
      <c r="D11836" s="128" t="s">
        <v>79</v>
      </c>
      <c r="E11836" s="128" t="s">
        <v>134</v>
      </c>
      <c r="F11836" s="128">
        <v>97753.81</v>
      </c>
      <c r="G11836" s="128">
        <v>42516.85</v>
      </c>
      <c r="H11836" s="128">
        <v>14163.55</v>
      </c>
      <c r="I11836" s="128">
        <v>251</v>
      </c>
    </row>
    <row r="11837" spans="1:9" ht="13.5">
      <c r="A11837" s="128">
        <v>2022</v>
      </c>
      <c r="B11837" s="128" t="s">
        <v>131</v>
      </c>
      <c r="C11837" s="128" t="s">
        <v>27</v>
      </c>
      <c r="D11837" s="128" t="s">
        <v>79</v>
      </c>
      <c r="E11837" s="128" t="s">
        <v>135</v>
      </c>
      <c r="F11837" s="128">
        <v>1549820.74</v>
      </c>
      <c r="G11837" s="128">
        <v>349557.9</v>
      </c>
      <c r="H11837" s="128">
        <v>116489.22</v>
      </c>
      <c r="I11837" s="128">
        <v>940</v>
      </c>
    </row>
    <row r="11838" spans="1:9" ht="13.5">
      <c r="A11838" s="128">
        <v>2022</v>
      </c>
      <c r="B11838" s="128" t="s">
        <v>131</v>
      </c>
      <c r="C11838" s="128" t="s">
        <v>27</v>
      </c>
      <c r="D11838" s="128" t="s">
        <v>77</v>
      </c>
      <c r="E11838" s="128" t="s">
        <v>132</v>
      </c>
      <c r="F11838" s="128">
        <v>25099.26</v>
      </c>
      <c r="G11838" s="128">
        <v>16042.29</v>
      </c>
      <c r="H11838" s="128">
        <v>7145.15</v>
      </c>
      <c r="I11838" s="128">
        <v>89</v>
      </c>
    </row>
    <row r="11839" spans="1:9" ht="13.5">
      <c r="A11839" s="128">
        <v>2022</v>
      </c>
      <c r="B11839" s="128" t="s">
        <v>131</v>
      </c>
      <c r="C11839" s="128" t="s">
        <v>27</v>
      </c>
      <c r="D11839" s="128" t="s">
        <v>77</v>
      </c>
      <c r="E11839" s="128" t="s">
        <v>133</v>
      </c>
      <c r="F11839" s="128">
        <v>71676.710000000006</v>
      </c>
      <c r="G11839" s="128">
        <v>38254.58</v>
      </c>
      <c r="H11839" s="128">
        <v>29603.07</v>
      </c>
      <c r="I11839" s="128">
        <v>215</v>
      </c>
    </row>
    <row r="11840" spans="1:9" ht="13.5">
      <c r="A11840" s="128">
        <v>2022</v>
      </c>
      <c r="B11840" s="128" t="s">
        <v>131</v>
      </c>
      <c r="C11840" s="128" t="s">
        <v>27</v>
      </c>
      <c r="D11840" s="128" t="s">
        <v>77</v>
      </c>
      <c r="E11840" s="128" t="s">
        <v>134</v>
      </c>
      <c r="F11840" s="128">
        <v>265928.48</v>
      </c>
      <c r="G11840" s="128">
        <v>113422.02</v>
      </c>
      <c r="H11840" s="128">
        <v>113140.57</v>
      </c>
      <c r="I11840" s="128">
        <v>428</v>
      </c>
    </row>
    <row r="11841" spans="1:9" ht="13.5">
      <c r="A11841" s="128">
        <v>2022</v>
      </c>
      <c r="B11841" s="128" t="s">
        <v>131</v>
      </c>
      <c r="C11841" s="128" t="s">
        <v>27</v>
      </c>
      <c r="D11841" s="128" t="s">
        <v>77</v>
      </c>
      <c r="E11841" s="128" t="s">
        <v>135</v>
      </c>
      <c r="F11841" s="128">
        <v>613383.23</v>
      </c>
      <c r="G11841" s="128">
        <v>166022.39000000001</v>
      </c>
      <c r="H11841" s="128">
        <v>181487.75</v>
      </c>
      <c r="I11841" s="128">
        <v>1999</v>
      </c>
    </row>
    <row r="11842" spans="1:9" ht="13.5">
      <c r="A11842" s="128">
        <v>2022</v>
      </c>
      <c r="B11842" s="128" t="s">
        <v>131</v>
      </c>
      <c r="C11842" s="128" t="s">
        <v>27</v>
      </c>
      <c r="D11842" s="128" t="s">
        <v>76</v>
      </c>
      <c r="E11842" s="128" t="s">
        <v>136</v>
      </c>
      <c r="F11842" s="128">
        <v>319004.09999999998</v>
      </c>
      <c r="G11842" s="128">
        <v>239337.64</v>
      </c>
      <c r="H11842" s="128">
        <v>79666.460000000006</v>
      </c>
      <c r="I11842" s="128">
        <v>4101</v>
      </c>
    </row>
    <row r="11843" spans="1:9" ht="13.5">
      <c r="A11843" s="128">
        <v>2022</v>
      </c>
      <c r="B11843" s="128" t="s">
        <v>131</v>
      </c>
      <c r="C11843" s="128" t="s">
        <v>27</v>
      </c>
      <c r="D11843" s="128" t="s">
        <v>76</v>
      </c>
      <c r="E11843" s="128" t="s">
        <v>132</v>
      </c>
      <c r="F11843" s="128">
        <v>660084.62</v>
      </c>
      <c r="G11843" s="128">
        <v>419779.7</v>
      </c>
      <c r="H11843" s="128">
        <v>240297.92</v>
      </c>
      <c r="I11843" s="128">
        <v>4313</v>
      </c>
    </row>
    <row r="11844" spans="1:9" ht="13.5">
      <c r="A11844" s="128">
        <v>2022</v>
      </c>
      <c r="B11844" s="128" t="s">
        <v>131</v>
      </c>
      <c r="C11844" s="128" t="s">
        <v>27</v>
      </c>
      <c r="D11844" s="128" t="s">
        <v>76</v>
      </c>
      <c r="E11844" s="128" t="s">
        <v>133</v>
      </c>
      <c r="F11844" s="128">
        <v>1689055.51</v>
      </c>
      <c r="G11844" s="128">
        <v>913894.3</v>
      </c>
      <c r="H11844" s="128">
        <v>775158.83</v>
      </c>
      <c r="I11844" s="128">
        <v>7222</v>
      </c>
    </row>
    <row r="11845" spans="1:9" ht="13.5">
      <c r="A11845" s="128">
        <v>2022</v>
      </c>
      <c r="B11845" s="128" t="s">
        <v>131</v>
      </c>
      <c r="C11845" s="128" t="s">
        <v>27</v>
      </c>
      <c r="D11845" s="128" t="s">
        <v>76</v>
      </c>
      <c r="E11845" s="128" t="s">
        <v>134</v>
      </c>
      <c r="F11845" s="128">
        <v>1839904.39</v>
      </c>
      <c r="G11845" s="128">
        <v>849103.69</v>
      </c>
      <c r="H11845" s="128">
        <v>990794.78</v>
      </c>
      <c r="I11845" s="128">
        <v>9801</v>
      </c>
    </row>
    <row r="11846" spans="1:9" ht="13.5">
      <c r="A11846" s="128">
        <v>2022</v>
      </c>
      <c r="B11846" s="128" t="s">
        <v>131</v>
      </c>
      <c r="C11846" s="128" t="s">
        <v>27</v>
      </c>
      <c r="D11846" s="128" t="s">
        <v>76</v>
      </c>
      <c r="E11846" s="128" t="s">
        <v>135</v>
      </c>
      <c r="F11846" s="128">
        <v>61958.19</v>
      </c>
      <c r="G11846" s="128">
        <v>18612.560000000001</v>
      </c>
      <c r="H11846" s="128">
        <v>43345.63</v>
      </c>
      <c r="I11846" s="128">
        <v>83</v>
      </c>
    </row>
    <row r="11847" spans="1:9" ht="13.5">
      <c r="A11847" s="128">
        <v>2022</v>
      </c>
      <c r="B11847" s="128" t="s">
        <v>138</v>
      </c>
      <c r="C11847" s="128" t="s">
        <v>20</v>
      </c>
      <c r="D11847" s="128" t="s">
        <v>79</v>
      </c>
      <c r="E11847" s="128" t="s">
        <v>136</v>
      </c>
      <c r="F11847" s="128">
        <v>28847750.359999999</v>
      </c>
      <c r="G11847" s="128">
        <v>21560341.469999999</v>
      </c>
      <c r="H11847" s="128">
        <v>7235997.9100000001</v>
      </c>
      <c r="I11847" s="128">
        <v>246764</v>
      </c>
    </row>
    <row r="11848" spans="1:9" ht="13.5">
      <c r="A11848" s="128">
        <v>2022</v>
      </c>
      <c r="B11848" s="128" t="s">
        <v>138</v>
      </c>
      <c r="C11848" s="128" t="s">
        <v>20</v>
      </c>
      <c r="D11848" s="128" t="s">
        <v>79</v>
      </c>
      <c r="E11848" s="128" t="s">
        <v>132</v>
      </c>
      <c r="F11848" s="128">
        <v>2725158.73</v>
      </c>
      <c r="G11848" s="128">
        <v>1829456.49</v>
      </c>
      <c r="H11848" s="128">
        <v>628290.69999999995</v>
      </c>
      <c r="I11848" s="128">
        <v>10066</v>
      </c>
    </row>
    <row r="11849" spans="1:9" ht="13.5">
      <c r="A11849" s="128">
        <v>2022</v>
      </c>
      <c r="B11849" s="128" t="s">
        <v>138</v>
      </c>
      <c r="C11849" s="128" t="s">
        <v>20</v>
      </c>
      <c r="D11849" s="128" t="s">
        <v>79</v>
      </c>
      <c r="E11849" s="128" t="s">
        <v>133</v>
      </c>
      <c r="F11849" s="128">
        <v>1786076.03</v>
      </c>
      <c r="G11849" s="128">
        <v>968610.4</v>
      </c>
      <c r="H11849" s="128">
        <v>330491.09000000003</v>
      </c>
      <c r="I11849" s="128">
        <v>4320</v>
      </c>
    </row>
    <row r="11850" spans="1:9" ht="13.5">
      <c r="A11850" s="128">
        <v>2022</v>
      </c>
      <c r="B11850" s="128" t="s">
        <v>138</v>
      </c>
      <c r="C11850" s="128" t="s">
        <v>20</v>
      </c>
      <c r="D11850" s="128" t="s">
        <v>79</v>
      </c>
      <c r="E11850" s="128" t="s">
        <v>134</v>
      </c>
      <c r="F11850" s="128">
        <v>6338324.0999999996</v>
      </c>
      <c r="G11850" s="128">
        <v>2726717.49</v>
      </c>
      <c r="H11850" s="128">
        <v>1003419.75</v>
      </c>
      <c r="I11850" s="128">
        <v>18164</v>
      </c>
    </row>
    <row r="11851" spans="1:9" ht="13.5">
      <c r="A11851" s="128">
        <v>2022</v>
      </c>
      <c r="B11851" s="128" t="s">
        <v>138</v>
      </c>
      <c r="C11851" s="128" t="s">
        <v>20</v>
      </c>
      <c r="D11851" s="128" t="s">
        <v>79</v>
      </c>
      <c r="E11851" s="128" t="s">
        <v>135</v>
      </c>
      <c r="F11851" s="128">
        <v>95959686.590000004</v>
      </c>
      <c r="G11851" s="128">
        <v>19547479.09</v>
      </c>
      <c r="H11851" s="128">
        <v>6649734.5800000001</v>
      </c>
      <c r="I11851" s="128">
        <v>79786</v>
      </c>
    </row>
    <row r="11852" spans="1:9" ht="13.5">
      <c r="A11852" s="128">
        <v>2022</v>
      </c>
      <c r="B11852" s="128" t="s">
        <v>138</v>
      </c>
      <c r="C11852" s="128" t="s">
        <v>20</v>
      </c>
      <c r="D11852" s="128" t="s">
        <v>77</v>
      </c>
      <c r="E11852" s="128" t="s">
        <v>132</v>
      </c>
      <c r="F11852" s="128">
        <v>2826442.23</v>
      </c>
      <c r="G11852" s="128">
        <v>1852292.17</v>
      </c>
      <c r="H11852" s="128">
        <v>823480.3</v>
      </c>
      <c r="I11852" s="128">
        <v>13570</v>
      </c>
    </row>
    <row r="11853" spans="1:9" ht="13.5">
      <c r="A11853" s="128">
        <v>2022</v>
      </c>
      <c r="B11853" s="128" t="s">
        <v>138</v>
      </c>
      <c r="C11853" s="128" t="s">
        <v>20</v>
      </c>
      <c r="D11853" s="128" t="s">
        <v>77</v>
      </c>
      <c r="E11853" s="128" t="s">
        <v>133</v>
      </c>
      <c r="F11853" s="128">
        <v>6604402.1600000001</v>
      </c>
      <c r="G11853" s="128">
        <v>3516711.35</v>
      </c>
      <c r="H11853" s="128">
        <v>2755978.77</v>
      </c>
      <c r="I11853" s="128">
        <v>18812</v>
      </c>
    </row>
    <row r="11854" spans="1:9" ht="13.5">
      <c r="A11854" s="128">
        <v>2022</v>
      </c>
      <c r="B11854" s="128" t="s">
        <v>138</v>
      </c>
      <c r="C11854" s="128" t="s">
        <v>20</v>
      </c>
      <c r="D11854" s="128" t="s">
        <v>77</v>
      </c>
      <c r="E11854" s="128" t="s">
        <v>134</v>
      </c>
      <c r="F11854" s="128">
        <v>18530403.829999998</v>
      </c>
      <c r="G11854" s="128">
        <v>7999811.8700000001</v>
      </c>
      <c r="H11854" s="128">
        <v>8057574.0999999996</v>
      </c>
      <c r="I11854" s="128">
        <v>32345</v>
      </c>
    </row>
    <row r="11855" spans="1:9" ht="13.5">
      <c r="A11855" s="128">
        <v>2022</v>
      </c>
      <c r="B11855" s="128" t="s">
        <v>138</v>
      </c>
      <c r="C11855" s="128" t="s">
        <v>20</v>
      </c>
      <c r="D11855" s="128" t="s">
        <v>77</v>
      </c>
      <c r="E11855" s="128" t="s">
        <v>135</v>
      </c>
      <c r="F11855" s="128">
        <v>48109930.799999997</v>
      </c>
      <c r="G11855" s="128">
        <v>12519094.119999999</v>
      </c>
      <c r="H11855" s="128">
        <v>14383517.199999999</v>
      </c>
      <c r="I11855" s="128">
        <v>154930</v>
      </c>
    </row>
    <row r="11856" spans="1:9" ht="13.5">
      <c r="A11856" s="128">
        <v>2022</v>
      </c>
      <c r="B11856" s="128" t="s">
        <v>138</v>
      </c>
      <c r="C11856" s="128" t="s">
        <v>20</v>
      </c>
      <c r="D11856" s="128" t="s">
        <v>76</v>
      </c>
      <c r="E11856" s="128" t="s">
        <v>136</v>
      </c>
      <c r="F11856" s="128">
        <v>28356211.07</v>
      </c>
      <c r="G11856" s="128">
        <v>21329843.25</v>
      </c>
      <c r="H11856" s="128">
        <v>7026452.0700000003</v>
      </c>
      <c r="I11856" s="128">
        <v>991195</v>
      </c>
    </row>
    <row r="11857" spans="1:9" ht="13.5">
      <c r="A11857" s="128">
        <v>2022</v>
      </c>
      <c r="B11857" s="128" t="s">
        <v>138</v>
      </c>
      <c r="C11857" s="128" t="s">
        <v>20</v>
      </c>
      <c r="D11857" s="128" t="s">
        <v>76</v>
      </c>
      <c r="E11857" s="128" t="s">
        <v>132</v>
      </c>
      <c r="F11857" s="128">
        <v>53608719.649999999</v>
      </c>
      <c r="G11857" s="128">
        <v>34167086.409999996</v>
      </c>
      <c r="H11857" s="128">
        <v>19441571.98</v>
      </c>
      <c r="I11857" s="128">
        <v>435767</v>
      </c>
    </row>
    <row r="11858" spans="1:9" ht="13.5">
      <c r="A11858" s="128">
        <v>2022</v>
      </c>
      <c r="B11858" s="128" t="s">
        <v>138</v>
      </c>
      <c r="C11858" s="128" t="s">
        <v>20</v>
      </c>
      <c r="D11858" s="128" t="s">
        <v>76</v>
      </c>
      <c r="E11858" s="128" t="s">
        <v>133</v>
      </c>
      <c r="F11858" s="128">
        <v>104713196.03</v>
      </c>
      <c r="G11858" s="128">
        <v>57387537.210000001</v>
      </c>
      <c r="H11858" s="128">
        <v>47325628.219999999</v>
      </c>
      <c r="I11858" s="128">
        <v>601472</v>
      </c>
    </row>
    <row r="11859" spans="1:9" ht="13.5">
      <c r="A11859" s="128">
        <v>2022</v>
      </c>
      <c r="B11859" s="128" t="s">
        <v>138</v>
      </c>
      <c r="C11859" s="128" t="s">
        <v>20</v>
      </c>
      <c r="D11859" s="128" t="s">
        <v>76</v>
      </c>
      <c r="E11859" s="128" t="s">
        <v>134</v>
      </c>
      <c r="F11859" s="128">
        <v>107173077.09999999</v>
      </c>
      <c r="G11859" s="128">
        <v>49063597.609999999</v>
      </c>
      <c r="H11859" s="128">
        <v>58109424.829999998</v>
      </c>
      <c r="I11859" s="128">
        <v>592428</v>
      </c>
    </row>
    <row r="11860" spans="1:9" ht="13.5">
      <c r="A11860" s="128">
        <v>2022</v>
      </c>
      <c r="B11860" s="128" t="s">
        <v>138</v>
      </c>
      <c r="C11860" s="128" t="s">
        <v>20</v>
      </c>
      <c r="D11860" s="128" t="s">
        <v>76</v>
      </c>
      <c r="E11860" s="128" t="s">
        <v>135</v>
      </c>
      <c r="F11860" s="128">
        <v>6219367.7199999997</v>
      </c>
      <c r="G11860" s="128">
        <v>1816397.18</v>
      </c>
      <c r="H11860" s="128">
        <v>4402970.54</v>
      </c>
      <c r="I11860" s="128">
        <v>5725</v>
      </c>
    </row>
    <row r="11861" spans="1:9" ht="13.5">
      <c r="A11861" s="128">
        <v>2022</v>
      </c>
      <c r="B11861" s="128" t="s">
        <v>138</v>
      </c>
      <c r="C11861" s="128" t="s">
        <v>21</v>
      </c>
      <c r="D11861" s="128" t="s">
        <v>79</v>
      </c>
      <c r="E11861" s="128" t="s">
        <v>136</v>
      </c>
      <c r="F11861" s="128">
        <v>5205456.74</v>
      </c>
      <c r="G11861" s="128">
        <v>3919989.66</v>
      </c>
      <c r="H11861" s="128">
        <v>1259637.1399999999</v>
      </c>
      <c r="I11861" s="128">
        <v>107487</v>
      </c>
    </row>
    <row r="11862" spans="1:9" ht="13.5">
      <c r="A11862" s="128">
        <v>2022</v>
      </c>
      <c r="B11862" s="128" t="s">
        <v>138</v>
      </c>
      <c r="C11862" s="128" t="s">
        <v>21</v>
      </c>
      <c r="D11862" s="128" t="s">
        <v>79</v>
      </c>
      <c r="E11862" s="128" t="s">
        <v>132</v>
      </c>
      <c r="F11862" s="128">
        <v>783101.15</v>
      </c>
      <c r="G11862" s="128">
        <v>522104.97</v>
      </c>
      <c r="H11862" s="128">
        <v>189460.93</v>
      </c>
      <c r="I11862" s="128">
        <v>2458</v>
      </c>
    </row>
    <row r="11863" spans="1:9" ht="13.5">
      <c r="A11863" s="128">
        <v>2022</v>
      </c>
      <c r="B11863" s="128" t="s">
        <v>138</v>
      </c>
      <c r="C11863" s="128" t="s">
        <v>21</v>
      </c>
      <c r="D11863" s="128" t="s">
        <v>79</v>
      </c>
      <c r="E11863" s="128" t="s">
        <v>133</v>
      </c>
      <c r="F11863" s="128">
        <v>1510868.89</v>
      </c>
      <c r="G11863" s="128">
        <v>815025.86</v>
      </c>
      <c r="H11863" s="128">
        <v>284208.42</v>
      </c>
      <c r="I11863" s="128">
        <v>6072</v>
      </c>
    </row>
    <row r="11864" spans="1:9" ht="13.5">
      <c r="A11864" s="128">
        <v>2022</v>
      </c>
      <c r="B11864" s="128" t="s">
        <v>138</v>
      </c>
      <c r="C11864" s="128" t="s">
        <v>21</v>
      </c>
      <c r="D11864" s="128" t="s">
        <v>79</v>
      </c>
      <c r="E11864" s="128" t="s">
        <v>134</v>
      </c>
      <c r="F11864" s="128">
        <v>3423806.36</v>
      </c>
      <c r="G11864" s="128">
        <v>1500454.46</v>
      </c>
      <c r="H11864" s="128">
        <v>503941.85</v>
      </c>
      <c r="I11864" s="128">
        <v>11491</v>
      </c>
    </row>
    <row r="11865" spans="1:9" ht="13.5">
      <c r="A11865" s="128">
        <v>2022</v>
      </c>
      <c r="B11865" s="128" t="s">
        <v>138</v>
      </c>
      <c r="C11865" s="128" t="s">
        <v>21</v>
      </c>
      <c r="D11865" s="128" t="s">
        <v>79</v>
      </c>
      <c r="E11865" s="128" t="s">
        <v>135</v>
      </c>
      <c r="F11865" s="128">
        <v>32745524.91</v>
      </c>
      <c r="G11865" s="128">
        <v>7167614.9900000002</v>
      </c>
      <c r="H11865" s="128">
        <v>2418904.23</v>
      </c>
      <c r="I11865" s="128">
        <v>27369</v>
      </c>
    </row>
    <row r="11866" spans="1:9" ht="13.5">
      <c r="A11866" s="128">
        <v>2022</v>
      </c>
      <c r="B11866" s="128" t="s">
        <v>138</v>
      </c>
      <c r="C11866" s="128" t="s">
        <v>21</v>
      </c>
      <c r="D11866" s="128" t="s">
        <v>77</v>
      </c>
      <c r="E11866" s="128" t="s">
        <v>132</v>
      </c>
      <c r="F11866" s="128">
        <v>2396327.31</v>
      </c>
      <c r="G11866" s="128">
        <v>1569170.1</v>
      </c>
      <c r="H11866" s="128">
        <v>693878.27</v>
      </c>
      <c r="I11866" s="128">
        <v>11958</v>
      </c>
    </row>
    <row r="11867" spans="1:9" ht="13.5">
      <c r="A11867" s="128">
        <v>2022</v>
      </c>
      <c r="B11867" s="128" t="s">
        <v>138</v>
      </c>
      <c r="C11867" s="128" t="s">
        <v>21</v>
      </c>
      <c r="D11867" s="128" t="s">
        <v>77</v>
      </c>
      <c r="E11867" s="128" t="s">
        <v>133</v>
      </c>
      <c r="F11867" s="128">
        <v>7428688.8300000001</v>
      </c>
      <c r="G11867" s="128">
        <v>3968454.24</v>
      </c>
      <c r="H11867" s="128">
        <v>2952726.19</v>
      </c>
      <c r="I11867" s="128">
        <v>21238</v>
      </c>
    </row>
    <row r="11868" spans="1:9" ht="13.5">
      <c r="A11868" s="128">
        <v>2022</v>
      </c>
      <c r="B11868" s="128" t="s">
        <v>138</v>
      </c>
      <c r="C11868" s="128" t="s">
        <v>21</v>
      </c>
      <c r="D11868" s="128" t="s">
        <v>77</v>
      </c>
      <c r="E11868" s="128" t="s">
        <v>134</v>
      </c>
      <c r="F11868" s="128">
        <v>20944647.190000001</v>
      </c>
      <c r="G11868" s="128">
        <v>9027429.9299999997</v>
      </c>
      <c r="H11868" s="128">
        <v>8605095.5399999991</v>
      </c>
      <c r="I11868" s="128">
        <v>39483</v>
      </c>
    </row>
    <row r="11869" spans="1:9" ht="13.5">
      <c r="A11869" s="128">
        <v>2022</v>
      </c>
      <c r="B11869" s="128" t="s">
        <v>138</v>
      </c>
      <c r="C11869" s="128" t="s">
        <v>21</v>
      </c>
      <c r="D11869" s="128" t="s">
        <v>77</v>
      </c>
      <c r="E11869" s="128" t="s">
        <v>135</v>
      </c>
      <c r="F11869" s="128">
        <v>48296090.189999998</v>
      </c>
      <c r="G11869" s="128">
        <v>12771155.1</v>
      </c>
      <c r="H11869" s="128">
        <v>14110772.130000001</v>
      </c>
      <c r="I11869" s="128">
        <v>165264</v>
      </c>
    </row>
    <row r="11870" spans="1:9" ht="13.5">
      <c r="A11870" s="128">
        <v>2022</v>
      </c>
      <c r="B11870" s="128" t="s">
        <v>138</v>
      </c>
      <c r="C11870" s="128" t="s">
        <v>21</v>
      </c>
      <c r="D11870" s="128" t="s">
        <v>76</v>
      </c>
      <c r="E11870" s="128" t="s">
        <v>136</v>
      </c>
      <c r="F11870" s="128">
        <v>19596057.170000002</v>
      </c>
      <c r="G11870" s="128">
        <v>14742473.210000001</v>
      </c>
      <c r="H11870" s="128">
        <v>4853668.51</v>
      </c>
      <c r="I11870" s="128">
        <v>310618</v>
      </c>
    </row>
    <row r="11871" spans="1:9" ht="13.5">
      <c r="A11871" s="128">
        <v>2022</v>
      </c>
      <c r="B11871" s="128" t="s">
        <v>138</v>
      </c>
      <c r="C11871" s="128" t="s">
        <v>21</v>
      </c>
      <c r="D11871" s="128" t="s">
        <v>76</v>
      </c>
      <c r="E11871" s="128" t="s">
        <v>132</v>
      </c>
      <c r="F11871" s="128">
        <v>56103932.659999996</v>
      </c>
      <c r="G11871" s="128">
        <v>35766399.770000003</v>
      </c>
      <c r="H11871" s="128">
        <v>20337408.73</v>
      </c>
      <c r="I11871" s="128">
        <v>457351</v>
      </c>
    </row>
    <row r="11872" spans="1:9" ht="13.5">
      <c r="A11872" s="128">
        <v>2022</v>
      </c>
      <c r="B11872" s="128" t="s">
        <v>138</v>
      </c>
      <c r="C11872" s="128" t="s">
        <v>21</v>
      </c>
      <c r="D11872" s="128" t="s">
        <v>76</v>
      </c>
      <c r="E11872" s="128" t="s">
        <v>133</v>
      </c>
      <c r="F11872" s="128">
        <v>113901704.63</v>
      </c>
      <c r="G11872" s="128">
        <v>62322974.659999996</v>
      </c>
      <c r="H11872" s="128">
        <v>51578658.18</v>
      </c>
      <c r="I11872" s="128">
        <v>660357</v>
      </c>
    </row>
    <row r="11873" spans="1:9" ht="13.5">
      <c r="A11873" s="128">
        <v>2022</v>
      </c>
      <c r="B11873" s="128" t="s">
        <v>138</v>
      </c>
      <c r="C11873" s="128" t="s">
        <v>21</v>
      </c>
      <c r="D11873" s="128" t="s">
        <v>76</v>
      </c>
      <c r="E11873" s="128" t="s">
        <v>134</v>
      </c>
      <c r="F11873" s="128">
        <v>80684418.989999995</v>
      </c>
      <c r="G11873" s="128">
        <v>37075684.759999998</v>
      </c>
      <c r="H11873" s="128">
        <v>43608707.619999997</v>
      </c>
      <c r="I11873" s="128">
        <v>494922</v>
      </c>
    </row>
    <row r="11874" spans="1:9" ht="13.5">
      <c r="A11874" s="128">
        <v>2022</v>
      </c>
      <c r="B11874" s="128" t="s">
        <v>138</v>
      </c>
      <c r="C11874" s="128" t="s">
        <v>21</v>
      </c>
      <c r="D11874" s="128" t="s">
        <v>76</v>
      </c>
      <c r="E11874" s="128" t="s">
        <v>135</v>
      </c>
      <c r="F11874" s="128">
        <v>2891229.92</v>
      </c>
      <c r="G11874" s="128">
        <v>818158.5</v>
      </c>
      <c r="H11874" s="128">
        <v>2073071.42</v>
      </c>
      <c r="I11874" s="128">
        <v>2733</v>
      </c>
    </row>
    <row r="11875" spans="1:9" ht="13.5">
      <c r="A11875" s="128">
        <v>2022</v>
      </c>
      <c r="B11875" s="128" t="s">
        <v>138</v>
      </c>
      <c r="C11875" s="128" t="s">
        <v>22</v>
      </c>
      <c r="D11875" s="128" t="s">
        <v>79</v>
      </c>
      <c r="E11875" s="128" t="s">
        <v>136</v>
      </c>
      <c r="F11875" s="128">
        <v>4315097.45</v>
      </c>
      <c r="G11875" s="128">
        <v>3210720.76</v>
      </c>
      <c r="H11875" s="128">
        <v>1056651.05</v>
      </c>
      <c r="I11875" s="128">
        <v>59842</v>
      </c>
    </row>
    <row r="11876" spans="1:9" ht="13.5">
      <c r="A11876" s="128">
        <v>2022</v>
      </c>
      <c r="B11876" s="128" t="s">
        <v>138</v>
      </c>
      <c r="C11876" s="128" t="s">
        <v>22</v>
      </c>
      <c r="D11876" s="128" t="s">
        <v>79</v>
      </c>
      <c r="E11876" s="128" t="s">
        <v>132</v>
      </c>
      <c r="F11876" s="128">
        <v>830619.61</v>
      </c>
      <c r="G11876" s="128">
        <v>568328.32999999996</v>
      </c>
      <c r="H11876" s="128">
        <v>192634.49</v>
      </c>
      <c r="I11876" s="128">
        <v>2615</v>
      </c>
    </row>
    <row r="11877" spans="1:9" ht="13.5">
      <c r="A11877" s="128">
        <v>2022</v>
      </c>
      <c r="B11877" s="128" t="s">
        <v>138</v>
      </c>
      <c r="C11877" s="128" t="s">
        <v>22</v>
      </c>
      <c r="D11877" s="128" t="s">
        <v>79</v>
      </c>
      <c r="E11877" s="128" t="s">
        <v>133</v>
      </c>
      <c r="F11877" s="128">
        <v>1070171.68</v>
      </c>
      <c r="G11877" s="128">
        <v>579813.34</v>
      </c>
      <c r="H11877" s="128">
        <v>193483.88</v>
      </c>
      <c r="I11877" s="128">
        <v>1921</v>
      </c>
    </row>
    <row r="11878" spans="1:9" ht="13.5">
      <c r="A11878" s="128">
        <v>2022</v>
      </c>
      <c r="B11878" s="128" t="s">
        <v>138</v>
      </c>
      <c r="C11878" s="128" t="s">
        <v>22</v>
      </c>
      <c r="D11878" s="128" t="s">
        <v>79</v>
      </c>
      <c r="E11878" s="128" t="s">
        <v>134</v>
      </c>
      <c r="F11878" s="128">
        <v>3749138.77</v>
      </c>
      <c r="G11878" s="128">
        <v>1621174.85</v>
      </c>
      <c r="H11878" s="128">
        <v>542883.74</v>
      </c>
      <c r="I11878" s="128">
        <v>17379</v>
      </c>
    </row>
    <row r="11879" spans="1:9" ht="13.5">
      <c r="A11879" s="128">
        <v>2022</v>
      </c>
      <c r="B11879" s="128" t="s">
        <v>138</v>
      </c>
      <c r="C11879" s="128" t="s">
        <v>22</v>
      </c>
      <c r="D11879" s="128" t="s">
        <v>79</v>
      </c>
      <c r="E11879" s="128" t="s">
        <v>135</v>
      </c>
      <c r="F11879" s="128">
        <v>41498862.420000002</v>
      </c>
      <c r="G11879" s="128">
        <v>8981014.0899999999</v>
      </c>
      <c r="H11879" s="128">
        <v>3013579.45</v>
      </c>
      <c r="I11879" s="128">
        <v>36076</v>
      </c>
    </row>
    <row r="11880" spans="1:9" ht="13.5">
      <c r="A11880" s="128">
        <v>2022</v>
      </c>
      <c r="B11880" s="128" t="s">
        <v>138</v>
      </c>
      <c r="C11880" s="128" t="s">
        <v>22</v>
      </c>
      <c r="D11880" s="128" t="s">
        <v>77</v>
      </c>
      <c r="E11880" s="128" t="s">
        <v>132</v>
      </c>
      <c r="F11880" s="128">
        <v>1848731</v>
      </c>
      <c r="G11880" s="128">
        <v>1194480.33</v>
      </c>
      <c r="H11880" s="128">
        <v>545152.56999999995</v>
      </c>
      <c r="I11880" s="128">
        <v>8954</v>
      </c>
    </row>
    <row r="11881" spans="1:9" ht="13.5">
      <c r="A11881" s="128">
        <v>2022</v>
      </c>
      <c r="B11881" s="128" t="s">
        <v>138</v>
      </c>
      <c r="C11881" s="128" t="s">
        <v>22</v>
      </c>
      <c r="D11881" s="128" t="s">
        <v>77</v>
      </c>
      <c r="E11881" s="128" t="s">
        <v>133</v>
      </c>
      <c r="F11881" s="128">
        <v>5308955.8499999996</v>
      </c>
      <c r="G11881" s="128">
        <v>2818591.16</v>
      </c>
      <c r="H11881" s="128">
        <v>2157539.81</v>
      </c>
      <c r="I11881" s="128">
        <v>19402</v>
      </c>
    </row>
    <row r="11882" spans="1:9" ht="13.5">
      <c r="A11882" s="128">
        <v>2022</v>
      </c>
      <c r="B11882" s="128" t="s">
        <v>138</v>
      </c>
      <c r="C11882" s="128" t="s">
        <v>22</v>
      </c>
      <c r="D11882" s="128" t="s">
        <v>77</v>
      </c>
      <c r="E11882" s="128" t="s">
        <v>134</v>
      </c>
      <c r="F11882" s="128">
        <v>19024749.449999999</v>
      </c>
      <c r="G11882" s="128">
        <v>8112815</v>
      </c>
      <c r="H11882" s="128">
        <v>8035601</v>
      </c>
      <c r="I11882" s="128">
        <v>29460</v>
      </c>
    </row>
    <row r="11883" spans="1:9" ht="13.5">
      <c r="A11883" s="128">
        <v>2022</v>
      </c>
      <c r="B11883" s="128" t="s">
        <v>138</v>
      </c>
      <c r="C11883" s="128" t="s">
        <v>22</v>
      </c>
      <c r="D11883" s="128" t="s">
        <v>77</v>
      </c>
      <c r="E11883" s="128" t="s">
        <v>135</v>
      </c>
      <c r="F11883" s="128">
        <v>43736464.740000002</v>
      </c>
      <c r="G11883" s="128">
        <v>10847503.9</v>
      </c>
      <c r="H11883" s="128">
        <v>12243244.359999999</v>
      </c>
      <c r="I11883" s="128">
        <v>111373</v>
      </c>
    </row>
    <row r="11884" spans="1:9" ht="13.5">
      <c r="A11884" s="128">
        <v>2022</v>
      </c>
      <c r="B11884" s="128" t="s">
        <v>138</v>
      </c>
      <c r="C11884" s="128" t="s">
        <v>22</v>
      </c>
      <c r="D11884" s="128" t="s">
        <v>76</v>
      </c>
      <c r="E11884" s="128" t="s">
        <v>136</v>
      </c>
      <c r="F11884" s="128">
        <v>16919190.34</v>
      </c>
      <c r="G11884" s="128">
        <v>12706585.27</v>
      </c>
      <c r="H11884" s="128">
        <v>4212605.07</v>
      </c>
      <c r="I11884" s="128">
        <v>252684</v>
      </c>
    </row>
    <row r="11885" spans="1:9" ht="13.5">
      <c r="A11885" s="128">
        <v>2022</v>
      </c>
      <c r="B11885" s="128" t="s">
        <v>138</v>
      </c>
      <c r="C11885" s="128" t="s">
        <v>22</v>
      </c>
      <c r="D11885" s="128" t="s">
        <v>76</v>
      </c>
      <c r="E11885" s="128" t="s">
        <v>132</v>
      </c>
      <c r="F11885" s="128">
        <v>47327020.390000001</v>
      </c>
      <c r="G11885" s="128">
        <v>30190733.210000001</v>
      </c>
      <c r="H11885" s="128">
        <v>17136200.550000001</v>
      </c>
      <c r="I11885" s="128">
        <v>409617</v>
      </c>
    </row>
    <row r="11886" spans="1:9" ht="13.5">
      <c r="A11886" s="128">
        <v>2022</v>
      </c>
      <c r="B11886" s="128" t="s">
        <v>138</v>
      </c>
      <c r="C11886" s="128" t="s">
        <v>22</v>
      </c>
      <c r="D11886" s="128" t="s">
        <v>76</v>
      </c>
      <c r="E11886" s="128" t="s">
        <v>133</v>
      </c>
      <c r="F11886" s="128">
        <v>77720119.879999995</v>
      </c>
      <c r="G11886" s="128">
        <v>42958890.009999998</v>
      </c>
      <c r="H11886" s="128">
        <v>34761165.030000001</v>
      </c>
      <c r="I11886" s="128">
        <v>622377</v>
      </c>
    </row>
    <row r="11887" spans="1:9" ht="13.5">
      <c r="A11887" s="128">
        <v>2022</v>
      </c>
      <c r="B11887" s="128" t="s">
        <v>138</v>
      </c>
      <c r="C11887" s="128" t="s">
        <v>22</v>
      </c>
      <c r="D11887" s="128" t="s">
        <v>76</v>
      </c>
      <c r="E11887" s="128" t="s">
        <v>134</v>
      </c>
      <c r="F11887" s="128">
        <v>65468798.840000004</v>
      </c>
      <c r="G11887" s="128">
        <v>29956607.149999999</v>
      </c>
      <c r="H11887" s="128">
        <v>35511784.579999998</v>
      </c>
      <c r="I11887" s="128">
        <v>439559</v>
      </c>
    </row>
    <row r="11888" spans="1:9" ht="13.5">
      <c r="A11888" s="128">
        <v>2022</v>
      </c>
      <c r="B11888" s="128" t="s">
        <v>138</v>
      </c>
      <c r="C11888" s="128" t="s">
        <v>22</v>
      </c>
      <c r="D11888" s="128" t="s">
        <v>76</v>
      </c>
      <c r="E11888" s="128" t="s">
        <v>135</v>
      </c>
      <c r="F11888" s="128">
        <v>4242461.8</v>
      </c>
      <c r="G11888" s="128">
        <v>1238474.99</v>
      </c>
      <c r="H11888" s="128">
        <v>3003986.69</v>
      </c>
      <c r="I11888" s="128">
        <v>4969</v>
      </c>
    </row>
    <row r="11889" spans="1:9" ht="13.5">
      <c r="A11889" s="128">
        <v>2022</v>
      </c>
      <c r="B11889" s="128" t="s">
        <v>138</v>
      </c>
      <c r="C11889" s="128" t="s">
        <v>23</v>
      </c>
      <c r="D11889" s="128" t="s">
        <v>79</v>
      </c>
      <c r="E11889" s="128" t="s">
        <v>136</v>
      </c>
      <c r="F11889" s="128">
        <v>1497819.42</v>
      </c>
      <c r="G11889" s="128">
        <v>1112201.51</v>
      </c>
      <c r="H11889" s="128">
        <v>368689.26</v>
      </c>
      <c r="I11889" s="128">
        <v>8619</v>
      </c>
    </row>
    <row r="11890" spans="1:9" ht="13.5">
      <c r="A11890" s="128">
        <v>2022</v>
      </c>
      <c r="B11890" s="128" t="s">
        <v>138</v>
      </c>
      <c r="C11890" s="128" t="s">
        <v>23</v>
      </c>
      <c r="D11890" s="128" t="s">
        <v>79</v>
      </c>
      <c r="E11890" s="128" t="s">
        <v>132</v>
      </c>
      <c r="F11890" s="128">
        <v>358958.86</v>
      </c>
      <c r="G11890" s="128">
        <v>239861.97</v>
      </c>
      <c r="H11890" s="128">
        <v>79892.97</v>
      </c>
      <c r="I11890" s="128">
        <v>536</v>
      </c>
    </row>
    <row r="11891" spans="1:9" ht="13.5">
      <c r="A11891" s="128">
        <v>2022</v>
      </c>
      <c r="B11891" s="128" t="s">
        <v>138</v>
      </c>
      <c r="C11891" s="128" t="s">
        <v>23</v>
      </c>
      <c r="D11891" s="128" t="s">
        <v>79</v>
      </c>
      <c r="E11891" s="128" t="s">
        <v>133</v>
      </c>
      <c r="F11891" s="128">
        <v>163012.46</v>
      </c>
      <c r="G11891" s="128">
        <v>87252.08</v>
      </c>
      <c r="H11891" s="128">
        <v>29860.99</v>
      </c>
      <c r="I11891" s="128">
        <v>326</v>
      </c>
    </row>
    <row r="11892" spans="1:9" ht="13.5">
      <c r="A11892" s="128">
        <v>2022</v>
      </c>
      <c r="B11892" s="128" t="s">
        <v>138</v>
      </c>
      <c r="C11892" s="128" t="s">
        <v>23</v>
      </c>
      <c r="D11892" s="128" t="s">
        <v>79</v>
      </c>
      <c r="E11892" s="128" t="s">
        <v>134</v>
      </c>
      <c r="F11892" s="128">
        <v>399084.65</v>
      </c>
      <c r="G11892" s="128">
        <v>168778.03</v>
      </c>
      <c r="H11892" s="128">
        <v>56251.93</v>
      </c>
      <c r="I11892" s="128">
        <v>974</v>
      </c>
    </row>
    <row r="11893" spans="1:9" ht="13.5">
      <c r="A11893" s="128">
        <v>2022</v>
      </c>
      <c r="B11893" s="128" t="s">
        <v>138</v>
      </c>
      <c r="C11893" s="128" t="s">
        <v>23</v>
      </c>
      <c r="D11893" s="128" t="s">
        <v>79</v>
      </c>
      <c r="E11893" s="128" t="s">
        <v>135</v>
      </c>
      <c r="F11893" s="128">
        <v>4397879.78</v>
      </c>
      <c r="G11893" s="128">
        <v>894879.81</v>
      </c>
      <c r="H11893" s="128">
        <v>302621.64</v>
      </c>
      <c r="I11893" s="128">
        <v>2914</v>
      </c>
    </row>
    <row r="11894" spans="1:9" ht="13.5">
      <c r="A11894" s="128">
        <v>2022</v>
      </c>
      <c r="B11894" s="128" t="s">
        <v>138</v>
      </c>
      <c r="C11894" s="128" t="s">
        <v>23</v>
      </c>
      <c r="D11894" s="128" t="s">
        <v>77</v>
      </c>
      <c r="E11894" s="128" t="s">
        <v>132</v>
      </c>
      <c r="F11894" s="128">
        <v>396168.74</v>
      </c>
      <c r="G11894" s="128">
        <v>254073.7</v>
      </c>
      <c r="H11894" s="128">
        <v>120111.12</v>
      </c>
      <c r="I11894" s="128">
        <v>1876</v>
      </c>
    </row>
    <row r="11895" spans="1:9" ht="13.5">
      <c r="A11895" s="128">
        <v>2022</v>
      </c>
      <c r="B11895" s="128" t="s">
        <v>138</v>
      </c>
      <c r="C11895" s="128" t="s">
        <v>23</v>
      </c>
      <c r="D11895" s="128" t="s">
        <v>77</v>
      </c>
      <c r="E11895" s="128" t="s">
        <v>133</v>
      </c>
      <c r="F11895" s="128">
        <v>2209345.66</v>
      </c>
      <c r="G11895" s="128">
        <v>1172856.1200000001</v>
      </c>
      <c r="H11895" s="128">
        <v>942068.82</v>
      </c>
      <c r="I11895" s="128">
        <v>6826</v>
      </c>
    </row>
    <row r="11896" spans="1:9" ht="13.5">
      <c r="A11896" s="128">
        <v>2022</v>
      </c>
      <c r="B11896" s="128" t="s">
        <v>138</v>
      </c>
      <c r="C11896" s="128" t="s">
        <v>23</v>
      </c>
      <c r="D11896" s="128" t="s">
        <v>77</v>
      </c>
      <c r="E11896" s="128" t="s">
        <v>134</v>
      </c>
      <c r="F11896" s="128">
        <v>10713514.74</v>
      </c>
      <c r="G11896" s="128">
        <v>4559403.88</v>
      </c>
      <c r="H11896" s="128">
        <v>4667107.4400000004</v>
      </c>
      <c r="I11896" s="128">
        <v>16265</v>
      </c>
    </row>
    <row r="11897" spans="1:9" ht="13.5">
      <c r="A11897" s="128">
        <v>2022</v>
      </c>
      <c r="B11897" s="128" t="s">
        <v>138</v>
      </c>
      <c r="C11897" s="128" t="s">
        <v>23</v>
      </c>
      <c r="D11897" s="128" t="s">
        <v>77</v>
      </c>
      <c r="E11897" s="128" t="s">
        <v>135</v>
      </c>
      <c r="F11897" s="128">
        <v>12397129.74</v>
      </c>
      <c r="G11897" s="128">
        <v>3471035.15</v>
      </c>
      <c r="H11897" s="128">
        <v>3936327.63</v>
      </c>
      <c r="I11897" s="128">
        <v>43861</v>
      </c>
    </row>
    <row r="11898" spans="1:9" ht="13.5">
      <c r="A11898" s="128">
        <v>2022</v>
      </c>
      <c r="B11898" s="128" t="s">
        <v>138</v>
      </c>
      <c r="C11898" s="128" t="s">
        <v>23</v>
      </c>
      <c r="D11898" s="128" t="s">
        <v>76</v>
      </c>
      <c r="E11898" s="128" t="s">
        <v>136</v>
      </c>
      <c r="F11898" s="128">
        <v>6304075.8600000003</v>
      </c>
      <c r="G11898" s="128">
        <v>4731192.96</v>
      </c>
      <c r="H11898" s="128">
        <v>1572882.9</v>
      </c>
      <c r="I11898" s="128">
        <v>111774</v>
      </c>
    </row>
    <row r="11899" spans="1:9" ht="13.5">
      <c r="A11899" s="128">
        <v>2022</v>
      </c>
      <c r="B11899" s="128" t="s">
        <v>138</v>
      </c>
      <c r="C11899" s="128" t="s">
        <v>23</v>
      </c>
      <c r="D11899" s="128" t="s">
        <v>76</v>
      </c>
      <c r="E11899" s="128" t="s">
        <v>132</v>
      </c>
      <c r="F11899" s="128">
        <v>15045202.300000001</v>
      </c>
      <c r="G11899" s="128">
        <v>9452423.2400000002</v>
      </c>
      <c r="H11899" s="128">
        <v>5592677.3700000001</v>
      </c>
      <c r="I11899" s="128">
        <v>118192</v>
      </c>
    </row>
    <row r="11900" spans="1:9" ht="13.5">
      <c r="A11900" s="128">
        <v>2022</v>
      </c>
      <c r="B11900" s="128" t="s">
        <v>138</v>
      </c>
      <c r="C11900" s="128" t="s">
        <v>23</v>
      </c>
      <c r="D11900" s="128" t="s">
        <v>76</v>
      </c>
      <c r="E11900" s="128" t="s">
        <v>133</v>
      </c>
      <c r="F11900" s="128">
        <v>30765211.690000001</v>
      </c>
      <c r="G11900" s="128">
        <v>16629216.689999999</v>
      </c>
      <c r="H11900" s="128">
        <v>14135981.810000001</v>
      </c>
      <c r="I11900" s="128">
        <v>188251</v>
      </c>
    </row>
    <row r="11901" spans="1:9" ht="13.5">
      <c r="A11901" s="128">
        <v>2022</v>
      </c>
      <c r="B11901" s="128" t="s">
        <v>138</v>
      </c>
      <c r="C11901" s="128" t="s">
        <v>23</v>
      </c>
      <c r="D11901" s="128" t="s">
        <v>76</v>
      </c>
      <c r="E11901" s="128" t="s">
        <v>134</v>
      </c>
      <c r="F11901" s="128">
        <v>30599778.09</v>
      </c>
      <c r="G11901" s="128">
        <v>14117649.65</v>
      </c>
      <c r="H11901" s="128">
        <v>16482124.83</v>
      </c>
      <c r="I11901" s="128">
        <v>145577</v>
      </c>
    </row>
    <row r="11902" spans="1:9" ht="13.5">
      <c r="A11902" s="128">
        <v>2022</v>
      </c>
      <c r="B11902" s="128" t="s">
        <v>138</v>
      </c>
      <c r="C11902" s="128" t="s">
        <v>23</v>
      </c>
      <c r="D11902" s="128" t="s">
        <v>76</v>
      </c>
      <c r="E11902" s="128" t="s">
        <v>135</v>
      </c>
      <c r="F11902" s="128">
        <v>937040.09</v>
      </c>
      <c r="G11902" s="128">
        <v>265470.58</v>
      </c>
      <c r="H11902" s="128">
        <v>671569.51</v>
      </c>
      <c r="I11902" s="128">
        <v>797</v>
      </c>
    </row>
    <row r="11903" spans="1:9" ht="13.5">
      <c r="A11903" s="128">
        <v>2022</v>
      </c>
      <c r="B11903" s="128" t="s">
        <v>138</v>
      </c>
      <c r="C11903" s="128" t="s">
        <v>24</v>
      </c>
      <c r="D11903" s="128" t="s">
        <v>79</v>
      </c>
      <c r="E11903" s="128" t="s">
        <v>136</v>
      </c>
      <c r="F11903" s="128">
        <v>1407506.55</v>
      </c>
      <c r="G11903" s="128">
        <v>1056312.8500000001</v>
      </c>
      <c r="H11903" s="128">
        <v>348762.66</v>
      </c>
      <c r="I11903" s="128">
        <v>19274</v>
      </c>
    </row>
    <row r="11904" spans="1:9" ht="13.5">
      <c r="A11904" s="128">
        <v>2022</v>
      </c>
      <c r="B11904" s="128" t="s">
        <v>138</v>
      </c>
      <c r="C11904" s="128" t="s">
        <v>24</v>
      </c>
      <c r="D11904" s="128" t="s">
        <v>79</v>
      </c>
      <c r="E11904" s="128" t="s">
        <v>132</v>
      </c>
      <c r="F11904" s="128">
        <v>249694.41</v>
      </c>
      <c r="G11904" s="128">
        <v>166664.32000000001</v>
      </c>
      <c r="H11904" s="128">
        <v>55455.06</v>
      </c>
      <c r="I11904" s="128">
        <v>712</v>
      </c>
    </row>
    <row r="11905" spans="1:9" ht="13.5">
      <c r="A11905" s="128">
        <v>2022</v>
      </c>
      <c r="B11905" s="128" t="s">
        <v>138</v>
      </c>
      <c r="C11905" s="128" t="s">
        <v>24</v>
      </c>
      <c r="D11905" s="128" t="s">
        <v>79</v>
      </c>
      <c r="E11905" s="128" t="s">
        <v>133</v>
      </c>
      <c r="F11905" s="128">
        <v>383698.35</v>
      </c>
      <c r="G11905" s="128">
        <v>211162.09</v>
      </c>
      <c r="H11905" s="128">
        <v>70412.850000000006</v>
      </c>
      <c r="I11905" s="128">
        <v>911</v>
      </c>
    </row>
    <row r="11906" spans="1:9" ht="13.5">
      <c r="A11906" s="128">
        <v>2022</v>
      </c>
      <c r="B11906" s="128" t="s">
        <v>138</v>
      </c>
      <c r="C11906" s="128" t="s">
        <v>24</v>
      </c>
      <c r="D11906" s="128" t="s">
        <v>79</v>
      </c>
      <c r="E11906" s="128" t="s">
        <v>134</v>
      </c>
      <c r="F11906" s="128">
        <v>1652589.74</v>
      </c>
      <c r="G11906" s="128">
        <v>724405.34</v>
      </c>
      <c r="H11906" s="128">
        <v>241432.52</v>
      </c>
      <c r="I11906" s="128">
        <v>14091</v>
      </c>
    </row>
    <row r="11907" spans="1:9" ht="13.5">
      <c r="A11907" s="128">
        <v>2022</v>
      </c>
      <c r="B11907" s="128" t="s">
        <v>138</v>
      </c>
      <c r="C11907" s="128" t="s">
        <v>24</v>
      </c>
      <c r="D11907" s="128" t="s">
        <v>79</v>
      </c>
      <c r="E11907" s="128" t="s">
        <v>135</v>
      </c>
      <c r="F11907" s="128">
        <v>7220589.8799999999</v>
      </c>
      <c r="G11907" s="128">
        <v>1477138.45</v>
      </c>
      <c r="H11907" s="128">
        <v>498121.56</v>
      </c>
      <c r="I11907" s="128">
        <v>7057</v>
      </c>
    </row>
    <row r="11908" spans="1:9" ht="13.5">
      <c r="A11908" s="128">
        <v>2022</v>
      </c>
      <c r="B11908" s="128" t="s">
        <v>138</v>
      </c>
      <c r="C11908" s="128" t="s">
        <v>24</v>
      </c>
      <c r="D11908" s="128" t="s">
        <v>77</v>
      </c>
      <c r="E11908" s="128" t="s">
        <v>132</v>
      </c>
      <c r="F11908" s="128">
        <v>574727.04</v>
      </c>
      <c r="G11908" s="128">
        <v>371338.19</v>
      </c>
      <c r="H11908" s="128">
        <v>177658.68</v>
      </c>
      <c r="I11908" s="128">
        <v>2714</v>
      </c>
    </row>
    <row r="11909" spans="1:9" ht="13.5">
      <c r="A11909" s="128">
        <v>2022</v>
      </c>
      <c r="B11909" s="128" t="s">
        <v>138</v>
      </c>
      <c r="C11909" s="128" t="s">
        <v>24</v>
      </c>
      <c r="D11909" s="128" t="s">
        <v>77</v>
      </c>
      <c r="E11909" s="128" t="s">
        <v>133</v>
      </c>
      <c r="F11909" s="128">
        <v>2659508.98</v>
      </c>
      <c r="G11909" s="128">
        <v>1405762.44</v>
      </c>
      <c r="H11909" s="128">
        <v>1081920.96</v>
      </c>
      <c r="I11909" s="128">
        <v>26195</v>
      </c>
    </row>
    <row r="11910" spans="1:9" ht="13.5">
      <c r="A11910" s="128">
        <v>2022</v>
      </c>
      <c r="B11910" s="128" t="s">
        <v>138</v>
      </c>
      <c r="C11910" s="128" t="s">
        <v>24</v>
      </c>
      <c r="D11910" s="128" t="s">
        <v>77</v>
      </c>
      <c r="E11910" s="128" t="s">
        <v>134</v>
      </c>
      <c r="F11910" s="128">
        <v>7788545.3799999999</v>
      </c>
      <c r="G11910" s="128">
        <v>3420101.65</v>
      </c>
      <c r="H11910" s="128">
        <v>3161915.99</v>
      </c>
      <c r="I11910" s="128">
        <v>12529</v>
      </c>
    </row>
    <row r="11911" spans="1:9" ht="13.5">
      <c r="A11911" s="128">
        <v>2022</v>
      </c>
      <c r="B11911" s="128" t="s">
        <v>138</v>
      </c>
      <c r="C11911" s="128" t="s">
        <v>24</v>
      </c>
      <c r="D11911" s="128" t="s">
        <v>77</v>
      </c>
      <c r="E11911" s="128" t="s">
        <v>135</v>
      </c>
      <c r="F11911" s="128">
        <v>16453087.73</v>
      </c>
      <c r="G11911" s="128">
        <v>4041066.09</v>
      </c>
      <c r="H11911" s="128">
        <v>2991084.06</v>
      </c>
      <c r="I11911" s="128">
        <v>39417</v>
      </c>
    </row>
    <row r="11912" spans="1:9" ht="13.5">
      <c r="A11912" s="128">
        <v>2022</v>
      </c>
      <c r="B11912" s="128" t="s">
        <v>138</v>
      </c>
      <c r="C11912" s="128" t="s">
        <v>24</v>
      </c>
      <c r="D11912" s="128" t="s">
        <v>76</v>
      </c>
      <c r="E11912" s="128" t="s">
        <v>136</v>
      </c>
      <c r="F11912" s="128">
        <v>9395029.6600000001</v>
      </c>
      <c r="G11912" s="128">
        <v>7057474.8200000003</v>
      </c>
      <c r="H11912" s="128">
        <v>2337656.67</v>
      </c>
      <c r="I11912" s="128">
        <v>139621</v>
      </c>
    </row>
    <row r="11913" spans="1:9" ht="13.5">
      <c r="A11913" s="128">
        <v>2022</v>
      </c>
      <c r="B11913" s="128" t="s">
        <v>138</v>
      </c>
      <c r="C11913" s="128" t="s">
        <v>24</v>
      </c>
      <c r="D11913" s="128" t="s">
        <v>76</v>
      </c>
      <c r="E11913" s="128" t="s">
        <v>132</v>
      </c>
      <c r="F11913" s="128">
        <v>10523632.75</v>
      </c>
      <c r="G11913" s="128">
        <v>6841082.8099999996</v>
      </c>
      <c r="H11913" s="128">
        <v>3682456.67</v>
      </c>
      <c r="I11913" s="128">
        <v>70106</v>
      </c>
    </row>
    <row r="11914" spans="1:9" ht="13.5">
      <c r="A11914" s="128">
        <v>2022</v>
      </c>
      <c r="B11914" s="128" t="s">
        <v>138</v>
      </c>
      <c r="C11914" s="128" t="s">
        <v>24</v>
      </c>
      <c r="D11914" s="128" t="s">
        <v>76</v>
      </c>
      <c r="E11914" s="128" t="s">
        <v>133</v>
      </c>
      <c r="F11914" s="128">
        <v>44856923.93</v>
      </c>
      <c r="G11914" s="128">
        <v>24639290.77</v>
      </c>
      <c r="H11914" s="128">
        <v>20217630.489999998</v>
      </c>
      <c r="I11914" s="128">
        <v>305816</v>
      </c>
    </row>
    <row r="11915" spans="1:9" ht="13.5">
      <c r="A11915" s="128">
        <v>2022</v>
      </c>
      <c r="B11915" s="128" t="s">
        <v>138</v>
      </c>
      <c r="C11915" s="128" t="s">
        <v>24</v>
      </c>
      <c r="D11915" s="128" t="s">
        <v>76</v>
      </c>
      <c r="E11915" s="128" t="s">
        <v>134</v>
      </c>
      <c r="F11915" s="128">
        <v>47216490.009999998</v>
      </c>
      <c r="G11915" s="128">
        <v>21015160.609999999</v>
      </c>
      <c r="H11915" s="128">
        <v>26201316.32</v>
      </c>
      <c r="I11915" s="128">
        <v>216024</v>
      </c>
    </row>
    <row r="11916" spans="1:9" ht="13.5">
      <c r="A11916" s="128">
        <v>2022</v>
      </c>
      <c r="B11916" s="128" t="s">
        <v>138</v>
      </c>
      <c r="C11916" s="128" t="s">
        <v>24</v>
      </c>
      <c r="D11916" s="128" t="s">
        <v>76</v>
      </c>
      <c r="E11916" s="128" t="s">
        <v>135</v>
      </c>
      <c r="F11916" s="128">
        <v>2204159.23</v>
      </c>
      <c r="G11916" s="128">
        <v>583376.66</v>
      </c>
      <c r="H11916" s="128">
        <v>1620782.57</v>
      </c>
      <c r="I11916" s="128">
        <v>1584</v>
      </c>
    </row>
    <row r="11917" spans="1:9" ht="13.5">
      <c r="A11917" s="128">
        <v>2022</v>
      </c>
      <c r="B11917" s="128" t="s">
        <v>138</v>
      </c>
      <c r="C11917" s="128" t="s">
        <v>25</v>
      </c>
      <c r="D11917" s="128" t="s">
        <v>79</v>
      </c>
      <c r="E11917" s="128" t="s">
        <v>136</v>
      </c>
      <c r="F11917" s="128">
        <v>340797.14</v>
      </c>
      <c r="G11917" s="128">
        <v>255950.89</v>
      </c>
      <c r="H11917" s="128">
        <v>84007.7</v>
      </c>
      <c r="I11917" s="128">
        <v>3660</v>
      </c>
    </row>
    <row r="11918" spans="1:9" ht="13.5">
      <c r="A11918" s="128">
        <v>2022</v>
      </c>
      <c r="B11918" s="128" t="s">
        <v>138</v>
      </c>
      <c r="C11918" s="128" t="s">
        <v>25</v>
      </c>
      <c r="D11918" s="128" t="s">
        <v>79</v>
      </c>
      <c r="E11918" s="128" t="s">
        <v>132</v>
      </c>
      <c r="F11918" s="128">
        <v>126283.72</v>
      </c>
      <c r="G11918" s="128">
        <v>82185.679999999993</v>
      </c>
      <c r="H11918" s="128">
        <v>27784.59</v>
      </c>
      <c r="I11918" s="128">
        <v>234</v>
      </c>
    </row>
    <row r="11919" spans="1:9" ht="13.5">
      <c r="A11919" s="128">
        <v>2022</v>
      </c>
      <c r="B11919" s="128" t="s">
        <v>138</v>
      </c>
      <c r="C11919" s="128" t="s">
        <v>25</v>
      </c>
      <c r="D11919" s="128" t="s">
        <v>79</v>
      </c>
      <c r="E11919" s="128" t="s">
        <v>133</v>
      </c>
      <c r="F11919" s="128">
        <v>57809.95</v>
      </c>
      <c r="G11919" s="128">
        <v>31297.58</v>
      </c>
      <c r="H11919" s="128">
        <v>10790.72</v>
      </c>
      <c r="I11919" s="128">
        <v>206</v>
      </c>
    </row>
    <row r="11920" spans="1:9" ht="13.5">
      <c r="A11920" s="128">
        <v>2022</v>
      </c>
      <c r="B11920" s="128" t="s">
        <v>138</v>
      </c>
      <c r="C11920" s="128" t="s">
        <v>25</v>
      </c>
      <c r="D11920" s="128" t="s">
        <v>79</v>
      </c>
      <c r="E11920" s="128" t="s">
        <v>134</v>
      </c>
      <c r="F11920" s="128">
        <v>175542.21</v>
      </c>
      <c r="G11920" s="128">
        <v>79130.649999999994</v>
      </c>
      <c r="H11920" s="128">
        <v>26816.58</v>
      </c>
      <c r="I11920" s="128">
        <v>541</v>
      </c>
    </row>
    <row r="11921" spans="1:9" ht="13.5">
      <c r="A11921" s="128">
        <v>2022</v>
      </c>
      <c r="B11921" s="128" t="s">
        <v>138</v>
      </c>
      <c r="C11921" s="128" t="s">
        <v>25</v>
      </c>
      <c r="D11921" s="128" t="s">
        <v>79</v>
      </c>
      <c r="E11921" s="128" t="s">
        <v>135</v>
      </c>
      <c r="F11921" s="128">
        <v>1828353.8</v>
      </c>
      <c r="G11921" s="128">
        <v>394854.69</v>
      </c>
      <c r="H11921" s="128">
        <v>131491.70000000001</v>
      </c>
      <c r="I11921" s="128">
        <v>1309</v>
      </c>
    </row>
    <row r="11922" spans="1:9" ht="13.5">
      <c r="A11922" s="128">
        <v>2022</v>
      </c>
      <c r="B11922" s="128" t="s">
        <v>138</v>
      </c>
      <c r="C11922" s="128" t="s">
        <v>25</v>
      </c>
      <c r="D11922" s="128" t="s">
        <v>77</v>
      </c>
      <c r="E11922" s="128" t="s">
        <v>132</v>
      </c>
      <c r="F11922" s="128">
        <v>176350.16</v>
      </c>
      <c r="G11922" s="128">
        <v>112852.01</v>
      </c>
      <c r="H11922" s="128">
        <v>57191.8</v>
      </c>
      <c r="I11922" s="128">
        <v>1048</v>
      </c>
    </row>
    <row r="11923" spans="1:9" ht="13.5">
      <c r="A11923" s="128">
        <v>2022</v>
      </c>
      <c r="B11923" s="128" t="s">
        <v>138</v>
      </c>
      <c r="C11923" s="128" t="s">
        <v>25</v>
      </c>
      <c r="D11923" s="128" t="s">
        <v>77</v>
      </c>
      <c r="E11923" s="128" t="s">
        <v>133</v>
      </c>
      <c r="F11923" s="128">
        <v>567322.41</v>
      </c>
      <c r="G11923" s="128">
        <v>305899.38</v>
      </c>
      <c r="H11923" s="128">
        <v>230686.16</v>
      </c>
      <c r="I11923" s="128">
        <v>2587</v>
      </c>
    </row>
    <row r="11924" spans="1:9" ht="13.5">
      <c r="A11924" s="128">
        <v>2022</v>
      </c>
      <c r="B11924" s="128" t="s">
        <v>138</v>
      </c>
      <c r="C11924" s="128" t="s">
        <v>25</v>
      </c>
      <c r="D11924" s="128" t="s">
        <v>77</v>
      </c>
      <c r="E11924" s="128" t="s">
        <v>134</v>
      </c>
      <c r="F11924" s="128">
        <v>2670072.7999999998</v>
      </c>
      <c r="G11924" s="128">
        <v>1141762.01</v>
      </c>
      <c r="H11924" s="128">
        <v>1190857.75</v>
      </c>
      <c r="I11924" s="128">
        <v>3454</v>
      </c>
    </row>
    <row r="11925" spans="1:9" ht="13.5">
      <c r="A11925" s="128">
        <v>2022</v>
      </c>
      <c r="B11925" s="128" t="s">
        <v>138</v>
      </c>
      <c r="C11925" s="128" t="s">
        <v>25</v>
      </c>
      <c r="D11925" s="128" t="s">
        <v>77</v>
      </c>
      <c r="E11925" s="128" t="s">
        <v>135</v>
      </c>
      <c r="F11925" s="128">
        <v>3358342.48</v>
      </c>
      <c r="G11925" s="128">
        <v>877878</v>
      </c>
      <c r="H11925" s="128">
        <v>1005661.48</v>
      </c>
      <c r="I11925" s="128">
        <v>7106</v>
      </c>
    </row>
    <row r="11926" spans="1:9" ht="13.5">
      <c r="A11926" s="128">
        <v>2022</v>
      </c>
      <c r="B11926" s="128" t="s">
        <v>138</v>
      </c>
      <c r="C11926" s="128" t="s">
        <v>25</v>
      </c>
      <c r="D11926" s="128" t="s">
        <v>76</v>
      </c>
      <c r="E11926" s="128" t="s">
        <v>136</v>
      </c>
      <c r="F11926" s="128">
        <v>1928605.9</v>
      </c>
      <c r="G11926" s="128">
        <v>1447552.64</v>
      </c>
      <c r="H11926" s="128">
        <v>481063.06</v>
      </c>
      <c r="I11926" s="128">
        <v>33296</v>
      </c>
    </row>
    <row r="11927" spans="1:9" ht="13.5">
      <c r="A11927" s="128">
        <v>2022</v>
      </c>
      <c r="B11927" s="128" t="s">
        <v>138</v>
      </c>
      <c r="C11927" s="128" t="s">
        <v>25</v>
      </c>
      <c r="D11927" s="128" t="s">
        <v>76</v>
      </c>
      <c r="E11927" s="128" t="s">
        <v>132</v>
      </c>
      <c r="F11927" s="128">
        <v>2849375.14</v>
      </c>
      <c r="G11927" s="128">
        <v>1796888.12</v>
      </c>
      <c r="H11927" s="128">
        <v>1052479.6200000001</v>
      </c>
      <c r="I11927" s="128">
        <v>19434</v>
      </c>
    </row>
    <row r="11928" spans="1:9" ht="13.5">
      <c r="A11928" s="128">
        <v>2022</v>
      </c>
      <c r="B11928" s="128" t="s">
        <v>138</v>
      </c>
      <c r="C11928" s="128" t="s">
        <v>25</v>
      </c>
      <c r="D11928" s="128" t="s">
        <v>76</v>
      </c>
      <c r="E11928" s="128" t="s">
        <v>133</v>
      </c>
      <c r="F11928" s="128">
        <v>8988977.5199999996</v>
      </c>
      <c r="G11928" s="128">
        <v>4877234.8099999996</v>
      </c>
      <c r="H11928" s="128">
        <v>4111740.13</v>
      </c>
      <c r="I11928" s="128">
        <v>52941</v>
      </c>
    </row>
    <row r="11929" spans="1:9" ht="13.5">
      <c r="A11929" s="128">
        <v>2022</v>
      </c>
      <c r="B11929" s="128" t="s">
        <v>138</v>
      </c>
      <c r="C11929" s="128" t="s">
        <v>25</v>
      </c>
      <c r="D11929" s="128" t="s">
        <v>76</v>
      </c>
      <c r="E11929" s="128" t="s">
        <v>134</v>
      </c>
      <c r="F11929" s="128">
        <v>10357413.869999999</v>
      </c>
      <c r="G11929" s="128">
        <v>4760959.07</v>
      </c>
      <c r="H11929" s="128">
        <v>5596454.2400000002</v>
      </c>
      <c r="I11929" s="128">
        <v>52148</v>
      </c>
    </row>
    <row r="11930" spans="1:9" ht="13.5">
      <c r="A11930" s="128">
        <v>2022</v>
      </c>
      <c r="B11930" s="128" t="s">
        <v>138</v>
      </c>
      <c r="C11930" s="128" t="s">
        <v>25</v>
      </c>
      <c r="D11930" s="128" t="s">
        <v>76</v>
      </c>
      <c r="E11930" s="128" t="s">
        <v>135</v>
      </c>
      <c r="F11930" s="128">
        <v>311425.87</v>
      </c>
      <c r="G11930" s="128">
        <v>87095.34</v>
      </c>
      <c r="H11930" s="128">
        <v>224330.53</v>
      </c>
      <c r="I11930" s="128">
        <v>215</v>
      </c>
    </row>
    <row r="11931" spans="1:9" ht="13.5">
      <c r="A11931" s="128">
        <v>2022</v>
      </c>
      <c r="B11931" s="128" t="s">
        <v>138</v>
      </c>
      <c r="C11931" s="128" t="s">
        <v>26</v>
      </c>
      <c r="D11931" s="128" t="s">
        <v>79</v>
      </c>
      <c r="E11931" s="128" t="s">
        <v>136</v>
      </c>
      <c r="F11931" s="128">
        <v>435531.96</v>
      </c>
      <c r="G11931" s="128">
        <v>306673.98</v>
      </c>
      <c r="H11931" s="128">
        <v>100211.88</v>
      </c>
      <c r="I11931" s="128">
        <v>3241</v>
      </c>
    </row>
    <row r="11932" spans="1:9" ht="13.5">
      <c r="A11932" s="128">
        <v>2022</v>
      </c>
      <c r="B11932" s="128" t="s">
        <v>138</v>
      </c>
      <c r="C11932" s="128" t="s">
        <v>26</v>
      </c>
      <c r="D11932" s="128" t="s">
        <v>79</v>
      </c>
      <c r="E11932" s="128" t="s">
        <v>132</v>
      </c>
      <c r="F11932" s="128">
        <v>70689.42</v>
      </c>
      <c r="G11932" s="128">
        <v>47860.63</v>
      </c>
      <c r="H11932" s="128">
        <v>16273.03</v>
      </c>
      <c r="I11932" s="128">
        <v>239</v>
      </c>
    </row>
    <row r="11933" spans="1:9" ht="13.5">
      <c r="A11933" s="128">
        <v>2022</v>
      </c>
      <c r="B11933" s="128" t="s">
        <v>138</v>
      </c>
      <c r="C11933" s="128" t="s">
        <v>26</v>
      </c>
      <c r="D11933" s="128" t="s">
        <v>79</v>
      </c>
      <c r="E11933" s="128" t="s">
        <v>133</v>
      </c>
      <c r="F11933" s="128">
        <v>66996.14</v>
      </c>
      <c r="G11933" s="128">
        <v>36047.300000000003</v>
      </c>
      <c r="H11933" s="128">
        <v>11641.7</v>
      </c>
      <c r="I11933" s="128">
        <v>124</v>
      </c>
    </row>
    <row r="11934" spans="1:9" ht="13.5">
      <c r="A11934" s="128">
        <v>2022</v>
      </c>
      <c r="B11934" s="128" t="s">
        <v>138</v>
      </c>
      <c r="C11934" s="128" t="s">
        <v>26</v>
      </c>
      <c r="D11934" s="128" t="s">
        <v>79</v>
      </c>
      <c r="E11934" s="128" t="s">
        <v>134</v>
      </c>
      <c r="F11934" s="128">
        <v>378007.5</v>
      </c>
      <c r="G11934" s="128">
        <v>160338.29999999999</v>
      </c>
      <c r="H11934" s="128">
        <v>53178.69</v>
      </c>
      <c r="I11934" s="128">
        <v>1349</v>
      </c>
    </row>
    <row r="11935" spans="1:9" ht="13.5">
      <c r="A11935" s="128">
        <v>2022</v>
      </c>
      <c r="B11935" s="128" t="s">
        <v>138</v>
      </c>
      <c r="C11935" s="128" t="s">
        <v>26</v>
      </c>
      <c r="D11935" s="128" t="s">
        <v>79</v>
      </c>
      <c r="E11935" s="128" t="s">
        <v>135</v>
      </c>
      <c r="F11935" s="128">
        <v>8147628.71</v>
      </c>
      <c r="G11935" s="128">
        <v>1741495.9</v>
      </c>
      <c r="H11935" s="128">
        <v>582217.13</v>
      </c>
      <c r="I11935" s="128">
        <v>6667</v>
      </c>
    </row>
    <row r="11936" spans="1:9" ht="13.5">
      <c r="A11936" s="128">
        <v>2022</v>
      </c>
      <c r="B11936" s="128" t="s">
        <v>138</v>
      </c>
      <c r="C11936" s="128" t="s">
        <v>26</v>
      </c>
      <c r="D11936" s="128" t="s">
        <v>77</v>
      </c>
      <c r="E11936" s="128" t="s">
        <v>132</v>
      </c>
      <c r="F11936" s="128">
        <v>104736.18</v>
      </c>
      <c r="G11936" s="128">
        <v>69441.649999999994</v>
      </c>
      <c r="H11936" s="128">
        <v>31290.15</v>
      </c>
      <c r="I11936" s="128">
        <v>466</v>
      </c>
    </row>
    <row r="11937" spans="1:9" ht="13.5">
      <c r="A11937" s="128">
        <v>2022</v>
      </c>
      <c r="B11937" s="128" t="s">
        <v>138</v>
      </c>
      <c r="C11937" s="128" t="s">
        <v>26</v>
      </c>
      <c r="D11937" s="128" t="s">
        <v>77</v>
      </c>
      <c r="E11937" s="128" t="s">
        <v>133</v>
      </c>
      <c r="F11937" s="128">
        <v>136723.4</v>
      </c>
      <c r="G11937" s="128">
        <v>73089.8</v>
      </c>
      <c r="H11937" s="128">
        <v>57649.89</v>
      </c>
      <c r="I11937" s="128">
        <v>352</v>
      </c>
    </row>
    <row r="11938" spans="1:9" ht="13.5">
      <c r="A11938" s="128">
        <v>2022</v>
      </c>
      <c r="B11938" s="128" t="s">
        <v>138</v>
      </c>
      <c r="C11938" s="128" t="s">
        <v>26</v>
      </c>
      <c r="D11938" s="128" t="s">
        <v>77</v>
      </c>
      <c r="E11938" s="128" t="s">
        <v>134</v>
      </c>
      <c r="F11938" s="128">
        <v>622211.91</v>
      </c>
      <c r="G11938" s="128">
        <v>267063.33</v>
      </c>
      <c r="H11938" s="128">
        <v>271160.59000000003</v>
      </c>
      <c r="I11938" s="128">
        <v>1311</v>
      </c>
    </row>
    <row r="11939" spans="1:9" ht="13.5">
      <c r="A11939" s="128">
        <v>2022</v>
      </c>
      <c r="B11939" s="128" t="s">
        <v>138</v>
      </c>
      <c r="C11939" s="128" t="s">
        <v>26</v>
      </c>
      <c r="D11939" s="128" t="s">
        <v>77</v>
      </c>
      <c r="E11939" s="128" t="s">
        <v>135</v>
      </c>
      <c r="F11939" s="128">
        <v>4250418.3099999996</v>
      </c>
      <c r="G11939" s="128">
        <v>1125514.01</v>
      </c>
      <c r="H11939" s="128">
        <v>1149213.53</v>
      </c>
      <c r="I11939" s="128">
        <v>14485</v>
      </c>
    </row>
    <row r="11940" spans="1:9" ht="13.5">
      <c r="A11940" s="128">
        <v>2022</v>
      </c>
      <c r="B11940" s="128" t="s">
        <v>138</v>
      </c>
      <c r="C11940" s="128" t="s">
        <v>26</v>
      </c>
      <c r="D11940" s="128" t="s">
        <v>76</v>
      </c>
      <c r="E11940" s="128" t="s">
        <v>136</v>
      </c>
      <c r="F11940" s="128">
        <v>444518.02</v>
      </c>
      <c r="G11940" s="128">
        <v>335168.55</v>
      </c>
      <c r="H11940" s="128">
        <v>109349.47</v>
      </c>
      <c r="I11940" s="128">
        <v>10772</v>
      </c>
    </row>
    <row r="11941" spans="1:9" ht="13.5">
      <c r="A11941" s="128">
        <v>2022</v>
      </c>
      <c r="B11941" s="128" t="s">
        <v>138</v>
      </c>
      <c r="C11941" s="128" t="s">
        <v>26</v>
      </c>
      <c r="D11941" s="128" t="s">
        <v>76</v>
      </c>
      <c r="E11941" s="128" t="s">
        <v>132</v>
      </c>
      <c r="F11941" s="128">
        <v>1760930.78</v>
      </c>
      <c r="G11941" s="128">
        <v>1123466.05</v>
      </c>
      <c r="H11941" s="128">
        <v>637455.28</v>
      </c>
      <c r="I11941" s="128">
        <v>14879</v>
      </c>
    </row>
    <row r="11942" spans="1:9" ht="13.5">
      <c r="A11942" s="128">
        <v>2022</v>
      </c>
      <c r="B11942" s="128" t="s">
        <v>138</v>
      </c>
      <c r="C11942" s="128" t="s">
        <v>26</v>
      </c>
      <c r="D11942" s="128" t="s">
        <v>76</v>
      </c>
      <c r="E11942" s="128" t="s">
        <v>133</v>
      </c>
      <c r="F11942" s="128">
        <v>4294222.0599999996</v>
      </c>
      <c r="G11942" s="128">
        <v>2375214.9500000002</v>
      </c>
      <c r="H11942" s="128">
        <v>1919002.39</v>
      </c>
      <c r="I11942" s="128">
        <v>34534</v>
      </c>
    </row>
    <row r="11943" spans="1:9" ht="13.5">
      <c r="A11943" s="128">
        <v>2022</v>
      </c>
      <c r="B11943" s="128" t="s">
        <v>138</v>
      </c>
      <c r="C11943" s="128" t="s">
        <v>26</v>
      </c>
      <c r="D11943" s="128" t="s">
        <v>76</v>
      </c>
      <c r="E11943" s="128" t="s">
        <v>134</v>
      </c>
      <c r="F11943" s="128">
        <v>3105406.39</v>
      </c>
      <c r="G11943" s="128">
        <v>1425203.42</v>
      </c>
      <c r="H11943" s="128">
        <v>1680169.63</v>
      </c>
      <c r="I11943" s="128">
        <v>16278</v>
      </c>
    </row>
    <row r="11944" spans="1:9" ht="13.5">
      <c r="A11944" s="128">
        <v>2022</v>
      </c>
      <c r="B11944" s="128" t="s">
        <v>138</v>
      </c>
      <c r="C11944" s="128" t="s">
        <v>26</v>
      </c>
      <c r="D11944" s="128" t="s">
        <v>76</v>
      </c>
      <c r="E11944" s="128" t="s">
        <v>135</v>
      </c>
      <c r="F11944" s="128">
        <v>223028.22</v>
      </c>
      <c r="G11944" s="128">
        <v>65693.33</v>
      </c>
      <c r="H11944" s="128">
        <v>157334.89000000001</v>
      </c>
      <c r="I11944" s="128">
        <v>245</v>
      </c>
    </row>
    <row r="11945" spans="1:9" ht="13.5">
      <c r="A11945" s="128">
        <v>2022</v>
      </c>
      <c r="B11945" s="128" t="s">
        <v>138</v>
      </c>
      <c r="C11945" s="128" t="s">
        <v>27</v>
      </c>
      <c r="D11945" s="128" t="s">
        <v>79</v>
      </c>
      <c r="E11945" s="128" t="s">
        <v>136</v>
      </c>
      <c r="F11945" s="128">
        <v>272571.95</v>
      </c>
      <c r="G11945" s="128">
        <v>202867.3</v>
      </c>
      <c r="H11945" s="128">
        <v>67575.649999999994</v>
      </c>
      <c r="I11945" s="128">
        <v>1664</v>
      </c>
    </row>
    <row r="11946" spans="1:9" ht="13.5">
      <c r="A11946" s="128">
        <v>2022</v>
      </c>
      <c r="B11946" s="128" t="s">
        <v>138</v>
      </c>
      <c r="C11946" s="128" t="s">
        <v>27</v>
      </c>
      <c r="D11946" s="128" t="s">
        <v>79</v>
      </c>
      <c r="E11946" s="128" t="s">
        <v>132</v>
      </c>
      <c r="F11946" s="128">
        <v>13645.65</v>
      </c>
      <c r="G11946" s="128">
        <v>9251.65</v>
      </c>
      <c r="H11946" s="128">
        <v>3082.6</v>
      </c>
      <c r="I11946" s="128">
        <v>44</v>
      </c>
    </row>
    <row r="11947" spans="1:9" ht="13.5">
      <c r="A11947" s="128">
        <v>2022</v>
      </c>
      <c r="B11947" s="128" t="s">
        <v>138</v>
      </c>
      <c r="C11947" s="128" t="s">
        <v>27</v>
      </c>
      <c r="D11947" s="128" t="s">
        <v>79</v>
      </c>
      <c r="E11947" s="128" t="s">
        <v>133</v>
      </c>
      <c r="F11947" s="128">
        <v>24731.8</v>
      </c>
      <c r="G11947" s="128">
        <v>13342.95</v>
      </c>
      <c r="H11947" s="128">
        <v>4452.7</v>
      </c>
      <c r="I11947" s="128">
        <v>40</v>
      </c>
    </row>
    <row r="11948" spans="1:9" ht="13.5">
      <c r="A11948" s="128">
        <v>2022</v>
      </c>
      <c r="B11948" s="128" t="s">
        <v>138</v>
      </c>
      <c r="C11948" s="128" t="s">
        <v>27</v>
      </c>
      <c r="D11948" s="128" t="s">
        <v>79</v>
      </c>
      <c r="E11948" s="128" t="s">
        <v>134</v>
      </c>
      <c r="F11948" s="128">
        <v>61952.66</v>
      </c>
      <c r="G11948" s="128">
        <v>26766.86</v>
      </c>
      <c r="H11948" s="128">
        <v>8917.5499999999993</v>
      </c>
      <c r="I11948" s="128">
        <v>187</v>
      </c>
    </row>
    <row r="11949" spans="1:9" ht="13.5">
      <c r="A11949" s="128">
        <v>2022</v>
      </c>
      <c r="B11949" s="128" t="s">
        <v>138</v>
      </c>
      <c r="C11949" s="128" t="s">
        <v>27</v>
      </c>
      <c r="D11949" s="128" t="s">
        <v>79</v>
      </c>
      <c r="E11949" s="128" t="s">
        <v>135</v>
      </c>
      <c r="F11949" s="128">
        <v>1126812.6499999999</v>
      </c>
      <c r="G11949" s="128">
        <v>261405.39</v>
      </c>
      <c r="H11949" s="128">
        <v>87872.99</v>
      </c>
      <c r="I11949" s="128">
        <v>734</v>
      </c>
    </row>
    <row r="11950" spans="1:9" ht="13.5">
      <c r="A11950" s="128">
        <v>2022</v>
      </c>
      <c r="B11950" s="128" t="s">
        <v>138</v>
      </c>
      <c r="C11950" s="128" t="s">
        <v>27</v>
      </c>
      <c r="D11950" s="128" t="s">
        <v>77</v>
      </c>
      <c r="E11950" s="128" t="s">
        <v>132</v>
      </c>
      <c r="F11950" s="128">
        <v>66419.429999999993</v>
      </c>
      <c r="G11950" s="128">
        <v>42175.16</v>
      </c>
      <c r="H11950" s="128">
        <v>21482.35</v>
      </c>
      <c r="I11950" s="128">
        <v>156</v>
      </c>
    </row>
    <row r="11951" spans="1:9" ht="13.5">
      <c r="A11951" s="128">
        <v>2022</v>
      </c>
      <c r="B11951" s="128" t="s">
        <v>138</v>
      </c>
      <c r="C11951" s="128" t="s">
        <v>27</v>
      </c>
      <c r="D11951" s="128" t="s">
        <v>77</v>
      </c>
      <c r="E11951" s="128" t="s">
        <v>133</v>
      </c>
      <c r="F11951" s="128">
        <v>124336.56</v>
      </c>
      <c r="G11951" s="128">
        <v>66035.149999999994</v>
      </c>
      <c r="H11951" s="128">
        <v>52246.48</v>
      </c>
      <c r="I11951" s="128">
        <v>266</v>
      </c>
    </row>
    <row r="11952" spans="1:9" ht="13.5">
      <c r="A11952" s="128">
        <v>2022</v>
      </c>
      <c r="B11952" s="128" t="s">
        <v>138</v>
      </c>
      <c r="C11952" s="128" t="s">
        <v>27</v>
      </c>
      <c r="D11952" s="128" t="s">
        <v>77</v>
      </c>
      <c r="E11952" s="128" t="s">
        <v>134</v>
      </c>
      <c r="F11952" s="128">
        <v>287929.09999999998</v>
      </c>
      <c r="G11952" s="128">
        <v>122850.65</v>
      </c>
      <c r="H11952" s="128">
        <v>119361.21</v>
      </c>
      <c r="I11952" s="128">
        <v>421</v>
      </c>
    </row>
    <row r="11953" spans="1:9" ht="13.5">
      <c r="A11953" s="128">
        <v>2022</v>
      </c>
      <c r="B11953" s="128" t="s">
        <v>138</v>
      </c>
      <c r="C11953" s="128" t="s">
        <v>27</v>
      </c>
      <c r="D11953" s="128" t="s">
        <v>77</v>
      </c>
      <c r="E11953" s="128" t="s">
        <v>135</v>
      </c>
      <c r="F11953" s="128">
        <v>630762.07999999996</v>
      </c>
      <c r="G11953" s="128">
        <v>171901.82</v>
      </c>
      <c r="H11953" s="128">
        <v>192428.11</v>
      </c>
      <c r="I11953" s="128">
        <v>2141</v>
      </c>
    </row>
    <row r="11954" spans="1:9" ht="13.5">
      <c r="A11954" s="128">
        <v>2022</v>
      </c>
      <c r="B11954" s="128" t="s">
        <v>138</v>
      </c>
      <c r="C11954" s="128" t="s">
        <v>27</v>
      </c>
      <c r="D11954" s="128" t="s">
        <v>76</v>
      </c>
      <c r="E11954" s="128" t="s">
        <v>136</v>
      </c>
      <c r="F11954" s="128">
        <v>369145.16</v>
      </c>
      <c r="G11954" s="128">
        <v>276915.46999999997</v>
      </c>
      <c r="H11954" s="128">
        <v>92238.49</v>
      </c>
      <c r="I11954" s="128">
        <v>3963</v>
      </c>
    </row>
    <row r="11955" spans="1:9" ht="13.5">
      <c r="A11955" s="128">
        <v>2022</v>
      </c>
      <c r="B11955" s="128" t="s">
        <v>138</v>
      </c>
      <c r="C11955" s="128" t="s">
        <v>27</v>
      </c>
      <c r="D11955" s="128" t="s">
        <v>76</v>
      </c>
      <c r="E11955" s="128" t="s">
        <v>132</v>
      </c>
      <c r="F11955" s="128">
        <v>508114.5</v>
      </c>
      <c r="G11955" s="128">
        <v>323171.84999999998</v>
      </c>
      <c r="H11955" s="128">
        <v>184941.25</v>
      </c>
      <c r="I11955" s="128">
        <v>3675</v>
      </c>
    </row>
    <row r="11956" spans="1:9" ht="13.5">
      <c r="A11956" s="128">
        <v>2022</v>
      </c>
      <c r="B11956" s="128" t="s">
        <v>138</v>
      </c>
      <c r="C11956" s="128" t="s">
        <v>27</v>
      </c>
      <c r="D11956" s="128" t="s">
        <v>76</v>
      </c>
      <c r="E11956" s="128" t="s">
        <v>133</v>
      </c>
      <c r="F11956" s="128">
        <v>1351075.99</v>
      </c>
      <c r="G11956" s="128">
        <v>731903.51</v>
      </c>
      <c r="H11956" s="128">
        <v>619171.69999999995</v>
      </c>
      <c r="I11956" s="128">
        <v>5924</v>
      </c>
    </row>
    <row r="11957" spans="1:9" ht="13.5">
      <c r="A11957" s="128">
        <v>2022</v>
      </c>
      <c r="B11957" s="128" t="s">
        <v>138</v>
      </c>
      <c r="C11957" s="128" t="s">
        <v>27</v>
      </c>
      <c r="D11957" s="128" t="s">
        <v>76</v>
      </c>
      <c r="E11957" s="128" t="s">
        <v>134</v>
      </c>
      <c r="F11957" s="128">
        <v>1646516.45</v>
      </c>
      <c r="G11957" s="128">
        <v>759283.6</v>
      </c>
      <c r="H11957" s="128">
        <v>887225.33</v>
      </c>
      <c r="I11957" s="128">
        <v>8453</v>
      </c>
    </row>
    <row r="11958" spans="1:9" ht="13.5">
      <c r="A11958" s="128">
        <v>2022</v>
      </c>
      <c r="B11958" s="128" t="s">
        <v>138</v>
      </c>
      <c r="C11958" s="128" t="s">
        <v>27</v>
      </c>
      <c r="D11958" s="128" t="s">
        <v>76</v>
      </c>
      <c r="E11958" s="128" t="s">
        <v>135</v>
      </c>
      <c r="F11958" s="128">
        <v>58488.72</v>
      </c>
      <c r="G11958" s="128">
        <v>18599.849999999999</v>
      </c>
      <c r="H11958" s="128">
        <v>39888.870000000003</v>
      </c>
      <c r="I11958" s="128">
        <v>75</v>
      </c>
    </row>
    <row r="11959" spans="1:9" ht="13.5">
      <c r="A11959" s="128">
        <v>2022</v>
      </c>
      <c r="B11959" s="128" t="s">
        <v>139</v>
      </c>
      <c r="C11959" s="128" t="s">
        <v>20</v>
      </c>
      <c r="D11959" s="128" t="s">
        <v>79</v>
      </c>
      <c r="E11959" s="128" t="s">
        <v>136</v>
      </c>
      <c r="F11959" s="128">
        <v>26137892.969999999</v>
      </c>
      <c r="G11959" s="128">
        <v>19573004.32</v>
      </c>
      <c r="H11959" s="128">
        <v>6538050.1200000001</v>
      </c>
      <c r="I11959" s="128">
        <v>214136</v>
      </c>
    </row>
    <row r="11960" spans="1:9" ht="13.5">
      <c r="A11960" s="128">
        <v>2022</v>
      </c>
      <c r="B11960" s="128" t="s">
        <v>139</v>
      </c>
      <c r="C11960" s="128" t="s">
        <v>20</v>
      </c>
      <c r="D11960" s="128" t="s">
        <v>79</v>
      </c>
      <c r="E11960" s="128" t="s">
        <v>132</v>
      </c>
      <c r="F11960" s="128">
        <v>2511991.94</v>
      </c>
      <c r="G11960" s="128">
        <v>1689604.59</v>
      </c>
      <c r="H11960" s="128">
        <v>581956.86</v>
      </c>
      <c r="I11960" s="128">
        <v>9093</v>
      </c>
    </row>
    <row r="11961" spans="1:9" ht="13.5">
      <c r="A11961" s="128">
        <v>2022</v>
      </c>
      <c r="B11961" s="128" t="s">
        <v>139</v>
      </c>
      <c r="C11961" s="128" t="s">
        <v>20</v>
      </c>
      <c r="D11961" s="128" t="s">
        <v>79</v>
      </c>
      <c r="E11961" s="128" t="s">
        <v>133</v>
      </c>
      <c r="F11961" s="128">
        <v>1498859.47</v>
      </c>
      <c r="G11961" s="128">
        <v>814238.53</v>
      </c>
      <c r="H11961" s="128">
        <v>291306.09000000003</v>
      </c>
      <c r="I11961" s="128">
        <v>3456</v>
      </c>
    </row>
    <row r="11962" spans="1:9" ht="13.5">
      <c r="A11962" s="128">
        <v>2022</v>
      </c>
      <c r="B11962" s="128" t="s">
        <v>139</v>
      </c>
      <c r="C11962" s="128" t="s">
        <v>20</v>
      </c>
      <c r="D11962" s="128" t="s">
        <v>79</v>
      </c>
      <c r="E11962" s="128" t="s">
        <v>134</v>
      </c>
      <c r="F11962" s="128">
        <v>5034953.24</v>
      </c>
      <c r="G11962" s="128">
        <v>2168962.4900000002</v>
      </c>
      <c r="H11962" s="128">
        <v>812834.32</v>
      </c>
      <c r="I11962" s="128">
        <v>14756</v>
      </c>
    </row>
    <row r="11963" spans="1:9" ht="13.5">
      <c r="A11963" s="128">
        <v>2022</v>
      </c>
      <c r="B11963" s="128" t="s">
        <v>139</v>
      </c>
      <c r="C11963" s="128" t="s">
        <v>20</v>
      </c>
      <c r="D11963" s="128" t="s">
        <v>79</v>
      </c>
      <c r="E11963" s="128" t="s">
        <v>135</v>
      </c>
      <c r="F11963" s="128">
        <v>69573672.129999995</v>
      </c>
      <c r="G11963" s="128">
        <v>14842572.16</v>
      </c>
      <c r="H11963" s="128">
        <v>5018564.58</v>
      </c>
      <c r="I11963" s="128">
        <v>63006</v>
      </c>
    </row>
    <row r="11964" spans="1:9" ht="13.5">
      <c r="A11964" s="128">
        <v>2022</v>
      </c>
      <c r="B11964" s="128" t="s">
        <v>139</v>
      </c>
      <c r="C11964" s="128" t="s">
        <v>20</v>
      </c>
      <c r="D11964" s="128" t="s">
        <v>77</v>
      </c>
      <c r="E11964" s="128" t="s">
        <v>132</v>
      </c>
      <c r="F11964" s="128">
        <v>2596574.4900000002</v>
      </c>
      <c r="G11964" s="128">
        <v>1702088.95</v>
      </c>
      <c r="H11964" s="128">
        <v>760276.33</v>
      </c>
      <c r="I11964" s="128">
        <v>11867</v>
      </c>
    </row>
    <row r="11965" spans="1:9" ht="13.5">
      <c r="A11965" s="128">
        <v>2022</v>
      </c>
      <c r="B11965" s="128" t="s">
        <v>139</v>
      </c>
      <c r="C11965" s="128" t="s">
        <v>20</v>
      </c>
      <c r="D11965" s="128" t="s">
        <v>77</v>
      </c>
      <c r="E11965" s="128" t="s">
        <v>133</v>
      </c>
      <c r="F11965" s="128">
        <v>6471400.6500000004</v>
      </c>
      <c r="G11965" s="128">
        <v>3445925.03</v>
      </c>
      <c r="H11965" s="128">
        <v>2693756.47</v>
      </c>
      <c r="I11965" s="128">
        <v>18071</v>
      </c>
    </row>
    <row r="11966" spans="1:9" ht="13.5">
      <c r="A11966" s="128">
        <v>2022</v>
      </c>
      <c r="B11966" s="128" t="s">
        <v>139</v>
      </c>
      <c r="C11966" s="128" t="s">
        <v>20</v>
      </c>
      <c r="D11966" s="128" t="s">
        <v>77</v>
      </c>
      <c r="E11966" s="128" t="s">
        <v>134</v>
      </c>
      <c r="F11966" s="128">
        <v>15613908.51</v>
      </c>
      <c r="G11966" s="128">
        <v>6770232.7199999997</v>
      </c>
      <c r="H11966" s="128">
        <v>6834956.4100000001</v>
      </c>
      <c r="I11966" s="128">
        <v>29162</v>
      </c>
    </row>
    <row r="11967" spans="1:9" ht="13.5">
      <c r="A11967" s="128">
        <v>2022</v>
      </c>
      <c r="B11967" s="128" t="s">
        <v>139</v>
      </c>
      <c r="C11967" s="128" t="s">
        <v>20</v>
      </c>
      <c r="D11967" s="128" t="s">
        <v>77</v>
      </c>
      <c r="E11967" s="128" t="s">
        <v>135</v>
      </c>
      <c r="F11967" s="128">
        <v>38157705.560000002</v>
      </c>
      <c r="G11967" s="128">
        <v>9952433.3399999999</v>
      </c>
      <c r="H11967" s="128">
        <v>11601362.970000001</v>
      </c>
      <c r="I11967" s="128">
        <v>127401</v>
      </c>
    </row>
    <row r="11968" spans="1:9" ht="13.5">
      <c r="A11968" s="128">
        <v>2022</v>
      </c>
      <c r="B11968" s="128" t="s">
        <v>139</v>
      </c>
      <c r="C11968" s="128" t="s">
        <v>20</v>
      </c>
      <c r="D11968" s="128" t="s">
        <v>76</v>
      </c>
      <c r="E11968" s="128" t="s">
        <v>136</v>
      </c>
      <c r="F11968" s="128">
        <v>23567824.41</v>
      </c>
      <c r="G11968" s="128">
        <v>17729420.969999999</v>
      </c>
      <c r="H11968" s="128">
        <v>5838403.4400000004</v>
      </c>
      <c r="I11968" s="128">
        <v>790474</v>
      </c>
    </row>
    <row r="11969" spans="1:9" ht="13.5">
      <c r="A11969" s="128">
        <v>2022</v>
      </c>
      <c r="B11969" s="128" t="s">
        <v>139</v>
      </c>
      <c r="C11969" s="128" t="s">
        <v>20</v>
      </c>
      <c r="D11969" s="128" t="s">
        <v>76</v>
      </c>
      <c r="E11969" s="128" t="s">
        <v>132</v>
      </c>
      <c r="F11969" s="128">
        <v>46746762.020000003</v>
      </c>
      <c r="G11969" s="128">
        <v>29808350.640000001</v>
      </c>
      <c r="H11969" s="128">
        <v>16938294.48</v>
      </c>
      <c r="I11969" s="128">
        <v>379814</v>
      </c>
    </row>
    <row r="11970" spans="1:9" ht="13.5">
      <c r="A11970" s="128">
        <v>2022</v>
      </c>
      <c r="B11970" s="128" t="s">
        <v>139</v>
      </c>
      <c r="C11970" s="128" t="s">
        <v>20</v>
      </c>
      <c r="D11970" s="128" t="s">
        <v>76</v>
      </c>
      <c r="E11970" s="128" t="s">
        <v>133</v>
      </c>
      <c r="F11970" s="128">
        <v>91295255.290000007</v>
      </c>
      <c r="G11970" s="128">
        <v>50067661</v>
      </c>
      <c r="H11970" s="128">
        <v>41227556.219999999</v>
      </c>
      <c r="I11970" s="128">
        <v>518800</v>
      </c>
    </row>
    <row r="11971" spans="1:9" ht="13.5">
      <c r="A11971" s="128">
        <v>2022</v>
      </c>
      <c r="B11971" s="128" t="s">
        <v>139</v>
      </c>
      <c r="C11971" s="128" t="s">
        <v>20</v>
      </c>
      <c r="D11971" s="128" t="s">
        <v>76</v>
      </c>
      <c r="E11971" s="128" t="s">
        <v>134</v>
      </c>
      <c r="F11971" s="128">
        <v>93215884.450000003</v>
      </c>
      <c r="G11971" s="128">
        <v>42698591.18</v>
      </c>
      <c r="H11971" s="128">
        <v>50517226.340000004</v>
      </c>
      <c r="I11971" s="128">
        <v>525940</v>
      </c>
    </row>
    <row r="11972" spans="1:9" ht="13.5">
      <c r="A11972" s="128">
        <v>2022</v>
      </c>
      <c r="B11972" s="128" t="s">
        <v>139</v>
      </c>
      <c r="C11972" s="128" t="s">
        <v>20</v>
      </c>
      <c r="D11972" s="128" t="s">
        <v>76</v>
      </c>
      <c r="E11972" s="128" t="s">
        <v>135</v>
      </c>
      <c r="F11972" s="128">
        <v>5908469.9100000001</v>
      </c>
      <c r="G11972" s="128">
        <v>1729311.24</v>
      </c>
      <c r="H11972" s="128">
        <v>4179158.04</v>
      </c>
      <c r="I11972" s="128">
        <v>5395</v>
      </c>
    </row>
    <row r="11973" spans="1:9" ht="13.5">
      <c r="A11973" s="128">
        <v>2022</v>
      </c>
      <c r="B11973" s="128" t="s">
        <v>139</v>
      </c>
      <c r="C11973" s="128" t="s">
        <v>21</v>
      </c>
      <c r="D11973" s="128" t="s">
        <v>79</v>
      </c>
      <c r="E11973" s="128" t="s">
        <v>136</v>
      </c>
      <c r="F11973" s="128">
        <v>4870295.93</v>
      </c>
      <c r="G11973" s="128">
        <v>3671712.18</v>
      </c>
      <c r="H11973" s="128">
        <v>1193269.72</v>
      </c>
      <c r="I11973" s="128">
        <v>94785</v>
      </c>
    </row>
    <row r="11974" spans="1:9" ht="13.5">
      <c r="A11974" s="128">
        <v>2022</v>
      </c>
      <c r="B11974" s="128" t="s">
        <v>139</v>
      </c>
      <c r="C11974" s="128" t="s">
        <v>21</v>
      </c>
      <c r="D11974" s="128" t="s">
        <v>79</v>
      </c>
      <c r="E11974" s="128" t="s">
        <v>132</v>
      </c>
      <c r="F11974" s="128">
        <v>1071842.1299999999</v>
      </c>
      <c r="G11974" s="128">
        <v>715692.3</v>
      </c>
      <c r="H11974" s="128">
        <v>243096.41</v>
      </c>
      <c r="I11974" s="128">
        <v>2255</v>
      </c>
    </row>
    <row r="11975" spans="1:9" ht="13.5">
      <c r="A11975" s="128">
        <v>2022</v>
      </c>
      <c r="B11975" s="128" t="s">
        <v>139</v>
      </c>
      <c r="C11975" s="128" t="s">
        <v>21</v>
      </c>
      <c r="D11975" s="128" t="s">
        <v>79</v>
      </c>
      <c r="E11975" s="128" t="s">
        <v>133</v>
      </c>
      <c r="F11975" s="128">
        <v>1347777.48</v>
      </c>
      <c r="G11975" s="128">
        <v>725697.48</v>
      </c>
      <c r="H11975" s="128">
        <v>250272.05</v>
      </c>
      <c r="I11975" s="128">
        <v>5650</v>
      </c>
    </row>
    <row r="11976" spans="1:9" ht="13.5">
      <c r="A11976" s="128">
        <v>2022</v>
      </c>
      <c r="B11976" s="128" t="s">
        <v>139</v>
      </c>
      <c r="C11976" s="128" t="s">
        <v>21</v>
      </c>
      <c r="D11976" s="128" t="s">
        <v>79</v>
      </c>
      <c r="E11976" s="128" t="s">
        <v>134</v>
      </c>
      <c r="F11976" s="128">
        <v>2584089.84</v>
      </c>
      <c r="G11976" s="128">
        <v>1139428.28</v>
      </c>
      <c r="H11976" s="128">
        <v>390481.25</v>
      </c>
      <c r="I11976" s="128">
        <v>9678</v>
      </c>
    </row>
    <row r="11977" spans="1:9" ht="13.5">
      <c r="A11977" s="128">
        <v>2022</v>
      </c>
      <c r="B11977" s="128" t="s">
        <v>139</v>
      </c>
      <c r="C11977" s="128" t="s">
        <v>21</v>
      </c>
      <c r="D11977" s="128" t="s">
        <v>79</v>
      </c>
      <c r="E11977" s="128" t="s">
        <v>135</v>
      </c>
      <c r="F11977" s="128">
        <v>18967828.68</v>
      </c>
      <c r="G11977" s="128">
        <v>4252152.91</v>
      </c>
      <c r="H11977" s="128">
        <v>1432278.12</v>
      </c>
      <c r="I11977" s="128">
        <v>16647</v>
      </c>
    </row>
    <row r="11978" spans="1:9" ht="13.5">
      <c r="A11978" s="128">
        <v>2022</v>
      </c>
      <c r="B11978" s="128" t="s">
        <v>139</v>
      </c>
      <c r="C11978" s="128" t="s">
        <v>21</v>
      </c>
      <c r="D11978" s="128" t="s">
        <v>77</v>
      </c>
      <c r="E11978" s="128" t="s">
        <v>132</v>
      </c>
      <c r="F11978" s="128">
        <v>2120768.15</v>
      </c>
      <c r="G11978" s="128">
        <v>1389814.05</v>
      </c>
      <c r="H11978" s="128">
        <v>602491.61</v>
      </c>
      <c r="I11978" s="128">
        <v>11181</v>
      </c>
    </row>
    <row r="11979" spans="1:9" ht="13.5">
      <c r="A11979" s="128">
        <v>2022</v>
      </c>
      <c r="B11979" s="128" t="s">
        <v>139</v>
      </c>
      <c r="C11979" s="128" t="s">
        <v>21</v>
      </c>
      <c r="D11979" s="128" t="s">
        <v>77</v>
      </c>
      <c r="E11979" s="128" t="s">
        <v>133</v>
      </c>
      <c r="F11979" s="128">
        <v>6616765.75</v>
      </c>
      <c r="G11979" s="128">
        <v>3556899.72</v>
      </c>
      <c r="H11979" s="128">
        <v>2627276.42</v>
      </c>
      <c r="I11979" s="128">
        <v>21034</v>
      </c>
    </row>
    <row r="11980" spans="1:9" ht="13.5">
      <c r="A11980" s="128">
        <v>2022</v>
      </c>
      <c r="B11980" s="128" t="s">
        <v>139</v>
      </c>
      <c r="C11980" s="128" t="s">
        <v>21</v>
      </c>
      <c r="D11980" s="128" t="s">
        <v>77</v>
      </c>
      <c r="E11980" s="128" t="s">
        <v>134</v>
      </c>
      <c r="F11980" s="128">
        <v>16533163.01</v>
      </c>
      <c r="G11980" s="128">
        <v>7186222.2999999998</v>
      </c>
      <c r="H11980" s="128">
        <v>6872348.6600000001</v>
      </c>
      <c r="I11980" s="128">
        <v>33409</v>
      </c>
    </row>
    <row r="11981" spans="1:9" ht="13.5">
      <c r="A11981" s="128">
        <v>2022</v>
      </c>
      <c r="B11981" s="128" t="s">
        <v>139</v>
      </c>
      <c r="C11981" s="128" t="s">
        <v>21</v>
      </c>
      <c r="D11981" s="128" t="s">
        <v>77</v>
      </c>
      <c r="E11981" s="128" t="s">
        <v>135</v>
      </c>
      <c r="F11981" s="128">
        <v>31231686.030000001</v>
      </c>
      <c r="G11981" s="128">
        <v>8290695.0499999998</v>
      </c>
      <c r="H11981" s="128">
        <v>9179845.4499999993</v>
      </c>
      <c r="I11981" s="128">
        <v>113623</v>
      </c>
    </row>
    <row r="11982" spans="1:9" ht="13.5">
      <c r="A11982" s="128">
        <v>2022</v>
      </c>
      <c r="B11982" s="128" t="s">
        <v>139</v>
      </c>
      <c r="C11982" s="128" t="s">
        <v>21</v>
      </c>
      <c r="D11982" s="128" t="s">
        <v>76</v>
      </c>
      <c r="E11982" s="128" t="s">
        <v>136</v>
      </c>
      <c r="F11982" s="128">
        <v>15779853.310000001</v>
      </c>
      <c r="G11982" s="128">
        <v>11892024.609999999</v>
      </c>
      <c r="H11982" s="128">
        <v>3887835.6</v>
      </c>
      <c r="I11982" s="128">
        <v>229099</v>
      </c>
    </row>
    <row r="11983" spans="1:9" ht="13.5">
      <c r="A11983" s="128">
        <v>2022</v>
      </c>
      <c r="B11983" s="128" t="s">
        <v>139</v>
      </c>
      <c r="C11983" s="128" t="s">
        <v>21</v>
      </c>
      <c r="D11983" s="128" t="s">
        <v>76</v>
      </c>
      <c r="E11983" s="128" t="s">
        <v>132</v>
      </c>
      <c r="F11983" s="128">
        <v>46782585.579999998</v>
      </c>
      <c r="G11983" s="128">
        <v>29827207.309999999</v>
      </c>
      <c r="H11983" s="128">
        <v>16954995.98</v>
      </c>
      <c r="I11983" s="128">
        <v>389503</v>
      </c>
    </row>
    <row r="11984" spans="1:9" ht="13.5">
      <c r="A11984" s="128">
        <v>2022</v>
      </c>
      <c r="B11984" s="128" t="s">
        <v>139</v>
      </c>
      <c r="C11984" s="128" t="s">
        <v>21</v>
      </c>
      <c r="D11984" s="128" t="s">
        <v>76</v>
      </c>
      <c r="E11984" s="128" t="s">
        <v>133</v>
      </c>
      <c r="F11984" s="128">
        <v>90748770.230000004</v>
      </c>
      <c r="G11984" s="128">
        <v>49958332.770000003</v>
      </c>
      <c r="H11984" s="128">
        <v>40790318.219999999</v>
      </c>
      <c r="I11984" s="128">
        <v>544490</v>
      </c>
    </row>
    <row r="11985" spans="1:9" ht="13.5">
      <c r="A11985" s="128">
        <v>2022</v>
      </c>
      <c r="B11985" s="128" t="s">
        <v>139</v>
      </c>
      <c r="C11985" s="128" t="s">
        <v>21</v>
      </c>
      <c r="D11985" s="128" t="s">
        <v>76</v>
      </c>
      <c r="E11985" s="128" t="s">
        <v>134</v>
      </c>
      <c r="F11985" s="128">
        <v>58885244.170000002</v>
      </c>
      <c r="G11985" s="128">
        <v>27061696.449999999</v>
      </c>
      <c r="H11985" s="128">
        <v>31823489.640000001</v>
      </c>
      <c r="I11985" s="128">
        <v>369603</v>
      </c>
    </row>
    <row r="11986" spans="1:9" ht="13.5">
      <c r="A11986" s="128">
        <v>2022</v>
      </c>
      <c r="B11986" s="128" t="s">
        <v>139</v>
      </c>
      <c r="C11986" s="128" t="s">
        <v>21</v>
      </c>
      <c r="D11986" s="128" t="s">
        <v>76</v>
      </c>
      <c r="E11986" s="128" t="s">
        <v>135</v>
      </c>
      <c r="F11986" s="128">
        <v>2840335.87</v>
      </c>
      <c r="G11986" s="128">
        <v>796359.07</v>
      </c>
      <c r="H11986" s="128">
        <v>2043976.8</v>
      </c>
      <c r="I11986" s="128">
        <v>2274</v>
      </c>
    </row>
    <row r="11987" spans="1:9" ht="13.5">
      <c r="A11987" s="128">
        <v>2022</v>
      </c>
      <c r="B11987" s="128" t="s">
        <v>139</v>
      </c>
      <c r="C11987" s="128" t="s">
        <v>22</v>
      </c>
      <c r="D11987" s="128" t="s">
        <v>79</v>
      </c>
      <c r="E11987" s="128" t="s">
        <v>136</v>
      </c>
      <c r="F11987" s="128">
        <v>4095165.52</v>
      </c>
      <c r="G11987" s="128">
        <v>3049284.59</v>
      </c>
      <c r="H11987" s="128">
        <v>1008443.5</v>
      </c>
      <c r="I11987" s="128">
        <v>53859</v>
      </c>
    </row>
    <row r="11988" spans="1:9" ht="13.5">
      <c r="A11988" s="128">
        <v>2022</v>
      </c>
      <c r="B11988" s="128" t="s">
        <v>139</v>
      </c>
      <c r="C11988" s="128" t="s">
        <v>22</v>
      </c>
      <c r="D11988" s="128" t="s">
        <v>79</v>
      </c>
      <c r="E11988" s="128" t="s">
        <v>132</v>
      </c>
      <c r="F11988" s="128">
        <v>965759.04</v>
      </c>
      <c r="G11988" s="128">
        <v>656898.43000000005</v>
      </c>
      <c r="H11988" s="128">
        <v>219913.08</v>
      </c>
      <c r="I11988" s="128">
        <v>2316</v>
      </c>
    </row>
    <row r="11989" spans="1:9" ht="13.5">
      <c r="A11989" s="128">
        <v>2022</v>
      </c>
      <c r="B11989" s="128" t="s">
        <v>139</v>
      </c>
      <c r="C11989" s="128" t="s">
        <v>22</v>
      </c>
      <c r="D11989" s="128" t="s">
        <v>79</v>
      </c>
      <c r="E11989" s="128" t="s">
        <v>133</v>
      </c>
      <c r="F11989" s="128">
        <v>884209.64</v>
      </c>
      <c r="G11989" s="128">
        <v>480649.54</v>
      </c>
      <c r="H11989" s="128">
        <v>161694.04</v>
      </c>
      <c r="I11989" s="128">
        <v>1800</v>
      </c>
    </row>
    <row r="11990" spans="1:9" ht="13.5">
      <c r="A11990" s="128">
        <v>2022</v>
      </c>
      <c r="B11990" s="128" t="s">
        <v>139</v>
      </c>
      <c r="C11990" s="128" t="s">
        <v>22</v>
      </c>
      <c r="D11990" s="128" t="s">
        <v>79</v>
      </c>
      <c r="E11990" s="128" t="s">
        <v>134</v>
      </c>
      <c r="F11990" s="128">
        <v>3114488.81</v>
      </c>
      <c r="G11990" s="128">
        <v>1342663.37</v>
      </c>
      <c r="H11990" s="128">
        <v>450877.82</v>
      </c>
      <c r="I11990" s="128">
        <v>14485</v>
      </c>
    </row>
    <row r="11991" spans="1:9" ht="13.5">
      <c r="A11991" s="128">
        <v>2022</v>
      </c>
      <c r="B11991" s="128" t="s">
        <v>139</v>
      </c>
      <c r="C11991" s="128" t="s">
        <v>22</v>
      </c>
      <c r="D11991" s="128" t="s">
        <v>79</v>
      </c>
      <c r="E11991" s="128" t="s">
        <v>135</v>
      </c>
      <c r="F11991" s="128">
        <v>34134866.93</v>
      </c>
      <c r="G11991" s="128">
        <v>7483439.6799999997</v>
      </c>
      <c r="H11991" s="128">
        <v>2506568.7799999998</v>
      </c>
      <c r="I11991" s="128">
        <v>31937</v>
      </c>
    </row>
    <row r="11992" spans="1:9" ht="13.5">
      <c r="A11992" s="128">
        <v>2022</v>
      </c>
      <c r="B11992" s="128" t="s">
        <v>139</v>
      </c>
      <c r="C11992" s="128" t="s">
        <v>22</v>
      </c>
      <c r="D11992" s="128" t="s">
        <v>77</v>
      </c>
      <c r="E11992" s="128" t="s">
        <v>132</v>
      </c>
      <c r="F11992" s="128">
        <v>1585588.41</v>
      </c>
      <c r="G11992" s="128">
        <v>1028773.58</v>
      </c>
      <c r="H11992" s="128">
        <v>467743.49</v>
      </c>
      <c r="I11992" s="128">
        <v>7667</v>
      </c>
    </row>
    <row r="11993" spans="1:9" ht="13.5">
      <c r="A11993" s="128">
        <v>2022</v>
      </c>
      <c r="B11993" s="128" t="s">
        <v>139</v>
      </c>
      <c r="C11993" s="128" t="s">
        <v>22</v>
      </c>
      <c r="D11993" s="128" t="s">
        <v>77</v>
      </c>
      <c r="E11993" s="128" t="s">
        <v>133</v>
      </c>
      <c r="F11993" s="128">
        <v>5163772.54</v>
      </c>
      <c r="G11993" s="128">
        <v>2739133</v>
      </c>
      <c r="H11993" s="128">
        <v>2109852.73</v>
      </c>
      <c r="I11993" s="128">
        <v>17696</v>
      </c>
    </row>
    <row r="11994" spans="1:9" ht="13.5">
      <c r="A11994" s="128">
        <v>2022</v>
      </c>
      <c r="B11994" s="128" t="s">
        <v>139</v>
      </c>
      <c r="C11994" s="128" t="s">
        <v>22</v>
      </c>
      <c r="D11994" s="128" t="s">
        <v>77</v>
      </c>
      <c r="E11994" s="128" t="s">
        <v>134</v>
      </c>
      <c r="F11994" s="128">
        <v>18101099.629999999</v>
      </c>
      <c r="G11994" s="128">
        <v>7726732.5999999996</v>
      </c>
      <c r="H11994" s="128">
        <v>7742484.6100000003</v>
      </c>
      <c r="I11994" s="128">
        <v>29408</v>
      </c>
    </row>
    <row r="11995" spans="1:9" ht="13.5">
      <c r="A11995" s="128">
        <v>2022</v>
      </c>
      <c r="B11995" s="128" t="s">
        <v>139</v>
      </c>
      <c r="C11995" s="128" t="s">
        <v>22</v>
      </c>
      <c r="D11995" s="128" t="s">
        <v>77</v>
      </c>
      <c r="E11995" s="128" t="s">
        <v>135</v>
      </c>
      <c r="F11995" s="128">
        <v>39772434.759999998</v>
      </c>
      <c r="G11995" s="128">
        <v>9955403.9600000009</v>
      </c>
      <c r="H11995" s="128">
        <v>11294947.119999999</v>
      </c>
      <c r="I11995" s="128">
        <v>103661</v>
      </c>
    </row>
    <row r="11996" spans="1:9" ht="13.5">
      <c r="A11996" s="128">
        <v>2022</v>
      </c>
      <c r="B11996" s="128" t="s">
        <v>139</v>
      </c>
      <c r="C11996" s="128" t="s">
        <v>22</v>
      </c>
      <c r="D11996" s="128" t="s">
        <v>76</v>
      </c>
      <c r="E11996" s="128" t="s">
        <v>136</v>
      </c>
      <c r="F11996" s="128">
        <v>14549859.85</v>
      </c>
      <c r="G11996" s="128">
        <v>10933459.890000001</v>
      </c>
      <c r="H11996" s="128">
        <v>3616400.01</v>
      </c>
      <c r="I11996" s="128">
        <v>226882</v>
      </c>
    </row>
    <row r="11997" spans="1:9" ht="13.5">
      <c r="A11997" s="128">
        <v>2022</v>
      </c>
      <c r="B11997" s="128" t="s">
        <v>139</v>
      </c>
      <c r="C11997" s="128" t="s">
        <v>22</v>
      </c>
      <c r="D11997" s="128" t="s">
        <v>76</v>
      </c>
      <c r="E11997" s="128" t="s">
        <v>132</v>
      </c>
      <c r="F11997" s="128">
        <v>41915527.100000001</v>
      </c>
      <c r="G11997" s="128">
        <v>26729384.43</v>
      </c>
      <c r="H11997" s="128">
        <v>15185900.619999999</v>
      </c>
      <c r="I11997" s="128">
        <v>353119</v>
      </c>
    </row>
    <row r="11998" spans="1:9" ht="13.5">
      <c r="A11998" s="128">
        <v>2022</v>
      </c>
      <c r="B11998" s="128" t="s">
        <v>139</v>
      </c>
      <c r="C11998" s="128" t="s">
        <v>22</v>
      </c>
      <c r="D11998" s="128" t="s">
        <v>76</v>
      </c>
      <c r="E11998" s="128" t="s">
        <v>133</v>
      </c>
      <c r="F11998" s="128">
        <v>69489520.319999993</v>
      </c>
      <c r="G11998" s="128">
        <v>38387275.890000001</v>
      </c>
      <c r="H11998" s="128">
        <v>31102124.850000001</v>
      </c>
      <c r="I11998" s="128">
        <v>546375</v>
      </c>
    </row>
    <row r="11999" spans="1:9" ht="13.5">
      <c r="A11999" s="128">
        <v>2022</v>
      </c>
      <c r="B11999" s="128" t="s">
        <v>139</v>
      </c>
      <c r="C11999" s="128" t="s">
        <v>22</v>
      </c>
      <c r="D11999" s="128" t="s">
        <v>76</v>
      </c>
      <c r="E11999" s="128" t="s">
        <v>134</v>
      </c>
      <c r="F11999" s="128">
        <v>60620139.130000003</v>
      </c>
      <c r="G11999" s="128">
        <v>27732219.690000001</v>
      </c>
      <c r="H11999" s="128">
        <v>32887279.84</v>
      </c>
      <c r="I11999" s="128">
        <v>399530</v>
      </c>
    </row>
    <row r="12000" spans="1:9" ht="13.5">
      <c r="A12000" s="128">
        <v>2022</v>
      </c>
      <c r="B12000" s="128" t="s">
        <v>139</v>
      </c>
      <c r="C12000" s="128" t="s">
        <v>22</v>
      </c>
      <c r="D12000" s="128" t="s">
        <v>76</v>
      </c>
      <c r="E12000" s="128" t="s">
        <v>135</v>
      </c>
      <c r="F12000" s="128">
        <v>4003850.9</v>
      </c>
      <c r="G12000" s="128">
        <v>1153153.68</v>
      </c>
      <c r="H12000" s="128">
        <v>2850696.68</v>
      </c>
      <c r="I12000" s="128">
        <v>4599</v>
      </c>
    </row>
    <row r="12001" spans="1:9" ht="13.5">
      <c r="A12001" s="128">
        <v>2022</v>
      </c>
      <c r="B12001" s="128" t="s">
        <v>139</v>
      </c>
      <c r="C12001" s="128" t="s">
        <v>23</v>
      </c>
      <c r="D12001" s="128" t="s">
        <v>79</v>
      </c>
      <c r="E12001" s="128" t="s">
        <v>136</v>
      </c>
      <c r="F12001" s="128">
        <v>1452115.88</v>
      </c>
      <c r="G12001" s="128">
        <v>1087469.03</v>
      </c>
      <c r="H12001" s="128">
        <v>361854.9</v>
      </c>
      <c r="I12001" s="128">
        <v>7672</v>
      </c>
    </row>
    <row r="12002" spans="1:9" ht="13.5">
      <c r="A12002" s="128">
        <v>2022</v>
      </c>
      <c r="B12002" s="128" t="s">
        <v>139</v>
      </c>
      <c r="C12002" s="128" t="s">
        <v>23</v>
      </c>
      <c r="D12002" s="128" t="s">
        <v>79</v>
      </c>
      <c r="E12002" s="128" t="s">
        <v>132</v>
      </c>
      <c r="F12002" s="128">
        <v>318687.15000000002</v>
      </c>
      <c r="G12002" s="128">
        <v>213933.14</v>
      </c>
      <c r="H12002" s="128">
        <v>71027.899999999994</v>
      </c>
      <c r="I12002" s="128">
        <v>441</v>
      </c>
    </row>
    <row r="12003" spans="1:9" ht="13.5">
      <c r="A12003" s="128">
        <v>2022</v>
      </c>
      <c r="B12003" s="128" t="s">
        <v>139</v>
      </c>
      <c r="C12003" s="128" t="s">
        <v>23</v>
      </c>
      <c r="D12003" s="128" t="s">
        <v>79</v>
      </c>
      <c r="E12003" s="128" t="s">
        <v>133</v>
      </c>
      <c r="F12003" s="128">
        <v>124008.83</v>
      </c>
      <c r="G12003" s="128">
        <v>67124.47</v>
      </c>
      <c r="H12003" s="128">
        <v>22154.07</v>
      </c>
      <c r="I12003" s="128">
        <v>208</v>
      </c>
    </row>
    <row r="12004" spans="1:9" ht="13.5">
      <c r="A12004" s="128">
        <v>2022</v>
      </c>
      <c r="B12004" s="128" t="s">
        <v>139</v>
      </c>
      <c r="C12004" s="128" t="s">
        <v>23</v>
      </c>
      <c r="D12004" s="128" t="s">
        <v>79</v>
      </c>
      <c r="E12004" s="128" t="s">
        <v>134</v>
      </c>
      <c r="F12004" s="128">
        <v>293414.2</v>
      </c>
      <c r="G12004" s="128">
        <v>124632.24</v>
      </c>
      <c r="H12004" s="128">
        <v>41473.870000000003</v>
      </c>
      <c r="I12004" s="128">
        <v>714</v>
      </c>
    </row>
    <row r="12005" spans="1:9" ht="13.5">
      <c r="A12005" s="128">
        <v>2022</v>
      </c>
      <c r="B12005" s="128" t="s">
        <v>139</v>
      </c>
      <c r="C12005" s="128" t="s">
        <v>23</v>
      </c>
      <c r="D12005" s="128" t="s">
        <v>79</v>
      </c>
      <c r="E12005" s="128" t="s">
        <v>135</v>
      </c>
      <c r="F12005" s="128">
        <v>2731416.26</v>
      </c>
      <c r="G12005" s="128">
        <v>595313.6</v>
      </c>
      <c r="H12005" s="128">
        <v>198397.1</v>
      </c>
      <c r="I12005" s="128">
        <v>2661</v>
      </c>
    </row>
    <row r="12006" spans="1:9" ht="13.5">
      <c r="A12006" s="128">
        <v>2022</v>
      </c>
      <c r="B12006" s="128" t="s">
        <v>139</v>
      </c>
      <c r="C12006" s="128" t="s">
        <v>23</v>
      </c>
      <c r="D12006" s="128" t="s">
        <v>77</v>
      </c>
      <c r="E12006" s="128" t="s">
        <v>132</v>
      </c>
      <c r="F12006" s="128">
        <v>320062.24</v>
      </c>
      <c r="G12006" s="128">
        <v>203665.92000000001</v>
      </c>
      <c r="H12006" s="128">
        <v>99124.47</v>
      </c>
      <c r="I12006" s="128">
        <v>1671</v>
      </c>
    </row>
    <row r="12007" spans="1:9" ht="13.5">
      <c r="A12007" s="128">
        <v>2022</v>
      </c>
      <c r="B12007" s="128" t="s">
        <v>139</v>
      </c>
      <c r="C12007" s="128" t="s">
        <v>23</v>
      </c>
      <c r="D12007" s="128" t="s">
        <v>77</v>
      </c>
      <c r="E12007" s="128" t="s">
        <v>133</v>
      </c>
      <c r="F12007" s="128">
        <v>1667238</v>
      </c>
      <c r="G12007" s="128">
        <v>892070.34</v>
      </c>
      <c r="H12007" s="128">
        <v>696842</v>
      </c>
      <c r="I12007" s="128">
        <v>6349</v>
      </c>
    </row>
    <row r="12008" spans="1:9" ht="13.5">
      <c r="A12008" s="128">
        <v>2022</v>
      </c>
      <c r="B12008" s="128" t="s">
        <v>139</v>
      </c>
      <c r="C12008" s="128" t="s">
        <v>23</v>
      </c>
      <c r="D12008" s="128" t="s">
        <v>77</v>
      </c>
      <c r="E12008" s="128" t="s">
        <v>134</v>
      </c>
      <c r="F12008" s="128">
        <v>8905854.7300000004</v>
      </c>
      <c r="G12008" s="128">
        <v>3799461.89</v>
      </c>
      <c r="H12008" s="128">
        <v>3920137.88</v>
      </c>
      <c r="I12008" s="128">
        <v>14016</v>
      </c>
    </row>
    <row r="12009" spans="1:9" ht="13.5">
      <c r="A12009" s="128">
        <v>2022</v>
      </c>
      <c r="B12009" s="128" t="s">
        <v>139</v>
      </c>
      <c r="C12009" s="128" t="s">
        <v>23</v>
      </c>
      <c r="D12009" s="128" t="s">
        <v>77</v>
      </c>
      <c r="E12009" s="128" t="s">
        <v>135</v>
      </c>
      <c r="F12009" s="128">
        <v>8538152.9700000007</v>
      </c>
      <c r="G12009" s="128">
        <v>2407177.67</v>
      </c>
      <c r="H12009" s="128">
        <v>2738483.08</v>
      </c>
      <c r="I12009" s="128">
        <v>32974</v>
      </c>
    </row>
    <row r="12010" spans="1:9" ht="13.5">
      <c r="A12010" s="128">
        <v>2022</v>
      </c>
      <c r="B12010" s="128" t="s">
        <v>139</v>
      </c>
      <c r="C12010" s="128" t="s">
        <v>23</v>
      </c>
      <c r="D12010" s="128" t="s">
        <v>76</v>
      </c>
      <c r="E12010" s="128" t="s">
        <v>136</v>
      </c>
      <c r="F12010" s="128">
        <v>6167496.4800000004</v>
      </c>
      <c r="G12010" s="128">
        <v>4628608.1500000004</v>
      </c>
      <c r="H12010" s="128">
        <v>1538904.86</v>
      </c>
      <c r="I12010" s="128">
        <v>109986</v>
      </c>
    </row>
    <row r="12011" spans="1:9" ht="13.5">
      <c r="A12011" s="128">
        <v>2022</v>
      </c>
      <c r="B12011" s="128" t="s">
        <v>139</v>
      </c>
      <c r="C12011" s="128" t="s">
        <v>23</v>
      </c>
      <c r="D12011" s="128" t="s">
        <v>76</v>
      </c>
      <c r="E12011" s="128" t="s">
        <v>132</v>
      </c>
      <c r="F12011" s="128">
        <v>13220627.140000001</v>
      </c>
      <c r="G12011" s="128">
        <v>8296983.9500000002</v>
      </c>
      <c r="H12011" s="128">
        <v>4923473.0599999996</v>
      </c>
      <c r="I12011" s="128">
        <v>102828</v>
      </c>
    </row>
    <row r="12012" spans="1:9" ht="13.5">
      <c r="A12012" s="128">
        <v>2022</v>
      </c>
      <c r="B12012" s="128" t="s">
        <v>139</v>
      </c>
      <c r="C12012" s="128" t="s">
        <v>23</v>
      </c>
      <c r="D12012" s="128" t="s">
        <v>76</v>
      </c>
      <c r="E12012" s="128" t="s">
        <v>133</v>
      </c>
      <c r="F12012" s="128">
        <v>26602418.120000001</v>
      </c>
      <c r="G12012" s="128">
        <v>14400494.85</v>
      </c>
      <c r="H12012" s="128">
        <v>12201903.35</v>
      </c>
      <c r="I12012" s="128">
        <v>166765</v>
      </c>
    </row>
    <row r="12013" spans="1:9" ht="13.5">
      <c r="A12013" s="128">
        <v>2022</v>
      </c>
      <c r="B12013" s="128" t="s">
        <v>139</v>
      </c>
      <c r="C12013" s="128" t="s">
        <v>23</v>
      </c>
      <c r="D12013" s="128" t="s">
        <v>76</v>
      </c>
      <c r="E12013" s="128" t="s">
        <v>134</v>
      </c>
      <c r="F12013" s="128">
        <v>22629465.219999999</v>
      </c>
      <c r="G12013" s="128">
        <v>10435346.9</v>
      </c>
      <c r="H12013" s="128">
        <v>12194118.17</v>
      </c>
      <c r="I12013" s="128">
        <v>108787</v>
      </c>
    </row>
    <row r="12014" spans="1:9" ht="13.5">
      <c r="A12014" s="128">
        <v>2022</v>
      </c>
      <c r="B12014" s="128" t="s">
        <v>139</v>
      </c>
      <c r="C12014" s="128" t="s">
        <v>23</v>
      </c>
      <c r="D12014" s="128" t="s">
        <v>76</v>
      </c>
      <c r="E12014" s="128" t="s">
        <v>135</v>
      </c>
      <c r="F12014" s="128">
        <v>905855.72</v>
      </c>
      <c r="G12014" s="128">
        <v>254490.4</v>
      </c>
      <c r="H12014" s="128">
        <v>651365.12</v>
      </c>
      <c r="I12014" s="128">
        <v>722</v>
      </c>
    </row>
    <row r="12015" spans="1:9" ht="13.5">
      <c r="A12015" s="128">
        <v>2022</v>
      </c>
      <c r="B12015" s="128" t="s">
        <v>139</v>
      </c>
      <c r="C12015" s="128" t="s">
        <v>24</v>
      </c>
      <c r="D12015" s="128" t="s">
        <v>79</v>
      </c>
      <c r="E12015" s="128" t="s">
        <v>136</v>
      </c>
      <c r="F12015" s="128">
        <v>1362640.92</v>
      </c>
      <c r="G12015" s="128">
        <v>1023246.29</v>
      </c>
      <c r="H12015" s="128">
        <v>337476.28</v>
      </c>
      <c r="I12015" s="128">
        <v>16122</v>
      </c>
    </row>
    <row r="12016" spans="1:9" ht="13.5">
      <c r="A12016" s="128">
        <v>2022</v>
      </c>
      <c r="B12016" s="128" t="s">
        <v>139</v>
      </c>
      <c r="C12016" s="128" t="s">
        <v>24</v>
      </c>
      <c r="D12016" s="128" t="s">
        <v>79</v>
      </c>
      <c r="E12016" s="128" t="s">
        <v>132</v>
      </c>
      <c r="F12016" s="128">
        <v>345984.87</v>
      </c>
      <c r="G12016" s="128">
        <v>231467.62</v>
      </c>
      <c r="H12016" s="128">
        <v>77106.06</v>
      </c>
      <c r="I12016" s="128">
        <v>769</v>
      </c>
    </row>
    <row r="12017" spans="1:9" ht="13.5">
      <c r="A12017" s="128">
        <v>2022</v>
      </c>
      <c r="B12017" s="128" t="s">
        <v>139</v>
      </c>
      <c r="C12017" s="128" t="s">
        <v>24</v>
      </c>
      <c r="D12017" s="128" t="s">
        <v>79</v>
      </c>
      <c r="E12017" s="128" t="s">
        <v>133</v>
      </c>
      <c r="F12017" s="128">
        <v>336717.83</v>
      </c>
      <c r="G12017" s="128">
        <v>184496.73</v>
      </c>
      <c r="H12017" s="128">
        <v>62054.17</v>
      </c>
      <c r="I12017" s="128">
        <v>793</v>
      </c>
    </row>
    <row r="12018" spans="1:9" ht="13.5">
      <c r="A12018" s="128">
        <v>2022</v>
      </c>
      <c r="B12018" s="128" t="s">
        <v>139</v>
      </c>
      <c r="C12018" s="128" t="s">
        <v>24</v>
      </c>
      <c r="D12018" s="128" t="s">
        <v>79</v>
      </c>
      <c r="E12018" s="128" t="s">
        <v>134</v>
      </c>
      <c r="F12018" s="128">
        <v>1724379.39</v>
      </c>
      <c r="G12018" s="128">
        <v>760282.63</v>
      </c>
      <c r="H12018" s="128">
        <v>253464.73</v>
      </c>
      <c r="I12018" s="128">
        <v>21196</v>
      </c>
    </row>
    <row r="12019" spans="1:9" ht="13.5">
      <c r="A12019" s="128">
        <v>2022</v>
      </c>
      <c r="B12019" s="128" t="s">
        <v>139</v>
      </c>
      <c r="C12019" s="128" t="s">
        <v>24</v>
      </c>
      <c r="D12019" s="128" t="s">
        <v>79</v>
      </c>
      <c r="E12019" s="128" t="s">
        <v>135</v>
      </c>
      <c r="F12019" s="128">
        <v>7370874.6399999997</v>
      </c>
      <c r="G12019" s="128">
        <v>1521721.62</v>
      </c>
      <c r="H12019" s="128">
        <v>512795.38</v>
      </c>
      <c r="I12019" s="128">
        <v>7287</v>
      </c>
    </row>
    <row r="12020" spans="1:9" ht="13.5">
      <c r="A12020" s="128">
        <v>2022</v>
      </c>
      <c r="B12020" s="128" t="s">
        <v>139</v>
      </c>
      <c r="C12020" s="128" t="s">
        <v>24</v>
      </c>
      <c r="D12020" s="128" t="s">
        <v>77</v>
      </c>
      <c r="E12020" s="128" t="s">
        <v>132</v>
      </c>
      <c r="F12020" s="128">
        <v>614061.34</v>
      </c>
      <c r="G12020" s="128">
        <v>402428.94</v>
      </c>
      <c r="H12020" s="128">
        <v>185143.82</v>
      </c>
      <c r="I12020" s="128">
        <v>2669</v>
      </c>
    </row>
    <row r="12021" spans="1:9" ht="13.5">
      <c r="A12021" s="128">
        <v>2022</v>
      </c>
      <c r="B12021" s="128" t="s">
        <v>139</v>
      </c>
      <c r="C12021" s="128" t="s">
        <v>24</v>
      </c>
      <c r="D12021" s="128" t="s">
        <v>77</v>
      </c>
      <c r="E12021" s="128" t="s">
        <v>133</v>
      </c>
      <c r="F12021" s="128">
        <v>2729807.16</v>
      </c>
      <c r="G12021" s="128">
        <v>1444420.19</v>
      </c>
      <c r="H12021" s="128">
        <v>1098668.6499999999</v>
      </c>
      <c r="I12021" s="128">
        <v>18632</v>
      </c>
    </row>
    <row r="12022" spans="1:9" ht="13.5">
      <c r="A12022" s="128">
        <v>2022</v>
      </c>
      <c r="B12022" s="128" t="s">
        <v>139</v>
      </c>
      <c r="C12022" s="128" t="s">
        <v>24</v>
      </c>
      <c r="D12022" s="128" t="s">
        <v>77</v>
      </c>
      <c r="E12022" s="128" t="s">
        <v>134</v>
      </c>
      <c r="F12022" s="128">
        <v>8798769.9600000009</v>
      </c>
      <c r="G12022" s="128">
        <v>3855663.61</v>
      </c>
      <c r="H12022" s="128">
        <v>3584727.44</v>
      </c>
      <c r="I12022" s="128">
        <v>14150</v>
      </c>
    </row>
    <row r="12023" spans="1:9" ht="13.5">
      <c r="A12023" s="128">
        <v>2022</v>
      </c>
      <c r="B12023" s="128" t="s">
        <v>139</v>
      </c>
      <c r="C12023" s="128" t="s">
        <v>24</v>
      </c>
      <c r="D12023" s="128" t="s">
        <v>77</v>
      </c>
      <c r="E12023" s="128" t="s">
        <v>135</v>
      </c>
      <c r="F12023" s="128">
        <v>17459929.280000001</v>
      </c>
      <c r="G12023" s="128">
        <v>4335690.67</v>
      </c>
      <c r="H12023" s="128">
        <v>3227910.15</v>
      </c>
      <c r="I12023" s="128">
        <v>43188</v>
      </c>
    </row>
    <row r="12024" spans="1:9" ht="13.5">
      <c r="A12024" s="128">
        <v>2022</v>
      </c>
      <c r="B12024" s="128" t="s">
        <v>139</v>
      </c>
      <c r="C12024" s="128" t="s">
        <v>24</v>
      </c>
      <c r="D12024" s="128" t="s">
        <v>76</v>
      </c>
      <c r="E12024" s="128" t="s">
        <v>136</v>
      </c>
      <c r="F12024" s="128">
        <v>9403765.3399999999</v>
      </c>
      <c r="G12024" s="128">
        <v>7064750.2599999998</v>
      </c>
      <c r="H12024" s="128">
        <v>2339015.08</v>
      </c>
      <c r="I12024" s="128">
        <v>134103</v>
      </c>
    </row>
    <row r="12025" spans="1:9" ht="13.5">
      <c r="A12025" s="128">
        <v>2022</v>
      </c>
      <c r="B12025" s="128" t="s">
        <v>139</v>
      </c>
      <c r="C12025" s="128" t="s">
        <v>24</v>
      </c>
      <c r="D12025" s="128" t="s">
        <v>76</v>
      </c>
      <c r="E12025" s="128" t="s">
        <v>132</v>
      </c>
      <c r="F12025" s="128">
        <v>12196123.15</v>
      </c>
      <c r="G12025" s="128">
        <v>7899147.9000000004</v>
      </c>
      <c r="H12025" s="128">
        <v>4296932.53</v>
      </c>
      <c r="I12025" s="128">
        <v>81385</v>
      </c>
    </row>
    <row r="12026" spans="1:9" ht="13.5">
      <c r="A12026" s="128">
        <v>2022</v>
      </c>
      <c r="B12026" s="128" t="s">
        <v>139</v>
      </c>
      <c r="C12026" s="128" t="s">
        <v>24</v>
      </c>
      <c r="D12026" s="128" t="s">
        <v>76</v>
      </c>
      <c r="E12026" s="128" t="s">
        <v>133</v>
      </c>
      <c r="F12026" s="128">
        <v>45568216.490000002</v>
      </c>
      <c r="G12026" s="128">
        <v>24947564.079999998</v>
      </c>
      <c r="H12026" s="128">
        <v>20620647.859999999</v>
      </c>
      <c r="I12026" s="128">
        <v>287050</v>
      </c>
    </row>
    <row r="12027" spans="1:9" ht="13.5">
      <c r="A12027" s="128">
        <v>2022</v>
      </c>
      <c r="B12027" s="128" t="s">
        <v>139</v>
      </c>
      <c r="C12027" s="128" t="s">
        <v>24</v>
      </c>
      <c r="D12027" s="128" t="s">
        <v>76</v>
      </c>
      <c r="E12027" s="128" t="s">
        <v>134</v>
      </c>
      <c r="F12027" s="128">
        <v>53702762.439999998</v>
      </c>
      <c r="G12027" s="128">
        <v>23861051.890000001</v>
      </c>
      <c r="H12027" s="128">
        <v>29841694.82</v>
      </c>
      <c r="I12027" s="128">
        <v>241945</v>
      </c>
    </row>
    <row r="12028" spans="1:9" ht="13.5">
      <c r="A12028" s="128">
        <v>2022</v>
      </c>
      <c r="B12028" s="128" t="s">
        <v>139</v>
      </c>
      <c r="C12028" s="128" t="s">
        <v>24</v>
      </c>
      <c r="D12028" s="128" t="s">
        <v>76</v>
      </c>
      <c r="E12028" s="128" t="s">
        <v>135</v>
      </c>
      <c r="F12028" s="128">
        <v>2326323.7999999998</v>
      </c>
      <c r="G12028" s="128">
        <v>611770.73</v>
      </c>
      <c r="H12028" s="128">
        <v>1714553.07</v>
      </c>
      <c r="I12028" s="128">
        <v>1593</v>
      </c>
    </row>
    <row r="12029" spans="1:9" ht="13.5">
      <c r="A12029" s="128">
        <v>2022</v>
      </c>
      <c r="B12029" s="128" t="s">
        <v>139</v>
      </c>
      <c r="C12029" s="128" t="s">
        <v>25</v>
      </c>
      <c r="D12029" s="128" t="s">
        <v>79</v>
      </c>
      <c r="E12029" s="128" t="s">
        <v>136</v>
      </c>
      <c r="F12029" s="128">
        <v>289760.02</v>
      </c>
      <c r="G12029" s="128">
        <v>217800.16</v>
      </c>
      <c r="H12029" s="128">
        <v>71526.210000000006</v>
      </c>
      <c r="I12029" s="128">
        <v>2907</v>
      </c>
    </row>
    <row r="12030" spans="1:9" ht="13.5">
      <c r="A12030" s="128">
        <v>2022</v>
      </c>
      <c r="B12030" s="128" t="s">
        <v>139</v>
      </c>
      <c r="C12030" s="128" t="s">
        <v>25</v>
      </c>
      <c r="D12030" s="128" t="s">
        <v>79</v>
      </c>
      <c r="E12030" s="128" t="s">
        <v>132</v>
      </c>
      <c r="F12030" s="128">
        <v>92487.679999999993</v>
      </c>
      <c r="G12030" s="128">
        <v>60220.15</v>
      </c>
      <c r="H12030" s="128">
        <v>19991.23</v>
      </c>
      <c r="I12030" s="128">
        <v>179</v>
      </c>
    </row>
    <row r="12031" spans="1:9" ht="13.5">
      <c r="A12031" s="128">
        <v>2022</v>
      </c>
      <c r="B12031" s="128" t="s">
        <v>139</v>
      </c>
      <c r="C12031" s="128" t="s">
        <v>25</v>
      </c>
      <c r="D12031" s="128" t="s">
        <v>79</v>
      </c>
      <c r="E12031" s="128" t="s">
        <v>133</v>
      </c>
      <c r="F12031" s="128">
        <v>27471.45</v>
      </c>
      <c r="G12031" s="128">
        <v>15122.69</v>
      </c>
      <c r="H12031" s="128">
        <v>5034</v>
      </c>
      <c r="I12031" s="128">
        <v>123</v>
      </c>
    </row>
    <row r="12032" spans="1:9" ht="13.5">
      <c r="A12032" s="128">
        <v>2022</v>
      </c>
      <c r="B12032" s="128" t="s">
        <v>139</v>
      </c>
      <c r="C12032" s="128" t="s">
        <v>25</v>
      </c>
      <c r="D12032" s="128" t="s">
        <v>79</v>
      </c>
      <c r="E12032" s="128" t="s">
        <v>134</v>
      </c>
      <c r="F12032" s="128">
        <v>160040.9</v>
      </c>
      <c r="G12032" s="128">
        <v>69701.61</v>
      </c>
      <c r="H12032" s="128">
        <v>23546.240000000002</v>
      </c>
      <c r="I12032" s="128">
        <v>396</v>
      </c>
    </row>
    <row r="12033" spans="1:9" ht="13.5">
      <c r="A12033" s="128">
        <v>2022</v>
      </c>
      <c r="B12033" s="128" t="s">
        <v>139</v>
      </c>
      <c r="C12033" s="128" t="s">
        <v>25</v>
      </c>
      <c r="D12033" s="128" t="s">
        <v>79</v>
      </c>
      <c r="E12033" s="128" t="s">
        <v>135</v>
      </c>
      <c r="F12033" s="128">
        <v>1635864.83</v>
      </c>
      <c r="G12033" s="128">
        <v>359200.84</v>
      </c>
      <c r="H12033" s="128">
        <v>121169.12</v>
      </c>
      <c r="I12033" s="128">
        <v>1094</v>
      </c>
    </row>
    <row r="12034" spans="1:9" ht="13.5">
      <c r="A12034" s="128">
        <v>2022</v>
      </c>
      <c r="B12034" s="128" t="s">
        <v>139</v>
      </c>
      <c r="C12034" s="128" t="s">
        <v>25</v>
      </c>
      <c r="D12034" s="128" t="s">
        <v>77</v>
      </c>
      <c r="E12034" s="128" t="s">
        <v>132</v>
      </c>
      <c r="F12034" s="128">
        <v>160939.34</v>
      </c>
      <c r="G12034" s="128">
        <v>103372.89</v>
      </c>
      <c r="H12034" s="128">
        <v>52105.97</v>
      </c>
      <c r="I12034" s="128">
        <v>1018</v>
      </c>
    </row>
    <row r="12035" spans="1:9" ht="13.5">
      <c r="A12035" s="128">
        <v>2022</v>
      </c>
      <c r="B12035" s="128" t="s">
        <v>139</v>
      </c>
      <c r="C12035" s="128" t="s">
        <v>25</v>
      </c>
      <c r="D12035" s="128" t="s">
        <v>77</v>
      </c>
      <c r="E12035" s="128" t="s">
        <v>133</v>
      </c>
      <c r="F12035" s="128">
        <v>629871.61</v>
      </c>
      <c r="G12035" s="128">
        <v>337425.55</v>
      </c>
      <c r="H12035" s="128">
        <v>262200.84000000003</v>
      </c>
      <c r="I12035" s="128">
        <v>2583</v>
      </c>
    </row>
    <row r="12036" spans="1:9" ht="13.5">
      <c r="A12036" s="128">
        <v>2022</v>
      </c>
      <c r="B12036" s="128" t="s">
        <v>139</v>
      </c>
      <c r="C12036" s="128" t="s">
        <v>25</v>
      </c>
      <c r="D12036" s="128" t="s">
        <v>77</v>
      </c>
      <c r="E12036" s="128" t="s">
        <v>134</v>
      </c>
      <c r="F12036" s="128">
        <v>2514034.0099999998</v>
      </c>
      <c r="G12036" s="128">
        <v>1079344.73</v>
      </c>
      <c r="H12036" s="128">
        <v>1153323.31</v>
      </c>
      <c r="I12036" s="128">
        <v>3696</v>
      </c>
    </row>
    <row r="12037" spans="1:9" ht="13.5">
      <c r="A12037" s="128">
        <v>2022</v>
      </c>
      <c r="B12037" s="128" t="s">
        <v>139</v>
      </c>
      <c r="C12037" s="128" t="s">
        <v>25</v>
      </c>
      <c r="D12037" s="128" t="s">
        <v>77</v>
      </c>
      <c r="E12037" s="128" t="s">
        <v>135</v>
      </c>
      <c r="F12037" s="128">
        <v>2598101.59</v>
      </c>
      <c r="G12037" s="128">
        <v>679810.88</v>
      </c>
      <c r="H12037" s="128">
        <v>815476.63</v>
      </c>
      <c r="I12037" s="128">
        <v>5567</v>
      </c>
    </row>
    <row r="12038" spans="1:9" ht="13.5">
      <c r="A12038" s="128">
        <v>2022</v>
      </c>
      <c r="B12038" s="128" t="s">
        <v>139</v>
      </c>
      <c r="C12038" s="128" t="s">
        <v>25</v>
      </c>
      <c r="D12038" s="128" t="s">
        <v>76</v>
      </c>
      <c r="E12038" s="128" t="s">
        <v>136</v>
      </c>
      <c r="F12038" s="128">
        <v>1421162.85</v>
      </c>
      <c r="G12038" s="128">
        <v>1068346.33</v>
      </c>
      <c r="H12038" s="128">
        <v>352816.52</v>
      </c>
      <c r="I12038" s="128">
        <v>20471</v>
      </c>
    </row>
    <row r="12039" spans="1:9" ht="13.5">
      <c r="A12039" s="128">
        <v>2022</v>
      </c>
      <c r="B12039" s="128" t="s">
        <v>139</v>
      </c>
      <c r="C12039" s="128" t="s">
        <v>25</v>
      </c>
      <c r="D12039" s="128" t="s">
        <v>76</v>
      </c>
      <c r="E12039" s="128" t="s">
        <v>132</v>
      </c>
      <c r="F12039" s="128">
        <v>2185551</v>
      </c>
      <c r="G12039" s="128">
        <v>1377027.76</v>
      </c>
      <c r="H12039" s="128">
        <v>808520.34</v>
      </c>
      <c r="I12039" s="128">
        <v>14494</v>
      </c>
    </row>
    <row r="12040" spans="1:9" ht="13.5">
      <c r="A12040" s="128">
        <v>2022</v>
      </c>
      <c r="B12040" s="128" t="s">
        <v>139</v>
      </c>
      <c r="C12040" s="128" t="s">
        <v>25</v>
      </c>
      <c r="D12040" s="128" t="s">
        <v>76</v>
      </c>
      <c r="E12040" s="128" t="s">
        <v>133</v>
      </c>
      <c r="F12040" s="128">
        <v>8004621.2199999997</v>
      </c>
      <c r="G12040" s="128">
        <v>4333195.97</v>
      </c>
      <c r="H12040" s="128">
        <v>3671424.34</v>
      </c>
      <c r="I12040" s="128">
        <v>45409</v>
      </c>
    </row>
    <row r="12041" spans="1:9" ht="13.5">
      <c r="A12041" s="128">
        <v>2022</v>
      </c>
      <c r="B12041" s="128" t="s">
        <v>139</v>
      </c>
      <c r="C12041" s="128" t="s">
        <v>25</v>
      </c>
      <c r="D12041" s="128" t="s">
        <v>76</v>
      </c>
      <c r="E12041" s="128" t="s">
        <v>134</v>
      </c>
      <c r="F12041" s="128">
        <v>8599183.5800000001</v>
      </c>
      <c r="G12041" s="128">
        <v>3959571.42</v>
      </c>
      <c r="H12041" s="128">
        <v>4639612.3099999996</v>
      </c>
      <c r="I12041" s="128">
        <v>43560</v>
      </c>
    </row>
    <row r="12042" spans="1:9" ht="13.5">
      <c r="A12042" s="128">
        <v>2022</v>
      </c>
      <c r="B12042" s="128" t="s">
        <v>139</v>
      </c>
      <c r="C12042" s="128" t="s">
        <v>25</v>
      </c>
      <c r="D12042" s="128" t="s">
        <v>76</v>
      </c>
      <c r="E12042" s="128" t="s">
        <v>135</v>
      </c>
      <c r="F12042" s="128">
        <v>350581.42</v>
      </c>
      <c r="G12042" s="128">
        <v>98587.78</v>
      </c>
      <c r="H12042" s="128">
        <v>251993.64</v>
      </c>
      <c r="I12042" s="128">
        <v>270</v>
      </c>
    </row>
    <row r="12043" spans="1:9" ht="13.5">
      <c r="A12043" s="128">
        <v>2022</v>
      </c>
      <c r="B12043" s="128" t="s">
        <v>139</v>
      </c>
      <c r="C12043" s="128" t="s">
        <v>26</v>
      </c>
      <c r="D12043" s="128" t="s">
        <v>79</v>
      </c>
      <c r="E12043" s="128" t="s">
        <v>136</v>
      </c>
      <c r="F12043" s="128">
        <v>304926.15999999997</v>
      </c>
      <c r="G12043" s="128">
        <v>217808.87</v>
      </c>
      <c r="H12043" s="128">
        <v>71791.37</v>
      </c>
      <c r="I12043" s="128">
        <v>2277</v>
      </c>
    </row>
    <row r="12044" spans="1:9" ht="13.5">
      <c r="A12044" s="128">
        <v>2022</v>
      </c>
      <c r="B12044" s="128" t="s">
        <v>139</v>
      </c>
      <c r="C12044" s="128" t="s">
        <v>26</v>
      </c>
      <c r="D12044" s="128" t="s">
        <v>79</v>
      </c>
      <c r="E12044" s="128" t="s">
        <v>132</v>
      </c>
      <c r="F12044" s="128">
        <v>46874.23</v>
      </c>
      <c r="G12044" s="128">
        <v>30620.42</v>
      </c>
      <c r="H12044" s="128">
        <v>11744.33</v>
      </c>
      <c r="I12044" s="128">
        <v>154</v>
      </c>
    </row>
    <row r="12045" spans="1:9" ht="13.5">
      <c r="A12045" s="128">
        <v>2022</v>
      </c>
      <c r="B12045" s="128" t="s">
        <v>139</v>
      </c>
      <c r="C12045" s="128" t="s">
        <v>26</v>
      </c>
      <c r="D12045" s="128" t="s">
        <v>79</v>
      </c>
      <c r="E12045" s="128" t="s">
        <v>133</v>
      </c>
      <c r="F12045" s="128">
        <v>50812.27</v>
      </c>
      <c r="G12045" s="128">
        <v>27376.29</v>
      </c>
      <c r="H12045" s="128">
        <v>9127.82</v>
      </c>
      <c r="I12045" s="128">
        <v>142</v>
      </c>
    </row>
    <row r="12046" spans="1:9" ht="13.5">
      <c r="A12046" s="128">
        <v>2022</v>
      </c>
      <c r="B12046" s="128" t="s">
        <v>139</v>
      </c>
      <c r="C12046" s="128" t="s">
        <v>26</v>
      </c>
      <c r="D12046" s="128" t="s">
        <v>79</v>
      </c>
      <c r="E12046" s="128" t="s">
        <v>134</v>
      </c>
      <c r="F12046" s="128">
        <v>346873.07</v>
      </c>
      <c r="G12046" s="128">
        <v>147060.18</v>
      </c>
      <c r="H12046" s="128">
        <v>49632.91</v>
      </c>
      <c r="I12046" s="128">
        <v>1308</v>
      </c>
    </row>
    <row r="12047" spans="1:9" ht="13.5">
      <c r="A12047" s="128">
        <v>2022</v>
      </c>
      <c r="B12047" s="128" t="s">
        <v>139</v>
      </c>
      <c r="C12047" s="128" t="s">
        <v>26</v>
      </c>
      <c r="D12047" s="128" t="s">
        <v>79</v>
      </c>
      <c r="E12047" s="128" t="s">
        <v>135</v>
      </c>
      <c r="F12047" s="128">
        <v>6041841.4900000002</v>
      </c>
      <c r="G12047" s="128">
        <v>1313594.24</v>
      </c>
      <c r="H12047" s="128">
        <v>445664.12</v>
      </c>
      <c r="I12047" s="128">
        <v>5113</v>
      </c>
    </row>
    <row r="12048" spans="1:9" ht="13.5">
      <c r="A12048" s="128">
        <v>2022</v>
      </c>
      <c r="B12048" s="128" t="s">
        <v>139</v>
      </c>
      <c r="C12048" s="128" t="s">
        <v>26</v>
      </c>
      <c r="D12048" s="128" t="s">
        <v>77</v>
      </c>
      <c r="E12048" s="128" t="s">
        <v>132</v>
      </c>
      <c r="F12048" s="128">
        <v>65445.62</v>
      </c>
      <c r="G12048" s="128">
        <v>44186.86</v>
      </c>
      <c r="H12048" s="128">
        <v>18543.21</v>
      </c>
      <c r="I12048" s="128">
        <v>249</v>
      </c>
    </row>
    <row r="12049" spans="1:9" ht="13.5">
      <c r="A12049" s="128">
        <v>2022</v>
      </c>
      <c r="B12049" s="128" t="s">
        <v>139</v>
      </c>
      <c r="C12049" s="128" t="s">
        <v>26</v>
      </c>
      <c r="D12049" s="128" t="s">
        <v>77</v>
      </c>
      <c r="E12049" s="128" t="s">
        <v>133</v>
      </c>
      <c r="F12049" s="128">
        <v>151246.17000000001</v>
      </c>
      <c r="G12049" s="128">
        <v>80094.12</v>
      </c>
      <c r="H12049" s="128">
        <v>63199.18</v>
      </c>
      <c r="I12049" s="128">
        <v>356</v>
      </c>
    </row>
    <row r="12050" spans="1:9" ht="13.5">
      <c r="A12050" s="128">
        <v>2022</v>
      </c>
      <c r="B12050" s="128" t="s">
        <v>139</v>
      </c>
      <c r="C12050" s="128" t="s">
        <v>26</v>
      </c>
      <c r="D12050" s="128" t="s">
        <v>77</v>
      </c>
      <c r="E12050" s="128" t="s">
        <v>134</v>
      </c>
      <c r="F12050" s="128">
        <v>380060.98</v>
      </c>
      <c r="G12050" s="128">
        <v>163529.1</v>
      </c>
      <c r="H12050" s="128">
        <v>168283.95</v>
      </c>
      <c r="I12050" s="128">
        <v>891</v>
      </c>
    </row>
    <row r="12051" spans="1:9" ht="13.5">
      <c r="A12051" s="128">
        <v>2022</v>
      </c>
      <c r="B12051" s="128" t="s">
        <v>139</v>
      </c>
      <c r="C12051" s="128" t="s">
        <v>26</v>
      </c>
      <c r="D12051" s="128" t="s">
        <v>77</v>
      </c>
      <c r="E12051" s="128" t="s">
        <v>135</v>
      </c>
      <c r="F12051" s="128">
        <v>3012030.75</v>
      </c>
      <c r="G12051" s="128">
        <v>808429.51</v>
      </c>
      <c r="H12051" s="128">
        <v>847383.82</v>
      </c>
      <c r="I12051" s="128">
        <v>10640</v>
      </c>
    </row>
    <row r="12052" spans="1:9" ht="13.5">
      <c r="A12052" s="128">
        <v>2022</v>
      </c>
      <c r="B12052" s="128" t="s">
        <v>139</v>
      </c>
      <c r="C12052" s="128" t="s">
        <v>26</v>
      </c>
      <c r="D12052" s="128" t="s">
        <v>76</v>
      </c>
      <c r="E12052" s="128" t="s">
        <v>136</v>
      </c>
      <c r="F12052" s="128">
        <v>388226.91</v>
      </c>
      <c r="G12052" s="128">
        <v>293085.83</v>
      </c>
      <c r="H12052" s="128">
        <v>95141.08</v>
      </c>
      <c r="I12052" s="128">
        <v>8700</v>
      </c>
    </row>
    <row r="12053" spans="1:9" ht="13.5">
      <c r="A12053" s="128">
        <v>2022</v>
      </c>
      <c r="B12053" s="128" t="s">
        <v>139</v>
      </c>
      <c r="C12053" s="128" t="s">
        <v>26</v>
      </c>
      <c r="D12053" s="128" t="s">
        <v>76</v>
      </c>
      <c r="E12053" s="128" t="s">
        <v>132</v>
      </c>
      <c r="F12053" s="128">
        <v>1510894.76</v>
      </c>
      <c r="G12053" s="128">
        <v>963484.42</v>
      </c>
      <c r="H12053" s="128">
        <v>547408.11</v>
      </c>
      <c r="I12053" s="128">
        <v>12754</v>
      </c>
    </row>
    <row r="12054" spans="1:9" ht="13.5">
      <c r="A12054" s="128">
        <v>2022</v>
      </c>
      <c r="B12054" s="128" t="s">
        <v>139</v>
      </c>
      <c r="C12054" s="128" t="s">
        <v>26</v>
      </c>
      <c r="D12054" s="128" t="s">
        <v>76</v>
      </c>
      <c r="E12054" s="128" t="s">
        <v>133</v>
      </c>
      <c r="F12054" s="128">
        <v>3548909.84</v>
      </c>
      <c r="G12054" s="128">
        <v>1957920.82</v>
      </c>
      <c r="H12054" s="128">
        <v>1590984.77</v>
      </c>
      <c r="I12054" s="128">
        <v>26425</v>
      </c>
    </row>
    <row r="12055" spans="1:9" ht="13.5">
      <c r="A12055" s="128">
        <v>2022</v>
      </c>
      <c r="B12055" s="128" t="s">
        <v>139</v>
      </c>
      <c r="C12055" s="128" t="s">
        <v>26</v>
      </c>
      <c r="D12055" s="128" t="s">
        <v>76</v>
      </c>
      <c r="E12055" s="128" t="s">
        <v>134</v>
      </c>
      <c r="F12055" s="128">
        <v>2540130.75</v>
      </c>
      <c r="G12055" s="128">
        <v>1162860.8500000001</v>
      </c>
      <c r="H12055" s="128">
        <v>1377254.21</v>
      </c>
      <c r="I12055" s="128">
        <v>13920</v>
      </c>
    </row>
    <row r="12056" spans="1:9" ht="13.5">
      <c r="A12056" s="128">
        <v>2022</v>
      </c>
      <c r="B12056" s="128" t="s">
        <v>139</v>
      </c>
      <c r="C12056" s="128" t="s">
        <v>26</v>
      </c>
      <c r="D12056" s="128" t="s">
        <v>76</v>
      </c>
      <c r="E12056" s="128" t="s">
        <v>135</v>
      </c>
      <c r="F12056" s="128">
        <v>233264.17</v>
      </c>
      <c r="G12056" s="128">
        <v>70983.13</v>
      </c>
      <c r="H12056" s="128">
        <v>162281.04</v>
      </c>
      <c r="I12056" s="128">
        <v>283</v>
      </c>
    </row>
    <row r="12057" spans="1:9" ht="13.5">
      <c r="A12057" s="128">
        <v>2022</v>
      </c>
      <c r="B12057" s="128" t="s">
        <v>139</v>
      </c>
      <c r="C12057" s="128" t="s">
        <v>27</v>
      </c>
      <c r="D12057" s="128" t="s">
        <v>79</v>
      </c>
      <c r="E12057" s="128" t="s">
        <v>136</v>
      </c>
      <c r="F12057" s="128">
        <v>348561.03</v>
      </c>
      <c r="G12057" s="128">
        <v>260478.77</v>
      </c>
      <c r="H12057" s="128">
        <v>86612.61</v>
      </c>
      <c r="I12057" s="128">
        <v>1925</v>
      </c>
    </row>
    <row r="12058" spans="1:9" ht="13.5">
      <c r="A12058" s="128">
        <v>2022</v>
      </c>
      <c r="B12058" s="128" t="s">
        <v>139</v>
      </c>
      <c r="C12058" s="128" t="s">
        <v>27</v>
      </c>
      <c r="D12058" s="128" t="s">
        <v>79</v>
      </c>
      <c r="E12058" s="128" t="s">
        <v>132</v>
      </c>
      <c r="F12058" s="128">
        <v>26047.599999999999</v>
      </c>
      <c r="G12058" s="128">
        <v>17476</v>
      </c>
      <c r="H12058" s="128">
        <v>5825.2</v>
      </c>
      <c r="I12058" s="128">
        <v>47</v>
      </c>
    </row>
    <row r="12059" spans="1:9" ht="13.5">
      <c r="A12059" s="128">
        <v>2022</v>
      </c>
      <c r="B12059" s="128" t="s">
        <v>139</v>
      </c>
      <c r="C12059" s="128" t="s">
        <v>27</v>
      </c>
      <c r="D12059" s="128" t="s">
        <v>79</v>
      </c>
      <c r="E12059" s="128" t="s">
        <v>133</v>
      </c>
      <c r="F12059" s="128">
        <v>17422.98</v>
      </c>
      <c r="G12059" s="128">
        <v>9292.31</v>
      </c>
      <c r="H12059" s="128">
        <v>3096.5</v>
      </c>
      <c r="I12059" s="128">
        <v>39</v>
      </c>
    </row>
    <row r="12060" spans="1:9" ht="13.5">
      <c r="A12060" s="128">
        <v>2022</v>
      </c>
      <c r="B12060" s="128" t="s">
        <v>139</v>
      </c>
      <c r="C12060" s="128" t="s">
        <v>27</v>
      </c>
      <c r="D12060" s="128" t="s">
        <v>79</v>
      </c>
      <c r="E12060" s="128" t="s">
        <v>134</v>
      </c>
      <c r="F12060" s="128">
        <v>72513.55</v>
      </c>
      <c r="G12060" s="128">
        <v>31720.42</v>
      </c>
      <c r="H12060" s="128">
        <v>10569.5</v>
      </c>
      <c r="I12060" s="128">
        <v>195</v>
      </c>
    </row>
    <row r="12061" spans="1:9" ht="13.5">
      <c r="A12061" s="128">
        <v>2022</v>
      </c>
      <c r="B12061" s="128" t="s">
        <v>139</v>
      </c>
      <c r="C12061" s="128" t="s">
        <v>27</v>
      </c>
      <c r="D12061" s="128" t="s">
        <v>79</v>
      </c>
      <c r="E12061" s="128" t="s">
        <v>135</v>
      </c>
      <c r="F12061" s="128">
        <v>1090342.1200000001</v>
      </c>
      <c r="G12061" s="128">
        <v>255892.19</v>
      </c>
      <c r="H12061" s="128">
        <v>85977.99</v>
      </c>
      <c r="I12061" s="128">
        <v>685</v>
      </c>
    </row>
    <row r="12062" spans="1:9" ht="13.5">
      <c r="A12062" s="128">
        <v>2022</v>
      </c>
      <c r="B12062" s="128" t="s">
        <v>139</v>
      </c>
      <c r="C12062" s="128" t="s">
        <v>27</v>
      </c>
      <c r="D12062" s="128" t="s">
        <v>77</v>
      </c>
      <c r="E12062" s="128" t="s">
        <v>132</v>
      </c>
      <c r="F12062" s="128">
        <v>56847.519999999997</v>
      </c>
      <c r="G12062" s="128">
        <v>36383.86</v>
      </c>
      <c r="H12062" s="128">
        <v>18251.900000000001</v>
      </c>
      <c r="I12062" s="128">
        <v>152</v>
      </c>
    </row>
    <row r="12063" spans="1:9" ht="13.5">
      <c r="A12063" s="128">
        <v>2022</v>
      </c>
      <c r="B12063" s="128" t="s">
        <v>139</v>
      </c>
      <c r="C12063" s="128" t="s">
        <v>27</v>
      </c>
      <c r="D12063" s="128" t="s">
        <v>77</v>
      </c>
      <c r="E12063" s="128" t="s">
        <v>133</v>
      </c>
      <c r="F12063" s="128">
        <v>123578.54</v>
      </c>
      <c r="G12063" s="128">
        <v>65977.08</v>
      </c>
      <c r="H12063" s="128">
        <v>53287.65</v>
      </c>
      <c r="I12063" s="128">
        <v>215</v>
      </c>
    </row>
    <row r="12064" spans="1:9" ht="13.5">
      <c r="A12064" s="128">
        <v>2022</v>
      </c>
      <c r="B12064" s="128" t="s">
        <v>139</v>
      </c>
      <c r="C12064" s="128" t="s">
        <v>27</v>
      </c>
      <c r="D12064" s="128" t="s">
        <v>77</v>
      </c>
      <c r="E12064" s="128" t="s">
        <v>134</v>
      </c>
      <c r="F12064" s="128">
        <v>213997.16</v>
      </c>
      <c r="G12064" s="128">
        <v>91744.94</v>
      </c>
      <c r="H12064" s="128">
        <v>90729.52</v>
      </c>
      <c r="I12064" s="128">
        <v>354</v>
      </c>
    </row>
    <row r="12065" spans="1:9" ht="13.5">
      <c r="A12065" s="128">
        <v>2022</v>
      </c>
      <c r="B12065" s="128" t="s">
        <v>139</v>
      </c>
      <c r="C12065" s="128" t="s">
        <v>27</v>
      </c>
      <c r="D12065" s="128" t="s">
        <v>77</v>
      </c>
      <c r="E12065" s="128" t="s">
        <v>135</v>
      </c>
      <c r="F12065" s="128">
        <v>420532.9</v>
      </c>
      <c r="G12065" s="128">
        <v>111146.7</v>
      </c>
      <c r="H12065" s="128">
        <v>122794.59</v>
      </c>
      <c r="I12065" s="128">
        <v>1496</v>
      </c>
    </row>
    <row r="12066" spans="1:9" ht="13.5">
      <c r="A12066" s="128">
        <v>2022</v>
      </c>
      <c r="B12066" s="128" t="s">
        <v>139</v>
      </c>
      <c r="C12066" s="128" t="s">
        <v>27</v>
      </c>
      <c r="D12066" s="128" t="s">
        <v>76</v>
      </c>
      <c r="E12066" s="128" t="s">
        <v>136</v>
      </c>
      <c r="F12066" s="128">
        <v>481123.31</v>
      </c>
      <c r="G12066" s="128">
        <v>360921.8</v>
      </c>
      <c r="H12066" s="128">
        <v>120201.51</v>
      </c>
      <c r="I12066" s="128">
        <v>5080</v>
      </c>
    </row>
    <row r="12067" spans="1:9" ht="13.5">
      <c r="A12067" s="128">
        <v>2022</v>
      </c>
      <c r="B12067" s="128" t="s">
        <v>139</v>
      </c>
      <c r="C12067" s="128" t="s">
        <v>27</v>
      </c>
      <c r="D12067" s="128" t="s">
        <v>76</v>
      </c>
      <c r="E12067" s="128" t="s">
        <v>132</v>
      </c>
      <c r="F12067" s="128">
        <v>448035.31</v>
      </c>
      <c r="G12067" s="128">
        <v>285219.09999999998</v>
      </c>
      <c r="H12067" s="128">
        <v>162815.65</v>
      </c>
      <c r="I12067" s="128">
        <v>2932</v>
      </c>
    </row>
    <row r="12068" spans="1:9" ht="13.5">
      <c r="A12068" s="128">
        <v>2022</v>
      </c>
      <c r="B12068" s="128" t="s">
        <v>139</v>
      </c>
      <c r="C12068" s="128" t="s">
        <v>27</v>
      </c>
      <c r="D12068" s="128" t="s">
        <v>76</v>
      </c>
      <c r="E12068" s="128" t="s">
        <v>133</v>
      </c>
      <c r="F12068" s="128">
        <v>1215592.6200000001</v>
      </c>
      <c r="G12068" s="128">
        <v>659457.01</v>
      </c>
      <c r="H12068" s="128">
        <v>556135.17000000004</v>
      </c>
      <c r="I12068" s="128">
        <v>5484</v>
      </c>
    </row>
    <row r="12069" spans="1:9" ht="13.5">
      <c r="A12069" s="128">
        <v>2022</v>
      </c>
      <c r="B12069" s="128" t="s">
        <v>139</v>
      </c>
      <c r="C12069" s="128" t="s">
        <v>27</v>
      </c>
      <c r="D12069" s="128" t="s">
        <v>76</v>
      </c>
      <c r="E12069" s="128" t="s">
        <v>134</v>
      </c>
      <c r="F12069" s="128">
        <v>1501720.65</v>
      </c>
      <c r="G12069" s="128">
        <v>693569.5</v>
      </c>
      <c r="H12069" s="128">
        <v>808150.88</v>
      </c>
      <c r="I12069" s="128">
        <v>7810</v>
      </c>
    </row>
    <row r="12070" spans="1:9" ht="13.5">
      <c r="A12070" s="128">
        <v>2022</v>
      </c>
      <c r="B12070" s="128" t="s">
        <v>139</v>
      </c>
      <c r="C12070" s="128" t="s">
        <v>27</v>
      </c>
      <c r="D12070" s="128" t="s">
        <v>76</v>
      </c>
      <c r="E12070" s="128" t="s">
        <v>135</v>
      </c>
      <c r="F12070" s="128">
        <v>41057.56</v>
      </c>
      <c r="G12070" s="128">
        <v>13426.66</v>
      </c>
      <c r="H12070" s="128">
        <v>27630.9</v>
      </c>
      <c r="I12070" s="128">
        <v>55</v>
      </c>
    </row>
    <row r="12071" spans="1:9" ht="13.5">
      <c r="A12071" s="128">
        <v>2022</v>
      </c>
      <c r="B12071" s="128" t="s">
        <v>137</v>
      </c>
      <c r="C12071" s="128" t="s">
        <v>20</v>
      </c>
      <c r="D12071" s="128" t="s">
        <v>79</v>
      </c>
      <c r="E12071" s="128" t="s">
        <v>136</v>
      </c>
      <c r="F12071" s="128">
        <v>30047610.02</v>
      </c>
      <c r="G12071" s="128">
        <v>22449322.129999999</v>
      </c>
      <c r="H12071" s="128">
        <v>7547534.1100000003</v>
      </c>
      <c r="I12071" s="128">
        <v>252685</v>
      </c>
    </row>
    <row r="12072" spans="1:9" ht="13.5">
      <c r="A12072" s="128">
        <v>2022</v>
      </c>
      <c r="B12072" s="128" t="s">
        <v>137</v>
      </c>
      <c r="C12072" s="128" t="s">
        <v>20</v>
      </c>
      <c r="D12072" s="128" t="s">
        <v>79</v>
      </c>
      <c r="E12072" s="128" t="s">
        <v>132</v>
      </c>
      <c r="F12072" s="128">
        <v>2983400.66</v>
      </c>
      <c r="G12072" s="128">
        <v>2007788.44</v>
      </c>
      <c r="H12072" s="128">
        <v>693570.76</v>
      </c>
      <c r="I12072" s="128">
        <v>10291</v>
      </c>
    </row>
    <row r="12073" spans="1:9" ht="13.5">
      <c r="A12073" s="128">
        <v>2022</v>
      </c>
      <c r="B12073" s="128" t="s">
        <v>137</v>
      </c>
      <c r="C12073" s="128" t="s">
        <v>20</v>
      </c>
      <c r="D12073" s="128" t="s">
        <v>79</v>
      </c>
      <c r="E12073" s="128" t="s">
        <v>133</v>
      </c>
      <c r="F12073" s="128">
        <v>1876183.72</v>
      </c>
      <c r="G12073" s="128">
        <v>1021485.61</v>
      </c>
      <c r="H12073" s="128">
        <v>347508.73</v>
      </c>
      <c r="I12073" s="128">
        <v>4364</v>
      </c>
    </row>
    <row r="12074" spans="1:9" ht="13.5">
      <c r="A12074" s="128">
        <v>2022</v>
      </c>
      <c r="B12074" s="128" t="s">
        <v>137</v>
      </c>
      <c r="C12074" s="128" t="s">
        <v>20</v>
      </c>
      <c r="D12074" s="128" t="s">
        <v>79</v>
      </c>
      <c r="E12074" s="128" t="s">
        <v>134</v>
      </c>
      <c r="F12074" s="128">
        <v>6671155.7599999998</v>
      </c>
      <c r="G12074" s="128">
        <v>2859394.86</v>
      </c>
      <c r="H12074" s="128">
        <v>992942.71</v>
      </c>
      <c r="I12074" s="128">
        <v>18449</v>
      </c>
    </row>
    <row r="12075" spans="1:9" ht="13.5">
      <c r="A12075" s="128">
        <v>2022</v>
      </c>
      <c r="B12075" s="128" t="s">
        <v>137</v>
      </c>
      <c r="C12075" s="128" t="s">
        <v>20</v>
      </c>
      <c r="D12075" s="128" t="s">
        <v>79</v>
      </c>
      <c r="E12075" s="128" t="s">
        <v>135</v>
      </c>
      <c r="F12075" s="128">
        <v>101386806.53</v>
      </c>
      <c r="G12075" s="128">
        <v>21487340.359999999</v>
      </c>
      <c r="H12075" s="128">
        <v>7300882.79</v>
      </c>
      <c r="I12075" s="128">
        <v>88260</v>
      </c>
    </row>
    <row r="12076" spans="1:9" ht="13.5">
      <c r="A12076" s="128">
        <v>2022</v>
      </c>
      <c r="B12076" s="128" t="s">
        <v>137</v>
      </c>
      <c r="C12076" s="128" t="s">
        <v>20</v>
      </c>
      <c r="D12076" s="128" t="s">
        <v>77</v>
      </c>
      <c r="E12076" s="128" t="s">
        <v>132</v>
      </c>
      <c r="F12076" s="128">
        <v>3340589.84</v>
      </c>
      <c r="G12076" s="128">
        <v>2186696.85</v>
      </c>
      <c r="H12076" s="128">
        <v>997184.23</v>
      </c>
      <c r="I12076" s="128">
        <v>15651</v>
      </c>
    </row>
    <row r="12077" spans="1:9" ht="13.5">
      <c r="A12077" s="128">
        <v>2022</v>
      </c>
      <c r="B12077" s="128" t="s">
        <v>137</v>
      </c>
      <c r="C12077" s="128" t="s">
        <v>20</v>
      </c>
      <c r="D12077" s="128" t="s">
        <v>77</v>
      </c>
      <c r="E12077" s="128" t="s">
        <v>133</v>
      </c>
      <c r="F12077" s="128">
        <v>8097893.04</v>
      </c>
      <c r="G12077" s="128">
        <v>4347677.01</v>
      </c>
      <c r="H12077" s="128">
        <v>3319877.68</v>
      </c>
      <c r="I12077" s="128">
        <v>27266</v>
      </c>
    </row>
    <row r="12078" spans="1:9" ht="13.5">
      <c r="A12078" s="128">
        <v>2022</v>
      </c>
      <c r="B12078" s="128" t="s">
        <v>137</v>
      </c>
      <c r="C12078" s="128" t="s">
        <v>20</v>
      </c>
      <c r="D12078" s="128" t="s">
        <v>77</v>
      </c>
      <c r="E12078" s="128" t="s">
        <v>134</v>
      </c>
      <c r="F12078" s="128">
        <v>19642475.920000002</v>
      </c>
      <c r="G12078" s="128">
        <v>8499952.7699999996</v>
      </c>
      <c r="H12078" s="128">
        <v>8543184.9299999997</v>
      </c>
      <c r="I12078" s="128">
        <v>35263</v>
      </c>
    </row>
    <row r="12079" spans="1:9" ht="13.5">
      <c r="A12079" s="128">
        <v>2022</v>
      </c>
      <c r="B12079" s="128" t="s">
        <v>137</v>
      </c>
      <c r="C12079" s="128" t="s">
        <v>20</v>
      </c>
      <c r="D12079" s="128" t="s">
        <v>77</v>
      </c>
      <c r="E12079" s="128" t="s">
        <v>135</v>
      </c>
      <c r="F12079" s="128">
        <v>52705192.420000002</v>
      </c>
      <c r="G12079" s="128">
        <v>13721771.08</v>
      </c>
      <c r="H12079" s="128">
        <v>15634867.43</v>
      </c>
      <c r="I12079" s="128">
        <v>166845</v>
      </c>
    </row>
    <row r="12080" spans="1:9" ht="13.5">
      <c r="A12080" s="128">
        <v>2022</v>
      </c>
      <c r="B12080" s="128" t="s">
        <v>137</v>
      </c>
      <c r="C12080" s="128" t="s">
        <v>20</v>
      </c>
      <c r="D12080" s="128" t="s">
        <v>76</v>
      </c>
      <c r="E12080" s="128" t="s">
        <v>136</v>
      </c>
      <c r="F12080" s="128">
        <v>26572134.260000002</v>
      </c>
      <c r="G12080" s="128">
        <v>19988958.870000001</v>
      </c>
      <c r="H12080" s="128">
        <v>6583175.3300000001</v>
      </c>
      <c r="I12080" s="128">
        <v>900788</v>
      </c>
    </row>
    <row r="12081" spans="1:9" ht="13.5">
      <c r="A12081" s="128">
        <v>2022</v>
      </c>
      <c r="B12081" s="128" t="s">
        <v>137</v>
      </c>
      <c r="C12081" s="128" t="s">
        <v>20</v>
      </c>
      <c r="D12081" s="128" t="s">
        <v>76</v>
      </c>
      <c r="E12081" s="128" t="s">
        <v>132</v>
      </c>
      <c r="F12081" s="128">
        <v>56935369</v>
      </c>
      <c r="G12081" s="128">
        <v>36372279.159999996</v>
      </c>
      <c r="H12081" s="128">
        <v>20562894.649999999</v>
      </c>
      <c r="I12081" s="128">
        <v>456234</v>
      </c>
    </row>
    <row r="12082" spans="1:9" ht="13.5">
      <c r="A12082" s="128">
        <v>2022</v>
      </c>
      <c r="B12082" s="128" t="s">
        <v>137</v>
      </c>
      <c r="C12082" s="128" t="s">
        <v>20</v>
      </c>
      <c r="D12082" s="128" t="s">
        <v>76</v>
      </c>
      <c r="E12082" s="128" t="s">
        <v>133</v>
      </c>
      <c r="F12082" s="128">
        <v>112635951.14</v>
      </c>
      <c r="G12082" s="128">
        <v>61759232.289999999</v>
      </c>
      <c r="H12082" s="128">
        <v>50876661.149999999</v>
      </c>
      <c r="I12082" s="128">
        <v>610081</v>
      </c>
    </row>
    <row r="12083" spans="1:9" ht="13.5">
      <c r="A12083" s="128">
        <v>2022</v>
      </c>
      <c r="B12083" s="128" t="s">
        <v>137</v>
      </c>
      <c r="C12083" s="128" t="s">
        <v>20</v>
      </c>
      <c r="D12083" s="128" t="s">
        <v>76</v>
      </c>
      <c r="E12083" s="128" t="s">
        <v>134</v>
      </c>
      <c r="F12083" s="128">
        <v>110477524.04000001</v>
      </c>
      <c r="G12083" s="128">
        <v>50620815.009999998</v>
      </c>
      <c r="H12083" s="128">
        <v>59856634.659999996</v>
      </c>
      <c r="I12083" s="128">
        <v>628267</v>
      </c>
    </row>
    <row r="12084" spans="1:9" ht="13.5">
      <c r="A12084" s="128">
        <v>2022</v>
      </c>
      <c r="B12084" s="128" t="s">
        <v>137</v>
      </c>
      <c r="C12084" s="128" t="s">
        <v>20</v>
      </c>
      <c r="D12084" s="128" t="s">
        <v>76</v>
      </c>
      <c r="E12084" s="128" t="s">
        <v>135</v>
      </c>
      <c r="F12084" s="128">
        <v>6210040.2800000003</v>
      </c>
      <c r="G12084" s="128">
        <v>1849814.84</v>
      </c>
      <c r="H12084" s="128">
        <v>4360225.42</v>
      </c>
      <c r="I12084" s="128">
        <v>6371</v>
      </c>
    </row>
    <row r="12085" spans="1:9" ht="13.5">
      <c r="A12085" s="128">
        <v>2022</v>
      </c>
      <c r="B12085" s="128" t="s">
        <v>137</v>
      </c>
      <c r="C12085" s="128" t="s">
        <v>21</v>
      </c>
      <c r="D12085" s="128" t="s">
        <v>79</v>
      </c>
      <c r="E12085" s="128" t="s">
        <v>136</v>
      </c>
      <c r="F12085" s="128">
        <v>5887761.2300000004</v>
      </c>
      <c r="G12085" s="128">
        <v>4416831.29</v>
      </c>
      <c r="H12085" s="128">
        <v>1439777.64</v>
      </c>
      <c r="I12085" s="128">
        <v>117439</v>
      </c>
    </row>
    <row r="12086" spans="1:9" ht="13.5">
      <c r="A12086" s="128">
        <v>2022</v>
      </c>
      <c r="B12086" s="128" t="s">
        <v>137</v>
      </c>
      <c r="C12086" s="128" t="s">
        <v>21</v>
      </c>
      <c r="D12086" s="128" t="s">
        <v>79</v>
      </c>
      <c r="E12086" s="128" t="s">
        <v>132</v>
      </c>
      <c r="F12086" s="128">
        <v>1251345.3</v>
      </c>
      <c r="G12086" s="128">
        <v>833947.7</v>
      </c>
      <c r="H12086" s="128">
        <v>281605.24</v>
      </c>
      <c r="I12086" s="128">
        <v>3023</v>
      </c>
    </row>
    <row r="12087" spans="1:9" ht="13.5">
      <c r="A12087" s="128">
        <v>2022</v>
      </c>
      <c r="B12087" s="128" t="s">
        <v>137</v>
      </c>
      <c r="C12087" s="128" t="s">
        <v>21</v>
      </c>
      <c r="D12087" s="128" t="s">
        <v>79</v>
      </c>
      <c r="E12087" s="128" t="s">
        <v>133</v>
      </c>
      <c r="F12087" s="128">
        <v>1679259.4</v>
      </c>
      <c r="G12087" s="128">
        <v>903148.05</v>
      </c>
      <c r="H12087" s="128">
        <v>304534.86</v>
      </c>
      <c r="I12087" s="128">
        <v>6696</v>
      </c>
    </row>
    <row r="12088" spans="1:9" ht="13.5">
      <c r="A12088" s="128">
        <v>2022</v>
      </c>
      <c r="B12088" s="128" t="s">
        <v>137</v>
      </c>
      <c r="C12088" s="128" t="s">
        <v>21</v>
      </c>
      <c r="D12088" s="128" t="s">
        <v>79</v>
      </c>
      <c r="E12088" s="128" t="s">
        <v>134</v>
      </c>
      <c r="F12088" s="128">
        <v>4028152.47</v>
      </c>
      <c r="G12088" s="128">
        <v>1758411.66</v>
      </c>
      <c r="H12088" s="128">
        <v>600731.84</v>
      </c>
      <c r="I12088" s="128">
        <v>13390</v>
      </c>
    </row>
    <row r="12089" spans="1:9" ht="13.5">
      <c r="A12089" s="128">
        <v>2022</v>
      </c>
      <c r="B12089" s="128" t="s">
        <v>137</v>
      </c>
      <c r="C12089" s="128" t="s">
        <v>21</v>
      </c>
      <c r="D12089" s="128" t="s">
        <v>79</v>
      </c>
      <c r="E12089" s="128" t="s">
        <v>135</v>
      </c>
      <c r="F12089" s="128">
        <v>35808597.07</v>
      </c>
      <c r="G12089" s="128">
        <v>7860961.8700000001</v>
      </c>
      <c r="H12089" s="128">
        <v>2650781.58</v>
      </c>
      <c r="I12089" s="128">
        <v>29257</v>
      </c>
    </row>
    <row r="12090" spans="1:9" ht="13.5">
      <c r="A12090" s="128">
        <v>2022</v>
      </c>
      <c r="B12090" s="128" t="s">
        <v>137</v>
      </c>
      <c r="C12090" s="128" t="s">
        <v>21</v>
      </c>
      <c r="D12090" s="128" t="s">
        <v>77</v>
      </c>
      <c r="E12090" s="128" t="s">
        <v>132</v>
      </c>
      <c r="F12090" s="128">
        <v>2915770.09</v>
      </c>
      <c r="G12090" s="128">
        <v>1897609.19</v>
      </c>
      <c r="H12090" s="128">
        <v>853383.95</v>
      </c>
      <c r="I12090" s="128">
        <v>14685</v>
      </c>
    </row>
    <row r="12091" spans="1:9" ht="13.5">
      <c r="A12091" s="128">
        <v>2022</v>
      </c>
      <c r="B12091" s="128" t="s">
        <v>137</v>
      </c>
      <c r="C12091" s="128" t="s">
        <v>21</v>
      </c>
      <c r="D12091" s="128" t="s">
        <v>77</v>
      </c>
      <c r="E12091" s="128" t="s">
        <v>133</v>
      </c>
      <c r="F12091" s="128">
        <v>9125642.1799999997</v>
      </c>
      <c r="G12091" s="128">
        <v>4893299.54</v>
      </c>
      <c r="H12091" s="128">
        <v>3690268.26</v>
      </c>
      <c r="I12091" s="128">
        <v>27474</v>
      </c>
    </row>
    <row r="12092" spans="1:9" ht="13.5">
      <c r="A12092" s="128">
        <v>2022</v>
      </c>
      <c r="B12092" s="128" t="s">
        <v>137</v>
      </c>
      <c r="C12092" s="128" t="s">
        <v>21</v>
      </c>
      <c r="D12092" s="128" t="s">
        <v>77</v>
      </c>
      <c r="E12092" s="128" t="s">
        <v>134</v>
      </c>
      <c r="F12092" s="128">
        <v>22426776</v>
      </c>
      <c r="G12092" s="128">
        <v>9665875.9800000004</v>
      </c>
      <c r="H12092" s="128">
        <v>9178217.0399999991</v>
      </c>
      <c r="I12092" s="128">
        <v>41888</v>
      </c>
    </row>
    <row r="12093" spans="1:9" ht="13.5">
      <c r="A12093" s="128">
        <v>2022</v>
      </c>
      <c r="B12093" s="128" t="s">
        <v>137</v>
      </c>
      <c r="C12093" s="128" t="s">
        <v>21</v>
      </c>
      <c r="D12093" s="128" t="s">
        <v>77</v>
      </c>
      <c r="E12093" s="128" t="s">
        <v>135</v>
      </c>
      <c r="F12093" s="128">
        <v>50606867.920000002</v>
      </c>
      <c r="G12093" s="128">
        <v>13347030.99</v>
      </c>
      <c r="H12093" s="128">
        <v>14564800.82</v>
      </c>
      <c r="I12093" s="128">
        <v>174301</v>
      </c>
    </row>
    <row r="12094" spans="1:9" ht="13.5">
      <c r="A12094" s="128">
        <v>2022</v>
      </c>
      <c r="B12094" s="128" t="s">
        <v>137</v>
      </c>
      <c r="C12094" s="128" t="s">
        <v>21</v>
      </c>
      <c r="D12094" s="128" t="s">
        <v>76</v>
      </c>
      <c r="E12094" s="128" t="s">
        <v>136</v>
      </c>
      <c r="F12094" s="128">
        <v>19628599.57</v>
      </c>
      <c r="G12094" s="128">
        <v>14771686.699999999</v>
      </c>
      <c r="H12094" s="128">
        <v>4856947.24</v>
      </c>
      <c r="I12094" s="128">
        <v>253877</v>
      </c>
    </row>
    <row r="12095" spans="1:9" ht="13.5">
      <c r="A12095" s="128">
        <v>2022</v>
      </c>
      <c r="B12095" s="128" t="s">
        <v>137</v>
      </c>
      <c r="C12095" s="128" t="s">
        <v>21</v>
      </c>
      <c r="D12095" s="128" t="s">
        <v>76</v>
      </c>
      <c r="E12095" s="128" t="s">
        <v>132</v>
      </c>
      <c r="F12095" s="128">
        <v>59428421.170000002</v>
      </c>
      <c r="G12095" s="128">
        <v>37975229.090000004</v>
      </c>
      <c r="H12095" s="128">
        <v>21452435.579999998</v>
      </c>
      <c r="I12095" s="128">
        <v>483014</v>
      </c>
    </row>
    <row r="12096" spans="1:9" ht="13.5">
      <c r="A12096" s="128">
        <v>2022</v>
      </c>
      <c r="B12096" s="128" t="s">
        <v>137</v>
      </c>
      <c r="C12096" s="128" t="s">
        <v>21</v>
      </c>
      <c r="D12096" s="128" t="s">
        <v>76</v>
      </c>
      <c r="E12096" s="128" t="s">
        <v>133</v>
      </c>
      <c r="F12096" s="128">
        <v>118271437.51000001</v>
      </c>
      <c r="G12096" s="128">
        <v>64972943.57</v>
      </c>
      <c r="H12096" s="128">
        <v>53298400.009999998</v>
      </c>
      <c r="I12096" s="128">
        <v>678570</v>
      </c>
    </row>
    <row r="12097" spans="1:9" ht="13.5">
      <c r="A12097" s="128">
        <v>2022</v>
      </c>
      <c r="B12097" s="128" t="s">
        <v>137</v>
      </c>
      <c r="C12097" s="128" t="s">
        <v>21</v>
      </c>
      <c r="D12097" s="128" t="s">
        <v>76</v>
      </c>
      <c r="E12097" s="128" t="s">
        <v>134</v>
      </c>
      <c r="F12097" s="128">
        <v>81177417.859999999</v>
      </c>
      <c r="G12097" s="128">
        <v>37372924.109999999</v>
      </c>
      <c r="H12097" s="128">
        <v>43804451.200000003</v>
      </c>
      <c r="I12097" s="128">
        <v>510807</v>
      </c>
    </row>
    <row r="12098" spans="1:9" ht="13.5">
      <c r="A12098" s="128">
        <v>2022</v>
      </c>
      <c r="B12098" s="128" t="s">
        <v>137</v>
      </c>
      <c r="C12098" s="128" t="s">
        <v>21</v>
      </c>
      <c r="D12098" s="128" t="s">
        <v>76</v>
      </c>
      <c r="E12098" s="128" t="s">
        <v>135</v>
      </c>
      <c r="F12098" s="128">
        <v>2931407.12</v>
      </c>
      <c r="G12098" s="128">
        <v>832814.67</v>
      </c>
      <c r="H12098" s="128">
        <v>2098592.4500000002</v>
      </c>
      <c r="I12098" s="128">
        <v>2591</v>
      </c>
    </row>
    <row r="12099" spans="1:9" ht="13.5">
      <c r="A12099" s="128">
        <v>2022</v>
      </c>
      <c r="B12099" s="128" t="s">
        <v>137</v>
      </c>
      <c r="C12099" s="128" t="s">
        <v>22</v>
      </c>
      <c r="D12099" s="128" t="s">
        <v>79</v>
      </c>
      <c r="E12099" s="128" t="s">
        <v>136</v>
      </c>
      <c r="F12099" s="128">
        <v>4129022.44</v>
      </c>
      <c r="G12099" s="128">
        <v>3062783.39</v>
      </c>
      <c r="H12099" s="128">
        <v>1010193.5</v>
      </c>
      <c r="I12099" s="128">
        <v>63301</v>
      </c>
    </row>
    <row r="12100" spans="1:9" ht="13.5">
      <c r="A12100" s="128">
        <v>2022</v>
      </c>
      <c r="B12100" s="128" t="s">
        <v>137</v>
      </c>
      <c r="C12100" s="128" t="s">
        <v>22</v>
      </c>
      <c r="D12100" s="128" t="s">
        <v>79</v>
      </c>
      <c r="E12100" s="128" t="s">
        <v>132</v>
      </c>
      <c r="F12100" s="128">
        <v>1302447.81</v>
      </c>
      <c r="G12100" s="128">
        <v>860244.5</v>
      </c>
      <c r="H12100" s="128">
        <v>289122.40999999997</v>
      </c>
      <c r="I12100" s="128">
        <v>2819</v>
      </c>
    </row>
    <row r="12101" spans="1:9" ht="13.5">
      <c r="A12101" s="128">
        <v>2022</v>
      </c>
      <c r="B12101" s="128" t="s">
        <v>137</v>
      </c>
      <c r="C12101" s="128" t="s">
        <v>22</v>
      </c>
      <c r="D12101" s="128" t="s">
        <v>79</v>
      </c>
      <c r="E12101" s="128" t="s">
        <v>133</v>
      </c>
      <c r="F12101" s="128">
        <v>1339183.3899999999</v>
      </c>
      <c r="G12101" s="128">
        <v>729526.79</v>
      </c>
      <c r="H12101" s="128">
        <v>243882.48</v>
      </c>
      <c r="I12101" s="128">
        <v>3330</v>
      </c>
    </row>
    <row r="12102" spans="1:9" ht="13.5">
      <c r="A12102" s="128">
        <v>2022</v>
      </c>
      <c r="B12102" s="128" t="s">
        <v>137</v>
      </c>
      <c r="C12102" s="128" t="s">
        <v>22</v>
      </c>
      <c r="D12102" s="128" t="s">
        <v>79</v>
      </c>
      <c r="E12102" s="128" t="s">
        <v>134</v>
      </c>
      <c r="F12102" s="128">
        <v>4383588.0599999996</v>
      </c>
      <c r="G12102" s="128">
        <v>1891211.42</v>
      </c>
      <c r="H12102" s="128">
        <v>630848.32999999996</v>
      </c>
      <c r="I12102" s="128">
        <v>20395</v>
      </c>
    </row>
    <row r="12103" spans="1:9" ht="13.5">
      <c r="A12103" s="128">
        <v>2022</v>
      </c>
      <c r="B12103" s="128" t="s">
        <v>137</v>
      </c>
      <c r="C12103" s="128" t="s">
        <v>22</v>
      </c>
      <c r="D12103" s="128" t="s">
        <v>79</v>
      </c>
      <c r="E12103" s="128" t="s">
        <v>135</v>
      </c>
      <c r="F12103" s="128">
        <v>45451501.509999998</v>
      </c>
      <c r="G12103" s="128">
        <v>9852025.6600000001</v>
      </c>
      <c r="H12103" s="128">
        <v>3305327.77</v>
      </c>
      <c r="I12103" s="128">
        <v>40785</v>
      </c>
    </row>
    <row r="12104" spans="1:9" ht="13.5">
      <c r="A12104" s="128">
        <v>2022</v>
      </c>
      <c r="B12104" s="128" t="s">
        <v>137</v>
      </c>
      <c r="C12104" s="128" t="s">
        <v>22</v>
      </c>
      <c r="D12104" s="128" t="s">
        <v>77</v>
      </c>
      <c r="E12104" s="128" t="s">
        <v>132</v>
      </c>
      <c r="F12104" s="128">
        <v>1879262.3</v>
      </c>
      <c r="G12104" s="128">
        <v>1212142.22</v>
      </c>
      <c r="H12104" s="128">
        <v>554438.02</v>
      </c>
      <c r="I12104" s="128">
        <v>8920</v>
      </c>
    </row>
    <row r="12105" spans="1:9" ht="13.5">
      <c r="A12105" s="128">
        <v>2022</v>
      </c>
      <c r="B12105" s="128" t="s">
        <v>137</v>
      </c>
      <c r="C12105" s="128" t="s">
        <v>22</v>
      </c>
      <c r="D12105" s="128" t="s">
        <v>77</v>
      </c>
      <c r="E12105" s="128" t="s">
        <v>133</v>
      </c>
      <c r="F12105" s="128">
        <v>5741522.1500000004</v>
      </c>
      <c r="G12105" s="128">
        <v>3064603.66</v>
      </c>
      <c r="H12105" s="128">
        <v>2300818.2799999998</v>
      </c>
      <c r="I12105" s="128">
        <v>21233</v>
      </c>
    </row>
    <row r="12106" spans="1:9" ht="13.5">
      <c r="A12106" s="128">
        <v>2022</v>
      </c>
      <c r="B12106" s="128" t="s">
        <v>137</v>
      </c>
      <c r="C12106" s="128" t="s">
        <v>22</v>
      </c>
      <c r="D12106" s="128" t="s">
        <v>77</v>
      </c>
      <c r="E12106" s="128" t="s">
        <v>134</v>
      </c>
      <c r="F12106" s="128">
        <v>20994498.02</v>
      </c>
      <c r="G12106" s="128">
        <v>8941177.7599999998</v>
      </c>
      <c r="H12106" s="128">
        <v>8822102.0199999996</v>
      </c>
      <c r="I12106" s="128">
        <v>32759</v>
      </c>
    </row>
    <row r="12107" spans="1:9" ht="13.5">
      <c r="A12107" s="128">
        <v>2022</v>
      </c>
      <c r="B12107" s="128" t="s">
        <v>137</v>
      </c>
      <c r="C12107" s="128" t="s">
        <v>22</v>
      </c>
      <c r="D12107" s="128" t="s">
        <v>77</v>
      </c>
      <c r="E12107" s="128" t="s">
        <v>135</v>
      </c>
      <c r="F12107" s="128">
        <v>48935989.840000004</v>
      </c>
      <c r="G12107" s="128">
        <v>12316225.710000001</v>
      </c>
      <c r="H12107" s="128">
        <v>13762230.85</v>
      </c>
      <c r="I12107" s="128">
        <v>121734</v>
      </c>
    </row>
    <row r="12108" spans="1:9" ht="13.5">
      <c r="A12108" s="128">
        <v>2022</v>
      </c>
      <c r="B12108" s="128" t="s">
        <v>137</v>
      </c>
      <c r="C12108" s="128" t="s">
        <v>22</v>
      </c>
      <c r="D12108" s="128" t="s">
        <v>76</v>
      </c>
      <c r="E12108" s="128" t="s">
        <v>136</v>
      </c>
      <c r="F12108" s="128">
        <v>17651440.399999999</v>
      </c>
      <c r="G12108" s="128">
        <v>13261630.77</v>
      </c>
      <c r="H12108" s="128">
        <v>4389804.83</v>
      </c>
      <c r="I12108" s="128">
        <v>292176</v>
      </c>
    </row>
    <row r="12109" spans="1:9" ht="13.5">
      <c r="A12109" s="128">
        <v>2022</v>
      </c>
      <c r="B12109" s="128" t="s">
        <v>137</v>
      </c>
      <c r="C12109" s="128" t="s">
        <v>22</v>
      </c>
      <c r="D12109" s="128" t="s">
        <v>76</v>
      </c>
      <c r="E12109" s="128" t="s">
        <v>132</v>
      </c>
      <c r="F12109" s="128">
        <v>48902801.409999996</v>
      </c>
      <c r="G12109" s="128">
        <v>31232181.449999999</v>
      </c>
      <c r="H12109" s="128">
        <v>17670060.969999999</v>
      </c>
      <c r="I12109" s="128">
        <v>419399</v>
      </c>
    </row>
    <row r="12110" spans="1:9" ht="13.5">
      <c r="A12110" s="128">
        <v>2022</v>
      </c>
      <c r="B12110" s="128" t="s">
        <v>137</v>
      </c>
      <c r="C12110" s="128" t="s">
        <v>22</v>
      </c>
      <c r="D12110" s="128" t="s">
        <v>76</v>
      </c>
      <c r="E12110" s="128" t="s">
        <v>133</v>
      </c>
      <c r="F12110" s="128">
        <v>80190618.420000002</v>
      </c>
      <c r="G12110" s="128">
        <v>44434646.170000002</v>
      </c>
      <c r="H12110" s="128">
        <v>35755909.759999998</v>
      </c>
      <c r="I12110" s="128">
        <v>625006</v>
      </c>
    </row>
    <row r="12111" spans="1:9" ht="13.5">
      <c r="A12111" s="128">
        <v>2022</v>
      </c>
      <c r="B12111" s="128" t="s">
        <v>137</v>
      </c>
      <c r="C12111" s="128" t="s">
        <v>22</v>
      </c>
      <c r="D12111" s="128" t="s">
        <v>76</v>
      </c>
      <c r="E12111" s="128" t="s">
        <v>134</v>
      </c>
      <c r="F12111" s="128">
        <v>68414362.950000003</v>
      </c>
      <c r="G12111" s="128">
        <v>31403687.109999999</v>
      </c>
      <c r="H12111" s="128">
        <v>37009469.18</v>
      </c>
      <c r="I12111" s="128">
        <v>469134</v>
      </c>
    </row>
    <row r="12112" spans="1:9" ht="13.5">
      <c r="A12112" s="128">
        <v>2022</v>
      </c>
      <c r="B12112" s="128" t="s">
        <v>137</v>
      </c>
      <c r="C12112" s="128" t="s">
        <v>22</v>
      </c>
      <c r="D12112" s="128" t="s">
        <v>76</v>
      </c>
      <c r="E12112" s="128" t="s">
        <v>135</v>
      </c>
      <c r="F12112" s="128">
        <v>4015761.72</v>
      </c>
      <c r="G12112" s="128">
        <v>1178257.98</v>
      </c>
      <c r="H12112" s="128">
        <v>2837499.71</v>
      </c>
      <c r="I12112" s="128">
        <v>5254</v>
      </c>
    </row>
    <row r="12113" spans="1:9" ht="13.5">
      <c r="A12113" s="128">
        <v>2022</v>
      </c>
      <c r="B12113" s="128" t="s">
        <v>137</v>
      </c>
      <c r="C12113" s="128" t="s">
        <v>23</v>
      </c>
      <c r="D12113" s="128" t="s">
        <v>79</v>
      </c>
      <c r="E12113" s="128" t="s">
        <v>136</v>
      </c>
      <c r="F12113" s="128">
        <v>1735044.05</v>
      </c>
      <c r="G12113" s="128">
        <v>1295878.29</v>
      </c>
      <c r="H12113" s="128">
        <v>429662.24</v>
      </c>
      <c r="I12113" s="128">
        <v>9216</v>
      </c>
    </row>
    <row r="12114" spans="1:9" ht="13.5">
      <c r="A12114" s="128">
        <v>2022</v>
      </c>
      <c r="B12114" s="128" t="s">
        <v>137</v>
      </c>
      <c r="C12114" s="128" t="s">
        <v>23</v>
      </c>
      <c r="D12114" s="128" t="s">
        <v>79</v>
      </c>
      <c r="E12114" s="128" t="s">
        <v>132</v>
      </c>
      <c r="F12114" s="128">
        <v>424755.94</v>
      </c>
      <c r="G12114" s="128">
        <v>283899.05</v>
      </c>
      <c r="H12114" s="128">
        <v>94963.46</v>
      </c>
      <c r="I12114" s="128">
        <v>655</v>
      </c>
    </row>
    <row r="12115" spans="1:9" ht="13.5">
      <c r="A12115" s="128">
        <v>2022</v>
      </c>
      <c r="B12115" s="128" t="s">
        <v>137</v>
      </c>
      <c r="C12115" s="128" t="s">
        <v>23</v>
      </c>
      <c r="D12115" s="128" t="s">
        <v>79</v>
      </c>
      <c r="E12115" s="128" t="s">
        <v>133</v>
      </c>
      <c r="F12115" s="128">
        <v>207107.39</v>
      </c>
      <c r="G12115" s="128">
        <v>111829.3</v>
      </c>
      <c r="H12115" s="128">
        <v>37829.72</v>
      </c>
      <c r="I12115" s="128">
        <v>364</v>
      </c>
    </row>
    <row r="12116" spans="1:9" ht="13.5">
      <c r="A12116" s="128">
        <v>2022</v>
      </c>
      <c r="B12116" s="128" t="s">
        <v>137</v>
      </c>
      <c r="C12116" s="128" t="s">
        <v>23</v>
      </c>
      <c r="D12116" s="128" t="s">
        <v>79</v>
      </c>
      <c r="E12116" s="128" t="s">
        <v>134</v>
      </c>
      <c r="F12116" s="128">
        <v>499005.72</v>
      </c>
      <c r="G12116" s="128">
        <v>214385.6</v>
      </c>
      <c r="H12116" s="128">
        <v>72497.570000000007</v>
      </c>
      <c r="I12116" s="128">
        <v>1164</v>
      </c>
    </row>
    <row r="12117" spans="1:9" ht="13.5">
      <c r="A12117" s="128">
        <v>2022</v>
      </c>
      <c r="B12117" s="128" t="s">
        <v>137</v>
      </c>
      <c r="C12117" s="128" t="s">
        <v>23</v>
      </c>
      <c r="D12117" s="128" t="s">
        <v>79</v>
      </c>
      <c r="E12117" s="128" t="s">
        <v>135</v>
      </c>
      <c r="F12117" s="128">
        <v>5378919.6500000004</v>
      </c>
      <c r="G12117" s="128">
        <v>1106619.49</v>
      </c>
      <c r="H12117" s="128">
        <v>374279.96</v>
      </c>
      <c r="I12117" s="128">
        <v>3584</v>
      </c>
    </row>
    <row r="12118" spans="1:9" ht="13.5">
      <c r="A12118" s="128">
        <v>2022</v>
      </c>
      <c r="B12118" s="128" t="s">
        <v>137</v>
      </c>
      <c r="C12118" s="128" t="s">
        <v>23</v>
      </c>
      <c r="D12118" s="128" t="s">
        <v>77</v>
      </c>
      <c r="E12118" s="128" t="s">
        <v>132</v>
      </c>
      <c r="F12118" s="128">
        <v>568406.31000000006</v>
      </c>
      <c r="G12118" s="128">
        <v>355842.8</v>
      </c>
      <c r="H12118" s="128">
        <v>166872.89000000001</v>
      </c>
      <c r="I12118" s="128">
        <v>3353</v>
      </c>
    </row>
    <row r="12119" spans="1:9" ht="13.5">
      <c r="A12119" s="128">
        <v>2022</v>
      </c>
      <c r="B12119" s="128" t="s">
        <v>137</v>
      </c>
      <c r="C12119" s="128" t="s">
        <v>23</v>
      </c>
      <c r="D12119" s="128" t="s">
        <v>77</v>
      </c>
      <c r="E12119" s="128" t="s">
        <v>133</v>
      </c>
      <c r="F12119" s="128">
        <v>2548673.9500000002</v>
      </c>
      <c r="G12119" s="128">
        <v>1357357.25</v>
      </c>
      <c r="H12119" s="128">
        <v>1073185.75</v>
      </c>
      <c r="I12119" s="128">
        <v>8215</v>
      </c>
    </row>
    <row r="12120" spans="1:9" ht="13.5">
      <c r="A12120" s="128">
        <v>2022</v>
      </c>
      <c r="B12120" s="128" t="s">
        <v>137</v>
      </c>
      <c r="C12120" s="128" t="s">
        <v>23</v>
      </c>
      <c r="D12120" s="128" t="s">
        <v>77</v>
      </c>
      <c r="E12120" s="128" t="s">
        <v>134</v>
      </c>
      <c r="F12120" s="128">
        <v>11673437.970000001</v>
      </c>
      <c r="G12120" s="128">
        <v>4979529.17</v>
      </c>
      <c r="H12120" s="128">
        <v>5058211.18</v>
      </c>
      <c r="I12120" s="128">
        <v>16909</v>
      </c>
    </row>
    <row r="12121" spans="1:9" ht="13.5">
      <c r="A12121" s="128">
        <v>2022</v>
      </c>
      <c r="B12121" s="128" t="s">
        <v>137</v>
      </c>
      <c r="C12121" s="128" t="s">
        <v>23</v>
      </c>
      <c r="D12121" s="128" t="s">
        <v>77</v>
      </c>
      <c r="E12121" s="128" t="s">
        <v>135</v>
      </c>
      <c r="F12121" s="128">
        <v>13843101.880000001</v>
      </c>
      <c r="G12121" s="128">
        <v>3867032.39</v>
      </c>
      <c r="H12121" s="128">
        <v>4380454.5199999996</v>
      </c>
      <c r="I12121" s="128">
        <v>47954</v>
      </c>
    </row>
    <row r="12122" spans="1:9" ht="13.5">
      <c r="A12122" s="128">
        <v>2022</v>
      </c>
      <c r="B12122" s="128" t="s">
        <v>137</v>
      </c>
      <c r="C12122" s="128" t="s">
        <v>23</v>
      </c>
      <c r="D12122" s="128" t="s">
        <v>76</v>
      </c>
      <c r="E12122" s="128" t="s">
        <v>136</v>
      </c>
      <c r="F12122" s="128">
        <v>8470013.5899999999</v>
      </c>
      <c r="G12122" s="128">
        <v>6358661.9900000002</v>
      </c>
      <c r="H12122" s="128">
        <v>2111351.6</v>
      </c>
      <c r="I12122" s="128">
        <v>191487</v>
      </c>
    </row>
    <row r="12123" spans="1:9" ht="13.5">
      <c r="A12123" s="128">
        <v>2022</v>
      </c>
      <c r="B12123" s="128" t="s">
        <v>137</v>
      </c>
      <c r="C12123" s="128" t="s">
        <v>23</v>
      </c>
      <c r="D12123" s="128" t="s">
        <v>76</v>
      </c>
      <c r="E12123" s="128" t="s">
        <v>132</v>
      </c>
      <c r="F12123" s="128">
        <v>15334644.43</v>
      </c>
      <c r="G12123" s="128">
        <v>9655941.6699999999</v>
      </c>
      <c r="H12123" s="128">
        <v>5678578.9199999999</v>
      </c>
      <c r="I12123" s="128">
        <v>119675</v>
      </c>
    </row>
    <row r="12124" spans="1:9" ht="13.5">
      <c r="A12124" s="128">
        <v>2022</v>
      </c>
      <c r="B12124" s="128" t="s">
        <v>137</v>
      </c>
      <c r="C12124" s="128" t="s">
        <v>23</v>
      </c>
      <c r="D12124" s="128" t="s">
        <v>76</v>
      </c>
      <c r="E12124" s="128" t="s">
        <v>133</v>
      </c>
      <c r="F12124" s="128">
        <v>31462682.059999999</v>
      </c>
      <c r="G12124" s="128">
        <v>17060843.25</v>
      </c>
      <c r="H12124" s="128">
        <v>14401819.09</v>
      </c>
      <c r="I12124" s="128">
        <v>194224</v>
      </c>
    </row>
    <row r="12125" spans="1:9" ht="13.5">
      <c r="A12125" s="128">
        <v>2022</v>
      </c>
      <c r="B12125" s="128" t="s">
        <v>137</v>
      </c>
      <c r="C12125" s="128" t="s">
        <v>23</v>
      </c>
      <c r="D12125" s="128" t="s">
        <v>76</v>
      </c>
      <c r="E12125" s="128" t="s">
        <v>134</v>
      </c>
      <c r="F12125" s="128">
        <v>30204050.190000001</v>
      </c>
      <c r="G12125" s="128">
        <v>13988114</v>
      </c>
      <c r="H12125" s="128">
        <v>16215901.49</v>
      </c>
      <c r="I12125" s="128">
        <v>146801</v>
      </c>
    </row>
    <row r="12126" spans="1:9" ht="13.5">
      <c r="A12126" s="128">
        <v>2022</v>
      </c>
      <c r="B12126" s="128" t="s">
        <v>137</v>
      </c>
      <c r="C12126" s="128" t="s">
        <v>23</v>
      </c>
      <c r="D12126" s="128" t="s">
        <v>76</v>
      </c>
      <c r="E12126" s="128" t="s">
        <v>135</v>
      </c>
      <c r="F12126" s="128">
        <v>969838.66</v>
      </c>
      <c r="G12126" s="128">
        <v>275905.14</v>
      </c>
      <c r="H12126" s="128">
        <v>693933.52</v>
      </c>
      <c r="I12126" s="128">
        <v>860</v>
      </c>
    </row>
    <row r="12127" spans="1:9" ht="13.5">
      <c r="A12127" s="128">
        <v>2022</v>
      </c>
      <c r="B12127" s="128" t="s">
        <v>137</v>
      </c>
      <c r="C12127" s="128" t="s">
        <v>24</v>
      </c>
      <c r="D12127" s="128" t="s">
        <v>79</v>
      </c>
      <c r="E12127" s="128" t="s">
        <v>136</v>
      </c>
      <c r="F12127" s="128">
        <v>1755659.47</v>
      </c>
      <c r="G12127" s="128">
        <v>1310537.42</v>
      </c>
      <c r="H12127" s="128">
        <v>431455.29</v>
      </c>
      <c r="I12127" s="128">
        <v>26191</v>
      </c>
    </row>
    <row r="12128" spans="1:9" ht="13.5">
      <c r="A12128" s="128">
        <v>2022</v>
      </c>
      <c r="B12128" s="128" t="s">
        <v>137</v>
      </c>
      <c r="C12128" s="128" t="s">
        <v>24</v>
      </c>
      <c r="D12128" s="128" t="s">
        <v>79</v>
      </c>
      <c r="E12128" s="128" t="s">
        <v>132</v>
      </c>
      <c r="F12128" s="128">
        <v>341698.15</v>
      </c>
      <c r="G12128" s="128">
        <v>228702.56</v>
      </c>
      <c r="H12128" s="128">
        <v>76810.64</v>
      </c>
      <c r="I12128" s="128">
        <v>883</v>
      </c>
    </row>
    <row r="12129" spans="1:9" ht="13.5">
      <c r="A12129" s="128">
        <v>2022</v>
      </c>
      <c r="B12129" s="128" t="s">
        <v>137</v>
      </c>
      <c r="C12129" s="128" t="s">
        <v>24</v>
      </c>
      <c r="D12129" s="128" t="s">
        <v>79</v>
      </c>
      <c r="E12129" s="128" t="s">
        <v>133</v>
      </c>
      <c r="F12129" s="128">
        <v>565487.35</v>
      </c>
      <c r="G12129" s="128">
        <v>310267.52000000002</v>
      </c>
      <c r="H12129" s="128">
        <v>103877.75</v>
      </c>
      <c r="I12129" s="128">
        <v>1288</v>
      </c>
    </row>
    <row r="12130" spans="1:9" ht="13.5">
      <c r="A12130" s="128">
        <v>2022</v>
      </c>
      <c r="B12130" s="128" t="s">
        <v>137</v>
      </c>
      <c r="C12130" s="128" t="s">
        <v>24</v>
      </c>
      <c r="D12130" s="128" t="s">
        <v>79</v>
      </c>
      <c r="E12130" s="128" t="s">
        <v>134</v>
      </c>
      <c r="F12130" s="128">
        <v>1556924.75</v>
      </c>
      <c r="G12130" s="128">
        <v>677091.85</v>
      </c>
      <c r="H12130" s="128">
        <v>227509.12</v>
      </c>
      <c r="I12130" s="128">
        <v>8319</v>
      </c>
    </row>
    <row r="12131" spans="1:9" ht="13.5">
      <c r="A12131" s="128">
        <v>2022</v>
      </c>
      <c r="B12131" s="128" t="s">
        <v>137</v>
      </c>
      <c r="C12131" s="128" t="s">
        <v>24</v>
      </c>
      <c r="D12131" s="128" t="s">
        <v>79</v>
      </c>
      <c r="E12131" s="128" t="s">
        <v>135</v>
      </c>
      <c r="F12131" s="128">
        <v>9043741.1799999997</v>
      </c>
      <c r="G12131" s="128">
        <v>1790332.45</v>
      </c>
      <c r="H12131" s="128">
        <v>613161.06000000006</v>
      </c>
      <c r="I12131" s="128">
        <v>9056</v>
      </c>
    </row>
    <row r="12132" spans="1:9" ht="13.5">
      <c r="A12132" s="128">
        <v>2022</v>
      </c>
      <c r="B12132" s="128" t="s">
        <v>137</v>
      </c>
      <c r="C12132" s="128" t="s">
        <v>24</v>
      </c>
      <c r="D12132" s="128" t="s">
        <v>77</v>
      </c>
      <c r="E12132" s="128" t="s">
        <v>132</v>
      </c>
      <c r="F12132" s="128">
        <v>697641.97</v>
      </c>
      <c r="G12132" s="128">
        <v>453541.2</v>
      </c>
      <c r="H12132" s="128">
        <v>216498.47</v>
      </c>
      <c r="I12132" s="128">
        <v>3326</v>
      </c>
    </row>
    <row r="12133" spans="1:9" ht="13.5">
      <c r="A12133" s="128">
        <v>2022</v>
      </c>
      <c r="B12133" s="128" t="s">
        <v>137</v>
      </c>
      <c r="C12133" s="128" t="s">
        <v>24</v>
      </c>
      <c r="D12133" s="128" t="s">
        <v>77</v>
      </c>
      <c r="E12133" s="128" t="s">
        <v>133</v>
      </c>
      <c r="F12133" s="128">
        <v>2989289.8</v>
      </c>
      <c r="G12133" s="128">
        <v>1599997.63</v>
      </c>
      <c r="H12133" s="128">
        <v>1189772.6000000001</v>
      </c>
      <c r="I12133" s="128">
        <v>22381</v>
      </c>
    </row>
    <row r="12134" spans="1:9" ht="13.5">
      <c r="A12134" s="128">
        <v>2022</v>
      </c>
      <c r="B12134" s="128" t="s">
        <v>137</v>
      </c>
      <c r="C12134" s="128" t="s">
        <v>24</v>
      </c>
      <c r="D12134" s="128" t="s">
        <v>77</v>
      </c>
      <c r="E12134" s="128" t="s">
        <v>134</v>
      </c>
      <c r="F12134" s="128">
        <v>9381111.6899999995</v>
      </c>
      <c r="G12134" s="128">
        <v>4115484.28</v>
      </c>
      <c r="H12134" s="128">
        <v>3766573.78</v>
      </c>
      <c r="I12134" s="128">
        <v>15256</v>
      </c>
    </row>
    <row r="12135" spans="1:9" ht="13.5">
      <c r="A12135" s="128">
        <v>2022</v>
      </c>
      <c r="B12135" s="128" t="s">
        <v>137</v>
      </c>
      <c r="C12135" s="128" t="s">
        <v>24</v>
      </c>
      <c r="D12135" s="128" t="s">
        <v>77</v>
      </c>
      <c r="E12135" s="128" t="s">
        <v>135</v>
      </c>
      <c r="F12135" s="128">
        <v>19513237.920000002</v>
      </c>
      <c r="G12135" s="128">
        <v>4811825.99</v>
      </c>
      <c r="H12135" s="128">
        <v>3564408.48</v>
      </c>
      <c r="I12135" s="128">
        <v>47834</v>
      </c>
    </row>
    <row r="12136" spans="1:9" ht="13.5">
      <c r="A12136" s="128">
        <v>2022</v>
      </c>
      <c r="B12136" s="128" t="s">
        <v>137</v>
      </c>
      <c r="C12136" s="128" t="s">
        <v>24</v>
      </c>
      <c r="D12136" s="128" t="s">
        <v>76</v>
      </c>
      <c r="E12136" s="128" t="s">
        <v>136</v>
      </c>
      <c r="F12136" s="128">
        <v>10605775.6</v>
      </c>
      <c r="G12136" s="128">
        <v>7970247.6399999997</v>
      </c>
      <c r="H12136" s="128">
        <v>2635643.91</v>
      </c>
      <c r="I12136" s="128">
        <v>187353</v>
      </c>
    </row>
    <row r="12137" spans="1:9" ht="13.5">
      <c r="A12137" s="128">
        <v>2022</v>
      </c>
      <c r="B12137" s="128" t="s">
        <v>137</v>
      </c>
      <c r="C12137" s="128" t="s">
        <v>24</v>
      </c>
      <c r="D12137" s="128" t="s">
        <v>76</v>
      </c>
      <c r="E12137" s="128" t="s">
        <v>132</v>
      </c>
      <c r="F12137" s="128">
        <v>11142030.720000001</v>
      </c>
      <c r="G12137" s="128">
        <v>7245609.0700000003</v>
      </c>
      <c r="H12137" s="128">
        <v>3896224.39</v>
      </c>
      <c r="I12137" s="128">
        <v>74550</v>
      </c>
    </row>
    <row r="12138" spans="1:9" ht="13.5">
      <c r="A12138" s="128">
        <v>2022</v>
      </c>
      <c r="B12138" s="128" t="s">
        <v>137</v>
      </c>
      <c r="C12138" s="128" t="s">
        <v>24</v>
      </c>
      <c r="D12138" s="128" t="s">
        <v>76</v>
      </c>
      <c r="E12138" s="128" t="s">
        <v>133</v>
      </c>
      <c r="F12138" s="128">
        <v>50825082.68</v>
      </c>
      <c r="G12138" s="128">
        <v>27910874.510000002</v>
      </c>
      <c r="H12138" s="128">
        <v>22914142.280000001</v>
      </c>
      <c r="I12138" s="128">
        <v>329880</v>
      </c>
    </row>
    <row r="12139" spans="1:9" ht="13.5">
      <c r="A12139" s="128">
        <v>2022</v>
      </c>
      <c r="B12139" s="128" t="s">
        <v>137</v>
      </c>
      <c r="C12139" s="128" t="s">
        <v>24</v>
      </c>
      <c r="D12139" s="128" t="s">
        <v>76</v>
      </c>
      <c r="E12139" s="128" t="s">
        <v>134</v>
      </c>
      <c r="F12139" s="128">
        <v>53564648.880000003</v>
      </c>
      <c r="G12139" s="128">
        <v>23925699.440000001</v>
      </c>
      <c r="H12139" s="128">
        <v>29638911.66</v>
      </c>
      <c r="I12139" s="128">
        <v>240993</v>
      </c>
    </row>
    <row r="12140" spans="1:9" ht="13.5">
      <c r="A12140" s="128">
        <v>2022</v>
      </c>
      <c r="B12140" s="128" t="s">
        <v>137</v>
      </c>
      <c r="C12140" s="128" t="s">
        <v>24</v>
      </c>
      <c r="D12140" s="128" t="s">
        <v>76</v>
      </c>
      <c r="E12140" s="128" t="s">
        <v>135</v>
      </c>
      <c r="F12140" s="128">
        <v>2115163.98</v>
      </c>
      <c r="G12140" s="128">
        <v>561582.74</v>
      </c>
      <c r="H12140" s="128">
        <v>1553581.24</v>
      </c>
      <c r="I12140" s="128">
        <v>1503</v>
      </c>
    </row>
    <row r="12141" spans="1:9" ht="13.5">
      <c r="A12141" s="128">
        <v>2022</v>
      </c>
      <c r="B12141" s="128" t="s">
        <v>137</v>
      </c>
      <c r="C12141" s="128" t="s">
        <v>25</v>
      </c>
      <c r="D12141" s="128" t="s">
        <v>79</v>
      </c>
      <c r="E12141" s="128" t="s">
        <v>136</v>
      </c>
      <c r="F12141" s="128">
        <v>337084.92</v>
      </c>
      <c r="G12141" s="128">
        <v>252979.66</v>
      </c>
      <c r="H12141" s="128">
        <v>84083</v>
      </c>
      <c r="I12141" s="128">
        <v>3854</v>
      </c>
    </row>
    <row r="12142" spans="1:9" ht="13.5">
      <c r="A12142" s="128">
        <v>2022</v>
      </c>
      <c r="B12142" s="128" t="s">
        <v>137</v>
      </c>
      <c r="C12142" s="128" t="s">
        <v>25</v>
      </c>
      <c r="D12142" s="128" t="s">
        <v>79</v>
      </c>
      <c r="E12142" s="128" t="s">
        <v>132</v>
      </c>
      <c r="F12142" s="128">
        <v>86542.89</v>
      </c>
      <c r="G12142" s="128">
        <v>56302.02</v>
      </c>
      <c r="H12142" s="128">
        <v>18784.169999999998</v>
      </c>
      <c r="I12142" s="128">
        <v>209</v>
      </c>
    </row>
    <row r="12143" spans="1:9" ht="13.5">
      <c r="A12143" s="128">
        <v>2022</v>
      </c>
      <c r="B12143" s="128" t="s">
        <v>137</v>
      </c>
      <c r="C12143" s="128" t="s">
        <v>25</v>
      </c>
      <c r="D12143" s="128" t="s">
        <v>79</v>
      </c>
      <c r="E12143" s="128" t="s">
        <v>133</v>
      </c>
      <c r="F12143" s="128">
        <v>60703.77</v>
      </c>
      <c r="G12143" s="128">
        <v>32967.26</v>
      </c>
      <c r="H12143" s="128">
        <v>11212.28</v>
      </c>
      <c r="I12143" s="128">
        <v>240</v>
      </c>
    </row>
    <row r="12144" spans="1:9" ht="13.5">
      <c r="A12144" s="128">
        <v>2022</v>
      </c>
      <c r="B12144" s="128" t="s">
        <v>137</v>
      </c>
      <c r="C12144" s="128" t="s">
        <v>25</v>
      </c>
      <c r="D12144" s="128" t="s">
        <v>79</v>
      </c>
      <c r="E12144" s="128" t="s">
        <v>134</v>
      </c>
      <c r="F12144" s="128">
        <v>209995.46</v>
      </c>
      <c r="G12144" s="128">
        <v>90257.45</v>
      </c>
      <c r="H12144" s="128">
        <v>30115.71</v>
      </c>
      <c r="I12144" s="128">
        <v>368</v>
      </c>
    </row>
    <row r="12145" spans="1:9" ht="13.5">
      <c r="A12145" s="128">
        <v>2022</v>
      </c>
      <c r="B12145" s="128" t="s">
        <v>137</v>
      </c>
      <c r="C12145" s="128" t="s">
        <v>25</v>
      </c>
      <c r="D12145" s="128" t="s">
        <v>79</v>
      </c>
      <c r="E12145" s="128" t="s">
        <v>135</v>
      </c>
      <c r="F12145" s="128">
        <v>2229009.77</v>
      </c>
      <c r="G12145" s="128">
        <v>483636.39</v>
      </c>
      <c r="H12145" s="128">
        <v>162073.44</v>
      </c>
      <c r="I12145" s="128">
        <v>1546</v>
      </c>
    </row>
    <row r="12146" spans="1:9" ht="13.5">
      <c r="A12146" s="128">
        <v>2022</v>
      </c>
      <c r="B12146" s="128" t="s">
        <v>137</v>
      </c>
      <c r="C12146" s="128" t="s">
        <v>25</v>
      </c>
      <c r="D12146" s="128" t="s">
        <v>77</v>
      </c>
      <c r="E12146" s="128" t="s">
        <v>132</v>
      </c>
      <c r="F12146" s="128">
        <v>223884.22</v>
      </c>
      <c r="G12146" s="128">
        <v>144760.51999999999</v>
      </c>
      <c r="H12146" s="128">
        <v>72389.320000000007</v>
      </c>
      <c r="I12146" s="128">
        <v>1416</v>
      </c>
    </row>
    <row r="12147" spans="1:9" ht="13.5">
      <c r="A12147" s="128">
        <v>2022</v>
      </c>
      <c r="B12147" s="128" t="s">
        <v>137</v>
      </c>
      <c r="C12147" s="128" t="s">
        <v>25</v>
      </c>
      <c r="D12147" s="128" t="s">
        <v>77</v>
      </c>
      <c r="E12147" s="128" t="s">
        <v>133</v>
      </c>
      <c r="F12147" s="128">
        <v>582978.11</v>
      </c>
      <c r="G12147" s="128">
        <v>314791.92</v>
      </c>
      <c r="H12147" s="128">
        <v>245319.32</v>
      </c>
      <c r="I12147" s="128">
        <v>2610</v>
      </c>
    </row>
    <row r="12148" spans="1:9" ht="13.5">
      <c r="A12148" s="128">
        <v>2022</v>
      </c>
      <c r="B12148" s="128" t="s">
        <v>137</v>
      </c>
      <c r="C12148" s="128" t="s">
        <v>25</v>
      </c>
      <c r="D12148" s="128" t="s">
        <v>77</v>
      </c>
      <c r="E12148" s="128" t="s">
        <v>134</v>
      </c>
      <c r="F12148" s="128">
        <v>2715223.4</v>
      </c>
      <c r="G12148" s="128">
        <v>1164369.04</v>
      </c>
      <c r="H12148" s="128">
        <v>1198053.48</v>
      </c>
      <c r="I12148" s="128">
        <v>3273</v>
      </c>
    </row>
    <row r="12149" spans="1:9" ht="13.5">
      <c r="A12149" s="128">
        <v>2022</v>
      </c>
      <c r="B12149" s="128" t="s">
        <v>137</v>
      </c>
      <c r="C12149" s="128" t="s">
        <v>25</v>
      </c>
      <c r="D12149" s="128" t="s">
        <v>77</v>
      </c>
      <c r="E12149" s="128" t="s">
        <v>135</v>
      </c>
      <c r="F12149" s="128">
        <v>3436479.13</v>
      </c>
      <c r="G12149" s="128">
        <v>889943</v>
      </c>
      <c r="H12149" s="128">
        <v>1012814.4</v>
      </c>
      <c r="I12149" s="128">
        <v>7351</v>
      </c>
    </row>
    <row r="12150" spans="1:9" ht="13.5">
      <c r="A12150" s="128">
        <v>2022</v>
      </c>
      <c r="B12150" s="128" t="s">
        <v>137</v>
      </c>
      <c r="C12150" s="128" t="s">
        <v>25</v>
      </c>
      <c r="D12150" s="128" t="s">
        <v>76</v>
      </c>
      <c r="E12150" s="128" t="s">
        <v>136</v>
      </c>
      <c r="F12150" s="128">
        <v>1840302.05</v>
      </c>
      <c r="G12150" s="128">
        <v>1383258.32</v>
      </c>
      <c r="H12150" s="128">
        <v>457033.93</v>
      </c>
      <c r="I12150" s="128">
        <v>24340</v>
      </c>
    </row>
    <row r="12151" spans="1:9" ht="13.5">
      <c r="A12151" s="128">
        <v>2022</v>
      </c>
      <c r="B12151" s="128" t="s">
        <v>137</v>
      </c>
      <c r="C12151" s="128" t="s">
        <v>25</v>
      </c>
      <c r="D12151" s="128" t="s">
        <v>76</v>
      </c>
      <c r="E12151" s="128" t="s">
        <v>132</v>
      </c>
      <c r="F12151" s="128">
        <v>2990236.87</v>
      </c>
      <c r="G12151" s="128">
        <v>1888516.92</v>
      </c>
      <c r="H12151" s="128">
        <v>1101695.3</v>
      </c>
      <c r="I12151" s="128">
        <v>20464</v>
      </c>
    </row>
    <row r="12152" spans="1:9" ht="13.5">
      <c r="A12152" s="128">
        <v>2022</v>
      </c>
      <c r="B12152" s="128" t="s">
        <v>137</v>
      </c>
      <c r="C12152" s="128" t="s">
        <v>25</v>
      </c>
      <c r="D12152" s="128" t="s">
        <v>76</v>
      </c>
      <c r="E12152" s="128" t="s">
        <v>133</v>
      </c>
      <c r="F12152" s="128">
        <v>9539470.0500000007</v>
      </c>
      <c r="G12152" s="128">
        <v>5196102.32</v>
      </c>
      <c r="H12152" s="128">
        <v>4343365.83</v>
      </c>
      <c r="I12152" s="128">
        <v>56089</v>
      </c>
    </row>
    <row r="12153" spans="1:9" ht="13.5">
      <c r="A12153" s="128">
        <v>2022</v>
      </c>
      <c r="B12153" s="128" t="s">
        <v>137</v>
      </c>
      <c r="C12153" s="128" t="s">
        <v>25</v>
      </c>
      <c r="D12153" s="128" t="s">
        <v>76</v>
      </c>
      <c r="E12153" s="128" t="s">
        <v>134</v>
      </c>
      <c r="F12153" s="128">
        <v>10872838.880000001</v>
      </c>
      <c r="G12153" s="128">
        <v>5012356.91</v>
      </c>
      <c r="H12153" s="128">
        <v>5860474.8700000001</v>
      </c>
      <c r="I12153" s="128">
        <v>54173</v>
      </c>
    </row>
    <row r="12154" spans="1:9" ht="13.5">
      <c r="A12154" s="128">
        <v>2022</v>
      </c>
      <c r="B12154" s="128" t="s">
        <v>137</v>
      </c>
      <c r="C12154" s="128" t="s">
        <v>25</v>
      </c>
      <c r="D12154" s="128" t="s">
        <v>76</v>
      </c>
      <c r="E12154" s="128" t="s">
        <v>135</v>
      </c>
      <c r="F12154" s="128">
        <v>349908.01</v>
      </c>
      <c r="G12154" s="128">
        <v>99008.58</v>
      </c>
      <c r="H12154" s="128">
        <v>250899.43</v>
      </c>
      <c r="I12154" s="128">
        <v>248</v>
      </c>
    </row>
    <row r="12155" spans="1:9" ht="13.5">
      <c r="A12155" s="128">
        <v>2022</v>
      </c>
      <c r="B12155" s="128" t="s">
        <v>137</v>
      </c>
      <c r="C12155" s="128" t="s">
        <v>26</v>
      </c>
      <c r="D12155" s="128" t="s">
        <v>79</v>
      </c>
      <c r="E12155" s="128" t="s">
        <v>136</v>
      </c>
      <c r="F12155" s="128">
        <v>361276.75</v>
      </c>
      <c r="G12155" s="128">
        <v>260271.25</v>
      </c>
      <c r="H12155" s="128">
        <v>85333.49</v>
      </c>
      <c r="I12155" s="128">
        <v>2447</v>
      </c>
    </row>
    <row r="12156" spans="1:9" ht="13.5">
      <c r="A12156" s="128">
        <v>2022</v>
      </c>
      <c r="B12156" s="128" t="s">
        <v>137</v>
      </c>
      <c r="C12156" s="128" t="s">
        <v>26</v>
      </c>
      <c r="D12156" s="128" t="s">
        <v>79</v>
      </c>
      <c r="E12156" s="128" t="s">
        <v>132</v>
      </c>
      <c r="F12156" s="128">
        <v>74965.45</v>
      </c>
      <c r="G12156" s="128">
        <v>49855.16</v>
      </c>
      <c r="H12156" s="128">
        <v>16790.349999999999</v>
      </c>
      <c r="I12156" s="128">
        <v>213</v>
      </c>
    </row>
    <row r="12157" spans="1:9" ht="13.5">
      <c r="A12157" s="128">
        <v>2022</v>
      </c>
      <c r="B12157" s="128" t="s">
        <v>137</v>
      </c>
      <c r="C12157" s="128" t="s">
        <v>26</v>
      </c>
      <c r="D12157" s="128" t="s">
        <v>79</v>
      </c>
      <c r="E12157" s="128" t="s">
        <v>133</v>
      </c>
      <c r="F12157" s="128">
        <v>96763.03</v>
      </c>
      <c r="G12157" s="128">
        <v>51854.43</v>
      </c>
      <c r="H12157" s="128">
        <v>17627.07</v>
      </c>
      <c r="I12157" s="128">
        <v>190</v>
      </c>
    </row>
    <row r="12158" spans="1:9" ht="13.5">
      <c r="A12158" s="128">
        <v>2022</v>
      </c>
      <c r="B12158" s="128" t="s">
        <v>137</v>
      </c>
      <c r="C12158" s="128" t="s">
        <v>26</v>
      </c>
      <c r="D12158" s="128" t="s">
        <v>79</v>
      </c>
      <c r="E12158" s="128" t="s">
        <v>134</v>
      </c>
      <c r="F12158" s="128">
        <v>509654.86</v>
      </c>
      <c r="G12158" s="128">
        <v>214181.93</v>
      </c>
      <c r="H12158" s="128">
        <v>71264.77</v>
      </c>
      <c r="I12158" s="128">
        <v>1778</v>
      </c>
    </row>
    <row r="12159" spans="1:9" ht="13.5">
      <c r="A12159" s="128">
        <v>2022</v>
      </c>
      <c r="B12159" s="128" t="s">
        <v>137</v>
      </c>
      <c r="C12159" s="128" t="s">
        <v>26</v>
      </c>
      <c r="D12159" s="128" t="s">
        <v>79</v>
      </c>
      <c r="E12159" s="128" t="s">
        <v>135</v>
      </c>
      <c r="F12159" s="128">
        <v>8782763.1500000004</v>
      </c>
      <c r="G12159" s="128">
        <v>1888370.35</v>
      </c>
      <c r="H12159" s="128">
        <v>630748.82999999996</v>
      </c>
      <c r="I12159" s="128">
        <v>7431</v>
      </c>
    </row>
    <row r="12160" spans="1:9" ht="13.5">
      <c r="A12160" s="128">
        <v>2022</v>
      </c>
      <c r="B12160" s="128" t="s">
        <v>137</v>
      </c>
      <c r="C12160" s="128" t="s">
        <v>26</v>
      </c>
      <c r="D12160" s="128" t="s">
        <v>77</v>
      </c>
      <c r="E12160" s="128" t="s">
        <v>132</v>
      </c>
      <c r="F12160" s="128">
        <v>96644.53</v>
      </c>
      <c r="G12160" s="128">
        <v>63679.1</v>
      </c>
      <c r="H12160" s="128">
        <v>28466.5</v>
      </c>
      <c r="I12160" s="128">
        <v>395</v>
      </c>
    </row>
    <row r="12161" spans="1:9" ht="13.5">
      <c r="A12161" s="128">
        <v>2022</v>
      </c>
      <c r="B12161" s="128" t="s">
        <v>137</v>
      </c>
      <c r="C12161" s="128" t="s">
        <v>26</v>
      </c>
      <c r="D12161" s="128" t="s">
        <v>77</v>
      </c>
      <c r="E12161" s="128" t="s">
        <v>133</v>
      </c>
      <c r="F12161" s="128">
        <v>187462.94</v>
      </c>
      <c r="G12161" s="128">
        <v>99791.4</v>
      </c>
      <c r="H12161" s="128">
        <v>79185.17</v>
      </c>
      <c r="I12161" s="128">
        <v>479</v>
      </c>
    </row>
    <row r="12162" spans="1:9" ht="13.5">
      <c r="A12162" s="128">
        <v>2022</v>
      </c>
      <c r="B12162" s="128" t="s">
        <v>137</v>
      </c>
      <c r="C12162" s="128" t="s">
        <v>26</v>
      </c>
      <c r="D12162" s="128" t="s">
        <v>77</v>
      </c>
      <c r="E12162" s="128" t="s">
        <v>134</v>
      </c>
      <c r="F12162" s="128">
        <v>718374.76</v>
      </c>
      <c r="G12162" s="128">
        <v>308047.06</v>
      </c>
      <c r="H12162" s="128">
        <v>308813.71000000002</v>
      </c>
      <c r="I12162" s="128">
        <v>1358</v>
      </c>
    </row>
    <row r="12163" spans="1:9" ht="13.5">
      <c r="A12163" s="128">
        <v>2022</v>
      </c>
      <c r="B12163" s="128" t="s">
        <v>137</v>
      </c>
      <c r="C12163" s="128" t="s">
        <v>26</v>
      </c>
      <c r="D12163" s="128" t="s">
        <v>77</v>
      </c>
      <c r="E12163" s="128" t="s">
        <v>135</v>
      </c>
      <c r="F12163" s="128">
        <v>4336965.5199999996</v>
      </c>
      <c r="G12163" s="128">
        <v>1157519.1599999999</v>
      </c>
      <c r="H12163" s="128">
        <v>1180432.24</v>
      </c>
      <c r="I12163" s="128">
        <v>14866</v>
      </c>
    </row>
    <row r="12164" spans="1:9" ht="13.5">
      <c r="A12164" s="128">
        <v>2022</v>
      </c>
      <c r="B12164" s="128" t="s">
        <v>137</v>
      </c>
      <c r="C12164" s="128" t="s">
        <v>26</v>
      </c>
      <c r="D12164" s="128" t="s">
        <v>76</v>
      </c>
      <c r="E12164" s="128" t="s">
        <v>136</v>
      </c>
      <c r="F12164" s="128">
        <v>458207.36</v>
      </c>
      <c r="G12164" s="128">
        <v>345066.21</v>
      </c>
      <c r="H12164" s="128">
        <v>113141.15</v>
      </c>
      <c r="I12164" s="128">
        <v>9866</v>
      </c>
    </row>
    <row r="12165" spans="1:9" ht="13.5">
      <c r="A12165" s="128">
        <v>2022</v>
      </c>
      <c r="B12165" s="128" t="s">
        <v>137</v>
      </c>
      <c r="C12165" s="128" t="s">
        <v>26</v>
      </c>
      <c r="D12165" s="128" t="s">
        <v>76</v>
      </c>
      <c r="E12165" s="128" t="s">
        <v>132</v>
      </c>
      <c r="F12165" s="128">
        <v>1898611.14</v>
      </c>
      <c r="G12165" s="128">
        <v>1215923.8500000001</v>
      </c>
      <c r="H12165" s="128">
        <v>682683.99</v>
      </c>
      <c r="I12165" s="128">
        <v>16990</v>
      </c>
    </row>
    <row r="12166" spans="1:9" ht="13.5">
      <c r="A12166" s="128">
        <v>2022</v>
      </c>
      <c r="B12166" s="128" t="s">
        <v>137</v>
      </c>
      <c r="C12166" s="128" t="s">
        <v>26</v>
      </c>
      <c r="D12166" s="128" t="s">
        <v>76</v>
      </c>
      <c r="E12166" s="128" t="s">
        <v>133</v>
      </c>
      <c r="F12166" s="128">
        <v>4608114.72</v>
      </c>
      <c r="G12166" s="128">
        <v>2550506.4</v>
      </c>
      <c r="H12166" s="128">
        <v>2057600.84</v>
      </c>
      <c r="I12166" s="128">
        <v>38486</v>
      </c>
    </row>
    <row r="12167" spans="1:9" ht="13.5">
      <c r="A12167" s="128">
        <v>2022</v>
      </c>
      <c r="B12167" s="128" t="s">
        <v>137</v>
      </c>
      <c r="C12167" s="128" t="s">
        <v>26</v>
      </c>
      <c r="D12167" s="128" t="s">
        <v>76</v>
      </c>
      <c r="E12167" s="128" t="s">
        <v>134</v>
      </c>
      <c r="F12167" s="128">
        <v>3283521.45</v>
      </c>
      <c r="G12167" s="128">
        <v>1511654.15</v>
      </c>
      <c r="H12167" s="128">
        <v>1771852.24</v>
      </c>
      <c r="I12167" s="128">
        <v>17387</v>
      </c>
    </row>
    <row r="12168" spans="1:9" ht="13.5">
      <c r="A12168" s="128">
        <v>2022</v>
      </c>
      <c r="B12168" s="128" t="s">
        <v>137</v>
      </c>
      <c r="C12168" s="128" t="s">
        <v>26</v>
      </c>
      <c r="D12168" s="128" t="s">
        <v>76</v>
      </c>
      <c r="E12168" s="128" t="s">
        <v>135</v>
      </c>
      <c r="F12168" s="128">
        <v>200534.65</v>
      </c>
      <c r="G12168" s="128">
        <v>60863.6</v>
      </c>
      <c r="H12168" s="128">
        <v>139671.04999999999</v>
      </c>
      <c r="I12168" s="128">
        <v>241</v>
      </c>
    </row>
    <row r="12169" spans="1:9" ht="13.5">
      <c r="A12169" s="128">
        <v>2022</v>
      </c>
      <c r="B12169" s="128" t="s">
        <v>137</v>
      </c>
      <c r="C12169" s="128" t="s">
        <v>27</v>
      </c>
      <c r="D12169" s="128" t="s">
        <v>79</v>
      </c>
      <c r="E12169" s="128" t="s">
        <v>136</v>
      </c>
      <c r="F12169" s="128">
        <v>236171.43</v>
      </c>
      <c r="G12169" s="128">
        <v>176027.33</v>
      </c>
      <c r="H12169" s="128">
        <v>58475.35</v>
      </c>
      <c r="I12169" s="128">
        <v>1487</v>
      </c>
    </row>
    <row r="12170" spans="1:9" ht="13.5">
      <c r="A12170" s="128">
        <v>2022</v>
      </c>
      <c r="B12170" s="128" t="s">
        <v>137</v>
      </c>
      <c r="C12170" s="128" t="s">
        <v>27</v>
      </c>
      <c r="D12170" s="128" t="s">
        <v>79</v>
      </c>
      <c r="E12170" s="128" t="s">
        <v>132</v>
      </c>
      <c r="F12170" s="128">
        <v>28404.15</v>
      </c>
      <c r="G12170" s="128">
        <v>19401.8</v>
      </c>
      <c r="H12170" s="128">
        <v>6658.2</v>
      </c>
      <c r="I12170" s="128">
        <v>59</v>
      </c>
    </row>
    <row r="12171" spans="1:9" ht="13.5">
      <c r="A12171" s="128">
        <v>2022</v>
      </c>
      <c r="B12171" s="128" t="s">
        <v>137</v>
      </c>
      <c r="C12171" s="128" t="s">
        <v>27</v>
      </c>
      <c r="D12171" s="128" t="s">
        <v>79</v>
      </c>
      <c r="E12171" s="128" t="s">
        <v>133</v>
      </c>
      <c r="F12171" s="128">
        <v>22965.05</v>
      </c>
      <c r="G12171" s="128">
        <v>12691.02</v>
      </c>
      <c r="H12171" s="128">
        <v>4049.55</v>
      </c>
      <c r="I12171" s="128">
        <v>48</v>
      </c>
    </row>
    <row r="12172" spans="1:9" ht="13.5">
      <c r="A12172" s="128">
        <v>2022</v>
      </c>
      <c r="B12172" s="128" t="s">
        <v>137</v>
      </c>
      <c r="C12172" s="128" t="s">
        <v>27</v>
      </c>
      <c r="D12172" s="128" t="s">
        <v>79</v>
      </c>
      <c r="E12172" s="128" t="s">
        <v>134</v>
      </c>
      <c r="F12172" s="128">
        <v>59578.37</v>
      </c>
      <c r="G12172" s="128">
        <v>25698.26</v>
      </c>
      <c r="H12172" s="128">
        <v>8536.2999999999993</v>
      </c>
      <c r="I12172" s="128">
        <v>153</v>
      </c>
    </row>
    <row r="12173" spans="1:9" ht="13.5">
      <c r="A12173" s="128">
        <v>2022</v>
      </c>
      <c r="B12173" s="128" t="s">
        <v>137</v>
      </c>
      <c r="C12173" s="128" t="s">
        <v>27</v>
      </c>
      <c r="D12173" s="128" t="s">
        <v>79</v>
      </c>
      <c r="E12173" s="128" t="s">
        <v>135</v>
      </c>
      <c r="F12173" s="128">
        <v>1454951.19</v>
      </c>
      <c r="G12173" s="128">
        <v>321704.40000000002</v>
      </c>
      <c r="H12173" s="128">
        <v>107229.55</v>
      </c>
      <c r="I12173" s="128">
        <v>907</v>
      </c>
    </row>
    <row r="12174" spans="1:9" ht="13.5">
      <c r="A12174" s="128">
        <v>2022</v>
      </c>
      <c r="B12174" s="128" t="s">
        <v>137</v>
      </c>
      <c r="C12174" s="128" t="s">
        <v>27</v>
      </c>
      <c r="D12174" s="128" t="s">
        <v>77</v>
      </c>
      <c r="E12174" s="128" t="s">
        <v>132</v>
      </c>
      <c r="F12174" s="128">
        <v>31771.24</v>
      </c>
      <c r="G12174" s="128">
        <v>20256.39</v>
      </c>
      <c r="H12174" s="128">
        <v>9414.5499999999993</v>
      </c>
      <c r="I12174" s="128">
        <v>121</v>
      </c>
    </row>
    <row r="12175" spans="1:9" ht="13.5">
      <c r="A12175" s="128">
        <v>2022</v>
      </c>
      <c r="B12175" s="128" t="s">
        <v>137</v>
      </c>
      <c r="C12175" s="128" t="s">
        <v>27</v>
      </c>
      <c r="D12175" s="128" t="s">
        <v>77</v>
      </c>
      <c r="E12175" s="128" t="s">
        <v>133</v>
      </c>
      <c r="F12175" s="128">
        <v>105961.75</v>
      </c>
      <c r="G12175" s="128">
        <v>56322.16</v>
      </c>
      <c r="H12175" s="128">
        <v>44841.86</v>
      </c>
      <c r="I12175" s="128">
        <v>408</v>
      </c>
    </row>
    <row r="12176" spans="1:9" ht="13.5">
      <c r="A12176" s="128">
        <v>2022</v>
      </c>
      <c r="B12176" s="128" t="s">
        <v>137</v>
      </c>
      <c r="C12176" s="128" t="s">
        <v>27</v>
      </c>
      <c r="D12176" s="128" t="s">
        <v>77</v>
      </c>
      <c r="E12176" s="128" t="s">
        <v>134</v>
      </c>
      <c r="F12176" s="128">
        <v>291121.65000000002</v>
      </c>
      <c r="G12176" s="128">
        <v>126200.31</v>
      </c>
      <c r="H12176" s="128">
        <v>128337.11</v>
      </c>
      <c r="I12176" s="128">
        <v>462</v>
      </c>
    </row>
    <row r="12177" spans="1:9" ht="13.5">
      <c r="A12177" s="128">
        <v>2022</v>
      </c>
      <c r="B12177" s="128" t="s">
        <v>137</v>
      </c>
      <c r="C12177" s="128" t="s">
        <v>27</v>
      </c>
      <c r="D12177" s="128" t="s">
        <v>77</v>
      </c>
      <c r="E12177" s="128" t="s">
        <v>135</v>
      </c>
      <c r="F12177" s="128">
        <v>521493.2</v>
      </c>
      <c r="G12177" s="128">
        <v>141317.91</v>
      </c>
      <c r="H12177" s="128">
        <v>156729.81</v>
      </c>
      <c r="I12177" s="128">
        <v>1707</v>
      </c>
    </row>
    <row r="12178" spans="1:9" ht="13.5">
      <c r="A12178" s="128">
        <v>2022</v>
      </c>
      <c r="B12178" s="128" t="s">
        <v>137</v>
      </c>
      <c r="C12178" s="128" t="s">
        <v>27</v>
      </c>
      <c r="D12178" s="128" t="s">
        <v>76</v>
      </c>
      <c r="E12178" s="128" t="s">
        <v>136</v>
      </c>
      <c r="F12178" s="128">
        <v>326704.68</v>
      </c>
      <c r="G12178" s="128">
        <v>245188.55</v>
      </c>
      <c r="H12178" s="128">
        <v>81516.13</v>
      </c>
      <c r="I12178" s="128">
        <v>4314</v>
      </c>
    </row>
    <row r="12179" spans="1:9" ht="13.5">
      <c r="A12179" s="128">
        <v>2022</v>
      </c>
      <c r="B12179" s="128" t="s">
        <v>137</v>
      </c>
      <c r="C12179" s="128" t="s">
        <v>27</v>
      </c>
      <c r="D12179" s="128" t="s">
        <v>76</v>
      </c>
      <c r="E12179" s="128" t="s">
        <v>132</v>
      </c>
      <c r="F12179" s="128">
        <v>554349.28</v>
      </c>
      <c r="G12179" s="128">
        <v>352298</v>
      </c>
      <c r="H12179" s="128">
        <v>202014.07999999999</v>
      </c>
      <c r="I12179" s="128">
        <v>3715</v>
      </c>
    </row>
    <row r="12180" spans="1:9" ht="13.5">
      <c r="A12180" s="128">
        <v>2022</v>
      </c>
      <c r="B12180" s="128" t="s">
        <v>137</v>
      </c>
      <c r="C12180" s="128" t="s">
        <v>27</v>
      </c>
      <c r="D12180" s="128" t="s">
        <v>76</v>
      </c>
      <c r="E12180" s="128" t="s">
        <v>133</v>
      </c>
      <c r="F12180" s="128">
        <v>1535170.83</v>
      </c>
      <c r="G12180" s="128">
        <v>833651.8</v>
      </c>
      <c r="H12180" s="128">
        <v>701516.04</v>
      </c>
      <c r="I12180" s="128">
        <v>6631</v>
      </c>
    </row>
    <row r="12181" spans="1:9" ht="13.5">
      <c r="A12181" s="128">
        <v>2022</v>
      </c>
      <c r="B12181" s="128" t="s">
        <v>137</v>
      </c>
      <c r="C12181" s="128" t="s">
        <v>27</v>
      </c>
      <c r="D12181" s="128" t="s">
        <v>76</v>
      </c>
      <c r="E12181" s="128" t="s">
        <v>134</v>
      </c>
      <c r="F12181" s="128">
        <v>1682819.13</v>
      </c>
      <c r="G12181" s="128">
        <v>775495.34</v>
      </c>
      <c r="H12181" s="128">
        <v>907310.16</v>
      </c>
      <c r="I12181" s="128">
        <v>9711</v>
      </c>
    </row>
    <row r="12182" spans="1:9" ht="13.5">
      <c r="A12182" s="128">
        <v>2022</v>
      </c>
      <c r="B12182" s="128" t="s">
        <v>137</v>
      </c>
      <c r="C12182" s="128" t="s">
        <v>27</v>
      </c>
      <c r="D12182" s="128" t="s">
        <v>76</v>
      </c>
      <c r="E12182" s="128" t="s">
        <v>135</v>
      </c>
      <c r="F12182" s="128">
        <v>65153.59</v>
      </c>
      <c r="G12182" s="128">
        <v>21198.66</v>
      </c>
      <c r="H12182" s="128">
        <v>43954.93</v>
      </c>
      <c r="I12182" s="128">
        <v>83</v>
      </c>
    </row>
    <row r="12183" spans="1:9" ht="13.5">
      <c r="A12183" s="128">
        <v>2023</v>
      </c>
      <c r="B12183" s="128" t="s">
        <v>131</v>
      </c>
      <c r="C12183" s="128" t="s">
        <v>20</v>
      </c>
      <c r="D12183" s="128" t="s">
        <v>79</v>
      </c>
      <c r="E12183" s="128" t="s">
        <v>136</v>
      </c>
      <c r="F12183" s="128">
        <v>35956277.990000002</v>
      </c>
      <c r="G12183" s="128">
        <v>27086827.170000002</v>
      </c>
      <c r="H12183" s="128">
        <v>8850613.0600000005</v>
      </c>
      <c r="I12183" s="128">
        <v>273716</v>
      </c>
    </row>
    <row r="12184" spans="1:9" ht="13.5">
      <c r="A12184" s="128">
        <v>2023</v>
      </c>
      <c r="B12184" s="128" t="s">
        <v>131</v>
      </c>
      <c r="C12184" s="128" t="s">
        <v>20</v>
      </c>
      <c r="D12184" s="128" t="s">
        <v>79</v>
      </c>
      <c r="E12184" s="128" t="s">
        <v>132</v>
      </c>
      <c r="F12184" s="128">
        <v>3275451.56</v>
      </c>
      <c r="G12184" s="128">
        <v>2205899.71</v>
      </c>
      <c r="H12184" s="128">
        <v>749053.47</v>
      </c>
      <c r="I12184" s="128">
        <v>10975</v>
      </c>
    </row>
    <row r="12185" spans="1:9" ht="13.5">
      <c r="A12185" s="128">
        <v>2023</v>
      </c>
      <c r="B12185" s="128" t="s">
        <v>131</v>
      </c>
      <c r="C12185" s="128" t="s">
        <v>20</v>
      </c>
      <c r="D12185" s="128" t="s">
        <v>79</v>
      </c>
      <c r="E12185" s="128" t="s">
        <v>133</v>
      </c>
      <c r="F12185" s="128">
        <v>2401364.63</v>
      </c>
      <c r="G12185" s="128">
        <v>1292593.21</v>
      </c>
      <c r="H12185" s="128">
        <v>438717.48</v>
      </c>
      <c r="I12185" s="128">
        <v>5523</v>
      </c>
    </row>
    <row r="12186" spans="1:9" ht="13.5">
      <c r="A12186" s="128">
        <v>2023</v>
      </c>
      <c r="B12186" s="128" t="s">
        <v>131</v>
      </c>
      <c r="C12186" s="128" t="s">
        <v>20</v>
      </c>
      <c r="D12186" s="128" t="s">
        <v>79</v>
      </c>
      <c r="E12186" s="128" t="s">
        <v>134</v>
      </c>
      <c r="F12186" s="128">
        <v>8094524.2199999997</v>
      </c>
      <c r="G12186" s="128">
        <v>3453064.42</v>
      </c>
      <c r="H12186" s="128">
        <v>1206267.54</v>
      </c>
      <c r="I12186" s="128">
        <v>18341</v>
      </c>
    </row>
    <row r="12187" spans="1:9" ht="13.5">
      <c r="A12187" s="128">
        <v>2023</v>
      </c>
      <c r="B12187" s="128" t="s">
        <v>131</v>
      </c>
      <c r="C12187" s="128" t="s">
        <v>20</v>
      </c>
      <c r="D12187" s="128" t="s">
        <v>79</v>
      </c>
      <c r="E12187" s="128" t="s">
        <v>135</v>
      </c>
      <c r="F12187" s="128">
        <v>122231056.66</v>
      </c>
      <c r="G12187" s="128">
        <v>26951293.670000002</v>
      </c>
      <c r="H12187" s="128">
        <v>9084675.1799999997</v>
      </c>
      <c r="I12187" s="128">
        <v>96988</v>
      </c>
    </row>
    <row r="12188" spans="1:9" ht="13.5">
      <c r="A12188" s="128">
        <v>2023</v>
      </c>
      <c r="B12188" s="128" t="s">
        <v>131</v>
      </c>
      <c r="C12188" s="128" t="s">
        <v>20</v>
      </c>
      <c r="D12188" s="128" t="s">
        <v>77</v>
      </c>
      <c r="E12188" s="128" t="s">
        <v>132</v>
      </c>
      <c r="F12188" s="128">
        <v>2917919.43</v>
      </c>
      <c r="G12188" s="128">
        <v>1888244.92</v>
      </c>
      <c r="H12188" s="128">
        <v>859659.88</v>
      </c>
      <c r="I12188" s="128">
        <v>12388</v>
      </c>
    </row>
    <row r="12189" spans="1:9" ht="13.5">
      <c r="A12189" s="128">
        <v>2023</v>
      </c>
      <c r="B12189" s="128" t="s">
        <v>131</v>
      </c>
      <c r="C12189" s="128" t="s">
        <v>20</v>
      </c>
      <c r="D12189" s="128" t="s">
        <v>77</v>
      </c>
      <c r="E12189" s="128" t="s">
        <v>133</v>
      </c>
      <c r="F12189" s="128">
        <v>7121602.0899999999</v>
      </c>
      <c r="G12189" s="128">
        <v>3795986.83</v>
      </c>
      <c r="H12189" s="128">
        <v>2967186.33</v>
      </c>
      <c r="I12189" s="128">
        <v>19822</v>
      </c>
    </row>
    <row r="12190" spans="1:9" ht="13.5">
      <c r="A12190" s="128">
        <v>2023</v>
      </c>
      <c r="B12190" s="128" t="s">
        <v>131</v>
      </c>
      <c r="C12190" s="128" t="s">
        <v>20</v>
      </c>
      <c r="D12190" s="128" t="s">
        <v>77</v>
      </c>
      <c r="E12190" s="128" t="s">
        <v>134</v>
      </c>
      <c r="F12190" s="128">
        <v>22086362.41</v>
      </c>
      <c r="G12190" s="128">
        <v>9521030.1999999993</v>
      </c>
      <c r="H12190" s="128">
        <v>9492118.6600000001</v>
      </c>
      <c r="I12190" s="128">
        <v>35587</v>
      </c>
    </row>
    <row r="12191" spans="1:9" ht="13.5">
      <c r="A12191" s="128">
        <v>2023</v>
      </c>
      <c r="B12191" s="128" t="s">
        <v>131</v>
      </c>
      <c r="C12191" s="128" t="s">
        <v>20</v>
      </c>
      <c r="D12191" s="128" t="s">
        <v>77</v>
      </c>
      <c r="E12191" s="128" t="s">
        <v>135</v>
      </c>
      <c r="F12191" s="128">
        <v>57183759.479999997</v>
      </c>
      <c r="G12191" s="128">
        <v>14821424.24</v>
      </c>
      <c r="H12191" s="128">
        <v>16558338.16</v>
      </c>
      <c r="I12191" s="128">
        <v>181636</v>
      </c>
    </row>
    <row r="12192" spans="1:9" ht="13.5">
      <c r="A12192" s="128">
        <v>2023</v>
      </c>
      <c r="B12192" s="128" t="s">
        <v>131</v>
      </c>
      <c r="C12192" s="128" t="s">
        <v>20</v>
      </c>
      <c r="D12192" s="128" t="s">
        <v>76</v>
      </c>
      <c r="E12192" s="128" t="s">
        <v>136</v>
      </c>
      <c r="F12192" s="128">
        <v>30250936.920000002</v>
      </c>
      <c r="G12192" s="128">
        <v>22835875.219999999</v>
      </c>
      <c r="H12192" s="128">
        <v>7415090.5499999998</v>
      </c>
      <c r="I12192" s="128">
        <v>1023944</v>
      </c>
    </row>
    <row r="12193" spans="1:9" ht="13.5">
      <c r="A12193" s="128">
        <v>2023</v>
      </c>
      <c r="B12193" s="128" t="s">
        <v>131</v>
      </c>
      <c r="C12193" s="128" t="s">
        <v>20</v>
      </c>
      <c r="D12193" s="128" t="s">
        <v>76</v>
      </c>
      <c r="E12193" s="128" t="s">
        <v>132</v>
      </c>
      <c r="F12193" s="128">
        <v>61518881.549999997</v>
      </c>
      <c r="G12193" s="128">
        <v>39300794.189999998</v>
      </c>
      <c r="H12193" s="128">
        <v>22217568.140000001</v>
      </c>
      <c r="I12193" s="128">
        <v>472159</v>
      </c>
    </row>
    <row r="12194" spans="1:9" ht="13.5">
      <c r="A12194" s="128">
        <v>2023</v>
      </c>
      <c r="B12194" s="128" t="s">
        <v>131</v>
      </c>
      <c r="C12194" s="128" t="s">
        <v>20</v>
      </c>
      <c r="D12194" s="128" t="s">
        <v>76</v>
      </c>
      <c r="E12194" s="128" t="s">
        <v>133</v>
      </c>
      <c r="F12194" s="128">
        <v>121362436.84999999</v>
      </c>
      <c r="G12194" s="128">
        <v>66540487.240000002</v>
      </c>
      <c r="H12194" s="128">
        <v>54821804.490000002</v>
      </c>
      <c r="I12194" s="128">
        <v>638636</v>
      </c>
    </row>
    <row r="12195" spans="1:9" ht="13.5">
      <c r="A12195" s="128">
        <v>2023</v>
      </c>
      <c r="B12195" s="128" t="s">
        <v>131</v>
      </c>
      <c r="C12195" s="128" t="s">
        <v>20</v>
      </c>
      <c r="D12195" s="128" t="s">
        <v>76</v>
      </c>
      <c r="E12195" s="128" t="s">
        <v>134</v>
      </c>
      <c r="F12195" s="128">
        <v>118975381.43000001</v>
      </c>
      <c r="G12195" s="128">
        <v>54676384.700000003</v>
      </c>
      <c r="H12195" s="128">
        <v>64298744.479999997</v>
      </c>
      <c r="I12195" s="128">
        <v>662552</v>
      </c>
    </row>
    <row r="12196" spans="1:9" ht="13.5">
      <c r="A12196" s="128">
        <v>2023</v>
      </c>
      <c r="B12196" s="128" t="s">
        <v>131</v>
      </c>
      <c r="C12196" s="128" t="s">
        <v>20</v>
      </c>
      <c r="D12196" s="128" t="s">
        <v>76</v>
      </c>
      <c r="E12196" s="128" t="s">
        <v>135</v>
      </c>
      <c r="F12196" s="128">
        <v>6407389.2999999998</v>
      </c>
      <c r="G12196" s="128">
        <v>1909089.47</v>
      </c>
      <c r="H12196" s="128">
        <v>4498298.2300000004</v>
      </c>
      <c r="I12196" s="128">
        <v>5560</v>
      </c>
    </row>
    <row r="12197" spans="1:9" ht="13.5">
      <c r="A12197" s="128">
        <v>2023</v>
      </c>
      <c r="B12197" s="128" t="s">
        <v>131</v>
      </c>
      <c r="C12197" s="128" t="s">
        <v>21</v>
      </c>
      <c r="D12197" s="128" t="s">
        <v>79</v>
      </c>
      <c r="E12197" s="128" t="s">
        <v>136</v>
      </c>
      <c r="F12197" s="128">
        <v>6568904.1900000004</v>
      </c>
      <c r="G12197" s="128">
        <v>5081961.1900000004</v>
      </c>
      <c r="H12197" s="128">
        <v>1478332.71</v>
      </c>
      <c r="I12197" s="128">
        <v>113358</v>
      </c>
    </row>
    <row r="12198" spans="1:9" ht="13.5">
      <c r="A12198" s="128">
        <v>2023</v>
      </c>
      <c r="B12198" s="128" t="s">
        <v>131</v>
      </c>
      <c r="C12198" s="128" t="s">
        <v>21</v>
      </c>
      <c r="D12198" s="128" t="s">
        <v>79</v>
      </c>
      <c r="E12198" s="128" t="s">
        <v>132</v>
      </c>
      <c r="F12198" s="128">
        <v>1055764.79</v>
      </c>
      <c r="G12198" s="128">
        <v>707141.17</v>
      </c>
      <c r="H12198" s="128">
        <v>233766</v>
      </c>
      <c r="I12198" s="128">
        <v>3081</v>
      </c>
    </row>
    <row r="12199" spans="1:9" ht="13.5">
      <c r="A12199" s="128">
        <v>2023</v>
      </c>
      <c r="B12199" s="128" t="s">
        <v>131</v>
      </c>
      <c r="C12199" s="128" t="s">
        <v>21</v>
      </c>
      <c r="D12199" s="128" t="s">
        <v>79</v>
      </c>
      <c r="E12199" s="128" t="s">
        <v>133</v>
      </c>
      <c r="F12199" s="128">
        <v>1715089.94</v>
      </c>
      <c r="G12199" s="128">
        <v>920809.32</v>
      </c>
      <c r="H12199" s="128">
        <v>308577.67</v>
      </c>
      <c r="I12199" s="128">
        <v>6513</v>
      </c>
    </row>
    <row r="12200" spans="1:9" ht="13.5">
      <c r="A12200" s="128">
        <v>2023</v>
      </c>
      <c r="B12200" s="128" t="s">
        <v>131</v>
      </c>
      <c r="C12200" s="128" t="s">
        <v>21</v>
      </c>
      <c r="D12200" s="128" t="s">
        <v>79</v>
      </c>
      <c r="E12200" s="128" t="s">
        <v>134</v>
      </c>
      <c r="F12200" s="128">
        <v>4814286.29</v>
      </c>
      <c r="G12200" s="128">
        <v>2105768.9500000002</v>
      </c>
      <c r="H12200" s="128">
        <v>699868.69</v>
      </c>
      <c r="I12200" s="128">
        <v>13106</v>
      </c>
    </row>
    <row r="12201" spans="1:9" ht="13.5">
      <c r="A12201" s="128">
        <v>2023</v>
      </c>
      <c r="B12201" s="128" t="s">
        <v>131</v>
      </c>
      <c r="C12201" s="128" t="s">
        <v>21</v>
      </c>
      <c r="D12201" s="128" t="s">
        <v>79</v>
      </c>
      <c r="E12201" s="128" t="s">
        <v>135</v>
      </c>
      <c r="F12201" s="128">
        <v>49177560.32</v>
      </c>
      <c r="G12201" s="128">
        <v>10698705.970000001</v>
      </c>
      <c r="H12201" s="128">
        <v>3575581.03</v>
      </c>
      <c r="I12201" s="128">
        <v>37241</v>
      </c>
    </row>
    <row r="12202" spans="1:9" ht="13.5">
      <c r="A12202" s="128">
        <v>2023</v>
      </c>
      <c r="B12202" s="128" t="s">
        <v>131</v>
      </c>
      <c r="C12202" s="128" t="s">
        <v>21</v>
      </c>
      <c r="D12202" s="128" t="s">
        <v>77</v>
      </c>
      <c r="E12202" s="128" t="s">
        <v>132</v>
      </c>
      <c r="F12202" s="128">
        <v>2656325.2200000002</v>
      </c>
      <c r="G12202" s="128">
        <v>1703760.83</v>
      </c>
      <c r="H12202" s="128">
        <v>760719.95</v>
      </c>
      <c r="I12202" s="128">
        <v>14066</v>
      </c>
    </row>
    <row r="12203" spans="1:9" ht="13.5">
      <c r="A12203" s="128">
        <v>2023</v>
      </c>
      <c r="B12203" s="128" t="s">
        <v>131</v>
      </c>
      <c r="C12203" s="128" t="s">
        <v>21</v>
      </c>
      <c r="D12203" s="128" t="s">
        <v>77</v>
      </c>
      <c r="E12203" s="128" t="s">
        <v>133</v>
      </c>
      <c r="F12203" s="128">
        <v>8430922.5600000005</v>
      </c>
      <c r="G12203" s="128">
        <v>4519528.84</v>
      </c>
      <c r="H12203" s="128">
        <v>3314486.96</v>
      </c>
      <c r="I12203" s="128">
        <v>24889</v>
      </c>
    </row>
    <row r="12204" spans="1:9" ht="13.5">
      <c r="A12204" s="128">
        <v>2023</v>
      </c>
      <c r="B12204" s="128" t="s">
        <v>131</v>
      </c>
      <c r="C12204" s="128" t="s">
        <v>21</v>
      </c>
      <c r="D12204" s="128" t="s">
        <v>77</v>
      </c>
      <c r="E12204" s="128" t="s">
        <v>134</v>
      </c>
      <c r="F12204" s="128">
        <v>24006938.219999999</v>
      </c>
      <c r="G12204" s="128">
        <v>10305084.289999999</v>
      </c>
      <c r="H12204" s="128">
        <v>9672627.3900000006</v>
      </c>
      <c r="I12204" s="128">
        <v>38034</v>
      </c>
    </row>
    <row r="12205" spans="1:9" ht="13.5">
      <c r="A12205" s="128">
        <v>2023</v>
      </c>
      <c r="B12205" s="128" t="s">
        <v>131</v>
      </c>
      <c r="C12205" s="128" t="s">
        <v>21</v>
      </c>
      <c r="D12205" s="128" t="s">
        <v>77</v>
      </c>
      <c r="E12205" s="128" t="s">
        <v>135</v>
      </c>
      <c r="F12205" s="128">
        <v>61031190.329999998</v>
      </c>
      <c r="G12205" s="128">
        <v>15907719.98</v>
      </c>
      <c r="H12205" s="128">
        <v>17021314.43</v>
      </c>
      <c r="I12205" s="128">
        <v>200034</v>
      </c>
    </row>
    <row r="12206" spans="1:9" ht="13.5">
      <c r="A12206" s="128">
        <v>2023</v>
      </c>
      <c r="B12206" s="128" t="s">
        <v>131</v>
      </c>
      <c r="C12206" s="128" t="s">
        <v>21</v>
      </c>
      <c r="D12206" s="128" t="s">
        <v>76</v>
      </c>
      <c r="E12206" s="128" t="s">
        <v>136</v>
      </c>
      <c r="F12206" s="128">
        <v>21832406.030000001</v>
      </c>
      <c r="G12206" s="128">
        <v>16467114.220000001</v>
      </c>
      <c r="H12206" s="128">
        <v>5365350.9000000004</v>
      </c>
      <c r="I12206" s="128">
        <v>342251</v>
      </c>
    </row>
    <row r="12207" spans="1:9" ht="13.5">
      <c r="A12207" s="128">
        <v>2023</v>
      </c>
      <c r="B12207" s="128" t="s">
        <v>131</v>
      </c>
      <c r="C12207" s="128" t="s">
        <v>21</v>
      </c>
      <c r="D12207" s="128" t="s">
        <v>76</v>
      </c>
      <c r="E12207" s="128" t="s">
        <v>132</v>
      </c>
      <c r="F12207" s="128">
        <v>66011844.909999996</v>
      </c>
      <c r="G12207" s="128">
        <v>42117397.149999999</v>
      </c>
      <c r="H12207" s="128">
        <v>23893994.989999998</v>
      </c>
      <c r="I12207" s="128">
        <v>507099</v>
      </c>
    </row>
    <row r="12208" spans="1:9" ht="13.5">
      <c r="A12208" s="128">
        <v>2023</v>
      </c>
      <c r="B12208" s="128" t="s">
        <v>131</v>
      </c>
      <c r="C12208" s="128" t="s">
        <v>21</v>
      </c>
      <c r="D12208" s="128" t="s">
        <v>76</v>
      </c>
      <c r="E12208" s="128" t="s">
        <v>133</v>
      </c>
      <c r="F12208" s="128">
        <v>124596134.95999999</v>
      </c>
      <c r="G12208" s="128">
        <v>68445458.219999999</v>
      </c>
      <c r="H12208" s="128">
        <v>56150297.770000003</v>
      </c>
      <c r="I12208" s="128">
        <v>701279</v>
      </c>
    </row>
    <row r="12209" spans="1:9" ht="13.5">
      <c r="A12209" s="128">
        <v>2023</v>
      </c>
      <c r="B12209" s="128" t="s">
        <v>131</v>
      </c>
      <c r="C12209" s="128" t="s">
        <v>21</v>
      </c>
      <c r="D12209" s="128" t="s">
        <v>76</v>
      </c>
      <c r="E12209" s="128" t="s">
        <v>134</v>
      </c>
      <c r="F12209" s="128">
        <v>81968501.109999999</v>
      </c>
      <c r="G12209" s="128">
        <v>37855916.780000001</v>
      </c>
      <c r="H12209" s="128">
        <v>44112339.170000002</v>
      </c>
      <c r="I12209" s="128">
        <v>514816</v>
      </c>
    </row>
    <row r="12210" spans="1:9" ht="13.5">
      <c r="A12210" s="128">
        <v>2023</v>
      </c>
      <c r="B12210" s="128" t="s">
        <v>131</v>
      </c>
      <c r="C12210" s="128" t="s">
        <v>21</v>
      </c>
      <c r="D12210" s="128" t="s">
        <v>76</v>
      </c>
      <c r="E12210" s="128" t="s">
        <v>135</v>
      </c>
      <c r="F12210" s="128">
        <v>2997971.08</v>
      </c>
      <c r="G12210" s="128">
        <v>844599.83</v>
      </c>
      <c r="H12210" s="128">
        <v>2153370.75</v>
      </c>
      <c r="I12210" s="128">
        <v>2818</v>
      </c>
    </row>
    <row r="12211" spans="1:9" ht="13.5">
      <c r="A12211" s="128">
        <v>2023</v>
      </c>
      <c r="B12211" s="128" t="s">
        <v>131</v>
      </c>
      <c r="C12211" s="128" t="s">
        <v>22</v>
      </c>
      <c r="D12211" s="128" t="s">
        <v>79</v>
      </c>
      <c r="E12211" s="128" t="s">
        <v>136</v>
      </c>
      <c r="F12211" s="128">
        <v>3976590.18</v>
      </c>
      <c r="G12211" s="128">
        <v>3031729.1</v>
      </c>
      <c r="H12211" s="128">
        <v>905463.4</v>
      </c>
      <c r="I12211" s="128">
        <v>57864</v>
      </c>
    </row>
    <row r="12212" spans="1:9" ht="13.5">
      <c r="A12212" s="128">
        <v>2023</v>
      </c>
      <c r="B12212" s="128" t="s">
        <v>131</v>
      </c>
      <c r="C12212" s="128" t="s">
        <v>22</v>
      </c>
      <c r="D12212" s="128" t="s">
        <v>79</v>
      </c>
      <c r="E12212" s="128" t="s">
        <v>132</v>
      </c>
      <c r="F12212" s="128">
        <v>1290077.3400000001</v>
      </c>
      <c r="G12212" s="128">
        <v>854432.61</v>
      </c>
      <c r="H12212" s="128">
        <v>281812.39</v>
      </c>
      <c r="I12212" s="128">
        <v>2662</v>
      </c>
    </row>
    <row r="12213" spans="1:9" ht="13.5">
      <c r="A12213" s="128">
        <v>2023</v>
      </c>
      <c r="B12213" s="128" t="s">
        <v>131</v>
      </c>
      <c r="C12213" s="128" t="s">
        <v>22</v>
      </c>
      <c r="D12213" s="128" t="s">
        <v>79</v>
      </c>
      <c r="E12213" s="128" t="s">
        <v>133</v>
      </c>
      <c r="F12213" s="128">
        <v>1506302.48</v>
      </c>
      <c r="G12213" s="128">
        <v>820173.51</v>
      </c>
      <c r="H12213" s="128">
        <v>265469.61</v>
      </c>
      <c r="I12213" s="128">
        <v>2742</v>
      </c>
    </row>
    <row r="12214" spans="1:9" ht="13.5">
      <c r="A12214" s="128">
        <v>2023</v>
      </c>
      <c r="B12214" s="128" t="s">
        <v>131</v>
      </c>
      <c r="C12214" s="128" t="s">
        <v>22</v>
      </c>
      <c r="D12214" s="128" t="s">
        <v>79</v>
      </c>
      <c r="E12214" s="128" t="s">
        <v>134</v>
      </c>
      <c r="F12214" s="128">
        <v>5173657.28</v>
      </c>
      <c r="G12214" s="128">
        <v>2240113.61</v>
      </c>
      <c r="H12214" s="128">
        <v>744748.02</v>
      </c>
      <c r="I12214" s="128">
        <v>19700</v>
      </c>
    </row>
    <row r="12215" spans="1:9" ht="13.5">
      <c r="A12215" s="128">
        <v>2023</v>
      </c>
      <c r="B12215" s="128" t="s">
        <v>131</v>
      </c>
      <c r="C12215" s="128" t="s">
        <v>22</v>
      </c>
      <c r="D12215" s="128" t="s">
        <v>79</v>
      </c>
      <c r="E12215" s="128" t="s">
        <v>135</v>
      </c>
      <c r="F12215" s="128">
        <v>60933965.649999999</v>
      </c>
      <c r="G12215" s="128">
        <v>13093589.16</v>
      </c>
      <c r="H12215" s="128">
        <v>4364043.1399999997</v>
      </c>
      <c r="I12215" s="128">
        <v>48276</v>
      </c>
    </row>
    <row r="12216" spans="1:9" ht="13.5">
      <c r="A12216" s="128">
        <v>2023</v>
      </c>
      <c r="B12216" s="128" t="s">
        <v>131</v>
      </c>
      <c r="C12216" s="128" t="s">
        <v>22</v>
      </c>
      <c r="D12216" s="128" t="s">
        <v>77</v>
      </c>
      <c r="E12216" s="128" t="s">
        <v>132</v>
      </c>
      <c r="F12216" s="128">
        <v>1731276.06</v>
      </c>
      <c r="G12216" s="128">
        <v>1104985.68</v>
      </c>
      <c r="H12216" s="128">
        <v>493634.36</v>
      </c>
      <c r="I12216" s="128">
        <v>8059</v>
      </c>
    </row>
    <row r="12217" spans="1:9" ht="13.5">
      <c r="A12217" s="128">
        <v>2023</v>
      </c>
      <c r="B12217" s="128" t="s">
        <v>131</v>
      </c>
      <c r="C12217" s="128" t="s">
        <v>22</v>
      </c>
      <c r="D12217" s="128" t="s">
        <v>77</v>
      </c>
      <c r="E12217" s="128" t="s">
        <v>133</v>
      </c>
      <c r="F12217" s="128">
        <v>5579800.0499999998</v>
      </c>
      <c r="G12217" s="128">
        <v>2978252.64</v>
      </c>
      <c r="H12217" s="128">
        <v>2201278.36</v>
      </c>
      <c r="I12217" s="128">
        <v>20131</v>
      </c>
    </row>
    <row r="12218" spans="1:9" ht="13.5">
      <c r="A12218" s="128">
        <v>2023</v>
      </c>
      <c r="B12218" s="128" t="s">
        <v>131</v>
      </c>
      <c r="C12218" s="128" t="s">
        <v>22</v>
      </c>
      <c r="D12218" s="128" t="s">
        <v>77</v>
      </c>
      <c r="E12218" s="128" t="s">
        <v>134</v>
      </c>
      <c r="F12218" s="128">
        <v>23852436.449999999</v>
      </c>
      <c r="G12218" s="128">
        <v>10098520.880000001</v>
      </c>
      <c r="H12218" s="128">
        <v>9846586.3599999994</v>
      </c>
      <c r="I12218" s="128">
        <v>35183</v>
      </c>
    </row>
    <row r="12219" spans="1:9" ht="13.5">
      <c r="A12219" s="128">
        <v>2023</v>
      </c>
      <c r="B12219" s="128" t="s">
        <v>131</v>
      </c>
      <c r="C12219" s="128" t="s">
        <v>22</v>
      </c>
      <c r="D12219" s="128" t="s">
        <v>77</v>
      </c>
      <c r="E12219" s="128" t="s">
        <v>135</v>
      </c>
      <c r="F12219" s="128">
        <v>56405022.479999997</v>
      </c>
      <c r="G12219" s="128">
        <v>14028599.880000001</v>
      </c>
      <c r="H12219" s="128">
        <v>15400078.51</v>
      </c>
      <c r="I12219" s="128">
        <v>144571</v>
      </c>
    </row>
    <row r="12220" spans="1:9" ht="13.5">
      <c r="A12220" s="128">
        <v>2023</v>
      </c>
      <c r="B12220" s="128" t="s">
        <v>131</v>
      </c>
      <c r="C12220" s="128" t="s">
        <v>22</v>
      </c>
      <c r="D12220" s="128" t="s">
        <v>76</v>
      </c>
      <c r="E12220" s="128" t="s">
        <v>136</v>
      </c>
      <c r="F12220" s="128">
        <v>16326440.960000001</v>
      </c>
      <c r="G12220" s="128">
        <v>12283238.140000001</v>
      </c>
      <c r="H12220" s="128">
        <v>4043551.18</v>
      </c>
      <c r="I12220" s="128">
        <v>201287</v>
      </c>
    </row>
    <row r="12221" spans="1:9" ht="13.5">
      <c r="A12221" s="128">
        <v>2023</v>
      </c>
      <c r="B12221" s="128" t="s">
        <v>131</v>
      </c>
      <c r="C12221" s="128" t="s">
        <v>22</v>
      </c>
      <c r="D12221" s="128" t="s">
        <v>76</v>
      </c>
      <c r="E12221" s="128" t="s">
        <v>132</v>
      </c>
      <c r="F12221" s="128">
        <v>50268119.469999999</v>
      </c>
      <c r="G12221" s="128">
        <v>32083425.129999999</v>
      </c>
      <c r="H12221" s="128">
        <v>18184035.82</v>
      </c>
      <c r="I12221" s="128">
        <v>400824</v>
      </c>
    </row>
    <row r="12222" spans="1:9" ht="13.5">
      <c r="A12222" s="128">
        <v>2023</v>
      </c>
      <c r="B12222" s="128" t="s">
        <v>131</v>
      </c>
      <c r="C12222" s="128" t="s">
        <v>22</v>
      </c>
      <c r="D12222" s="128" t="s">
        <v>76</v>
      </c>
      <c r="E12222" s="128" t="s">
        <v>133</v>
      </c>
      <c r="F12222" s="128">
        <v>85777982.109999999</v>
      </c>
      <c r="G12222" s="128">
        <v>47434897.020000003</v>
      </c>
      <c r="H12222" s="128">
        <v>38342665.789999999</v>
      </c>
      <c r="I12222" s="128">
        <v>636698</v>
      </c>
    </row>
    <row r="12223" spans="1:9" ht="13.5">
      <c r="A12223" s="128">
        <v>2023</v>
      </c>
      <c r="B12223" s="128" t="s">
        <v>131</v>
      </c>
      <c r="C12223" s="128" t="s">
        <v>22</v>
      </c>
      <c r="D12223" s="128" t="s">
        <v>76</v>
      </c>
      <c r="E12223" s="128" t="s">
        <v>134</v>
      </c>
      <c r="F12223" s="128">
        <v>72611656.879999995</v>
      </c>
      <c r="G12223" s="128">
        <v>33522337</v>
      </c>
      <c r="H12223" s="128">
        <v>39087951.409999996</v>
      </c>
      <c r="I12223" s="128">
        <v>482096</v>
      </c>
    </row>
    <row r="12224" spans="1:9" ht="13.5">
      <c r="A12224" s="128">
        <v>2023</v>
      </c>
      <c r="B12224" s="128" t="s">
        <v>131</v>
      </c>
      <c r="C12224" s="128" t="s">
        <v>22</v>
      </c>
      <c r="D12224" s="128" t="s">
        <v>76</v>
      </c>
      <c r="E12224" s="128" t="s">
        <v>135</v>
      </c>
      <c r="F12224" s="128">
        <v>3668817.59</v>
      </c>
      <c r="G12224" s="128">
        <v>1014405.05</v>
      </c>
      <c r="H12224" s="128">
        <v>2654412.5</v>
      </c>
      <c r="I12224" s="128">
        <v>3285</v>
      </c>
    </row>
    <row r="12225" spans="1:9" ht="13.5">
      <c r="A12225" s="128">
        <v>2023</v>
      </c>
      <c r="B12225" s="128" t="s">
        <v>131</v>
      </c>
      <c r="C12225" s="128" t="s">
        <v>23</v>
      </c>
      <c r="D12225" s="128" t="s">
        <v>79</v>
      </c>
      <c r="E12225" s="128" t="s">
        <v>136</v>
      </c>
      <c r="F12225" s="128">
        <v>1560519.79</v>
      </c>
      <c r="G12225" s="128">
        <v>1164426.8500000001</v>
      </c>
      <c r="H12225" s="128">
        <v>386811.54</v>
      </c>
      <c r="I12225" s="128">
        <v>8499</v>
      </c>
    </row>
    <row r="12226" spans="1:9" ht="13.5">
      <c r="A12226" s="128">
        <v>2023</v>
      </c>
      <c r="B12226" s="128" t="s">
        <v>131</v>
      </c>
      <c r="C12226" s="128" t="s">
        <v>23</v>
      </c>
      <c r="D12226" s="128" t="s">
        <v>79</v>
      </c>
      <c r="E12226" s="128" t="s">
        <v>132</v>
      </c>
      <c r="F12226" s="128">
        <v>195669.35</v>
      </c>
      <c r="G12226" s="128">
        <v>129999.97</v>
      </c>
      <c r="H12226" s="128">
        <v>42416.44</v>
      </c>
      <c r="I12226" s="128">
        <v>508</v>
      </c>
    </row>
    <row r="12227" spans="1:9" ht="13.5">
      <c r="A12227" s="128">
        <v>2023</v>
      </c>
      <c r="B12227" s="128" t="s">
        <v>131</v>
      </c>
      <c r="C12227" s="128" t="s">
        <v>23</v>
      </c>
      <c r="D12227" s="128" t="s">
        <v>79</v>
      </c>
      <c r="E12227" s="128" t="s">
        <v>133</v>
      </c>
      <c r="F12227" s="128">
        <v>300342.78999999998</v>
      </c>
      <c r="G12227" s="128">
        <v>162120.43</v>
      </c>
      <c r="H12227" s="128">
        <v>51818.15</v>
      </c>
      <c r="I12227" s="128">
        <v>519</v>
      </c>
    </row>
    <row r="12228" spans="1:9" ht="13.5">
      <c r="A12228" s="128">
        <v>2023</v>
      </c>
      <c r="B12228" s="128" t="s">
        <v>131</v>
      </c>
      <c r="C12228" s="128" t="s">
        <v>23</v>
      </c>
      <c r="D12228" s="128" t="s">
        <v>79</v>
      </c>
      <c r="E12228" s="128" t="s">
        <v>134</v>
      </c>
      <c r="F12228" s="128">
        <v>714939.7</v>
      </c>
      <c r="G12228" s="128">
        <v>307271.69</v>
      </c>
      <c r="H12228" s="128">
        <v>101071.58</v>
      </c>
      <c r="I12228" s="128">
        <v>1261</v>
      </c>
    </row>
    <row r="12229" spans="1:9" ht="13.5">
      <c r="A12229" s="128">
        <v>2023</v>
      </c>
      <c r="B12229" s="128" t="s">
        <v>131</v>
      </c>
      <c r="C12229" s="128" t="s">
        <v>23</v>
      </c>
      <c r="D12229" s="128" t="s">
        <v>79</v>
      </c>
      <c r="E12229" s="128" t="s">
        <v>135</v>
      </c>
      <c r="F12229" s="128">
        <v>7285275.1100000003</v>
      </c>
      <c r="G12229" s="128">
        <v>1541651.09</v>
      </c>
      <c r="H12229" s="128">
        <v>519188.5</v>
      </c>
      <c r="I12229" s="128">
        <v>4546</v>
      </c>
    </row>
    <row r="12230" spans="1:9" ht="13.5">
      <c r="A12230" s="128">
        <v>2023</v>
      </c>
      <c r="B12230" s="128" t="s">
        <v>131</v>
      </c>
      <c r="C12230" s="128" t="s">
        <v>23</v>
      </c>
      <c r="D12230" s="128" t="s">
        <v>77</v>
      </c>
      <c r="E12230" s="128" t="s">
        <v>132</v>
      </c>
      <c r="F12230" s="128">
        <v>441052.4</v>
      </c>
      <c r="G12230" s="128">
        <v>278431.65000000002</v>
      </c>
      <c r="H12230" s="128">
        <v>127531.01</v>
      </c>
      <c r="I12230" s="128">
        <v>2035</v>
      </c>
    </row>
    <row r="12231" spans="1:9" ht="13.5">
      <c r="A12231" s="128">
        <v>2023</v>
      </c>
      <c r="B12231" s="128" t="s">
        <v>131</v>
      </c>
      <c r="C12231" s="128" t="s">
        <v>23</v>
      </c>
      <c r="D12231" s="128" t="s">
        <v>77</v>
      </c>
      <c r="E12231" s="128" t="s">
        <v>133</v>
      </c>
      <c r="F12231" s="128">
        <v>2293009.7999999998</v>
      </c>
      <c r="G12231" s="128">
        <v>1228377.0900000001</v>
      </c>
      <c r="H12231" s="128">
        <v>929349.28</v>
      </c>
      <c r="I12231" s="128">
        <v>7575</v>
      </c>
    </row>
    <row r="12232" spans="1:9" ht="13.5">
      <c r="A12232" s="128">
        <v>2023</v>
      </c>
      <c r="B12232" s="128" t="s">
        <v>131</v>
      </c>
      <c r="C12232" s="128" t="s">
        <v>23</v>
      </c>
      <c r="D12232" s="128" t="s">
        <v>77</v>
      </c>
      <c r="E12232" s="128" t="s">
        <v>134</v>
      </c>
      <c r="F12232" s="128">
        <v>14138083.949999999</v>
      </c>
      <c r="G12232" s="128">
        <v>6011583.3600000003</v>
      </c>
      <c r="H12232" s="128">
        <v>5986070.46</v>
      </c>
      <c r="I12232" s="128">
        <v>19547</v>
      </c>
    </row>
    <row r="12233" spans="1:9" ht="13.5">
      <c r="A12233" s="128">
        <v>2023</v>
      </c>
      <c r="B12233" s="128" t="s">
        <v>131</v>
      </c>
      <c r="C12233" s="128" t="s">
        <v>23</v>
      </c>
      <c r="D12233" s="128" t="s">
        <v>77</v>
      </c>
      <c r="E12233" s="128" t="s">
        <v>135</v>
      </c>
      <c r="F12233" s="128">
        <v>16333915.689999999</v>
      </c>
      <c r="G12233" s="128">
        <v>4569091.2699999996</v>
      </c>
      <c r="H12233" s="128">
        <v>5136823.05</v>
      </c>
      <c r="I12233" s="128">
        <v>56358</v>
      </c>
    </row>
    <row r="12234" spans="1:9" ht="13.5">
      <c r="A12234" s="128">
        <v>2023</v>
      </c>
      <c r="B12234" s="128" t="s">
        <v>131</v>
      </c>
      <c r="C12234" s="128" t="s">
        <v>23</v>
      </c>
      <c r="D12234" s="128" t="s">
        <v>76</v>
      </c>
      <c r="E12234" s="128" t="s">
        <v>136</v>
      </c>
      <c r="F12234" s="128">
        <v>8591675.2100000009</v>
      </c>
      <c r="G12234" s="128">
        <v>6458243.1600000001</v>
      </c>
      <c r="H12234" s="128">
        <v>2133879.73</v>
      </c>
      <c r="I12234" s="128">
        <v>169618</v>
      </c>
    </row>
    <row r="12235" spans="1:9" ht="13.5">
      <c r="A12235" s="128">
        <v>2023</v>
      </c>
      <c r="B12235" s="128" t="s">
        <v>131</v>
      </c>
      <c r="C12235" s="128" t="s">
        <v>23</v>
      </c>
      <c r="D12235" s="128" t="s">
        <v>76</v>
      </c>
      <c r="E12235" s="128" t="s">
        <v>132</v>
      </c>
      <c r="F12235" s="128">
        <v>17252363.539999999</v>
      </c>
      <c r="G12235" s="128">
        <v>10858796.4</v>
      </c>
      <c r="H12235" s="128">
        <v>6393491.4400000004</v>
      </c>
      <c r="I12235" s="128">
        <v>127887</v>
      </c>
    </row>
    <row r="12236" spans="1:9" ht="13.5">
      <c r="A12236" s="128">
        <v>2023</v>
      </c>
      <c r="B12236" s="128" t="s">
        <v>131</v>
      </c>
      <c r="C12236" s="128" t="s">
        <v>23</v>
      </c>
      <c r="D12236" s="128" t="s">
        <v>76</v>
      </c>
      <c r="E12236" s="128" t="s">
        <v>133</v>
      </c>
      <c r="F12236" s="128">
        <v>34387218.859999999</v>
      </c>
      <c r="G12236" s="128">
        <v>18650543.149999999</v>
      </c>
      <c r="H12236" s="128">
        <v>15736559.24</v>
      </c>
      <c r="I12236" s="128">
        <v>210491</v>
      </c>
    </row>
    <row r="12237" spans="1:9" ht="13.5">
      <c r="A12237" s="128">
        <v>2023</v>
      </c>
      <c r="B12237" s="128" t="s">
        <v>131</v>
      </c>
      <c r="C12237" s="128" t="s">
        <v>23</v>
      </c>
      <c r="D12237" s="128" t="s">
        <v>76</v>
      </c>
      <c r="E12237" s="128" t="s">
        <v>134</v>
      </c>
      <c r="F12237" s="128">
        <v>30171687.93</v>
      </c>
      <c r="G12237" s="128">
        <v>14020938.85</v>
      </c>
      <c r="H12237" s="128">
        <v>16150666.859999999</v>
      </c>
      <c r="I12237" s="128">
        <v>143120</v>
      </c>
    </row>
    <row r="12238" spans="1:9" ht="13.5">
      <c r="A12238" s="128">
        <v>2023</v>
      </c>
      <c r="B12238" s="128" t="s">
        <v>131</v>
      </c>
      <c r="C12238" s="128" t="s">
        <v>23</v>
      </c>
      <c r="D12238" s="128" t="s">
        <v>76</v>
      </c>
      <c r="E12238" s="128" t="s">
        <v>135</v>
      </c>
      <c r="F12238" s="128">
        <v>941977.16</v>
      </c>
      <c r="G12238" s="128">
        <v>272917.90000000002</v>
      </c>
      <c r="H12238" s="128">
        <v>669059.26</v>
      </c>
      <c r="I12238" s="128">
        <v>788</v>
      </c>
    </row>
    <row r="12239" spans="1:9" ht="13.5">
      <c r="A12239" s="128">
        <v>2023</v>
      </c>
      <c r="B12239" s="128" t="s">
        <v>131</v>
      </c>
      <c r="C12239" s="128" t="s">
        <v>24</v>
      </c>
      <c r="D12239" s="128" t="s">
        <v>79</v>
      </c>
      <c r="E12239" s="128" t="s">
        <v>136</v>
      </c>
      <c r="F12239" s="128">
        <v>2384210.09</v>
      </c>
      <c r="G12239" s="128">
        <v>1811217.53</v>
      </c>
      <c r="H12239" s="128">
        <v>567399.22</v>
      </c>
      <c r="I12239" s="128">
        <v>30055</v>
      </c>
    </row>
    <row r="12240" spans="1:9" ht="13.5">
      <c r="A12240" s="128">
        <v>2023</v>
      </c>
      <c r="B12240" s="128" t="s">
        <v>131</v>
      </c>
      <c r="C12240" s="128" t="s">
        <v>24</v>
      </c>
      <c r="D12240" s="128" t="s">
        <v>79</v>
      </c>
      <c r="E12240" s="128" t="s">
        <v>132</v>
      </c>
      <c r="F12240" s="128">
        <v>413973.32</v>
      </c>
      <c r="G12240" s="128">
        <v>278678.69</v>
      </c>
      <c r="H12240" s="128">
        <v>92784.62</v>
      </c>
      <c r="I12240" s="128">
        <v>1127</v>
      </c>
    </row>
    <row r="12241" spans="1:9" ht="13.5">
      <c r="A12241" s="128">
        <v>2023</v>
      </c>
      <c r="B12241" s="128" t="s">
        <v>131</v>
      </c>
      <c r="C12241" s="128" t="s">
        <v>24</v>
      </c>
      <c r="D12241" s="128" t="s">
        <v>79</v>
      </c>
      <c r="E12241" s="128" t="s">
        <v>133</v>
      </c>
      <c r="F12241" s="128">
        <v>530212.86</v>
      </c>
      <c r="G12241" s="128">
        <v>288387.90999999997</v>
      </c>
      <c r="H12241" s="128">
        <v>94822.21</v>
      </c>
      <c r="I12241" s="128">
        <v>1560</v>
      </c>
    </row>
    <row r="12242" spans="1:9" ht="13.5">
      <c r="A12242" s="128">
        <v>2023</v>
      </c>
      <c r="B12242" s="128" t="s">
        <v>131</v>
      </c>
      <c r="C12242" s="128" t="s">
        <v>24</v>
      </c>
      <c r="D12242" s="128" t="s">
        <v>79</v>
      </c>
      <c r="E12242" s="128" t="s">
        <v>134</v>
      </c>
      <c r="F12242" s="128">
        <v>1940572.37</v>
      </c>
      <c r="G12242" s="128">
        <v>843622.99</v>
      </c>
      <c r="H12242" s="128">
        <v>281061.40999999997</v>
      </c>
      <c r="I12242" s="128">
        <v>9185</v>
      </c>
    </row>
    <row r="12243" spans="1:9" ht="13.5">
      <c r="A12243" s="128">
        <v>2023</v>
      </c>
      <c r="B12243" s="128" t="s">
        <v>131</v>
      </c>
      <c r="C12243" s="128" t="s">
        <v>24</v>
      </c>
      <c r="D12243" s="128" t="s">
        <v>79</v>
      </c>
      <c r="E12243" s="128" t="s">
        <v>135</v>
      </c>
      <c r="F12243" s="128">
        <v>11445465.73</v>
      </c>
      <c r="G12243" s="128">
        <v>2331957.44</v>
      </c>
      <c r="H12243" s="128">
        <v>785576.98</v>
      </c>
      <c r="I12243" s="128">
        <v>11207</v>
      </c>
    </row>
    <row r="12244" spans="1:9" ht="13.5">
      <c r="A12244" s="128">
        <v>2023</v>
      </c>
      <c r="B12244" s="128" t="s">
        <v>131</v>
      </c>
      <c r="C12244" s="128" t="s">
        <v>24</v>
      </c>
      <c r="D12244" s="128" t="s">
        <v>77</v>
      </c>
      <c r="E12244" s="128" t="s">
        <v>132</v>
      </c>
      <c r="F12244" s="128">
        <v>974657.67</v>
      </c>
      <c r="G12244" s="128">
        <v>615531.74</v>
      </c>
      <c r="H12244" s="128">
        <v>317441.88</v>
      </c>
      <c r="I12244" s="128">
        <v>4112</v>
      </c>
    </row>
    <row r="12245" spans="1:9" ht="13.5">
      <c r="A12245" s="128">
        <v>2023</v>
      </c>
      <c r="B12245" s="128" t="s">
        <v>131</v>
      </c>
      <c r="C12245" s="128" t="s">
        <v>24</v>
      </c>
      <c r="D12245" s="128" t="s">
        <v>77</v>
      </c>
      <c r="E12245" s="128" t="s">
        <v>133</v>
      </c>
      <c r="F12245" s="128">
        <v>3247166.81</v>
      </c>
      <c r="G12245" s="128">
        <v>1732882.37</v>
      </c>
      <c r="H12245" s="128">
        <v>1216478.45</v>
      </c>
      <c r="I12245" s="128">
        <v>27977</v>
      </c>
    </row>
    <row r="12246" spans="1:9" ht="13.5">
      <c r="A12246" s="128">
        <v>2023</v>
      </c>
      <c r="B12246" s="128" t="s">
        <v>131</v>
      </c>
      <c r="C12246" s="128" t="s">
        <v>24</v>
      </c>
      <c r="D12246" s="128" t="s">
        <v>77</v>
      </c>
      <c r="E12246" s="128" t="s">
        <v>134</v>
      </c>
      <c r="F12246" s="128">
        <v>10104756.810000001</v>
      </c>
      <c r="G12246" s="128">
        <v>4406148.5599999996</v>
      </c>
      <c r="H12246" s="128">
        <v>3846956.37</v>
      </c>
      <c r="I12246" s="128">
        <v>15499</v>
      </c>
    </row>
    <row r="12247" spans="1:9" ht="13.5">
      <c r="A12247" s="128">
        <v>2023</v>
      </c>
      <c r="B12247" s="128" t="s">
        <v>131</v>
      </c>
      <c r="C12247" s="128" t="s">
        <v>24</v>
      </c>
      <c r="D12247" s="128" t="s">
        <v>77</v>
      </c>
      <c r="E12247" s="128" t="s">
        <v>135</v>
      </c>
      <c r="F12247" s="128">
        <v>24943174.609999999</v>
      </c>
      <c r="G12247" s="128">
        <v>6022006.4800000004</v>
      </c>
      <c r="H12247" s="128">
        <v>4296450.78</v>
      </c>
      <c r="I12247" s="128">
        <v>58061</v>
      </c>
    </row>
    <row r="12248" spans="1:9" ht="13.5">
      <c r="A12248" s="128">
        <v>2023</v>
      </c>
      <c r="B12248" s="128" t="s">
        <v>131</v>
      </c>
      <c r="C12248" s="128" t="s">
        <v>24</v>
      </c>
      <c r="D12248" s="128" t="s">
        <v>76</v>
      </c>
      <c r="E12248" s="128" t="s">
        <v>136</v>
      </c>
      <c r="F12248" s="128">
        <v>12286876.59</v>
      </c>
      <c r="G12248" s="128">
        <v>9233967.6600000001</v>
      </c>
      <c r="H12248" s="128">
        <v>3052908.93</v>
      </c>
      <c r="I12248" s="128">
        <v>200260</v>
      </c>
    </row>
    <row r="12249" spans="1:9" ht="13.5">
      <c r="A12249" s="128">
        <v>2023</v>
      </c>
      <c r="B12249" s="128" t="s">
        <v>131</v>
      </c>
      <c r="C12249" s="128" t="s">
        <v>24</v>
      </c>
      <c r="D12249" s="128" t="s">
        <v>76</v>
      </c>
      <c r="E12249" s="128" t="s">
        <v>132</v>
      </c>
      <c r="F12249" s="128">
        <v>14443559.859999999</v>
      </c>
      <c r="G12249" s="128">
        <v>9325899.6799999997</v>
      </c>
      <c r="H12249" s="128">
        <v>5117602.3499999996</v>
      </c>
      <c r="I12249" s="128">
        <v>88992</v>
      </c>
    </row>
    <row r="12250" spans="1:9" ht="13.5">
      <c r="A12250" s="128">
        <v>2023</v>
      </c>
      <c r="B12250" s="128" t="s">
        <v>131</v>
      </c>
      <c r="C12250" s="128" t="s">
        <v>24</v>
      </c>
      <c r="D12250" s="128" t="s">
        <v>76</v>
      </c>
      <c r="E12250" s="128" t="s">
        <v>133</v>
      </c>
      <c r="F12250" s="128">
        <v>57571080.130000003</v>
      </c>
      <c r="G12250" s="128">
        <v>31515879</v>
      </c>
      <c r="H12250" s="128">
        <v>26055158.149999999</v>
      </c>
      <c r="I12250" s="128">
        <v>350759</v>
      </c>
    </row>
    <row r="12251" spans="1:9" ht="13.5">
      <c r="A12251" s="128">
        <v>2023</v>
      </c>
      <c r="B12251" s="128" t="s">
        <v>131</v>
      </c>
      <c r="C12251" s="128" t="s">
        <v>24</v>
      </c>
      <c r="D12251" s="128" t="s">
        <v>76</v>
      </c>
      <c r="E12251" s="128" t="s">
        <v>134</v>
      </c>
      <c r="F12251" s="128">
        <v>57598461.149999999</v>
      </c>
      <c r="G12251" s="128">
        <v>26060156.800000001</v>
      </c>
      <c r="H12251" s="128">
        <v>31538204.52</v>
      </c>
      <c r="I12251" s="128">
        <v>252688</v>
      </c>
    </row>
    <row r="12252" spans="1:9" ht="13.5">
      <c r="A12252" s="128">
        <v>2023</v>
      </c>
      <c r="B12252" s="128" t="s">
        <v>131</v>
      </c>
      <c r="C12252" s="128" t="s">
        <v>24</v>
      </c>
      <c r="D12252" s="128" t="s">
        <v>76</v>
      </c>
      <c r="E12252" s="128" t="s">
        <v>135</v>
      </c>
      <c r="F12252" s="128">
        <v>1895446.81</v>
      </c>
      <c r="G12252" s="128">
        <v>524506.35</v>
      </c>
      <c r="H12252" s="128">
        <v>1370940.46</v>
      </c>
      <c r="I12252" s="128">
        <v>1504</v>
      </c>
    </row>
    <row r="12253" spans="1:9" ht="13.5">
      <c r="A12253" s="128">
        <v>2023</v>
      </c>
      <c r="B12253" s="128" t="s">
        <v>131</v>
      </c>
      <c r="C12253" s="128" t="s">
        <v>25</v>
      </c>
      <c r="D12253" s="128" t="s">
        <v>79</v>
      </c>
      <c r="E12253" s="128" t="s">
        <v>136</v>
      </c>
      <c r="F12253" s="128">
        <v>293915.42</v>
      </c>
      <c r="G12253" s="128">
        <v>221048.77</v>
      </c>
      <c r="H12253" s="128">
        <v>72280.100000000006</v>
      </c>
      <c r="I12253" s="128">
        <v>3077</v>
      </c>
    </row>
    <row r="12254" spans="1:9" ht="13.5">
      <c r="A12254" s="128">
        <v>2023</v>
      </c>
      <c r="B12254" s="128" t="s">
        <v>131</v>
      </c>
      <c r="C12254" s="128" t="s">
        <v>25</v>
      </c>
      <c r="D12254" s="128" t="s">
        <v>79</v>
      </c>
      <c r="E12254" s="128" t="s">
        <v>132</v>
      </c>
      <c r="F12254" s="128">
        <v>46500.2</v>
      </c>
      <c r="G12254" s="128">
        <v>31424.09</v>
      </c>
      <c r="H12254" s="128">
        <v>10749.29</v>
      </c>
      <c r="I12254" s="128">
        <v>167</v>
      </c>
    </row>
    <row r="12255" spans="1:9" ht="13.5">
      <c r="A12255" s="128">
        <v>2023</v>
      </c>
      <c r="B12255" s="128" t="s">
        <v>131</v>
      </c>
      <c r="C12255" s="128" t="s">
        <v>25</v>
      </c>
      <c r="D12255" s="128" t="s">
        <v>79</v>
      </c>
      <c r="E12255" s="128" t="s">
        <v>133</v>
      </c>
      <c r="F12255" s="128">
        <v>66069.16</v>
      </c>
      <c r="G12255" s="128">
        <v>36550.89</v>
      </c>
      <c r="H12255" s="128">
        <v>11918.56</v>
      </c>
      <c r="I12255" s="128">
        <v>185</v>
      </c>
    </row>
    <row r="12256" spans="1:9" ht="13.5">
      <c r="A12256" s="128">
        <v>2023</v>
      </c>
      <c r="B12256" s="128" t="s">
        <v>131</v>
      </c>
      <c r="C12256" s="128" t="s">
        <v>25</v>
      </c>
      <c r="D12256" s="128" t="s">
        <v>79</v>
      </c>
      <c r="E12256" s="128" t="s">
        <v>134</v>
      </c>
      <c r="F12256" s="128">
        <v>150657.46</v>
      </c>
      <c r="G12256" s="128">
        <v>63678.39</v>
      </c>
      <c r="H12256" s="128">
        <v>20190.88</v>
      </c>
      <c r="I12256" s="128">
        <v>317</v>
      </c>
    </row>
    <row r="12257" spans="1:9" ht="13.5">
      <c r="A12257" s="128">
        <v>2023</v>
      </c>
      <c r="B12257" s="128" t="s">
        <v>131</v>
      </c>
      <c r="C12257" s="128" t="s">
        <v>25</v>
      </c>
      <c r="D12257" s="128" t="s">
        <v>79</v>
      </c>
      <c r="E12257" s="128" t="s">
        <v>135</v>
      </c>
      <c r="F12257" s="128">
        <v>3010803.23</v>
      </c>
      <c r="G12257" s="128">
        <v>651340.73</v>
      </c>
      <c r="H12257" s="128">
        <v>217647.61</v>
      </c>
      <c r="I12257" s="128">
        <v>1715</v>
      </c>
    </row>
    <row r="12258" spans="1:9" ht="13.5">
      <c r="A12258" s="128">
        <v>2023</v>
      </c>
      <c r="B12258" s="128" t="s">
        <v>131</v>
      </c>
      <c r="C12258" s="128" t="s">
        <v>25</v>
      </c>
      <c r="D12258" s="128" t="s">
        <v>77</v>
      </c>
      <c r="E12258" s="128" t="s">
        <v>132</v>
      </c>
      <c r="F12258" s="128">
        <v>175173.46</v>
      </c>
      <c r="G12258" s="128">
        <v>111787.55</v>
      </c>
      <c r="H12258" s="128">
        <v>54795.43</v>
      </c>
      <c r="I12258" s="128">
        <v>1002</v>
      </c>
    </row>
    <row r="12259" spans="1:9" ht="13.5">
      <c r="A12259" s="128">
        <v>2023</v>
      </c>
      <c r="B12259" s="128" t="s">
        <v>131</v>
      </c>
      <c r="C12259" s="128" t="s">
        <v>25</v>
      </c>
      <c r="D12259" s="128" t="s">
        <v>77</v>
      </c>
      <c r="E12259" s="128" t="s">
        <v>133</v>
      </c>
      <c r="F12259" s="128">
        <v>408831.76</v>
      </c>
      <c r="G12259" s="128">
        <v>220126.51</v>
      </c>
      <c r="H12259" s="128">
        <v>171254.74</v>
      </c>
      <c r="I12259" s="128">
        <v>1940</v>
      </c>
    </row>
    <row r="12260" spans="1:9" ht="13.5">
      <c r="A12260" s="128">
        <v>2023</v>
      </c>
      <c r="B12260" s="128" t="s">
        <v>131</v>
      </c>
      <c r="C12260" s="128" t="s">
        <v>25</v>
      </c>
      <c r="D12260" s="128" t="s">
        <v>77</v>
      </c>
      <c r="E12260" s="128" t="s">
        <v>134</v>
      </c>
      <c r="F12260" s="128">
        <v>3702422.53</v>
      </c>
      <c r="G12260" s="128">
        <v>1594159.81</v>
      </c>
      <c r="H12260" s="128">
        <v>1582457.78</v>
      </c>
      <c r="I12260" s="128">
        <v>4431</v>
      </c>
    </row>
    <row r="12261" spans="1:9" ht="13.5">
      <c r="A12261" s="128">
        <v>2023</v>
      </c>
      <c r="B12261" s="128" t="s">
        <v>131</v>
      </c>
      <c r="C12261" s="128" t="s">
        <v>25</v>
      </c>
      <c r="D12261" s="128" t="s">
        <v>77</v>
      </c>
      <c r="E12261" s="128" t="s">
        <v>135</v>
      </c>
      <c r="F12261" s="128">
        <v>3960213.61</v>
      </c>
      <c r="G12261" s="128">
        <v>1011225.87</v>
      </c>
      <c r="H12261" s="128">
        <v>1125637</v>
      </c>
      <c r="I12261" s="128">
        <v>7333</v>
      </c>
    </row>
    <row r="12262" spans="1:9" ht="13.5">
      <c r="A12262" s="128">
        <v>2023</v>
      </c>
      <c r="B12262" s="128" t="s">
        <v>131</v>
      </c>
      <c r="C12262" s="128" t="s">
        <v>25</v>
      </c>
      <c r="D12262" s="128" t="s">
        <v>76</v>
      </c>
      <c r="E12262" s="128" t="s">
        <v>136</v>
      </c>
      <c r="F12262" s="128">
        <v>1469914.89</v>
      </c>
      <c r="G12262" s="128">
        <v>1105540.3500000001</v>
      </c>
      <c r="H12262" s="128">
        <v>364406.16</v>
      </c>
      <c r="I12262" s="128">
        <v>26978</v>
      </c>
    </row>
    <row r="12263" spans="1:9" ht="13.5">
      <c r="A12263" s="128">
        <v>2023</v>
      </c>
      <c r="B12263" s="128" t="s">
        <v>131</v>
      </c>
      <c r="C12263" s="128" t="s">
        <v>25</v>
      </c>
      <c r="D12263" s="128" t="s">
        <v>76</v>
      </c>
      <c r="E12263" s="128" t="s">
        <v>132</v>
      </c>
      <c r="F12263" s="128">
        <v>2818192.59</v>
      </c>
      <c r="G12263" s="128">
        <v>1772702.1</v>
      </c>
      <c r="H12263" s="128">
        <v>1045475.6</v>
      </c>
      <c r="I12263" s="128">
        <v>18524</v>
      </c>
    </row>
    <row r="12264" spans="1:9" ht="13.5">
      <c r="A12264" s="128">
        <v>2023</v>
      </c>
      <c r="B12264" s="128" t="s">
        <v>131</v>
      </c>
      <c r="C12264" s="128" t="s">
        <v>25</v>
      </c>
      <c r="D12264" s="128" t="s">
        <v>76</v>
      </c>
      <c r="E12264" s="128" t="s">
        <v>133</v>
      </c>
      <c r="F12264" s="128">
        <v>10104942.960000001</v>
      </c>
      <c r="G12264" s="128">
        <v>5506191.8200000003</v>
      </c>
      <c r="H12264" s="128">
        <v>4598741.1900000004</v>
      </c>
      <c r="I12264" s="128">
        <v>55817</v>
      </c>
    </row>
    <row r="12265" spans="1:9" ht="13.5">
      <c r="A12265" s="128">
        <v>2023</v>
      </c>
      <c r="B12265" s="128" t="s">
        <v>131</v>
      </c>
      <c r="C12265" s="128" t="s">
        <v>25</v>
      </c>
      <c r="D12265" s="128" t="s">
        <v>76</v>
      </c>
      <c r="E12265" s="128" t="s">
        <v>134</v>
      </c>
      <c r="F12265" s="128">
        <v>10853068.92</v>
      </c>
      <c r="G12265" s="128">
        <v>5005598.3899999997</v>
      </c>
      <c r="H12265" s="128">
        <v>5847456.96</v>
      </c>
      <c r="I12265" s="128">
        <v>55363</v>
      </c>
    </row>
    <row r="12266" spans="1:9" ht="13.5">
      <c r="A12266" s="128">
        <v>2023</v>
      </c>
      <c r="B12266" s="128" t="s">
        <v>131</v>
      </c>
      <c r="C12266" s="128" t="s">
        <v>25</v>
      </c>
      <c r="D12266" s="128" t="s">
        <v>76</v>
      </c>
      <c r="E12266" s="128" t="s">
        <v>135</v>
      </c>
      <c r="F12266" s="128">
        <v>284804.33</v>
      </c>
      <c r="G12266" s="128">
        <v>78099.25</v>
      </c>
      <c r="H12266" s="128">
        <v>206705.08</v>
      </c>
      <c r="I12266" s="128">
        <v>194</v>
      </c>
    </row>
    <row r="12267" spans="1:9" ht="13.5">
      <c r="A12267" s="128">
        <v>2023</v>
      </c>
      <c r="B12267" s="128" t="s">
        <v>131</v>
      </c>
      <c r="C12267" s="128" t="s">
        <v>26</v>
      </c>
      <c r="D12267" s="128" t="s">
        <v>79</v>
      </c>
      <c r="E12267" s="128" t="s">
        <v>136</v>
      </c>
      <c r="F12267" s="128">
        <v>318313.24</v>
      </c>
      <c r="G12267" s="128">
        <v>235619.33</v>
      </c>
      <c r="H12267" s="128">
        <v>77640.06</v>
      </c>
      <c r="I12267" s="128">
        <v>2937</v>
      </c>
    </row>
    <row r="12268" spans="1:9" ht="13.5">
      <c r="A12268" s="128">
        <v>2023</v>
      </c>
      <c r="B12268" s="128" t="s">
        <v>131</v>
      </c>
      <c r="C12268" s="128" t="s">
        <v>26</v>
      </c>
      <c r="D12268" s="128" t="s">
        <v>79</v>
      </c>
      <c r="E12268" s="128" t="s">
        <v>132</v>
      </c>
      <c r="F12268" s="128">
        <v>68873.95</v>
      </c>
      <c r="G12268" s="128">
        <v>47489.13</v>
      </c>
      <c r="H12268" s="128">
        <v>15698.89</v>
      </c>
      <c r="I12268" s="128">
        <v>127</v>
      </c>
    </row>
    <row r="12269" spans="1:9" ht="13.5">
      <c r="A12269" s="128">
        <v>2023</v>
      </c>
      <c r="B12269" s="128" t="s">
        <v>131</v>
      </c>
      <c r="C12269" s="128" t="s">
        <v>26</v>
      </c>
      <c r="D12269" s="128" t="s">
        <v>79</v>
      </c>
      <c r="E12269" s="128" t="s">
        <v>133</v>
      </c>
      <c r="F12269" s="128">
        <v>73287.06</v>
      </c>
      <c r="G12269" s="128">
        <v>39508.86</v>
      </c>
      <c r="H12269" s="128">
        <v>12160.86</v>
      </c>
      <c r="I12269" s="128">
        <v>192</v>
      </c>
    </row>
    <row r="12270" spans="1:9" ht="13.5">
      <c r="A12270" s="128">
        <v>2023</v>
      </c>
      <c r="B12270" s="128" t="s">
        <v>131</v>
      </c>
      <c r="C12270" s="128" t="s">
        <v>26</v>
      </c>
      <c r="D12270" s="128" t="s">
        <v>79</v>
      </c>
      <c r="E12270" s="128" t="s">
        <v>134</v>
      </c>
      <c r="F12270" s="128">
        <v>426671.54</v>
      </c>
      <c r="G12270" s="128">
        <v>181503.24</v>
      </c>
      <c r="H12270" s="128">
        <v>59522.879999999997</v>
      </c>
      <c r="I12270" s="128">
        <v>1037</v>
      </c>
    </row>
    <row r="12271" spans="1:9" ht="13.5">
      <c r="A12271" s="128">
        <v>2023</v>
      </c>
      <c r="B12271" s="128" t="s">
        <v>131</v>
      </c>
      <c r="C12271" s="128" t="s">
        <v>26</v>
      </c>
      <c r="D12271" s="128" t="s">
        <v>79</v>
      </c>
      <c r="E12271" s="128" t="s">
        <v>135</v>
      </c>
      <c r="F12271" s="128">
        <v>10677991.279999999</v>
      </c>
      <c r="G12271" s="128">
        <v>2230618.19</v>
      </c>
      <c r="H12271" s="128">
        <v>747087.19</v>
      </c>
      <c r="I12271" s="128">
        <v>8619</v>
      </c>
    </row>
    <row r="12272" spans="1:9" ht="13.5">
      <c r="A12272" s="128">
        <v>2023</v>
      </c>
      <c r="B12272" s="128" t="s">
        <v>131</v>
      </c>
      <c r="C12272" s="128" t="s">
        <v>26</v>
      </c>
      <c r="D12272" s="128" t="s">
        <v>77</v>
      </c>
      <c r="E12272" s="128" t="s">
        <v>132</v>
      </c>
      <c r="F12272" s="128">
        <v>115572.45</v>
      </c>
      <c r="G12272" s="128">
        <v>73210.11</v>
      </c>
      <c r="H12272" s="128">
        <v>30046.68</v>
      </c>
      <c r="I12272" s="128">
        <v>445</v>
      </c>
    </row>
    <row r="12273" spans="1:9" ht="13.5">
      <c r="A12273" s="128">
        <v>2023</v>
      </c>
      <c r="B12273" s="128" t="s">
        <v>131</v>
      </c>
      <c r="C12273" s="128" t="s">
        <v>26</v>
      </c>
      <c r="D12273" s="128" t="s">
        <v>77</v>
      </c>
      <c r="E12273" s="128" t="s">
        <v>133</v>
      </c>
      <c r="F12273" s="128">
        <v>172921.08</v>
      </c>
      <c r="G12273" s="128">
        <v>91251.87</v>
      </c>
      <c r="H12273" s="128">
        <v>72504.94</v>
      </c>
      <c r="I12273" s="128">
        <v>554</v>
      </c>
    </row>
    <row r="12274" spans="1:9" ht="13.5">
      <c r="A12274" s="128">
        <v>2023</v>
      </c>
      <c r="B12274" s="128" t="s">
        <v>131</v>
      </c>
      <c r="C12274" s="128" t="s">
        <v>26</v>
      </c>
      <c r="D12274" s="128" t="s">
        <v>77</v>
      </c>
      <c r="E12274" s="128" t="s">
        <v>134</v>
      </c>
      <c r="F12274" s="128">
        <v>775817.28</v>
      </c>
      <c r="G12274" s="128">
        <v>329477.76000000001</v>
      </c>
      <c r="H12274" s="128">
        <v>320725.26</v>
      </c>
      <c r="I12274" s="128">
        <v>1659</v>
      </c>
    </row>
    <row r="12275" spans="1:9" ht="13.5">
      <c r="A12275" s="128">
        <v>2023</v>
      </c>
      <c r="B12275" s="128" t="s">
        <v>131</v>
      </c>
      <c r="C12275" s="128" t="s">
        <v>26</v>
      </c>
      <c r="D12275" s="128" t="s">
        <v>77</v>
      </c>
      <c r="E12275" s="128" t="s">
        <v>135</v>
      </c>
      <c r="F12275" s="128">
        <v>5021045.95</v>
      </c>
      <c r="G12275" s="128">
        <v>1326083.53</v>
      </c>
      <c r="H12275" s="128">
        <v>1330998.01</v>
      </c>
      <c r="I12275" s="128">
        <v>15922</v>
      </c>
    </row>
    <row r="12276" spans="1:9" ht="13.5">
      <c r="A12276" s="128">
        <v>2023</v>
      </c>
      <c r="B12276" s="128" t="s">
        <v>131</v>
      </c>
      <c r="C12276" s="128" t="s">
        <v>26</v>
      </c>
      <c r="D12276" s="128" t="s">
        <v>76</v>
      </c>
      <c r="E12276" s="128" t="s">
        <v>136</v>
      </c>
      <c r="F12276" s="128">
        <v>419011.26</v>
      </c>
      <c r="G12276" s="128">
        <v>315558.90000000002</v>
      </c>
      <c r="H12276" s="128">
        <v>103452.36</v>
      </c>
      <c r="I12276" s="128">
        <v>7151</v>
      </c>
    </row>
    <row r="12277" spans="1:9" ht="13.5">
      <c r="A12277" s="128">
        <v>2023</v>
      </c>
      <c r="B12277" s="128" t="s">
        <v>131</v>
      </c>
      <c r="C12277" s="128" t="s">
        <v>26</v>
      </c>
      <c r="D12277" s="128" t="s">
        <v>76</v>
      </c>
      <c r="E12277" s="128" t="s">
        <v>132</v>
      </c>
      <c r="F12277" s="128">
        <v>1825942.83</v>
      </c>
      <c r="G12277" s="128">
        <v>1166808.3500000001</v>
      </c>
      <c r="H12277" s="128">
        <v>659120.94999999995</v>
      </c>
      <c r="I12277" s="128">
        <v>11561</v>
      </c>
    </row>
    <row r="12278" spans="1:9" ht="13.5">
      <c r="A12278" s="128">
        <v>2023</v>
      </c>
      <c r="B12278" s="128" t="s">
        <v>131</v>
      </c>
      <c r="C12278" s="128" t="s">
        <v>26</v>
      </c>
      <c r="D12278" s="128" t="s">
        <v>76</v>
      </c>
      <c r="E12278" s="128" t="s">
        <v>133</v>
      </c>
      <c r="F12278" s="128">
        <v>4985514.7699999996</v>
      </c>
      <c r="G12278" s="128">
        <v>2749370.4</v>
      </c>
      <c r="H12278" s="128">
        <v>2236081.59</v>
      </c>
      <c r="I12278" s="128">
        <v>42217</v>
      </c>
    </row>
    <row r="12279" spans="1:9" ht="13.5">
      <c r="A12279" s="128">
        <v>2023</v>
      </c>
      <c r="B12279" s="128" t="s">
        <v>131</v>
      </c>
      <c r="C12279" s="128" t="s">
        <v>26</v>
      </c>
      <c r="D12279" s="128" t="s">
        <v>76</v>
      </c>
      <c r="E12279" s="128" t="s">
        <v>134</v>
      </c>
      <c r="F12279" s="128">
        <v>3133545.73</v>
      </c>
      <c r="G12279" s="128">
        <v>1450954.95</v>
      </c>
      <c r="H12279" s="128">
        <v>1682563.12</v>
      </c>
      <c r="I12279" s="128">
        <v>17935</v>
      </c>
    </row>
    <row r="12280" spans="1:9" ht="13.5">
      <c r="A12280" s="128">
        <v>2023</v>
      </c>
      <c r="B12280" s="128" t="s">
        <v>131</v>
      </c>
      <c r="C12280" s="128" t="s">
        <v>26</v>
      </c>
      <c r="D12280" s="128" t="s">
        <v>76</v>
      </c>
      <c r="E12280" s="128" t="s">
        <v>135</v>
      </c>
      <c r="F12280" s="128">
        <v>205085.12</v>
      </c>
      <c r="G12280" s="128">
        <v>58183.9</v>
      </c>
      <c r="H12280" s="128">
        <v>146901.20000000001</v>
      </c>
      <c r="I12280" s="128">
        <v>226</v>
      </c>
    </row>
    <row r="12281" spans="1:9" ht="13.5">
      <c r="A12281" s="128">
        <v>2023</v>
      </c>
      <c r="B12281" s="128" t="s">
        <v>131</v>
      </c>
      <c r="C12281" s="128" t="s">
        <v>27</v>
      </c>
      <c r="D12281" s="128" t="s">
        <v>79</v>
      </c>
      <c r="E12281" s="128" t="s">
        <v>136</v>
      </c>
      <c r="F12281" s="128">
        <v>141432.19</v>
      </c>
      <c r="G12281" s="128">
        <v>105027.76</v>
      </c>
      <c r="H12281" s="128">
        <v>34769.43</v>
      </c>
      <c r="I12281" s="128">
        <v>803</v>
      </c>
    </row>
    <row r="12282" spans="1:9" ht="13.5">
      <c r="A12282" s="128">
        <v>2023</v>
      </c>
      <c r="B12282" s="128" t="s">
        <v>131</v>
      </c>
      <c r="C12282" s="128" t="s">
        <v>27</v>
      </c>
      <c r="D12282" s="128" t="s">
        <v>79</v>
      </c>
      <c r="E12282" s="128" t="s">
        <v>132</v>
      </c>
      <c r="F12282" s="128">
        <v>54457.61</v>
      </c>
      <c r="G12282" s="128">
        <v>35538.31</v>
      </c>
      <c r="H12282" s="128">
        <v>11844.75</v>
      </c>
      <c r="I12282" s="128">
        <v>63</v>
      </c>
    </row>
    <row r="12283" spans="1:9" ht="13.5">
      <c r="A12283" s="128">
        <v>2023</v>
      </c>
      <c r="B12283" s="128" t="s">
        <v>131</v>
      </c>
      <c r="C12283" s="128" t="s">
        <v>27</v>
      </c>
      <c r="D12283" s="128" t="s">
        <v>79</v>
      </c>
      <c r="E12283" s="128" t="s">
        <v>133</v>
      </c>
      <c r="F12283" s="128">
        <v>30874.799999999999</v>
      </c>
      <c r="G12283" s="128">
        <v>16356.58</v>
      </c>
      <c r="H12283" s="128">
        <v>5518.3</v>
      </c>
      <c r="I12283" s="128">
        <v>39</v>
      </c>
    </row>
    <row r="12284" spans="1:9" ht="13.5">
      <c r="A12284" s="128">
        <v>2023</v>
      </c>
      <c r="B12284" s="128" t="s">
        <v>131</v>
      </c>
      <c r="C12284" s="128" t="s">
        <v>27</v>
      </c>
      <c r="D12284" s="128" t="s">
        <v>79</v>
      </c>
      <c r="E12284" s="128" t="s">
        <v>134</v>
      </c>
      <c r="F12284" s="128">
        <v>91806.84</v>
      </c>
      <c r="G12284" s="128">
        <v>40385.730000000003</v>
      </c>
      <c r="H12284" s="128">
        <v>13592.19</v>
      </c>
      <c r="I12284" s="128">
        <v>260</v>
      </c>
    </row>
    <row r="12285" spans="1:9" ht="13.5">
      <c r="A12285" s="128">
        <v>2023</v>
      </c>
      <c r="B12285" s="128" t="s">
        <v>131</v>
      </c>
      <c r="C12285" s="128" t="s">
        <v>27</v>
      </c>
      <c r="D12285" s="128" t="s">
        <v>79</v>
      </c>
      <c r="E12285" s="128" t="s">
        <v>135</v>
      </c>
      <c r="F12285" s="128">
        <v>1911170.99</v>
      </c>
      <c r="G12285" s="128">
        <v>431648.78</v>
      </c>
      <c r="H12285" s="128">
        <v>143876.92000000001</v>
      </c>
      <c r="I12285" s="128">
        <v>1086</v>
      </c>
    </row>
    <row r="12286" spans="1:9" ht="13.5">
      <c r="A12286" s="128">
        <v>2023</v>
      </c>
      <c r="B12286" s="128" t="s">
        <v>131</v>
      </c>
      <c r="C12286" s="128" t="s">
        <v>27</v>
      </c>
      <c r="D12286" s="128" t="s">
        <v>77</v>
      </c>
      <c r="E12286" s="128" t="s">
        <v>132</v>
      </c>
      <c r="F12286" s="128">
        <v>28758.91</v>
      </c>
      <c r="G12286" s="128">
        <v>17780.72</v>
      </c>
      <c r="H12286" s="128">
        <v>8275.2999999999993</v>
      </c>
      <c r="I12286" s="128">
        <v>175</v>
      </c>
    </row>
    <row r="12287" spans="1:9" ht="13.5">
      <c r="A12287" s="128">
        <v>2023</v>
      </c>
      <c r="B12287" s="128" t="s">
        <v>131</v>
      </c>
      <c r="C12287" s="128" t="s">
        <v>27</v>
      </c>
      <c r="D12287" s="128" t="s">
        <v>77</v>
      </c>
      <c r="E12287" s="128" t="s">
        <v>133</v>
      </c>
      <c r="F12287" s="128">
        <v>85868.25</v>
      </c>
      <c r="G12287" s="128">
        <v>45539.92</v>
      </c>
      <c r="H12287" s="128">
        <v>35962.28</v>
      </c>
      <c r="I12287" s="128">
        <v>278</v>
      </c>
    </row>
    <row r="12288" spans="1:9" ht="13.5">
      <c r="A12288" s="128">
        <v>2023</v>
      </c>
      <c r="B12288" s="128" t="s">
        <v>131</v>
      </c>
      <c r="C12288" s="128" t="s">
        <v>27</v>
      </c>
      <c r="D12288" s="128" t="s">
        <v>77</v>
      </c>
      <c r="E12288" s="128" t="s">
        <v>134</v>
      </c>
      <c r="F12288" s="128">
        <v>266567.69</v>
      </c>
      <c r="G12288" s="128">
        <v>113335.19</v>
      </c>
      <c r="H12288" s="128">
        <v>113754.66</v>
      </c>
      <c r="I12288" s="128">
        <v>401</v>
      </c>
    </row>
    <row r="12289" spans="1:9" ht="13.5">
      <c r="A12289" s="128">
        <v>2023</v>
      </c>
      <c r="B12289" s="128" t="s">
        <v>131</v>
      </c>
      <c r="C12289" s="128" t="s">
        <v>27</v>
      </c>
      <c r="D12289" s="128" t="s">
        <v>77</v>
      </c>
      <c r="E12289" s="128" t="s">
        <v>135</v>
      </c>
      <c r="F12289" s="128">
        <v>727989.05</v>
      </c>
      <c r="G12289" s="128">
        <v>192783.6</v>
      </c>
      <c r="H12289" s="128">
        <v>214579.1</v>
      </c>
      <c r="I12289" s="128">
        <v>2340</v>
      </c>
    </row>
    <row r="12290" spans="1:9" ht="13.5">
      <c r="A12290" s="128">
        <v>2023</v>
      </c>
      <c r="B12290" s="128" t="s">
        <v>131</v>
      </c>
      <c r="C12290" s="128" t="s">
        <v>27</v>
      </c>
      <c r="D12290" s="128" t="s">
        <v>76</v>
      </c>
      <c r="E12290" s="128" t="s">
        <v>136</v>
      </c>
      <c r="F12290" s="128">
        <v>435533.4</v>
      </c>
      <c r="G12290" s="128">
        <v>326762.2</v>
      </c>
      <c r="H12290" s="128">
        <v>108771.2</v>
      </c>
      <c r="I12290" s="128">
        <v>9094</v>
      </c>
    </row>
    <row r="12291" spans="1:9" ht="13.5">
      <c r="A12291" s="128">
        <v>2023</v>
      </c>
      <c r="B12291" s="128" t="s">
        <v>131</v>
      </c>
      <c r="C12291" s="128" t="s">
        <v>27</v>
      </c>
      <c r="D12291" s="128" t="s">
        <v>76</v>
      </c>
      <c r="E12291" s="128" t="s">
        <v>132</v>
      </c>
      <c r="F12291" s="128">
        <v>609074.24</v>
      </c>
      <c r="G12291" s="128">
        <v>385990.15</v>
      </c>
      <c r="H12291" s="128">
        <v>223078.02</v>
      </c>
      <c r="I12291" s="128">
        <v>4043</v>
      </c>
    </row>
    <row r="12292" spans="1:9" ht="13.5">
      <c r="A12292" s="128">
        <v>2023</v>
      </c>
      <c r="B12292" s="128" t="s">
        <v>131</v>
      </c>
      <c r="C12292" s="128" t="s">
        <v>27</v>
      </c>
      <c r="D12292" s="128" t="s">
        <v>76</v>
      </c>
      <c r="E12292" s="128" t="s">
        <v>133</v>
      </c>
      <c r="F12292" s="128">
        <v>1722397.94</v>
      </c>
      <c r="G12292" s="128">
        <v>936379.05</v>
      </c>
      <c r="H12292" s="128">
        <v>786005.91</v>
      </c>
      <c r="I12292" s="128">
        <v>7510</v>
      </c>
    </row>
    <row r="12293" spans="1:9" ht="13.5">
      <c r="A12293" s="128">
        <v>2023</v>
      </c>
      <c r="B12293" s="128" t="s">
        <v>131</v>
      </c>
      <c r="C12293" s="128" t="s">
        <v>27</v>
      </c>
      <c r="D12293" s="128" t="s">
        <v>76</v>
      </c>
      <c r="E12293" s="128" t="s">
        <v>134</v>
      </c>
      <c r="F12293" s="128">
        <v>1600746.69</v>
      </c>
      <c r="G12293" s="128">
        <v>743743.2</v>
      </c>
      <c r="H12293" s="128">
        <v>856970.49</v>
      </c>
      <c r="I12293" s="128">
        <v>8531</v>
      </c>
    </row>
    <row r="12294" spans="1:9" ht="13.5">
      <c r="A12294" s="128">
        <v>2023</v>
      </c>
      <c r="B12294" s="128" t="s">
        <v>131</v>
      </c>
      <c r="C12294" s="128" t="s">
        <v>27</v>
      </c>
      <c r="D12294" s="128" t="s">
        <v>76</v>
      </c>
      <c r="E12294" s="128" t="s">
        <v>135</v>
      </c>
      <c r="F12294" s="128">
        <v>78935.820000000007</v>
      </c>
      <c r="G12294" s="128">
        <v>26446.75</v>
      </c>
      <c r="H12294" s="128">
        <v>52481.47</v>
      </c>
      <c r="I12294" s="128">
        <v>91</v>
      </c>
    </row>
    <row r="12295" spans="1:9" ht="13.5">
      <c r="A12295" s="128">
        <v>2023</v>
      </c>
      <c r="B12295" s="128" t="s">
        <v>138</v>
      </c>
      <c r="C12295" s="128" t="s">
        <v>20</v>
      </c>
      <c r="D12295" s="128" t="s">
        <v>79</v>
      </c>
      <c r="E12295" s="128" t="s">
        <v>136</v>
      </c>
      <c r="F12295" s="128">
        <v>33436448.300000001</v>
      </c>
      <c r="G12295" s="128">
        <v>25130919.68</v>
      </c>
      <c r="H12295" s="128">
        <v>8252734.3399999999</v>
      </c>
      <c r="I12295" s="128">
        <v>247048</v>
      </c>
    </row>
    <row r="12296" spans="1:9" ht="13.5">
      <c r="A12296" s="128">
        <v>2023</v>
      </c>
      <c r="B12296" s="128" t="s">
        <v>138</v>
      </c>
      <c r="C12296" s="128" t="s">
        <v>20</v>
      </c>
      <c r="D12296" s="128" t="s">
        <v>79</v>
      </c>
      <c r="E12296" s="128" t="s">
        <v>132</v>
      </c>
      <c r="F12296" s="128">
        <v>2663002.9300000002</v>
      </c>
      <c r="G12296" s="128">
        <v>1788869.35</v>
      </c>
      <c r="H12296" s="128">
        <v>621472.94999999995</v>
      </c>
      <c r="I12296" s="128">
        <v>9721</v>
      </c>
    </row>
    <row r="12297" spans="1:9" ht="13.5">
      <c r="A12297" s="128">
        <v>2023</v>
      </c>
      <c r="B12297" s="128" t="s">
        <v>138</v>
      </c>
      <c r="C12297" s="128" t="s">
        <v>20</v>
      </c>
      <c r="D12297" s="128" t="s">
        <v>79</v>
      </c>
      <c r="E12297" s="128" t="s">
        <v>133</v>
      </c>
      <c r="F12297" s="128">
        <v>1909547.91</v>
      </c>
      <c r="G12297" s="128">
        <v>1039339.63</v>
      </c>
      <c r="H12297" s="128">
        <v>347473.32</v>
      </c>
      <c r="I12297" s="128">
        <v>4407</v>
      </c>
    </row>
    <row r="12298" spans="1:9" ht="13.5">
      <c r="A12298" s="128">
        <v>2023</v>
      </c>
      <c r="B12298" s="128" t="s">
        <v>138</v>
      </c>
      <c r="C12298" s="128" t="s">
        <v>20</v>
      </c>
      <c r="D12298" s="128" t="s">
        <v>79</v>
      </c>
      <c r="E12298" s="128" t="s">
        <v>134</v>
      </c>
      <c r="F12298" s="128">
        <v>6799301.29</v>
      </c>
      <c r="G12298" s="128">
        <v>2896423.41</v>
      </c>
      <c r="H12298" s="128">
        <v>1014413.76</v>
      </c>
      <c r="I12298" s="128">
        <v>17415</v>
      </c>
    </row>
    <row r="12299" spans="1:9" ht="13.5">
      <c r="A12299" s="128">
        <v>2023</v>
      </c>
      <c r="B12299" s="128" t="s">
        <v>138</v>
      </c>
      <c r="C12299" s="128" t="s">
        <v>20</v>
      </c>
      <c r="D12299" s="128" t="s">
        <v>79</v>
      </c>
      <c r="E12299" s="128" t="s">
        <v>135</v>
      </c>
      <c r="F12299" s="128">
        <v>116533882.14</v>
      </c>
      <c r="G12299" s="128">
        <v>22938472.27</v>
      </c>
      <c r="H12299" s="128">
        <v>7729732.3600000003</v>
      </c>
      <c r="I12299" s="128">
        <v>88182</v>
      </c>
    </row>
    <row r="12300" spans="1:9" ht="13.5">
      <c r="A12300" s="128">
        <v>2023</v>
      </c>
      <c r="B12300" s="128" t="s">
        <v>138</v>
      </c>
      <c r="C12300" s="128" t="s">
        <v>20</v>
      </c>
      <c r="D12300" s="128" t="s">
        <v>77</v>
      </c>
      <c r="E12300" s="128" t="s">
        <v>132</v>
      </c>
      <c r="F12300" s="128">
        <v>2963082.76</v>
      </c>
      <c r="G12300" s="128">
        <v>1935382.08</v>
      </c>
      <c r="H12300" s="128">
        <v>860894.08</v>
      </c>
      <c r="I12300" s="128">
        <v>13580</v>
      </c>
    </row>
    <row r="12301" spans="1:9" ht="13.5">
      <c r="A12301" s="128">
        <v>2023</v>
      </c>
      <c r="B12301" s="128" t="s">
        <v>138</v>
      </c>
      <c r="C12301" s="128" t="s">
        <v>20</v>
      </c>
      <c r="D12301" s="128" t="s">
        <v>77</v>
      </c>
      <c r="E12301" s="128" t="s">
        <v>133</v>
      </c>
      <c r="F12301" s="128">
        <v>6371946.5800000001</v>
      </c>
      <c r="G12301" s="128">
        <v>3393449.1</v>
      </c>
      <c r="H12301" s="128">
        <v>2671794.84</v>
      </c>
      <c r="I12301" s="128">
        <v>16241</v>
      </c>
    </row>
    <row r="12302" spans="1:9" ht="13.5">
      <c r="A12302" s="128">
        <v>2023</v>
      </c>
      <c r="B12302" s="128" t="s">
        <v>138</v>
      </c>
      <c r="C12302" s="128" t="s">
        <v>20</v>
      </c>
      <c r="D12302" s="128" t="s">
        <v>77</v>
      </c>
      <c r="E12302" s="128" t="s">
        <v>134</v>
      </c>
      <c r="F12302" s="128">
        <v>18720415.620000001</v>
      </c>
      <c r="G12302" s="128">
        <v>8075073.5499999998</v>
      </c>
      <c r="H12302" s="128">
        <v>7984016.2199999997</v>
      </c>
      <c r="I12302" s="128">
        <v>30595</v>
      </c>
    </row>
    <row r="12303" spans="1:9" ht="13.5">
      <c r="A12303" s="128">
        <v>2023</v>
      </c>
      <c r="B12303" s="128" t="s">
        <v>138</v>
      </c>
      <c r="C12303" s="128" t="s">
        <v>20</v>
      </c>
      <c r="D12303" s="128" t="s">
        <v>77</v>
      </c>
      <c r="E12303" s="128" t="s">
        <v>135</v>
      </c>
      <c r="F12303" s="128">
        <v>54312472.909999996</v>
      </c>
      <c r="G12303" s="128">
        <v>14004367.449999999</v>
      </c>
      <c r="H12303" s="128">
        <v>15770001.039999999</v>
      </c>
      <c r="I12303" s="128">
        <v>173339</v>
      </c>
    </row>
    <row r="12304" spans="1:9" ht="13.5">
      <c r="A12304" s="128">
        <v>2023</v>
      </c>
      <c r="B12304" s="128" t="s">
        <v>138</v>
      </c>
      <c r="C12304" s="128" t="s">
        <v>20</v>
      </c>
      <c r="D12304" s="128" t="s">
        <v>76</v>
      </c>
      <c r="E12304" s="128" t="s">
        <v>136</v>
      </c>
      <c r="F12304" s="128">
        <v>29948341.84</v>
      </c>
      <c r="G12304" s="128">
        <v>22518002.969999999</v>
      </c>
      <c r="H12304" s="128">
        <v>7430341.7599999998</v>
      </c>
      <c r="I12304" s="128">
        <v>1047906</v>
      </c>
    </row>
    <row r="12305" spans="1:9" ht="13.5">
      <c r="A12305" s="128">
        <v>2023</v>
      </c>
      <c r="B12305" s="128" t="s">
        <v>138</v>
      </c>
      <c r="C12305" s="128" t="s">
        <v>20</v>
      </c>
      <c r="D12305" s="128" t="s">
        <v>76</v>
      </c>
      <c r="E12305" s="128" t="s">
        <v>132</v>
      </c>
      <c r="F12305" s="128">
        <v>57818628.149999999</v>
      </c>
      <c r="G12305" s="128">
        <v>36858580.109999999</v>
      </c>
      <c r="H12305" s="128">
        <v>20959968.960000001</v>
      </c>
      <c r="I12305" s="128">
        <v>456276</v>
      </c>
    </row>
    <row r="12306" spans="1:9" ht="13.5">
      <c r="A12306" s="128">
        <v>2023</v>
      </c>
      <c r="B12306" s="128" t="s">
        <v>138</v>
      </c>
      <c r="C12306" s="128" t="s">
        <v>20</v>
      </c>
      <c r="D12306" s="128" t="s">
        <v>76</v>
      </c>
      <c r="E12306" s="128" t="s">
        <v>133</v>
      </c>
      <c r="F12306" s="128">
        <v>115354663.66</v>
      </c>
      <c r="G12306" s="128">
        <v>63265975.009999998</v>
      </c>
      <c r="H12306" s="128">
        <v>52088670.979999997</v>
      </c>
      <c r="I12306" s="128">
        <v>626412</v>
      </c>
    </row>
    <row r="12307" spans="1:9" ht="13.5">
      <c r="A12307" s="128">
        <v>2023</v>
      </c>
      <c r="B12307" s="128" t="s">
        <v>138</v>
      </c>
      <c r="C12307" s="128" t="s">
        <v>20</v>
      </c>
      <c r="D12307" s="128" t="s">
        <v>76</v>
      </c>
      <c r="E12307" s="128" t="s">
        <v>134</v>
      </c>
      <c r="F12307" s="128">
        <v>115170672.84</v>
      </c>
      <c r="G12307" s="128">
        <v>52673880.359999999</v>
      </c>
      <c r="H12307" s="128">
        <v>62496755.990000002</v>
      </c>
      <c r="I12307" s="128">
        <v>648012</v>
      </c>
    </row>
    <row r="12308" spans="1:9" ht="13.5">
      <c r="A12308" s="128">
        <v>2023</v>
      </c>
      <c r="B12308" s="128" t="s">
        <v>138</v>
      </c>
      <c r="C12308" s="128" t="s">
        <v>20</v>
      </c>
      <c r="D12308" s="128" t="s">
        <v>76</v>
      </c>
      <c r="E12308" s="128" t="s">
        <v>135</v>
      </c>
      <c r="F12308" s="128">
        <v>6145004.5999999996</v>
      </c>
      <c r="G12308" s="128">
        <v>1811663.96</v>
      </c>
      <c r="H12308" s="128">
        <v>4333340.6399999997</v>
      </c>
      <c r="I12308" s="128">
        <v>6692</v>
      </c>
    </row>
    <row r="12309" spans="1:9" ht="13.5">
      <c r="A12309" s="128">
        <v>2023</v>
      </c>
      <c r="B12309" s="128" t="s">
        <v>138</v>
      </c>
      <c r="C12309" s="128" t="s">
        <v>21</v>
      </c>
      <c r="D12309" s="128" t="s">
        <v>79</v>
      </c>
      <c r="E12309" s="128" t="s">
        <v>136</v>
      </c>
      <c r="F12309" s="128">
        <v>6381337.5599999996</v>
      </c>
      <c r="G12309" s="128">
        <v>4821799.4400000004</v>
      </c>
      <c r="H12309" s="128">
        <v>1536824.97</v>
      </c>
      <c r="I12309" s="128">
        <v>120745</v>
      </c>
    </row>
    <row r="12310" spans="1:9" ht="13.5">
      <c r="A12310" s="128">
        <v>2023</v>
      </c>
      <c r="B12310" s="128" t="s">
        <v>138</v>
      </c>
      <c r="C12310" s="128" t="s">
        <v>21</v>
      </c>
      <c r="D12310" s="128" t="s">
        <v>79</v>
      </c>
      <c r="E12310" s="128" t="s">
        <v>132</v>
      </c>
      <c r="F12310" s="128">
        <v>902763.75</v>
      </c>
      <c r="G12310" s="128">
        <v>594749.85</v>
      </c>
      <c r="H12310" s="128">
        <v>196321.6</v>
      </c>
      <c r="I12310" s="128">
        <v>2862</v>
      </c>
    </row>
    <row r="12311" spans="1:9" ht="13.5">
      <c r="A12311" s="128">
        <v>2023</v>
      </c>
      <c r="B12311" s="128" t="s">
        <v>138</v>
      </c>
      <c r="C12311" s="128" t="s">
        <v>21</v>
      </c>
      <c r="D12311" s="128" t="s">
        <v>79</v>
      </c>
      <c r="E12311" s="128" t="s">
        <v>133</v>
      </c>
      <c r="F12311" s="128">
        <v>1605063.07</v>
      </c>
      <c r="G12311" s="128">
        <v>862592.73</v>
      </c>
      <c r="H12311" s="128">
        <v>292758.03000000003</v>
      </c>
      <c r="I12311" s="128">
        <v>8179</v>
      </c>
    </row>
    <row r="12312" spans="1:9" ht="13.5">
      <c r="A12312" s="128">
        <v>2023</v>
      </c>
      <c r="B12312" s="128" t="s">
        <v>138</v>
      </c>
      <c r="C12312" s="128" t="s">
        <v>21</v>
      </c>
      <c r="D12312" s="128" t="s">
        <v>79</v>
      </c>
      <c r="E12312" s="128" t="s">
        <v>134</v>
      </c>
      <c r="F12312" s="128">
        <v>4088287.59</v>
      </c>
      <c r="G12312" s="128">
        <v>1784268.9</v>
      </c>
      <c r="H12312" s="128">
        <v>596496.22</v>
      </c>
      <c r="I12312" s="128">
        <v>13134</v>
      </c>
    </row>
    <row r="12313" spans="1:9" ht="13.5">
      <c r="A12313" s="128">
        <v>2023</v>
      </c>
      <c r="B12313" s="128" t="s">
        <v>138</v>
      </c>
      <c r="C12313" s="128" t="s">
        <v>21</v>
      </c>
      <c r="D12313" s="128" t="s">
        <v>79</v>
      </c>
      <c r="E12313" s="128" t="s">
        <v>135</v>
      </c>
      <c r="F12313" s="128">
        <v>42015739.299999997</v>
      </c>
      <c r="G12313" s="128">
        <v>8988606.5399999991</v>
      </c>
      <c r="H12313" s="128">
        <v>3007031.36</v>
      </c>
      <c r="I12313" s="128">
        <v>32853</v>
      </c>
    </row>
    <row r="12314" spans="1:9" ht="13.5">
      <c r="A12314" s="128">
        <v>2023</v>
      </c>
      <c r="B12314" s="128" t="s">
        <v>138</v>
      </c>
      <c r="C12314" s="128" t="s">
        <v>21</v>
      </c>
      <c r="D12314" s="128" t="s">
        <v>77</v>
      </c>
      <c r="E12314" s="128" t="s">
        <v>132</v>
      </c>
      <c r="F12314" s="128">
        <v>2385644.35</v>
      </c>
      <c r="G12314" s="128">
        <v>1565957.87</v>
      </c>
      <c r="H12314" s="128">
        <v>700466.83</v>
      </c>
      <c r="I12314" s="128">
        <v>12268</v>
      </c>
    </row>
    <row r="12315" spans="1:9" ht="13.5">
      <c r="A12315" s="128">
        <v>2023</v>
      </c>
      <c r="B12315" s="128" t="s">
        <v>138</v>
      </c>
      <c r="C12315" s="128" t="s">
        <v>21</v>
      </c>
      <c r="D12315" s="128" t="s">
        <v>77</v>
      </c>
      <c r="E12315" s="128" t="s">
        <v>133</v>
      </c>
      <c r="F12315" s="128">
        <v>7468824.3300000001</v>
      </c>
      <c r="G12315" s="128">
        <v>4002402.5</v>
      </c>
      <c r="H12315" s="128">
        <v>2907995.08</v>
      </c>
      <c r="I12315" s="128">
        <v>23728</v>
      </c>
    </row>
    <row r="12316" spans="1:9" ht="13.5">
      <c r="A12316" s="128">
        <v>2023</v>
      </c>
      <c r="B12316" s="128" t="s">
        <v>138</v>
      </c>
      <c r="C12316" s="128" t="s">
        <v>21</v>
      </c>
      <c r="D12316" s="128" t="s">
        <v>77</v>
      </c>
      <c r="E12316" s="128" t="s">
        <v>134</v>
      </c>
      <c r="F12316" s="128">
        <v>21559767.109999999</v>
      </c>
      <c r="G12316" s="128">
        <v>9243621.5999999996</v>
      </c>
      <c r="H12316" s="128">
        <v>8749218.8100000005</v>
      </c>
      <c r="I12316" s="128">
        <v>35552</v>
      </c>
    </row>
    <row r="12317" spans="1:9" ht="13.5">
      <c r="A12317" s="128">
        <v>2023</v>
      </c>
      <c r="B12317" s="128" t="s">
        <v>138</v>
      </c>
      <c r="C12317" s="128" t="s">
        <v>21</v>
      </c>
      <c r="D12317" s="128" t="s">
        <v>77</v>
      </c>
      <c r="E12317" s="128" t="s">
        <v>135</v>
      </c>
      <c r="F12317" s="128">
        <v>56061299.609999999</v>
      </c>
      <c r="G12317" s="128">
        <v>14610651.68</v>
      </c>
      <c r="H12317" s="128">
        <v>15706269.59</v>
      </c>
      <c r="I12317" s="128">
        <v>189351</v>
      </c>
    </row>
    <row r="12318" spans="1:9" ht="13.5">
      <c r="A12318" s="128">
        <v>2023</v>
      </c>
      <c r="B12318" s="128" t="s">
        <v>138</v>
      </c>
      <c r="C12318" s="128" t="s">
        <v>21</v>
      </c>
      <c r="D12318" s="128" t="s">
        <v>76</v>
      </c>
      <c r="E12318" s="128" t="s">
        <v>136</v>
      </c>
      <c r="F12318" s="128">
        <v>23226775.32</v>
      </c>
      <c r="G12318" s="128">
        <v>17502385.609999999</v>
      </c>
      <c r="H12318" s="128">
        <v>5724391.9100000001</v>
      </c>
      <c r="I12318" s="128">
        <v>425399</v>
      </c>
    </row>
    <row r="12319" spans="1:9" ht="13.5">
      <c r="A12319" s="128">
        <v>2023</v>
      </c>
      <c r="B12319" s="128" t="s">
        <v>138</v>
      </c>
      <c r="C12319" s="128" t="s">
        <v>21</v>
      </c>
      <c r="D12319" s="128" t="s">
        <v>76</v>
      </c>
      <c r="E12319" s="128" t="s">
        <v>132</v>
      </c>
      <c r="F12319" s="128">
        <v>61493964.710000001</v>
      </c>
      <c r="G12319" s="128">
        <v>39180095.850000001</v>
      </c>
      <c r="H12319" s="128">
        <v>22313639.960000001</v>
      </c>
      <c r="I12319" s="128">
        <v>491725</v>
      </c>
    </row>
    <row r="12320" spans="1:9" ht="13.5">
      <c r="A12320" s="128">
        <v>2023</v>
      </c>
      <c r="B12320" s="128" t="s">
        <v>138</v>
      </c>
      <c r="C12320" s="128" t="s">
        <v>21</v>
      </c>
      <c r="D12320" s="128" t="s">
        <v>76</v>
      </c>
      <c r="E12320" s="128" t="s">
        <v>133</v>
      </c>
      <c r="F12320" s="128">
        <v>121766976.70999999</v>
      </c>
      <c r="G12320" s="128">
        <v>66889450.600000001</v>
      </c>
      <c r="H12320" s="128">
        <v>54877451.539999999</v>
      </c>
      <c r="I12320" s="128">
        <v>712058</v>
      </c>
    </row>
    <row r="12321" spans="1:9" ht="13.5">
      <c r="A12321" s="128">
        <v>2023</v>
      </c>
      <c r="B12321" s="128" t="s">
        <v>138</v>
      </c>
      <c r="C12321" s="128" t="s">
        <v>21</v>
      </c>
      <c r="D12321" s="128" t="s">
        <v>76</v>
      </c>
      <c r="E12321" s="128" t="s">
        <v>134</v>
      </c>
      <c r="F12321" s="128">
        <v>82139996.939999998</v>
      </c>
      <c r="G12321" s="128">
        <v>37820168.130000003</v>
      </c>
      <c r="H12321" s="128">
        <v>44319790.450000003</v>
      </c>
      <c r="I12321" s="128">
        <v>515976</v>
      </c>
    </row>
    <row r="12322" spans="1:9" ht="13.5">
      <c r="A12322" s="128">
        <v>2023</v>
      </c>
      <c r="B12322" s="128" t="s">
        <v>138</v>
      </c>
      <c r="C12322" s="128" t="s">
        <v>21</v>
      </c>
      <c r="D12322" s="128" t="s">
        <v>76</v>
      </c>
      <c r="E12322" s="128" t="s">
        <v>135</v>
      </c>
      <c r="F12322" s="128">
        <v>2875092.91</v>
      </c>
      <c r="G12322" s="128">
        <v>809076.99</v>
      </c>
      <c r="H12322" s="128">
        <v>2066015.92</v>
      </c>
      <c r="I12322" s="128">
        <v>2796</v>
      </c>
    </row>
    <row r="12323" spans="1:9" ht="13.5">
      <c r="A12323" s="128">
        <v>2023</v>
      </c>
      <c r="B12323" s="128" t="s">
        <v>138</v>
      </c>
      <c r="C12323" s="128" t="s">
        <v>22</v>
      </c>
      <c r="D12323" s="128" t="s">
        <v>79</v>
      </c>
      <c r="E12323" s="128" t="s">
        <v>136</v>
      </c>
      <c r="F12323" s="128">
        <v>4065081.2</v>
      </c>
      <c r="G12323" s="128">
        <v>3040618.5</v>
      </c>
      <c r="H12323" s="128">
        <v>960992.4</v>
      </c>
      <c r="I12323" s="128">
        <v>66452</v>
      </c>
    </row>
    <row r="12324" spans="1:9" ht="13.5">
      <c r="A12324" s="128">
        <v>2023</v>
      </c>
      <c r="B12324" s="128" t="s">
        <v>138</v>
      </c>
      <c r="C12324" s="128" t="s">
        <v>22</v>
      </c>
      <c r="D12324" s="128" t="s">
        <v>79</v>
      </c>
      <c r="E12324" s="128" t="s">
        <v>132</v>
      </c>
      <c r="F12324" s="128">
        <v>952053.35</v>
      </c>
      <c r="G12324" s="128">
        <v>629721.82999999996</v>
      </c>
      <c r="H12324" s="128">
        <v>210782.74</v>
      </c>
      <c r="I12324" s="128">
        <v>2270</v>
      </c>
    </row>
    <row r="12325" spans="1:9" ht="13.5">
      <c r="A12325" s="128">
        <v>2023</v>
      </c>
      <c r="B12325" s="128" t="s">
        <v>138</v>
      </c>
      <c r="C12325" s="128" t="s">
        <v>22</v>
      </c>
      <c r="D12325" s="128" t="s">
        <v>79</v>
      </c>
      <c r="E12325" s="128" t="s">
        <v>133</v>
      </c>
      <c r="F12325" s="128">
        <v>1314850.8799999999</v>
      </c>
      <c r="G12325" s="128">
        <v>713885.25</v>
      </c>
      <c r="H12325" s="128">
        <v>234814.16</v>
      </c>
      <c r="I12325" s="128">
        <v>2683</v>
      </c>
    </row>
    <row r="12326" spans="1:9" ht="13.5">
      <c r="A12326" s="128">
        <v>2023</v>
      </c>
      <c r="B12326" s="128" t="s">
        <v>138</v>
      </c>
      <c r="C12326" s="128" t="s">
        <v>22</v>
      </c>
      <c r="D12326" s="128" t="s">
        <v>79</v>
      </c>
      <c r="E12326" s="128" t="s">
        <v>134</v>
      </c>
      <c r="F12326" s="128">
        <v>4710448.51</v>
      </c>
      <c r="G12326" s="128">
        <v>2035613.05</v>
      </c>
      <c r="H12326" s="128">
        <v>678125.57</v>
      </c>
      <c r="I12326" s="128">
        <v>20944</v>
      </c>
    </row>
    <row r="12327" spans="1:9" ht="13.5">
      <c r="A12327" s="128">
        <v>2023</v>
      </c>
      <c r="B12327" s="128" t="s">
        <v>138</v>
      </c>
      <c r="C12327" s="128" t="s">
        <v>22</v>
      </c>
      <c r="D12327" s="128" t="s">
        <v>79</v>
      </c>
      <c r="E12327" s="128" t="s">
        <v>135</v>
      </c>
      <c r="F12327" s="128">
        <v>53916065.799999997</v>
      </c>
      <c r="G12327" s="128">
        <v>11486863.76</v>
      </c>
      <c r="H12327" s="128">
        <v>3846486.45</v>
      </c>
      <c r="I12327" s="128">
        <v>44593</v>
      </c>
    </row>
    <row r="12328" spans="1:9" ht="13.5">
      <c r="A12328" s="128">
        <v>2023</v>
      </c>
      <c r="B12328" s="128" t="s">
        <v>138</v>
      </c>
      <c r="C12328" s="128" t="s">
        <v>22</v>
      </c>
      <c r="D12328" s="128" t="s">
        <v>77</v>
      </c>
      <c r="E12328" s="128" t="s">
        <v>132</v>
      </c>
      <c r="F12328" s="128">
        <v>1650294.18</v>
      </c>
      <c r="G12328" s="128">
        <v>1064475.02</v>
      </c>
      <c r="H12328" s="128">
        <v>473020.51</v>
      </c>
      <c r="I12328" s="128">
        <v>7357</v>
      </c>
    </row>
    <row r="12329" spans="1:9" ht="13.5">
      <c r="A12329" s="128">
        <v>2023</v>
      </c>
      <c r="B12329" s="128" t="s">
        <v>138</v>
      </c>
      <c r="C12329" s="128" t="s">
        <v>22</v>
      </c>
      <c r="D12329" s="128" t="s">
        <v>77</v>
      </c>
      <c r="E12329" s="128" t="s">
        <v>133</v>
      </c>
      <c r="F12329" s="128">
        <v>4887806.0999999996</v>
      </c>
      <c r="G12329" s="128">
        <v>2606088.75</v>
      </c>
      <c r="H12329" s="128">
        <v>1928674.73</v>
      </c>
      <c r="I12329" s="128">
        <v>18496</v>
      </c>
    </row>
    <row r="12330" spans="1:9" ht="13.5">
      <c r="A12330" s="128">
        <v>2023</v>
      </c>
      <c r="B12330" s="128" t="s">
        <v>138</v>
      </c>
      <c r="C12330" s="128" t="s">
        <v>22</v>
      </c>
      <c r="D12330" s="128" t="s">
        <v>77</v>
      </c>
      <c r="E12330" s="128" t="s">
        <v>134</v>
      </c>
      <c r="F12330" s="128">
        <v>20909996.989999998</v>
      </c>
      <c r="G12330" s="128">
        <v>8846792.0600000005</v>
      </c>
      <c r="H12330" s="128">
        <v>8674442.1400000006</v>
      </c>
      <c r="I12330" s="128">
        <v>32039</v>
      </c>
    </row>
    <row r="12331" spans="1:9" ht="13.5">
      <c r="A12331" s="128">
        <v>2023</v>
      </c>
      <c r="B12331" s="128" t="s">
        <v>138</v>
      </c>
      <c r="C12331" s="128" t="s">
        <v>22</v>
      </c>
      <c r="D12331" s="128" t="s">
        <v>77</v>
      </c>
      <c r="E12331" s="128" t="s">
        <v>135</v>
      </c>
      <c r="F12331" s="128">
        <v>52914954.259999998</v>
      </c>
      <c r="G12331" s="128">
        <v>13179064.83</v>
      </c>
      <c r="H12331" s="128">
        <v>14582000.02</v>
      </c>
      <c r="I12331" s="128">
        <v>132202</v>
      </c>
    </row>
    <row r="12332" spans="1:9" ht="13.5">
      <c r="A12332" s="128">
        <v>2023</v>
      </c>
      <c r="B12332" s="128" t="s">
        <v>138</v>
      </c>
      <c r="C12332" s="128" t="s">
        <v>22</v>
      </c>
      <c r="D12332" s="128" t="s">
        <v>76</v>
      </c>
      <c r="E12332" s="128" t="s">
        <v>136</v>
      </c>
      <c r="F12332" s="128">
        <v>16595155.52</v>
      </c>
      <c r="G12332" s="128">
        <v>12465991.539999999</v>
      </c>
      <c r="H12332" s="128">
        <v>4129163.98</v>
      </c>
      <c r="I12332" s="128">
        <v>220431</v>
      </c>
    </row>
    <row r="12333" spans="1:9" ht="13.5">
      <c r="A12333" s="128">
        <v>2023</v>
      </c>
      <c r="B12333" s="128" t="s">
        <v>138</v>
      </c>
      <c r="C12333" s="128" t="s">
        <v>22</v>
      </c>
      <c r="D12333" s="128" t="s">
        <v>76</v>
      </c>
      <c r="E12333" s="128" t="s">
        <v>132</v>
      </c>
      <c r="F12333" s="128">
        <v>50142856.359999999</v>
      </c>
      <c r="G12333" s="128">
        <v>31949197.829999998</v>
      </c>
      <c r="H12333" s="128">
        <v>18193508.800000001</v>
      </c>
      <c r="I12333" s="128">
        <v>427861</v>
      </c>
    </row>
    <row r="12334" spans="1:9" ht="13.5">
      <c r="A12334" s="128">
        <v>2023</v>
      </c>
      <c r="B12334" s="128" t="s">
        <v>138</v>
      </c>
      <c r="C12334" s="128" t="s">
        <v>22</v>
      </c>
      <c r="D12334" s="128" t="s">
        <v>76</v>
      </c>
      <c r="E12334" s="128" t="s">
        <v>133</v>
      </c>
      <c r="F12334" s="128">
        <v>82441278.280000001</v>
      </c>
      <c r="G12334" s="128">
        <v>45624735.950000003</v>
      </c>
      <c r="H12334" s="128">
        <v>36816499.289999999</v>
      </c>
      <c r="I12334" s="128">
        <v>629968</v>
      </c>
    </row>
    <row r="12335" spans="1:9" ht="13.5">
      <c r="A12335" s="128">
        <v>2023</v>
      </c>
      <c r="B12335" s="128" t="s">
        <v>138</v>
      </c>
      <c r="C12335" s="128" t="s">
        <v>22</v>
      </c>
      <c r="D12335" s="128" t="s">
        <v>76</v>
      </c>
      <c r="E12335" s="128" t="s">
        <v>134</v>
      </c>
      <c r="F12335" s="128">
        <v>69818957.129999995</v>
      </c>
      <c r="G12335" s="128">
        <v>32094622.699999999</v>
      </c>
      <c r="H12335" s="128">
        <v>37723814.729999997</v>
      </c>
      <c r="I12335" s="128">
        <v>459755</v>
      </c>
    </row>
    <row r="12336" spans="1:9" ht="13.5">
      <c r="A12336" s="128">
        <v>2023</v>
      </c>
      <c r="B12336" s="128" t="s">
        <v>138</v>
      </c>
      <c r="C12336" s="128" t="s">
        <v>22</v>
      </c>
      <c r="D12336" s="128" t="s">
        <v>76</v>
      </c>
      <c r="E12336" s="128" t="s">
        <v>135</v>
      </c>
      <c r="F12336" s="128">
        <v>3835294.95</v>
      </c>
      <c r="G12336" s="128">
        <v>1134317.17</v>
      </c>
      <c r="H12336" s="128">
        <v>2700976.79</v>
      </c>
      <c r="I12336" s="128">
        <v>5362</v>
      </c>
    </row>
    <row r="12337" spans="1:9" ht="13.5">
      <c r="A12337" s="128">
        <v>2023</v>
      </c>
      <c r="B12337" s="128" t="s">
        <v>138</v>
      </c>
      <c r="C12337" s="128" t="s">
        <v>23</v>
      </c>
      <c r="D12337" s="128" t="s">
        <v>79</v>
      </c>
      <c r="E12337" s="128" t="s">
        <v>136</v>
      </c>
      <c r="F12337" s="128">
        <v>1660285.46</v>
      </c>
      <c r="G12337" s="128">
        <v>1226512.54</v>
      </c>
      <c r="H12337" s="128">
        <v>406385.63</v>
      </c>
      <c r="I12337" s="128">
        <v>8545</v>
      </c>
    </row>
    <row r="12338" spans="1:9" ht="13.5">
      <c r="A12338" s="128">
        <v>2023</v>
      </c>
      <c r="B12338" s="128" t="s">
        <v>138</v>
      </c>
      <c r="C12338" s="128" t="s">
        <v>23</v>
      </c>
      <c r="D12338" s="128" t="s">
        <v>79</v>
      </c>
      <c r="E12338" s="128" t="s">
        <v>132</v>
      </c>
      <c r="F12338" s="128">
        <v>175024.66</v>
      </c>
      <c r="G12338" s="128">
        <v>115202.83</v>
      </c>
      <c r="H12338" s="128">
        <v>38678.47</v>
      </c>
      <c r="I12338" s="128">
        <v>315</v>
      </c>
    </row>
    <row r="12339" spans="1:9" ht="13.5">
      <c r="A12339" s="128">
        <v>2023</v>
      </c>
      <c r="B12339" s="128" t="s">
        <v>138</v>
      </c>
      <c r="C12339" s="128" t="s">
        <v>23</v>
      </c>
      <c r="D12339" s="128" t="s">
        <v>79</v>
      </c>
      <c r="E12339" s="128" t="s">
        <v>133</v>
      </c>
      <c r="F12339" s="128">
        <v>264691.13</v>
      </c>
      <c r="G12339" s="128">
        <v>142896.19</v>
      </c>
      <c r="H12339" s="128">
        <v>47613.7</v>
      </c>
      <c r="I12339" s="128">
        <v>469</v>
      </c>
    </row>
    <row r="12340" spans="1:9" ht="13.5">
      <c r="A12340" s="128">
        <v>2023</v>
      </c>
      <c r="B12340" s="128" t="s">
        <v>138</v>
      </c>
      <c r="C12340" s="128" t="s">
        <v>23</v>
      </c>
      <c r="D12340" s="128" t="s">
        <v>79</v>
      </c>
      <c r="E12340" s="128" t="s">
        <v>134</v>
      </c>
      <c r="F12340" s="128">
        <v>551509.68999999994</v>
      </c>
      <c r="G12340" s="128">
        <v>236350.22</v>
      </c>
      <c r="H12340" s="128">
        <v>80695.44</v>
      </c>
      <c r="I12340" s="128">
        <v>1114</v>
      </c>
    </row>
    <row r="12341" spans="1:9" ht="13.5">
      <c r="A12341" s="128">
        <v>2023</v>
      </c>
      <c r="B12341" s="128" t="s">
        <v>138</v>
      </c>
      <c r="C12341" s="128" t="s">
        <v>23</v>
      </c>
      <c r="D12341" s="128" t="s">
        <v>79</v>
      </c>
      <c r="E12341" s="128" t="s">
        <v>135</v>
      </c>
      <c r="F12341" s="128">
        <v>6005923.5499999998</v>
      </c>
      <c r="G12341" s="128">
        <v>1254916.8500000001</v>
      </c>
      <c r="H12341" s="128">
        <v>425495.79</v>
      </c>
      <c r="I12341" s="128">
        <v>3593</v>
      </c>
    </row>
    <row r="12342" spans="1:9" ht="13.5">
      <c r="A12342" s="128">
        <v>2023</v>
      </c>
      <c r="B12342" s="128" t="s">
        <v>138</v>
      </c>
      <c r="C12342" s="128" t="s">
        <v>23</v>
      </c>
      <c r="D12342" s="128" t="s">
        <v>77</v>
      </c>
      <c r="E12342" s="128" t="s">
        <v>132</v>
      </c>
      <c r="F12342" s="128">
        <v>509971.8</v>
      </c>
      <c r="G12342" s="128">
        <v>317110.71999999997</v>
      </c>
      <c r="H12342" s="128">
        <v>141290.29</v>
      </c>
      <c r="I12342" s="128">
        <v>2450</v>
      </c>
    </row>
    <row r="12343" spans="1:9" ht="13.5">
      <c r="A12343" s="128">
        <v>2023</v>
      </c>
      <c r="B12343" s="128" t="s">
        <v>138</v>
      </c>
      <c r="C12343" s="128" t="s">
        <v>23</v>
      </c>
      <c r="D12343" s="128" t="s">
        <v>77</v>
      </c>
      <c r="E12343" s="128" t="s">
        <v>133</v>
      </c>
      <c r="F12343" s="128">
        <v>1930919.15</v>
      </c>
      <c r="G12343" s="128">
        <v>1032309.58</v>
      </c>
      <c r="H12343" s="128">
        <v>781615.87</v>
      </c>
      <c r="I12343" s="128">
        <v>6320</v>
      </c>
    </row>
    <row r="12344" spans="1:9" ht="13.5">
      <c r="A12344" s="128">
        <v>2023</v>
      </c>
      <c r="B12344" s="128" t="s">
        <v>138</v>
      </c>
      <c r="C12344" s="128" t="s">
        <v>23</v>
      </c>
      <c r="D12344" s="128" t="s">
        <v>77</v>
      </c>
      <c r="E12344" s="128" t="s">
        <v>134</v>
      </c>
      <c r="F12344" s="128">
        <v>11673413.25</v>
      </c>
      <c r="G12344" s="128">
        <v>4936788.54</v>
      </c>
      <c r="H12344" s="128">
        <v>4977193</v>
      </c>
      <c r="I12344" s="128">
        <v>16063</v>
      </c>
    </row>
    <row r="12345" spans="1:9" ht="13.5">
      <c r="A12345" s="128">
        <v>2023</v>
      </c>
      <c r="B12345" s="128" t="s">
        <v>138</v>
      </c>
      <c r="C12345" s="128" t="s">
        <v>23</v>
      </c>
      <c r="D12345" s="128" t="s">
        <v>77</v>
      </c>
      <c r="E12345" s="128" t="s">
        <v>135</v>
      </c>
      <c r="F12345" s="128">
        <v>15073328.9</v>
      </c>
      <c r="G12345" s="128">
        <v>4222976.21</v>
      </c>
      <c r="H12345" s="128">
        <v>4763916.1900000004</v>
      </c>
      <c r="I12345" s="128">
        <v>51204</v>
      </c>
    </row>
    <row r="12346" spans="1:9" ht="13.5">
      <c r="A12346" s="128">
        <v>2023</v>
      </c>
      <c r="B12346" s="128" t="s">
        <v>138</v>
      </c>
      <c r="C12346" s="128" t="s">
        <v>23</v>
      </c>
      <c r="D12346" s="128" t="s">
        <v>76</v>
      </c>
      <c r="E12346" s="128" t="s">
        <v>136</v>
      </c>
      <c r="F12346" s="128">
        <v>8694940.6999999993</v>
      </c>
      <c r="G12346" s="128">
        <v>6533409.21</v>
      </c>
      <c r="H12346" s="128">
        <v>2161531.4900000002</v>
      </c>
      <c r="I12346" s="128">
        <v>203837</v>
      </c>
    </row>
    <row r="12347" spans="1:9" ht="13.5">
      <c r="A12347" s="128">
        <v>2023</v>
      </c>
      <c r="B12347" s="128" t="s">
        <v>138</v>
      </c>
      <c r="C12347" s="128" t="s">
        <v>23</v>
      </c>
      <c r="D12347" s="128" t="s">
        <v>76</v>
      </c>
      <c r="E12347" s="128" t="s">
        <v>132</v>
      </c>
      <c r="F12347" s="128">
        <v>16204312.449999999</v>
      </c>
      <c r="G12347" s="128">
        <v>10188359.23</v>
      </c>
      <c r="H12347" s="128">
        <v>6015859.9699999997</v>
      </c>
      <c r="I12347" s="128">
        <v>123100</v>
      </c>
    </row>
    <row r="12348" spans="1:9" ht="13.5">
      <c r="A12348" s="128">
        <v>2023</v>
      </c>
      <c r="B12348" s="128" t="s">
        <v>138</v>
      </c>
      <c r="C12348" s="128" t="s">
        <v>23</v>
      </c>
      <c r="D12348" s="128" t="s">
        <v>76</v>
      </c>
      <c r="E12348" s="128" t="s">
        <v>133</v>
      </c>
      <c r="F12348" s="128">
        <v>33021656.98</v>
      </c>
      <c r="G12348" s="128">
        <v>17862726.23</v>
      </c>
      <c r="H12348" s="128">
        <v>15158909.779999999</v>
      </c>
      <c r="I12348" s="128">
        <v>202234</v>
      </c>
    </row>
    <row r="12349" spans="1:9" ht="13.5">
      <c r="A12349" s="128">
        <v>2023</v>
      </c>
      <c r="B12349" s="128" t="s">
        <v>138</v>
      </c>
      <c r="C12349" s="128" t="s">
        <v>23</v>
      </c>
      <c r="D12349" s="128" t="s">
        <v>76</v>
      </c>
      <c r="E12349" s="128" t="s">
        <v>134</v>
      </c>
      <c r="F12349" s="128">
        <v>30404145.140000001</v>
      </c>
      <c r="G12349" s="128">
        <v>14078630.43</v>
      </c>
      <c r="H12349" s="128">
        <v>16325512.359999999</v>
      </c>
      <c r="I12349" s="128">
        <v>142307</v>
      </c>
    </row>
    <row r="12350" spans="1:9" ht="13.5">
      <c r="A12350" s="128">
        <v>2023</v>
      </c>
      <c r="B12350" s="128" t="s">
        <v>138</v>
      </c>
      <c r="C12350" s="128" t="s">
        <v>23</v>
      </c>
      <c r="D12350" s="128" t="s">
        <v>76</v>
      </c>
      <c r="E12350" s="128" t="s">
        <v>135</v>
      </c>
      <c r="F12350" s="128">
        <v>889651.38</v>
      </c>
      <c r="G12350" s="128">
        <v>253215.01</v>
      </c>
      <c r="H12350" s="128">
        <v>636436.37</v>
      </c>
      <c r="I12350" s="128">
        <v>823</v>
      </c>
    </row>
    <row r="12351" spans="1:9" ht="13.5">
      <c r="A12351" s="128">
        <v>2023</v>
      </c>
      <c r="B12351" s="128" t="s">
        <v>138</v>
      </c>
      <c r="C12351" s="128" t="s">
        <v>24</v>
      </c>
      <c r="D12351" s="128" t="s">
        <v>79</v>
      </c>
      <c r="E12351" s="128" t="s">
        <v>136</v>
      </c>
      <c r="F12351" s="128">
        <v>2016545.87</v>
      </c>
      <c r="G12351" s="128">
        <v>1528140.96</v>
      </c>
      <c r="H12351" s="128">
        <v>485029.95</v>
      </c>
      <c r="I12351" s="128">
        <v>27597</v>
      </c>
    </row>
    <row r="12352" spans="1:9" ht="13.5">
      <c r="A12352" s="128">
        <v>2023</v>
      </c>
      <c r="B12352" s="128" t="s">
        <v>138</v>
      </c>
      <c r="C12352" s="128" t="s">
        <v>24</v>
      </c>
      <c r="D12352" s="128" t="s">
        <v>79</v>
      </c>
      <c r="E12352" s="128" t="s">
        <v>132</v>
      </c>
      <c r="F12352" s="128">
        <v>370241.89</v>
      </c>
      <c r="G12352" s="128">
        <v>245502.69</v>
      </c>
      <c r="H12352" s="128">
        <v>81484.23</v>
      </c>
      <c r="I12352" s="128">
        <v>993</v>
      </c>
    </row>
    <row r="12353" spans="1:9" ht="13.5">
      <c r="A12353" s="128">
        <v>2023</v>
      </c>
      <c r="B12353" s="128" t="s">
        <v>138</v>
      </c>
      <c r="C12353" s="128" t="s">
        <v>24</v>
      </c>
      <c r="D12353" s="128" t="s">
        <v>79</v>
      </c>
      <c r="E12353" s="128" t="s">
        <v>133</v>
      </c>
      <c r="F12353" s="128">
        <v>487335.6</v>
      </c>
      <c r="G12353" s="128">
        <v>266475.53999999998</v>
      </c>
      <c r="H12353" s="128">
        <v>88510.42</v>
      </c>
      <c r="I12353" s="128">
        <v>1085</v>
      </c>
    </row>
    <row r="12354" spans="1:9" ht="13.5">
      <c r="A12354" s="128">
        <v>2023</v>
      </c>
      <c r="B12354" s="128" t="s">
        <v>138</v>
      </c>
      <c r="C12354" s="128" t="s">
        <v>24</v>
      </c>
      <c r="D12354" s="128" t="s">
        <v>79</v>
      </c>
      <c r="E12354" s="128" t="s">
        <v>134</v>
      </c>
      <c r="F12354" s="128">
        <v>1756684.04</v>
      </c>
      <c r="G12354" s="128">
        <v>765659.88</v>
      </c>
      <c r="H12354" s="128">
        <v>256196.37</v>
      </c>
      <c r="I12354" s="128">
        <v>8849</v>
      </c>
    </row>
    <row r="12355" spans="1:9" ht="13.5">
      <c r="A12355" s="128">
        <v>2023</v>
      </c>
      <c r="B12355" s="128" t="s">
        <v>138</v>
      </c>
      <c r="C12355" s="128" t="s">
        <v>24</v>
      </c>
      <c r="D12355" s="128" t="s">
        <v>79</v>
      </c>
      <c r="E12355" s="128" t="s">
        <v>135</v>
      </c>
      <c r="F12355" s="128">
        <v>9988767.6899999995</v>
      </c>
      <c r="G12355" s="128">
        <v>1943615.24</v>
      </c>
      <c r="H12355" s="128">
        <v>654471.55000000005</v>
      </c>
      <c r="I12355" s="128">
        <v>9564</v>
      </c>
    </row>
    <row r="12356" spans="1:9" ht="13.5">
      <c r="A12356" s="128">
        <v>2023</v>
      </c>
      <c r="B12356" s="128" t="s">
        <v>138</v>
      </c>
      <c r="C12356" s="128" t="s">
        <v>24</v>
      </c>
      <c r="D12356" s="128" t="s">
        <v>77</v>
      </c>
      <c r="E12356" s="128" t="s">
        <v>132</v>
      </c>
      <c r="F12356" s="128">
        <v>631213.73</v>
      </c>
      <c r="G12356" s="128">
        <v>408040.05</v>
      </c>
      <c r="H12356" s="128">
        <v>192938.73</v>
      </c>
      <c r="I12356" s="128">
        <v>3073</v>
      </c>
    </row>
    <row r="12357" spans="1:9" ht="13.5">
      <c r="A12357" s="128">
        <v>2023</v>
      </c>
      <c r="B12357" s="128" t="s">
        <v>138</v>
      </c>
      <c r="C12357" s="128" t="s">
        <v>24</v>
      </c>
      <c r="D12357" s="128" t="s">
        <v>77</v>
      </c>
      <c r="E12357" s="128" t="s">
        <v>133</v>
      </c>
      <c r="F12357" s="128">
        <v>3136855.25</v>
      </c>
      <c r="G12357" s="128">
        <v>1688207.2</v>
      </c>
      <c r="H12357" s="128">
        <v>1228682.3799999999</v>
      </c>
      <c r="I12357" s="128">
        <v>24205</v>
      </c>
    </row>
    <row r="12358" spans="1:9" ht="13.5">
      <c r="A12358" s="128">
        <v>2023</v>
      </c>
      <c r="B12358" s="128" t="s">
        <v>138</v>
      </c>
      <c r="C12358" s="128" t="s">
        <v>24</v>
      </c>
      <c r="D12358" s="128" t="s">
        <v>77</v>
      </c>
      <c r="E12358" s="128" t="s">
        <v>134</v>
      </c>
      <c r="F12358" s="128">
        <v>9800724.0800000001</v>
      </c>
      <c r="G12358" s="128">
        <v>4284137.5599999996</v>
      </c>
      <c r="H12358" s="128">
        <v>3897806.84</v>
      </c>
      <c r="I12358" s="128">
        <v>15461</v>
      </c>
    </row>
    <row r="12359" spans="1:9" ht="13.5">
      <c r="A12359" s="128">
        <v>2023</v>
      </c>
      <c r="B12359" s="128" t="s">
        <v>138</v>
      </c>
      <c r="C12359" s="128" t="s">
        <v>24</v>
      </c>
      <c r="D12359" s="128" t="s">
        <v>77</v>
      </c>
      <c r="E12359" s="128" t="s">
        <v>135</v>
      </c>
      <c r="F12359" s="128">
        <v>22088825.02</v>
      </c>
      <c r="G12359" s="128">
        <v>5268047.42</v>
      </c>
      <c r="H12359" s="128">
        <v>3783800.47</v>
      </c>
      <c r="I12359" s="128">
        <v>50496</v>
      </c>
    </row>
    <row r="12360" spans="1:9" ht="13.5">
      <c r="A12360" s="128">
        <v>2023</v>
      </c>
      <c r="B12360" s="128" t="s">
        <v>138</v>
      </c>
      <c r="C12360" s="128" t="s">
        <v>24</v>
      </c>
      <c r="D12360" s="128" t="s">
        <v>76</v>
      </c>
      <c r="E12360" s="128" t="s">
        <v>136</v>
      </c>
      <c r="F12360" s="128">
        <v>11991661.210000001</v>
      </c>
      <c r="G12360" s="128">
        <v>9012421.8399999999</v>
      </c>
      <c r="H12360" s="128">
        <v>2979239.37</v>
      </c>
      <c r="I12360" s="128">
        <v>196827</v>
      </c>
    </row>
    <row r="12361" spans="1:9" ht="13.5">
      <c r="A12361" s="128">
        <v>2023</v>
      </c>
      <c r="B12361" s="128" t="s">
        <v>138</v>
      </c>
      <c r="C12361" s="128" t="s">
        <v>24</v>
      </c>
      <c r="D12361" s="128" t="s">
        <v>76</v>
      </c>
      <c r="E12361" s="128" t="s">
        <v>132</v>
      </c>
      <c r="F12361" s="128">
        <v>12883559.109999999</v>
      </c>
      <c r="G12361" s="128">
        <v>8324203.5</v>
      </c>
      <c r="H12361" s="128">
        <v>4559313.75</v>
      </c>
      <c r="I12361" s="128">
        <v>87756</v>
      </c>
    </row>
    <row r="12362" spans="1:9" ht="13.5">
      <c r="A12362" s="128">
        <v>2023</v>
      </c>
      <c r="B12362" s="128" t="s">
        <v>138</v>
      </c>
      <c r="C12362" s="128" t="s">
        <v>24</v>
      </c>
      <c r="D12362" s="128" t="s">
        <v>76</v>
      </c>
      <c r="E12362" s="128" t="s">
        <v>133</v>
      </c>
      <c r="F12362" s="128">
        <v>54032850.170000002</v>
      </c>
      <c r="G12362" s="128">
        <v>29557153.219999999</v>
      </c>
      <c r="H12362" s="128">
        <v>24475694.960000001</v>
      </c>
      <c r="I12362" s="128">
        <v>341389</v>
      </c>
    </row>
    <row r="12363" spans="1:9" ht="13.5">
      <c r="A12363" s="128">
        <v>2023</v>
      </c>
      <c r="B12363" s="128" t="s">
        <v>138</v>
      </c>
      <c r="C12363" s="128" t="s">
        <v>24</v>
      </c>
      <c r="D12363" s="128" t="s">
        <v>76</v>
      </c>
      <c r="E12363" s="128" t="s">
        <v>134</v>
      </c>
      <c r="F12363" s="128">
        <v>56660966.149999999</v>
      </c>
      <c r="G12363" s="128">
        <v>25342803.52</v>
      </c>
      <c r="H12363" s="128">
        <v>31318141.77</v>
      </c>
      <c r="I12363" s="128">
        <v>251143</v>
      </c>
    </row>
    <row r="12364" spans="1:9" ht="13.5">
      <c r="A12364" s="128">
        <v>2023</v>
      </c>
      <c r="B12364" s="128" t="s">
        <v>138</v>
      </c>
      <c r="C12364" s="128" t="s">
        <v>24</v>
      </c>
      <c r="D12364" s="128" t="s">
        <v>76</v>
      </c>
      <c r="E12364" s="128" t="s">
        <v>135</v>
      </c>
      <c r="F12364" s="128">
        <v>1945626.89</v>
      </c>
      <c r="G12364" s="128">
        <v>520425.39</v>
      </c>
      <c r="H12364" s="128">
        <v>1425201.5</v>
      </c>
      <c r="I12364" s="128">
        <v>1497</v>
      </c>
    </row>
    <row r="12365" spans="1:9" ht="13.5">
      <c r="A12365" s="128">
        <v>2023</v>
      </c>
      <c r="B12365" s="128" t="s">
        <v>138</v>
      </c>
      <c r="C12365" s="128" t="s">
        <v>25</v>
      </c>
      <c r="D12365" s="128" t="s">
        <v>79</v>
      </c>
      <c r="E12365" s="128" t="s">
        <v>136</v>
      </c>
      <c r="F12365" s="128">
        <v>304004.51</v>
      </c>
      <c r="G12365" s="128">
        <v>227674.05</v>
      </c>
      <c r="H12365" s="128">
        <v>75803.259999999995</v>
      </c>
      <c r="I12365" s="128">
        <v>4066</v>
      </c>
    </row>
    <row r="12366" spans="1:9" ht="13.5">
      <c r="A12366" s="128">
        <v>2023</v>
      </c>
      <c r="B12366" s="128" t="s">
        <v>138</v>
      </c>
      <c r="C12366" s="128" t="s">
        <v>25</v>
      </c>
      <c r="D12366" s="128" t="s">
        <v>79</v>
      </c>
      <c r="E12366" s="128" t="s">
        <v>132</v>
      </c>
      <c r="F12366" s="128">
        <v>111471.8</v>
      </c>
      <c r="G12366" s="128">
        <v>74821.05</v>
      </c>
      <c r="H12366" s="128">
        <v>25015.05</v>
      </c>
      <c r="I12366" s="128">
        <v>192</v>
      </c>
    </row>
    <row r="12367" spans="1:9" ht="13.5">
      <c r="A12367" s="128">
        <v>2023</v>
      </c>
      <c r="B12367" s="128" t="s">
        <v>138</v>
      </c>
      <c r="C12367" s="128" t="s">
        <v>25</v>
      </c>
      <c r="D12367" s="128" t="s">
        <v>79</v>
      </c>
      <c r="E12367" s="128" t="s">
        <v>133</v>
      </c>
      <c r="F12367" s="128">
        <v>43874.879999999997</v>
      </c>
      <c r="G12367" s="128">
        <v>23750.42</v>
      </c>
      <c r="H12367" s="128">
        <v>8366.4699999999993</v>
      </c>
      <c r="I12367" s="128">
        <v>164</v>
      </c>
    </row>
    <row r="12368" spans="1:9" ht="13.5">
      <c r="A12368" s="128">
        <v>2023</v>
      </c>
      <c r="B12368" s="128" t="s">
        <v>138</v>
      </c>
      <c r="C12368" s="128" t="s">
        <v>25</v>
      </c>
      <c r="D12368" s="128" t="s">
        <v>79</v>
      </c>
      <c r="E12368" s="128" t="s">
        <v>134</v>
      </c>
      <c r="F12368" s="128">
        <v>185106.65</v>
      </c>
      <c r="G12368" s="128">
        <v>78646.81</v>
      </c>
      <c r="H12368" s="128">
        <v>25997.4</v>
      </c>
      <c r="I12368" s="128">
        <v>309</v>
      </c>
    </row>
    <row r="12369" spans="1:9" ht="13.5">
      <c r="A12369" s="128">
        <v>2023</v>
      </c>
      <c r="B12369" s="128" t="s">
        <v>138</v>
      </c>
      <c r="C12369" s="128" t="s">
        <v>25</v>
      </c>
      <c r="D12369" s="128" t="s">
        <v>79</v>
      </c>
      <c r="E12369" s="128" t="s">
        <v>135</v>
      </c>
      <c r="F12369" s="128">
        <v>2591518.7000000002</v>
      </c>
      <c r="G12369" s="128">
        <v>554432.04</v>
      </c>
      <c r="H12369" s="128">
        <v>186425.37</v>
      </c>
      <c r="I12369" s="128">
        <v>1579</v>
      </c>
    </row>
    <row r="12370" spans="1:9" ht="13.5">
      <c r="A12370" s="128">
        <v>2023</v>
      </c>
      <c r="B12370" s="128" t="s">
        <v>138</v>
      </c>
      <c r="C12370" s="128" t="s">
        <v>25</v>
      </c>
      <c r="D12370" s="128" t="s">
        <v>77</v>
      </c>
      <c r="E12370" s="128" t="s">
        <v>132</v>
      </c>
      <c r="F12370" s="128">
        <v>199607.62</v>
      </c>
      <c r="G12370" s="128">
        <v>128557.18</v>
      </c>
      <c r="H12370" s="128">
        <v>63138.9</v>
      </c>
      <c r="I12370" s="128">
        <v>1189</v>
      </c>
    </row>
    <row r="12371" spans="1:9" ht="13.5">
      <c r="A12371" s="128">
        <v>2023</v>
      </c>
      <c r="B12371" s="128" t="s">
        <v>138</v>
      </c>
      <c r="C12371" s="128" t="s">
        <v>25</v>
      </c>
      <c r="D12371" s="128" t="s">
        <v>77</v>
      </c>
      <c r="E12371" s="128" t="s">
        <v>133</v>
      </c>
      <c r="F12371" s="128">
        <v>499066.24</v>
      </c>
      <c r="G12371" s="128">
        <v>265660.77</v>
      </c>
      <c r="H12371" s="128">
        <v>212643.68</v>
      </c>
      <c r="I12371" s="128">
        <v>2041</v>
      </c>
    </row>
    <row r="12372" spans="1:9" ht="13.5">
      <c r="A12372" s="128">
        <v>2023</v>
      </c>
      <c r="B12372" s="128" t="s">
        <v>138</v>
      </c>
      <c r="C12372" s="128" t="s">
        <v>25</v>
      </c>
      <c r="D12372" s="128" t="s">
        <v>77</v>
      </c>
      <c r="E12372" s="128" t="s">
        <v>134</v>
      </c>
      <c r="F12372" s="128">
        <v>2896837.56</v>
      </c>
      <c r="G12372" s="128">
        <v>1238753.8799999999</v>
      </c>
      <c r="H12372" s="128">
        <v>1261268.8</v>
      </c>
      <c r="I12372" s="128">
        <v>3527</v>
      </c>
    </row>
    <row r="12373" spans="1:9" ht="13.5">
      <c r="A12373" s="128">
        <v>2023</v>
      </c>
      <c r="B12373" s="128" t="s">
        <v>138</v>
      </c>
      <c r="C12373" s="128" t="s">
        <v>25</v>
      </c>
      <c r="D12373" s="128" t="s">
        <v>77</v>
      </c>
      <c r="E12373" s="128" t="s">
        <v>135</v>
      </c>
      <c r="F12373" s="128">
        <v>3471950.95</v>
      </c>
      <c r="G12373" s="128">
        <v>909788.26</v>
      </c>
      <c r="H12373" s="128">
        <v>1021587.89</v>
      </c>
      <c r="I12373" s="128">
        <v>6726</v>
      </c>
    </row>
    <row r="12374" spans="1:9" ht="13.5">
      <c r="A12374" s="128">
        <v>2023</v>
      </c>
      <c r="B12374" s="128" t="s">
        <v>138</v>
      </c>
      <c r="C12374" s="128" t="s">
        <v>25</v>
      </c>
      <c r="D12374" s="128" t="s">
        <v>76</v>
      </c>
      <c r="E12374" s="128" t="s">
        <v>136</v>
      </c>
      <c r="F12374" s="128">
        <v>1910322.89</v>
      </c>
      <c r="G12374" s="128">
        <v>1435561.37</v>
      </c>
      <c r="H12374" s="128">
        <v>474761.52</v>
      </c>
      <c r="I12374" s="128">
        <v>33889</v>
      </c>
    </row>
    <row r="12375" spans="1:9" ht="13.5">
      <c r="A12375" s="128">
        <v>2023</v>
      </c>
      <c r="B12375" s="128" t="s">
        <v>138</v>
      </c>
      <c r="C12375" s="128" t="s">
        <v>25</v>
      </c>
      <c r="D12375" s="128" t="s">
        <v>76</v>
      </c>
      <c r="E12375" s="128" t="s">
        <v>132</v>
      </c>
      <c r="F12375" s="128">
        <v>3128639.99</v>
      </c>
      <c r="G12375" s="128">
        <v>1968886.18</v>
      </c>
      <c r="H12375" s="128">
        <v>1159752.26</v>
      </c>
      <c r="I12375" s="128">
        <v>21305</v>
      </c>
    </row>
    <row r="12376" spans="1:9" ht="13.5">
      <c r="A12376" s="128">
        <v>2023</v>
      </c>
      <c r="B12376" s="128" t="s">
        <v>138</v>
      </c>
      <c r="C12376" s="128" t="s">
        <v>25</v>
      </c>
      <c r="D12376" s="128" t="s">
        <v>76</v>
      </c>
      <c r="E12376" s="128" t="s">
        <v>133</v>
      </c>
      <c r="F12376" s="128">
        <v>9984610.3300000001</v>
      </c>
      <c r="G12376" s="128">
        <v>5445899.0899999999</v>
      </c>
      <c r="H12376" s="128">
        <v>4538710.42</v>
      </c>
      <c r="I12376" s="128">
        <v>61513</v>
      </c>
    </row>
    <row r="12377" spans="1:9" ht="13.5">
      <c r="A12377" s="128">
        <v>2023</v>
      </c>
      <c r="B12377" s="128" t="s">
        <v>138</v>
      </c>
      <c r="C12377" s="128" t="s">
        <v>25</v>
      </c>
      <c r="D12377" s="128" t="s">
        <v>76</v>
      </c>
      <c r="E12377" s="128" t="s">
        <v>134</v>
      </c>
      <c r="F12377" s="128">
        <v>11518990.119999999</v>
      </c>
      <c r="G12377" s="128">
        <v>5300814.0999999996</v>
      </c>
      <c r="H12377" s="128">
        <v>6218175.7300000004</v>
      </c>
      <c r="I12377" s="128">
        <v>57000</v>
      </c>
    </row>
    <row r="12378" spans="1:9" ht="13.5">
      <c r="A12378" s="128">
        <v>2023</v>
      </c>
      <c r="B12378" s="128" t="s">
        <v>138</v>
      </c>
      <c r="C12378" s="128" t="s">
        <v>25</v>
      </c>
      <c r="D12378" s="128" t="s">
        <v>76</v>
      </c>
      <c r="E12378" s="128" t="s">
        <v>135</v>
      </c>
      <c r="F12378" s="128">
        <v>278499.77</v>
      </c>
      <c r="G12378" s="128">
        <v>77626.12</v>
      </c>
      <c r="H12378" s="128">
        <v>200873.65</v>
      </c>
      <c r="I12378" s="128">
        <v>203</v>
      </c>
    </row>
    <row r="12379" spans="1:9" ht="13.5">
      <c r="A12379" s="128">
        <v>2023</v>
      </c>
      <c r="B12379" s="128" t="s">
        <v>138</v>
      </c>
      <c r="C12379" s="128" t="s">
        <v>26</v>
      </c>
      <c r="D12379" s="128" t="s">
        <v>79</v>
      </c>
      <c r="E12379" s="128" t="s">
        <v>136</v>
      </c>
      <c r="F12379" s="128">
        <v>439607.45</v>
      </c>
      <c r="G12379" s="128">
        <v>325559.5</v>
      </c>
      <c r="H12379" s="128">
        <v>103913.58</v>
      </c>
      <c r="I12379" s="128">
        <v>3516</v>
      </c>
    </row>
    <row r="12380" spans="1:9" ht="13.5">
      <c r="A12380" s="128">
        <v>2023</v>
      </c>
      <c r="B12380" s="128" t="s">
        <v>138</v>
      </c>
      <c r="C12380" s="128" t="s">
        <v>26</v>
      </c>
      <c r="D12380" s="128" t="s">
        <v>79</v>
      </c>
      <c r="E12380" s="128" t="s">
        <v>132</v>
      </c>
      <c r="F12380" s="128">
        <v>50023.94</v>
      </c>
      <c r="G12380" s="128">
        <v>33456.199999999997</v>
      </c>
      <c r="H12380" s="128">
        <v>11411.37</v>
      </c>
      <c r="I12380" s="128">
        <v>163</v>
      </c>
    </row>
    <row r="12381" spans="1:9" ht="13.5">
      <c r="A12381" s="128">
        <v>2023</v>
      </c>
      <c r="B12381" s="128" t="s">
        <v>138</v>
      </c>
      <c r="C12381" s="128" t="s">
        <v>26</v>
      </c>
      <c r="D12381" s="128" t="s">
        <v>79</v>
      </c>
      <c r="E12381" s="128" t="s">
        <v>133</v>
      </c>
      <c r="F12381" s="128">
        <v>103664.06</v>
      </c>
      <c r="G12381" s="128">
        <v>55251.41</v>
      </c>
      <c r="H12381" s="128">
        <v>19586.650000000001</v>
      </c>
      <c r="I12381" s="128">
        <v>190</v>
      </c>
    </row>
    <row r="12382" spans="1:9" ht="13.5">
      <c r="A12382" s="128">
        <v>2023</v>
      </c>
      <c r="B12382" s="128" t="s">
        <v>138</v>
      </c>
      <c r="C12382" s="128" t="s">
        <v>26</v>
      </c>
      <c r="D12382" s="128" t="s">
        <v>79</v>
      </c>
      <c r="E12382" s="128" t="s">
        <v>134</v>
      </c>
      <c r="F12382" s="128">
        <v>422232.38</v>
      </c>
      <c r="G12382" s="128">
        <v>183198.72</v>
      </c>
      <c r="H12382" s="128">
        <v>62917.86</v>
      </c>
      <c r="I12382" s="128">
        <v>1408</v>
      </c>
    </row>
    <row r="12383" spans="1:9" ht="13.5">
      <c r="A12383" s="128">
        <v>2023</v>
      </c>
      <c r="B12383" s="128" t="s">
        <v>138</v>
      </c>
      <c r="C12383" s="128" t="s">
        <v>26</v>
      </c>
      <c r="D12383" s="128" t="s">
        <v>79</v>
      </c>
      <c r="E12383" s="128" t="s">
        <v>135</v>
      </c>
      <c r="F12383" s="128">
        <v>9750282.3000000007</v>
      </c>
      <c r="G12383" s="128">
        <v>2073435.02</v>
      </c>
      <c r="H12383" s="128">
        <v>693094.84</v>
      </c>
      <c r="I12383" s="128">
        <v>7939</v>
      </c>
    </row>
    <row r="12384" spans="1:9" ht="13.5">
      <c r="A12384" s="128">
        <v>2023</v>
      </c>
      <c r="B12384" s="128" t="s">
        <v>138</v>
      </c>
      <c r="C12384" s="128" t="s">
        <v>26</v>
      </c>
      <c r="D12384" s="128" t="s">
        <v>77</v>
      </c>
      <c r="E12384" s="128" t="s">
        <v>132</v>
      </c>
      <c r="F12384" s="128">
        <v>108581.99</v>
      </c>
      <c r="G12384" s="128">
        <v>71262.350000000006</v>
      </c>
      <c r="H12384" s="128">
        <v>33192.86</v>
      </c>
      <c r="I12384" s="128">
        <v>367</v>
      </c>
    </row>
    <row r="12385" spans="1:9" ht="13.5">
      <c r="A12385" s="128">
        <v>2023</v>
      </c>
      <c r="B12385" s="128" t="s">
        <v>138</v>
      </c>
      <c r="C12385" s="128" t="s">
        <v>26</v>
      </c>
      <c r="D12385" s="128" t="s">
        <v>77</v>
      </c>
      <c r="E12385" s="128" t="s">
        <v>133</v>
      </c>
      <c r="F12385" s="128">
        <v>195051.68</v>
      </c>
      <c r="G12385" s="128">
        <v>104203.59</v>
      </c>
      <c r="H12385" s="128">
        <v>81088.17</v>
      </c>
      <c r="I12385" s="128">
        <v>430</v>
      </c>
    </row>
    <row r="12386" spans="1:9" ht="13.5">
      <c r="A12386" s="128">
        <v>2023</v>
      </c>
      <c r="B12386" s="128" t="s">
        <v>138</v>
      </c>
      <c r="C12386" s="128" t="s">
        <v>26</v>
      </c>
      <c r="D12386" s="128" t="s">
        <v>77</v>
      </c>
      <c r="E12386" s="128" t="s">
        <v>134</v>
      </c>
      <c r="F12386" s="128">
        <v>790941.86</v>
      </c>
      <c r="G12386" s="128">
        <v>343180.04</v>
      </c>
      <c r="H12386" s="128">
        <v>332419.5</v>
      </c>
      <c r="I12386" s="128">
        <v>1587</v>
      </c>
    </row>
    <row r="12387" spans="1:9" ht="13.5">
      <c r="A12387" s="128">
        <v>2023</v>
      </c>
      <c r="B12387" s="128" t="s">
        <v>138</v>
      </c>
      <c r="C12387" s="128" t="s">
        <v>26</v>
      </c>
      <c r="D12387" s="128" t="s">
        <v>77</v>
      </c>
      <c r="E12387" s="128" t="s">
        <v>135</v>
      </c>
      <c r="F12387" s="128">
        <v>5299224.5599999996</v>
      </c>
      <c r="G12387" s="128">
        <v>1174554.1499999999</v>
      </c>
      <c r="H12387" s="128">
        <v>1198405.98</v>
      </c>
      <c r="I12387" s="128">
        <v>14739</v>
      </c>
    </row>
    <row r="12388" spans="1:9" ht="13.5">
      <c r="A12388" s="128">
        <v>2023</v>
      </c>
      <c r="B12388" s="128" t="s">
        <v>138</v>
      </c>
      <c r="C12388" s="128" t="s">
        <v>26</v>
      </c>
      <c r="D12388" s="128" t="s">
        <v>76</v>
      </c>
      <c r="E12388" s="128" t="s">
        <v>136</v>
      </c>
      <c r="F12388" s="128">
        <v>436596.26</v>
      </c>
      <c r="G12388" s="128">
        <v>328985.57</v>
      </c>
      <c r="H12388" s="128">
        <v>107610.69</v>
      </c>
      <c r="I12388" s="128">
        <v>8358</v>
      </c>
    </row>
    <row r="12389" spans="1:9" ht="13.5">
      <c r="A12389" s="128">
        <v>2023</v>
      </c>
      <c r="B12389" s="128" t="s">
        <v>138</v>
      </c>
      <c r="C12389" s="128" t="s">
        <v>26</v>
      </c>
      <c r="D12389" s="128" t="s">
        <v>76</v>
      </c>
      <c r="E12389" s="128" t="s">
        <v>132</v>
      </c>
      <c r="F12389" s="128">
        <v>1665330.82</v>
      </c>
      <c r="G12389" s="128">
        <v>1065044.46</v>
      </c>
      <c r="H12389" s="128">
        <v>600285.52</v>
      </c>
      <c r="I12389" s="128">
        <v>11054</v>
      </c>
    </row>
    <row r="12390" spans="1:9" ht="13.5">
      <c r="A12390" s="128">
        <v>2023</v>
      </c>
      <c r="B12390" s="128" t="s">
        <v>138</v>
      </c>
      <c r="C12390" s="128" t="s">
        <v>26</v>
      </c>
      <c r="D12390" s="128" t="s">
        <v>76</v>
      </c>
      <c r="E12390" s="128" t="s">
        <v>133</v>
      </c>
      <c r="F12390" s="128">
        <v>4622443.3600000003</v>
      </c>
      <c r="G12390" s="128">
        <v>2558555.79</v>
      </c>
      <c r="H12390" s="128">
        <v>2063883.05</v>
      </c>
      <c r="I12390" s="128">
        <v>38561</v>
      </c>
    </row>
    <row r="12391" spans="1:9" ht="13.5">
      <c r="A12391" s="128">
        <v>2023</v>
      </c>
      <c r="B12391" s="128" t="s">
        <v>138</v>
      </c>
      <c r="C12391" s="128" t="s">
        <v>26</v>
      </c>
      <c r="D12391" s="128" t="s">
        <v>76</v>
      </c>
      <c r="E12391" s="128" t="s">
        <v>134</v>
      </c>
      <c r="F12391" s="128">
        <v>3494840.75</v>
      </c>
      <c r="G12391" s="128">
        <v>1606919.41</v>
      </c>
      <c r="H12391" s="128">
        <v>1887908.94</v>
      </c>
      <c r="I12391" s="128">
        <v>19429</v>
      </c>
    </row>
    <row r="12392" spans="1:9" ht="13.5">
      <c r="A12392" s="128">
        <v>2023</v>
      </c>
      <c r="B12392" s="128" t="s">
        <v>138</v>
      </c>
      <c r="C12392" s="128" t="s">
        <v>26</v>
      </c>
      <c r="D12392" s="128" t="s">
        <v>76</v>
      </c>
      <c r="E12392" s="128" t="s">
        <v>135</v>
      </c>
      <c r="F12392" s="128">
        <v>211468.5</v>
      </c>
      <c r="G12392" s="128">
        <v>61623.74</v>
      </c>
      <c r="H12392" s="128">
        <v>149844.76</v>
      </c>
      <c r="I12392" s="128">
        <v>258</v>
      </c>
    </row>
    <row r="12393" spans="1:9" ht="13.5">
      <c r="A12393" s="128">
        <v>2023</v>
      </c>
      <c r="B12393" s="128" t="s">
        <v>138</v>
      </c>
      <c r="C12393" s="128" t="s">
        <v>27</v>
      </c>
      <c r="D12393" s="128" t="s">
        <v>79</v>
      </c>
      <c r="E12393" s="128" t="s">
        <v>136</v>
      </c>
      <c r="F12393" s="128">
        <v>180191.49</v>
      </c>
      <c r="G12393" s="128">
        <v>128247.6</v>
      </c>
      <c r="H12393" s="128">
        <v>42550.6</v>
      </c>
      <c r="I12393" s="128">
        <v>1368</v>
      </c>
    </row>
    <row r="12394" spans="1:9" ht="13.5">
      <c r="A12394" s="128">
        <v>2023</v>
      </c>
      <c r="B12394" s="128" t="s">
        <v>138</v>
      </c>
      <c r="C12394" s="128" t="s">
        <v>27</v>
      </c>
      <c r="D12394" s="128" t="s">
        <v>79</v>
      </c>
      <c r="E12394" s="128" t="s">
        <v>132</v>
      </c>
      <c r="F12394" s="128">
        <v>27799.74</v>
      </c>
      <c r="G12394" s="128">
        <v>18832.05</v>
      </c>
      <c r="H12394" s="128">
        <v>6506.35</v>
      </c>
      <c r="I12394" s="128">
        <v>62</v>
      </c>
    </row>
    <row r="12395" spans="1:9" ht="13.5">
      <c r="A12395" s="128">
        <v>2023</v>
      </c>
      <c r="B12395" s="128" t="s">
        <v>138</v>
      </c>
      <c r="C12395" s="128" t="s">
        <v>27</v>
      </c>
      <c r="D12395" s="128" t="s">
        <v>79</v>
      </c>
      <c r="E12395" s="128" t="s">
        <v>133</v>
      </c>
      <c r="F12395" s="128">
        <v>19994</v>
      </c>
      <c r="G12395" s="128">
        <v>10653.3</v>
      </c>
      <c r="H12395" s="128">
        <v>3657.25</v>
      </c>
      <c r="I12395" s="128">
        <v>46</v>
      </c>
    </row>
    <row r="12396" spans="1:9" ht="13.5">
      <c r="A12396" s="128">
        <v>2023</v>
      </c>
      <c r="B12396" s="128" t="s">
        <v>138</v>
      </c>
      <c r="C12396" s="128" t="s">
        <v>27</v>
      </c>
      <c r="D12396" s="128" t="s">
        <v>79</v>
      </c>
      <c r="E12396" s="128" t="s">
        <v>134</v>
      </c>
      <c r="F12396" s="128">
        <v>93425.63</v>
      </c>
      <c r="G12396" s="128">
        <v>39829.480000000003</v>
      </c>
      <c r="H12396" s="128">
        <v>13114.85</v>
      </c>
      <c r="I12396" s="128">
        <v>241</v>
      </c>
    </row>
    <row r="12397" spans="1:9" ht="13.5">
      <c r="A12397" s="128">
        <v>2023</v>
      </c>
      <c r="B12397" s="128" t="s">
        <v>138</v>
      </c>
      <c r="C12397" s="128" t="s">
        <v>27</v>
      </c>
      <c r="D12397" s="128" t="s">
        <v>79</v>
      </c>
      <c r="E12397" s="128" t="s">
        <v>135</v>
      </c>
      <c r="F12397" s="128">
        <v>1648350.45</v>
      </c>
      <c r="G12397" s="128">
        <v>360850.95</v>
      </c>
      <c r="H12397" s="128">
        <v>122553.44</v>
      </c>
      <c r="I12397" s="128">
        <v>929</v>
      </c>
    </row>
    <row r="12398" spans="1:9" ht="13.5">
      <c r="A12398" s="128">
        <v>2023</v>
      </c>
      <c r="B12398" s="128" t="s">
        <v>138</v>
      </c>
      <c r="C12398" s="128" t="s">
        <v>27</v>
      </c>
      <c r="D12398" s="128" t="s">
        <v>77</v>
      </c>
      <c r="E12398" s="128" t="s">
        <v>132</v>
      </c>
      <c r="F12398" s="128">
        <v>17068.77</v>
      </c>
      <c r="G12398" s="128">
        <v>10941.63</v>
      </c>
      <c r="H12398" s="128">
        <v>4905</v>
      </c>
      <c r="I12398" s="128">
        <v>77</v>
      </c>
    </row>
    <row r="12399" spans="1:9" ht="13.5">
      <c r="A12399" s="128">
        <v>2023</v>
      </c>
      <c r="B12399" s="128" t="s">
        <v>138</v>
      </c>
      <c r="C12399" s="128" t="s">
        <v>27</v>
      </c>
      <c r="D12399" s="128" t="s">
        <v>77</v>
      </c>
      <c r="E12399" s="128" t="s">
        <v>133</v>
      </c>
      <c r="F12399" s="128">
        <v>73796.08</v>
      </c>
      <c r="G12399" s="128">
        <v>39138.86</v>
      </c>
      <c r="H12399" s="128">
        <v>29636.26</v>
      </c>
      <c r="I12399" s="128">
        <v>208</v>
      </c>
    </row>
    <row r="12400" spans="1:9" ht="13.5">
      <c r="A12400" s="128">
        <v>2023</v>
      </c>
      <c r="B12400" s="128" t="s">
        <v>138</v>
      </c>
      <c r="C12400" s="128" t="s">
        <v>27</v>
      </c>
      <c r="D12400" s="128" t="s">
        <v>77</v>
      </c>
      <c r="E12400" s="128" t="s">
        <v>134</v>
      </c>
      <c r="F12400" s="128">
        <v>262250.40000000002</v>
      </c>
      <c r="G12400" s="128">
        <v>110565.31</v>
      </c>
      <c r="H12400" s="128">
        <v>110645.63</v>
      </c>
      <c r="I12400" s="128">
        <v>396</v>
      </c>
    </row>
    <row r="12401" spans="1:9" ht="13.5">
      <c r="A12401" s="128">
        <v>2023</v>
      </c>
      <c r="B12401" s="128" t="s">
        <v>138</v>
      </c>
      <c r="C12401" s="128" t="s">
        <v>27</v>
      </c>
      <c r="D12401" s="128" t="s">
        <v>77</v>
      </c>
      <c r="E12401" s="128" t="s">
        <v>135</v>
      </c>
      <c r="F12401" s="128">
        <v>738799.76</v>
      </c>
      <c r="G12401" s="128">
        <v>191967.96</v>
      </c>
      <c r="H12401" s="128">
        <v>212250.83</v>
      </c>
      <c r="I12401" s="128">
        <v>2358</v>
      </c>
    </row>
    <row r="12402" spans="1:9" ht="13.5">
      <c r="A12402" s="128">
        <v>2023</v>
      </c>
      <c r="B12402" s="128" t="s">
        <v>138</v>
      </c>
      <c r="C12402" s="128" t="s">
        <v>27</v>
      </c>
      <c r="D12402" s="128" t="s">
        <v>76</v>
      </c>
      <c r="E12402" s="128" t="s">
        <v>136</v>
      </c>
      <c r="F12402" s="128">
        <v>353020.67</v>
      </c>
      <c r="G12402" s="128">
        <v>264844.56</v>
      </c>
      <c r="H12402" s="128">
        <v>88179.76</v>
      </c>
      <c r="I12402" s="128">
        <v>5649</v>
      </c>
    </row>
    <row r="12403" spans="1:9" ht="13.5">
      <c r="A12403" s="128">
        <v>2023</v>
      </c>
      <c r="B12403" s="128" t="s">
        <v>138</v>
      </c>
      <c r="C12403" s="128" t="s">
        <v>27</v>
      </c>
      <c r="D12403" s="128" t="s">
        <v>76</v>
      </c>
      <c r="E12403" s="128" t="s">
        <v>132</v>
      </c>
      <c r="F12403" s="128">
        <v>605015.56000000006</v>
      </c>
      <c r="G12403" s="128">
        <v>384125.45</v>
      </c>
      <c r="H12403" s="128">
        <v>220890.07</v>
      </c>
      <c r="I12403" s="128">
        <v>4170</v>
      </c>
    </row>
    <row r="12404" spans="1:9" ht="13.5">
      <c r="A12404" s="128">
        <v>2023</v>
      </c>
      <c r="B12404" s="128" t="s">
        <v>138</v>
      </c>
      <c r="C12404" s="128" t="s">
        <v>27</v>
      </c>
      <c r="D12404" s="128" t="s">
        <v>76</v>
      </c>
      <c r="E12404" s="128" t="s">
        <v>133</v>
      </c>
      <c r="F12404" s="128">
        <v>1573394.22</v>
      </c>
      <c r="G12404" s="128">
        <v>853191.05</v>
      </c>
      <c r="H12404" s="128">
        <v>720201.7</v>
      </c>
      <c r="I12404" s="128">
        <v>7196</v>
      </c>
    </row>
    <row r="12405" spans="1:9" ht="13.5">
      <c r="A12405" s="128">
        <v>2023</v>
      </c>
      <c r="B12405" s="128" t="s">
        <v>138</v>
      </c>
      <c r="C12405" s="128" t="s">
        <v>27</v>
      </c>
      <c r="D12405" s="128" t="s">
        <v>76</v>
      </c>
      <c r="E12405" s="128" t="s">
        <v>134</v>
      </c>
      <c r="F12405" s="128">
        <v>1656892.06</v>
      </c>
      <c r="G12405" s="128">
        <v>764046.15</v>
      </c>
      <c r="H12405" s="128">
        <v>892841.64</v>
      </c>
      <c r="I12405" s="128">
        <v>8997</v>
      </c>
    </row>
    <row r="12406" spans="1:9" ht="13.5">
      <c r="A12406" s="128">
        <v>2023</v>
      </c>
      <c r="B12406" s="128" t="s">
        <v>138</v>
      </c>
      <c r="C12406" s="128" t="s">
        <v>27</v>
      </c>
      <c r="D12406" s="128" t="s">
        <v>76</v>
      </c>
      <c r="E12406" s="128" t="s">
        <v>135</v>
      </c>
      <c r="F12406" s="128">
        <v>58457.58</v>
      </c>
      <c r="G12406" s="128">
        <v>19074.75</v>
      </c>
      <c r="H12406" s="128">
        <v>39382.83</v>
      </c>
      <c r="I12406" s="128">
        <v>80</v>
      </c>
    </row>
    <row r="12407" spans="1:9" ht="13.5">
      <c r="A12407" s="128">
        <v>2023</v>
      </c>
      <c r="B12407" s="128" t="s">
        <v>139</v>
      </c>
      <c r="C12407" s="128" t="s">
        <v>20</v>
      </c>
      <c r="D12407" s="128" t="s">
        <v>79</v>
      </c>
      <c r="E12407" s="128" t="s">
        <v>136</v>
      </c>
      <c r="F12407" s="128">
        <v>36043905.399999999</v>
      </c>
      <c r="G12407" s="128">
        <v>26942530.82</v>
      </c>
      <c r="H12407" s="128">
        <v>9079817.5299999993</v>
      </c>
      <c r="I12407" s="128">
        <v>273483</v>
      </c>
    </row>
    <row r="12408" spans="1:9" ht="13.5">
      <c r="A12408" s="128">
        <v>2023</v>
      </c>
      <c r="B12408" s="128" t="s">
        <v>139</v>
      </c>
      <c r="C12408" s="128" t="s">
        <v>20</v>
      </c>
      <c r="D12408" s="128" t="s">
        <v>79</v>
      </c>
      <c r="E12408" s="128" t="s">
        <v>132</v>
      </c>
      <c r="F12408" s="128">
        <v>2913075.72</v>
      </c>
      <c r="G12408" s="128">
        <v>1962662.51</v>
      </c>
      <c r="H12408" s="128">
        <v>675130.8</v>
      </c>
      <c r="I12408" s="128">
        <v>10510</v>
      </c>
    </row>
    <row r="12409" spans="1:9" ht="13.5">
      <c r="A12409" s="128">
        <v>2023</v>
      </c>
      <c r="B12409" s="128" t="s">
        <v>139</v>
      </c>
      <c r="C12409" s="128" t="s">
        <v>20</v>
      </c>
      <c r="D12409" s="128" t="s">
        <v>79</v>
      </c>
      <c r="E12409" s="128" t="s">
        <v>133</v>
      </c>
      <c r="F12409" s="128">
        <v>1947595.8</v>
      </c>
      <c r="G12409" s="128">
        <v>1055010.19</v>
      </c>
      <c r="H12409" s="128">
        <v>362274.38</v>
      </c>
      <c r="I12409" s="128">
        <v>4285</v>
      </c>
    </row>
    <row r="12410" spans="1:9" ht="13.5">
      <c r="A12410" s="128">
        <v>2023</v>
      </c>
      <c r="B12410" s="128" t="s">
        <v>139</v>
      </c>
      <c r="C12410" s="128" t="s">
        <v>20</v>
      </c>
      <c r="D12410" s="128" t="s">
        <v>79</v>
      </c>
      <c r="E12410" s="128" t="s">
        <v>134</v>
      </c>
      <c r="F12410" s="128">
        <v>6456412.9699999997</v>
      </c>
      <c r="G12410" s="128">
        <v>2754408.41</v>
      </c>
      <c r="H12410" s="128">
        <v>997799.25</v>
      </c>
      <c r="I12410" s="128">
        <v>16372</v>
      </c>
    </row>
    <row r="12411" spans="1:9" ht="13.5">
      <c r="A12411" s="128">
        <v>2023</v>
      </c>
      <c r="B12411" s="128" t="s">
        <v>139</v>
      </c>
      <c r="C12411" s="128" t="s">
        <v>20</v>
      </c>
      <c r="D12411" s="128" t="s">
        <v>79</v>
      </c>
      <c r="E12411" s="128" t="s">
        <v>135</v>
      </c>
      <c r="F12411" s="128">
        <v>96199277.790000007</v>
      </c>
      <c r="G12411" s="128">
        <v>20101792.18</v>
      </c>
      <c r="H12411" s="128">
        <v>6784081.0599999996</v>
      </c>
      <c r="I12411" s="128">
        <v>79054</v>
      </c>
    </row>
    <row r="12412" spans="1:9" ht="13.5">
      <c r="A12412" s="128">
        <v>2023</v>
      </c>
      <c r="B12412" s="128" t="s">
        <v>139</v>
      </c>
      <c r="C12412" s="128" t="s">
        <v>20</v>
      </c>
      <c r="D12412" s="128" t="s">
        <v>77</v>
      </c>
      <c r="E12412" s="128" t="s">
        <v>132</v>
      </c>
      <c r="F12412" s="128">
        <v>3005993.43</v>
      </c>
      <c r="G12412" s="128">
        <v>1970347.14</v>
      </c>
      <c r="H12412" s="128">
        <v>875210.91</v>
      </c>
      <c r="I12412" s="128">
        <v>13106</v>
      </c>
    </row>
    <row r="12413" spans="1:9" ht="13.5">
      <c r="A12413" s="128">
        <v>2023</v>
      </c>
      <c r="B12413" s="128" t="s">
        <v>139</v>
      </c>
      <c r="C12413" s="128" t="s">
        <v>20</v>
      </c>
      <c r="D12413" s="128" t="s">
        <v>77</v>
      </c>
      <c r="E12413" s="128" t="s">
        <v>133</v>
      </c>
      <c r="F12413" s="128">
        <v>6124329.1200000001</v>
      </c>
      <c r="G12413" s="128">
        <v>3264668.55</v>
      </c>
      <c r="H12413" s="128">
        <v>2557770.2000000002</v>
      </c>
      <c r="I12413" s="128">
        <v>16206</v>
      </c>
    </row>
    <row r="12414" spans="1:9" ht="13.5">
      <c r="A12414" s="128">
        <v>2023</v>
      </c>
      <c r="B12414" s="128" t="s">
        <v>139</v>
      </c>
      <c r="C12414" s="128" t="s">
        <v>20</v>
      </c>
      <c r="D12414" s="128" t="s">
        <v>77</v>
      </c>
      <c r="E12414" s="128" t="s">
        <v>134</v>
      </c>
      <c r="F12414" s="128">
        <v>17091183.760000002</v>
      </c>
      <c r="G12414" s="128">
        <v>7377501.75</v>
      </c>
      <c r="H12414" s="128">
        <v>7284784.6600000001</v>
      </c>
      <c r="I12414" s="128">
        <v>29481</v>
      </c>
    </row>
    <row r="12415" spans="1:9" ht="13.5">
      <c r="A12415" s="128">
        <v>2023</v>
      </c>
      <c r="B12415" s="128" t="s">
        <v>139</v>
      </c>
      <c r="C12415" s="128" t="s">
        <v>20</v>
      </c>
      <c r="D12415" s="128" t="s">
        <v>77</v>
      </c>
      <c r="E12415" s="128" t="s">
        <v>135</v>
      </c>
      <c r="F12415" s="128">
        <v>46208039.229999997</v>
      </c>
      <c r="G12415" s="128">
        <v>12033987.77</v>
      </c>
      <c r="H12415" s="128">
        <v>13853407.619999999</v>
      </c>
      <c r="I12415" s="128">
        <v>155032</v>
      </c>
    </row>
    <row r="12416" spans="1:9" ht="13.5">
      <c r="A12416" s="128">
        <v>2023</v>
      </c>
      <c r="B12416" s="128" t="s">
        <v>139</v>
      </c>
      <c r="C12416" s="128" t="s">
        <v>20</v>
      </c>
      <c r="D12416" s="128" t="s">
        <v>76</v>
      </c>
      <c r="E12416" s="128" t="s">
        <v>136</v>
      </c>
      <c r="F12416" s="128">
        <v>28195263.879999999</v>
      </c>
      <c r="G12416" s="128">
        <v>21205198.920000002</v>
      </c>
      <c r="H12416" s="128">
        <v>6990072.6600000001</v>
      </c>
      <c r="I12416" s="128">
        <v>1013598</v>
      </c>
    </row>
    <row r="12417" spans="1:9" ht="13.5">
      <c r="A12417" s="128">
        <v>2023</v>
      </c>
      <c r="B12417" s="128" t="s">
        <v>139</v>
      </c>
      <c r="C12417" s="128" t="s">
        <v>20</v>
      </c>
      <c r="D12417" s="128" t="s">
        <v>76</v>
      </c>
      <c r="E12417" s="128" t="s">
        <v>132</v>
      </c>
      <c r="F12417" s="128">
        <v>53956385.380000003</v>
      </c>
      <c r="G12417" s="128">
        <v>34420426.329999998</v>
      </c>
      <c r="H12417" s="128">
        <v>19535835.93</v>
      </c>
      <c r="I12417" s="128">
        <v>427446</v>
      </c>
    </row>
    <row r="12418" spans="1:9" ht="13.5">
      <c r="A12418" s="128">
        <v>2023</v>
      </c>
      <c r="B12418" s="128" t="s">
        <v>139</v>
      </c>
      <c r="C12418" s="128" t="s">
        <v>20</v>
      </c>
      <c r="D12418" s="128" t="s">
        <v>76</v>
      </c>
      <c r="E12418" s="128" t="s">
        <v>133</v>
      </c>
      <c r="F12418" s="128">
        <v>106653408.09999999</v>
      </c>
      <c r="G12418" s="128">
        <v>58467774.479999997</v>
      </c>
      <c r="H12418" s="128">
        <v>48185603.869999997</v>
      </c>
      <c r="I12418" s="128">
        <v>571026</v>
      </c>
    </row>
    <row r="12419" spans="1:9" ht="13.5">
      <c r="A12419" s="128">
        <v>2023</v>
      </c>
      <c r="B12419" s="128" t="s">
        <v>139</v>
      </c>
      <c r="C12419" s="128" t="s">
        <v>20</v>
      </c>
      <c r="D12419" s="128" t="s">
        <v>76</v>
      </c>
      <c r="E12419" s="128" t="s">
        <v>134</v>
      </c>
      <c r="F12419" s="128">
        <v>104631267.58</v>
      </c>
      <c r="G12419" s="128">
        <v>47875391.140000001</v>
      </c>
      <c r="H12419" s="128">
        <v>56755839.899999999</v>
      </c>
      <c r="I12419" s="128">
        <v>583245</v>
      </c>
    </row>
    <row r="12420" spans="1:9" ht="13.5">
      <c r="A12420" s="128">
        <v>2023</v>
      </c>
      <c r="B12420" s="128" t="s">
        <v>139</v>
      </c>
      <c r="C12420" s="128" t="s">
        <v>20</v>
      </c>
      <c r="D12420" s="128" t="s">
        <v>76</v>
      </c>
      <c r="E12420" s="128" t="s">
        <v>135</v>
      </c>
      <c r="F12420" s="128">
        <v>5874849.8200000003</v>
      </c>
      <c r="G12420" s="128">
        <v>1674934.78</v>
      </c>
      <c r="H12420" s="128">
        <v>4199915.04</v>
      </c>
      <c r="I12420" s="128">
        <v>6503</v>
      </c>
    </row>
    <row r="12421" spans="1:9" ht="13.5">
      <c r="A12421" s="128">
        <v>2023</v>
      </c>
      <c r="B12421" s="128" t="s">
        <v>139</v>
      </c>
      <c r="C12421" s="128" t="s">
        <v>21</v>
      </c>
      <c r="D12421" s="128" t="s">
        <v>79</v>
      </c>
      <c r="E12421" s="128" t="s">
        <v>136</v>
      </c>
      <c r="F12421" s="128">
        <v>5170606.13</v>
      </c>
      <c r="G12421" s="128">
        <v>3844822.94</v>
      </c>
      <c r="H12421" s="128">
        <v>1271340.95</v>
      </c>
      <c r="I12421" s="128">
        <v>103565</v>
      </c>
    </row>
    <row r="12422" spans="1:9" ht="13.5">
      <c r="A12422" s="128">
        <v>2023</v>
      </c>
      <c r="B12422" s="128" t="s">
        <v>139</v>
      </c>
      <c r="C12422" s="128" t="s">
        <v>21</v>
      </c>
      <c r="D12422" s="128" t="s">
        <v>79</v>
      </c>
      <c r="E12422" s="128" t="s">
        <v>132</v>
      </c>
      <c r="F12422" s="128">
        <v>1025706.37</v>
      </c>
      <c r="G12422" s="128">
        <v>680233.61</v>
      </c>
      <c r="H12422" s="128">
        <v>228159.44</v>
      </c>
      <c r="I12422" s="128">
        <v>2749</v>
      </c>
    </row>
    <row r="12423" spans="1:9" ht="13.5">
      <c r="A12423" s="128">
        <v>2023</v>
      </c>
      <c r="B12423" s="128" t="s">
        <v>139</v>
      </c>
      <c r="C12423" s="128" t="s">
        <v>21</v>
      </c>
      <c r="D12423" s="128" t="s">
        <v>79</v>
      </c>
      <c r="E12423" s="128" t="s">
        <v>133</v>
      </c>
      <c r="F12423" s="128">
        <v>1440252.64</v>
      </c>
      <c r="G12423" s="128">
        <v>773706.12</v>
      </c>
      <c r="H12423" s="128">
        <v>261019.84</v>
      </c>
      <c r="I12423" s="128">
        <v>5853</v>
      </c>
    </row>
    <row r="12424" spans="1:9" ht="13.5">
      <c r="A12424" s="128">
        <v>2023</v>
      </c>
      <c r="B12424" s="128" t="s">
        <v>139</v>
      </c>
      <c r="C12424" s="128" t="s">
        <v>21</v>
      </c>
      <c r="D12424" s="128" t="s">
        <v>79</v>
      </c>
      <c r="E12424" s="128" t="s">
        <v>134</v>
      </c>
      <c r="F12424" s="128">
        <v>3672456.3</v>
      </c>
      <c r="G12424" s="128">
        <v>1603188.64</v>
      </c>
      <c r="H12424" s="128">
        <v>534822.56999999995</v>
      </c>
      <c r="I12424" s="128">
        <v>12636</v>
      </c>
    </row>
    <row r="12425" spans="1:9" ht="13.5">
      <c r="A12425" s="128">
        <v>2023</v>
      </c>
      <c r="B12425" s="128" t="s">
        <v>139</v>
      </c>
      <c r="C12425" s="128" t="s">
        <v>21</v>
      </c>
      <c r="D12425" s="128" t="s">
        <v>79</v>
      </c>
      <c r="E12425" s="128" t="s">
        <v>135</v>
      </c>
      <c r="F12425" s="128">
        <v>36069764.359999999</v>
      </c>
      <c r="G12425" s="128">
        <v>7762861.8099999996</v>
      </c>
      <c r="H12425" s="128">
        <v>2601704.62</v>
      </c>
      <c r="I12425" s="128">
        <v>29386</v>
      </c>
    </row>
    <row r="12426" spans="1:9" ht="13.5">
      <c r="A12426" s="128">
        <v>2023</v>
      </c>
      <c r="B12426" s="128" t="s">
        <v>139</v>
      </c>
      <c r="C12426" s="128" t="s">
        <v>21</v>
      </c>
      <c r="D12426" s="128" t="s">
        <v>77</v>
      </c>
      <c r="E12426" s="128" t="s">
        <v>132</v>
      </c>
      <c r="F12426" s="128">
        <v>2409819.04</v>
      </c>
      <c r="G12426" s="128">
        <v>1575407.41</v>
      </c>
      <c r="H12426" s="128">
        <v>694803.01</v>
      </c>
      <c r="I12426" s="128">
        <v>11672</v>
      </c>
    </row>
    <row r="12427" spans="1:9" ht="13.5">
      <c r="A12427" s="128">
        <v>2023</v>
      </c>
      <c r="B12427" s="128" t="s">
        <v>139</v>
      </c>
      <c r="C12427" s="128" t="s">
        <v>21</v>
      </c>
      <c r="D12427" s="128" t="s">
        <v>77</v>
      </c>
      <c r="E12427" s="128" t="s">
        <v>133</v>
      </c>
      <c r="F12427" s="128">
        <v>7124240.9299999997</v>
      </c>
      <c r="G12427" s="128">
        <v>3809436.51</v>
      </c>
      <c r="H12427" s="128">
        <v>2785081.83</v>
      </c>
      <c r="I12427" s="128">
        <v>21666</v>
      </c>
    </row>
    <row r="12428" spans="1:9" ht="13.5">
      <c r="A12428" s="128">
        <v>2023</v>
      </c>
      <c r="B12428" s="128" t="s">
        <v>139</v>
      </c>
      <c r="C12428" s="128" t="s">
        <v>21</v>
      </c>
      <c r="D12428" s="128" t="s">
        <v>77</v>
      </c>
      <c r="E12428" s="128" t="s">
        <v>134</v>
      </c>
      <c r="F12428" s="128">
        <v>19900497.48</v>
      </c>
      <c r="G12428" s="128">
        <v>8549489.7200000007</v>
      </c>
      <c r="H12428" s="128">
        <v>8046257.5899999999</v>
      </c>
      <c r="I12428" s="128">
        <v>34515</v>
      </c>
    </row>
    <row r="12429" spans="1:9" ht="13.5">
      <c r="A12429" s="128">
        <v>2023</v>
      </c>
      <c r="B12429" s="128" t="s">
        <v>139</v>
      </c>
      <c r="C12429" s="128" t="s">
        <v>21</v>
      </c>
      <c r="D12429" s="128" t="s">
        <v>77</v>
      </c>
      <c r="E12429" s="128" t="s">
        <v>135</v>
      </c>
      <c r="F12429" s="128">
        <v>49266030.890000001</v>
      </c>
      <c r="G12429" s="128">
        <v>13070264.859999999</v>
      </c>
      <c r="H12429" s="128">
        <v>14135229.6</v>
      </c>
      <c r="I12429" s="128">
        <v>171503</v>
      </c>
    </row>
    <row r="12430" spans="1:9" ht="13.5">
      <c r="A12430" s="128">
        <v>2023</v>
      </c>
      <c r="B12430" s="128" t="s">
        <v>139</v>
      </c>
      <c r="C12430" s="128" t="s">
        <v>21</v>
      </c>
      <c r="D12430" s="128" t="s">
        <v>76</v>
      </c>
      <c r="E12430" s="128" t="s">
        <v>136</v>
      </c>
      <c r="F12430" s="128">
        <v>21666086.559999999</v>
      </c>
      <c r="G12430" s="128">
        <v>16286972.92</v>
      </c>
      <c r="H12430" s="128">
        <v>5379117.1399999997</v>
      </c>
      <c r="I12430" s="128">
        <v>344599</v>
      </c>
    </row>
    <row r="12431" spans="1:9" ht="13.5">
      <c r="A12431" s="128">
        <v>2023</v>
      </c>
      <c r="B12431" s="128" t="s">
        <v>139</v>
      </c>
      <c r="C12431" s="128" t="s">
        <v>21</v>
      </c>
      <c r="D12431" s="128" t="s">
        <v>76</v>
      </c>
      <c r="E12431" s="128" t="s">
        <v>132</v>
      </c>
      <c r="F12431" s="128">
        <v>57917068.890000001</v>
      </c>
      <c r="G12431" s="128">
        <v>36890501.789999999</v>
      </c>
      <c r="H12431" s="128">
        <v>21026357.600000001</v>
      </c>
      <c r="I12431" s="128">
        <v>460454</v>
      </c>
    </row>
    <row r="12432" spans="1:9" ht="13.5">
      <c r="A12432" s="128">
        <v>2023</v>
      </c>
      <c r="B12432" s="128" t="s">
        <v>139</v>
      </c>
      <c r="C12432" s="128" t="s">
        <v>21</v>
      </c>
      <c r="D12432" s="128" t="s">
        <v>76</v>
      </c>
      <c r="E12432" s="128" t="s">
        <v>133</v>
      </c>
      <c r="F12432" s="128">
        <v>112004636.34</v>
      </c>
      <c r="G12432" s="128">
        <v>61575480.909999996</v>
      </c>
      <c r="H12432" s="128">
        <v>50429080.850000001</v>
      </c>
      <c r="I12432" s="128">
        <v>650616</v>
      </c>
    </row>
    <row r="12433" spans="1:9" ht="13.5">
      <c r="A12433" s="128">
        <v>2023</v>
      </c>
      <c r="B12433" s="128" t="s">
        <v>139</v>
      </c>
      <c r="C12433" s="128" t="s">
        <v>21</v>
      </c>
      <c r="D12433" s="128" t="s">
        <v>76</v>
      </c>
      <c r="E12433" s="128" t="s">
        <v>134</v>
      </c>
      <c r="F12433" s="128">
        <v>74067552.859999999</v>
      </c>
      <c r="G12433" s="128">
        <v>34125535.219999999</v>
      </c>
      <c r="H12433" s="128">
        <v>39941993.200000003</v>
      </c>
      <c r="I12433" s="128">
        <v>464391</v>
      </c>
    </row>
    <row r="12434" spans="1:9" ht="13.5">
      <c r="A12434" s="128">
        <v>2023</v>
      </c>
      <c r="B12434" s="128" t="s">
        <v>139</v>
      </c>
      <c r="C12434" s="128" t="s">
        <v>21</v>
      </c>
      <c r="D12434" s="128" t="s">
        <v>76</v>
      </c>
      <c r="E12434" s="128" t="s">
        <v>135</v>
      </c>
      <c r="F12434" s="128">
        <v>2818980.82</v>
      </c>
      <c r="G12434" s="128">
        <v>799025.93</v>
      </c>
      <c r="H12434" s="128">
        <v>2019954.89</v>
      </c>
      <c r="I12434" s="128">
        <v>2753</v>
      </c>
    </row>
    <row r="12435" spans="1:9" ht="13.5">
      <c r="A12435" s="128">
        <v>2023</v>
      </c>
      <c r="B12435" s="128" t="s">
        <v>139</v>
      </c>
      <c r="C12435" s="128" t="s">
        <v>22</v>
      </c>
      <c r="D12435" s="128" t="s">
        <v>79</v>
      </c>
      <c r="E12435" s="128" t="s">
        <v>136</v>
      </c>
      <c r="F12435" s="128">
        <v>3885354.34</v>
      </c>
      <c r="G12435" s="128">
        <v>2864794.33</v>
      </c>
      <c r="H12435" s="128">
        <v>947923.69</v>
      </c>
      <c r="I12435" s="128">
        <v>58593</v>
      </c>
    </row>
    <row r="12436" spans="1:9" ht="13.5">
      <c r="A12436" s="128">
        <v>2023</v>
      </c>
      <c r="B12436" s="128" t="s">
        <v>139</v>
      </c>
      <c r="C12436" s="128" t="s">
        <v>22</v>
      </c>
      <c r="D12436" s="128" t="s">
        <v>79</v>
      </c>
      <c r="E12436" s="128" t="s">
        <v>132</v>
      </c>
      <c r="F12436" s="128">
        <v>1092733.67</v>
      </c>
      <c r="G12436" s="128">
        <v>726850.2</v>
      </c>
      <c r="H12436" s="128">
        <v>243164.86</v>
      </c>
      <c r="I12436" s="128">
        <v>2381</v>
      </c>
    </row>
    <row r="12437" spans="1:9" ht="13.5">
      <c r="A12437" s="128">
        <v>2023</v>
      </c>
      <c r="B12437" s="128" t="s">
        <v>139</v>
      </c>
      <c r="C12437" s="128" t="s">
        <v>22</v>
      </c>
      <c r="D12437" s="128" t="s">
        <v>79</v>
      </c>
      <c r="E12437" s="128" t="s">
        <v>133</v>
      </c>
      <c r="F12437" s="128">
        <v>1165243.08</v>
      </c>
      <c r="G12437" s="128">
        <v>633237.21</v>
      </c>
      <c r="H12437" s="128">
        <v>208636.48</v>
      </c>
      <c r="I12437" s="128">
        <v>2474</v>
      </c>
    </row>
    <row r="12438" spans="1:9" ht="13.5">
      <c r="A12438" s="128">
        <v>2023</v>
      </c>
      <c r="B12438" s="128" t="s">
        <v>139</v>
      </c>
      <c r="C12438" s="128" t="s">
        <v>22</v>
      </c>
      <c r="D12438" s="128" t="s">
        <v>79</v>
      </c>
      <c r="E12438" s="128" t="s">
        <v>134</v>
      </c>
      <c r="F12438" s="128">
        <v>4213812.9800000004</v>
      </c>
      <c r="G12438" s="128">
        <v>1820271.95</v>
      </c>
      <c r="H12438" s="128">
        <v>608726.59</v>
      </c>
      <c r="I12438" s="128">
        <v>18347</v>
      </c>
    </row>
    <row r="12439" spans="1:9" ht="13.5">
      <c r="A12439" s="128">
        <v>2023</v>
      </c>
      <c r="B12439" s="128" t="s">
        <v>139</v>
      </c>
      <c r="C12439" s="128" t="s">
        <v>22</v>
      </c>
      <c r="D12439" s="128" t="s">
        <v>79</v>
      </c>
      <c r="E12439" s="128" t="s">
        <v>135</v>
      </c>
      <c r="F12439" s="128">
        <v>47118673.689999998</v>
      </c>
      <c r="G12439" s="128">
        <v>10165480.77</v>
      </c>
      <c r="H12439" s="128">
        <v>3405837.92</v>
      </c>
      <c r="I12439" s="128">
        <v>39985</v>
      </c>
    </row>
    <row r="12440" spans="1:9" ht="13.5">
      <c r="A12440" s="128">
        <v>2023</v>
      </c>
      <c r="B12440" s="128" t="s">
        <v>139</v>
      </c>
      <c r="C12440" s="128" t="s">
        <v>22</v>
      </c>
      <c r="D12440" s="128" t="s">
        <v>77</v>
      </c>
      <c r="E12440" s="128" t="s">
        <v>132</v>
      </c>
      <c r="F12440" s="128">
        <v>1565321.88</v>
      </c>
      <c r="G12440" s="128">
        <v>1007846.98</v>
      </c>
      <c r="H12440" s="128">
        <v>441429.01</v>
      </c>
      <c r="I12440" s="128">
        <v>6858</v>
      </c>
    </row>
    <row r="12441" spans="1:9" ht="13.5">
      <c r="A12441" s="128">
        <v>2023</v>
      </c>
      <c r="B12441" s="128" t="s">
        <v>139</v>
      </c>
      <c r="C12441" s="128" t="s">
        <v>22</v>
      </c>
      <c r="D12441" s="128" t="s">
        <v>77</v>
      </c>
      <c r="E12441" s="128" t="s">
        <v>133</v>
      </c>
      <c r="F12441" s="128">
        <v>5101998</v>
      </c>
      <c r="G12441" s="128">
        <v>2715862.99</v>
      </c>
      <c r="H12441" s="128">
        <v>2032381.56</v>
      </c>
      <c r="I12441" s="128">
        <v>18363</v>
      </c>
    </row>
    <row r="12442" spans="1:9" ht="13.5">
      <c r="A12442" s="128">
        <v>2023</v>
      </c>
      <c r="B12442" s="128" t="s">
        <v>139</v>
      </c>
      <c r="C12442" s="128" t="s">
        <v>22</v>
      </c>
      <c r="D12442" s="128" t="s">
        <v>77</v>
      </c>
      <c r="E12442" s="128" t="s">
        <v>134</v>
      </c>
      <c r="F12442" s="128">
        <v>20183509.469999999</v>
      </c>
      <c r="G12442" s="128">
        <v>8570938.1600000001</v>
      </c>
      <c r="H12442" s="128">
        <v>8380823.5</v>
      </c>
      <c r="I12442" s="128">
        <v>32266</v>
      </c>
    </row>
    <row r="12443" spans="1:9" ht="13.5">
      <c r="A12443" s="128">
        <v>2023</v>
      </c>
      <c r="B12443" s="128" t="s">
        <v>139</v>
      </c>
      <c r="C12443" s="128" t="s">
        <v>22</v>
      </c>
      <c r="D12443" s="128" t="s">
        <v>77</v>
      </c>
      <c r="E12443" s="128" t="s">
        <v>135</v>
      </c>
      <c r="F12443" s="128">
        <v>47820146.299999997</v>
      </c>
      <c r="G12443" s="128">
        <v>11953674.57</v>
      </c>
      <c r="H12443" s="128">
        <v>13354442.699999999</v>
      </c>
      <c r="I12443" s="128">
        <v>125297</v>
      </c>
    </row>
    <row r="12444" spans="1:9" ht="13.5">
      <c r="A12444" s="128">
        <v>2023</v>
      </c>
      <c r="B12444" s="128" t="s">
        <v>139</v>
      </c>
      <c r="C12444" s="128" t="s">
        <v>22</v>
      </c>
      <c r="D12444" s="128" t="s">
        <v>76</v>
      </c>
      <c r="E12444" s="128" t="s">
        <v>136</v>
      </c>
      <c r="F12444" s="128">
        <v>17219957.260000002</v>
      </c>
      <c r="G12444" s="128">
        <v>12933966.98</v>
      </c>
      <c r="H12444" s="128">
        <v>4285988.4800000004</v>
      </c>
      <c r="I12444" s="128">
        <v>259569</v>
      </c>
    </row>
    <row r="12445" spans="1:9" ht="13.5">
      <c r="A12445" s="128">
        <v>2023</v>
      </c>
      <c r="B12445" s="128" t="s">
        <v>139</v>
      </c>
      <c r="C12445" s="128" t="s">
        <v>22</v>
      </c>
      <c r="D12445" s="128" t="s">
        <v>76</v>
      </c>
      <c r="E12445" s="128" t="s">
        <v>132</v>
      </c>
      <c r="F12445" s="128">
        <v>48067804.490000002</v>
      </c>
      <c r="G12445" s="128">
        <v>30641602.140000001</v>
      </c>
      <c r="H12445" s="128">
        <v>17425936.68</v>
      </c>
      <c r="I12445" s="128">
        <v>407713</v>
      </c>
    </row>
    <row r="12446" spans="1:9" ht="13.5">
      <c r="A12446" s="128">
        <v>2023</v>
      </c>
      <c r="B12446" s="128" t="s">
        <v>139</v>
      </c>
      <c r="C12446" s="128" t="s">
        <v>22</v>
      </c>
      <c r="D12446" s="128" t="s">
        <v>76</v>
      </c>
      <c r="E12446" s="128" t="s">
        <v>133</v>
      </c>
      <c r="F12446" s="128">
        <v>78432149.810000002</v>
      </c>
      <c r="G12446" s="128">
        <v>43376131.509999998</v>
      </c>
      <c r="H12446" s="128">
        <v>35055948.390000001</v>
      </c>
      <c r="I12446" s="128">
        <v>598802</v>
      </c>
    </row>
    <row r="12447" spans="1:9" ht="13.5">
      <c r="A12447" s="128">
        <v>2023</v>
      </c>
      <c r="B12447" s="128" t="s">
        <v>139</v>
      </c>
      <c r="C12447" s="128" t="s">
        <v>22</v>
      </c>
      <c r="D12447" s="128" t="s">
        <v>76</v>
      </c>
      <c r="E12447" s="128" t="s">
        <v>134</v>
      </c>
      <c r="F12447" s="128">
        <v>66454714.539999999</v>
      </c>
      <c r="G12447" s="128">
        <v>30539165.52</v>
      </c>
      <c r="H12447" s="128">
        <v>35915036.049999997</v>
      </c>
      <c r="I12447" s="128">
        <v>441929</v>
      </c>
    </row>
    <row r="12448" spans="1:9" ht="13.5">
      <c r="A12448" s="128">
        <v>2023</v>
      </c>
      <c r="B12448" s="128" t="s">
        <v>139</v>
      </c>
      <c r="C12448" s="128" t="s">
        <v>22</v>
      </c>
      <c r="D12448" s="128" t="s">
        <v>76</v>
      </c>
      <c r="E12448" s="128" t="s">
        <v>135</v>
      </c>
      <c r="F12448" s="128">
        <v>3681104.4</v>
      </c>
      <c r="G12448" s="128">
        <v>1086301.94</v>
      </c>
      <c r="H12448" s="128">
        <v>2594801.92</v>
      </c>
      <c r="I12448" s="128">
        <v>4831</v>
      </c>
    </row>
    <row r="12449" spans="1:9" ht="13.5">
      <c r="A12449" s="128">
        <v>2023</v>
      </c>
      <c r="B12449" s="128" t="s">
        <v>139</v>
      </c>
      <c r="C12449" s="128" t="s">
        <v>23</v>
      </c>
      <c r="D12449" s="128" t="s">
        <v>79</v>
      </c>
      <c r="E12449" s="128" t="s">
        <v>136</v>
      </c>
      <c r="F12449" s="128">
        <v>1460041.63</v>
      </c>
      <c r="G12449" s="128">
        <v>1084808.92</v>
      </c>
      <c r="H12449" s="128">
        <v>359398.87</v>
      </c>
      <c r="I12449" s="128">
        <v>8190</v>
      </c>
    </row>
    <row r="12450" spans="1:9" ht="13.5">
      <c r="A12450" s="128">
        <v>2023</v>
      </c>
      <c r="B12450" s="128" t="s">
        <v>139</v>
      </c>
      <c r="C12450" s="128" t="s">
        <v>23</v>
      </c>
      <c r="D12450" s="128" t="s">
        <v>79</v>
      </c>
      <c r="E12450" s="128" t="s">
        <v>132</v>
      </c>
      <c r="F12450" s="128">
        <v>366065.11</v>
      </c>
      <c r="G12450" s="128">
        <v>243589.98</v>
      </c>
      <c r="H12450" s="128">
        <v>81166.350000000006</v>
      </c>
      <c r="I12450" s="128">
        <v>441</v>
      </c>
    </row>
    <row r="12451" spans="1:9" ht="13.5">
      <c r="A12451" s="128">
        <v>2023</v>
      </c>
      <c r="B12451" s="128" t="s">
        <v>139</v>
      </c>
      <c r="C12451" s="128" t="s">
        <v>23</v>
      </c>
      <c r="D12451" s="128" t="s">
        <v>79</v>
      </c>
      <c r="E12451" s="128" t="s">
        <v>133</v>
      </c>
      <c r="F12451" s="128">
        <v>209447.45</v>
      </c>
      <c r="G12451" s="128">
        <v>113196.86</v>
      </c>
      <c r="H12451" s="128">
        <v>37066.06</v>
      </c>
      <c r="I12451" s="128">
        <v>340</v>
      </c>
    </row>
    <row r="12452" spans="1:9" ht="13.5">
      <c r="A12452" s="128">
        <v>2023</v>
      </c>
      <c r="B12452" s="128" t="s">
        <v>139</v>
      </c>
      <c r="C12452" s="128" t="s">
        <v>23</v>
      </c>
      <c r="D12452" s="128" t="s">
        <v>79</v>
      </c>
      <c r="E12452" s="128" t="s">
        <v>134</v>
      </c>
      <c r="F12452" s="128">
        <v>462096.01</v>
      </c>
      <c r="G12452" s="128">
        <v>197624.37</v>
      </c>
      <c r="H12452" s="128">
        <v>66370.12</v>
      </c>
      <c r="I12452" s="128">
        <v>991</v>
      </c>
    </row>
    <row r="12453" spans="1:9" ht="13.5">
      <c r="A12453" s="128">
        <v>2023</v>
      </c>
      <c r="B12453" s="128" t="s">
        <v>139</v>
      </c>
      <c r="C12453" s="128" t="s">
        <v>23</v>
      </c>
      <c r="D12453" s="128" t="s">
        <v>79</v>
      </c>
      <c r="E12453" s="128" t="s">
        <v>135</v>
      </c>
      <c r="F12453" s="128">
        <v>5609044.0599999996</v>
      </c>
      <c r="G12453" s="128">
        <v>1148664.5</v>
      </c>
      <c r="H12453" s="128">
        <v>388029.74</v>
      </c>
      <c r="I12453" s="128">
        <v>3361</v>
      </c>
    </row>
    <row r="12454" spans="1:9" ht="13.5">
      <c r="A12454" s="128">
        <v>2023</v>
      </c>
      <c r="B12454" s="128" t="s">
        <v>139</v>
      </c>
      <c r="C12454" s="128" t="s">
        <v>23</v>
      </c>
      <c r="D12454" s="128" t="s">
        <v>77</v>
      </c>
      <c r="E12454" s="128" t="s">
        <v>132</v>
      </c>
      <c r="F12454" s="128">
        <v>488512.77</v>
      </c>
      <c r="G12454" s="128">
        <v>306521.31</v>
      </c>
      <c r="H12454" s="128">
        <v>149661.57999999999</v>
      </c>
      <c r="I12454" s="128">
        <v>2268</v>
      </c>
    </row>
    <row r="12455" spans="1:9" ht="13.5">
      <c r="A12455" s="128">
        <v>2023</v>
      </c>
      <c r="B12455" s="128" t="s">
        <v>139</v>
      </c>
      <c r="C12455" s="128" t="s">
        <v>23</v>
      </c>
      <c r="D12455" s="128" t="s">
        <v>77</v>
      </c>
      <c r="E12455" s="128" t="s">
        <v>133</v>
      </c>
      <c r="F12455" s="128">
        <v>1857555.3</v>
      </c>
      <c r="G12455" s="128">
        <v>993562.96</v>
      </c>
      <c r="H12455" s="128">
        <v>765555.04</v>
      </c>
      <c r="I12455" s="128">
        <v>6362</v>
      </c>
    </row>
    <row r="12456" spans="1:9" ht="13.5">
      <c r="A12456" s="128">
        <v>2023</v>
      </c>
      <c r="B12456" s="128" t="s">
        <v>139</v>
      </c>
      <c r="C12456" s="128" t="s">
        <v>23</v>
      </c>
      <c r="D12456" s="128" t="s">
        <v>77</v>
      </c>
      <c r="E12456" s="128" t="s">
        <v>134</v>
      </c>
      <c r="F12456" s="128">
        <v>10976960.34</v>
      </c>
      <c r="G12456" s="128">
        <v>4660429.0599999996</v>
      </c>
      <c r="H12456" s="128">
        <v>4722141.9400000004</v>
      </c>
      <c r="I12456" s="128">
        <v>16425</v>
      </c>
    </row>
    <row r="12457" spans="1:9" ht="13.5">
      <c r="A12457" s="128">
        <v>2023</v>
      </c>
      <c r="B12457" s="128" t="s">
        <v>139</v>
      </c>
      <c r="C12457" s="128" t="s">
        <v>23</v>
      </c>
      <c r="D12457" s="128" t="s">
        <v>77</v>
      </c>
      <c r="E12457" s="128" t="s">
        <v>135</v>
      </c>
      <c r="F12457" s="128">
        <v>13443774.699999999</v>
      </c>
      <c r="G12457" s="128">
        <v>3823625.99</v>
      </c>
      <c r="H12457" s="128">
        <v>4329796.16</v>
      </c>
      <c r="I12457" s="128">
        <v>47257</v>
      </c>
    </row>
    <row r="12458" spans="1:9" ht="13.5">
      <c r="A12458" s="128">
        <v>2023</v>
      </c>
      <c r="B12458" s="128" t="s">
        <v>139</v>
      </c>
      <c r="C12458" s="128" t="s">
        <v>23</v>
      </c>
      <c r="D12458" s="128" t="s">
        <v>76</v>
      </c>
      <c r="E12458" s="128" t="s">
        <v>136</v>
      </c>
      <c r="F12458" s="128">
        <v>7870353.29</v>
      </c>
      <c r="G12458" s="128">
        <v>5910261.4000000004</v>
      </c>
      <c r="H12458" s="128">
        <v>1960091.89</v>
      </c>
      <c r="I12458" s="128">
        <v>176881</v>
      </c>
    </row>
    <row r="12459" spans="1:9" ht="13.5">
      <c r="A12459" s="128">
        <v>2023</v>
      </c>
      <c r="B12459" s="128" t="s">
        <v>139</v>
      </c>
      <c r="C12459" s="128" t="s">
        <v>23</v>
      </c>
      <c r="D12459" s="128" t="s">
        <v>76</v>
      </c>
      <c r="E12459" s="128" t="s">
        <v>132</v>
      </c>
      <c r="F12459" s="128">
        <v>14805906.93</v>
      </c>
      <c r="G12459" s="128">
        <v>9311397.6699999999</v>
      </c>
      <c r="H12459" s="128">
        <v>5494433.8899999997</v>
      </c>
      <c r="I12459" s="128">
        <v>114760</v>
      </c>
    </row>
    <row r="12460" spans="1:9" ht="13.5">
      <c r="A12460" s="128">
        <v>2023</v>
      </c>
      <c r="B12460" s="128" t="s">
        <v>139</v>
      </c>
      <c r="C12460" s="128" t="s">
        <v>23</v>
      </c>
      <c r="D12460" s="128" t="s">
        <v>76</v>
      </c>
      <c r="E12460" s="128" t="s">
        <v>133</v>
      </c>
      <c r="F12460" s="128">
        <v>31247033.620000001</v>
      </c>
      <c r="G12460" s="128">
        <v>16907752.300000001</v>
      </c>
      <c r="H12460" s="128">
        <v>14339256.08</v>
      </c>
      <c r="I12460" s="128">
        <v>187216</v>
      </c>
    </row>
    <row r="12461" spans="1:9" ht="13.5">
      <c r="A12461" s="128">
        <v>2023</v>
      </c>
      <c r="B12461" s="128" t="s">
        <v>139</v>
      </c>
      <c r="C12461" s="128" t="s">
        <v>23</v>
      </c>
      <c r="D12461" s="128" t="s">
        <v>76</v>
      </c>
      <c r="E12461" s="128" t="s">
        <v>134</v>
      </c>
      <c r="F12461" s="128">
        <v>28571011.940000001</v>
      </c>
      <c r="G12461" s="128">
        <v>13240741.939999999</v>
      </c>
      <c r="H12461" s="128">
        <v>15330266.68</v>
      </c>
      <c r="I12461" s="128">
        <v>135113</v>
      </c>
    </row>
    <row r="12462" spans="1:9" ht="13.5">
      <c r="A12462" s="128">
        <v>2023</v>
      </c>
      <c r="B12462" s="128" t="s">
        <v>139</v>
      </c>
      <c r="C12462" s="128" t="s">
        <v>23</v>
      </c>
      <c r="D12462" s="128" t="s">
        <v>76</v>
      </c>
      <c r="E12462" s="128" t="s">
        <v>135</v>
      </c>
      <c r="F12462" s="128">
        <v>944183.5</v>
      </c>
      <c r="G12462" s="128">
        <v>269062.84000000003</v>
      </c>
      <c r="H12462" s="128">
        <v>675119.66</v>
      </c>
      <c r="I12462" s="128">
        <v>763</v>
      </c>
    </row>
    <row r="12463" spans="1:9" ht="13.5">
      <c r="A12463" s="128">
        <v>2023</v>
      </c>
      <c r="B12463" s="128" t="s">
        <v>139</v>
      </c>
      <c r="C12463" s="128" t="s">
        <v>24</v>
      </c>
      <c r="D12463" s="128" t="s">
        <v>79</v>
      </c>
      <c r="E12463" s="128" t="s">
        <v>136</v>
      </c>
      <c r="F12463" s="128">
        <v>1762828.5</v>
      </c>
      <c r="G12463" s="128">
        <v>1324760.21</v>
      </c>
      <c r="H12463" s="128">
        <v>433746.55</v>
      </c>
      <c r="I12463" s="128">
        <v>26711</v>
      </c>
    </row>
    <row r="12464" spans="1:9" ht="13.5">
      <c r="A12464" s="128">
        <v>2023</v>
      </c>
      <c r="B12464" s="128" t="s">
        <v>139</v>
      </c>
      <c r="C12464" s="128" t="s">
        <v>24</v>
      </c>
      <c r="D12464" s="128" t="s">
        <v>79</v>
      </c>
      <c r="E12464" s="128" t="s">
        <v>132</v>
      </c>
      <c r="F12464" s="128">
        <v>328959.62</v>
      </c>
      <c r="G12464" s="128">
        <v>220128.78</v>
      </c>
      <c r="H12464" s="128">
        <v>73439.210000000006</v>
      </c>
      <c r="I12464" s="128">
        <v>828</v>
      </c>
    </row>
    <row r="12465" spans="1:9" ht="13.5">
      <c r="A12465" s="128">
        <v>2023</v>
      </c>
      <c r="B12465" s="128" t="s">
        <v>139</v>
      </c>
      <c r="C12465" s="128" t="s">
        <v>24</v>
      </c>
      <c r="D12465" s="128" t="s">
        <v>79</v>
      </c>
      <c r="E12465" s="128" t="s">
        <v>133</v>
      </c>
      <c r="F12465" s="128">
        <v>401650.27</v>
      </c>
      <c r="G12465" s="128">
        <v>218753.09</v>
      </c>
      <c r="H12465" s="128">
        <v>72253.31</v>
      </c>
      <c r="I12465" s="128">
        <v>969</v>
      </c>
    </row>
    <row r="12466" spans="1:9" ht="13.5">
      <c r="A12466" s="128">
        <v>2023</v>
      </c>
      <c r="B12466" s="128" t="s">
        <v>139</v>
      </c>
      <c r="C12466" s="128" t="s">
        <v>24</v>
      </c>
      <c r="D12466" s="128" t="s">
        <v>79</v>
      </c>
      <c r="E12466" s="128" t="s">
        <v>134</v>
      </c>
      <c r="F12466" s="128">
        <v>1577431.44</v>
      </c>
      <c r="G12466" s="128">
        <v>688047.8</v>
      </c>
      <c r="H12466" s="128">
        <v>233350.28</v>
      </c>
      <c r="I12466" s="128">
        <v>7298</v>
      </c>
    </row>
    <row r="12467" spans="1:9" ht="13.5">
      <c r="A12467" s="128">
        <v>2023</v>
      </c>
      <c r="B12467" s="128" t="s">
        <v>139</v>
      </c>
      <c r="C12467" s="128" t="s">
        <v>24</v>
      </c>
      <c r="D12467" s="128" t="s">
        <v>79</v>
      </c>
      <c r="E12467" s="128" t="s">
        <v>135</v>
      </c>
      <c r="F12467" s="128">
        <v>8419252.4000000004</v>
      </c>
      <c r="G12467" s="128">
        <v>1698697.52</v>
      </c>
      <c r="H12467" s="128">
        <v>576075.76</v>
      </c>
      <c r="I12467" s="128">
        <v>8584</v>
      </c>
    </row>
    <row r="12468" spans="1:9" ht="13.5">
      <c r="A12468" s="128">
        <v>2023</v>
      </c>
      <c r="B12468" s="128" t="s">
        <v>139</v>
      </c>
      <c r="C12468" s="128" t="s">
        <v>24</v>
      </c>
      <c r="D12468" s="128" t="s">
        <v>77</v>
      </c>
      <c r="E12468" s="128" t="s">
        <v>132</v>
      </c>
      <c r="F12468" s="128">
        <v>545312.30000000005</v>
      </c>
      <c r="G12468" s="128">
        <v>355148.26</v>
      </c>
      <c r="H12468" s="128">
        <v>169915.42</v>
      </c>
      <c r="I12468" s="128">
        <v>2551</v>
      </c>
    </row>
    <row r="12469" spans="1:9" ht="13.5">
      <c r="A12469" s="128">
        <v>2023</v>
      </c>
      <c r="B12469" s="128" t="s">
        <v>139</v>
      </c>
      <c r="C12469" s="128" t="s">
        <v>24</v>
      </c>
      <c r="D12469" s="128" t="s">
        <v>77</v>
      </c>
      <c r="E12469" s="128" t="s">
        <v>133</v>
      </c>
      <c r="F12469" s="128">
        <v>2763170.05</v>
      </c>
      <c r="G12469" s="128">
        <v>1480507.8</v>
      </c>
      <c r="H12469" s="128">
        <v>1092223.8799999999</v>
      </c>
      <c r="I12469" s="128">
        <v>20933</v>
      </c>
    </row>
    <row r="12470" spans="1:9" ht="13.5">
      <c r="A12470" s="128">
        <v>2023</v>
      </c>
      <c r="B12470" s="128" t="s">
        <v>139</v>
      </c>
      <c r="C12470" s="128" t="s">
        <v>24</v>
      </c>
      <c r="D12470" s="128" t="s">
        <v>77</v>
      </c>
      <c r="E12470" s="128" t="s">
        <v>134</v>
      </c>
      <c r="F12470" s="128">
        <v>8305558.5199999996</v>
      </c>
      <c r="G12470" s="128">
        <v>3637243.27</v>
      </c>
      <c r="H12470" s="128">
        <v>3355983.13</v>
      </c>
      <c r="I12470" s="128">
        <v>13474</v>
      </c>
    </row>
    <row r="12471" spans="1:9" ht="13.5">
      <c r="A12471" s="128">
        <v>2023</v>
      </c>
      <c r="B12471" s="128" t="s">
        <v>139</v>
      </c>
      <c r="C12471" s="128" t="s">
        <v>24</v>
      </c>
      <c r="D12471" s="128" t="s">
        <v>77</v>
      </c>
      <c r="E12471" s="128" t="s">
        <v>135</v>
      </c>
      <c r="F12471" s="128">
        <v>18958976.850000001</v>
      </c>
      <c r="G12471" s="128">
        <v>4581416.57</v>
      </c>
      <c r="H12471" s="128">
        <v>3292301.15</v>
      </c>
      <c r="I12471" s="128">
        <v>44645</v>
      </c>
    </row>
    <row r="12472" spans="1:9" ht="13.5">
      <c r="A12472" s="128">
        <v>2023</v>
      </c>
      <c r="B12472" s="128" t="s">
        <v>139</v>
      </c>
      <c r="C12472" s="128" t="s">
        <v>24</v>
      </c>
      <c r="D12472" s="128" t="s">
        <v>76</v>
      </c>
      <c r="E12472" s="128" t="s">
        <v>136</v>
      </c>
      <c r="F12472" s="128">
        <v>10889526.119999999</v>
      </c>
      <c r="G12472" s="128">
        <v>8180448.9699999997</v>
      </c>
      <c r="H12472" s="128">
        <v>2709100.05</v>
      </c>
      <c r="I12472" s="128">
        <v>170949</v>
      </c>
    </row>
    <row r="12473" spans="1:9" ht="13.5">
      <c r="A12473" s="128">
        <v>2023</v>
      </c>
      <c r="B12473" s="128" t="s">
        <v>139</v>
      </c>
      <c r="C12473" s="128" t="s">
        <v>24</v>
      </c>
      <c r="D12473" s="128" t="s">
        <v>76</v>
      </c>
      <c r="E12473" s="128" t="s">
        <v>132</v>
      </c>
      <c r="F12473" s="128">
        <v>11865483.66</v>
      </c>
      <c r="G12473" s="128">
        <v>7662841.6699999999</v>
      </c>
      <c r="H12473" s="128">
        <v>4202609.04</v>
      </c>
      <c r="I12473" s="128">
        <v>81037</v>
      </c>
    </row>
    <row r="12474" spans="1:9" ht="13.5">
      <c r="A12474" s="128">
        <v>2023</v>
      </c>
      <c r="B12474" s="128" t="s">
        <v>139</v>
      </c>
      <c r="C12474" s="128" t="s">
        <v>24</v>
      </c>
      <c r="D12474" s="128" t="s">
        <v>76</v>
      </c>
      <c r="E12474" s="128" t="s">
        <v>133</v>
      </c>
      <c r="F12474" s="128">
        <v>48662519.359999999</v>
      </c>
      <c r="G12474" s="128">
        <v>26633215.539999999</v>
      </c>
      <c r="H12474" s="128">
        <v>22029299.289999999</v>
      </c>
      <c r="I12474" s="128">
        <v>305027</v>
      </c>
    </row>
    <row r="12475" spans="1:9" ht="13.5">
      <c r="A12475" s="128">
        <v>2023</v>
      </c>
      <c r="B12475" s="128" t="s">
        <v>139</v>
      </c>
      <c r="C12475" s="128" t="s">
        <v>24</v>
      </c>
      <c r="D12475" s="128" t="s">
        <v>76</v>
      </c>
      <c r="E12475" s="128" t="s">
        <v>134</v>
      </c>
      <c r="F12475" s="128">
        <v>52334696.409999996</v>
      </c>
      <c r="G12475" s="128">
        <v>23370524.899999999</v>
      </c>
      <c r="H12475" s="128">
        <v>28964156.890000001</v>
      </c>
      <c r="I12475" s="128">
        <v>236395</v>
      </c>
    </row>
    <row r="12476" spans="1:9" ht="13.5">
      <c r="A12476" s="128">
        <v>2023</v>
      </c>
      <c r="B12476" s="128" t="s">
        <v>139</v>
      </c>
      <c r="C12476" s="128" t="s">
        <v>24</v>
      </c>
      <c r="D12476" s="128" t="s">
        <v>76</v>
      </c>
      <c r="E12476" s="128" t="s">
        <v>135</v>
      </c>
      <c r="F12476" s="128">
        <v>2203389.2400000002</v>
      </c>
      <c r="G12476" s="128">
        <v>586095.80000000005</v>
      </c>
      <c r="H12476" s="128">
        <v>1617293.44</v>
      </c>
      <c r="I12476" s="128">
        <v>1609</v>
      </c>
    </row>
    <row r="12477" spans="1:9" ht="13.5">
      <c r="A12477" s="128">
        <v>2023</v>
      </c>
      <c r="B12477" s="128" t="s">
        <v>139</v>
      </c>
      <c r="C12477" s="128" t="s">
        <v>25</v>
      </c>
      <c r="D12477" s="128" t="s">
        <v>79</v>
      </c>
      <c r="E12477" s="128" t="s">
        <v>136</v>
      </c>
      <c r="F12477" s="128">
        <v>288822.15999999997</v>
      </c>
      <c r="G12477" s="128">
        <v>215021.43</v>
      </c>
      <c r="H12477" s="128">
        <v>71084.479999999996</v>
      </c>
      <c r="I12477" s="128">
        <v>3574</v>
      </c>
    </row>
    <row r="12478" spans="1:9" ht="13.5">
      <c r="A12478" s="128">
        <v>2023</v>
      </c>
      <c r="B12478" s="128" t="s">
        <v>139</v>
      </c>
      <c r="C12478" s="128" t="s">
        <v>25</v>
      </c>
      <c r="D12478" s="128" t="s">
        <v>79</v>
      </c>
      <c r="E12478" s="128" t="s">
        <v>132</v>
      </c>
      <c r="F12478" s="128">
        <v>80071.649999999994</v>
      </c>
      <c r="G12478" s="128">
        <v>53119.38</v>
      </c>
      <c r="H12478" s="128">
        <v>17734.099999999999</v>
      </c>
      <c r="I12478" s="128">
        <v>226</v>
      </c>
    </row>
    <row r="12479" spans="1:9" ht="13.5">
      <c r="A12479" s="128">
        <v>2023</v>
      </c>
      <c r="B12479" s="128" t="s">
        <v>139</v>
      </c>
      <c r="C12479" s="128" t="s">
        <v>25</v>
      </c>
      <c r="D12479" s="128" t="s">
        <v>79</v>
      </c>
      <c r="E12479" s="128" t="s">
        <v>133</v>
      </c>
      <c r="F12479" s="128">
        <v>35487.14</v>
      </c>
      <c r="G12479" s="128">
        <v>19478.82</v>
      </c>
      <c r="H12479" s="128">
        <v>6321.55</v>
      </c>
      <c r="I12479" s="128">
        <v>166</v>
      </c>
    </row>
    <row r="12480" spans="1:9" ht="13.5">
      <c r="A12480" s="128">
        <v>2023</v>
      </c>
      <c r="B12480" s="128" t="s">
        <v>139</v>
      </c>
      <c r="C12480" s="128" t="s">
        <v>25</v>
      </c>
      <c r="D12480" s="128" t="s">
        <v>79</v>
      </c>
      <c r="E12480" s="128" t="s">
        <v>134</v>
      </c>
      <c r="F12480" s="128">
        <v>141458.68</v>
      </c>
      <c r="G12480" s="128">
        <v>60895.26</v>
      </c>
      <c r="H12480" s="128">
        <v>20135.98</v>
      </c>
      <c r="I12480" s="128">
        <v>287</v>
      </c>
    </row>
    <row r="12481" spans="1:9" ht="13.5">
      <c r="A12481" s="128">
        <v>2023</v>
      </c>
      <c r="B12481" s="128" t="s">
        <v>139</v>
      </c>
      <c r="C12481" s="128" t="s">
        <v>25</v>
      </c>
      <c r="D12481" s="128" t="s">
        <v>79</v>
      </c>
      <c r="E12481" s="128" t="s">
        <v>135</v>
      </c>
      <c r="F12481" s="128">
        <v>1891894</v>
      </c>
      <c r="G12481" s="128">
        <v>400614.75</v>
      </c>
      <c r="H12481" s="128">
        <v>134953.46</v>
      </c>
      <c r="I12481" s="128">
        <v>1181</v>
      </c>
    </row>
    <row r="12482" spans="1:9" ht="13.5">
      <c r="A12482" s="128">
        <v>2023</v>
      </c>
      <c r="B12482" s="128" t="s">
        <v>139</v>
      </c>
      <c r="C12482" s="128" t="s">
        <v>25</v>
      </c>
      <c r="D12482" s="128" t="s">
        <v>77</v>
      </c>
      <c r="E12482" s="128" t="s">
        <v>132</v>
      </c>
      <c r="F12482" s="128">
        <v>228174.06</v>
      </c>
      <c r="G12482" s="128">
        <v>147125.43</v>
      </c>
      <c r="H12482" s="128">
        <v>72446.75</v>
      </c>
      <c r="I12482" s="128">
        <v>1246</v>
      </c>
    </row>
    <row r="12483" spans="1:9" ht="13.5">
      <c r="A12483" s="128">
        <v>2023</v>
      </c>
      <c r="B12483" s="128" t="s">
        <v>139</v>
      </c>
      <c r="C12483" s="128" t="s">
        <v>25</v>
      </c>
      <c r="D12483" s="128" t="s">
        <v>77</v>
      </c>
      <c r="E12483" s="128" t="s">
        <v>133</v>
      </c>
      <c r="F12483" s="128">
        <v>607051.81999999995</v>
      </c>
      <c r="G12483" s="128">
        <v>322588.05</v>
      </c>
      <c r="H12483" s="128">
        <v>241989.55</v>
      </c>
      <c r="I12483" s="128">
        <v>2229</v>
      </c>
    </row>
    <row r="12484" spans="1:9" ht="13.5">
      <c r="A12484" s="128">
        <v>2023</v>
      </c>
      <c r="B12484" s="128" t="s">
        <v>139</v>
      </c>
      <c r="C12484" s="128" t="s">
        <v>25</v>
      </c>
      <c r="D12484" s="128" t="s">
        <v>77</v>
      </c>
      <c r="E12484" s="128" t="s">
        <v>134</v>
      </c>
      <c r="F12484" s="128">
        <v>2523409.02</v>
      </c>
      <c r="G12484" s="128">
        <v>1084718.18</v>
      </c>
      <c r="H12484" s="128">
        <v>1084873.94</v>
      </c>
      <c r="I12484" s="128">
        <v>3179</v>
      </c>
    </row>
    <row r="12485" spans="1:9" ht="13.5">
      <c r="A12485" s="128">
        <v>2023</v>
      </c>
      <c r="B12485" s="128" t="s">
        <v>139</v>
      </c>
      <c r="C12485" s="128" t="s">
        <v>25</v>
      </c>
      <c r="D12485" s="128" t="s">
        <v>77</v>
      </c>
      <c r="E12485" s="128" t="s">
        <v>135</v>
      </c>
      <c r="F12485" s="128">
        <v>3018377.39</v>
      </c>
      <c r="G12485" s="128">
        <v>803420.87</v>
      </c>
      <c r="H12485" s="128">
        <v>904724.84</v>
      </c>
      <c r="I12485" s="128">
        <v>5771</v>
      </c>
    </row>
    <row r="12486" spans="1:9" ht="13.5">
      <c r="A12486" s="128">
        <v>2023</v>
      </c>
      <c r="B12486" s="128" t="s">
        <v>139</v>
      </c>
      <c r="C12486" s="128" t="s">
        <v>25</v>
      </c>
      <c r="D12486" s="128" t="s">
        <v>76</v>
      </c>
      <c r="E12486" s="128" t="s">
        <v>136</v>
      </c>
      <c r="F12486" s="128">
        <v>1609088.87</v>
      </c>
      <c r="G12486" s="128">
        <v>1208365.71</v>
      </c>
      <c r="H12486" s="128">
        <v>400722.69</v>
      </c>
      <c r="I12486" s="128">
        <v>27921</v>
      </c>
    </row>
    <row r="12487" spans="1:9" ht="13.5">
      <c r="A12487" s="128">
        <v>2023</v>
      </c>
      <c r="B12487" s="128" t="s">
        <v>139</v>
      </c>
      <c r="C12487" s="128" t="s">
        <v>25</v>
      </c>
      <c r="D12487" s="128" t="s">
        <v>76</v>
      </c>
      <c r="E12487" s="128" t="s">
        <v>132</v>
      </c>
      <c r="F12487" s="128">
        <v>2961463.86</v>
      </c>
      <c r="G12487" s="128">
        <v>1863518.15</v>
      </c>
      <c r="H12487" s="128">
        <v>1097943.52</v>
      </c>
      <c r="I12487" s="128">
        <v>20101</v>
      </c>
    </row>
    <row r="12488" spans="1:9" ht="13.5">
      <c r="A12488" s="128">
        <v>2023</v>
      </c>
      <c r="B12488" s="128" t="s">
        <v>139</v>
      </c>
      <c r="C12488" s="128" t="s">
        <v>25</v>
      </c>
      <c r="D12488" s="128" t="s">
        <v>76</v>
      </c>
      <c r="E12488" s="128" t="s">
        <v>133</v>
      </c>
      <c r="F12488" s="128">
        <v>8876198.7699999996</v>
      </c>
      <c r="G12488" s="128">
        <v>4839867.68</v>
      </c>
      <c r="H12488" s="128">
        <v>4036330.57</v>
      </c>
      <c r="I12488" s="128">
        <v>54897</v>
      </c>
    </row>
    <row r="12489" spans="1:9" ht="13.5">
      <c r="A12489" s="128">
        <v>2023</v>
      </c>
      <c r="B12489" s="128" t="s">
        <v>139</v>
      </c>
      <c r="C12489" s="128" t="s">
        <v>25</v>
      </c>
      <c r="D12489" s="128" t="s">
        <v>76</v>
      </c>
      <c r="E12489" s="128" t="s">
        <v>134</v>
      </c>
      <c r="F12489" s="128">
        <v>10738862.289999999</v>
      </c>
      <c r="G12489" s="128">
        <v>4948543.47</v>
      </c>
      <c r="H12489" s="128">
        <v>5790312.3399999999</v>
      </c>
      <c r="I12489" s="128">
        <v>51875</v>
      </c>
    </row>
    <row r="12490" spans="1:9" ht="13.5">
      <c r="A12490" s="128">
        <v>2023</v>
      </c>
      <c r="B12490" s="128" t="s">
        <v>139</v>
      </c>
      <c r="C12490" s="128" t="s">
        <v>25</v>
      </c>
      <c r="D12490" s="128" t="s">
        <v>76</v>
      </c>
      <c r="E12490" s="128" t="s">
        <v>135</v>
      </c>
      <c r="F12490" s="128">
        <v>269729.90000000002</v>
      </c>
      <c r="G12490" s="128">
        <v>75375.3</v>
      </c>
      <c r="H12490" s="128">
        <v>194354.6</v>
      </c>
      <c r="I12490" s="128">
        <v>195</v>
      </c>
    </row>
    <row r="12491" spans="1:9" ht="13.5">
      <c r="A12491" s="128">
        <v>2023</v>
      </c>
      <c r="B12491" s="128" t="s">
        <v>139</v>
      </c>
      <c r="C12491" s="128" t="s">
        <v>26</v>
      </c>
      <c r="D12491" s="128" t="s">
        <v>79</v>
      </c>
      <c r="E12491" s="128" t="s">
        <v>136</v>
      </c>
      <c r="F12491" s="128">
        <v>513235.65</v>
      </c>
      <c r="G12491" s="128">
        <v>375225.45</v>
      </c>
      <c r="H12491" s="128">
        <v>124269.18</v>
      </c>
      <c r="I12491" s="128">
        <v>3847</v>
      </c>
    </row>
    <row r="12492" spans="1:9" ht="13.5">
      <c r="A12492" s="128">
        <v>2023</v>
      </c>
      <c r="B12492" s="128" t="s">
        <v>139</v>
      </c>
      <c r="C12492" s="128" t="s">
        <v>26</v>
      </c>
      <c r="D12492" s="128" t="s">
        <v>79</v>
      </c>
      <c r="E12492" s="128" t="s">
        <v>132</v>
      </c>
      <c r="F12492" s="128">
        <v>61271.44</v>
      </c>
      <c r="G12492" s="128">
        <v>41811.699999999997</v>
      </c>
      <c r="H12492" s="128">
        <v>14304.6</v>
      </c>
      <c r="I12492" s="128">
        <v>174</v>
      </c>
    </row>
    <row r="12493" spans="1:9" ht="13.5">
      <c r="A12493" s="128">
        <v>2023</v>
      </c>
      <c r="B12493" s="128" t="s">
        <v>139</v>
      </c>
      <c r="C12493" s="128" t="s">
        <v>26</v>
      </c>
      <c r="D12493" s="128" t="s">
        <v>79</v>
      </c>
      <c r="E12493" s="128" t="s">
        <v>133</v>
      </c>
      <c r="F12493" s="128">
        <v>72600.22</v>
      </c>
      <c r="G12493" s="128">
        <v>39524.75</v>
      </c>
      <c r="H12493" s="128">
        <v>13140.44</v>
      </c>
      <c r="I12493" s="128">
        <v>186</v>
      </c>
    </row>
    <row r="12494" spans="1:9" ht="13.5">
      <c r="A12494" s="128">
        <v>2023</v>
      </c>
      <c r="B12494" s="128" t="s">
        <v>139</v>
      </c>
      <c r="C12494" s="128" t="s">
        <v>26</v>
      </c>
      <c r="D12494" s="128" t="s">
        <v>79</v>
      </c>
      <c r="E12494" s="128" t="s">
        <v>134</v>
      </c>
      <c r="F12494" s="128">
        <v>365320.39</v>
      </c>
      <c r="G12494" s="128">
        <v>154649.28</v>
      </c>
      <c r="H12494" s="128">
        <v>51244.1</v>
      </c>
      <c r="I12494" s="128">
        <v>1390</v>
      </c>
    </row>
    <row r="12495" spans="1:9" ht="13.5">
      <c r="A12495" s="128">
        <v>2023</v>
      </c>
      <c r="B12495" s="128" t="s">
        <v>139</v>
      </c>
      <c r="C12495" s="128" t="s">
        <v>26</v>
      </c>
      <c r="D12495" s="128" t="s">
        <v>79</v>
      </c>
      <c r="E12495" s="128" t="s">
        <v>135</v>
      </c>
      <c r="F12495" s="128">
        <v>8451365.25</v>
      </c>
      <c r="G12495" s="128">
        <v>1754256.41</v>
      </c>
      <c r="H12495" s="128">
        <v>585112.72</v>
      </c>
      <c r="I12495" s="128">
        <v>6620</v>
      </c>
    </row>
    <row r="12496" spans="1:9" ht="13.5">
      <c r="A12496" s="128">
        <v>2023</v>
      </c>
      <c r="B12496" s="128" t="s">
        <v>139</v>
      </c>
      <c r="C12496" s="128" t="s">
        <v>26</v>
      </c>
      <c r="D12496" s="128" t="s">
        <v>77</v>
      </c>
      <c r="E12496" s="128" t="s">
        <v>132</v>
      </c>
      <c r="F12496" s="128">
        <v>96901.48</v>
      </c>
      <c r="G12496" s="128">
        <v>63784.09</v>
      </c>
      <c r="H12496" s="128">
        <v>30180.25</v>
      </c>
      <c r="I12496" s="128">
        <v>366</v>
      </c>
    </row>
    <row r="12497" spans="1:9" ht="13.5">
      <c r="A12497" s="128">
        <v>2023</v>
      </c>
      <c r="B12497" s="128" t="s">
        <v>139</v>
      </c>
      <c r="C12497" s="128" t="s">
        <v>26</v>
      </c>
      <c r="D12497" s="128" t="s">
        <v>77</v>
      </c>
      <c r="E12497" s="128" t="s">
        <v>133</v>
      </c>
      <c r="F12497" s="128">
        <v>144398.46</v>
      </c>
      <c r="G12497" s="128">
        <v>77126.490000000005</v>
      </c>
      <c r="H12497" s="128">
        <v>58712.04</v>
      </c>
      <c r="I12497" s="128">
        <v>405</v>
      </c>
    </row>
    <row r="12498" spans="1:9" ht="13.5">
      <c r="A12498" s="128">
        <v>2023</v>
      </c>
      <c r="B12498" s="128" t="s">
        <v>139</v>
      </c>
      <c r="C12498" s="128" t="s">
        <v>26</v>
      </c>
      <c r="D12498" s="128" t="s">
        <v>77</v>
      </c>
      <c r="E12498" s="128" t="s">
        <v>134</v>
      </c>
      <c r="F12498" s="128">
        <v>717655.45</v>
      </c>
      <c r="G12498" s="128">
        <v>308060.59999999998</v>
      </c>
      <c r="H12498" s="128">
        <v>292975.56</v>
      </c>
      <c r="I12498" s="128">
        <v>1446</v>
      </c>
    </row>
    <row r="12499" spans="1:9" ht="13.5">
      <c r="A12499" s="128">
        <v>2023</v>
      </c>
      <c r="B12499" s="128" t="s">
        <v>139</v>
      </c>
      <c r="C12499" s="128" t="s">
        <v>26</v>
      </c>
      <c r="D12499" s="128" t="s">
        <v>77</v>
      </c>
      <c r="E12499" s="128" t="s">
        <v>135</v>
      </c>
      <c r="F12499" s="128">
        <v>3747692.71</v>
      </c>
      <c r="G12499" s="128">
        <v>976100.47</v>
      </c>
      <c r="H12499" s="128">
        <v>1012941.11</v>
      </c>
      <c r="I12499" s="128">
        <v>12763</v>
      </c>
    </row>
    <row r="12500" spans="1:9" ht="13.5">
      <c r="A12500" s="128">
        <v>2023</v>
      </c>
      <c r="B12500" s="128" t="s">
        <v>139</v>
      </c>
      <c r="C12500" s="128" t="s">
        <v>26</v>
      </c>
      <c r="D12500" s="128" t="s">
        <v>76</v>
      </c>
      <c r="E12500" s="128" t="s">
        <v>136</v>
      </c>
      <c r="F12500" s="128">
        <v>296175.26</v>
      </c>
      <c r="G12500" s="128">
        <v>222410.72</v>
      </c>
      <c r="H12500" s="128">
        <v>73764.539999999994</v>
      </c>
      <c r="I12500" s="128">
        <v>6188</v>
      </c>
    </row>
    <row r="12501" spans="1:9" ht="13.5">
      <c r="A12501" s="128">
        <v>2023</v>
      </c>
      <c r="B12501" s="128" t="s">
        <v>139</v>
      </c>
      <c r="C12501" s="128" t="s">
        <v>26</v>
      </c>
      <c r="D12501" s="128" t="s">
        <v>76</v>
      </c>
      <c r="E12501" s="128" t="s">
        <v>132</v>
      </c>
      <c r="F12501" s="128">
        <v>1546516.59</v>
      </c>
      <c r="G12501" s="128">
        <v>985246.27</v>
      </c>
      <c r="H12501" s="128">
        <v>561266.31999999995</v>
      </c>
      <c r="I12501" s="128">
        <v>11555</v>
      </c>
    </row>
    <row r="12502" spans="1:9" ht="13.5">
      <c r="A12502" s="128">
        <v>2023</v>
      </c>
      <c r="B12502" s="128" t="s">
        <v>139</v>
      </c>
      <c r="C12502" s="128" t="s">
        <v>26</v>
      </c>
      <c r="D12502" s="128" t="s">
        <v>76</v>
      </c>
      <c r="E12502" s="128" t="s">
        <v>133</v>
      </c>
      <c r="F12502" s="128">
        <v>3860723.88</v>
      </c>
      <c r="G12502" s="128">
        <v>2135441.29</v>
      </c>
      <c r="H12502" s="128">
        <v>1725277.23</v>
      </c>
      <c r="I12502" s="128">
        <v>31347</v>
      </c>
    </row>
    <row r="12503" spans="1:9" ht="13.5">
      <c r="A12503" s="128">
        <v>2023</v>
      </c>
      <c r="B12503" s="128" t="s">
        <v>139</v>
      </c>
      <c r="C12503" s="128" t="s">
        <v>26</v>
      </c>
      <c r="D12503" s="128" t="s">
        <v>76</v>
      </c>
      <c r="E12503" s="128" t="s">
        <v>134</v>
      </c>
      <c r="F12503" s="128">
        <v>3060461.7</v>
      </c>
      <c r="G12503" s="128">
        <v>1407540.2</v>
      </c>
      <c r="H12503" s="128">
        <v>1652907.78</v>
      </c>
      <c r="I12503" s="128">
        <v>17415</v>
      </c>
    </row>
    <row r="12504" spans="1:9" ht="13.5">
      <c r="A12504" s="128">
        <v>2023</v>
      </c>
      <c r="B12504" s="128" t="s">
        <v>139</v>
      </c>
      <c r="C12504" s="128" t="s">
        <v>26</v>
      </c>
      <c r="D12504" s="128" t="s">
        <v>76</v>
      </c>
      <c r="E12504" s="128" t="s">
        <v>135</v>
      </c>
      <c r="F12504" s="128">
        <v>162979.23000000001</v>
      </c>
      <c r="G12504" s="128">
        <v>40068.49</v>
      </c>
      <c r="H12504" s="128">
        <v>122910.74</v>
      </c>
      <c r="I12504" s="128">
        <v>205</v>
      </c>
    </row>
    <row r="12505" spans="1:9" ht="13.5">
      <c r="A12505" s="128">
        <v>2023</v>
      </c>
      <c r="B12505" s="128" t="s">
        <v>139</v>
      </c>
      <c r="C12505" s="128" t="s">
        <v>27</v>
      </c>
      <c r="D12505" s="128" t="s">
        <v>79</v>
      </c>
      <c r="E12505" s="128" t="s">
        <v>136</v>
      </c>
      <c r="F12505" s="128">
        <v>254496.17</v>
      </c>
      <c r="G12505" s="128">
        <v>194197.92</v>
      </c>
      <c r="H12505" s="128">
        <v>56698.25</v>
      </c>
      <c r="I12505" s="128">
        <v>1227</v>
      </c>
    </row>
    <row r="12506" spans="1:9" ht="13.5">
      <c r="A12506" s="128">
        <v>2023</v>
      </c>
      <c r="B12506" s="128" t="s">
        <v>139</v>
      </c>
      <c r="C12506" s="128" t="s">
        <v>27</v>
      </c>
      <c r="D12506" s="128" t="s">
        <v>79</v>
      </c>
      <c r="E12506" s="128" t="s">
        <v>132</v>
      </c>
      <c r="F12506" s="128">
        <v>14686.65</v>
      </c>
      <c r="G12506" s="128">
        <v>9966.75</v>
      </c>
      <c r="H12506" s="128">
        <v>3321.9</v>
      </c>
      <c r="I12506" s="128">
        <v>34</v>
      </c>
    </row>
    <row r="12507" spans="1:9" ht="13.5">
      <c r="A12507" s="128">
        <v>2023</v>
      </c>
      <c r="B12507" s="128" t="s">
        <v>139</v>
      </c>
      <c r="C12507" s="128" t="s">
        <v>27</v>
      </c>
      <c r="D12507" s="128" t="s">
        <v>79</v>
      </c>
      <c r="E12507" s="128" t="s">
        <v>133</v>
      </c>
      <c r="F12507" s="128">
        <v>25612.31</v>
      </c>
      <c r="G12507" s="128">
        <v>13649.76</v>
      </c>
      <c r="H12507" s="128">
        <v>4633.55</v>
      </c>
      <c r="I12507" s="128">
        <v>50</v>
      </c>
    </row>
    <row r="12508" spans="1:9" ht="13.5">
      <c r="A12508" s="128">
        <v>2023</v>
      </c>
      <c r="B12508" s="128" t="s">
        <v>139</v>
      </c>
      <c r="C12508" s="128" t="s">
        <v>27</v>
      </c>
      <c r="D12508" s="128" t="s">
        <v>79</v>
      </c>
      <c r="E12508" s="128" t="s">
        <v>134</v>
      </c>
      <c r="F12508" s="128">
        <v>64895.93</v>
      </c>
      <c r="G12508" s="128">
        <v>28435.03</v>
      </c>
      <c r="H12508" s="128">
        <v>9621.9</v>
      </c>
      <c r="I12508" s="128">
        <v>211</v>
      </c>
    </row>
    <row r="12509" spans="1:9" ht="13.5">
      <c r="A12509" s="128">
        <v>2023</v>
      </c>
      <c r="B12509" s="128" t="s">
        <v>139</v>
      </c>
      <c r="C12509" s="128" t="s">
        <v>27</v>
      </c>
      <c r="D12509" s="128" t="s">
        <v>79</v>
      </c>
      <c r="E12509" s="128" t="s">
        <v>135</v>
      </c>
      <c r="F12509" s="128">
        <v>1474493.98</v>
      </c>
      <c r="G12509" s="128">
        <v>330441.12</v>
      </c>
      <c r="H12509" s="128">
        <v>111323.04</v>
      </c>
      <c r="I12509" s="128">
        <v>890</v>
      </c>
    </row>
    <row r="12510" spans="1:9" ht="13.5">
      <c r="A12510" s="128">
        <v>2023</v>
      </c>
      <c r="B12510" s="128" t="s">
        <v>139</v>
      </c>
      <c r="C12510" s="128" t="s">
        <v>27</v>
      </c>
      <c r="D12510" s="128" t="s">
        <v>77</v>
      </c>
      <c r="E12510" s="128" t="s">
        <v>132</v>
      </c>
      <c r="F12510" s="128">
        <v>18278.55</v>
      </c>
      <c r="G12510" s="128">
        <v>11890.58</v>
      </c>
      <c r="H12510" s="128">
        <v>5153.79</v>
      </c>
      <c r="I12510" s="128">
        <v>96</v>
      </c>
    </row>
    <row r="12511" spans="1:9" ht="13.5">
      <c r="A12511" s="128">
        <v>2023</v>
      </c>
      <c r="B12511" s="128" t="s">
        <v>139</v>
      </c>
      <c r="C12511" s="128" t="s">
        <v>27</v>
      </c>
      <c r="D12511" s="128" t="s">
        <v>77</v>
      </c>
      <c r="E12511" s="128" t="s">
        <v>133</v>
      </c>
      <c r="F12511" s="128">
        <v>68002.740000000005</v>
      </c>
      <c r="G12511" s="128">
        <v>35857.800000000003</v>
      </c>
      <c r="H12511" s="128">
        <v>26652.17</v>
      </c>
      <c r="I12511" s="128">
        <v>192</v>
      </c>
    </row>
    <row r="12512" spans="1:9" ht="13.5">
      <c r="A12512" s="128">
        <v>2023</v>
      </c>
      <c r="B12512" s="128" t="s">
        <v>139</v>
      </c>
      <c r="C12512" s="128" t="s">
        <v>27</v>
      </c>
      <c r="D12512" s="128" t="s">
        <v>77</v>
      </c>
      <c r="E12512" s="128" t="s">
        <v>134</v>
      </c>
      <c r="F12512" s="128">
        <v>254563.1</v>
      </c>
      <c r="G12512" s="128">
        <v>109772.59</v>
      </c>
      <c r="H12512" s="128">
        <v>107051.02</v>
      </c>
      <c r="I12512" s="128">
        <v>351</v>
      </c>
    </row>
    <row r="12513" spans="1:9" ht="13.5">
      <c r="A12513" s="128">
        <v>2023</v>
      </c>
      <c r="B12513" s="128" t="s">
        <v>139</v>
      </c>
      <c r="C12513" s="128" t="s">
        <v>27</v>
      </c>
      <c r="D12513" s="128" t="s">
        <v>77</v>
      </c>
      <c r="E12513" s="128" t="s">
        <v>135</v>
      </c>
      <c r="F12513" s="128">
        <v>641252.74</v>
      </c>
      <c r="G12513" s="128">
        <v>174616.72</v>
      </c>
      <c r="H12513" s="128">
        <v>194076.88</v>
      </c>
      <c r="I12513" s="128">
        <v>2155</v>
      </c>
    </row>
    <row r="12514" spans="1:9" ht="13.5">
      <c r="A12514" s="128">
        <v>2023</v>
      </c>
      <c r="B12514" s="128" t="s">
        <v>139</v>
      </c>
      <c r="C12514" s="128" t="s">
        <v>27</v>
      </c>
      <c r="D12514" s="128" t="s">
        <v>76</v>
      </c>
      <c r="E12514" s="128" t="s">
        <v>136</v>
      </c>
      <c r="F12514" s="128">
        <v>399580.66</v>
      </c>
      <c r="G12514" s="128">
        <v>299846.96000000002</v>
      </c>
      <c r="H12514" s="128">
        <v>99733.7</v>
      </c>
      <c r="I12514" s="128">
        <v>5582</v>
      </c>
    </row>
    <row r="12515" spans="1:9" ht="13.5">
      <c r="A12515" s="128">
        <v>2023</v>
      </c>
      <c r="B12515" s="128" t="s">
        <v>139</v>
      </c>
      <c r="C12515" s="128" t="s">
        <v>27</v>
      </c>
      <c r="D12515" s="128" t="s">
        <v>76</v>
      </c>
      <c r="E12515" s="128" t="s">
        <v>132</v>
      </c>
      <c r="F12515" s="128">
        <v>572235.26</v>
      </c>
      <c r="G12515" s="128">
        <v>363226.1</v>
      </c>
      <c r="H12515" s="128">
        <v>209005.92</v>
      </c>
      <c r="I12515" s="128">
        <v>4020</v>
      </c>
    </row>
    <row r="12516" spans="1:9" ht="13.5">
      <c r="A12516" s="128">
        <v>2023</v>
      </c>
      <c r="B12516" s="128" t="s">
        <v>139</v>
      </c>
      <c r="C12516" s="128" t="s">
        <v>27</v>
      </c>
      <c r="D12516" s="128" t="s">
        <v>76</v>
      </c>
      <c r="E12516" s="128" t="s">
        <v>133</v>
      </c>
      <c r="F12516" s="128">
        <v>1443948.01</v>
      </c>
      <c r="G12516" s="128">
        <v>785127.2</v>
      </c>
      <c r="H12516" s="128">
        <v>658818.66</v>
      </c>
      <c r="I12516" s="128">
        <v>6198</v>
      </c>
    </row>
    <row r="12517" spans="1:9" ht="13.5">
      <c r="A12517" s="128">
        <v>2023</v>
      </c>
      <c r="B12517" s="128" t="s">
        <v>139</v>
      </c>
      <c r="C12517" s="128" t="s">
        <v>27</v>
      </c>
      <c r="D12517" s="128" t="s">
        <v>76</v>
      </c>
      <c r="E12517" s="128" t="s">
        <v>134</v>
      </c>
      <c r="F12517" s="128">
        <v>1452990.91</v>
      </c>
      <c r="G12517" s="128">
        <v>671421.15</v>
      </c>
      <c r="H12517" s="128">
        <v>781565.35</v>
      </c>
      <c r="I12517" s="128">
        <v>7836</v>
      </c>
    </row>
    <row r="12518" spans="1:9" ht="13.5">
      <c r="A12518" s="128">
        <v>2023</v>
      </c>
      <c r="B12518" s="128" t="s">
        <v>139</v>
      </c>
      <c r="C12518" s="128" t="s">
        <v>27</v>
      </c>
      <c r="D12518" s="128" t="s">
        <v>76</v>
      </c>
      <c r="E12518" s="128" t="s">
        <v>135</v>
      </c>
      <c r="F12518" s="128">
        <v>49433.2</v>
      </c>
      <c r="G12518" s="128">
        <v>16494.150000000001</v>
      </c>
      <c r="H12518" s="128">
        <v>32939.050000000003</v>
      </c>
      <c r="I12518" s="128">
        <v>66</v>
      </c>
    </row>
    <row r="12519" spans="1:9" ht="13.5">
      <c r="A12519" s="128">
        <v>2023</v>
      </c>
      <c r="B12519" s="128" t="s">
        <v>137</v>
      </c>
      <c r="C12519" s="128" t="s">
        <v>20</v>
      </c>
      <c r="D12519" s="128" t="s">
        <v>79</v>
      </c>
      <c r="E12519" s="128" t="s">
        <v>136</v>
      </c>
      <c r="F12519" s="128">
        <v>34338991.670000002</v>
      </c>
      <c r="G12519" s="128">
        <v>25638261.899999999</v>
      </c>
      <c r="H12519" s="128">
        <v>8654211.9700000007</v>
      </c>
      <c r="I12519" s="128">
        <v>255908</v>
      </c>
    </row>
    <row r="12520" spans="1:9" ht="13.5">
      <c r="A12520" s="128">
        <v>2023</v>
      </c>
      <c r="B12520" s="128" t="s">
        <v>137</v>
      </c>
      <c r="C12520" s="128" t="s">
        <v>20</v>
      </c>
      <c r="D12520" s="128" t="s">
        <v>79</v>
      </c>
      <c r="E12520" s="128" t="s">
        <v>132</v>
      </c>
      <c r="F12520" s="128">
        <v>2974773.84</v>
      </c>
      <c r="G12520" s="128">
        <v>1996453.09</v>
      </c>
      <c r="H12520" s="128">
        <v>688129.68</v>
      </c>
      <c r="I12520" s="128">
        <v>10658</v>
      </c>
    </row>
    <row r="12521" spans="1:9" ht="13.5">
      <c r="A12521" s="128">
        <v>2023</v>
      </c>
      <c r="B12521" s="128" t="s">
        <v>137</v>
      </c>
      <c r="C12521" s="128" t="s">
        <v>20</v>
      </c>
      <c r="D12521" s="128" t="s">
        <v>79</v>
      </c>
      <c r="E12521" s="128" t="s">
        <v>133</v>
      </c>
      <c r="F12521" s="128">
        <v>2326748.56</v>
      </c>
      <c r="G12521" s="128">
        <v>1256459.25</v>
      </c>
      <c r="H12521" s="128">
        <v>433349.86</v>
      </c>
      <c r="I12521" s="128">
        <v>5256</v>
      </c>
    </row>
    <row r="12522" spans="1:9" ht="13.5">
      <c r="A12522" s="128">
        <v>2023</v>
      </c>
      <c r="B12522" s="128" t="s">
        <v>137</v>
      </c>
      <c r="C12522" s="128" t="s">
        <v>20</v>
      </c>
      <c r="D12522" s="128" t="s">
        <v>79</v>
      </c>
      <c r="E12522" s="128" t="s">
        <v>134</v>
      </c>
      <c r="F12522" s="128">
        <v>7287163.3899999997</v>
      </c>
      <c r="G12522" s="128">
        <v>3117572.01</v>
      </c>
      <c r="H12522" s="128">
        <v>1075901.78</v>
      </c>
      <c r="I12522" s="128">
        <v>17699</v>
      </c>
    </row>
    <row r="12523" spans="1:9" ht="13.5">
      <c r="A12523" s="128">
        <v>2023</v>
      </c>
      <c r="B12523" s="128" t="s">
        <v>137</v>
      </c>
      <c r="C12523" s="128" t="s">
        <v>20</v>
      </c>
      <c r="D12523" s="128" t="s">
        <v>79</v>
      </c>
      <c r="E12523" s="128" t="s">
        <v>135</v>
      </c>
      <c r="F12523" s="128">
        <v>114446810.11</v>
      </c>
      <c r="G12523" s="128">
        <v>24116267.77</v>
      </c>
      <c r="H12523" s="128">
        <v>8174068.3600000003</v>
      </c>
      <c r="I12523" s="128">
        <v>89272</v>
      </c>
    </row>
    <row r="12524" spans="1:9" ht="13.5">
      <c r="A12524" s="128">
        <v>2023</v>
      </c>
      <c r="B12524" s="128" t="s">
        <v>137</v>
      </c>
      <c r="C12524" s="128" t="s">
        <v>20</v>
      </c>
      <c r="D12524" s="128" t="s">
        <v>77</v>
      </c>
      <c r="E12524" s="128" t="s">
        <v>132</v>
      </c>
      <c r="F12524" s="128">
        <v>3231247.24</v>
      </c>
      <c r="G12524" s="128">
        <v>2102757.4900000002</v>
      </c>
      <c r="H12524" s="128">
        <v>973132.39</v>
      </c>
      <c r="I12524" s="128">
        <v>14584</v>
      </c>
    </row>
    <row r="12525" spans="1:9" ht="13.5">
      <c r="A12525" s="128">
        <v>2023</v>
      </c>
      <c r="B12525" s="128" t="s">
        <v>137</v>
      </c>
      <c r="C12525" s="128" t="s">
        <v>20</v>
      </c>
      <c r="D12525" s="128" t="s">
        <v>77</v>
      </c>
      <c r="E12525" s="128" t="s">
        <v>133</v>
      </c>
      <c r="F12525" s="128">
        <v>6696481.4299999997</v>
      </c>
      <c r="G12525" s="128">
        <v>3574248.25</v>
      </c>
      <c r="H12525" s="128">
        <v>2742463.58</v>
      </c>
      <c r="I12525" s="128">
        <v>20565</v>
      </c>
    </row>
    <row r="12526" spans="1:9" ht="13.5">
      <c r="A12526" s="128">
        <v>2023</v>
      </c>
      <c r="B12526" s="128" t="s">
        <v>137</v>
      </c>
      <c r="C12526" s="128" t="s">
        <v>20</v>
      </c>
      <c r="D12526" s="128" t="s">
        <v>77</v>
      </c>
      <c r="E12526" s="128" t="s">
        <v>134</v>
      </c>
      <c r="F12526" s="128">
        <v>21319622.23</v>
      </c>
      <c r="G12526" s="128">
        <v>9195875.0600000005</v>
      </c>
      <c r="H12526" s="128">
        <v>9110684.9399999995</v>
      </c>
      <c r="I12526" s="128">
        <v>35981</v>
      </c>
    </row>
    <row r="12527" spans="1:9" ht="13.5">
      <c r="A12527" s="128">
        <v>2023</v>
      </c>
      <c r="B12527" s="128" t="s">
        <v>137</v>
      </c>
      <c r="C12527" s="128" t="s">
        <v>20</v>
      </c>
      <c r="D12527" s="128" t="s">
        <v>77</v>
      </c>
      <c r="E12527" s="128" t="s">
        <v>135</v>
      </c>
      <c r="F12527" s="128">
        <v>56251525.880000003</v>
      </c>
      <c r="G12527" s="128">
        <v>14637114.02</v>
      </c>
      <c r="H12527" s="128">
        <v>16439372.98</v>
      </c>
      <c r="I12527" s="128">
        <v>181719</v>
      </c>
    </row>
    <row r="12528" spans="1:9" ht="13.5">
      <c r="A12528" s="128">
        <v>2023</v>
      </c>
      <c r="B12528" s="128" t="s">
        <v>137</v>
      </c>
      <c r="C12528" s="128" t="s">
        <v>20</v>
      </c>
      <c r="D12528" s="128" t="s">
        <v>76</v>
      </c>
      <c r="E12528" s="128" t="s">
        <v>136</v>
      </c>
      <c r="F12528" s="128">
        <v>29294783.449999999</v>
      </c>
      <c r="G12528" s="128">
        <v>22073643.559999999</v>
      </c>
      <c r="H12528" s="128">
        <v>7221204.9400000004</v>
      </c>
      <c r="I12528" s="128">
        <v>950445</v>
      </c>
    </row>
    <row r="12529" spans="1:9" ht="13.5">
      <c r="A12529" s="128">
        <v>2023</v>
      </c>
      <c r="B12529" s="128" t="s">
        <v>137</v>
      </c>
      <c r="C12529" s="128" t="s">
        <v>20</v>
      </c>
      <c r="D12529" s="128" t="s">
        <v>76</v>
      </c>
      <c r="E12529" s="128" t="s">
        <v>132</v>
      </c>
      <c r="F12529" s="128">
        <v>64344344.740000002</v>
      </c>
      <c r="G12529" s="128">
        <v>41121995.880000003</v>
      </c>
      <c r="H12529" s="128">
        <v>23221647.690000001</v>
      </c>
      <c r="I12529" s="128">
        <v>503483</v>
      </c>
    </row>
    <row r="12530" spans="1:9" ht="13.5">
      <c r="A12530" s="128">
        <v>2023</v>
      </c>
      <c r="B12530" s="128" t="s">
        <v>137</v>
      </c>
      <c r="C12530" s="128" t="s">
        <v>20</v>
      </c>
      <c r="D12530" s="128" t="s">
        <v>76</v>
      </c>
      <c r="E12530" s="128" t="s">
        <v>133</v>
      </c>
      <c r="F12530" s="128">
        <v>123528196.47</v>
      </c>
      <c r="G12530" s="128">
        <v>67851786.420000002</v>
      </c>
      <c r="H12530" s="128">
        <v>55676332.399999999</v>
      </c>
      <c r="I12530" s="128">
        <v>657034</v>
      </c>
    </row>
    <row r="12531" spans="1:9" ht="13.5">
      <c r="A12531" s="128">
        <v>2023</v>
      </c>
      <c r="B12531" s="128" t="s">
        <v>137</v>
      </c>
      <c r="C12531" s="128" t="s">
        <v>20</v>
      </c>
      <c r="D12531" s="128" t="s">
        <v>76</v>
      </c>
      <c r="E12531" s="128" t="s">
        <v>134</v>
      </c>
      <c r="F12531" s="128">
        <v>118956595.94</v>
      </c>
      <c r="G12531" s="128">
        <v>54680696.560000002</v>
      </c>
      <c r="H12531" s="128">
        <v>64275762.259999998</v>
      </c>
      <c r="I12531" s="128">
        <v>667868</v>
      </c>
    </row>
    <row r="12532" spans="1:9" ht="13.5">
      <c r="A12532" s="128">
        <v>2023</v>
      </c>
      <c r="B12532" s="128" t="s">
        <v>137</v>
      </c>
      <c r="C12532" s="128" t="s">
        <v>20</v>
      </c>
      <c r="D12532" s="128" t="s">
        <v>76</v>
      </c>
      <c r="E12532" s="128" t="s">
        <v>135</v>
      </c>
      <c r="F12532" s="128">
        <v>6260209.0999999996</v>
      </c>
      <c r="G12532" s="128">
        <v>1855296.82</v>
      </c>
      <c r="H12532" s="128">
        <v>4404912.26</v>
      </c>
      <c r="I12532" s="128">
        <v>5930</v>
      </c>
    </row>
    <row r="12533" spans="1:9" ht="13.5">
      <c r="A12533" s="128">
        <v>2023</v>
      </c>
      <c r="B12533" s="128" t="s">
        <v>137</v>
      </c>
      <c r="C12533" s="128" t="s">
        <v>21</v>
      </c>
      <c r="D12533" s="128" t="s">
        <v>79</v>
      </c>
      <c r="E12533" s="128" t="s">
        <v>136</v>
      </c>
      <c r="F12533" s="128">
        <v>6211826.04</v>
      </c>
      <c r="G12533" s="128">
        <v>4658716.7300000004</v>
      </c>
      <c r="H12533" s="128">
        <v>1529327.9</v>
      </c>
      <c r="I12533" s="128">
        <v>121556</v>
      </c>
    </row>
    <row r="12534" spans="1:9" ht="13.5">
      <c r="A12534" s="128">
        <v>2023</v>
      </c>
      <c r="B12534" s="128" t="s">
        <v>137</v>
      </c>
      <c r="C12534" s="128" t="s">
        <v>21</v>
      </c>
      <c r="D12534" s="128" t="s">
        <v>79</v>
      </c>
      <c r="E12534" s="128" t="s">
        <v>132</v>
      </c>
      <c r="F12534" s="128">
        <v>1148686.3700000001</v>
      </c>
      <c r="G12534" s="128">
        <v>761180.63</v>
      </c>
      <c r="H12534" s="128">
        <v>251717.92</v>
      </c>
      <c r="I12534" s="128">
        <v>3089</v>
      </c>
    </row>
    <row r="12535" spans="1:9" ht="13.5">
      <c r="A12535" s="128">
        <v>2023</v>
      </c>
      <c r="B12535" s="128" t="s">
        <v>137</v>
      </c>
      <c r="C12535" s="128" t="s">
        <v>21</v>
      </c>
      <c r="D12535" s="128" t="s">
        <v>79</v>
      </c>
      <c r="E12535" s="128" t="s">
        <v>133</v>
      </c>
      <c r="F12535" s="128">
        <v>1579952.14</v>
      </c>
      <c r="G12535" s="128">
        <v>849648.95</v>
      </c>
      <c r="H12535" s="128">
        <v>282980.98</v>
      </c>
      <c r="I12535" s="128">
        <v>6507</v>
      </c>
    </row>
    <row r="12536" spans="1:9" ht="13.5">
      <c r="A12536" s="128">
        <v>2023</v>
      </c>
      <c r="B12536" s="128" t="s">
        <v>137</v>
      </c>
      <c r="C12536" s="128" t="s">
        <v>21</v>
      </c>
      <c r="D12536" s="128" t="s">
        <v>79</v>
      </c>
      <c r="E12536" s="128" t="s">
        <v>134</v>
      </c>
      <c r="F12536" s="128">
        <v>4403824.8</v>
      </c>
      <c r="G12536" s="128">
        <v>1925247.83</v>
      </c>
      <c r="H12536" s="128">
        <v>648130.11</v>
      </c>
      <c r="I12536" s="128">
        <v>13036</v>
      </c>
    </row>
    <row r="12537" spans="1:9" ht="13.5">
      <c r="A12537" s="128">
        <v>2023</v>
      </c>
      <c r="B12537" s="128" t="s">
        <v>137</v>
      </c>
      <c r="C12537" s="128" t="s">
        <v>21</v>
      </c>
      <c r="D12537" s="128" t="s">
        <v>79</v>
      </c>
      <c r="E12537" s="128" t="s">
        <v>135</v>
      </c>
      <c r="F12537" s="128">
        <v>42526283.979999997</v>
      </c>
      <c r="G12537" s="128">
        <v>9309897.7100000009</v>
      </c>
      <c r="H12537" s="128">
        <v>3123907.46</v>
      </c>
      <c r="I12537" s="128">
        <v>34396</v>
      </c>
    </row>
    <row r="12538" spans="1:9" ht="13.5">
      <c r="A12538" s="128">
        <v>2023</v>
      </c>
      <c r="B12538" s="128" t="s">
        <v>137</v>
      </c>
      <c r="C12538" s="128" t="s">
        <v>21</v>
      </c>
      <c r="D12538" s="128" t="s">
        <v>77</v>
      </c>
      <c r="E12538" s="128" t="s">
        <v>132</v>
      </c>
      <c r="F12538" s="128">
        <v>2880211.1</v>
      </c>
      <c r="G12538" s="128">
        <v>1858026.53</v>
      </c>
      <c r="H12538" s="128">
        <v>851110.06</v>
      </c>
      <c r="I12538" s="128">
        <v>16218</v>
      </c>
    </row>
    <row r="12539" spans="1:9" ht="13.5">
      <c r="A12539" s="128">
        <v>2023</v>
      </c>
      <c r="B12539" s="128" t="s">
        <v>137</v>
      </c>
      <c r="C12539" s="128" t="s">
        <v>21</v>
      </c>
      <c r="D12539" s="128" t="s">
        <v>77</v>
      </c>
      <c r="E12539" s="128" t="s">
        <v>133</v>
      </c>
      <c r="F12539" s="128">
        <v>9382743.8499999996</v>
      </c>
      <c r="G12539" s="128">
        <v>5052691.83</v>
      </c>
      <c r="H12539" s="128">
        <v>3620294.01</v>
      </c>
      <c r="I12539" s="128">
        <v>31180</v>
      </c>
    </row>
    <row r="12540" spans="1:9" ht="13.5">
      <c r="A12540" s="128">
        <v>2023</v>
      </c>
      <c r="B12540" s="128" t="s">
        <v>137</v>
      </c>
      <c r="C12540" s="128" t="s">
        <v>21</v>
      </c>
      <c r="D12540" s="128" t="s">
        <v>77</v>
      </c>
      <c r="E12540" s="128" t="s">
        <v>134</v>
      </c>
      <c r="F12540" s="128">
        <v>23685893.940000001</v>
      </c>
      <c r="G12540" s="128">
        <v>10194502.130000001</v>
      </c>
      <c r="H12540" s="128">
        <v>9550507.5800000001</v>
      </c>
      <c r="I12540" s="128">
        <v>39193</v>
      </c>
    </row>
    <row r="12541" spans="1:9" ht="13.5">
      <c r="A12541" s="128">
        <v>2023</v>
      </c>
      <c r="B12541" s="128" t="s">
        <v>137</v>
      </c>
      <c r="C12541" s="128" t="s">
        <v>21</v>
      </c>
      <c r="D12541" s="128" t="s">
        <v>77</v>
      </c>
      <c r="E12541" s="128" t="s">
        <v>135</v>
      </c>
      <c r="F12541" s="128">
        <v>56696198.490000002</v>
      </c>
      <c r="G12541" s="128">
        <v>14858338.130000001</v>
      </c>
      <c r="H12541" s="128">
        <v>15878200.74</v>
      </c>
      <c r="I12541" s="128">
        <v>190025</v>
      </c>
    </row>
    <row r="12542" spans="1:9" ht="13.5">
      <c r="A12542" s="128">
        <v>2023</v>
      </c>
      <c r="B12542" s="128" t="s">
        <v>137</v>
      </c>
      <c r="C12542" s="128" t="s">
        <v>21</v>
      </c>
      <c r="D12542" s="128" t="s">
        <v>76</v>
      </c>
      <c r="E12542" s="128" t="s">
        <v>136</v>
      </c>
      <c r="F12542" s="128">
        <v>24099713.420000002</v>
      </c>
      <c r="G12542" s="128">
        <v>18149155.690000001</v>
      </c>
      <c r="H12542" s="128">
        <v>5950660.3899999997</v>
      </c>
      <c r="I12542" s="128">
        <v>431961</v>
      </c>
    </row>
    <row r="12543" spans="1:9" ht="13.5">
      <c r="A12543" s="128">
        <v>2023</v>
      </c>
      <c r="B12543" s="128" t="s">
        <v>137</v>
      </c>
      <c r="C12543" s="128" t="s">
        <v>21</v>
      </c>
      <c r="D12543" s="128" t="s">
        <v>76</v>
      </c>
      <c r="E12543" s="128" t="s">
        <v>132</v>
      </c>
      <c r="F12543" s="128">
        <v>66870004.090000004</v>
      </c>
      <c r="G12543" s="128">
        <v>42673183.799999997</v>
      </c>
      <c r="H12543" s="128">
        <v>24196622.850000001</v>
      </c>
      <c r="I12543" s="128">
        <v>528634</v>
      </c>
    </row>
    <row r="12544" spans="1:9" ht="13.5">
      <c r="A12544" s="128">
        <v>2023</v>
      </c>
      <c r="B12544" s="128" t="s">
        <v>137</v>
      </c>
      <c r="C12544" s="128" t="s">
        <v>21</v>
      </c>
      <c r="D12544" s="128" t="s">
        <v>76</v>
      </c>
      <c r="E12544" s="128" t="s">
        <v>133</v>
      </c>
      <c r="F12544" s="128">
        <v>125231228.83</v>
      </c>
      <c r="G12544" s="128">
        <v>68875835.890000001</v>
      </c>
      <c r="H12544" s="128">
        <v>56355574.57</v>
      </c>
      <c r="I12544" s="128">
        <v>733057</v>
      </c>
    </row>
    <row r="12545" spans="1:9" ht="13.5">
      <c r="A12545" s="128">
        <v>2023</v>
      </c>
      <c r="B12545" s="128" t="s">
        <v>137</v>
      </c>
      <c r="C12545" s="128" t="s">
        <v>21</v>
      </c>
      <c r="D12545" s="128" t="s">
        <v>76</v>
      </c>
      <c r="E12545" s="128" t="s">
        <v>134</v>
      </c>
      <c r="F12545" s="128">
        <v>81872798.670000002</v>
      </c>
      <c r="G12545" s="128">
        <v>37788099.350000001</v>
      </c>
      <c r="H12545" s="128">
        <v>44084652.780000001</v>
      </c>
      <c r="I12545" s="128">
        <v>519587</v>
      </c>
    </row>
    <row r="12546" spans="1:9" ht="13.5">
      <c r="A12546" s="128">
        <v>2023</v>
      </c>
      <c r="B12546" s="128" t="s">
        <v>137</v>
      </c>
      <c r="C12546" s="128" t="s">
        <v>21</v>
      </c>
      <c r="D12546" s="128" t="s">
        <v>76</v>
      </c>
      <c r="E12546" s="128" t="s">
        <v>135</v>
      </c>
      <c r="F12546" s="128">
        <v>2809555.34</v>
      </c>
      <c r="G12546" s="128">
        <v>802519.48</v>
      </c>
      <c r="H12546" s="128">
        <v>2007035.86</v>
      </c>
      <c r="I12546" s="128">
        <v>2558</v>
      </c>
    </row>
    <row r="12547" spans="1:9" ht="13.5">
      <c r="A12547" s="128">
        <v>2023</v>
      </c>
      <c r="B12547" s="128" t="s">
        <v>137</v>
      </c>
      <c r="C12547" s="128" t="s">
        <v>22</v>
      </c>
      <c r="D12547" s="128" t="s">
        <v>79</v>
      </c>
      <c r="E12547" s="128" t="s">
        <v>136</v>
      </c>
      <c r="F12547" s="128">
        <v>4064893.97</v>
      </c>
      <c r="G12547" s="128">
        <v>3028227.9</v>
      </c>
      <c r="H12547" s="128">
        <v>999469.08</v>
      </c>
      <c r="I12547" s="128">
        <v>69385</v>
      </c>
    </row>
    <row r="12548" spans="1:9" ht="13.5">
      <c r="A12548" s="128">
        <v>2023</v>
      </c>
      <c r="B12548" s="128" t="s">
        <v>137</v>
      </c>
      <c r="C12548" s="128" t="s">
        <v>22</v>
      </c>
      <c r="D12548" s="128" t="s">
        <v>79</v>
      </c>
      <c r="E12548" s="128" t="s">
        <v>132</v>
      </c>
      <c r="F12548" s="128">
        <v>1091187.08</v>
      </c>
      <c r="G12548" s="128">
        <v>716535.29</v>
      </c>
      <c r="H12548" s="128">
        <v>237004.3</v>
      </c>
      <c r="I12548" s="128">
        <v>2479</v>
      </c>
    </row>
    <row r="12549" spans="1:9" ht="13.5">
      <c r="A12549" s="128">
        <v>2023</v>
      </c>
      <c r="B12549" s="128" t="s">
        <v>137</v>
      </c>
      <c r="C12549" s="128" t="s">
        <v>22</v>
      </c>
      <c r="D12549" s="128" t="s">
        <v>79</v>
      </c>
      <c r="E12549" s="128" t="s">
        <v>133</v>
      </c>
      <c r="F12549" s="128">
        <v>1643210.46</v>
      </c>
      <c r="G12549" s="128">
        <v>892875.19</v>
      </c>
      <c r="H12549" s="128">
        <v>293148.96999999997</v>
      </c>
      <c r="I12549" s="128">
        <v>2926</v>
      </c>
    </row>
    <row r="12550" spans="1:9" ht="13.5">
      <c r="A12550" s="128">
        <v>2023</v>
      </c>
      <c r="B12550" s="128" t="s">
        <v>137</v>
      </c>
      <c r="C12550" s="128" t="s">
        <v>22</v>
      </c>
      <c r="D12550" s="128" t="s">
        <v>79</v>
      </c>
      <c r="E12550" s="128" t="s">
        <v>134</v>
      </c>
      <c r="F12550" s="128">
        <v>4933203.5199999996</v>
      </c>
      <c r="G12550" s="128">
        <v>2130904.5499999998</v>
      </c>
      <c r="H12550" s="128">
        <v>710835.43</v>
      </c>
      <c r="I12550" s="128">
        <v>20888</v>
      </c>
    </row>
    <row r="12551" spans="1:9" ht="13.5">
      <c r="A12551" s="128">
        <v>2023</v>
      </c>
      <c r="B12551" s="128" t="s">
        <v>137</v>
      </c>
      <c r="C12551" s="128" t="s">
        <v>22</v>
      </c>
      <c r="D12551" s="128" t="s">
        <v>79</v>
      </c>
      <c r="E12551" s="128" t="s">
        <v>135</v>
      </c>
      <c r="F12551" s="128">
        <v>54912108.539999999</v>
      </c>
      <c r="G12551" s="128">
        <v>11918892.5</v>
      </c>
      <c r="H12551" s="128">
        <v>3983243.74</v>
      </c>
      <c r="I12551" s="128">
        <v>45261</v>
      </c>
    </row>
    <row r="12552" spans="1:9" ht="13.5">
      <c r="A12552" s="128">
        <v>2023</v>
      </c>
      <c r="B12552" s="128" t="s">
        <v>137</v>
      </c>
      <c r="C12552" s="128" t="s">
        <v>22</v>
      </c>
      <c r="D12552" s="128" t="s">
        <v>77</v>
      </c>
      <c r="E12552" s="128" t="s">
        <v>132</v>
      </c>
      <c r="F12552" s="128">
        <v>1969112.12</v>
      </c>
      <c r="G12552" s="128">
        <v>1257659.73</v>
      </c>
      <c r="H12552" s="128">
        <v>571630.48</v>
      </c>
      <c r="I12552" s="128">
        <v>9305</v>
      </c>
    </row>
    <row r="12553" spans="1:9" ht="13.5">
      <c r="A12553" s="128">
        <v>2023</v>
      </c>
      <c r="B12553" s="128" t="s">
        <v>137</v>
      </c>
      <c r="C12553" s="128" t="s">
        <v>22</v>
      </c>
      <c r="D12553" s="128" t="s">
        <v>77</v>
      </c>
      <c r="E12553" s="128" t="s">
        <v>133</v>
      </c>
      <c r="F12553" s="128">
        <v>5704494.1799999997</v>
      </c>
      <c r="G12553" s="128">
        <v>3058222.57</v>
      </c>
      <c r="H12553" s="128">
        <v>2216093.19</v>
      </c>
      <c r="I12553" s="128">
        <v>22663</v>
      </c>
    </row>
    <row r="12554" spans="1:9" ht="13.5">
      <c r="A12554" s="128">
        <v>2023</v>
      </c>
      <c r="B12554" s="128" t="s">
        <v>137</v>
      </c>
      <c r="C12554" s="128" t="s">
        <v>22</v>
      </c>
      <c r="D12554" s="128" t="s">
        <v>77</v>
      </c>
      <c r="E12554" s="128" t="s">
        <v>134</v>
      </c>
      <c r="F12554" s="128">
        <v>24797179.640000001</v>
      </c>
      <c r="G12554" s="128">
        <v>10527302.74</v>
      </c>
      <c r="H12554" s="128">
        <v>10217356.08</v>
      </c>
      <c r="I12554" s="128">
        <v>37877</v>
      </c>
    </row>
    <row r="12555" spans="1:9" ht="13.5">
      <c r="A12555" s="128">
        <v>2023</v>
      </c>
      <c r="B12555" s="128" t="s">
        <v>137</v>
      </c>
      <c r="C12555" s="128" t="s">
        <v>22</v>
      </c>
      <c r="D12555" s="128" t="s">
        <v>77</v>
      </c>
      <c r="E12555" s="128" t="s">
        <v>135</v>
      </c>
      <c r="F12555" s="128">
        <v>55521613.960000001</v>
      </c>
      <c r="G12555" s="128">
        <v>13853640.93</v>
      </c>
      <c r="H12555" s="128">
        <v>15127237.25</v>
      </c>
      <c r="I12555" s="128">
        <v>143816</v>
      </c>
    </row>
    <row r="12556" spans="1:9" ht="13.5">
      <c r="A12556" s="128">
        <v>2023</v>
      </c>
      <c r="B12556" s="128" t="s">
        <v>137</v>
      </c>
      <c r="C12556" s="128" t="s">
        <v>22</v>
      </c>
      <c r="D12556" s="128" t="s">
        <v>76</v>
      </c>
      <c r="E12556" s="128" t="s">
        <v>136</v>
      </c>
      <c r="F12556" s="128">
        <v>16339391.359999999</v>
      </c>
      <c r="G12556" s="128">
        <v>12295877.32</v>
      </c>
      <c r="H12556" s="128">
        <v>4043646.79</v>
      </c>
      <c r="I12556" s="128">
        <v>158673</v>
      </c>
    </row>
    <row r="12557" spans="1:9" ht="13.5">
      <c r="A12557" s="128">
        <v>2023</v>
      </c>
      <c r="B12557" s="128" t="s">
        <v>137</v>
      </c>
      <c r="C12557" s="128" t="s">
        <v>22</v>
      </c>
      <c r="D12557" s="128" t="s">
        <v>76</v>
      </c>
      <c r="E12557" s="128" t="s">
        <v>132</v>
      </c>
      <c r="F12557" s="128">
        <v>54356916.039999999</v>
      </c>
      <c r="G12557" s="128">
        <v>34677777.399999999</v>
      </c>
      <c r="H12557" s="128">
        <v>19678926.399999999</v>
      </c>
      <c r="I12557" s="128">
        <v>439903</v>
      </c>
    </row>
    <row r="12558" spans="1:9" ht="13.5">
      <c r="A12558" s="128">
        <v>2023</v>
      </c>
      <c r="B12558" s="128" t="s">
        <v>137</v>
      </c>
      <c r="C12558" s="128" t="s">
        <v>22</v>
      </c>
      <c r="D12558" s="128" t="s">
        <v>76</v>
      </c>
      <c r="E12558" s="128" t="s">
        <v>133</v>
      </c>
      <c r="F12558" s="128">
        <v>86185067.709999993</v>
      </c>
      <c r="G12558" s="128">
        <v>47707243.670000002</v>
      </c>
      <c r="H12558" s="128">
        <v>38477721.460000001</v>
      </c>
      <c r="I12558" s="128">
        <v>649214</v>
      </c>
    </row>
    <row r="12559" spans="1:9" ht="13.5">
      <c r="A12559" s="128">
        <v>2023</v>
      </c>
      <c r="B12559" s="128" t="s">
        <v>137</v>
      </c>
      <c r="C12559" s="128" t="s">
        <v>22</v>
      </c>
      <c r="D12559" s="128" t="s">
        <v>76</v>
      </c>
      <c r="E12559" s="128" t="s">
        <v>134</v>
      </c>
      <c r="F12559" s="128">
        <v>71955480.099999994</v>
      </c>
      <c r="G12559" s="128">
        <v>33188819.710000001</v>
      </c>
      <c r="H12559" s="128">
        <v>38765947.43</v>
      </c>
      <c r="I12559" s="128">
        <v>477766</v>
      </c>
    </row>
    <row r="12560" spans="1:9" ht="13.5">
      <c r="A12560" s="128">
        <v>2023</v>
      </c>
      <c r="B12560" s="128" t="s">
        <v>137</v>
      </c>
      <c r="C12560" s="128" t="s">
        <v>22</v>
      </c>
      <c r="D12560" s="128" t="s">
        <v>76</v>
      </c>
      <c r="E12560" s="128" t="s">
        <v>135</v>
      </c>
      <c r="F12560" s="128">
        <v>3821203.49</v>
      </c>
      <c r="G12560" s="128">
        <v>1070338.75</v>
      </c>
      <c r="H12560" s="128">
        <v>2750864.02</v>
      </c>
      <c r="I12560" s="128">
        <v>3852</v>
      </c>
    </row>
    <row r="12561" spans="1:9" ht="13.5">
      <c r="A12561" s="128">
        <v>2023</v>
      </c>
      <c r="B12561" s="128" t="s">
        <v>137</v>
      </c>
      <c r="C12561" s="128" t="s">
        <v>23</v>
      </c>
      <c r="D12561" s="128" t="s">
        <v>79</v>
      </c>
      <c r="E12561" s="128" t="s">
        <v>136</v>
      </c>
      <c r="F12561" s="128">
        <v>1719619.58</v>
      </c>
      <c r="G12561" s="128">
        <v>1277235.73</v>
      </c>
      <c r="H12561" s="128">
        <v>421362.07</v>
      </c>
      <c r="I12561" s="128">
        <v>8702</v>
      </c>
    </row>
    <row r="12562" spans="1:9" ht="13.5">
      <c r="A12562" s="128">
        <v>2023</v>
      </c>
      <c r="B12562" s="128" t="s">
        <v>137</v>
      </c>
      <c r="C12562" s="128" t="s">
        <v>23</v>
      </c>
      <c r="D12562" s="128" t="s">
        <v>79</v>
      </c>
      <c r="E12562" s="128" t="s">
        <v>132</v>
      </c>
      <c r="F12562" s="128">
        <v>296852.23</v>
      </c>
      <c r="G12562" s="128">
        <v>196629.62</v>
      </c>
      <c r="H12562" s="128">
        <v>64986.63</v>
      </c>
      <c r="I12562" s="128">
        <v>407</v>
      </c>
    </row>
    <row r="12563" spans="1:9" ht="13.5">
      <c r="A12563" s="128">
        <v>2023</v>
      </c>
      <c r="B12563" s="128" t="s">
        <v>137</v>
      </c>
      <c r="C12563" s="128" t="s">
        <v>23</v>
      </c>
      <c r="D12563" s="128" t="s">
        <v>79</v>
      </c>
      <c r="E12563" s="128" t="s">
        <v>133</v>
      </c>
      <c r="F12563" s="128">
        <v>289452.53000000003</v>
      </c>
      <c r="G12563" s="128">
        <v>154757.79999999999</v>
      </c>
      <c r="H12563" s="128">
        <v>49848.67</v>
      </c>
      <c r="I12563" s="128">
        <v>397</v>
      </c>
    </row>
    <row r="12564" spans="1:9" ht="13.5">
      <c r="A12564" s="128">
        <v>2023</v>
      </c>
      <c r="B12564" s="128" t="s">
        <v>137</v>
      </c>
      <c r="C12564" s="128" t="s">
        <v>23</v>
      </c>
      <c r="D12564" s="128" t="s">
        <v>79</v>
      </c>
      <c r="E12564" s="128" t="s">
        <v>134</v>
      </c>
      <c r="F12564" s="128">
        <v>636119.26</v>
      </c>
      <c r="G12564" s="128">
        <v>271777.76</v>
      </c>
      <c r="H12564" s="128">
        <v>89799.64</v>
      </c>
      <c r="I12564" s="128">
        <v>1207</v>
      </c>
    </row>
    <row r="12565" spans="1:9" ht="13.5">
      <c r="A12565" s="128">
        <v>2023</v>
      </c>
      <c r="B12565" s="128" t="s">
        <v>137</v>
      </c>
      <c r="C12565" s="128" t="s">
        <v>23</v>
      </c>
      <c r="D12565" s="128" t="s">
        <v>79</v>
      </c>
      <c r="E12565" s="128" t="s">
        <v>135</v>
      </c>
      <c r="F12565" s="128">
        <v>6899653.1299999999</v>
      </c>
      <c r="G12565" s="128">
        <v>1437518.23</v>
      </c>
      <c r="H12565" s="128">
        <v>482663.5</v>
      </c>
      <c r="I12565" s="128">
        <v>4314</v>
      </c>
    </row>
    <row r="12566" spans="1:9" ht="13.5">
      <c r="A12566" s="128">
        <v>2023</v>
      </c>
      <c r="B12566" s="128" t="s">
        <v>137</v>
      </c>
      <c r="C12566" s="128" t="s">
        <v>23</v>
      </c>
      <c r="D12566" s="128" t="s">
        <v>77</v>
      </c>
      <c r="E12566" s="128" t="s">
        <v>132</v>
      </c>
      <c r="F12566" s="128">
        <v>528204.92000000004</v>
      </c>
      <c r="G12566" s="128">
        <v>340850.29</v>
      </c>
      <c r="H12566" s="128">
        <v>156918.16</v>
      </c>
      <c r="I12566" s="128">
        <v>2295</v>
      </c>
    </row>
    <row r="12567" spans="1:9" ht="13.5">
      <c r="A12567" s="128">
        <v>2023</v>
      </c>
      <c r="B12567" s="128" t="s">
        <v>137</v>
      </c>
      <c r="C12567" s="128" t="s">
        <v>23</v>
      </c>
      <c r="D12567" s="128" t="s">
        <v>77</v>
      </c>
      <c r="E12567" s="128" t="s">
        <v>133</v>
      </c>
      <c r="F12567" s="128">
        <v>2330845.77</v>
      </c>
      <c r="G12567" s="128">
        <v>1254034.19</v>
      </c>
      <c r="H12567" s="128">
        <v>938521.2</v>
      </c>
      <c r="I12567" s="128">
        <v>8754</v>
      </c>
    </row>
    <row r="12568" spans="1:9" ht="13.5">
      <c r="A12568" s="128">
        <v>2023</v>
      </c>
      <c r="B12568" s="128" t="s">
        <v>137</v>
      </c>
      <c r="C12568" s="128" t="s">
        <v>23</v>
      </c>
      <c r="D12568" s="128" t="s">
        <v>77</v>
      </c>
      <c r="E12568" s="128" t="s">
        <v>134</v>
      </c>
      <c r="F12568" s="128">
        <v>13556828.439999999</v>
      </c>
      <c r="G12568" s="128">
        <v>5778971.8899999997</v>
      </c>
      <c r="H12568" s="128">
        <v>5766592.5300000003</v>
      </c>
      <c r="I12568" s="128">
        <v>19561</v>
      </c>
    </row>
    <row r="12569" spans="1:9" ht="13.5">
      <c r="A12569" s="128">
        <v>2023</v>
      </c>
      <c r="B12569" s="128" t="s">
        <v>137</v>
      </c>
      <c r="C12569" s="128" t="s">
        <v>23</v>
      </c>
      <c r="D12569" s="128" t="s">
        <v>77</v>
      </c>
      <c r="E12569" s="128" t="s">
        <v>135</v>
      </c>
      <c r="F12569" s="128">
        <v>15956317.710000001</v>
      </c>
      <c r="G12569" s="128">
        <v>4477924.01</v>
      </c>
      <c r="H12569" s="128">
        <v>5048293.5599999996</v>
      </c>
      <c r="I12569" s="128">
        <v>55614</v>
      </c>
    </row>
    <row r="12570" spans="1:9" ht="13.5">
      <c r="A12570" s="128">
        <v>2023</v>
      </c>
      <c r="B12570" s="128" t="s">
        <v>137</v>
      </c>
      <c r="C12570" s="128" t="s">
        <v>23</v>
      </c>
      <c r="D12570" s="128" t="s">
        <v>76</v>
      </c>
      <c r="E12570" s="128" t="s">
        <v>136</v>
      </c>
      <c r="F12570" s="128">
        <v>9126737.6400000006</v>
      </c>
      <c r="G12570" s="128">
        <v>6852605.3200000003</v>
      </c>
      <c r="H12570" s="128">
        <v>2274132.2999999998</v>
      </c>
      <c r="I12570" s="128">
        <v>184236</v>
      </c>
    </row>
    <row r="12571" spans="1:9" ht="13.5">
      <c r="A12571" s="128">
        <v>2023</v>
      </c>
      <c r="B12571" s="128" t="s">
        <v>137</v>
      </c>
      <c r="C12571" s="128" t="s">
        <v>23</v>
      </c>
      <c r="D12571" s="128" t="s">
        <v>76</v>
      </c>
      <c r="E12571" s="128" t="s">
        <v>132</v>
      </c>
      <c r="F12571" s="128">
        <v>17845660.57</v>
      </c>
      <c r="G12571" s="128">
        <v>11231607.66</v>
      </c>
      <c r="H12571" s="128">
        <v>6614040.0700000003</v>
      </c>
      <c r="I12571" s="128">
        <v>133756</v>
      </c>
    </row>
    <row r="12572" spans="1:9" ht="13.5">
      <c r="A12572" s="128">
        <v>2023</v>
      </c>
      <c r="B12572" s="128" t="s">
        <v>137</v>
      </c>
      <c r="C12572" s="128" t="s">
        <v>23</v>
      </c>
      <c r="D12572" s="128" t="s">
        <v>76</v>
      </c>
      <c r="E12572" s="128" t="s">
        <v>133</v>
      </c>
      <c r="F12572" s="128">
        <v>34642178.109999999</v>
      </c>
      <c r="G12572" s="128">
        <v>18806493.440000001</v>
      </c>
      <c r="H12572" s="128">
        <v>15835637.15</v>
      </c>
      <c r="I12572" s="128">
        <v>209027</v>
      </c>
    </row>
    <row r="12573" spans="1:9" ht="13.5">
      <c r="A12573" s="128">
        <v>2023</v>
      </c>
      <c r="B12573" s="128" t="s">
        <v>137</v>
      </c>
      <c r="C12573" s="128" t="s">
        <v>23</v>
      </c>
      <c r="D12573" s="128" t="s">
        <v>76</v>
      </c>
      <c r="E12573" s="128" t="s">
        <v>134</v>
      </c>
      <c r="F12573" s="128">
        <v>31242400.77</v>
      </c>
      <c r="G12573" s="128">
        <v>14505639.15</v>
      </c>
      <c r="H12573" s="128">
        <v>16736757.51</v>
      </c>
      <c r="I12573" s="128">
        <v>151926</v>
      </c>
    </row>
    <row r="12574" spans="1:9" ht="13.5">
      <c r="A12574" s="128">
        <v>2023</v>
      </c>
      <c r="B12574" s="128" t="s">
        <v>137</v>
      </c>
      <c r="C12574" s="128" t="s">
        <v>23</v>
      </c>
      <c r="D12574" s="128" t="s">
        <v>76</v>
      </c>
      <c r="E12574" s="128" t="s">
        <v>135</v>
      </c>
      <c r="F12574" s="128">
        <v>863293.47</v>
      </c>
      <c r="G12574" s="128">
        <v>244858.2</v>
      </c>
      <c r="H12574" s="128">
        <v>618436.27</v>
      </c>
      <c r="I12574" s="128">
        <v>699</v>
      </c>
    </row>
    <row r="12575" spans="1:9" ht="13.5">
      <c r="A12575" s="128">
        <v>2023</v>
      </c>
      <c r="B12575" s="128" t="s">
        <v>137</v>
      </c>
      <c r="C12575" s="128" t="s">
        <v>24</v>
      </c>
      <c r="D12575" s="128" t="s">
        <v>79</v>
      </c>
      <c r="E12575" s="128" t="s">
        <v>136</v>
      </c>
      <c r="F12575" s="128">
        <v>2260858.21</v>
      </c>
      <c r="G12575" s="128">
        <v>1701884.34</v>
      </c>
      <c r="H12575" s="128">
        <v>552478.17000000004</v>
      </c>
      <c r="I12575" s="128">
        <v>28505</v>
      </c>
    </row>
    <row r="12576" spans="1:9" ht="13.5">
      <c r="A12576" s="128">
        <v>2023</v>
      </c>
      <c r="B12576" s="128" t="s">
        <v>137</v>
      </c>
      <c r="C12576" s="128" t="s">
        <v>24</v>
      </c>
      <c r="D12576" s="128" t="s">
        <v>79</v>
      </c>
      <c r="E12576" s="128" t="s">
        <v>132</v>
      </c>
      <c r="F12576" s="128">
        <v>401767.04</v>
      </c>
      <c r="G12576" s="128">
        <v>269707.53000000003</v>
      </c>
      <c r="H12576" s="128">
        <v>89607.47</v>
      </c>
      <c r="I12576" s="128">
        <v>1125</v>
      </c>
    </row>
    <row r="12577" spans="1:9" ht="13.5">
      <c r="A12577" s="128">
        <v>2023</v>
      </c>
      <c r="B12577" s="128" t="s">
        <v>137</v>
      </c>
      <c r="C12577" s="128" t="s">
        <v>24</v>
      </c>
      <c r="D12577" s="128" t="s">
        <v>79</v>
      </c>
      <c r="E12577" s="128" t="s">
        <v>133</v>
      </c>
      <c r="F12577" s="128">
        <v>507105.3</v>
      </c>
      <c r="G12577" s="128">
        <v>276140.67</v>
      </c>
      <c r="H12577" s="128">
        <v>91541.94</v>
      </c>
      <c r="I12577" s="128">
        <v>1203</v>
      </c>
    </row>
    <row r="12578" spans="1:9" ht="13.5">
      <c r="A12578" s="128">
        <v>2023</v>
      </c>
      <c r="B12578" s="128" t="s">
        <v>137</v>
      </c>
      <c r="C12578" s="128" t="s">
        <v>24</v>
      </c>
      <c r="D12578" s="128" t="s">
        <v>79</v>
      </c>
      <c r="E12578" s="128" t="s">
        <v>134</v>
      </c>
      <c r="F12578" s="128">
        <v>1815463.94</v>
      </c>
      <c r="G12578" s="128">
        <v>791659.64</v>
      </c>
      <c r="H12578" s="128">
        <v>264632.25</v>
      </c>
      <c r="I12578" s="128">
        <v>8461</v>
      </c>
    </row>
    <row r="12579" spans="1:9" ht="13.5">
      <c r="A12579" s="128">
        <v>2023</v>
      </c>
      <c r="B12579" s="128" t="s">
        <v>137</v>
      </c>
      <c r="C12579" s="128" t="s">
        <v>24</v>
      </c>
      <c r="D12579" s="128" t="s">
        <v>79</v>
      </c>
      <c r="E12579" s="128" t="s">
        <v>135</v>
      </c>
      <c r="F12579" s="128">
        <v>10311367.890000001</v>
      </c>
      <c r="G12579" s="128">
        <v>2123803.09</v>
      </c>
      <c r="H12579" s="128">
        <v>715800.06</v>
      </c>
      <c r="I12579" s="128">
        <v>10657</v>
      </c>
    </row>
    <row r="12580" spans="1:9" ht="13.5">
      <c r="A12580" s="128">
        <v>2023</v>
      </c>
      <c r="B12580" s="128" t="s">
        <v>137</v>
      </c>
      <c r="C12580" s="128" t="s">
        <v>24</v>
      </c>
      <c r="D12580" s="128" t="s">
        <v>77</v>
      </c>
      <c r="E12580" s="128" t="s">
        <v>132</v>
      </c>
      <c r="F12580" s="128">
        <v>796249.28</v>
      </c>
      <c r="G12580" s="128">
        <v>509538.93</v>
      </c>
      <c r="H12580" s="128">
        <v>252233.65</v>
      </c>
      <c r="I12580" s="128">
        <v>3941</v>
      </c>
    </row>
    <row r="12581" spans="1:9" ht="13.5">
      <c r="A12581" s="128">
        <v>2023</v>
      </c>
      <c r="B12581" s="128" t="s">
        <v>137</v>
      </c>
      <c r="C12581" s="128" t="s">
        <v>24</v>
      </c>
      <c r="D12581" s="128" t="s">
        <v>77</v>
      </c>
      <c r="E12581" s="128" t="s">
        <v>133</v>
      </c>
      <c r="F12581" s="128">
        <v>3087796.16</v>
      </c>
      <c r="G12581" s="128">
        <v>1652117.5</v>
      </c>
      <c r="H12581" s="128">
        <v>1215575.72</v>
      </c>
      <c r="I12581" s="128">
        <v>27566</v>
      </c>
    </row>
    <row r="12582" spans="1:9" ht="13.5">
      <c r="A12582" s="128">
        <v>2023</v>
      </c>
      <c r="B12582" s="128" t="s">
        <v>137</v>
      </c>
      <c r="C12582" s="128" t="s">
        <v>24</v>
      </c>
      <c r="D12582" s="128" t="s">
        <v>77</v>
      </c>
      <c r="E12582" s="128" t="s">
        <v>134</v>
      </c>
      <c r="F12582" s="128">
        <v>11032366.029999999</v>
      </c>
      <c r="G12582" s="128">
        <v>4848307.45</v>
      </c>
      <c r="H12582" s="128">
        <v>4414647.87</v>
      </c>
      <c r="I12582" s="128">
        <v>15222</v>
      </c>
    </row>
    <row r="12583" spans="1:9" ht="13.5">
      <c r="A12583" s="128">
        <v>2023</v>
      </c>
      <c r="B12583" s="128" t="s">
        <v>137</v>
      </c>
      <c r="C12583" s="128" t="s">
        <v>24</v>
      </c>
      <c r="D12583" s="128" t="s">
        <v>77</v>
      </c>
      <c r="E12583" s="128" t="s">
        <v>135</v>
      </c>
      <c r="F12583" s="128">
        <v>23386757.030000001</v>
      </c>
      <c r="G12583" s="128">
        <v>5692283.75</v>
      </c>
      <c r="H12583" s="128">
        <v>4190598.49</v>
      </c>
      <c r="I12583" s="128">
        <v>55510</v>
      </c>
    </row>
    <row r="12584" spans="1:9" ht="13.5">
      <c r="A12584" s="128">
        <v>2023</v>
      </c>
      <c r="B12584" s="128" t="s">
        <v>137</v>
      </c>
      <c r="C12584" s="128" t="s">
        <v>24</v>
      </c>
      <c r="D12584" s="128" t="s">
        <v>76</v>
      </c>
      <c r="E12584" s="128" t="s">
        <v>136</v>
      </c>
      <c r="F12584" s="128">
        <v>12780467.050000001</v>
      </c>
      <c r="G12584" s="128">
        <v>9611333.9900000002</v>
      </c>
      <c r="H12584" s="128">
        <v>3169136.26</v>
      </c>
      <c r="I12584" s="128">
        <v>203179</v>
      </c>
    </row>
    <row r="12585" spans="1:9" ht="13.5">
      <c r="A12585" s="128">
        <v>2023</v>
      </c>
      <c r="B12585" s="128" t="s">
        <v>137</v>
      </c>
      <c r="C12585" s="128" t="s">
        <v>24</v>
      </c>
      <c r="D12585" s="128" t="s">
        <v>76</v>
      </c>
      <c r="E12585" s="128" t="s">
        <v>132</v>
      </c>
      <c r="F12585" s="128">
        <v>16310379.4</v>
      </c>
      <c r="G12585" s="128">
        <v>10515498</v>
      </c>
      <c r="H12585" s="128">
        <v>5794833.1699999999</v>
      </c>
      <c r="I12585" s="128">
        <v>104422</v>
      </c>
    </row>
    <row r="12586" spans="1:9" ht="13.5">
      <c r="A12586" s="128">
        <v>2023</v>
      </c>
      <c r="B12586" s="128" t="s">
        <v>137</v>
      </c>
      <c r="C12586" s="128" t="s">
        <v>24</v>
      </c>
      <c r="D12586" s="128" t="s">
        <v>76</v>
      </c>
      <c r="E12586" s="128" t="s">
        <v>133</v>
      </c>
      <c r="F12586" s="128">
        <v>54802060.789999999</v>
      </c>
      <c r="G12586" s="128">
        <v>30077270.350000001</v>
      </c>
      <c r="H12586" s="128">
        <v>24724771.699999999</v>
      </c>
      <c r="I12586" s="128">
        <v>340187</v>
      </c>
    </row>
    <row r="12587" spans="1:9" ht="13.5">
      <c r="A12587" s="128">
        <v>2023</v>
      </c>
      <c r="B12587" s="128" t="s">
        <v>137</v>
      </c>
      <c r="C12587" s="128" t="s">
        <v>24</v>
      </c>
      <c r="D12587" s="128" t="s">
        <v>76</v>
      </c>
      <c r="E12587" s="128" t="s">
        <v>134</v>
      </c>
      <c r="F12587" s="128">
        <v>57709911.5</v>
      </c>
      <c r="G12587" s="128">
        <v>25990429.850000001</v>
      </c>
      <c r="H12587" s="128">
        <v>31719453.539999999</v>
      </c>
      <c r="I12587" s="128">
        <v>263782</v>
      </c>
    </row>
    <row r="12588" spans="1:9" ht="13.5">
      <c r="A12588" s="128">
        <v>2023</v>
      </c>
      <c r="B12588" s="128" t="s">
        <v>137</v>
      </c>
      <c r="C12588" s="128" t="s">
        <v>24</v>
      </c>
      <c r="D12588" s="128" t="s">
        <v>76</v>
      </c>
      <c r="E12588" s="128" t="s">
        <v>135</v>
      </c>
      <c r="F12588" s="128">
        <v>1848765.85</v>
      </c>
      <c r="G12588" s="128">
        <v>508397.05</v>
      </c>
      <c r="H12588" s="128">
        <v>1340368.8</v>
      </c>
      <c r="I12588" s="128">
        <v>1484</v>
      </c>
    </row>
    <row r="12589" spans="1:9" ht="13.5">
      <c r="A12589" s="128">
        <v>2023</v>
      </c>
      <c r="B12589" s="128" t="s">
        <v>137</v>
      </c>
      <c r="C12589" s="128" t="s">
        <v>25</v>
      </c>
      <c r="D12589" s="128" t="s">
        <v>79</v>
      </c>
      <c r="E12589" s="128" t="s">
        <v>136</v>
      </c>
      <c r="F12589" s="128">
        <v>339430.79</v>
      </c>
      <c r="G12589" s="128">
        <v>254549.78</v>
      </c>
      <c r="H12589" s="128">
        <v>83333.009999999995</v>
      </c>
      <c r="I12589" s="128">
        <v>3570</v>
      </c>
    </row>
    <row r="12590" spans="1:9" ht="13.5">
      <c r="A12590" s="128">
        <v>2023</v>
      </c>
      <c r="B12590" s="128" t="s">
        <v>137</v>
      </c>
      <c r="C12590" s="128" t="s">
        <v>25</v>
      </c>
      <c r="D12590" s="128" t="s">
        <v>79</v>
      </c>
      <c r="E12590" s="128" t="s">
        <v>132</v>
      </c>
      <c r="F12590" s="128">
        <v>107508.5</v>
      </c>
      <c r="G12590" s="128">
        <v>70714.899999999994</v>
      </c>
      <c r="H12590" s="128">
        <v>22660.5</v>
      </c>
      <c r="I12590" s="128">
        <v>329</v>
      </c>
    </row>
    <row r="12591" spans="1:9" ht="13.5">
      <c r="A12591" s="128">
        <v>2023</v>
      </c>
      <c r="B12591" s="128" t="s">
        <v>137</v>
      </c>
      <c r="C12591" s="128" t="s">
        <v>25</v>
      </c>
      <c r="D12591" s="128" t="s">
        <v>79</v>
      </c>
      <c r="E12591" s="128" t="s">
        <v>133</v>
      </c>
      <c r="F12591" s="128">
        <v>53307.25</v>
      </c>
      <c r="G12591" s="128">
        <v>29116.38</v>
      </c>
      <c r="H12591" s="128">
        <v>9986.91</v>
      </c>
      <c r="I12591" s="128">
        <v>160</v>
      </c>
    </row>
    <row r="12592" spans="1:9" ht="13.5">
      <c r="A12592" s="128">
        <v>2023</v>
      </c>
      <c r="B12592" s="128" t="s">
        <v>137</v>
      </c>
      <c r="C12592" s="128" t="s">
        <v>25</v>
      </c>
      <c r="D12592" s="128" t="s">
        <v>79</v>
      </c>
      <c r="E12592" s="128" t="s">
        <v>134</v>
      </c>
      <c r="F12592" s="128">
        <v>175574.94</v>
      </c>
      <c r="G12592" s="128">
        <v>76706.7</v>
      </c>
      <c r="H12592" s="128">
        <v>25472.14</v>
      </c>
      <c r="I12592" s="128">
        <v>295</v>
      </c>
    </row>
    <row r="12593" spans="1:9" ht="13.5">
      <c r="A12593" s="128">
        <v>2023</v>
      </c>
      <c r="B12593" s="128" t="s">
        <v>137</v>
      </c>
      <c r="C12593" s="128" t="s">
        <v>25</v>
      </c>
      <c r="D12593" s="128" t="s">
        <v>79</v>
      </c>
      <c r="E12593" s="128" t="s">
        <v>135</v>
      </c>
      <c r="F12593" s="128">
        <v>2675537.13</v>
      </c>
      <c r="G12593" s="128">
        <v>568285.37</v>
      </c>
      <c r="H12593" s="128">
        <v>192688.56</v>
      </c>
      <c r="I12593" s="128">
        <v>1678</v>
      </c>
    </row>
    <row r="12594" spans="1:9" ht="13.5">
      <c r="A12594" s="128">
        <v>2023</v>
      </c>
      <c r="B12594" s="128" t="s">
        <v>137</v>
      </c>
      <c r="C12594" s="128" t="s">
        <v>25</v>
      </c>
      <c r="D12594" s="128" t="s">
        <v>77</v>
      </c>
      <c r="E12594" s="128" t="s">
        <v>132</v>
      </c>
      <c r="F12594" s="128">
        <v>234198.48</v>
      </c>
      <c r="G12594" s="128">
        <v>150015.9</v>
      </c>
      <c r="H12594" s="128">
        <v>73555.070000000007</v>
      </c>
      <c r="I12594" s="128">
        <v>1308</v>
      </c>
    </row>
    <row r="12595" spans="1:9" ht="13.5">
      <c r="A12595" s="128">
        <v>2023</v>
      </c>
      <c r="B12595" s="128" t="s">
        <v>137</v>
      </c>
      <c r="C12595" s="128" t="s">
        <v>25</v>
      </c>
      <c r="D12595" s="128" t="s">
        <v>77</v>
      </c>
      <c r="E12595" s="128" t="s">
        <v>133</v>
      </c>
      <c r="F12595" s="128">
        <v>738128.44</v>
      </c>
      <c r="G12595" s="128">
        <v>395402.06</v>
      </c>
      <c r="H12595" s="128">
        <v>311614.68</v>
      </c>
      <c r="I12595" s="128">
        <v>2760</v>
      </c>
    </row>
    <row r="12596" spans="1:9" ht="13.5">
      <c r="A12596" s="128">
        <v>2023</v>
      </c>
      <c r="B12596" s="128" t="s">
        <v>137</v>
      </c>
      <c r="C12596" s="128" t="s">
        <v>25</v>
      </c>
      <c r="D12596" s="128" t="s">
        <v>77</v>
      </c>
      <c r="E12596" s="128" t="s">
        <v>134</v>
      </c>
      <c r="F12596" s="128">
        <v>3742235.56</v>
      </c>
      <c r="G12596" s="128">
        <v>1613175.76</v>
      </c>
      <c r="H12596" s="128">
        <v>1607269.58</v>
      </c>
      <c r="I12596" s="128">
        <v>4346</v>
      </c>
    </row>
    <row r="12597" spans="1:9" ht="13.5">
      <c r="A12597" s="128">
        <v>2023</v>
      </c>
      <c r="B12597" s="128" t="s">
        <v>137</v>
      </c>
      <c r="C12597" s="128" t="s">
        <v>25</v>
      </c>
      <c r="D12597" s="128" t="s">
        <v>77</v>
      </c>
      <c r="E12597" s="128" t="s">
        <v>135</v>
      </c>
      <c r="F12597" s="128">
        <v>3930550.01</v>
      </c>
      <c r="G12597" s="128">
        <v>991442.2</v>
      </c>
      <c r="H12597" s="128">
        <v>1098375.8700000001</v>
      </c>
      <c r="I12597" s="128">
        <v>7387</v>
      </c>
    </row>
    <row r="12598" spans="1:9" ht="13.5">
      <c r="A12598" s="128">
        <v>2023</v>
      </c>
      <c r="B12598" s="128" t="s">
        <v>137</v>
      </c>
      <c r="C12598" s="128" t="s">
        <v>25</v>
      </c>
      <c r="D12598" s="128" t="s">
        <v>76</v>
      </c>
      <c r="E12598" s="128" t="s">
        <v>136</v>
      </c>
      <c r="F12598" s="128">
        <v>1901144.29</v>
      </c>
      <c r="G12598" s="128">
        <v>1428762.21</v>
      </c>
      <c r="H12598" s="128">
        <v>472382.08</v>
      </c>
      <c r="I12598" s="128">
        <v>29853</v>
      </c>
    </row>
    <row r="12599" spans="1:9" ht="13.5">
      <c r="A12599" s="128">
        <v>2023</v>
      </c>
      <c r="B12599" s="128" t="s">
        <v>137</v>
      </c>
      <c r="C12599" s="128" t="s">
        <v>25</v>
      </c>
      <c r="D12599" s="128" t="s">
        <v>76</v>
      </c>
      <c r="E12599" s="128" t="s">
        <v>132</v>
      </c>
      <c r="F12599" s="128">
        <v>3452216.57</v>
      </c>
      <c r="G12599" s="128">
        <v>2173294.65</v>
      </c>
      <c r="H12599" s="128">
        <v>1278918.99</v>
      </c>
      <c r="I12599" s="128">
        <v>23009</v>
      </c>
    </row>
    <row r="12600" spans="1:9" ht="13.5">
      <c r="A12600" s="128">
        <v>2023</v>
      </c>
      <c r="B12600" s="128" t="s">
        <v>137</v>
      </c>
      <c r="C12600" s="128" t="s">
        <v>25</v>
      </c>
      <c r="D12600" s="128" t="s">
        <v>76</v>
      </c>
      <c r="E12600" s="128" t="s">
        <v>133</v>
      </c>
      <c r="F12600" s="128">
        <v>10964902.92</v>
      </c>
      <c r="G12600" s="128">
        <v>5973218.5199999996</v>
      </c>
      <c r="H12600" s="128">
        <v>4991680.55</v>
      </c>
      <c r="I12600" s="128">
        <v>62487</v>
      </c>
    </row>
    <row r="12601" spans="1:9" ht="13.5">
      <c r="A12601" s="128">
        <v>2023</v>
      </c>
      <c r="B12601" s="128" t="s">
        <v>137</v>
      </c>
      <c r="C12601" s="128" t="s">
        <v>25</v>
      </c>
      <c r="D12601" s="128" t="s">
        <v>76</v>
      </c>
      <c r="E12601" s="128" t="s">
        <v>134</v>
      </c>
      <c r="F12601" s="128">
        <v>10855829.02</v>
      </c>
      <c r="G12601" s="128">
        <v>4993658.08</v>
      </c>
      <c r="H12601" s="128">
        <v>5862166.6399999997</v>
      </c>
      <c r="I12601" s="128">
        <v>57144</v>
      </c>
    </row>
    <row r="12602" spans="1:9" ht="13.5">
      <c r="A12602" s="128">
        <v>2023</v>
      </c>
      <c r="B12602" s="128" t="s">
        <v>137</v>
      </c>
      <c r="C12602" s="128" t="s">
        <v>25</v>
      </c>
      <c r="D12602" s="128" t="s">
        <v>76</v>
      </c>
      <c r="E12602" s="128" t="s">
        <v>135</v>
      </c>
      <c r="F12602" s="128">
        <v>260801.78</v>
      </c>
      <c r="G12602" s="128">
        <v>73242.7</v>
      </c>
      <c r="H12602" s="128">
        <v>187559.08</v>
      </c>
      <c r="I12602" s="128">
        <v>181</v>
      </c>
    </row>
    <row r="12603" spans="1:9" ht="13.5">
      <c r="A12603" s="128">
        <v>2023</v>
      </c>
      <c r="B12603" s="128" t="s">
        <v>137</v>
      </c>
      <c r="C12603" s="128" t="s">
        <v>26</v>
      </c>
      <c r="D12603" s="128" t="s">
        <v>79</v>
      </c>
      <c r="E12603" s="128" t="s">
        <v>136</v>
      </c>
      <c r="F12603" s="128">
        <v>376343.2</v>
      </c>
      <c r="G12603" s="128">
        <v>273899.56</v>
      </c>
      <c r="H12603" s="128">
        <v>90053.39</v>
      </c>
      <c r="I12603" s="128">
        <v>2939</v>
      </c>
    </row>
    <row r="12604" spans="1:9" ht="13.5">
      <c r="A12604" s="128">
        <v>2023</v>
      </c>
      <c r="B12604" s="128" t="s">
        <v>137</v>
      </c>
      <c r="C12604" s="128" t="s">
        <v>26</v>
      </c>
      <c r="D12604" s="128" t="s">
        <v>79</v>
      </c>
      <c r="E12604" s="128" t="s">
        <v>132</v>
      </c>
      <c r="F12604" s="128">
        <v>62970.62</v>
      </c>
      <c r="G12604" s="128">
        <v>42743.08</v>
      </c>
      <c r="H12604" s="128">
        <v>14663.55</v>
      </c>
      <c r="I12604" s="128">
        <v>140</v>
      </c>
    </row>
    <row r="12605" spans="1:9" ht="13.5">
      <c r="A12605" s="128">
        <v>2023</v>
      </c>
      <c r="B12605" s="128" t="s">
        <v>137</v>
      </c>
      <c r="C12605" s="128" t="s">
        <v>26</v>
      </c>
      <c r="D12605" s="128" t="s">
        <v>79</v>
      </c>
      <c r="E12605" s="128" t="s">
        <v>133</v>
      </c>
      <c r="F12605" s="128">
        <v>75418.63</v>
      </c>
      <c r="G12605" s="128">
        <v>40722.06</v>
      </c>
      <c r="H12605" s="128">
        <v>12101.74</v>
      </c>
      <c r="I12605" s="128">
        <v>175</v>
      </c>
    </row>
    <row r="12606" spans="1:9" ht="13.5">
      <c r="A12606" s="128">
        <v>2023</v>
      </c>
      <c r="B12606" s="128" t="s">
        <v>137</v>
      </c>
      <c r="C12606" s="128" t="s">
        <v>26</v>
      </c>
      <c r="D12606" s="128" t="s">
        <v>79</v>
      </c>
      <c r="E12606" s="128" t="s">
        <v>134</v>
      </c>
      <c r="F12606" s="128">
        <v>412166.2</v>
      </c>
      <c r="G12606" s="128">
        <v>176278.74</v>
      </c>
      <c r="H12606" s="128">
        <v>59455.28</v>
      </c>
      <c r="I12606" s="128">
        <v>1156</v>
      </c>
    </row>
    <row r="12607" spans="1:9" ht="13.5">
      <c r="A12607" s="128">
        <v>2023</v>
      </c>
      <c r="B12607" s="128" t="s">
        <v>137</v>
      </c>
      <c r="C12607" s="128" t="s">
        <v>26</v>
      </c>
      <c r="D12607" s="128" t="s">
        <v>79</v>
      </c>
      <c r="E12607" s="128" t="s">
        <v>135</v>
      </c>
      <c r="F12607" s="128">
        <v>9995925.1999999993</v>
      </c>
      <c r="G12607" s="128">
        <v>2139077.5299999998</v>
      </c>
      <c r="H12607" s="128">
        <v>713554.54</v>
      </c>
      <c r="I12607" s="128">
        <v>8208</v>
      </c>
    </row>
    <row r="12608" spans="1:9" ht="13.5">
      <c r="A12608" s="128">
        <v>2023</v>
      </c>
      <c r="B12608" s="128" t="s">
        <v>137</v>
      </c>
      <c r="C12608" s="128" t="s">
        <v>26</v>
      </c>
      <c r="D12608" s="128" t="s">
        <v>77</v>
      </c>
      <c r="E12608" s="128" t="s">
        <v>132</v>
      </c>
      <c r="F12608" s="128">
        <v>128144.76</v>
      </c>
      <c r="G12608" s="128">
        <v>80652.86</v>
      </c>
      <c r="H12608" s="128">
        <v>37462.870000000003</v>
      </c>
      <c r="I12608" s="128">
        <v>473</v>
      </c>
    </row>
    <row r="12609" spans="1:9" ht="13.5">
      <c r="A12609" s="128">
        <v>2023</v>
      </c>
      <c r="B12609" s="128" t="s">
        <v>137</v>
      </c>
      <c r="C12609" s="128" t="s">
        <v>26</v>
      </c>
      <c r="D12609" s="128" t="s">
        <v>77</v>
      </c>
      <c r="E12609" s="128" t="s">
        <v>133</v>
      </c>
      <c r="F12609" s="128">
        <v>243251.71</v>
      </c>
      <c r="G12609" s="128">
        <v>130345.8</v>
      </c>
      <c r="H12609" s="128">
        <v>97631.47</v>
      </c>
      <c r="I12609" s="128">
        <v>736</v>
      </c>
    </row>
    <row r="12610" spans="1:9" ht="13.5">
      <c r="A12610" s="128">
        <v>2023</v>
      </c>
      <c r="B12610" s="128" t="s">
        <v>137</v>
      </c>
      <c r="C12610" s="128" t="s">
        <v>26</v>
      </c>
      <c r="D12610" s="128" t="s">
        <v>77</v>
      </c>
      <c r="E12610" s="128" t="s">
        <v>134</v>
      </c>
      <c r="F12610" s="128">
        <v>781643</v>
      </c>
      <c r="G12610" s="128">
        <v>335788.53</v>
      </c>
      <c r="H12610" s="128">
        <v>331404.21999999997</v>
      </c>
      <c r="I12610" s="128">
        <v>1603</v>
      </c>
    </row>
    <row r="12611" spans="1:9" ht="13.5">
      <c r="A12611" s="128">
        <v>2023</v>
      </c>
      <c r="B12611" s="128" t="s">
        <v>137</v>
      </c>
      <c r="C12611" s="128" t="s">
        <v>26</v>
      </c>
      <c r="D12611" s="128" t="s">
        <v>77</v>
      </c>
      <c r="E12611" s="128" t="s">
        <v>135</v>
      </c>
      <c r="F12611" s="128">
        <v>4125447.72</v>
      </c>
      <c r="G12611" s="128">
        <v>1139519.26</v>
      </c>
      <c r="H12611" s="128">
        <v>1170984.33</v>
      </c>
      <c r="I12611" s="128">
        <v>14968</v>
      </c>
    </row>
    <row r="12612" spans="1:9" ht="13.5">
      <c r="A12612" s="128">
        <v>2023</v>
      </c>
      <c r="B12612" s="128" t="s">
        <v>137</v>
      </c>
      <c r="C12612" s="128" t="s">
        <v>26</v>
      </c>
      <c r="D12612" s="128" t="s">
        <v>76</v>
      </c>
      <c r="E12612" s="128" t="s">
        <v>136</v>
      </c>
      <c r="F12612" s="128">
        <v>430558.91</v>
      </c>
      <c r="G12612" s="128">
        <v>323857.96000000002</v>
      </c>
      <c r="H12612" s="128">
        <v>106700.95</v>
      </c>
      <c r="I12612" s="128">
        <v>8275</v>
      </c>
    </row>
    <row r="12613" spans="1:9" ht="13.5">
      <c r="A12613" s="128">
        <v>2023</v>
      </c>
      <c r="B12613" s="128" t="s">
        <v>137</v>
      </c>
      <c r="C12613" s="128" t="s">
        <v>26</v>
      </c>
      <c r="D12613" s="128" t="s">
        <v>76</v>
      </c>
      <c r="E12613" s="128" t="s">
        <v>132</v>
      </c>
      <c r="F12613" s="128">
        <v>2120150.04</v>
      </c>
      <c r="G12613" s="128">
        <v>1352338.4</v>
      </c>
      <c r="H12613" s="128">
        <v>767797.02</v>
      </c>
      <c r="I12613" s="128">
        <v>14445</v>
      </c>
    </row>
    <row r="12614" spans="1:9" ht="13.5">
      <c r="A12614" s="128">
        <v>2023</v>
      </c>
      <c r="B12614" s="128" t="s">
        <v>137</v>
      </c>
      <c r="C12614" s="128" t="s">
        <v>26</v>
      </c>
      <c r="D12614" s="128" t="s">
        <v>76</v>
      </c>
      <c r="E12614" s="128" t="s">
        <v>133</v>
      </c>
      <c r="F12614" s="128">
        <v>5736554.5499999998</v>
      </c>
      <c r="G12614" s="128">
        <v>3171443.85</v>
      </c>
      <c r="H12614" s="128">
        <v>2565061.36</v>
      </c>
      <c r="I12614" s="128">
        <v>45436</v>
      </c>
    </row>
    <row r="12615" spans="1:9" ht="13.5">
      <c r="A12615" s="128">
        <v>2023</v>
      </c>
      <c r="B12615" s="128" t="s">
        <v>137</v>
      </c>
      <c r="C12615" s="128" t="s">
        <v>26</v>
      </c>
      <c r="D12615" s="128" t="s">
        <v>76</v>
      </c>
      <c r="E12615" s="128" t="s">
        <v>134</v>
      </c>
      <c r="F12615" s="128">
        <v>3269833.27</v>
      </c>
      <c r="G12615" s="128">
        <v>1509963.3</v>
      </c>
      <c r="H12615" s="128">
        <v>1759829.53</v>
      </c>
      <c r="I12615" s="128">
        <v>19660</v>
      </c>
    </row>
    <row r="12616" spans="1:9" ht="13.5">
      <c r="A12616" s="128">
        <v>2023</v>
      </c>
      <c r="B12616" s="128" t="s">
        <v>137</v>
      </c>
      <c r="C12616" s="128" t="s">
        <v>26</v>
      </c>
      <c r="D12616" s="128" t="s">
        <v>76</v>
      </c>
      <c r="E12616" s="128" t="s">
        <v>135</v>
      </c>
      <c r="F12616" s="128">
        <v>180843.63</v>
      </c>
      <c r="G12616" s="128">
        <v>54060.25</v>
      </c>
      <c r="H12616" s="128">
        <v>126783.38</v>
      </c>
      <c r="I12616" s="128">
        <v>190</v>
      </c>
    </row>
    <row r="12617" spans="1:9" ht="13.5">
      <c r="A12617" s="128">
        <v>2023</v>
      </c>
      <c r="B12617" s="128" t="s">
        <v>137</v>
      </c>
      <c r="C12617" s="128" t="s">
        <v>27</v>
      </c>
      <c r="D12617" s="128" t="s">
        <v>79</v>
      </c>
      <c r="E12617" s="128" t="s">
        <v>136</v>
      </c>
      <c r="F12617" s="128">
        <v>178727.17</v>
      </c>
      <c r="G12617" s="128">
        <v>129975.19</v>
      </c>
      <c r="H12617" s="128">
        <v>43093.73</v>
      </c>
      <c r="I12617" s="128">
        <v>1229</v>
      </c>
    </row>
    <row r="12618" spans="1:9" ht="13.5">
      <c r="A12618" s="128">
        <v>2023</v>
      </c>
      <c r="B12618" s="128" t="s">
        <v>137</v>
      </c>
      <c r="C12618" s="128" t="s">
        <v>27</v>
      </c>
      <c r="D12618" s="128" t="s">
        <v>79</v>
      </c>
      <c r="E12618" s="128" t="s">
        <v>132</v>
      </c>
      <c r="F12618" s="128">
        <v>39117.65</v>
      </c>
      <c r="G12618" s="128">
        <v>27230.400000000001</v>
      </c>
      <c r="H12618" s="128">
        <v>9073.7000000000007</v>
      </c>
      <c r="I12618" s="128">
        <v>125</v>
      </c>
    </row>
    <row r="12619" spans="1:9" ht="13.5">
      <c r="A12619" s="128">
        <v>2023</v>
      </c>
      <c r="B12619" s="128" t="s">
        <v>137</v>
      </c>
      <c r="C12619" s="128" t="s">
        <v>27</v>
      </c>
      <c r="D12619" s="128" t="s">
        <v>79</v>
      </c>
      <c r="E12619" s="128" t="s">
        <v>133</v>
      </c>
      <c r="F12619" s="128">
        <v>24602.66</v>
      </c>
      <c r="G12619" s="128">
        <v>13379.6</v>
      </c>
      <c r="H12619" s="128">
        <v>4363.51</v>
      </c>
      <c r="I12619" s="128">
        <v>41</v>
      </c>
    </row>
    <row r="12620" spans="1:9" ht="13.5">
      <c r="A12620" s="128">
        <v>2023</v>
      </c>
      <c r="B12620" s="128" t="s">
        <v>137</v>
      </c>
      <c r="C12620" s="128" t="s">
        <v>27</v>
      </c>
      <c r="D12620" s="128" t="s">
        <v>79</v>
      </c>
      <c r="E12620" s="128" t="s">
        <v>134</v>
      </c>
      <c r="F12620" s="128">
        <v>76040.02</v>
      </c>
      <c r="G12620" s="128">
        <v>33252.720000000001</v>
      </c>
      <c r="H12620" s="128">
        <v>10870</v>
      </c>
      <c r="I12620" s="128">
        <v>260</v>
      </c>
    </row>
    <row r="12621" spans="1:9" ht="13.5">
      <c r="A12621" s="128">
        <v>2023</v>
      </c>
      <c r="B12621" s="128" t="s">
        <v>137</v>
      </c>
      <c r="C12621" s="128" t="s">
        <v>27</v>
      </c>
      <c r="D12621" s="128" t="s">
        <v>79</v>
      </c>
      <c r="E12621" s="128" t="s">
        <v>135</v>
      </c>
      <c r="F12621" s="128">
        <v>1611813.79</v>
      </c>
      <c r="G12621" s="128">
        <v>361854.44</v>
      </c>
      <c r="H12621" s="128">
        <v>120572.55</v>
      </c>
      <c r="I12621" s="128">
        <v>940</v>
      </c>
    </row>
    <row r="12622" spans="1:9" ht="13.5">
      <c r="A12622" s="128">
        <v>2023</v>
      </c>
      <c r="B12622" s="128" t="s">
        <v>137</v>
      </c>
      <c r="C12622" s="128" t="s">
        <v>27</v>
      </c>
      <c r="D12622" s="128" t="s">
        <v>77</v>
      </c>
      <c r="E12622" s="128" t="s">
        <v>132</v>
      </c>
      <c r="F12622" s="128">
        <v>30466.93</v>
      </c>
      <c r="G12622" s="128">
        <v>18974.91</v>
      </c>
      <c r="H12622" s="128">
        <v>9331.66</v>
      </c>
      <c r="I12622" s="128">
        <v>129</v>
      </c>
    </row>
    <row r="12623" spans="1:9" ht="13.5">
      <c r="A12623" s="128">
        <v>2023</v>
      </c>
      <c r="B12623" s="128" t="s">
        <v>137</v>
      </c>
      <c r="C12623" s="128" t="s">
        <v>27</v>
      </c>
      <c r="D12623" s="128" t="s">
        <v>77</v>
      </c>
      <c r="E12623" s="128" t="s">
        <v>133</v>
      </c>
      <c r="F12623" s="128">
        <v>62291.82</v>
      </c>
      <c r="G12623" s="128">
        <v>33164.57</v>
      </c>
      <c r="H12623" s="128">
        <v>25991.31</v>
      </c>
      <c r="I12623" s="128">
        <v>222</v>
      </c>
    </row>
    <row r="12624" spans="1:9" ht="13.5">
      <c r="A12624" s="128">
        <v>2023</v>
      </c>
      <c r="B12624" s="128" t="s">
        <v>137</v>
      </c>
      <c r="C12624" s="128" t="s">
        <v>27</v>
      </c>
      <c r="D12624" s="128" t="s">
        <v>77</v>
      </c>
      <c r="E12624" s="128" t="s">
        <v>134</v>
      </c>
      <c r="F12624" s="128">
        <v>271305.53000000003</v>
      </c>
      <c r="G12624" s="128">
        <v>117794.93</v>
      </c>
      <c r="H12624" s="128">
        <v>113772.65</v>
      </c>
      <c r="I12624" s="128">
        <v>409</v>
      </c>
    </row>
    <row r="12625" spans="1:9" ht="13.5">
      <c r="A12625" s="128">
        <v>2023</v>
      </c>
      <c r="B12625" s="128" t="s">
        <v>137</v>
      </c>
      <c r="C12625" s="128" t="s">
        <v>27</v>
      </c>
      <c r="D12625" s="128" t="s">
        <v>77</v>
      </c>
      <c r="E12625" s="128" t="s">
        <v>135</v>
      </c>
      <c r="F12625" s="128">
        <v>682036.44</v>
      </c>
      <c r="G12625" s="128">
        <v>181983.33</v>
      </c>
      <c r="H12625" s="128">
        <v>200635.72</v>
      </c>
      <c r="I12625" s="128">
        <v>2145</v>
      </c>
    </row>
    <row r="12626" spans="1:9" ht="13.5">
      <c r="A12626" s="128">
        <v>2023</v>
      </c>
      <c r="B12626" s="128" t="s">
        <v>137</v>
      </c>
      <c r="C12626" s="128" t="s">
        <v>27</v>
      </c>
      <c r="D12626" s="128" t="s">
        <v>76</v>
      </c>
      <c r="E12626" s="128" t="s">
        <v>136</v>
      </c>
      <c r="F12626" s="128">
        <v>359760.67</v>
      </c>
      <c r="G12626" s="128">
        <v>269891.59999999998</v>
      </c>
      <c r="H12626" s="128">
        <v>89869.07</v>
      </c>
      <c r="I12626" s="128">
        <v>5381</v>
      </c>
    </row>
    <row r="12627" spans="1:9" ht="13.5">
      <c r="A12627" s="128">
        <v>2023</v>
      </c>
      <c r="B12627" s="128" t="s">
        <v>137</v>
      </c>
      <c r="C12627" s="128" t="s">
        <v>27</v>
      </c>
      <c r="D12627" s="128" t="s">
        <v>76</v>
      </c>
      <c r="E12627" s="128" t="s">
        <v>132</v>
      </c>
      <c r="F12627" s="128">
        <v>702428.25</v>
      </c>
      <c r="G12627" s="128">
        <v>447113.2</v>
      </c>
      <c r="H12627" s="128">
        <v>255315.04</v>
      </c>
      <c r="I12627" s="128">
        <v>4632</v>
      </c>
    </row>
    <row r="12628" spans="1:9" ht="13.5">
      <c r="A12628" s="128">
        <v>2023</v>
      </c>
      <c r="B12628" s="128" t="s">
        <v>137</v>
      </c>
      <c r="C12628" s="128" t="s">
        <v>27</v>
      </c>
      <c r="D12628" s="128" t="s">
        <v>76</v>
      </c>
      <c r="E12628" s="128" t="s">
        <v>133</v>
      </c>
      <c r="F12628" s="128">
        <v>1573461.12</v>
      </c>
      <c r="G12628" s="128">
        <v>858441.52</v>
      </c>
      <c r="H12628" s="128">
        <v>715018.41</v>
      </c>
      <c r="I12628" s="128">
        <v>7071</v>
      </c>
    </row>
    <row r="12629" spans="1:9" ht="13.5">
      <c r="A12629" s="128">
        <v>2023</v>
      </c>
      <c r="B12629" s="128" t="s">
        <v>137</v>
      </c>
      <c r="C12629" s="128" t="s">
        <v>27</v>
      </c>
      <c r="D12629" s="128" t="s">
        <v>76</v>
      </c>
      <c r="E12629" s="128" t="s">
        <v>134</v>
      </c>
      <c r="F12629" s="128">
        <v>1697095.14</v>
      </c>
      <c r="G12629" s="128">
        <v>787048.15</v>
      </c>
      <c r="H12629" s="128">
        <v>910039.27</v>
      </c>
      <c r="I12629" s="128">
        <v>9195</v>
      </c>
    </row>
    <row r="12630" spans="1:9" ht="13.5">
      <c r="A12630" s="128">
        <v>2023</v>
      </c>
      <c r="B12630" s="128" t="s">
        <v>137</v>
      </c>
      <c r="C12630" s="128" t="s">
        <v>27</v>
      </c>
      <c r="D12630" s="128" t="s">
        <v>76</v>
      </c>
      <c r="E12630" s="128" t="s">
        <v>135</v>
      </c>
      <c r="F12630" s="128">
        <v>59048.65</v>
      </c>
      <c r="G12630" s="128">
        <v>19171.5</v>
      </c>
      <c r="H12630" s="128">
        <v>39877.15</v>
      </c>
      <c r="I12630" s="128">
        <v>69</v>
      </c>
    </row>
    <row r="12631" spans="1:9" ht="13.5">
      <c r="A12631" s="128">
        <v>2024</v>
      </c>
      <c r="B12631" s="128" t="s">
        <v>131</v>
      </c>
      <c r="C12631" s="128" t="s">
        <v>20</v>
      </c>
      <c r="D12631" s="128" t="s">
        <v>79</v>
      </c>
      <c r="E12631" s="128" t="s">
        <v>136</v>
      </c>
      <c r="F12631" s="128">
        <v>35325531.060000002</v>
      </c>
      <c r="G12631" s="128">
        <v>26334997.969999999</v>
      </c>
      <c r="H12631" s="128">
        <v>8954562.5099999998</v>
      </c>
      <c r="I12631" s="128">
        <v>244519</v>
      </c>
    </row>
    <row r="12632" spans="1:9" ht="13.5">
      <c r="A12632" s="128">
        <v>2024</v>
      </c>
      <c r="B12632" s="128" t="s">
        <v>131</v>
      </c>
      <c r="C12632" s="128" t="s">
        <v>20</v>
      </c>
      <c r="D12632" s="128" t="s">
        <v>79</v>
      </c>
      <c r="E12632" s="128" t="s">
        <v>132</v>
      </c>
      <c r="F12632" s="128">
        <v>3064946.39</v>
      </c>
      <c r="G12632" s="128">
        <v>2069938.11</v>
      </c>
      <c r="H12632" s="128">
        <v>717446.25</v>
      </c>
      <c r="I12632" s="128">
        <v>9349</v>
      </c>
    </row>
    <row r="12633" spans="1:9" ht="13.5">
      <c r="A12633" s="128">
        <v>2024</v>
      </c>
      <c r="B12633" s="128" t="s">
        <v>131</v>
      </c>
      <c r="C12633" s="128" t="s">
        <v>20</v>
      </c>
      <c r="D12633" s="128" t="s">
        <v>79</v>
      </c>
      <c r="E12633" s="128" t="s">
        <v>133</v>
      </c>
      <c r="F12633" s="128">
        <v>2793728.08</v>
      </c>
      <c r="G12633" s="128">
        <v>1528562.91</v>
      </c>
      <c r="H12633" s="128">
        <v>516176.98</v>
      </c>
      <c r="I12633" s="128">
        <v>5435</v>
      </c>
    </row>
    <row r="12634" spans="1:9" ht="13.5">
      <c r="A12634" s="128">
        <v>2024</v>
      </c>
      <c r="B12634" s="128" t="s">
        <v>131</v>
      </c>
      <c r="C12634" s="128" t="s">
        <v>20</v>
      </c>
      <c r="D12634" s="128" t="s">
        <v>79</v>
      </c>
      <c r="E12634" s="128" t="s">
        <v>134</v>
      </c>
      <c r="F12634" s="128">
        <v>8177454.5899999999</v>
      </c>
      <c r="G12634" s="128">
        <v>3468883.14</v>
      </c>
      <c r="H12634" s="128">
        <v>1257257.58</v>
      </c>
      <c r="I12634" s="128">
        <v>16634</v>
      </c>
    </row>
    <row r="12635" spans="1:9" ht="13.5">
      <c r="A12635" s="128">
        <v>2024</v>
      </c>
      <c r="B12635" s="128" t="s">
        <v>131</v>
      </c>
      <c r="C12635" s="128" t="s">
        <v>20</v>
      </c>
      <c r="D12635" s="128" t="s">
        <v>79</v>
      </c>
      <c r="E12635" s="128" t="s">
        <v>135</v>
      </c>
      <c r="F12635" s="128">
        <v>135853104.47999999</v>
      </c>
      <c r="G12635" s="128">
        <v>28253493.719999999</v>
      </c>
      <c r="H12635" s="128">
        <v>9538825.6500000004</v>
      </c>
      <c r="I12635" s="128">
        <v>93893</v>
      </c>
    </row>
    <row r="12636" spans="1:9" ht="13.5">
      <c r="A12636" s="128">
        <v>2024</v>
      </c>
      <c r="B12636" s="128" t="s">
        <v>131</v>
      </c>
      <c r="C12636" s="128" t="s">
        <v>20</v>
      </c>
      <c r="D12636" s="128" t="s">
        <v>77</v>
      </c>
      <c r="E12636" s="128" t="s">
        <v>132</v>
      </c>
      <c r="F12636" s="128">
        <v>3063649.79</v>
      </c>
      <c r="G12636" s="128">
        <v>1971441.98</v>
      </c>
      <c r="H12636" s="128">
        <v>902168.94</v>
      </c>
      <c r="I12636" s="128">
        <v>10778</v>
      </c>
    </row>
    <row r="12637" spans="1:9" ht="13.5">
      <c r="A12637" s="128">
        <v>2024</v>
      </c>
      <c r="B12637" s="128" t="s">
        <v>131</v>
      </c>
      <c r="C12637" s="128" t="s">
        <v>20</v>
      </c>
      <c r="D12637" s="128" t="s">
        <v>77</v>
      </c>
      <c r="E12637" s="128" t="s">
        <v>133</v>
      </c>
      <c r="F12637" s="128">
        <v>7211068.8099999996</v>
      </c>
      <c r="G12637" s="128">
        <v>3863604.26</v>
      </c>
      <c r="H12637" s="128">
        <v>2878032.59</v>
      </c>
      <c r="I12637" s="128">
        <v>30475</v>
      </c>
    </row>
    <row r="12638" spans="1:9" ht="13.5">
      <c r="A12638" s="128">
        <v>2024</v>
      </c>
      <c r="B12638" s="128" t="s">
        <v>131</v>
      </c>
      <c r="C12638" s="128" t="s">
        <v>20</v>
      </c>
      <c r="D12638" s="128" t="s">
        <v>77</v>
      </c>
      <c r="E12638" s="128" t="s">
        <v>134</v>
      </c>
      <c r="F12638" s="128">
        <v>25245930.41</v>
      </c>
      <c r="G12638" s="128">
        <v>10831383.949999999</v>
      </c>
      <c r="H12638" s="128">
        <v>10715933.859999999</v>
      </c>
      <c r="I12638" s="128">
        <v>34404</v>
      </c>
    </row>
    <row r="12639" spans="1:9" ht="13.5">
      <c r="A12639" s="128">
        <v>2024</v>
      </c>
      <c r="B12639" s="128" t="s">
        <v>131</v>
      </c>
      <c r="C12639" s="128" t="s">
        <v>20</v>
      </c>
      <c r="D12639" s="128" t="s">
        <v>77</v>
      </c>
      <c r="E12639" s="128" t="s">
        <v>135</v>
      </c>
      <c r="F12639" s="128">
        <v>61595150.789999999</v>
      </c>
      <c r="G12639" s="128">
        <v>15617848.02</v>
      </c>
      <c r="H12639" s="128">
        <v>17273191.84</v>
      </c>
      <c r="I12639" s="128">
        <v>188221</v>
      </c>
    </row>
    <row r="12640" spans="1:9" ht="13.5">
      <c r="A12640" s="128">
        <v>2024</v>
      </c>
      <c r="B12640" s="128" t="s">
        <v>131</v>
      </c>
      <c r="C12640" s="128" t="s">
        <v>20</v>
      </c>
      <c r="D12640" s="128" t="s">
        <v>76</v>
      </c>
      <c r="E12640" s="128" t="s">
        <v>136</v>
      </c>
      <c r="F12640" s="128">
        <v>30644916.02</v>
      </c>
      <c r="G12640" s="128">
        <v>23111618.399999999</v>
      </c>
      <c r="H12640" s="128">
        <v>7533304.3700000001</v>
      </c>
      <c r="I12640" s="128">
        <v>999518</v>
      </c>
    </row>
    <row r="12641" spans="1:9" ht="13.5">
      <c r="A12641" s="128">
        <v>2024</v>
      </c>
      <c r="B12641" s="128" t="s">
        <v>131</v>
      </c>
      <c r="C12641" s="128" t="s">
        <v>20</v>
      </c>
      <c r="D12641" s="128" t="s">
        <v>76</v>
      </c>
      <c r="E12641" s="128" t="s">
        <v>132</v>
      </c>
      <c r="F12641" s="128">
        <v>68955942.260000005</v>
      </c>
      <c r="G12641" s="128">
        <v>44025058.060000002</v>
      </c>
      <c r="H12641" s="128">
        <v>24930191.219999999</v>
      </c>
      <c r="I12641" s="128">
        <v>500916</v>
      </c>
    </row>
    <row r="12642" spans="1:9" ht="13.5">
      <c r="A12642" s="128">
        <v>2024</v>
      </c>
      <c r="B12642" s="128" t="s">
        <v>131</v>
      </c>
      <c r="C12642" s="128" t="s">
        <v>20</v>
      </c>
      <c r="D12642" s="128" t="s">
        <v>76</v>
      </c>
      <c r="E12642" s="128" t="s">
        <v>133</v>
      </c>
      <c r="F12642" s="128">
        <v>137091470.94999999</v>
      </c>
      <c r="G12642" s="128">
        <v>75098749.5</v>
      </c>
      <c r="H12642" s="128">
        <v>61992636.43</v>
      </c>
      <c r="I12642" s="128">
        <v>685833</v>
      </c>
    </row>
    <row r="12643" spans="1:9" ht="13.5">
      <c r="A12643" s="128">
        <v>2024</v>
      </c>
      <c r="B12643" s="128" t="s">
        <v>131</v>
      </c>
      <c r="C12643" s="128" t="s">
        <v>20</v>
      </c>
      <c r="D12643" s="128" t="s">
        <v>76</v>
      </c>
      <c r="E12643" s="128" t="s">
        <v>134</v>
      </c>
      <c r="F12643" s="128">
        <v>128922323.76000001</v>
      </c>
      <c r="G12643" s="128">
        <v>59507457.899999999</v>
      </c>
      <c r="H12643" s="128">
        <v>69414693.909999996</v>
      </c>
      <c r="I12643" s="128">
        <v>708522</v>
      </c>
    </row>
    <row r="12644" spans="1:9" ht="13.5">
      <c r="A12644" s="128">
        <v>2024</v>
      </c>
      <c r="B12644" s="128" t="s">
        <v>131</v>
      </c>
      <c r="C12644" s="128" t="s">
        <v>20</v>
      </c>
      <c r="D12644" s="128" t="s">
        <v>76</v>
      </c>
      <c r="E12644" s="128" t="s">
        <v>135</v>
      </c>
      <c r="F12644" s="128">
        <v>6610077.04</v>
      </c>
      <c r="G12644" s="128">
        <v>1922905.79</v>
      </c>
      <c r="H12644" s="128">
        <v>4687171.17</v>
      </c>
      <c r="I12644" s="128">
        <v>5988</v>
      </c>
    </row>
    <row r="12645" spans="1:9" ht="13.5">
      <c r="A12645" s="128">
        <v>2024</v>
      </c>
      <c r="B12645" s="128" t="s">
        <v>131</v>
      </c>
      <c r="C12645" s="128" t="s">
        <v>21</v>
      </c>
      <c r="D12645" s="128" t="s">
        <v>79</v>
      </c>
      <c r="E12645" s="128" t="s">
        <v>136</v>
      </c>
      <c r="F12645" s="128">
        <v>5641162.3499999996</v>
      </c>
      <c r="G12645" s="128">
        <v>4244716.8499999996</v>
      </c>
      <c r="H12645" s="128">
        <v>1378776.07</v>
      </c>
      <c r="I12645" s="128">
        <v>99073</v>
      </c>
    </row>
    <row r="12646" spans="1:9" ht="13.5">
      <c r="A12646" s="128">
        <v>2024</v>
      </c>
      <c r="B12646" s="128" t="s">
        <v>131</v>
      </c>
      <c r="C12646" s="128" t="s">
        <v>21</v>
      </c>
      <c r="D12646" s="128" t="s">
        <v>79</v>
      </c>
      <c r="E12646" s="128" t="s">
        <v>132</v>
      </c>
      <c r="F12646" s="128">
        <v>1611253.31</v>
      </c>
      <c r="G12646" s="128">
        <v>1072733.58</v>
      </c>
      <c r="H12646" s="128">
        <v>358712.27</v>
      </c>
      <c r="I12646" s="128">
        <v>2580</v>
      </c>
    </row>
    <row r="12647" spans="1:9" ht="13.5">
      <c r="A12647" s="128">
        <v>2024</v>
      </c>
      <c r="B12647" s="128" t="s">
        <v>131</v>
      </c>
      <c r="C12647" s="128" t="s">
        <v>21</v>
      </c>
      <c r="D12647" s="128" t="s">
        <v>79</v>
      </c>
      <c r="E12647" s="128" t="s">
        <v>133</v>
      </c>
      <c r="F12647" s="128">
        <v>1952211.66</v>
      </c>
      <c r="G12647" s="128">
        <v>1041238.82</v>
      </c>
      <c r="H12647" s="128">
        <v>345172.13</v>
      </c>
      <c r="I12647" s="128">
        <v>7315</v>
      </c>
    </row>
    <row r="12648" spans="1:9" ht="13.5">
      <c r="A12648" s="128">
        <v>2024</v>
      </c>
      <c r="B12648" s="128" t="s">
        <v>131</v>
      </c>
      <c r="C12648" s="128" t="s">
        <v>21</v>
      </c>
      <c r="D12648" s="128" t="s">
        <v>79</v>
      </c>
      <c r="E12648" s="128" t="s">
        <v>134</v>
      </c>
      <c r="F12648" s="128">
        <v>4573058</v>
      </c>
      <c r="G12648" s="128">
        <v>2015505.37</v>
      </c>
      <c r="H12648" s="128">
        <v>676708.81</v>
      </c>
      <c r="I12648" s="128">
        <v>12016</v>
      </c>
    </row>
    <row r="12649" spans="1:9" ht="13.5">
      <c r="A12649" s="128">
        <v>2024</v>
      </c>
      <c r="B12649" s="128" t="s">
        <v>131</v>
      </c>
      <c r="C12649" s="128" t="s">
        <v>21</v>
      </c>
      <c r="D12649" s="128" t="s">
        <v>79</v>
      </c>
      <c r="E12649" s="128" t="s">
        <v>135</v>
      </c>
      <c r="F12649" s="128">
        <v>53783200.460000001</v>
      </c>
      <c r="G12649" s="128">
        <v>11845779.08</v>
      </c>
      <c r="H12649" s="128">
        <v>3965465.96</v>
      </c>
      <c r="I12649" s="128">
        <v>35506</v>
      </c>
    </row>
    <row r="12650" spans="1:9" ht="13.5">
      <c r="A12650" s="128">
        <v>2024</v>
      </c>
      <c r="B12650" s="128" t="s">
        <v>131</v>
      </c>
      <c r="C12650" s="128" t="s">
        <v>21</v>
      </c>
      <c r="D12650" s="128" t="s">
        <v>77</v>
      </c>
      <c r="E12650" s="128" t="s">
        <v>132</v>
      </c>
      <c r="F12650" s="128">
        <v>2781797.04</v>
      </c>
      <c r="G12650" s="128">
        <v>1747046.12</v>
      </c>
      <c r="H12650" s="128">
        <v>789936.39</v>
      </c>
      <c r="I12650" s="128">
        <v>12395</v>
      </c>
    </row>
    <row r="12651" spans="1:9" ht="13.5">
      <c r="A12651" s="128">
        <v>2024</v>
      </c>
      <c r="B12651" s="128" t="s">
        <v>131</v>
      </c>
      <c r="C12651" s="128" t="s">
        <v>21</v>
      </c>
      <c r="D12651" s="128" t="s">
        <v>77</v>
      </c>
      <c r="E12651" s="128" t="s">
        <v>133</v>
      </c>
      <c r="F12651" s="128">
        <v>8408547.6699999999</v>
      </c>
      <c r="G12651" s="128">
        <v>4507038.87</v>
      </c>
      <c r="H12651" s="128">
        <v>3257174.39</v>
      </c>
      <c r="I12651" s="128">
        <v>19756</v>
      </c>
    </row>
    <row r="12652" spans="1:9" ht="13.5">
      <c r="A12652" s="128">
        <v>2024</v>
      </c>
      <c r="B12652" s="128" t="s">
        <v>131</v>
      </c>
      <c r="C12652" s="128" t="s">
        <v>21</v>
      </c>
      <c r="D12652" s="128" t="s">
        <v>77</v>
      </c>
      <c r="E12652" s="128" t="s">
        <v>134</v>
      </c>
      <c r="F12652" s="128">
        <v>28502731.98</v>
      </c>
      <c r="G12652" s="128">
        <v>12174655.82</v>
      </c>
      <c r="H12652" s="128">
        <v>11535017.800000001</v>
      </c>
      <c r="I12652" s="128">
        <v>42648</v>
      </c>
    </row>
    <row r="12653" spans="1:9" ht="13.5">
      <c r="A12653" s="128">
        <v>2024</v>
      </c>
      <c r="B12653" s="128" t="s">
        <v>131</v>
      </c>
      <c r="C12653" s="128" t="s">
        <v>21</v>
      </c>
      <c r="D12653" s="128" t="s">
        <v>77</v>
      </c>
      <c r="E12653" s="128" t="s">
        <v>135</v>
      </c>
      <c r="F12653" s="128">
        <v>68255834.659999996</v>
      </c>
      <c r="G12653" s="128">
        <v>17520707.760000002</v>
      </c>
      <c r="H12653" s="128">
        <v>18806023.030000001</v>
      </c>
      <c r="I12653" s="128">
        <v>212552</v>
      </c>
    </row>
    <row r="12654" spans="1:9" ht="13.5">
      <c r="A12654" s="128">
        <v>2024</v>
      </c>
      <c r="B12654" s="128" t="s">
        <v>131</v>
      </c>
      <c r="C12654" s="128" t="s">
        <v>21</v>
      </c>
      <c r="D12654" s="128" t="s">
        <v>76</v>
      </c>
      <c r="E12654" s="128" t="s">
        <v>136</v>
      </c>
      <c r="F12654" s="128">
        <v>22245177.899999999</v>
      </c>
      <c r="G12654" s="128">
        <v>16760551.16</v>
      </c>
      <c r="H12654" s="128">
        <v>5484628.0899999999</v>
      </c>
      <c r="I12654" s="128">
        <v>333605</v>
      </c>
    </row>
    <row r="12655" spans="1:9" ht="13.5">
      <c r="A12655" s="128">
        <v>2024</v>
      </c>
      <c r="B12655" s="128" t="s">
        <v>131</v>
      </c>
      <c r="C12655" s="128" t="s">
        <v>21</v>
      </c>
      <c r="D12655" s="128" t="s">
        <v>76</v>
      </c>
      <c r="E12655" s="128" t="s">
        <v>132</v>
      </c>
      <c r="F12655" s="128">
        <v>70864632.510000005</v>
      </c>
      <c r="G12655" s="128">
        <v>45229500.5</v>
      </c>
      <c r="H12655" s="128">
        <v>25634660.789999999</v>
      </c>
      <c r="I12655" s="128">
        <v>527379</v>
      </c>
    </row>
    <row r="12656" spans="1:9" ht="13.5">
      <c r="A12656" s="128">
        <v>2024</v>
      </c>
      <c r="B12656" s="128" t="s">
        <v>131</v>
      </c>
      <c r="C12656" s="128" t="s">
        <v>21</v>
      </c>
      <c r="D12656" s="128" t="s">
        <v>76</v>
      </c>
      <c r="E12656" s="128" t="s">
        <v>133</v>
      </c>
      <c r="F12656" s="128">
        <v>140208483.75999999</v>
      </c>
      <c r="G12656" s="128">
        <v>77074425.040000007</v>
      </c>
      <c r="H12656" s="128">
        <v>63133912.43</v>
      </c>
      <c r="I12656" s="128">
        <v>754598</v>
      </c>
    </row>
    <row r="12657" spans="1:9" ht="13.5">
      <c r="A12657" s="128">
        <v>2024</v>
      </c>
      <c r="B12657" s="128" t="s">
        <v>131</v>
      </c>
      <c r="C12657" s="128" t="s">
        <v>21</v>
      </c>
      <c r="D12657" s="128" t="s">
        <v>76</v>
      </c>
      <c r="E12657" s="128" t="s">
        <v>134</v>
      </c>
      <c r="F12657" s="128">
        <v>86343510.849999994</v>
      </c>
      <c r="G12657" s="128">
        <v>40054839.600000001</v>
      </c>
      <c r="H12657" s="128">
        <v>46288586.310000002</v>
      </c>
      <c r="I12657" s="128">
        <v>541713</v>
      </c>
    </row>
    <row r="12658" spans="1:9" ht="13.5">
      <c r="A12658" s="128">
        <v>2024</v>
      </c>
      <c r="B12658" s="128" t="s">
        <v>131</v>
      </c>
      <c r="C12658" s="128" t="s">
        <v>21</v>
      </c>
      <c r="D12658" s="128" t="s">
        <v>76</v>
      </c>
      <c r="E12658" s="128" t="s">
        <v>135</v>
      </c>
      <c r="F12658" s="128">
        <v>3630804.36</v>
      </c>
      <c r="G12658" s="128">
        <v>1040669.73</v>
      </c>
      <c r="H12658" s="128">
        <v>2590134.63</v>
      </c>
      <c r="I12658" s="128">
        <v>4833</v>
      </c>
    </row>
    <row r="12659" spans="1:9" ht="13.5">
      <c r="A12659" s="128">
        <v>2024</v>
      </c>
      <c r="B12659" s="128" t="s">
        <v>131</v>
      </c>
      <c r="C12659" s="128" t="s">
        <v>22</v>
      </c>
      <c r="D12659" s="128" t="s">
        <v>79</v>
      </c>
      <c r="E12659" s="128" t="s">
        <v>136</v>
      </c>
      <c r="F12659" s="128">
        <v>4064946.41</v>
      </c>
      <c r="G12659" s="128">
        <v>3012903.33</v>
      </c>
      <c r="H12659" s="128">
        <v>1012037.38</v>
      </c>
      <c r="I12659" s="128">
        <v>54780</v>
      </c>
    </row>
    <row r="12660" spans="1:9" ht="13.5">
      <c r="A12660" s="128">
        <v>2024</v>
      </c>
      <c r="B12660" s="128" t="s">
        <v>131</v>
      </c>
      <c r="C12660" s="128" t="s">
        <v>22</v>
      </c>
      <c r="D12660" s="128" t="s">
        <v>79</v>
      </c>
      <c r="E12660" s="128" t="s">
        <v>132</v>
      </c>
      <c r="F12660" s="128">
        <v>988243.71</v>
      </c>
      <c r="G12660" s="128">
        <v>660231.13</v>
      </c>
      <c r="H12660" s="128">
        <v>221485.64</v>
      </c>
      <c r="I12660" s="128">
        <v>1710</v>
      </c>
    </row>
    <row r="12661" spans="1:9" ht="13.5">
      <c r="A12661" s="128">
        <v>2024</v>
      </c>
      <c r="B12661" s="128" t="s">
        <v>131</v>
      </c>
      <c r="C12661" s="128" t="s">
        <v>22</v>
      </c>
      <c r="D12661" s="128" t="s">
        <v>79</v>
      </c>
      <c r="E12661" s="128" t="s">
        <v>133</v>
      </c>
      <c r="F12661" s="128">
        <v>2140866.7000000002</v>
      </c>
      <c r="G12661" s="128">
        <v>1172697.55</v>
      </c>
      <c r="H12661" s="128">
        <v>387917.63</v>
      </c>
      <c r="I12661" s="128">
        <v>3446</v>
      </c>
    </row>
    <row r="12662" spans="1:9" ht="13.5">
      <c r="A12662" s="128">
        <v>2024</v>
      </c>
      <c r="B12662" s="128" t="s">
        <v>131</v>
      </c>
      <c r="C12662" s="128" t="s">
        <v>22</v>
      </c>
      <c r="D12662" s="128" t="s">
        <v>79</v>
      </c>
      <c r="E12662" s="128" t="s">
        <v>134</v>
      </c>
      <c r="F12662" s="128">
        <v>5429257.4800000004</v>
      </c>
      <c r="G12662" s="128">
        <v>2353623.12</v>
      </c>
      <c r="H12662" s="128">
        <v>786246.9</v>
      </c>
      <c r="I12662" s="128">
        <v>19738</v>
      </c>
    </row>
    <row r="12663" spans="1:9" ht="13.5">
      <c r="A12663" s="128">
        <v>2024</v>
      </c>
      <c r="B12663" s="128" t="s">
        <v>131</v>
      </c>
      <c r="C12663" s="128" t="s">
        <v>22</v>
      </c>
      <c r="D12663" s="128" t="s">
        <v>79</v>
      </c>
      <c r="E12663" s="128" t="s">
        <v>135</v>
      </c>
      <c r="F12663" s="128">
        <v>64599091.119999997</v>
      </c>
      <c r="G12663" s="128">
        <v>13743007.82</v>
      </c>
      <c r="H12663" s="128">
        <v>4589492.82</v>
      </c>
      <c r="I12663" s="128">
        <v>45632</v>
      </c>
    </row>
    <row r="12664" spans="1:9" ht="13.5">
      <c r="A12664" s="128">
        <v>2024</v>
      </c>
      <c r="B12664" s="128" t="s">
        <v>131</v>
      </c>
      <c r="C12664" s="128" t="s">
        <v>22</v>
      </c>
      <c r="D12664" s="128" t="s">
        <v>77</v>
      </c>
      <c r="E12664" s="128" t="s">
        <v>132</v>
      </c>
      <c r="F12664" s="128">
        <v>1722440.56</v>
      </c>
      <c r="G12664" s="128">
        <v>1037185.24</v>
      </c>
      <c r="H12664" s="128">
        <v>485422.68</v>
      </c>
      <c r="I12664" s="128">
        <v>7417</v>
      </c>
    </row>
    <row r="12665" spans="1:9" ht="13.5">
      <c r="A12665" s="128">
        <v>2024</v>
      </c>
      <c r="B12665" s="128" t="s">
        <v>131</v>
      </c>
      <c r="C12665" s="128" t="s">
        <v>22</v>
      </c>
      <c r="D12665" s="128" t="s">
        <v>77</v>
      </c>
      <c r="E12665" s="128" t="s">
        <v>133</v>
      </c>
      <c r="F12665" s="128">
        <v>6540100.0700000003</v>
      </c>
      <c r="G12665" s="128">
        <v>3493588.76</v>
      </c>
      <c r="H12665" s="128">
        <v>2470950.6</v>
      </c>
      <c r="I12665" s="128">
        <v>29956</v>
      </c>
    </row>
    <row r="12666" spans="1:9" ht="13.5">
      <c r="A12666" s="128">
        <v>2024</v>
      </c>
      <c r="B12666" s="128" t="s">
        <v>131</v>
      </c>
      <c r="C12666" s="128" t="s">
        <v>22</v>
      </c>
      <c r="D12666" s="128" t="s">
        <v>77</v>
      </c>
      <c r="E12666" s="128" t="s">
        <v>134</v>
      </c>
      <c r="F12666" s="128">
        <v>30167550.370000001</v>
      </c>
      <c r="G12666" s="128">
        <v>12765362.720000001</v>
      </c>
      <c r="H12666" s="128">
        <v>12397924.9</v>
      </c>
      <c r="I12666" s="128">
        <v>42126</v>
      </c>
    </row>
    <row r="12667" spans="1:9" ht="13.5">
      <c r="A12667" s="128">
        <v>2024</v>
      </c>
      <c r="B12667" s="128" t="s">
        <v>131</v>
      </c>
      <c r="C12667" s="128" t="s">
        <v>22</v>
      </c>
      <c r="D12667" s="128" t="s">
        <v>77</v>
      </c>
      <c r="E12667" s="128" t="s">
        <v>135</v>
      </c>
      <c r="F12667" s="128">
        <v>63271501.5</v>
      </c>
      <c r="G12667" s="128">
        <v>15526498.789999999</v>
      </c>
      <c r="H12667" s="128">
        <v>16862722.550000001</v>
      </c>
      <c r="I12667" s="128">
        <v>165572</v>
      </c>
    </row>
    <row r="12668" spans="1:9" ht="13.5">
      <c r="A12668" s="128">
        <v>2024</v>
      </c>
      <c r="B12668" s="128" t="s">
        <v>131</v>
      </c>
      <c r="C12668" s="128" t="s">
        <v>22</v>
      </c>
      <c r="D12668" s="128" t="s">
        <v>76</v>
      </c>
      <c r="E12668" s="128" t="s">
        <v>136</v>
      </c>
      <c r="F12668" s="128">
        <v>20215428.390000001</v>
      </c>
      <c r="G12668" s="128">
        <v>15206797.810000001</v>
      </c>
      <c r="H12668" s="128">
        <v>5008638.53</v>
      </c>
      <c r="I12668" s="128">
        <v>331449</v>
      </c>
    </row>
    <row r="12669" spans="1:9" ht="13.5">
      <c r="A12669" s="128">
        <v>2024</v>
      </c>
      <c r="B12669" s="128" t="s">
        <v>131</v>
      </c>
      <c r="C12669" s="128" t="s">
        <v>22</v>
      </c>
      <c r="D12669" s="128" t="s">
        <v>76</v>
      </c>
      <c r="E12669" s="128" t="s">
        <v>132</v>
      </c>
      <c r="F12669" s="128">
        <v>54642748.609999999</v>
      </c>
      <c r="G12669" s="128">
        <v>34863198.049999997</v>
      </c>
      <c r="H12669" s="128">
        <v>19778518.75</v>
      </c>
      <c r="I12669" s="128">
        <v>405046</v>
      </c>
    </row>
    <row r="12670" spans="1:9" ht="13.5">
      <c r="A12670" s="128">
        <v>2024</v>
      </c>
      <c r="B12670" s="128" t="s">
        <v>131</v>
      </c>
      <c r="C12670" s="128" t="s">
        <v>22</v>
      </c>
      <c r="D12670" s="128" t="s">
        <v>76</v>
      </c>
      <c r="E12670" s="128" t="s">
        <v>133</v>
      </c>
      <c r="F12670" s="128">
        <v>91646043.280000001</v>
      </c>
      <c r="G12670" s="128">
        <v>50646039.369999997</v>
      </c>
      <c r="H12670" s="128">
        <v>40999851.469999999</v>
      </c>
      <c r="I12670" s="128">
        <v>637966</v>
      </c>
    </row>
    <row r="12671" spans="1:9" ht="13.5">
      <c r="A12671" s="128">
        <v>2024</v>
      </c>
      <c r="B12671" s="128" t="s">
        <v>131</v>
      </c>
      <c r="C12671" s="128" t="s">
        <v>22</v>
      </c>
      <c r="D12671" s="128" t="s">
        <v>76</v>
      </c>
      <c r="E12671" s="128" t="s">
        <v>134</v>
      </c>
      <c r="F12671" s="128">
        <v>76137365.680000007</v>
      </c>
      <c r="G12671" s="128">
        <v>35292354.359999999</v>
      </c>
      <c r="H12671" s="128">
        <v>40844398.920000002</v>
      </c>
      <c r="I12671" s="128">
        <v>494310</v>
      </c>
    </row>
    <row r="12672" spans="1:9" ht="13.5">
      <c r="A12672" s="128">
        <v>2024</v>
      </c>
      <c r="B12672" s="128" t="s">
        <v>131</v>
      </c>
      <c r="C12672" s="128" t="s">
        <v>22</v>
      </c>
      <c r="D12672" s="128" t="s">
        <v>76</v>
      </c>
      <c r="E12672" s="128" t="s">
        <v>135</v>
      </c>
      <c r="F12672" s="128">
        <v>3833710.83</v>
      </c>
      <c r="G12672" s="128">
        <v>1065313.1200000001</v>
      </c>
      <c r="H12672" s="128">
        <v>2768397.57</v>
      </c>
      <c r="I12672" s="128">
        <v>3202</v>
      </c>
    </row>
    <row r="12673" spans="1:9" ht="13.5">
      <c r="A12673" s="128">
        <v>2024</v>
      </c>
      <c r="B12673" s="128" t="s">
        <v>131</v>
      </c>
      <c r="C12673" s="128" t="s">
        <v>23</v>
      </c>
      <c r="D12673" s="128" t="s">
        <v>79</v>
      </c>
      <c r="E12673" s="128" t="s">
        <v>136</v>
      </c>
      <c r="F12673" s="128">
        <v>1789832.01</v>
      </c>
      <c r="G12673" s="128">
        <v>1319443.1299999999</v>
      </c>
      <c r="H12673" s="128">
        <v>435455.84</v>
      </c>
      <c r="I12673" s="128">
        <v>7940</v>
      </c>
    </row>
    <row r="12674" spans="1:9" ht="13.5">
      <c r="A12674" s="128">
        <v>2024</v>
      </c>
      <c r="B12674" s="128" t="s">
        <v>131</v>
      </c>
      <c r="C12674" s="128" t="s">
        <v>23</v>
      </c>
      <c r="D12674" s="128" t="s">
        <v>79</v>
      </c>
      <c r="E12674" s="128" t="s">
        <v>132</v>
      </c>
      <c r="F12674" s="128">
        <v>546927.35</v>
      </c>
      <c r="G12674" s="128">
        <v>364037.43</v>
      </c>
      <c r="H12674" s="128">
        <v>121993.63</v>
      </c>
      <c r="I12674" s="128">
        <v>509</v>
      </c>
    </row>
    <row r="12675" spans="1:9" ht="13.5">
      <c r="A12675" s="128">
        <v>2024</v>
      </c>
      <c r="B12675" s="128" t="s">
        <v>131</v>
      </c>
      <c r="C12675" s="128" t="s">
        <v>23</v>
      </c>
      <c r="D12675" s="128" t="s">
        <v>79</v>
      </c>
      <c r="E12675" s="128" t="s">
        <v>133</v>
      </c>
      <c r="F12675" s="128">
        <v>308072.78000000003</v>
      </c>
      <c r="G12675" s="128">
        <v>165481.38</v>
      </c>
      <c r="H12675" s="128">
        <v>54704.91</v>
      </c>
      <c r="I12675" s="128">
        <v>421</v>
      </c>
    </row>
    <row r="12676" spans="1:9" ht="13.5">
      <c r="A12676" s="128">
        <v>2024</v>
      </c>
      <c r="B12676" s="128" t="s">
        <v>131</v>
      </c>
      <c r="C12676" s="128" t="s">
        <v>23</v>
      </c>
      <c r="D12676" s="128" t="s">
        <v>79</v>
      </c>
      <c r="E12676" s="128" t="s">
        <v>134</v>
      </c>
      <c r="F12676" s="128">
        <v>796797.97</v>
      </c>
      <c r="G12676" s="128">
        <v>337321.5</v>
      </c>
      <c r="H12676" s="128">
        <v>111223.06</v>
      </c>
      <c r="I12676" s="128">
        <v>1399</v>
      </c>
    </row>
    <row r="12677" spans="1:9" ht="13.5">
      <c r="A12677" s="128">
        <v>2024</v>
      </c>
      <c r="B12677" s="128" t="s">
        <v>131</v>
      </c>
      <c r="C12677" s="128" t="s">
        <v>23</v>
      </c>
      <c r="D12677" s="128" t="s">
        <v>79</v>
      </c>
      <c r="E12677" s="128" t="s">
        <v>135</v>
      </c>
      <c r="F12677" s="128">
        <v>8882589.2400000002</v>
      </c>
      <c r="G12677" s="128">
        <v>1868967.99</v>
      </c>
      <c r="H12677" s="128">
        <v>623178.37</v>
      </c>
      <c r="I12677" s="128">
        <v>3924</v>
      </c>
    </row>
    <row r="12678" spans="1:9" ht="13.5">
      <c r="A12678" s="128">
        <v>2024</v>
      </c>
      <c r="B12678" s="128" t="s">
        <v>131</v>
      </c>
      <c r="C12678" s="128" t="s">
        <v>23</v>
      </c>
      <c r="D12678" s="128" t="s">
        <v>77</v>
      </c>
      <c r="E12678" s="128" t="s">
        <v>132</v>
      </c>
      <c r="F12678" s="128">
        <v>568823.5</v>
      </c>
      <c r="G12678" s="128">
        <v>339880.39</v>
      </c>
      <c r="H12678" s="128">
        <v>163457.73000000001</v>
      </c>
      <c r="I12678" s="128">
        <v>2717</v>
      </c>
    </row>
    <row r="12679" spans="1:9" ht="13.5">
      <c r="A12679" s="128">
        <v>2024</v>
      </c>
      <c r="B12679" s="128" t="s">
        <v>131</v>
      </c>
      <c r="C12679" s="128" t="s">
        <v>23</v>
      </c>
      <c r="D12679" s="128" t="s">
        <v>77</v>
      </c>
      <c r="E12679" s="128" t="s">
        <v>133</v>
      </c>
      <c r="F12679" s="128">
        <v>2218429.5299999998</v>
      </c>
      <c r="G12679" s="128">
        <v>1187259.02</v>
      </c>
      <c r="H12679" s="128">
        <v>890349.05</v>
      </c>
      <c r="I12679" s="128">
        <v>7003</v>
      </c>
    </row>
    <row r="12680" spans="1:9" ht="13.5">
      <c r="A12680" s="128">
        <v>2024</v>
      </c>
      <c r="B12680" s="128" t="s">
        <v>131</v>
      </c>
      <c r="C12680" s="128" t="s">
        <v>23</v>
      </c>
      <c r="D12680" s="128" t="s">
        <v>77</v>
      </c>
      <c r="E12680" s="128" t="s">
        <v>134</v>
      </c>
      <c r="F12680" s="128">
        <v>16267086.640000001</v>
      </c>
      <c r="G12680" s="128">
        <v>6883013.3499999996</v>
      </c>
      <c r="H12680" s="128">
        <v>6776675.1399999997</v>
      </c>
      <c r="I12680" s="128">
        <v>22083</v>
      </c>
    </row>
    <row r="12681" spans="1:9" ht="13.5">
      <c r="A12681" s="128">
        <v>2024</v>
      </c>
      <c r="B12681" s="128" t="s">
        <v>131</v>
      </c>
      <c r="C12681" s="128" t="s">
        <v>23</v>
      </c>
      <c r="D12681" s="128" t="s">
        <v>77</v>
      </c>
      <c r="E12681" s="128" t="s">
        <v>135</v>
      </c>
      <c r="F12681" s="128">
        <v>19777468.800000001</v>
      </c>
      <c r="G12681" s="128">
        <v>5383134.0199999996</v>
      </c>
      <c r="H12681" s="128">
        <v>5991459.1600000001</v>
      </c>
      <c r="I12681" s="128">
        <v>66033</v>
      </c>
    </row>
    <row r="12682" spans="1:9" ht="13.5">
      <c r="A12682" s="128">
        <v>2024</v>
      </c>
      <c r="B12682" s="128" t="s">
        <v>131</v>
      </c>
      <c r="C12682" s="128" t="s">
        <v>23</v>
      </c>
      <c r="D12682" s="128" t="s">
        <v>76</v>
      </c>
      <c r="E12682" s="128" t="s">
        <v>136</v>
      </c>
      <c r="F12682" s="128">
        <v>9998448.0500000007</v>
      </c>
      <c r="G12682" s="128">
        <v>7505652.5199999996</v>
      </c>
      <c r="H12682" s="128">
        <v>2492795.4300000002</v>
      </c>
      <c r="I12682" s="128">
        <v>189546</v>
      </c>
    </row>
    <row r="12683" spans="1:9" ht="13.5">
      <c r="A12683" s="128">
        <v>2024</v>
      </c>
      <c r="B12683" s="128" t="s">
        <v>131</v>
      </c>
      <c r="C12683" s="128" t="s">
        <v>23</v>
      </c>
      <c r="D12683" s="128" t="s">
        <v>76</v>
      </c>
      <c r="E12683" s="128" t="s">
        <v>132</v>
      </c>
      <c r="F12683" s="128">
        <v>18102230.469999999</v>
      </c>
      <c r="G12683" s="128">
        <v>11410227.9</v>
      </c>
      <c r="H12683" s="128">
        <v>6691887.3799999999</v>
      </c>
      <c r="I12683" s="128">
        <v>129878</v>
      </c>
    </row>
    <row r="12684" spans="1:9" ht="13.5">
      <c r="A12684" s="128">
        <v>2024</v>
      </c>
      <c r="B12684" s="128" t="s">
        <v>131</v>
      </c>
      <c r="C12684" s="128" t="s">
        <v>23</v>
      </c>
      <c r="D12684" s="128" t="s">
        <v>76</v>
      </c>
      <c r="E12684" s="128" t="s">
        <v>133</v>
      </c>
      <c r="F12684" s="128">
        <v>36384454.689999998</v>
      </c>
      <c r="G12684" s="128">
        <v>19769329.949999999</v>
      </c>
      <c r="H12684" s="128">
        <v>16615096.539999999</v>
      </c>
      <c r="I12684" s="128">
        <v>213168</v>
      </c>
    </row>
    <row r="12685" spans="1:9" ht="13.5">
      <c r="A12685" s="128">
        <v>2024</v>
      </c>
      <c r="B12685" s="128" t="s">
        <v>131</v>
      </c>
      <c r="C12685" s="128" t="s">
        <v>23</v>
      </c>
      <c r="D12685" s="128" t="s">
        <v>76</v>
      </c>
      <c r="E12685" s="128" t="s">
        <v>134</v>
      </c>
      <c r="F12685" s="128">
        <v>30974761.27</v>
      </c>
      <c r="G12685" s="128">
        <v>14428075.25</v>
      </c>
      <c r="H12685" s="128">
        <v>16546678.58</v>
      </c>
      <c r="I12685" s="128">
        <v>141271</v>
      </c>
    </row>
    <row r="12686" spans="1:9" ht="13.5">
      <c r="A12686" s="128">
        <v>2024</v>
      </c>
      <c r="B12686" s="128" t="s">
        <v>131</v>
      </c>
      <c r="C12686" s="128" t="s">
        <v>23</v>
      </c>
      <c r="D12686" s="128" t="s">
        <v>76</v>
      </c>
      <c r="E12686" s="128" t="s">
        <v>135</v>
      </c>
      <c r="F12686" s="128">
        <v>912039.2</v>
      </c>
      <c r="G12686" s="128">
        <v>262231.5</v>
      </c>
      <c r="H12686" s="128">
        <v>649807.69999999995</v>
      </c>
      <c r="I12686" s="128">
        <v>730</v>
      </c>
    </row>
    <row r="12687" spans="1:9" ht="13.5">
      <c r="A12687" s="128">
        <v>2024</v>
      </c>
      <c r="B12687" s="128" t="s">
        <v>131</v>
      </c>
      <c r="C12687" s="128" t="s">
        <v>24</v>
      </c>
      <c r="D12687" s="128" t="s">
        <v>79</v>
      </c>
      <c r="E12687" s="128" t="s">
        <v>136</v>
      </c>
      <c r="F12687" s="128">
        <v>2174612.12</v>
      </c>
      <c r="G12687" s="128">
        <v>1629747.02</v>
      </c>
      <c r="H12687" s="128">
        <v>536106.68999999994</v>
      </c>
      <c r="I12687" s="128">
        <v>27518</v>
      </c>
    </row>
    <row r="12688" spans="1:9" ht="13.5">
      <c r="A12688" s="128">
        <v>2024</v>
      </c>
      <c r="B12688" s="128" t="s">
        <v>131</v>
      </c>
      <c r="C12688" s="128" t="s">
        <v>24</v>
      </c>
      <c r="D12688" s="128" t="s">
        <v>79</v>
      </c>
      <c r="E12688" s="128" t="s">
        <v>132</v>
      </c>
      <c r="F12688" s="128">
        <v>556757.98</v>
      </c>
      <c r="G12688" s="128">
        <v>370477.01</v>
      </c>
      <c r="H12688" s="128">
        <v>123010.98</v>
      </c>
      <c r="I12688" s="128">
        <v>966</v>
      </c>
    </row>
    <row r="12689" spans="1:9" ht="13.5">
      <c r="A12689" s="128">
        <v>2024</v>
      </c>
      <c r="B12689" s="128" t="s">
        <v>131</v>
      </c>
      <c r="C12689" s="128" t="s">
        <v>24</v>
      </c>
      <c r="D12689" s="128" t="s">
        <v>79</v>
      </c>
      <c r="E12689" s="128" t="s">
        <v>133</v>
      </c>
      <c r="F12689" s="128">
        <v>666059.11</v>
      </c>
      <c r="G12689" s="128">
        <v>359201.56</v>
      </c>
      <c r="H12689" s="128">
        <v>116328.49</v>
      </c>
      <c r="I12689" s="128">
        <v>1325</v>
      </c>
    </row>
    <row r="12690" spans="1:9" ht="13.5">
      <c r="A12690" s="128">
        <v>2024</v>
      </c>
      <c r="B12690" s="128" t="s">
        <v>131</v>
      </c>
      <c r="C12690" s="128" t="s">
        <v>24</v>
      </c>
      <c r="D12690" s="128" t="s">
        <v>79</v>
      </c>
      <c r="E12690" s="128" t="s">
        <v>134</v>
      </c>
      <c r="F12690" s="128">
        <v>2363689.81</v>
      </c>
      <c r="G12690" s="128">
        <v>1020683.91</v>
      </c>
      <c r="H12690" s="128">
        <v>342493.54</v>
      </c>
      <c r="I12690" s="128">
        <v>9061</v>
      </c>
    </row>
    <row r="12691" spans="1:9" ht="13.5">
      <c r="A12691" s="128">
        <v>2024</v>
      </c>
      <c r="B12691" s="128" t="s">
        <v>131</v>
      </c>
      <c r="C12691" s="128" t="s">
        <v>24</v>
      </c>
      <c r="D12691" s="128" t="s">
        <v>79</v>
      </c>
      <c r="E12691" s="128" t="s">
        <v>135</v>
      </c>
      <c r="F12691" s="128">
        <v>16066450.01</v>
      </c>
      <c r="G12691" s="128">
        <v>3431154.14</v>
      </c>
      <c r="H12691" s="128">
        <v>1204896.96</v>
      </c>
      <c r="I12691" s="128">
        <v>13485</v>
      </c>
    </row>
    <row r="12692" spans="1:9" ht="13.5">
      <c r="A12692" s="128">
        <v>2024</v>
      </c>
      <c r="B12692" s="128" t="s">
        <v>131</v>
      </c>
      <c r="C12692" s="128" t="s">
        <v>24</v>
      </c>
      <c r="D12692" s="128" t="s">
        <v>77</v>
      </c>
      <c r="E12692" s="128" t="s">
        <v>132</v>
      </c>
      <c r="F12692" s="128">
        <v>754462.13</v>
      </c>
      <c r="G12692" s="128">
        <v>481518.56</v>
      </c>
      <c r="H12692" s="128">
        <v>195519.07</v>
      </c>
      <c r="I12692" s="128">
        <v>3610</v>
      </c>
    </row>
    <row r="12693" spans="1:9" ht="13.5">
      <c r="A12693" s="128">
        <v>2024</v>
      </c>
      <c r="B12693" s="128" t="s">
        <v>131</v>
      </c>
      <c r="C12693" s="128" t="s">
        <v>24</v>
      </c>
      <c r="D12693" s="128" t="s">
        <v>77</v>
      </c>
      <c r="E12693" s="128" t="s">
        <v>133</v>
      </c>
      <c r="F12693" s="128">
        <v>2449524.2999999998</v>
      </c>
      <c r="G12693" s="128">
        <v>1324217.46</v>
      </c>
      <c r="H12693" s="128">
        <v>762540.26</v>
      </c>
      <c r="I12693" s="128">
        <v>6936</v>
      </c>
    </row>
    <row r="12694" spans="1:9" ht="13.5">
      <c r="A12694" s="128">
        <v>2024</v>
      </c>
      <c r="B12694" s="128" t="s">
        <v>131</v>
      </c>
      <c r="C12694" s="128" t="s">
        <v>24</v>
      </c>
      <c r="D12694" s="128" t="s">
        <v>77</v>
      </c>
      <c r="E12694" s="128" t="s">
        <v>134</v>
      </c>
      <c r="F12694" s="128">
        <v>11692833.949999999</v>
      </c>
      <c r="G12694" s="128">
        <v>5049025.4800000004</v>
      </c>
      <c r="H12694" s="128">
        <v>4185711.44</v>
      </c>
      <c r="I12694" s="128">
        <v>18965</v>
      </c>
    </row>
    <row r="12695" spans="1:9" ht="13.5">
      <c r="A12695" s="128">
        <v>2024</v>
      </c>
      <c r="B12695" s="128" t="s">
        <v>131</v>
      </c>
      <c r="C12695" s="128" t="s">
        <v>24</v>
      </c>
      <c r="D12695" s="128" t="s">
        <v>77</v>
      </c>
      <c r="E12695" s="128" t="s">
        <v>135</v>
      </c>
      <c r="F12695" s="128">
        <v>27696554.5</v>
      </c>
      <c r="G12695" s="128">
        <v>6620856.9699999997</v>
      </c>
      <c r="H12695" s="128">
        <v>4872480.12</v>
      </c>
      <c r="I12695" s="128">
        <v>70070</v>
      </c>
    </row>
    <row r="12696" spans="1:9" ht="13.5">
      <c r="A12696" s="128">
        <v>2024</v>
      </c>
      <c r="B12696" s="128" t="s">
        <v>131</v>
      </c>
      <c r="C12696" s="128" t="s">
        <v>24</v>
      </c>
      <c r="D12696" s="128" t="s">
        <v>76</v>
      </c>
      <c r="E12696" s="128" t="s">
        <v>136</v>
      </c>
      <c r="F12696" s="128">
        <v>14455348.49</v>
      </c>
      <c r="G12696" s="128">
        <v>10865658.460000001</v>
      </c>
      <c r="H12696" s="128">
        <v>3589690.03</v>
      </c>
      <c r="I12696" s="128">
        <v>211703</v>
      </c>
    </row>
    <row r="12697" spans="1:9" ht="13.5">
      <c r="A12697" s="128">
        <v>2024</v>
      </c>
      <c r="B12697" s="128" t="s">
        <v>131</v>
      </c>
      <c r="C12697" s="128" t="s">
        <v>24</v>
      </c>
      <c r="D12697" s="128" t="s">
        <v>76</v>
      </c>
      <c r="E12697" s="128" t="s">
        <v>132</v>
      </c>
      <c r="F12697" s="128">
        <v>17490745.039999999</v>
      </c>
      <c r="G12697" s="128">
        <v>11110853.9</v>
      </c>
      <c r="H12697" s="128">
        <v>6379860.4900000002</v>
      </c>
      <c r="I12697" s="128">
        <v>99581</v>
      </c>
    </row>
    <row r="12698" spans="1:9" ht="13.5">
      <c r="A12698" s="128">
        <v>2024</v>
      </c>
      <c r="B12698" s="128" t="s">
        <v>131</v>
      </c>
      <c r="C12698" s="128" t="s">
        <v>24</v>
      </c>
      <c r="D12698" s="128" t="s">
        <v>76</v>
      </c>
      <c r="E12698" s="128" t="s">
        <v>133</v>
      </c>
      <c r="F12698" s="128">
        <v>60769868.829999998</v>
      </c>
      <c r="G12698" s="128">
        <v>33214727.949999999</v>
      </c>
      <c r="H12698" s="128">
        <v>27555125.960000001</v>
      </c>
      <c r="I12698" s="128">
        <v>360009</v>
      </c>
    </row>
    <row r="12699" spans="1:9" ht="13.5">
      <c r="A12699" s="128">
        <v>2024</v>
      </c>
      <c r="B12699" s="128" t="s">
        <v>131</v>
      </c>
      <c r="C12699" s="128" t="s">
        <v>24</v>
      </c>
      <c r="D12699" s="128" t="s">
        <v>76</v>
      </c>
      <c r="E12699" s="128" t="s">
        <v>134</v>
      </c>
      <c r="F12699" s="128">
        <v>55446689.600000001</v>
      </c>
      <c r="G12699" s="128">
        <v>25320340.800000001</v>
      </c>
      <c r="H12699" s="128">
        <v>30126340.789999999</v>
      </c>
      <c r="I12699" s="128">
        <v>243281</v>
      </c>
    </row>
    <row r="12700" spans="1:9" ht="13.5">
      <c r="A12700" s="128">
        <v>2024</v>
      </c>
      <c r="B12700" s="128" t="s">
        <v>131</v>
      </c>
      <c r="C12700" s="128" t="s">
        <v>24</v>
      </c>
      <c r="D12700" s="128" t="s">
        <v>76</v>
      </c>
      <c r="E12700" s="128" t="s">
        <v>135</v>
      </c>
      <c r="F12700" s="128">
        <v>2095595.46</v>
      </c>
      <c r="G12700" s="128">
        <v>588485.59</v>
      </c>
      <c r="H12700" s="128">
        <v>1507109.87</v>
      </c>
      <c r="I12700" s="128">
        <v>1961</v>
      </c>
    </row>
    <row r="12701" spans="1:9" ht="13.5">
      <c r="A12701" s="128">
        <v>2024</v>
      </c>
      <c r="B12701" s="128" t="s">
        <v>131</v>
      </c>
      <c r="C12701" s="128" t="s">
        <v>25</v>
      </c>
      <c r="D12701" s="128" t="s">
        <v>79</v>
      </c>
      <c r="E12701" s="128" t="s">
        <v>136</v>
      </c>
      <c r="F12701" s="128">
        <v>240131.81</v>
      </c>
      <c r="G12701" s="128">
        <v>179720.3</v>
      </c>
      <c r="H12701" s="128">
        <v>59341.06</v>
      </c>
      <c r="I12701" s="128">
        <v>2019</v>
      </c>
    </row>
    <row r="12702" spans="1:9" ht="13.5">
      <c r="A12702" s="128">
        <v>2024</v>
      </c>
      <c r="B12702" s="128" t="s">
        <v>131</v>
      </c>
      <c r="C12702" s="128" t="s">
        <v>25</v>
      </c>
      <c r="D12702" s="128" t="s">
        <v>79</v>
      </c>
      <c r="E12702" s="128" t="s">
        <v>132</v>
      </c>
      <c r="F12702" s="128">
        <v>74144.81</v>
      </c>
      <c r="G12702" s="128">
        <v>47813.85</v>
      </c>
      <c r="H12702" s="128">
        <v>15809.24</v>
      </c>
      <c r="I12702" s="128">
        <v>176</v>
      </c>
    </row>
    <row r="12703" spans="1:9" ht="13.5">
      <c r="A12703" s="128">
        <v>2024</v>
      </c>
      <c r="B12703" s="128" t="s">
        <v>131</v>
      </c>
      <c r="C12703" s="128" t="s">
        <v>25</v>
      </c>
      <c r="D12703" s="128" t="s">
        <v>79</v>
      </c>
      <c r="E12703" s="128" t="s">
        <v>133</v>
      </c>
      <c r="F12703" s="128">
        <v>47957.33</v>
      </c>
      <c r="G12703" s="128">
        <v>26236.19</v>
      </c>
      <c r="H12703" s="128">
        <v>8449.44</v>
      </c>
      <c r="I12703" s="128">
        <v>88</v>
      </c>
    </row>
    <row r="12704" spans="1:9" ht="13.5">
      <c r="A12704" s="128">
        <v>2024</v>
      </c>
      <c r="B12704" s="128" t="s">
        <v>131</v>
      </c>
      <c r="C12704" s="128" t="s">
        <v>25</v>
      </c>
      <c r="D12704" s="128" t="s">
        <v>79</v>
      </c>
      <c r="E12704" s="128" t="s">
        <v>134</v>
      </c>
      <c r="F12704" s="128">
        <v>158783.69</v>
      </c>
      <c r="G12704" s="128">
        <v>68207.25</v>
      </c>
      <c r="H12704" s="128">
        <v>22813.47</v>
      </c>
      <c r="I12704" s="128">
        <v>279</v>
      </c>
    </row>
    <row r="12705" spans="1:9" ht="13.5">
      <c r="A12705" s="128">
        <v>2024</v>
      </c>
      <c r="B12705" s="128" t="s">
        <v>131</v>
      </c>
      <c r="C12705" s="128" t="s">
        <v>25</v>
      </c>
      <c r="D12705" s="128" t="s">
        <v>79</v>
      </c>
      <c r="E12705" s="128" t="s">
        <v>135</v>
      </c>
      <c r="F12705" s="128">
        <v>3273319.54</v>
      </c>
      <c r="G12705" s="128">
        <v>635902.78</v>
      </c>
      <c r="H12705" s="128">
        <v>217514.74</v>
      </c>
      <c r="I12705" s="128">
        <v>1730</v>
      </c>
    </row>
    <row r="12706" spans="1:9" ht="13.5">
      <c r="A12706" s="128">
        <v>2024</v>
      </c>
      <c r="B12706" s="128" t="s">
        <v>131</v>
      </c>
      <c r="C12706" s="128" t="s">
        <v>25</v>
      </c>
      <c r="D12706" s="128" t="s">
        <v>77</v>
      </c>
      <c r="E12706" s="128" t="s">
        <v>132</v>
      </c>
      <c r="F12706" s="128">
        <v>237324.15</v>
      </c>
      <c r="G12706" s="128">
        <v>150409.57999999999</v>
      </c>
      <c r="H12706" s="128">
        <v>75922.5</v>
      </c>
      <c r="I12706" s="128">
        <v>1115</v>
      </c>
    </row>
    <row r="12707" spans="1:9" ht="13.5">
      <c r="A12707" s="128">
        <v>2024</v>
      </c>
      <c r="B12707" s="128" t="s">
        <v>131</v>
      </c>
      <c r="C12707" s="128" t="s">
        <v>25</v>
      </c>
      <c r="D12707" s="128" t="s">
        <v>77</v>
      </c>
      <c r="E12707" s="128" t="s">
        <v>133</v>
      </c>
      <c r="F12707" s="128">
        <v>422841.29</v>
      </c>
      <c r="G12707" s="128">
        <v>224836.95</v>
      </c>
      <c r="H12707" s="128">
        <v>174883.01</v>
      </c>
      <c r="I12707" s="128">
        <v>1607</v>
      </c>
    </row>
    <row r="12708" spans="1:9" ht="13.5">
      <c r="A12708" s="128">
        <v>2024</v>
      </c>
      <c r="B12708" s="128" t="s">
        <v>131</v>
      </c>
      <c r="C12708" s="128" t="s">
        <v>25</v>
      </c>
      <c r="D12708" s="128" t="s">
        <v>77</v>
      </c>
      <c r="E12708" s="128" t="s">
        <v>134</v>
      </c>
      <c r="F12708" s="128">
        <v>4719584.95</v>
      </c>
      <c r="G12708" s="128">
        <v>2035515.94</v>
      </c>
      <c r="H12708" s="128">
        <v>2008034.94</v>
      </c>
      <c r="I12708" s="128">
        <v>5510</v>
      </c>
    </row>
    <row r="12709" spans="1:9" ht="13.5">
      <c r="A12709" s="128">
        <v>2024</v>
      </c>
      <c r="B12709" s="128" t="s">
        <v>131</v>
      </c>
      <c r="C12709" s="128" t="s">
        <v>25</v>
      </c>
      <c r="D12709" s="128" t="s">
        <v>77</v>
      </c>
      <c r="E12709" s="128" t="s">
        <v>135</v>
      </c>
      <c r="F12709" s="128">
        <v>5358753.96</v>
      </c>
      <c r="G12709" s="128">
        <v>1355612.42</v>
      </c>
      <c r="H12709" s="128">
        <v>1530579.39</v>
      </c>
      <c r="I12709" s="128">
        <v>11030</v>
      </c>
    </row>
    <row r="12710" spans="1:9" ht="13.5">
      <c r="A12710" s="128">
        <v>2024</v>
      </c>
      <c r="B12710" s="128" t="s">
        <v>131</v>
      </c>
      <c r="C12710" s="128" t="s">
        <v>25</v>
      </c>
      <c r="D12710" s="128" t="s">
        <v>76</v>
      </c>
      <c r="E12710" s="128" t="s">
        <v>136</v>
      </c>
      <c r="F12710" s="128">
        <v>1668076.3</v>
      </c>
      <c r="G12710" s="128">
        <v>1254387.72</v>
      </c>
      <c r="H12710" s="128">
        <v>413688.58</v>
      </c>
      <c r="I12710" s="128">
        <v>28650</v>
      </c>
    </row>
    <row r="12711" spans="1:9" ht="13.5">
      <c r="A12711" s="128">
        <v>2024</v>
      </c>
      <c r="B12711" s="128" t="s">
        <v>131</v>
      </c>
      <c r="C12711" s="128" t="s">
        <v>25</v>
      </c>
      <c r="D12711" s="128" t="s">
        <v>76</v>
      </c>
      <c r="E12711" s="128" t="s">
        <v>132</v>
      </c>
      <c r="F12711" s="128">
        <v>2729782.63</v>
      </c>
      <c r="G12711" s="128">
        <v>1729471.65</v>
      </c>
      <c r="H12711" s="128">
        <v>1000295.95</v>
      </c>
      <c r="I12711" s="128">
        <v>17348</v>
      </c>
    </row>
    <row r="12712" spans="1:9" ht="13.5">
      <c r="A12712" s="128">
        <v>2024</v>
      </c>
      <c r="B12712" s="128" t="s">
        <v>131</v>
      </c>
      <c r="C12712" s="128" t="s">
        <v>25</v>
      </c>
      <c r="D12712" s="128" t="s">
        <v>76</v>
      </c>
      <c r="E12712" s="128" t="s">
        <v>133</v>
      </c>
      <c r="F12712" s="128">
        <v>9919567.5</v>
      </c>
      <c r="G12712" s="128">
        <v>5412867</v>
      </c>
      <c r="H12712" s="128">
        <v>4506696.32</v>
      </c>
      <c r="I12712" s="128">
        <v>54855</v>
      </c>
    </row>
    <row r="12713" spans="1:9" ht="13.5">
      <c r="A12713" s="128">
        <v>2024</v>
      </c>
      <c r="B12713" s="128" t="s">
        <v>131</v>
      </c>
      <c r="C12713" s="128" t="s">
        <v>25</v>
      </c>
      <c r="D12713" s="128" t="s">
        <v>76</v>
      </c>
      <c r="E12713" s="128" t="s">
        <v>134</v>
      </c>
      <c r="F12713" s="128">
        <v>12133402.34</v>
      </c>
      <c r="G12713" s="128">
        <v>5624500.1699999999</v>
      </c>
      <c r="H12713" s="128">
        <v>6508893.3300000001</v>
      </c>
      <c r="I12713" s="128">
        <v>57290</v>
      </c>
    </row>
    <row r="12714" spans="1:9" ht="13.5">
      <c r="A12714" s="128">
        <v>2024</v>
      </c>
      <c r="B12714" s="128" t="s">
        <v>131</v>
      </c>
      <c r="C12714" s="128" t="s">
        <v>25</v>
      </c>
      <c r="D12714" s="128" t="s">
        <v>76</v>
      </c>
      <c r="E12714" s="128" t="s">
        <v>135</v>
      </c>
      <c r="F12714" s="128">
        <v>237403.07</v>
      </c>
      <c r="G12714" s="128">
        <v>64121.1</v>
      </c>
      <c r="H12714" s="128">
        <v>173281.97</v>
      </c>
      <c r="I12714" s="128">
        <v>162</v>
      </c>
    </row>
    <row r="12715" spans="1:9" ht="13.5">
      <c r="A12715" s="128">
        <v>2024</v>
      </c>
      <c r="B12715" s="128" t="s">
        <v>131</v>
      </c>
      <c r="C12715" s="128" t="s">
        <v>26</v>
      </c>
      <c r="D12715" s="128" t="s">
        <v>79</v>
      </c>
      <c r="E12715" s="128" t="s">
        <v>136</v>
      </c>
      <c r="F12715" s="128">
        <v>401282.46</v>
      </c>
      <c r="G12715" s="128">
        <v>300748.81</v>
      </c>
      <c r="H12715" s="128">
        <v>99272.3</v>
      </c>
      <c r="I12715" s="128">
        <v>4237</v>
      </c>
    </row>
    <row r="12716" spans="1:9" ht="13.5">
      <c r="A12716" s="128">
        <v>2024</v>
      </c>
      <c r="B12716" s="128" t="s">
        <v>131</v>
      </c>
      <c r="C12716" s="128" t="s">
        <v>26</v>
      </c>
      <c r="D12716" s="128" t="s">
        <v>79</v>
      </c>
      <c r="E12716" s="128" t="s">
        <v>132</v>
      </c>
      <c r="F12716" s="128">
        <v>33359.620000000003</v>
      </c>
      <c r="G12716" s="128">
        <v>22700.31</v>
      </c>
      <c r="H12716" s="128">
        <v>7303.12</v>
      </c>
      <c r="I12716" s="128">
        <v>113</v>
      </c>
    </row>
    <row r="12717" spans="1:9" ht="13.5">
      <c r="A12717" s="128">
        <v>2024</v>
      </c>
      <c r="B12717" s="128" t="s">
        <v>131</v>
      </c>
      <c r="C12717" s="128" t="s">
        <v>26</v>
      </c>
      <c r="D12717" s="128" t="s">
        <v>79</v>
      </c>
      <c r="E12717" s="128" t="s">
        <v>133</v>
      </c>
      <c r="F12717" s="128">
        <v>65397.36</v>
      </c>
      <c r="G12717" s="128">
        <v>34553.57</v>
      </c>
      <c r="H12717" s="128">
        <v>11551.21</v>
      </c>
      <c r="I12717" s="128">
        <v>95</v>
      </c>
    </row>
    <row r="12718" spans="1:9" ht="13.5">
      <c r="A12718" s="128">
        <v>2024</v>
      </c>
      <c r="B12718" s="128" t="s">
        <v>131</v>
      </c>
      <c r="C12718" s="128" t="s">
        <v>26</v>
      </c>
      <c r="D12718" s="128" t="s">
        <v>79</v>
      </c>
      <c r="E12718" s="128" t="s">
        <v>134</v>
      </c>
      <c r="F12718" s="128">
        <v>462928.52</v>
      </c>
      <c r="G12718" s="128">
        <v>197718.71</v>
      </c>
      <c r="H12718" s="128">
        <v>65735.53</v>
      </c>
      <c r="I12718" s="128">
        <v>1169</v>
      </c>
    </row>
    <row r="12719" spans="1:9" ht="13.5">
      <c r="A12719" s="128">
        <v>2024</v>
      </c>
      <c r="B12719" s="128" t="s">
        <v>131</v>
      </c>
      <c r="C12719" s="128" t="s">
        <v>26</v>
      </c>
      <c r="D12719" s="128" t="s">
        <v>79</v>
      </c>
      <c r="E12719" s="128" t="s">
        <v>135</v>
      </c>
      <c r="F12719" s="128">
        <v>11688586.32</v>
      </c>
      <c r="G12719" s="128">
        <v>2372169.19</v>
      </c>
      <c r="H12719" s="128">
        <v>788284.99</v>
      </c>
      <c r="I12719" s="128">
        <v>8285</v>
      </c>
    </row>
    <row r="12720" spans="1:9" ht="13.5">
      <c r="A12720" s="128">
        <v>2024</v>
      </c>
      <c r="B12720" s="128" t="s">
        <v>131</v>
      </c>
      <c r="C12720" s="128" t="s">
        <v>26</v>
      </c>
      <c r="D12720" s="128" t="s">
        <v>77</v>
      </c>
      <c r="E12720" s="128" t="s">
        <v>132</v>
      </c>
      <c r="F12720" s="128">
        <v>72633.259999999995</v>
      </c>
      <c r="G12720" s="128">
        <v>43525.47</v>
      </c>
      <c r="H12720" s="128">
        <v>19480.830000000002</v>
      </c>
      <c r="I12720" s="128">
        <v>272</v>
      </c>
    </row>
    <row r="12721" spans="1:9" ht="13.5">
      <c r="A12721" s="128">
        <v>2024</v>
      </c>
      <c r="B12721" s="128" t="s">
        <v>131</v>
      </c>
      <c r="C12721" s="128" t="s">
        <v>26</v>
      </c>
      <c r="D12721" s="128" t="s">
        <v>77</v>
      </c>
      <c r="E12721" s="128" t="s">
        <v>133</v>
      </c>
      <c r="F12721" s="128">
        <v>231311.78</v>
      </c>
      <c r="G12721" s="128">
        <v>125692.43</v>
      </c>
      <c r="H12721" s="128">
        <v>84563.34</v>
      </c>
      <c r="I12721" s="128">
        <v>1055</v>
      </c>
    </row>
    <row r="12722" spans="1:9" ht="13.5">
      <c r="A12722" s="128">
        <v>2024</v>
      </c>
      <c r="B12722" s="128" t="s">
        <v>131</v>
      </c>
      <c r="C12722" s="128" t="s">
        <v>26</v>
      </c>
      <c r="D12722" s="128" t="s">
        <v>77</v>
      </c>
      <c r="E12722" s="128" t="s">
        <v>134</v>
      </c>
      <c r="F12722" s="128">
        <v>1162107.6499999999</v>
      </c>
      <c r="G12722" s="128">
        <v>485299.72</v>
      </c>
      <c r="H12722" s="128">
        <v>447073.29</v>
      </c>
      <c r="I12722" s="128">
        <v>1695</v>
      </c>
    </row>
    <row r="12723" spans="1:9" ht="13.5">
      <c r="A12723" s="128">
        <v>2024</v>
      </c>
      <c r="B12723" s="128" t="s">
        <v>131</v>
      </c>
      <c r="C12723" s="128" t="s">
        <v>26</v>
      </c>
      <c r="D12723" s="128" t="s">
        <v>77</v>
      </c>
      <c r="E12723" s="128" t="s">
        <v>135</v>
      </c>
      <c r="F12723" s="128">
        <v>4771919.8</v>
      </c>
      <c r="G12723" s="128">
        <v>1198934.9099999999</v>
      </c>
      <c r="H12723" s="128">
        <v>1196369.47</v>
      </c>
      <c r="I12723" s="128">
        <v>14745</v>
      </c>
    </row>
    <row r="12724" spans="1:9" ht="13.5">
      <c r="A12724" s="128">
        <v>2024</v>
      </c>
      <c r="B12724" s="128" t="s">
        <v>131</v>
      </c>
      <c r="C12724" s="128" t="s">
        <v>26</v>
      </c>
      <c r="D12724" s="128" t="s">
        <v>76</v>
      </c>
      <c r="E12724" s="128" t="s">
        <v>136</v>
      </c>
      <c r="F12724" s="128">
        <v>500118.45</v>
      </c>
      <c r="G12724" s="128">
        <v>378100.6</v>
      </c>
      <c r="H12724" s="128">
        <v>122017.85</v>
      </c>
      <c r="I12724" s="128">
        <v>10509</v>
      </c>
    </row>
    <row r="12725" spans="1:9" ht="13.5">
      <c r="A12725" s="128">
        <v>2024</v>
      </c>
      <c r="B12725" s="128" t="s">
        <v>131</v>
      </c>
      <c r="C12725" s="128" t="s">
        <v>26</v>
      </c>
      <c r="D12725" s="128" t="s">
        <v>76</v>
      </c>
      <c r="E12725" s="128" t="s">
        <v>132</v>
      </c>
      <c r="F12725" s="128">
        <v>1837833.44</v>
      </c>
      <c r="G12725" s="128">
        <v>1176845.2</v>
      </c>
      <c r="H12725" s="128">
        <v>660978.1</v>
      </c>
      <c r="I12725" s="128">
        <v>12196</v>
      </c>
    </row>
    <row r="12726" spans="1:9" ht="13.5">
      <c r="A12726" s="128">
        <v>2024</v>
      </c>
      <c r="B12726" s="128" t="s">
        <v>131</v>
      </c>
      <c r="C12726" s="128" t="s">
        <v>26</v>
      </c>
      <c r="D12726" s="128" t="s">
        <v>76</v>
      </c>
      <c r="E12726" s="128" t="s">
        <v>133</v>
      </c>
      <c r="F12726" s="128">
        <v>5333397.96</v>
      </c>
      <c r="G12726" s="128">
        <v>2938083.95</v>
      </c>
      <c r="H12726" s="128">
        <v>2395311.7200000002</v>
      </c>
      <c r="I12726" s="128">
        <v>39535</v>
      </c>
    </row>
    <row r="12727" spans="1:9" ht="13.5">
      <c r="A12727" s="128">
        <v>2024</v>
      </c>
      <c r="B12727" s="128" t="s">
        <v>131</v>
      </c>
      <c r="C12727" s="128" t="s">
        <v>26</v>
      </c>
      <c r="D12727" s="128" t="s">
        <v>76</v>
      </c>
      <c r="E12727" s="128" t="s">
        <v>134</v>
      </c>
      <c r="F12727" s="128">
        <v>3395939.2</v>
      </c>
      <c r="G12727" s="128">
        <v>1574472</v>
      </c>
      <c r="H12727" s="128">
        <v>1821456.62</v>
      </c>
      <c r="I12727" s="128">
        <v>19943</v>
      </c>
    </row>
    <row r="12728" spans="1:9" ht="13.5">
      <c r="A12728" s="128">
        <v>2024</v>
      </c>
      <c r="B12728" s="128" t="s">
        <v>131</v>
      </c>
      <c r="C12728" s="128" t="s">
        <v>26</v>
      </c>
      <c r="D12728" s="128" t="s">
        <v>76</v>
      </c>
      <c r="E12728" s="128" t="s">
        <v>135</v>
      </c>
      <c r="F12728" s="128">
        <v>208705.26</v>
      </c>
      <c r="G12728" s="128">
        <v>57875.3</v>
      </c>
      <c r="H12728" s="128">
        <v>150829.96</v>
      </c>
      <c r="I12728" s="128">
        <v>198</v>
      </c>
    </row>
    <row r="12729" spans="1:9" ht="13.5">
      <c r="A12729" s="128">
        <v>2024</v>
      </c>
      <c r="B12729" s="128" t="s">
        <v>131</v>
      </c>
      <c r="C12729" s="128" t="s">
        <v>27</v>
      </c>
      <c r="D12729" s="128" t="s">
        <v>79</v>
      </c>
      <c r="E12729" s="128" t="s">
        <v>136</v>
      </c>
      <c r="F12729" s="128">
        <v>143499.04</v>
      </c>
      <c r="G12729" s="128">
        <v>91208.29</v>
      </c>
      <c r="H12729" s="128">
        <v>29995.45</v>
      </c>
      <c r="I12729" s="128">
        <v>628</v>
      </c>
    </row>
    <row r="12730" spans="1:9" ht="13.5">
      <c r="A12730" s="128">
        <v>2024</v>
      </c>
      <c r="B12730" s="128" t="s">
        <v>131</v>
      </c>
      <c r="C12730" s="128" t="s">
        <v>27</v>
      </c>
      <c r="D12730" s="128" t="s">
        <v>79</v>
      </c>
      <c r="E12730" s="128" t="s">
        <v>132</v>
      </c>
      <c r="F12730" s="128">
        <v>26809.8</v>
      </c>
      <c r="G12730" s="128">
        <v>17853.650000000001</v>
      </c>
      <c r="H12730" s="128">
        <v>6131.7</v>
      </c>
      <c r="I12730" s="128">
        <v>42</v>
      </c>
    </row>
    <row r="12731" spans="1:9" ht="13.5">
      <c r="A12731" s="128">
        <v>2024</v>
      </c>
      <c r="B12731" s="128" t="s">
        <v>131</v>
      </c>
      <c r="C12731" s="128" t="s">
        <v>27</v>
      </c>
      <c r="D12731" s="128" t="s">
        <v>79</v>
      </c>
      <c r="E12731" s="128" t="s">
        <v>133</v>
      </c>
      <c r="F12731" s="128">
        <v>45693.2</v>
      </c>
      <c r="G12731" s="128">
        <v>24959.62</v>
      </c>
      <c r="H12731" s="128">
        <v>8486.4500000000007</v>
      </c>
      <c r="I12731" s="128">
        <v>72</v>
      </c>
    </row>
    <row r="12732" spans="1:9" ht="13.5">
      <c r="A12732" s="128">
        <v>2024</v>
      </c>
      <c r="B12732" s="128" t="s">
        <v>131</v>
      </c>
      <c r="C12732" s="128" t="s">
        <v>27</v>
      </c>
      <c r="D12732" s="128" t="s">
        <v>79</v>
      </c>
      <c r="E12732" s="128" t="s">
        <v>134</v>
      </c>
      <c r="F12732" s="128">
        <v>106834.17</v>
      </c>
      <c r="G12732" s="128">
        <v>45869.04</v>
      </c>
      <c r="H12732" s="128">
        <v>15468.95</v>
      </c>
      <c r="I12732" s="128">
        <v>176</v>
      </c>
    </row>
    <row r="12733" spans="1:9" ht="13.5">
      <c r="A12733" s="128">
        <v>2024</v>
      </c>
      <c r="B12733" s="128" t="s">
        <v>131</v>
      </c>
      <c r="C12733" s="128" t="s">
        <v>27</v>
      </c>
      <c r="D12733" s="128" t="s">
        <v>79</v>
      </c>
      <c r="E12733" s="128" t="s">
        <v>135</v>
      </c>
      <c r="F12733" s="128">
        <v>1984695.01</v>
      </c>
      <c r="G12733" s="128">
        <v>442549.85</v>
      </c>
      <c r="H12733" s="128">
        <v>147518.97</v>
      </c>
      <c r="I12733" s="128">
        <v>1225</v>
      </c>
    </row>
    <row r="12734" spans="1:9" ht="13.5">
      <c r="A12734" s="128">
        <v>2024</v>
      </c>
      <c r="B12734" s="128" t="s">
        <v>131</v>
      </c>
      <c r="C12734" s="128" t="s">
        <v>27</v>
      </c>
      <c r="D12734" s="128" t="s">
        <v>77</v>
      </c>
      <c r="E12734" s="128" t="s">
        <v>132</v>
      </c>
      <c r="F12734" s="128">
        <v>24781.95</v>
      </c>
      <c r="G12734" s="128">
        <v>15688.01</v>
      </c>
      <c r="H12734" s="128">
        <v>7132.11</v>
      </c>
      <c r="I12734" s="128">
        <v>69</v>
      </c>
    </row>
    <row r="12735" spans="1:9" ht="13.5">
      <c r="A12735" s="128">
        <v>2024</v>
      </c>
      <c r="B12735" s="128" t="s">
        <v>131</v>
      </c>
      <c r="C12735" s="128" t="s">
        <v>27</v>
      </c>
      <c r="D12735" s="128" t="s">
        <v>77</v>
      </c>
      <c r="E12735" s="128" t="s">
        <v>133</v>
      </c>
      <c r="F12735" s="128">
        <v>88303.16</v>
      </c>
      <c r="G12735" s="128">
        <v>47641.07</v>
      </c>
      <c r="H12735" s="128">
        <v>31503.61</v>
      </c>
      <c r="I12735" s="128">
        <v>296</v>
      </c>
    </row>
    <row r="12736" spans="1:9" ht="13.5">
      <c r="A12736" s="128">
        <v>2024</v>
      </c>
      <c r="B12736" s="128" t="s">
        <v>131</v>
      </c>
      <c r="C12736" s="128" t="s">
        <v>27</v>
      </c>
      <c r="D12736" s="128" t="s">
        <v>77</v>
      </c>
      <c r="E12736" s="128" t="s">
        <v>134</v>
      </c>
      <c r="F12736" s="128">
        <v>350482.53</v>
      </c>
      <c r="G12736" s="128">
        <v>149900.97</v>
      </c>
      <c r="H12736" s="128">
        <v>149707.26999999999</v>
      </c>
      <c r="I12736" s="128">
        <v>482</v>
      </c>
    </row>
    <row r="12737" spans="1:9" ht="13.5">
      <c r="A12737" s="128">
        <v>2024</v>
      </c>
      <c r="B12737" s="128" t="s">
        <v>131</v>
      </c>
      <c r="C12737" s="128" t="s">
        <v>27</v>
      </c>
      <c r="D12737" s="128" t="s">
        <v>77</v>
      </c>
      <c r="E12737" s="128" t="s">
        <v>135</v>
      </c>
      <c r="F12737" s="128">
        <v>1293033.03</v>
      </c>
      <c r="G12737" s="128">
        <v>338112.88</v>
      </c>
      <c r="H12737" s="128">
        <v>386127.08</v>
      </c>
      <c r="I12737" s="128">
        <v>4624</v>
      </c>
    </row>
    <row r="12738" spans="1:9" ht="13.5">
      <c r="A12738" s="128">
        <v>2024</v>
      </c>
      <c r="B12738" s="128" t="s">
        <v>131</v>
      </c>
      <c r="C12738" s="128" t="s">
        <v>27</v>
      </c>
      <c r="D12738" s="128" t="s">
        <v>76</v>
      </c>
      <c r="E12738" s="128" t="s">
        <v>136</v>
      </c>
      <c r="F12738" s="128">
        <v>242162.22</v>
      </c>
      <c r="G12738" s="128">
        <v>181928.05</v>
      </c>
      <c r="H12738" s="128">
        <v>60234.17</v>
      </c>
      <c r="I12738" s="128">
        <v>3810</v>
      </c>
    </row>
    <row r="12739" spans="1:9" ht="13.5">
      <c r="A12739" s="128">
        <v>2024</v>
      </c>
      <c r="B12739" s="128" t="s">
        <v>131</v>
      </c>
      <c r="C12739" s="128" t="s">
        <v>27</v>
      </c>
      <c r="D12739" s="128" t="s">
        <v>76</v>
      </c>
      <c r="E12739" s="128" t="s">
        <v>132</v>
      </c>
      <c r="F12739" s="128">
        <v>607088.18000000005</v>
      </c>
      <c r="G12739" s="128">
        <v>385337.35</v>
      </c>
      <c r="H12739" s="128">
        <v>221748.21</v>
      </c>
      <c r="I12739" s="128">
        <v>3840</v>
      </c>
    </row>
    <row r="12740" spans="1:9" ht="13.5">
      <c r="A12740" s="128">
        <v>2024</v>
      </c>
      <c r="B12740" s="128" t="s">
        <v>131</v>
      </c>
      <c r="C12740" s="128" t="s">
        <v>27</v>
      </c>
      <c r="D12740" s="128" t="s">
        <v>76</v>
      </c>
      <c r="E12740" s="128" t="s">
        <v>133</v>
      </c>
      <c r="F12740" s="128">
        <v>2244336.2000000002</v>
      </c>
      <c r="G12740" s="128">
        <v>1226957</v>
      </c>
      <c r="H12740" s="128">
        <v>1017377.7</v>
      </c>
      <c r="I12740" s="128">
        <v>9592</v>
      </c>
    </row>
    <row r="12741" spans="1:9" ht="13.5">
      <c r="A12741" s="128">
        <v>2024</v>
      </c>
      <c r="B12741" s="128" t="s">
        <v>131</v>
      </c>
      <c r="C12741" s="128" t="s">
        <v>27</v>
      </c>
      <c r="D12741" s="128" t="s">
        <v>76</v>
      </c>
      <c r="E12741" s="128" t="s">
        <v>134</v>
      </c>
      <c r="F12741" s="128">
        <v>1591153.16</v>
      </c>
      <c r="G12741" s="128">
        <v>740796.9</v>
      </c>
      <c r="H12741" s="128">
        <v>850348.03</v>
      </c>
      <c r="I12741" s="128">
        <v>8250</v>
      </c>
    </row>
    <row r="12742" spans="1:9" ht="13.5">
      <c r="A12742" s="128">
        <v>2024</v>
      </c>
      <c r="B12742" s="128" t="s">
        <v>131</v>
      </c>
      <c r="C12742" s="128" t="s">
        <v>27</v>
      </c>
      <c r="D12742" s="128" t="s">
        <v>76</v>
      </c>
      <c r="E12742" s="128" t="s">
        <v>135</v>
      </c>
      <c r="F12742" s="128">
        <v>7953.8</v>
      </c>
      <c r="G12742" s="128">
        <v>2109.6</v>
      </c>
      <c r="H12742" s="128">
        <v>5844.2</v>
      </c>
      <c r="I12742" s="128">
        <v>24</v>
      </c>
    </row>
    <row r="12743" spans="1:9" ht="13.5">
      <c r="A12743" s="128">
        <v>2024</v>
      </c>
      <c r="B12743" s="128" t="s">
        <v>138</v>
      </c>
      <c r="C12743" s="128" t="s">
        <v>20</v>
      </c>
      <c r="D12743" s="128" t="s">
        <v>79</v>
      </c>
      <c r="E12743" s="128" t="s">
        <v>136</v>
      </c>
      <c r="F12743" s="128">
        <v>38432345.439999998</v>
      </c>
      <c r="G12743" s="128">
        <v>28747894.41</v>
      </c>
      <c r="H12743" s="128">
        <v>9644199.3399999999</v>
      </c>
      <c r="I12743" s="128">
        <v>279653</v>
      </c>
    </row>
    <row r="12744" spans="1:9" ht="13.5">
      <c r="A12744" s="128">
        <v>2024</v>
      </c>
      <c r="B12744" s="128" t="s">
        <v>138</v>
      </c>
      <c r="C12744" s="128" t="s">
        <v>20</v>
      </c>
      <c r="D12744" s="128" t="s">
        <v>79</v>
      </c>
      <c r="E12744" s="128" t="s">
        <v>132</v>
      </c>
      <c r="F12744" s="128">
        <v>2754517</v>
      </c>
      <c r="G12744" s="128">
        <v>1878825.32</v>
      </c>
      <c r="H12744" s="128">
        <v>647586.14</v>
      </c>
      <c r="I12744" s="128">
        <v>10472</v>
      </c>
    </row>
    <row r="12745" spans="1:9" ht="13.5">
      <c r="A12745" s="128">
        <v>2024</v>
      </c>
      <c r="B12745" s="128" t="s">
        <v>138</v>
      </c>
      <c r="C12745" s="128" t="s">
        <v>20</v>
      </c>
      <c r="D12745" s="128" t="s">
        <v>79</v>
      </c>
      <c r="E12745" s="128" t="s">
        <v>133</v>
      </c>
      <c r="F12745" s="128">
        <v>2900148.28</v>
      </c>
      <c r="G12745" s="128">
        <v>1580583</v>
      </c>
      <c r="H12745" s="128">
        <v>537573.82999999996</v>
      </c>
      <c r="I12745" s="128">
        <v>5710</v>
      </c>
    </row>
    <row r="12746" spans="1:9" ht="13.5">
      <c r="A12746" s="128">
        <v>2024</v>
      </c>
      <c r="B12746" s="128" t="s">
        <v>138</v>
      </c>
      <c r="C12746" s="128" t="s">
        <v>20</v>
      </c>
      <c r="D12746" s="128" t="s">
        <v>79</v>
      </c>
      <c r="E12746" s="128" t="s">
        <v>134</v>
      </c>
      <c r="F12746" s="128">
        <v>7853940.5499999998</v>
      </c>
      <c r="G12746" s="128">
        <v>3335659.7</v>
      </c>
      <c r="H12746" s="128">
        <v>1191816.43</v>
      </c>
      <c r="I12746" s="128">
        <v>16967</v>
      </c>
    </row>
    <row r="12747" spans="1:9" ht="13.5">
      <c r="A12747" s="128">
        <v>2024</v>
      </c>
      <c r="B12747" s="128" t="s">
        <v>138</v>
      </c>
      <c r="C12747" s="128" t="s">
        <v>20</v>
      </c>
      <c r="D12747" s="128" t="s">
        <v>79</v>
      </c>
      <c r="E12747" s="128" t="s">
        <v>135</v>
      </c>
      <c r="F12747" s="128">
        <v>130800145.59999999</v>
      </c>
      <c r="G12747" s="128">
        <v>27170068.809999999</v>
      </c>
      <c r="H12747" s="128">
        <v>9187842.2699999996</v>
      </c>
      <c r="I12747" s="128">
        <v>99605</v>
      </c>
    </row>
    <row r="12748" spans="1:9" ht="13.5">
      <c r="A12748" s="128">
        <v>2024</v>
      </c>
      <c r="B12748" s="128" t="s">
        <v>138</v>
      </c>
      <c r="C12748" s="128" t="s">
        <v>20</v>
      </c>
      <c r="D12748" s="128" t="s">
        <v>77</v>
      </c>
      <c r="E12748" s="128" t="s">
        <v>132</v>
      </c>
      <c r="F12748" s="128">
        <v>2861270.27</v>
      </c>
      <c r="G12748" s="128">
        <v>1885370.95</v>
      </c>
      <c r="H12748" s="128">
        <v>844109.44</v>
      </c>
      <c r="I12748" s="128">
        <v>11140</v>
      </c>
    </row>
    <row r="12749" spans="1:9" ht="13.5">
      <c r="A12749" s="128">
        <v>2024</v>
      </c>
      <c r="B12749" s="128" t="s">
        <v>138</v>
      </c>
      <c r="C12749" s="128" t="s">
        <v>20</v>
      </c>
      <c r="D12749" s="128" t="s">
        <v>77</v>
      </c>
      <c r="E12749" s="128" t="s">
        <v>133</v>
      </c>
      <c r="F12749" s="128">
        <v>6499934.9699999997</v>
      </c>
      <c r="G12749" s="128">
        <v>3471923.56</v>
      </c>
      <c r="H12749" s="128">
        <v>2690142.3</v>
      </c>
      <c r="I12749" s="128">
        <v>17799</v>
      </c>
    </row>
    <row r="12750" spans="1:9" ht="13.5">
      <c r="A12750" s="128">
        <v>2024</v>
      </c>
      <c r="B12750" s="128" t="s">
        <v>138</v>
      </c>
      <c r="C12750" s="128" t="s">
        <v>20</v>
      </c>
      <c r="D12750" s="128" t="s">
        <v>77</v>
      </c>
      <c r="E12750" s="128" t="s">
        <v>134</v>
      </c>
      <c r="F12750" s="128">
        <v>22572848.620000001</v>
      </c>
      <c r="G12750" s="128">
        <v>9704165.6699999999</v>
      </c>
      <c r="H12750" s="128">
        <v>9601492.0299999993</v>
      </c>
      <c r="I12750" s="128">
        <v>34638</v>
      </c>
    </row>
    <row r="12751" spans="1:9" ht="13.5">
      <c r="A12751" s="128">
        <v>2024</v>
      </c>
      <c r="B12751" s="128" t="s">
        <v>138</v>
      </c>
      <c r="C12751" s="128" t="s">
        <v>20</v>
      </c>
      <c r="D12751" s="128" t="s">
        <v>77</v>
      </c>
      <c r="E12751" s="128" t="s">
        <v>135</v>
      </c>
      <c r="F12751" s="128">
        <v>58591203.950000003</v>
      </c>
      <c r="G12751" s="128">
        <v>15110711.26</v>
      </c>
      <c r="H12751" s="128">
        <v>16749477.130000001</v>
      </c>
      <c r="I12751" s="128">
        <v>181957</v>
      </c>
    </row>
    <row r="12752" spans="1:9" ht="13.5">
      <c r="A12752" s="128">
        <v>2024</v>
      </c>
      <c r="B12752" s="128" t="s">
        <v>138</v>
      </c>
      <c r="C12752" s="128" t="s">
        <v>20</v>
      </c>
      <c r="D12752" s="128" t="s">
        <v>76</v>
      </c>
      <c r="E12752" s="128" t="s">
        <v>136</v>
      </c>
      <c r="F12752" s="128">
        <v>30174620.25</v>
      </c>
      <c r="G12752" s="128">
        <v>22722333.989999998</v>
      </c>
      <c r="H12752" s="128">
        <v>7452908.0899999999</v>
      </c>
      <c r="I12752" s="128">
        <v>987236</v>
      </c>
    </row>
    <row r="12753" spans="1:9" ht="13.5">
      <c r="A12753" s="128">
        <v>2024</v>
      </c>
      <c r="B12753" s="128" t="s">
        <v>138</v>
      </c>
      <c r="C12753" s="128" t="s">
        <v>20</v>
      </c>
      <c r="D12753" s="128" t="s">
        <v>76</v>
      </c>
      <c r="E12753" s="128" t="s">
        <v>132</v>
      </c>
      <c r="F12753" s="128">
        <v>65508416.210000001</v>
      </c>
      <c r="G12753" s="128">
        <v>41793854.549999997</v>
      </c>
      <c r="H12753" s="128">
        <v>23714181.09</v>
      </c>
      <c r="I12753" s="128">
        <v>499180</v>
      </c>
    </row>
    <row r="12754" spans="1:9" ht="13.5">
      <c r="A12754" s="128">
        <v>2024</v>
      </c>
      <c r="B12754" s="128" t="s">
        <v>138</v>
      </c>
      <c r="C12754" s="128" t="s">
        <v>20</v>
      </c>
      <c r="D12754" s="128" t="s">
        <v>76</v>
      </c>
      <c r="E12754" s="128" t="s">
        <v>133</v>
      </c>
      <c r="F12754" s="128">
        <v>125229354.53</v>
      </c>
      <c r="G12754" s="128">
        <v>68587553.099999994</v>
      </c>
      <c r="H12754" s="128">
        <v>56641754.740000002</v>
      </c>
      <c r="I12754" s="128">
        <v>650008</v>
      </c>
    </row>
    <row r="12755" spans="1:9" ht="13.5">
      <c r="A12755" s="128">
        <v>2024</v>
      </c>
      <c r="B12755" s="128" t="s">
        <v>138</v>
      </c>
      <c r="C12755" s="128" t="s">
        <v>20</v>
      </c>
      <c r="D12755" s="128" t="s">
        <v>76</v>
      </c>
      <c r="E12755" s="128" t="s">
        <v>134</v>
      </c>
      <c r="F12755" s="128">
        <v>123623322.95</v>
      </c>
      <c r="G12755" s="128">
        <v>56773813</v>
      </c>
      <c r="H12755" s="128">
        <v>66849344.869999997</v>
      </c>
      <c r="I12755" s="128">
        <v>674567</v>
      </c>
    </row>
    <row r="12756" spans="1:9" ht="13.5">
      <c r="A12756" s="128">
        <v>2024</v>
      </c>
      <c r="B12756" s="128" t="s">
        <v>138</v>
      </c>
      <c r="C12756" s="128" t="s">
        <v>20</v>
      </c>
      <c r="D12756" s="128" t="s">
        <v>76</v>
      </c>
      <c r="E12756" s="128" t="s">
        <v>135</v>
      </c>
      <c r="F12756" s="128">
        <v>6645719.9800000004</v>
      </c>
      <c r="G12756" s="128">
        <v>1957784.96</v>
      </c>
      <c r="H12756" s="128">
        <v>4687935.0199999996</v>
      </c>
      <c r="I12756" s="128">
        <v>6179</v>
      </c>
    </row>
    <row r="12757" spans="1:9" ht="13.5">
      <c r="A12757" s="128">
        <v>2024</v>
      </c>
      <c r="B12757" s="128" t="s">
        <v>138</v>
      </c>
      <c r="C12757" s="128" t="s">
        <v>21</v>
      </c>
      <c r="D12757" s="128" t="s">
        <v>79</v>
      </c>
      <c r="E12757" s="128" t="s">
        <v>136</v>
      </c>
      <c r="F12757" s="128">
        <v>5436535.5</v>
      </c>
      <c r="G12757" s="128">
        <v>4092150.1</v>
      </c>
      <c r="H12757" s="128">
        <v>1333641.18</v>
      </c>
      <c r="I12757" s="128">
        <v>101328</v>
      </c>
    </row>
    <row r="12758" spans="1:9" ht="13.5">
      <c r="A12758" s="128">
        <v>2024</v>
      </c>
      <c r="B12758" s="128" t="s">
        <v>138</v>
      </c>
      <c r="C12758" s="128" t="s">
        <v>21</v>
      </c>
      <c r="D12758" s="128" t="s">
        <v>79</v>
      </c>
      <c r="E12758" s="128" t="s">
        <v>132</v>
      </c>
      <c r="F12758" s="128">
        <v>886904.49</v>
      </c>
      <c r="G12758" s="128">
        <v>594376.19999999995</v>
      </c>
      <c r="H12758" s="128">
        <v>199274.15</v>
      </c>
      <c r="I12758" s="128">
        <v>2605</v>
      </c>
    </row>
    <row r="12759" spans="1:9" ht="13.5">
      <c r="A12759" s="128">
        <v>2024</v>
      </c>
      <c r="B12759" s="128" t="s">
        <v>138</v>
      </c>
      <c r="C12759" s="128" t="s">
        <v>21</v>
      </c>
      <c r="D12759" s="128" t="s">
        <v>79</v>
      </c>
      <c r="E12759" s="128" t="s">
        <v>133</v>
      </c>
      <c r="F12759" s="128">
        <v>1603596.38</v>
      </c>
      <c r="G12759" s="128">
        <v>861438.08</v>
      </c>
      <c r="H12759" s="128">
        <v>286572.78000000003</v>
      </c>
      <c r="I12759" s="128">
        <v>6279</v>
      </c>
    </row>
    <row r="12760" spans="1:9" ht="13.5">
      <c r="A12760" s="128">
        <v>2024</v>
      </c>
      <c r="B12760" s="128" t="s">
        <v>138</v>
      </c>
      <c r="C12760" s="128" t="s">
        <v>21</v>
      </c>
      <c r="D12760" s="128" t="s">
        <v>79</v>
      </c>
      <c r="E12760" s="128" t="s">
        <v>134</v>
      </c>
      <c r="F12760" s="128">
        <v>4663206.62</v>
      </c>
      <c r="G12760" s="128">
        <v>2035979.48</v>
      </c>
      <c r="H12760" s="128">
        <v>680355.37</v>
      </c>
      <c r="I12760" s="128">
        <v>12502</v>
      </c>
    </row>
    <row r="12761" spans="1:9" ht="13.5">
      <c r="A12761" s="128">
        <v>2024</v>
      </c>
      <c r="B12761" s="128" t="s">
        <v>138</v>
      </c>
      <c r="C12761" s="128" t="s">
        <v>21</v>
      </c>
      <c r="D12761" s="128" t="s">
        <v>79</v>
      </c>
      <c r="E12761" s="128" t="s">
        <v>135</v>
      </c>
      <c r="F12761" s="128">
        <v>53215203.490000002</v>
      </c>
      <c r="G12761" s="128">
        <v>11553929.890000001</v>
      </c>
      <c r="H12761" s="128">
        <v>3873096.93</v>
      </c>
      <c r="I12761" s="128">
        <v>40638</v>
      </c>
    </row>
    <row r="12762" spans="1:9" ht="13.5">
      <c r="A12762" s="128">
        <v>2024</v>
      </c>
      <c r="B12762" s="128" t="s">
        <v>138</v>
      </c>
      <c r="C12762" s="128" t="s">
        <v>21</v>
      </c>
      <c r="D12762" s="128" t="s">
        <v>77</v>
      </c>
      <c r="E12762" s="128" t="s">
        <v>132</v>
      </c>
      <c r="F12762" s="128">
        <v>2672328.29</v>
      </c>
      <c r="G12762" s="128">
        <v>1722139.86</v>
      </c>
      <c r="H12762" s="128">
        <v>752073.7</v>
      </c>
      <c r="I12762" s="128">
        <v>13576</v>
      </c>
    </row>
    <row r="12763" spans="1:9" ht="13.5">
      <c r="A12763" s="128">
        <v>2024</v>
      </c>
      <c r="B12763" s="128" t="s">
        <v>138</v>
      </c>
      <c r="C12763" s="128" t="s">
        <v>21</v>
      </c>
      <c r="D12763" s="128" t="s">
        <v>77</v>
      </c>
      <c r="E12763" s="128" t="s">
        <v>133</v>
      </c>
      <c r="F12763" s="128">
        <v>8186737.6900000004</v>
      </c>
      <c r="G12763" s="128">
        <v>4380852.92</v>
      </c>
      <c r="H12763" s="128">
        <v>3206799.28</v>
      </c>
      <c r="I12763" s="128">
        <v>23931</v>
      </c>
    </row>
    <row r="12764" spans="1:9" ht="13.5">
      <c r="A12764" s="128">
        <v>2024</v>
      </c>
      <c r="B12764" s="128" t="s">
        <v>138</v>
      </c>
      <c r="C12764" s="128" t="s">
        <v>21</v>
      </c>
      <c r="D12764" s="128" t="s">
        <v>77</v>
      </c>
      <c r="E12764" s="128" t="s">
        <v>134</v>
      </c>
      <c r="F12764" s="128">
        <v>25512140.960000001</v>
      </c>
      <c r="G12764" s="128">
        <v>10922006.310000001</v>
      </c>
      <c r="H12764" s="128">
        <v>10235065.369999999</v>
      </c>
      <c r="I12764" s="128">
        <v>39251</v>
      </c>
    </row>
    <row r="12765" spans="1:9" ht="13.5">
      <c r="A12765" s="128">
        <v>2024</v>
      </c>
      <c r="B12765" s="128" t="s">
        <v>138</v>
      </c>
      <c r="C12765" s="128" t="s">
        <v>21</v>
      </c>
      <c r="D12765" s="128" t="s">
        <v>77</v>
      </c>
      <c r="E12765" s="128" t="s">
        <v>135</v>
      </c>
      <c r="F12765" s="128">
        <v>61981091.689999998</v>
      </c>
      <c r="G12765" s="128">
        <v>16313445.029999999</v>
      </c>
      <c r="H12765" s="128">
        <v>17257365.84</v>
      </c>
      <c r="I12765" s="128">
        <v>200760</v>
      </c>
    </row>
    <row r="12766" spans="1:9" ht="13.5">
      <c r="A12766" s="128">
        <v>2024</v>
      </c>
      <c r="B12766" s="128" t="s">
        <v>138</v>
      </c>
      <c r="C12766" s="128" t="s">
        <v>21</v>
      </c>
      <c r="D12766" s="128" t="s">
        <v>76</v>
      </c>
      <c r="E12766" s="128" t="s">
        <v>136</v>
      </c>
      <c r="F12766" s="128">
        <v>24125715.890000001</v>
      </c>
      <c r="G12766" s="128">
        <v>18163352.739999998</v>
      </c>
      <c r="H12766" s="128">
        <v>5962364.25</v>
      </c>
      <c r="I12766" s="128">
        <v>408191</v>
      </c>
    </row>
    <row r="12767" spans="1:9" ht="13.5">
      <c r="A12767" s="128">
        <v>2024</v>
      </c>
      <c r="B12767" s="128" t="s">
        <v>138</v>
      </c>
      <c r="C12767" s="128" t="s">
        <v>21</v>
      </c>
      <c r="D12767" s="128" t="s">
        <v>76</v>
      </c>
      <c r="E12767" s="128" t="s">
        <v>132</v>
      </c>
      <c r="F12767" s="128">
        <v>69168943.5</v>
      </c>
      <c r="G12767" s="128">
        <v>44101122.149999999</v>
      </c>
      <c r="H12767" s="128">
        <v>25067603.09</v>
      </c>
      <c r="I12767" s="128">
        <v>538341</v>
      </c>
    </row>
    <row r="12768" spans="1:9" ht="13.5">
      <c r="A12768" s="128">
        <v>2024</v>
      </c>
      <c r="B12768" s="128" t="s">
        <v>138</v>
      </c>
      <c r="C12768" s="128" t="s">
        <v>21</v>
      </c>
      <c r="D12768" s="128" t="s">
        <v>76</v>
      </c>
      <c r="E12768" s="128" t="s">
        <v>133</v>
      </c>
      <c r="F12768" s="128">
        <v>128048934.17</v>
      </c>
      <c r="G12768" s="128">
        <v>70355414.090000004</v>
      </c>
      <c r="H12768" s="128">
        <v>57693418.090000004</v>
      </c>
      <c r="I12768" s="128">
        <v>720659</v>
      </c>
    </row>
    <row r="12769" spans="1:9" ht="13.5">
      <c r="A12769" s="128">
        <v>2024</v>
      </c>
      <c r="B12769" s="128" t="s">
        <v>138</v>
      </c>
      <c r="C12769" s="128" t="s">
        <v>21</v>
      </c>
      <c r="D12769" s="128" t="s">
        <v>76</v>
      </c>
      <c r="E12769" s="128" t="s">
        <v>134</v>
      </c>
      <c r="F12769" s="128">
        <v>80603722.780000001</v>
      </c>
      <c r="G12769" s="128">
        <v>37209179.32</v>
      </c>
      <c r="H12769" s="128">
        <v>43394484.640000001</v>
      </c>
      <c r="I12769" s="128">
        <v>509501</v>
      </c>
    </row>
    <row r="12770" spans="1:9" ht="13.5">
      <c r="A12770" s="128">
        <v>2024</v>
      </c>
      <c r="B12770" s="128" t="s">
        <v>138</v>
      </c>
      <c r="C12770" s="128" t="s">
        <v>21</v>
      </c>
      <c r="D12770" s="128" t="s">
        <v>76</v>
      </c>
      <c r="E12770" s="128" t="s">
        <v>135</v>
      </c>
      <c r="F12770" s="128">
        <v>3121253.7</v>
      </c>
      <c r="G12770" s="128">
        <v>859177.75</v>
      </c>
      <c r="H12770" s="128">
        <v>2262075.9500000002</v>
      </c>
      <c r="I12770" s="128">
        <v>2881</v>
      </c>
    </row>
    <row r="12771" spans="1:9" ht="13.5">
      <c r="A12771" s="128">
        <v>2024</v>
      </c>
      <c r="B12771" s="128" t="s">
        <v>138</v>
      </c>
      <c r="C12771" s="128" t="s">
        <v>22</v>
      </c>
      <c r="D12771" s="128" t="s">
        <v>79</v>
      </c>
      <c r="E12771" s="128" t="s">
        <v>136</v>
      </c>
      <c r="F12771" s="128">
        <v>4057061</v>
      </c>
      <c r="G12771" s="128">
        <v>3033970.97</v>
      </c>
      <c r="H12771" s="128">
        <v>985764.28</v>
      </c>
      <c r="I12771" s="128">
        <v>62761</v>
      </c>
    </row>
    <row r="12772" spans="1:9" ht="13.5">
      <c r="A12772" s="128">
        <v>2024</v>
      </c>
      <c r="B12772" s="128" t="s">
        <v>138</v>
      </c>
      <c r="C12772" s="128" t="s">
        <v>22</v>
      </c>
      <c r="D12772" s="128" t="s">
        <v>79</v>
      </c>
      <c r="E12772" s="128" t="s">
        <v>132</v>
      </c>
      <c r="F12772" s="128">
        <v>1025275.16</v>
      </c>
      <c r="G12772" s="128">
        <v>672320.89</v>
      </c>
      <c r="H12772" s="128">
        <v>231048.35</v>
      </c>
      <c r="I12772" s="128">
        <v>2343</v>
      </c>
    </row>
    <row r="12773" spans="1:9" ht="13.5">
      <c r="A12773" s="128">
        <v>2024</v>
      </c>
      <c r="B12773" s="128" t="s">
        <v>138</v>
      </c>
      <c r="C12773" s="128" t="s">
        <v>22</v>
      </c>
      <c r="D12773" s="128" t="s">
        <v>79</v>
      </c>
      <c r="E12773" s="128" t="s">
        <v>133</v>
      </c>
      <c r="F12773" s="128">
        <v>1359913.93</v>
      </c>
      <c r="G12773" s="128">
        <v>739786.99</v>
      </c>
      <c r="H12773" s="128">
        <v>245099.49</v>
      </c>
      <c r="I12773" s="128">
        <v>2438</v>
      </c>
    </row>
    <row r="12774" spans="1:9" ht="13.5">
      <c r="A12774" s="128">
        <v>2024</v>
      </c>
      <c r="B12774" s="128" t="s">
        <v>138</v>
      </c>
      <c r="C12774" s="128" t="s">
        <v>22</v>
      </c>
      <c r="D12774" s="128" t="s">
        <v>79</v>
      </c>
      <c r="E12774" s="128" t="s">
        <v>134</v>
      </c>
      <c r="F12774" s="128">
        <v>4808558.59</v>
      </c>
      <c r="G12774" s="128">
        <v>2085918.41</v>
      </c>
      <c r="H12774" s="128">
        <v>695183.99</v>
      </c>
      <c r="I12774" s="128">
        <v>19734</v>
      </c>
    </row>
    <row r="12775" spans="1:9" ht="13.5">
      <c r="A12775" s="128">
        <v>2024</v>
      </c>
      <c r="B12775" s="128" t="s">
        <v>138</v>
      </c>
      <c r="C12775" s="128" t="s">
        <v>22</v>
      </c>
      <c r="D12775" s="128" t="s">
        <v>79</v>
      </c>
      <c r="E12775" s="128" t="s">
        <v>135</v>
      </c>
      <c r="F12775" s="128">
        <v>63619452.439999998</v>
      </c>
      <c r="G12775" s="128">
        <v>13406110.550000001</v>
      </c>
      <c r="H12775" s="128">
        <v>4489884.1900000004</v>
      </c>
      <c r="I12775" s="128">
        <v>49802</v>
      </c>
    </row>
    <row r="12776" spans="1:9" ht="13.5">
      <c r="A12776" s="128">
        <v>2024</v>
      </c>
      <c r="B12776" s="128" t="s">
        <v>138</v>
      </c>
      <c r="C12776" s="128" t="s">
        <v>22</v>
      </c>
      <c r="D12776" s="128" t="s">
        <v>77</v>
      </c>
      <c r="E12776" s="128" t="s">
        <v>132</v>
      </c>
      <c r="F12776" s="128">
        <v>1806492.45</v>
      </c>
      <c r="G12776" s="128">
        <v>1158719.56</v>
      </c>
      <c r="H12776" s="128">
        <v>526420.51</v>
      </c>
      <c r="I12776" s="128">
        <v>8089</v>
      </c>
    </row>
    <row r="12777" spans="1:9" ht="13.5">
      <c r="A12777" s="128">
        <v>2024</v>
      </c>
      <c r="B12777" s="128" t="s">
        <v>138</v>
      </c>
      <c r="C12777" s="128" t="s">
        <v>22</v>
      </c>
      <c r="D12777" s="128" t="s">
        <v>77</v>
      </c>
      <c r="E12777" s="128" t="s">
        <v>133</v>
      </c>
      <c r="F12777" s="128">
        <v>5435675.4900000002</v>
      </c>
      <c r="G12777" s="128">
        <v>2902373.32</v>
      </c>
      <c r="H12777" s="128">
        <v>2113871.52</v>
      </c>
      <c r="I12777" s="128">
        <v>17848</v>
      </c>
    </row>
    <row r="12778" spans="1:9" ht="13.5">
      <c r="A12778" s="128">
        <v>2024</v>
      </c>
      <c r="B12778" s="128" t="s">
        <v>138</v>
      </c>
      <c r="C12778" s="128" t="s">
        <v>22</v>
      </c>
      <c r="D12778" s="128" t="s">
        <v>77</v>
      </c>
      <c r="E12778" s="128" t="s">
        <v>134</v>
      </c>
      <c r="F12778" s="128">
        <v>24145839.449999999</v>
      </c>
      <c r="G12778" s="128">
        <v>10250401.9</v>
      </c>
      <c r="H12778" s="128">
        <v>9948070.1999999993</v>
      </c>
      <c r="I12778" s="128">
        <v>36090</v>
      </c>
    </row>
    <row r="12779" spans="1:9" ht="13.5">
      <c r="A12779" s="128">
        <v>2024</v>
      </c>
      <c r="B12779" s="128" t="s">
        <v>138</v>
      </c>
      <c r="C12779" s="128" t="s">
        <v>22</v>
      </c>
      <c r="D12779" s="128" t="s">
        <v>77</v>
      </c>
      <c r="E12779" s="128" t="s">
        <v>135</v>
      </c>
      <c r="F12779" s="128">
        <v>59525505.869999997</v>
      </c>
      <c r="G12779" s="128">
        <v>14757751.109999999</v>
      </c>
      <c r="H12779" s="128">
        <v>16162935.59</v>
      </c>
      <c r="I12779" s="128">
        <v>152273</v>
      </c>
    </row>
    <row r="12780" spans="1:9" ht="13.5">
      <c r="A12780" s="128">
        <v>2024</v>
      </c>
      <c r="B12780" s="128" t="s">
        <v>138</v>
      </c>
      <c r="C12780" s="128" t="s">
        <v>22</v>
      </c>
      <c r="D12780" s="128" t="s">
        <v>76</v>
      </c>
      <c r="E12780" s="128" t="s">
        <v>136</v>
      </c>
      <c r="F12780" s="128">
        <v>15890362.32</v>
      </c>
      <c r="G12780" s="128">
        <v>11950309.76</v>
      </c>
      <c r="H12780" s="128">
        <v>3940130.92</v>
      </c>
      <c r="I12780" s="128">
        <v>140327</v>
      </c>
    </row>
    <row r="12781" spans="1:9" ht="13.5">
      <c r="A12781" s="128">
        <v>2024</v>
      </c>
      <c r="B12781" s="128" t="s">
        <v>138</v>
      </c>
      <c r="C12781" s="128" t="s">
        <v>22</v>
      </c>
      <c r="D12781" s="128" t="s">
        <v>76</v>
      </c>
      <c r="E12781" s="128" t="s">
        <v>132</v>
      </c>
      <c r="F12781" s="128">
        <v>53005363.359999999</v>
      </c>
      <c r="G12781" s="128">
        <v>33792384.200000003</v>
      </c>
      <c r="H12781" s="128">
        <v>19212886.379999999</v>
      </c>
      <c r="I12781" s="128">
        <v>424259</v>
      </c>
    </row>
    <row r="12782" spans="1:9" ht="13.5">
      <c r="A12782" s="128">
        <v>2024</v>
      </c>
      <c r="B12782" s="128" t="s">
        <v>138</v>
      </c>
      <c r="C12782" s="128" t="s">
        <v>22</v>
      </c>
      <c r="D12782" s="128" t="s">
        <v>76</v>
      </c>
      <c r="E12782" s="128" t="s">
        <v>133</v>
      </c>
      <c r="F12782" s="128">
        <v>85992033.650000006</v>
      </c>
      <c r="G12782" s="128">
        <v>47565197.619999997</v>
      </c>
      <c r="H12782" s="128">
        <v>38426716.689999998</v>
      </c>
      <c r="I12782" s="128">
        <v>635289</v>
      </c>
    </row>
    <row r="12783" spans="1:9" ht="13.5">
      <c r="A12783" s="128">
        <v>2024</v>
      </c>
      <c r="B12783" s="128" t="s">
        <v>138</v>
      </c>
      <c r="C12783" s="128" t="s">
        <v>22</v>
      </c>
      <c r="D12783" s="128" t="s">
        <v>76</v>
      </c>
      <c r="E12783" s="128" t="s">
        <v>134</v>
      </c>
      <c r="F12783" s="128">
        <v>70719310.989999995</v>
      </c>
      <c r="G12783" s="128">
        <v>32638415.350000001</v>
      </c>
      <c r="H12783" s="128">
        <v>38080409.200000003</v>
      </c>
      <c r="I12783" s="128">
        <v>467177</v>
      </c>
    </row>
    <row r="12784" spans="1:9" ht="13.5">
      <c r="A12784" s="128">
        <v>2024</v>
      </c>
      <c r="B12784" s="128" t="s">
        <v>138</v>
      </c>
      <c r="C12784" s="128" t="s">
        <v>22</v>
      </c>
      <c r="D12784" s="128" t="s">
        <v>76</v>
      </c>
      <c r="E12784" s="128" t="s">
        <v>135</v>
      </c>
      <c r="F12784" s="128">
        <v>3827956.48</v>
      </c>
      <c r="G12784" s="128">
        <v>1073405.8</v>
      </c>
      <c r="H12784" s="128">
        <v>2754550.6</v>
      </c>
      <c r="I12784" s="128">
        <v>3447</v>
      </c>
    </row>
    <row r="12785" spans="1:9" ht="13.5">
      <c r="A12785" s="128">
        <v>2024</v>
      </c>
      <c r="B12785" s="128" t="s">
        <v>138</v>
      </c>
      <c r="C12785" s="128" t="s">
        <v>23</v>
      </c>
      <c r="D12785" s="128" t="s">
        <v>79</v>
      </c>
      <c r="E12785" s="128" t="s">
        <v>136</v>
      </c>
      <c r="F12785" s="128">
        <v>1825063.49</v>
      </c>
      <c r="G12785" s="128">
        <v>1360918.74</v>
      </c>
      <c r="H12785" s="128">
        <v>450826.05</v>
      </c>
      <c r="I12785" s="128">
        <v>8947</v>
      </c>
    </row>
    <row r="12786" spans="1:9" ht="13.5">
      <c r="A12786" s="128">
        <v>2024</v>
      </c>
      <c r="B12786" s="128" t="s">
        <v>138</v>
      </c>
      <c r="C12786" s="128" t="s">
        <v>23</v>
      </c>
      <c r="D12786" s="128" t="s">
        <v>79</v>
      </c>
      <c r="E12786" s="128" t="s">
        <v>132</v>
      </c>
      <c r="F12786" s="128">
        <v>285056.5</v>
      </c>
      <c r="G12786" s="128">
        <v>188503.93</v>
      </c>
      <c r="H12786" s="128">
        <v>62939.94</v>
      </c>
      <c r="I12786" s="128">
        <v>384</v>
      </c>
    </row>
    <row r="12787" spans="1:9" ht="13.5">
      <c r="A12787" s="128">
        <v>2024</v>
      </c>
      <c r="B12787" s="128" t="s">
        <v>138</v>
      </c>
      <c r="C12787" s="128" t="s">
        <v>23</v>
      </c>
      <c r="D12787" s="128" t="s">
        <v>79</v>
      </c>
      <c r="E12787" s="128" t="s">
        <v>133</v>
      </c>
      <c r="F12787" s="128">
        <v>318128.57</v>
      </c>
      <c r="G12787" s="128">
        <v>170240.09</v>
      </c>
      <c r="H12787" s="128">
        <v>57950.67</v>
      </c>
      <c r="I12787" s="128">
        <v>544</v>
      </c>
    </row>
    <row r="12788" spans="1:9" ht="13.5">
      <c r="A12788" s="128">
        <v>2024</v>
      </c>
      <c r="B12788" s="128" t="s">
        <v>138</v>
      </c>
      <c r="C12788" s="128" t="s">
        <v>23</v>
      </c>
      <c r="D12788" s="128" t="s">
        <v>79</v>
      </c>
      <c r="E12788" s="128" t="s">
        <v>134</v>
      </c>
      <c r="F12788" s="128">
        <v>768660.96</v>
      </c>
      <c r="G12788" s="128">
        <v>329527.98</v>
      </c>
      <c r="H12788" s="128">
        <v>111226.64</v>
      </c>
      <c r="I12788" s="128">
        <v>1408</v>
      </c>
    </row>
    <row r="12789" spans="1:9" ht="13.5">
      <c r="A12789" s="128">
        <v>2024</v>
      </c>
      <c r="B12789" s="128" t="s">
        <v>138</v>
      </c>
      <c r="C12789" s="128" t="s">
        <v>23</v>
      </c>
      <c r="D12789" s="128" t="s">
        <v>79</v>
      </c>
      <c r="E12789" s="128" t="s">
        <v>135</v>
      </c>
      <c r="F12789" s="128">
        <v>7696350.25</v>
      </c>
      <c r="G12789" s="128">
        <v>1634571.12</v>
      </c>
      <c r="H12789" s="128">
        <v>544679.03</v>
      </c>
      <c r="I12789" s="128">
        <v>4170</v>
      </c>
    </row>
    <row r="12790" spans="1:9" ht="13.5">
      <c r="A12790" s="128">
        <v>2024</v>
      </c>
      <c r="B12790" s="128" t="s">
        <v>138</v>
      </c>
      <c r="C12790" s="128" t="s">
        <v>23</v>
      </c>
      <c r="D12790" s="128" t="s">
        <v>77</v>
      </c>
      <c r="E12790" s="128" t="s">
        <v>132</v>
      </c>
      <c r="F12790" s="128">
        <v>505919.29</v>
      </c>
      <c r="G12790" s="128">
        <v>315562.61</v>
      </c>
      <c r="H12790" s="128">
        <v>150493.99</v>
      </c>
      <c r="I12790" s="128">
        <v>2481</v>
      </c>
    </row>
    <row r="12791" spans="1:9" ht="13.5">
      <c r="A12791" s="128">
        <v>2024</v>
      </c>
      <c r="B12791" s="128" t="s">
        <v>138</v>
      </c>
      <c r="C12791" s="128" t="s">
        <v>23</v>
      </c>
      <c r="D12791" s="128" t="s">
        <v>77</v>
      </c>
      <c r="E12791" s="128" t="s">
        <v>133</v>
      </c>
      <c r="F12791" s="128">
        <v>2096604.5</v>
      </c>
      <c r="G12791" s="128">
        <v>1122190.45</v>
      </c>
      <c r="H12791" s="128">
        <v>845826.94</v>
      </c>
      <c r="I12791" s="128">
        <v>7129</v>
      </c>
    </row>
    <row r="12792" spans="1:9" ht="13.5">
      <c r="A12792" s="128">
        <v>2024</v>
      </c>
      <c r="B12792" s="128" t="s">
        <v>138</v>
      </c>
      <c r="C12792" s="128" t="s">
        <v>23</v>
      </c>
      <c r="D12792" s="128" t="s">
        <v>77</v>
      </c>
      <c r="E12792" s="128" t="s">
        <v>134</v>
      </c>
      <c r="F12792" s="128">
        <v>14940479.800000001</v>
      </c>
      <c r="G12792" s="128">
        <v>6331276.7599999998</v>
      </c>
      <c r="H12792" s="128">
        <v>6275291.6299999999</v>
      </c>
      <c r="I12792" s="128">
        <v>20418</v>
      </c>
    </row>
    <row r="12793" spans="1:9" ht="13.5">
      <c r="A12793" s="128">
        <v>2024</v>
      </c>
      <c r="B12793" s="128" t="s">
        <v>138</v>
      </c>
      <c r="C12793" s="128" t="s">
        <v>23</v>
      </c>
      <c r="D12793" s="128" t="s">
        <v>77</v>
      </c>
      <c r="E12793" s="128" t="s">
        <v>135</v>
      </c>
      <c r="F12793" s="128">
        <v>18661597.030000001</v>
      </c>
      <c r="G12793" s="128">
        <v>5179939.88</v>
      </c>
      <c r="H12793" s="128">
        <v>5780298.04</v>
      </c>
      <c r="I12793" s="128">
        <v>63074</v>
      </c>
    </row>
    <row r="12794" spans="1:9" ht="13.5">
      <c r="A12794" s="128">
        <v>2024</v>
      </c>
      <c r="B12794" s="128" t="s">
        <v>138</v>
      </c>
      <c r="C12794" s="128" t="s">
        <v>23</v>
      </c>
      <c r="D12794" s="128" t="s">
        <v>76</v>
      </c>
      <c r="E12794" s="128" t="s">
        <v>136</v>
      </c>
      <c r="F12794" s="128">
        <v>9333098.3699999992</v>
      </c>
      <c r="G12794" s="128">
        <v>7006297.96</v>
      </c>
      <c r="H12794" s="128">
        <v>2326800.41</v>
      </c>
      <c r="I12794" s="128">
        <v>190475</v>
      </c>
    </row>
    <row r="12795" spans="1:9" ht="13.5">
      <c r="A12795" s="128">
        <v>2024</v>
      </c>
      <c r="B12795" s="128" t="s">
        <v>138</v>
      </c>
      <c r="C12795" s="128" t="s">
        <v>23</v>
      </c>
      <c r="D12795" s="128" t="s">
        <v>76</v>
      </c>
      <c r="E12795" s="128" t="s">
        <v>132</v>
      </c>
      <c r="F12795" s="128">
        <v>18036648.879999999</v>
      </c>
      <c r="G12795" s="128">
        <v>11355389.15</v>
      </c>
      <c r="H12795" s="128">
        <v>6681255.6600000001</v>
      </c>
      <c r="I12795" s="128">
        <v>132172</v>
      </c>
    </row>
    <row r="12796" spans="1:9" ht="13.5">
      <c r="A12796" s="128">
        <v>2024</v>
      </c>
      <c r="B12796" s="128" t="s">
        <v>138</v>
      </c>
      <c r="C12796" s="128" t="s">
        <v>23</v>
      </c>
      <c r="D12796" s="128" t="s">
        <v>76</v>
      </c>
      <c r="E12796" s="128" t="s">
        <v>133</v>
      </c>
      <c r="F12796" s="128">
        <v>34723655.18</v>
      </c>
      <c r="G12796" s="128">
        <v>18822302.25</v>
      </c>
      <c r="H12796" s="128">
        <v>15901325.619999999</v>
      </c>
      <c r="I12796" s="128">
        <v>207604</v>
      </c>
    </row>
    <row r="12797" spans="1:9" ht="13.5">
      <c r="A12797" s="128">
        <v>2024</v>
      </c>
      <c r="B12797" s="128" t="s">
        <v>138</v>
      </c>
      <c r="C12797" s="128" t="s">
        <v>23</v>
      </c>
      <c r="D12797" s="128" t="s">
        <v>76</v>
      </c>
      <c r="E12797" s="128" t="s">
        <v>134</v>
      </c>
      <c r="F12797" s="128">
        <v>30885641.640000001</v>
      </c>
      <c r="G12797" s="128">
        <v>14366207.5</v>
      </c>
      <c r="H12797" s="128">
        <v>16519423.5</v>
      </c>
      <c r="I12797" s="128">
        <v>142380</v>
      </c>
    </row>
    <row r="12798" spans="1:9" ht="13.5">
      <c r="A12798" s="128">
        <v>2024</v>
      </c>
      <c r="B12798" s="128" t="s">
        <v>138</v>
      </c>
      <c r="C12798" s="128" t="s">
        <v>23</v>
      </c>
      <c r="D12798" s="128" t="s">
        <v>76</v>
      </c>
      <c r="E12798" s="128" t="s">
        <v>135</v>
      </c>
      <c r="F12798" s="128">
        <v>819011.56</v>
      </c>
      <c r="G12798" s="128">
        <v>231046.76</v>
      </c>
      <c r="H12798" s="128">
        <v>587964.80000000005</v>
      </c>
      <c r="I12798" s="128">
        <v>776</v>
      </c>
    </row>
    <row r="12799" spans="1:9" ht="13.5">
      <c r="A12799" s="128">
        <v>2024</v>
      </c>
      <c r="B12799" s="128" t="s">
        <v>138</v>
      </c>
      <c r="C12799" s="128" t="s">
        <v>24</v>
      </c>
      <c r="D12799" s="128" t="s">
        <v>79</v>
      </c>
      <c r="E12799" s="128" t="s">
        <v>136</v>
      </c>
      <c r="F12799" s="128">
        <v>2426548.69</v>
      </c>
      <c r="G12799" s="128">
        <v>1819083.38</v>
      </c>
      <c r="H12799" s="128">
        <v>597403.11</v>
      </c>
      <c r="I12799" s="128">
        <v>29798</v>
      </c>
    </row>
    <row r="12800" spans="1:9" ht="13.5">
      <c r="A12800" s="128">
        <v>2024</v>
      </c>
      <c r="B12800" s="128" t="s">
        <v>138</v>
      </c>
      <c r="C12800" s="128" t="s">
        <v>24</v>
      </c>
      <c r="D12800" s="128" t="s">
        <v>79</v>
      </c>
      <c r="E12800" s="128" t="s">
        <v>132</v>
      </c>
      <c r="F12800" s="128">
        <v>467512.55</v>
      </c>
      <c r="G12800" s="128">
        <v>309085.49</v>
      </c>
      <c r="H12800" s="128">
        <v>103162.88</v>
      </c>
      <c r="I12800" s="128">
        <v>1156</v>
      </c>
    </row>
    <row r="12801" spans="1:9" ht="13.5">
      <c r="A12801" s="128">
        <v>2024</v>
      </c>
      <c r="B12801" s="128" t="s">
        <v>138</v>
      </c>
      <c r="C12801" s="128" t="s">
        <v>24</v>
      </c>
      <c r="D12801" s="128" t="s">
        <v>79</v>
      </c>
      <c r="E12801" s="128" t="s">
        <v>133</v>
      </c>
      <c r="F12801" s="128">
        <v>570199.56000000006</v>
      </c>
      <c r="G12801" s="128">
        <v>305994.15000000002</v>
      </c>
      <c r="H12801" s="128">
        <v>101687.74</v>
      </c>
      <c r="I12801" s="128">
        <v>1437</v>
      </c>
    </row>
    <row r="12802" spans="1:9" ht="13.5">
      <c r="A12802" s="128">
        <v>2024</v>
      </c>
      <c r="B12802" s="128" t="s">
        <v>138</v>
      </c>
      <c r="C12802" s="128" t="s">
        <v>24</v>
      </c>
      <c r="D12802" s="128" t="s">
        <v>79</v>
      </c>
      <c r="E12802" s="128" t="s">
        <v>134</v>
      </c>
      <c r="F12802" s="128">
        <v>2336928.91</v>
      </c>
      <c r="G12802" s="128">
        <v>996578.34</v>
      </c>
      <c r="H12802" s="128">
        <v>335337.28999999998</v>
      </c>
      <c r="I12802" s="128">
        <v>9159</v>
      </c>
    </row>
    <row r="12803" spans="1:9" ht="13.5">
      <c r="A12803" s="128">
        <v>2024</v>
      </c>
      <c r="B12803" s="128" t="s">
        <v>138</v>
      </c>
      <c r="C12803" s="128" t="s">
        <v>24</v>
      </c>
      <c r="D12803" s="128" t="s">
        <v>79</v>
      </c>
      <c r="E12803" s="128" t="s">
        <v>135</v>
      </c>
      <c r="F12803" s="128">
        <v>12910403.460000001</v>
      </c>
      <c r="G12803" s="128">
        <v>2649233.69</v>
      </c>
      <c r="H12803" s="128">
        <v>891867.58</v>
      </c>
      <c r="I12803" s="128">
        <v>11681</v>
      </c>
    </row>
    <row r="12804" spans="1:9" ht="13.5">
      <c r="A12804" s="128">
        <v>2024</v>
      </c>
      <c r="B12804" s="128" t="s">
        <v>138</v>
      </c>
      <c r="C12804" s="128" t="s">
        <v>24</v>
      </c>
      <c r="D12804" s="128" t="s">
        <v>77</v>
      </c>
      <c r="E12804" s="128" t="s">
        <v>132</v>
      </c>
      <c r="F12804" s="128">
        <v>941610.96</v>
      </c>
      <c r="G12804" s="128">
        <v>593812.06999999995</v>
      </c>
      <c r="H12804" s="128">
        <v>307249.75</v>
      </c>
      <c r="I12804" s="128">
        <v>3921</v>
      </c>
    </row>
    <row r="12805" spans="1:9" ht="13.5">
      <c r="A12805" s="128">
        <v>2024</v>
      </c>
      <c r="B12805" s="128" t="s">
        <v>138</v>
      </c>
      <c r="C12805" s="128" t="s">
        <v>24</v>
      </c>
      <c r="D12805" s="128" t="s">
        <v>77</v>
      </c>
      <c r="E12805" s="128" t="s">
        <v>133</v>
      </c>
      <c r="F12805" s="128">
        <v>3143618.22</v>
      </c>
      <c r="G12805" s="128">
        <v>1672405.75</v>
      </c>
      <c r="H12805" s="128">
        <v>1162258.8899999999</v>
      </c>
      <c r="I12805" s="128">
        <v>27066</v>
      </c>
    </row>
    <row r="12806" spans="1:9" ht="13.5">
      <c r="A12806" s="128">
        <v>2024</v>
      </c>
      <c r="B12806" s="128" t="s">
        <v>138</v>
      </c>
      <c r="C12806" s="128" t="s">
        <v>24</v>
      </c>
      <c r="D12806" s="128" t="s">
        <v>77</v>
      </c>
      <c r="E12806" s="128" t="s">
        <v>134</v>
      </c>
      <c r="F12806" s="128">
        <v>9945767.5700000003</v>
      </c>
      <c r="G12806" s="128">
        <v>4303239.46</v>
      </c>
      <c r="H12806" s="128">
        <v>3632695.7</v>
      </c>
      <c r="I12806" s="128">
        <v>16373</v>
      </c>
    </row>
    <row r="12807" spans="1:9" ht="13.5">
      <c r="A12807" s="128">
        <v>2024</v>
      </c>
      <c r="B12807" s="128" t="s">
        <v>138</v>
      </c>
      <c r="C12807" s="128" t="s">
        <v>24</v>
      </c>
      <c r="D12807" s="128" t="s">
        <v>77</v>
      </c>
      <c r="E12807" s="128" t="s">
        <v>135</v>
      </c>
      <c r="F12807" s="128">
        <v>27737104.789999999</v>
      </c>
      <c r="G12807" s="128">
        <v>6735396.4500000002</v>
      </c>
      <c r="H12807" s="128">
        <v>4762563.74</v>
      </c>
      <c r="I12807" s="128">
        <v>67034</v>
      </c>
    </row>
    <row r="12808" spans="1:9" ht="13.5">
      <c r="A12808" s="128">
        <v>2024</v>
      </c>
      <c r="B12808" s="128" t="s">
        <v>138</v>
      </c>
      <c r="C12808" s="128" t="s">
        <v>24</v>
      </c>
      <c r="D12808" s="128" t="s">
        <v>76</v>
      </c>
      <c r="E12808" s="128" t="s">
        <v>136</v>
      </c>
      <c r="F12808" s="128">
        <v>12461069.560000001</v>
      </c>
      <c r="G12808" s="128">
        <v>9365057.5299999993</v>
      </c>
      <c r="H12808" s="128">
        <v>3096011.03</v>
      </c>
      <c r="I12808" s="128">
        <v>197487</v>
      </c>
    </row>
    <row r="12809" spans="1:9" ht="13.5">
      <c r="A12809" s="128">
        <v>2024</v>
      </c>
      <c r="B12809" s="128" t="s">
        <v>138</v>
      </c>
      <c r="C12809" s="128" t="s">
        <v>24</v>
      </c>
      <c r="D12809" s="128" t="s">
        <v>76</v>
      </c>
      <c r="E12809" s="128" t="s">
        <v>132</v>
      </c>
      <c r="F12809" s="128">
        <v>14920189.560000001</v>
      </c>
      <c r="G12809" s="128">
        <v>9601041.25</v>
      </c>
      <c r="H12809" s="128">
        <v>5319125.24</v>
      </c>
      <c r="I12809" s="128">
        <v>90319</v>
      </c>
    </row>
    <row r="12810" spans="1:9" ht="13.5">
      <c r="A12810" s="128">
        <v>2024</v>
      </c>
      <c r="B12810" s="128" t="s">
        <v>138</v>
      </c>
      <c r="C12810" s="128" t="s">
        <v>24</v>
      </c>
      <c r="D12810" s="128" t="s">
        <v>76</v>
      </c>
      <c r="E12810" s="128" t="s">
        <v>133</v>
      </c>
      <c r="F12810" s="128">
        <v>58425000.530000001</v>
      </c>
      <c r="G12810" s="128">
        <v>31961117.25</v>
      </c>
      <c r="H12810" s="128">
        <v>26463875.899999999</v>
      </c>
      <c r="I12810" s="128">
        <v>360792</v>
      </c>
    </row>
    <row r="12811" spans="1:9" ht="13.5">
      <c r="A12811" s="128">
        <v>2024</v>
      </c>
      <c r="B12811" s="128" t="s">
        <v>138</v>
      </c>
      <c r="C12811" s="128" t="s">
        <v>24</v>
      </c>
      <c r="D12811" s="128" t="s">
        <v>76</v>
      </c>
      <c r="E12811" s="128" t="s">
        <v>134</v>
      </c>
      <c r="F12811" s="128">
        <v>56627498.390000001</v>
      </c>
      <c r="G12811" s="128">
        <v>25610124.699999999</v>
      </c>
      <c r="H12811" s="128">
        <v>31017339.420000002</v>
      </c>
      <c r="I12811" s="128">
        <v>247549</v>
      </c>
    </row>
    <row r="12812" spans="1:9" ht="13.5">
      <c r="A12812" s="128">
        <v>2024</v>
      </c>
      <c r="B12812" s="128" t="s">
        <v>138</v>
      </c>
      <c r="C12812" s="128" t="s">
        <v>24</v>
      </c>
      <c r="D12812" s="128" t="s">
        <v>76</v>
      </c>
      <c r="E12812" s="128" t="s">
        <v>135</v>
      </c>
      <c r="F12812" s="128">
        <v>2167271.48</v>
      </c>
      <c r="G12812" s="128">
        <v>598035.06999999995</v>
      </c>
      <c r="H12812" s="128">
        <v>1569236.41</v>
      </c>
      <c r="I12812" s="128">
        <v>2022</v>
      </c>
    </row>
    <row r="12813" spans="1:9" ht="13.5">
      <c r="A12813" s="128">
        <v>2024</v>
      </c>
      <c r="B12813" s="128" t="s">
        <v>138</v>
      </c>
      <c r="C12813" s="128" t="s">
        <v>25</v>
      </c>
      <c r="D12813" s="128" t="s">
        <v>79</v>
      </c>
      <c r="E12813" s="128" t="s">
        <v>136</v>
      </c>
      <c r="F12813" s="128">
        <v>307779.65000000002</v>
      </c>
      <c r="G12813" s="128">
        <v>232058.9</v>
      </c>
      <c r="H12813" s="128">
        <v>75237.649999999994</v>
      </c>
      <c r="I12813" s="128">
        <v>2475</v>
      </c>
    </row>
    <row r="12814" spans="1:9" ht="13.5">
      <c r="A12814" s="128">
        <v>2024</v>
      </c>
      <c r="B12814" s="128" t="s">
        <v>138</v>
      </c>
      <c r="C12814" s="128" t="s">
        <v>25</v>
      </c>
      <c r="D12814" s="128" t="s">
        <v>79</v>
      </c>
      <c r="E12814" s="128" t="s">
        <v>132</v>
      </c>
      <c r="F12814" s="128">
        <v>43538.47</v>
      </c>
      <c r="G12814" s="128">
        <v>29757.49</v>
      </c>
      <c r="H12814" s="128">
        <v>9958.35</v>
      </c>
      <c r="I12814" s="128">
        <v>167</v>
      </c>
    </row>
    <row r="12815" spans="1:9" ht="13.5">
      <c r="A12815" s="128">
        <v>2024</v>
      </c>
      <c r="B12815" s="128" t="s">
        <v>138</v>
      </c>
      <c r="C12815" s="128" t="s">
        <v>25</v>
      </c>
      <c r="D12815" s="128" t="s">
        <v>79</v>
      </c>
      <c r="E12815" s="128" t="s">
        <v>133</v>
      </c>
      <c r="F12815" s="128">
        <v>28582.98</v>
      </c>
      <c r="G12815" s="128">
        <v>15259</v>
      </c>
      <c r="H12815" s="128">
        <v>5128.6000000000004</v>
      </c>
      <c r="I12815" s="128">
        <v>75</v>
      </c>
    </row>
    <row r="12816" spans="1:9" ht="13.5">
      <c r="A12816" s="128">
        <v>2024</v>
      </c>
      <c r="B12816" s="128" t="s">
        <v>138</v>
      </c>
      <c r="C12816" s="128" t="s">
        <v>25</v>
      </c>
      <c r="D12816" s="128" t="s">
        <v>79</v>
      </c>
      <c r="E12816" s="128" t="s">
        <v>134</v>
      </c>
      <c r="F12816" s="128">
        <v>189579.6</v>
      </c>
      <c r="G12816" s="128">
        <v>81148.36</v>
      </c>
      <c r="H12816" s="128">
        <v>27276.09</v>
      </c>
      <c r="I12816" s="128">
        <v>491</v>
      </c>
    </row>
    <row r="12817" spans="1:9" ht="13.5">
      <c r="A12817" s="128">
        <v>2024</v>
      </c>
      <c r="B12817" s="128" t="s">
        <v>138</v>
      </c>
      <c r="C12817" s="128" t="s">
        <v>25</v>
      </c>
      <c r="D12817" s="128" t="s">
        <v>79</v>
      </c>
      <c r="E12817" s="128" t="s">
        <v>135</v>
      </c>
      <c r="F12817" s="128">
        <v>3224695.41</v>
      </c>
      <c r="G12817" s="128">
        <v>654775.64</v>
      </c>
      <c r="H12817" s="128">
        <v>218236.57</v>
      </c>
      <c r="I12817" s="128">
        <v>1877</v>
      </c>
    </row>
    <row r="12818" spans="1:9" ht="13.5">
      <c r="A12818" s="128">
        <v>2024</v>
      </c>
      <c r="B12818" s="128" t="s">
        <v>138</v>
      </c>
      <c r="C12818" s="128" t="s">
        <v>25</v>
      </c>
      <c r="D12818" s="128" t="s">
        <v>77</v>
      </c>
      <c r="E12818" s="128" t="s">
        <v>132</v>
      </c>
      <c r="F12818" s="128">
        <v>202730.46</v>
      </c>
      <c r="G12818" s="128">
        <v>132042.4</v>
      </c>
      <c r="H12818" s="128">
        <v>62781.64</v>
      </c>
      <c r="I12818" s="128">
        <v>1084</v>
      </c>
    </row>
    <row r="12819" spans="1:9" ht="13.5">
      <c r="A12819" s="128">
        <v>2024</v>
      </c>
      <c r="B12819" s="128" t="s">
        <v>138</v>
      </c>
      <c r="C12819" s="128" t="s">
        <v>25</v>
      </c>
      <c r="D12819" s="128" t="s">
        <v>77</v>
      </c>
      <c r="E12819" s="128" t="s">
        <v>133</v>
      </c>
      <c r="F12819" s="128">
        <v>336736.09</v>
      </c>
      <c r="G12819" s="128">
        <v>179731.32</v>
      </c>
      <c r="H12819" s="128">
        <v>141291.03</v>
      </c>
      <c r="I12819" s="128">
        <v>1683</v>
      </c>
    </row>
    <row r="12820" spans="1:9" ht="13.5">
      <c r="A12820" s="128">
        <v>2024</v>
      </c>
      <c r="B12820" s="128" t="s">
        <v>138</v>
      </c>
      <c r="C12820" s="128" t="s">
        <v>25</v>
      </c>
      <c r="D12820" s="128" t="s">
        <v>77</v>
      </c>
      <c r="E12820" s="128" t="s">
        <v>134</v>
      </c>
      <c r="F12820" s="128">
        <v>4334474.04</v>
      </c>
      <c r="G12820" s="128">
        <v>1862079.45</v>
      </c>
      <c r="H12820" s="128">
        <v>1854788.93</v>
      </c>
      <c r="I12820" s="128">
        <v>4767</v>
      </c>
    </row>
    <row r="12821" spans="1:9" ht="13.5">
      <c r="A12821" s="128">
        <v>2024</v>
      </c>
      <c r="B12821" s="128" t="s">
        <v>138</v>
      </c>
      <c r="C12821" s="128" t="s">
        <v>25</v>
      </c>
      <c r="D12821" s="128" t="s">
        <v>77</v>
      </c>
      <c r="E12821" s="128" t="s">
        <v>135</v>
      </c>
      <c r="F12821" s="128">
        <v>4906841.83</v>
      </c>
      <c r="G12821" s="128">
        <v>1223319.19</v>
      </c>
      <c r="H12821" s="128">
        <v>1383132.06</v>
      </c>
      <c r="I12821" s="128">
        <v>9788</v>
      </c>
    </row>
    <row r="12822" spans="1:9" ht="13.5">
      <c r="A12822" s="128">
        <v>2024</v>
      </c>
      <c r="B12822" s="128" t="s">
        <v>138</v>
      </c>
      <c r="C12822" s="128" t="s">
        <v>25</v>
      </c>
      <c r="D12822" s="128" t="s">
        <v>76</v>
      </c>
      <c r="E12822" s="128" t="s">
        <v>136</v>
      </c>
      <c r="F12822" s="128">
        <v>1566032.39</v>
      </c>
      <c r="G12822" s="128">
        <v>1176373.21</v>
      </c>
      <c r="H12822" s="128">
        <v>389659.18</v>
      </c>
      <c r="I12822" s="128">
        <v>30145</v>
      </c>
    </row>
    <row r="12823" spans="1:9" ht="13.5">
      <c r="A12823" s="128">
        <v>2024</v>
      </c>
      <c r="B12823" s="128" t="s">
        <v>138</v>
      </c>
      <c r="C12823" s="128" t="s">
        <v>25</v>
      </c>
      <c r="D12823" s="128" t="s">
        <v>76</v>
      </c>
      <c r="E12823" s="128" t="s">
        <v>132</v>
      </c>
      <c r="F12823" s="128">
        <v>2687050.71</v>
      </c>
      <c r="G12823" s="128">
        <v>1692476.75</v>
      </c>
      <c r="H12823" s="128">
        <v>994572.65</v>
      </c>
      <c r="I12823" s="128">
        <v>17460</v>
      </c>
    </row>
    <row r="12824" spans="1:9" ht="13.5">
      <c r="A12824" s="128">
        <v>2024</v>
      </c>
      <c r="B12824" s="128" t="s">
        <v>138</v>
      </c>
      <c r="C12824" s="128" t="s">
        <v>25</v>
      </c>
      <c r="D12824" s="128" t="s">
        <v>76</v>
      </c>
      <c r="E12824" s="128" t="s">
        <v>133</v>
      </c>
      <c r="F12824" s="128">
        <v>9904085.1899999995</v>
      </c>
      <c r="G12824" s="128">
        <v>5388284.7699999996</v>
      </c>
      <c r="H12824" s="128">
        <v>4515792.54</v>
      </c>
      <c r="I12824" s="128">
        <v>53483</v>
      </c>
    </row>
    <row r="12825" spans="1:9" ht="13.5">
      <c r="A12825" s="128">
        <v>2024</v>
      </c>
      <c r="B12825" s="128" t="s">
        <v>138</v>
      </c>
      <c r="C12825" s="128" t="s">
        <v>25</v>
      </c>
      <c r="D12825" s="128" t="s">
        <v>76</v>
      </c>
      <c r="E12825" s="128" t="s">
        <v>134</v>
      </c>
      <c r="F12825" s="128">
        <v>11911968.98</v>
      </c>
      <c r="G12825" s="128">
        <v>5503156.9000000004</v>
      </c>
      <c r="H12825" s="128">
        <v>6408799.8099999996</v>
      </c>
      <c r="I12825" s="128">
        <v>57791</v>
      </c>
    </row>
    <row r="12826" spans="1:9" ht="13.5">
      <c r="A12826" s="128">
        <v>2024</v>
      </c>
      <c r="B12826" s="128" t="s">
        <v>138</v>
      </c>
      <c r="C12826" s="128" t="s">
        <v>25</v>
      </c>
      <c r="D12826" s="128" t="s">
        <v>76</v>
      </c>
      <c r="E12826" s="128" t="s">
        <v>135</v>
      </c>
      <c r="F12826" s="128">
        <v>278535.21999999997</v>
      </c>
      <c r="G12826" s="128">
        <v>77194.8</v>
      </c>
      <c r="H12826" s="128">
        <v>201340.42</v>
      </c>
      <c r="I12826" s="128">
        <v>172</v>
      </c>
    </row>
    <row r="12827" spans="1:9" ht="13.5">
      <c r="A12827" s="128">
        <v>2024</v>
      </c>
      <c r="B12827" s="128" t="s">
        <v>138</v>
      </c>
      <c r="C12827" s="128" t="s">
        <v>26</v>
      </c>
      <c r="D12827" s="128" t="s">
        <v>79</v>
      </c>
      <c r="E12827" s="128" t="s">
        <v>136</v>
      </c>
      <c r="F12827" s="128">
        <v>464322.89</v>
      </c>
      <c r="G12827" s="128">
        <v>337368.56</v>
      </c>
      <c r="H12827" s="128">
        <v>111282.88</v>
      </c>
      <c r="I12827" s="128">
        <v>3573</v>
      </c>
    </row>
    <row r="12828" spans="1:9" ht="13.5">
      <c r="A12828" s="128">
        <v>2024</v>
      </c>
      <c r="B12828" s="128" t="s">
        <v>138</v>
      </c>
      <c r="C12828" s="128" t="s">
        <v>26</v>
      </c>
      <c r="D12828" s="128" t="s">
        <v>79</v>
      </c>
      <c r="E12828" s="128" t="s">
        <v>132</v>
      </c>
      <c r="F12828" s="128">
        <v>66391.039999999994</v>
      </c>
      <c r="G12828" s="128">
        <v>44075.360000000001</v>
      </c>
      <c r="H12828" s="128">
        <v>15120.09</v>
      </c>
      <c r="I12828" s="128">
        <v>142</v>
      </c>
    </row>
    <row r="12829" spans="1:9" ht="13.5">
      <c r="A12829" s="128">
        <v>2024</v>
      </c>
      <c r="B12829" s="128" t="s">
        <v>138</v>
      </c>
      <c r="C12829" s="128" t="s">
        <v>26</v>
      </c>
      <c r="D12829" s="128" t="s">
        <v>79</v>
      </c>
      <c r="E12829" s="128" t="s">
        <v>133</v>
      </c>
      <c r="F12829" s="128">
        <v>55582.93</v>
      </c>
      <c r="G12829" s="128">
        <v>30283.51</v>
      </c>
      <c r="H12829" s="128">
        <v>10312.5</v>
      </c>
      <c r="I12829" s="128">
        <v>109</v>
      </c>
    </row>
    <row r="12830" spans="1:9" ht="13.5">
      <c r="A12830" s="128">
        <v>2024</v>
      </c>
      <c r="B12830" s="128" t="s">
        <v>138</v>
      </c>
      <c r="C12830" s="128" t="s">
        <v>26</v>
      </c>
      <c r="D12830" s="128" t="s">
        <v>79</v>
      </c>
      <c r="E12830" s="128" t="s">
        <v>134</v>
      </c>
      <c r="F12830" s="128">
        <v>412344.2</v>
      </c>
      <c r="G12830" s="128">
        <v>176894.83</v>
      </c>
      <c r="H12830" s="128">
        <v>59067.42</v>
      </c>
      <c r="I12830" s="128">
        <v>1122</v>
      </c>
    </row>
    <row r="12831" spans="1:9" ht="13.5">
      <c r="A12831" s="128">
        <v>2024</v>
      </c>
      <c r="B12831" s="128" t="s">
        <v>138</v>
      </c>
      <c r="C12831" s="128" t="s">
        <v>26</v>
      </c>
      <c r="D12831" s="128" t="s">
        <v>79</v>
      </c>
      <c r="E12831" s="128" t="s">
        <v>135</v>
      </c>
      <c r="F12831" s="128">
        <v>11032252.4</v>
      </c>
      <c r="G12831" s="128">
        <v>2302827.06</v>
      </c>
      <c r="H12831" s="128">
        <v>770252.56</v>
      </c>
      <c r="I12831" s="128">
        <v>9263</v>
      </c>
    </row>
    <row r="12832" spans="1:9" ht="13.5">
      <c r="A12832" s="128">
        <v>2024</v>
      </c>
      <c r="B12832" s="128" t="s">
        <v>138</v>
      </c>
      <c r="C12832" s="128" t="s">
        <v>26</v>
      </c>
      <c r="D12832" s="128" t="s">
        <v>77</v>
      </c>
      <c r="E12832" s="128" t="s">
        <v>132</v>
      </c>
      <c r="F12832" s="128">
        <v>86187.32</v>
      </c>
      <c r="G12832" s="128">
        <v>54864.7</v>
      </c>
      <c r="H12832" s="128">
        <v>26306.959999999999</v>
      </c>
      <c r="I12832" s="128">
        <v>317</v>
      </c>
    </row>
    <row r="12833" spans="1:9" ht="13.5">
      <c r="A12833" s="128">
        <v>2024</v>
      </c>
      <c r="B12833" s="128" t="s">
        <v>138</v>
      </c>
      <c r="C12833" s="128" t="s">
        <v>26</v>
      </c>
      <c r="D12833" s="128" t="s">
        <v>77</v>
      </c>
      <c r="E12833" s="128" t="s">
        <v>133</v>
      </c>
      <c r="F12833" s="128">
        <v>218376.71</v>
      </c>
      <c r="G12833" s="128">
        <v>116736.03</v>
      </c>
      <c r="H12833" s="128">
        <v>91856.31</v>
      </c>
      <c r="I12833" s="128">
        <v>534</v>
      </c>
    </row>
    <row r="12834" spans="1:9" ht="13.5">
      <c r="A12834" s="128">
        <v>2024</v>
      </c>
      <c r="B12834" s="128" t="s">
        <v>138</v>
      </c>
      <c r="C12834" s="128" t="s">
        <v>26</v>
      </c>
      <c r="D12834" s="128" t="s">
        <v>77</v>
      </c>
      <c r="E12834" s="128" t="s">
        <v>134</v>
      </c>
      <c r="F12834" s="128">
        <v>924487.16</v>
      </c>
      <c r="G12834" s="128">
        <v>393372.32</v>
      </c>
      <c r="H12834" s="128">
        <v>377338.68</v>
      </c>
      <c r="I12834" s="128">
        <v>1506</v>
      </c>
    </row>
    <row r="12835" spans="1:9" ht="13.5">
      <c r="A12835" s="128">
        <v>2024</v>
      </c>
      <c r="B12835" s="128" t="s">
        <v>138</v>
      </c>
      <c r="C12835" s="128" t="s">
        <v>26</v>
      </c>
      <c r="D12835" s="128" t="s">
        <v>77</v>
      </c>
      <c r="E12835" s="128" t="s">
        <v>135</v>
      </c>
      <c r="F12835" s="128">
        <v>4759625.71</v>
      </c>
      <c r="G12835" s="128">
        <v>1217712.23</v>
      </c>
      <c r="H12835" s="128">
        <v>1203977.78</v>
      </c>
      <c r="I12835" s="128">
        <v>14094</v>
      </c>
    </row>
    <row r="12836" spans="1:9" ht="13.5">
      <c r="A12836" s="128">
        <v>2024</v>
      </c>
      <c r="B12836" s="128" t="s">
        <v>138</v>
      </c>
      <c r="C12836" s="128" t="s">
        <v>26</v>
      </c>
      <c r="D12836" s="128" t="s">
        <v>76</v>
      </c>
      <c r="E12836" s="128" t="s">
        <v>136</v>
      </c>
      <c r="F12836" s="128">
        <v>453740.21</v>
      </c>
      <c r="G12836" s="128">
        <v>341429.25</v>
      </c>
      <c r="H12836" s="128">
        <v>112310.96</v>
      </c>
      <c r="I12836" s="128">
        <v>7884</v>
      </c>
    </row>
    <row r="12837" spans="1:9" ht="13.5">
      <c r="A12837" s="128">
        <v>2024</v>
      </c>
      <c r="B12837" s="128" t="s">
        <v>138</v>
      </c>
      <c r="C12837" s="128" t="s">
        <v>26</v>
      </c>
      <c r="D12837" s="128" t="s">
        <v>76</v>
      </c>
      <c r="E12837" s="128" t="s">
        <v>132</v>
      </c>
      <c r="F12837" s="128">
        <v>2008104.1</v>
      </c>
      <c r="G12837" s="128">
        <v>1278654.2</v>
      </c>
      <c r="H12837" s="128">
        <v>729443.92</v>
      </c>
      <c r="I12837" s="128">
        <v>13923</v>
      </c>
    </row>
    <row r="12838" spans="1:9" ht="13.5">
      <c r="A12838" s="128">
        <v>2024</v>
      </c>
      <c r="B12838" s="128" t="s">
        <v>138</v>
      </c>
      <c r="C12838" s="128" t="s">
        <v>26</v>
      </c>
      <c r="D12838" s="128" t="s">
        <v>76</v>
      </c>
      <c r="E12838" s="128" t="s">
        <v>133</v>
      </c>
      <c r="F12838" s="128">
        <v>5166453.9400000004</v>
      </c>
      <c r="G12838" s="128">
        <v>2845613.15</v>
      </c>
      <c r="H12838" s="128">
        <v>2320834.29</v>
      </c>
      <c r="I12838" s="128">
        <v>40351</v>
      </c>
    </row>
    <row r="12839" spans="1:9" ht="13.5">
      <c r="A12839" s="128">
        <v>2024</v>
      </c>
      <c r="B12839" s="128" t="s">
        <v>138</v>
      </c>
      <c r="C12839" s="128" t="s">
        <v>26</v>
      </c>
      <c r="D12839" s="128" t="s">
        <v>76</v>
      </c>
      <c r="E12839" s="128" t="s">
        <v>134</v>
      </c>
      <c r="F12839" s="128">
        <v>3712529.91</v>
      </c>
      <c r="G12839" s="128">
        <v>1717409.95</v>
      </c>
      <c r="H12839" s="128">
        <v>1995105.51</v>
      </c>
      <c r="I12839" s="128">
        <v>21491</v>
      </c>
    </row>
    <row r="12840" spans="1:9" ht="13.5">
      <c r="A12840" s="128">
        <v>2024</v>
      </c>
      <c r="B12840" s="128" t="s">
        <v>138</v>
      </c>
      <c r="C12840" s="128" t="s">
        <v>26</v>
      </c>
      <c r="D12840" s="128" t="s">
        <v>76</v>
      </c>
      <c r="E12840" s="128" t="s">
        <v>135</v>
      </c>
      <c r="F12840" s="128">
        <v>238861.24</v>
      </c>
      <c r="G12840" s="128">
        <v>67222.05</v>
      </c>
      <c r="H12840" s="128">
        <v>171639.19</v>
      </c>
      <c r="I12840" s="128">
        <v>227</v>
      </c>
    </row>
    <row r="12841" spans="1:9" ht="13.5">
      <c r="A12841" s="128">
        <v>2024</v>
      </c>
      <c r="B12841" s="128" t="s">
        <v>138</v>
      </c>
      <c r="C12841" s="128" t="s">
        <v>27</v>
      </c>
      <c r="D12841" s="128" t="s">
        <v>79</v>
      </c>
      <c r="E12841" s="128" t="s">
        <v>136</v>
      </c>
      <c r="F12841" s="128">
        <v>196617.4</v>
      </c>
      <c r="G12841" s="128">
        <v>139565.15</v>
      </c>
      <c r="H12841" s="128">
        <v>45963.1</v>
      </c>
      <c r="I12841" s="128">
        <v>962</v>
      </c>
    </row>
    <row r="12842" spans="1:9" ht="13.5">
      <c r="A12842" s="128">
        <v>2024</v>
      </c>
      <c r="B12842" s="128" t="s">
        <v>138</v>
      </c>
      <c r="C12842" s="128" t="s">
        <v>27</v>
      </c>
      <c r="D12842" s="128" t="s">
        <v>79</v>
      </c>
      <c r="E12842" s="128" t="s">
        <v>132</v>
      </c>
      <c r="F12842" s="128">
        <v>20176.599999999999</v>
      </c>
      <c r="G12842" s="128">
        <v>14033.02</v>
      </c>
      <c r="H12842" s="128">
        <v>4677.1499999999996</v>
      </c>
      <c r="I12842" s="128">
        <v>46</v>
      </c>
    </row>
    <row r="12843" spans="1:9" ht="13.5">
      <c r="A12843" s="128">
        <v>2024</v>
      </c>
      <c r="B12843" s="128" t="s">
        <v>138</v>
      </c>
      <c r="C12843" s="128" t="s">
        <v>27</v>
      </c>
      <c r="D12843" s="128" t="s">
        <v>79</v>
      </c>
      <c r="E12843" s="128" t="s">
        <v>133</v>
      </c>
      <c r="F12843" s="128">
        <v>26121.7</v>
      </c>
      <c r="G12843" s="128">
        <v>14207.29</v>
      </c>
      <c r="H12843" s="128">
        <v>4734.6499999999996</v>
      </c>
      <c r="I12843" s="128">
        <v>53</v>
      </c>
    </row>
    <row r="12844" spans="1:9" ht="13.5">
      <c r="A12844" s="128">
        <v>2024</v>
      </c>
      <c r="B12844" s="128" t="s">
        <v>138</v>
      </c>
      <c r="C12844" s="128" t="s">
        <v>27</v>
      </c>
      <c r="D12844" s="128" t="s">
        <v>79</v>
      </c>
      <c r="E12844" s="128" t="s">
        <v>134</v>
      </c>
      <c r="F12844" s="128">
        <v>53427.15</v>
      </c>
      <c r="G12844" s="128">
        <v>23360.83</v>
      </c>
      <c r="H12844" s="128">
        <v>8104.1</v>
      </c>
      <c r="I12844" s="128">
        <v>183</v>
      </c>
    </row>
    <row r="12845" spans="1:9" ht="13.5">
      <c r="A12845" s="128">
        <v>2024</v>
      </c>
      <c r="B12845" s="128" t="s">
        <v>138</v>
      </c>
      <c r="C12845" s="128" t="s">
        <v>27</v>
      </c>
      <c r="D12845" s="128" t="s">
        <v>79</v>
      </c>
      <c r="E12845" s="128" t="s">
        <v>135</v>
      </c>
      <c r="F12845" s="128">
        <v>1745680.27</v>
      </c>
      <c r="G12845" s="128">
        <v>373013.58</v>
      </c>
      <c r="H12845" s="128">
        <v>125063.84</v>
      </c>
      <c r="I12845" s="128">
        <v>977</v>
      </c>
    </row>
    <row r="12846" spans="1:9" ht="13.5">
      <c r="A12846" s="128">
        <v>2024</v>
      </c>
      <c r="B12846" s="128" t="s">
        <v>138</v>
      </c>
      <c r="C12846" s="128" t="s">
        <v>27</v>
      </c>
      <c r="D12846" s="128" t="s">
        <v>77</v>
      </c>
      <c r="E12846" s="128" t="s">
        <v>132</v>
      </c>
      <c r="F12846" s="128">
        <v>29661.56</v>
      </c>
      <c r="G12846" s="128">
        <v>18718.439999999999</v>
      </c>
      <c r="H12846" s="128">
        <v>9393.5499999999993</v>
      </c>
      <c r="I12846" s="128">
        <v>111</v>
      </c>
    </row>
    <row r="12847" spans="1:9" ht="13.5">
      <c r="A12847" s="128">
        <v>2024</v>
      </c>
      <c r="B12847" s="128" t="s">
        <v>138</v>
      </c>
      <c r="C12847" s="128" t="s">
        <v>27</v>
      </c>
      <c r="D12847" s="128" t="s">
        <v>77</v>
      </c>
      <c r="E12847" s="128" t="s">
        <v>133</v>
      </c>
      <c r="F12847" s="128">
        <v>78745.070000000007</v>
      </c>
      <c r="G12847" s="128">
        <v>42088.39</v>
      </c>
      <c r="H12847" s="128">
        <v>31055.13</v>
      </c>
      <c r="I12847" s="128">
        <v>244</v>
      </c>
    </row>
    <row r="12848" spans="1:9" ht="13.5">
      <c r="A12848" s="128">
        <v>2024</v>
      </c>
      <c r="B12848" s="128" t="s">
        <v>138</v>
      </c>
      <c r="C12848" s="128" t="s">
        <v>27</v>
      </c>
      <c r="D12848" s="128" t="s">
        <v>77</v>
      </c>
      <c r="E12848" s="128" t="s">
        <v>134</v>
      </c>
      <c r="F12848" s="128">
        <v>260190.04</v>
      </c>
      <c r="G12848" s="128">
        <v>110008.77</v>
      </c>
      <c r="H12848" s="128">
        <v>107736.5</v>
      </c>
      <c r="I12848" s="128">
        <v>454</v>
      </c>
    </row>
    <row r="12849" spans="1:9" ht="13.5">
      <c r="A12849" s="128">
        <v>2024</v>
      </c>
      <c r="B12849" s="128" t="s">
        <v>138</v>
      </c>
      <c r="C12849" s="128" t="s">
        <v>27</v>
      </c>
      <c r="D12849" s="128" t="s">
        <v>77</v>
      </c>
      <c r="E12849" s="128" t="s">
        <v>135</v>
      </c>
      <c r="F12849" s="128">
        <v>1272081.54</v>
      </c>
      <c r="G12849" s="128">
        <v>323902.63</v>
      </c>
      <c r="H12849" s="128">
        <v>365976.99</v>
      </c>
      <c r="I12849" s="128">
        <v>4436</v>
      </c>
    </row>
    <row r="12850" spans="1:9" ht="13.5">
      <c r="A12850" s="128">
        <v>2024</v>
      </c>
      <c r="B12850" s="128" t="s">
        <v>138</v>
      </c>
      <c r="C12850" s="128" t="s">
        <v>27</v>
      </c>
      <c r="D12850" s="128" t="s">
        <v>76</v>
      </c>
      <c r="E12850" s="128" t="s">
        <v>136</v>
      </c>
      <c r="F12850" s="128">
        <v>303321.24</v>
      </c>
      <c r="G12850" s="128">
        <v>227874.15</v>
      </c>
      <c r="H12850" s="128">
        <v>75447.09</v>
      </c>
      <c r="I12850" s="128">
        <v>4221</v>
      </c>
    </row>
    <row r="12851" spans="1:9" ht="13.5">
      <c r="A12851" s="128">
        <v>2024</v>
      </c>
      <c r="B12851" s="128" t="s">
        <v>138</v>
      </c>
      <c r="C12851" s="128" t="s">
        <v>27</v>
      </c>
      <c r="D12851" s="128" t="s">
        <v>76</v>
      </c>
      <c r="E12851" s="128" t="s">
        <v>132</v>
      </c>
      <c r="F12851" s="128">
        <v>745727.01</v>
      </c>
      <c r="G12851" s="128">
        <v>472897.7</v>
      </c>
      <c r="H12851" s="128">
        <v>272826.94</v>
      </c>
      <c r="I12851" s="128">
        <v>5043</v>
      </c>
    </row>
    <row r="12852" spans="1:9" ht="13.5">
      <c r="A12852" s="128">
        <v>2024</v>
      </c>
      <c r="B12852" s="128" t="s">
        <v>138</v>
      </c>
      <c r="C12852" s="128" t="s">
        <v>27</v>
      </c>
      <c r="D12852" s="128" t="s">
        <v>76</v>
      </c>
      <c r="E12852" s="128" t="s">
        <v>133</v>
      </c>
      <c r="F12852" s="128">
        <v>1722538.04</v>
      </c>
      <c r="G12852" s="128">
        <v>941547.78</v>
      </c>
      <c r="H12852" s="128">
        <v>780983.55</v>
      </c>
      <c r="I12852" s="128">
        <v>7804</v>
      </c>
    </row>
    <row r="12853" spans="1:9" ht="13.5">
      <c r="A12853" s="128">
        <v>2024</v>
      </c>
      <c r="B12853" s="128" t="s">
        <v>138</v>
      </c>
      <c r="C12853" s="128" t="s">
        <v>27</v>
      </c>
      <c r="D12853" s="128" t="s">
        <v>76</v>
      </c>
      <c r="E12853" s="128" t="s">
        <v>134</v>
      </c>
      <c r="F12853" s="128">
        <v>1554420.25</v>
      </c>
      <c r="G12853" s="128">
        <v>725269.6</v>
      </c>
      <c r="H12853" s="128">
        <v>829128.69</v>
      </c>
      <c r="I12853" s="128">
        <v>7662</v>
      </c>
    </row>
    <row r="12854" spans="1:9" ht="13.5">
      <c r="A12854" s="128">
        <v>2024</v>
      </c>
      <c r="B12854" s="128" t="s">
        <v>138</v>
      </c>
      <c r="C12854" s="128" t="s">
        <v>27</v>
      </c>
      <c r="D12854" s="128" t="s">
        <v>76</v>
      </c>
      <c r="E12854" s="128" t="s">
        <v>135</v>
      </c>
      <c r="F12854" s="128">
        <v>61271.08</v>
      </c>
      <c r="G12854" s="128">
        <v>20805.2</v>
      </c>
      <c r="H12854" s="128">
        <v>40465.879999999997</v>
      </c>
      <c r="I12854" s="128">
        <v>84</v>
      </c>
    </row>
    <row r="12855" spans="1:9" ht="13.5">
      <c r="A12855" s="128">
        <v>2024</v>
      </c>
      <c r="B12855" s="128" t="s">
        <v>139</v>
      </c>
      <c r="C12855" s="128" t="s">
        <v>20</v>
      </c>
      <c r="D12855" s="128" t="s">
        <v>79</v>
      </c>
      <c r="E12855" s="128" t="s">
        <v>136</v>
      </c>
      <c r="F12855" s="128">
        <v>36592836.890000001</v>
      </c>
      <c r="G12855" s="128">
        <v>27327590.420000002</v>
      </c>
      <c r="H12855" s="128">
        <v>9239558.0800000001</v>
      </c>
      <c r="I12855" s="128">
        <v>259895</v>
      </c>
    </row>
    <row r="12856" spans="1:9" ht="13.5">
      <c r="A12856" s="128">
        <v>2024</v>
      </c>
      <c r="B12856" s="128" t="s">
        <v>139</v>
      </c>
      <c r="C12856" s="128" t="s">
        <v>20</v>
      </c>
      <c r="D12856" s="128" t="s">
        <v>79</v>
      </c>
      <c r="E12856" s="128" t="s">
        <v>132</v>
      </c>
      <c r="F12856" s="128">
        <v>3125642.48</v>
      </c>
      <c r="G12856" s="128">
        <v>2115531.34</v>
      </c>
      <c r="H12856" s="128">
        <v>728165.02</v>
      </c>
      <c r="I12856" s="128">
        <v>9760</v>
      </c>
    </row>
    <row r="12857" spans="1:9" ht="13.5">
      <c r="A12857" s="128">
        <v>2024</v>
      </c>
      <c r="B12857" s="128" t="s">
        <v>139</v>
      </c>
      <c r="C12857" s="128" t="s">
        <v>20</v>
      </c>
      <c r="D12857" s="128" t="s">
        <v>79</v>
      </c>
      <c r="E12857" s="128" t="s">
        <v>133</v>
      </c>
      <c r="F12857" s="128">
        <v>2405883.4900000002</v>
      </c>
      <c r="G12857" s="128">
        <v>1296800.8899999999</v>
      </c>
      <c r="H12857" s="128">
        <v>442667.34</v>
      </c>
      <c r="I12857" s="128">
        <v>5464</v>
      </c>
    </row>
    <row r="12858" spans="1:9" ht="13.5">
      <c r="A12858" s="128">
        <v>2024</v>
      </c>
      <c r="B12858" s="128" t="s">
        <v>139</v>
      </c>
      <c r="C12858" s="128" t="s">
        <v>20</v>
      </c>
      <c r="D12858" s="128" t="s">
        <v>79</v>
      </c>
      <c r="E12858" s="128" t="s">
        <v>134</v>
      </c>
      <c r="F12858" s="128">
        <v>6781382.8499999996</v>
      </c>
      <c r="G12858" s="128">
        <v>2885562.39</v>
      </c>
      <c r="H12858" s="128">
        <v>1017704.01</v>
      </c>
      <c r="I12858" s="128">
        <v>15443</v>
      </c>
    </row>
    <row r="12859" spans="1:9" ht="13.5">
      <c r="A12859" s="128">
        <v>2024</v>
      </c>
      <c r="B12859" s="128" t="s">
        <v>139</v>
      </c>
      <c r="C12859" s="128" t="s">
        <v>20</v>
      </c>
      <c r="D12859" s="128" t="s">
        <v>79</v>
      </c>
      <c r="E12859" s="128" t="s">
        <v>135</v>
      </c>
      <c r="F12859" s="128">
        <v>107623143.86</v>
      </c>
      <c r="G12859" s="128">
        <v>22568459.52</v>
      </c>
      <c r="H12859" s="128">
        <v>7555897.5499999998</v>
      </c>
      <c r="I12859" s="128">
        <v>84768</v>
      </c>
    </row>
    <row r="12860" spans="1:9" ht="13.5">
      <c r="A12860" s="128">
        <v>2024</v>
      </c>
      <c r="B12860" s="128" t="s">
        <v>139</v>
      </c>
      <c r="C12860" s="128" t="s">
        <v>20</v>
      </c>
      <c r="D12860" s="128" t="s">
        <v>77</v>
      </c>
      <c r="E12860" s="128" t="s">
        <v>132</v>
      </c>
      <c r="F12860" s="128">
        <v>2518222.91</v>
      </c>
      <c r="G12860" s="128">
        <v>1651924.36</v>
      </c>
      <c r="H12860" s="128">
        <v>759093.91</v>
      </c>
      <c r="I12860" s="128">
        <v>11213</v>
      </c>
    </row>
    <row r="12861" spans="1:9" ht="13.5">
      <c r="A12861" s="128">
        <v>2024</v>
      </c>
      <c r="B12861" s="128" t="s">
        <v>139</v>
      </c>
      <c r="C12861" s="128" t="s">
        <v>20</v>
      </c>
      <c r="D12861" s="128" t="s">
        <v>77</v>
      </c>
      <c r="E12861" s="128" t="s">
        <v>133</v>
      </c>
      <c r="F12861" s="128">
        <v>6413827.8499999996</v>
      </c>
      <c r="G12861" s="128">
        <v>3423182.89</v>
      </c>
      <c r="H12861" s="128">
        <v>2658134.83</v>
      </c>
      <c r="I12861" s="128">
        <v>18352</v>
      </c>
    </row>
    <row r="12862" spans="1:9" ht="13.5">
      <c r="A12862" s="128">
        <v>2024</v>
      </c>
      <c r="B12862" s="128" t="s">
        <v>139</v>
      </c>
      <c r="C12862" s="128" t="s">
        <v>20</v>
      </c>
      <c r="D12862" s="128" t="s">
        <v>77</v>
      </c>
      <c r="E12862" s="128" t="s">
        <v>134</v>
      </c>
      <c r="F12862" s="128">
        <v>20191445.870000001</v>
      </c>
      <c r="G12862" s="128">
        <v>8694246</v>
      </c>
      <c r="H12862" s="128">
        <v>8661445.0399999991</v>
      </c>
      <c r="I12862" s="128">
        <v>30847</v>
      </c>
    </row>
    <row r="12863" spans="1:9" ht="13.5">
      <c r="A12863" s="128">
        <v>2024</v>
      </c>
      <c r="B12863" s="128" t="s">
        <v>139</v>
      </c>
      <c r="C12863" s="128" t="s">
        <v>20</v>
      </c>
      <c r="D12863" s="128" t="s">
        <v>77</v>
      </c>
      <c r="E12863" s="128" t="s">
        <v>135</v>
      </c>
      <c r="F12863" s="128">
        <v>51069151.969999999</v>
      </c>
      <c r="G12863" s="128">
        <v>13185430.6</v>
      </c>
      <c r="H12863" s="128">
        <v>14674932.140000001</v>
      </c>
      <c r="I12863" s="128">
        <v>160220</v>
      </c>
    </row>
    <row r="12864" spans="1:9" ht="13.5">
      <c r="A12864" s="128">
        <v>2024</v>
      </c>
      <c r="B12864" s="128" t="s">
        <v>139</v>
      </c>
      <c r="C12864" s="128" t="s">
        <v>20</v>
      </c>
      <c r="D12864" s="128" t="s">
        <v>76</v>
      </c>
      <c r="E12864" s="128" t="s">
        <v>136</v>
      </c>
      <c r="F12864" s="128">
        <v>28843034.68</v>
      </c>
      <c r="G12864" s="128">
        <v>21713604.25</v>
      </c>
      <c r="H12864" s="128">
        <v>7129598.2300000004</v>
      </c>
      <c r="I12864" s="128">
        <v>987188</v>
      </c>
    </row>
    <row r="12865" spans="1:9" ht="13.5">
      <c r="A12865" s="128">
        <v>2024</v>
      </c>
      <c r="B12865" s="128" t="s">
        <v>139</v>
      </c>
      <c r="C12865" s="128" t="s">
        <v>20</v>
      </c>
      <c r="D12865" s="128" t="s">
        <v>76</v>
      </c>
      <c r="E12865" s="128" t="s">
        <v>132</v>
      </c>
      <c r="F12865" s="128">
        <v>59989063.399999999</v>
      </c>
      <c r="G12865" s="128">
        <v>38302259.420000002</v>
      </c>
      <c r="H12865" s="128">
        <v>21686136.859999999</v>
      </c>
      <c r="I12865" s="128">
        <v>461917</v>
      </c>
    </row>
    <row r="12866" spans="1:9" ht="13.5">
      <c r="A12866" s="128">
        <v>2024</v>
      </c>
      <c r="B12866" s="128" t="s">
        <v>139</v>
      </c>
      <c r="C12866" s="128" t="s">
        <v>20</v>
      </c>
      <c r="D12866" s="128" t="s">
        <v>76</v>
      </c>
      <c r="E12866" s="128" t="s">
        <v>133</v>
      </c>
      <c r="F12866" s="128">
        <v>113621441.56</v>
      </c>
      <c r="G12866" s="128">
        <v>62272855.619999997</v>
      </c>
      <c r="H12866" s="128">
        <v>51348506.270000003</v>
      </c>
      <c r="I12866" s="128">
        <v>598283</v>
      </c>
    </row>
    <row r="12867" spans="1:9" ht="13.5">
      <c r="A12867" s="128">
        <v>2024</v>
      </c>
      <c r="B12867" s="128" t="s">
        <v>139</v>
      </c>
      <c r="C12867" s="128" t="s">
        <v>20</v>
      </c>
      <c r="D12867" s="128" t="s">
        <v>76</v>
      </c>
      <c r="E12867" s="128" t="s">
        <v>134</v>
      </c>
      <c r="F12867" s="128">
        <v>109342436.70999999</v>
      </c>
      <c r="G12867" s="128">
        <v>50267032.539999999</v>
      </c>
      <c r="H12867" s="128">
        <v>59075213.340000004</v>
      </c>
      <c r="I12867" s="128">
        <v>598516</v>
      </c>
    </row>
    <row r="12868" spans="1:9" ht="13.5">
      <c r="A12868" s="128">
        <v>2024</v>
      </c>
      <c r="B12868" s="128" t="s">
        <v>139</v>
      </c>
      <c r="C12868" s="128" t="s">
        <v>20</v>
      </c>
      <c r="D12868" s="128" t="s">
        <v>76</v>
      </c>
      <c r="E12868" s="128" t="s">
        <v>135</v>
      </c>
      <c r="F12868" s="128">
        <v>6158262.0099999998</v>
      </c>
      <c r="G12868" s="128">
        <v>1783784.95</v>
      </c>
      <c r="H12868" s="128">
        <v>4374475.05</v>
      </c>
      <c r="I12868" s="128">
        <v>5192</v>
      </c>
    </row>
    <row r="12869" spans="1:9" ht="13.5">
      <c r="A12869" s="128">
        <v>2024</v>
      </c>
      <c r="B12869" s="128" t="s">
        <v>139</v>
      </c>
      <c r="C12869" s="128" t="s">
        <v>21</v>
      </c>
      <c r="D12869" s="128" t="s">
        <v>79</v>
      </c>
      <c r="E12869" s="128" t="s">
        <v>136</v>
      </c>
      <c r="F12869" s="128">
        <v>5090408.3099999996</v>
      </c>
      <c r="G12869" s="128">
        <v>3828350.92</v>
      </c>
      <c r="H12869" s="128">
        <v>1255437.75</v>
      </c>
      <c r="I12869" s="128">
        <v>102932</v>
      </c>
    </row>
    <row r="12870" spans="1:9" ht="13.5">
      <c r="A12870" s="128">
        <v>2024</v>
      </c>
      <c r="B12870" s="128" t="s">
        <v>139</v>
      </c>
      <c r="C12870" s="128" t="s">
        <v>21</v>
      </c>
      <c r="D12870" s="128" t="s">
        <v>79</v>
      </c>
      <c r="E12870" s="128" t="s">
        <v>132</v>
      </c>
      <c r="F12870" s="128">
        <v>856565.41</v>
      </c>
      <c r="G12870" s="128">
        <v>574048.64</v>
      </c>
      <c r="H12870" s="128">
        <v>195308.36</v>
      </c>
      <c r="I12870" s="128">
        <v>2515</v>
      </c>
    </row>
    <row r="12871" spans="1:9" ht="13.5">
      <c r="A12871" s="128">
        <v>2024</v>
      </c>
      <c r="B12871" s="128" t="s">
        <v>139</v>
      </c>
      <c r="C12871" s="128" t="s">
        <v>21</v>
      </c>
      <c r="D12871" s="128" t="s">
        <v>79</v>
      </c>
      <c r="E12871" s="128" t="s">
        <v>133</v>
      </c>
      <c r="F12871" s="128">
        <v>1587730.13</v>
      </c>
      <c r="G12871" s="128">
        <v>851638.41</v>
      </c>
      <c r="H12871" s="128">
        <v>295408.71999999997</v>
      </c>
      <c r="I12871" s="128">
        <v>5561</v>
      </c>
    </row>
    <row r="12872" spans="1:9" ht="13.5">
      <c r="A12872" s="128">
        <v>2024</v>
      </c>
      <c r="B12872" s="128" t="s">
        <v>139</v>
      </c>
      <c r="C12872" s="128" t="s">
        <v>21</v>
      </c>
      <c r="D12872" s="128" t="s">
        <v>79</v>
      </c>
      <c r="E12872" s="128" t="s">
        <v>134</v>
      </c>
      <c r="F12872" s="128">
        <v>4211705.75</v>
      </c>
      <c r="G12872" s="128">
        <v>1842571.73</v>
      </c>
      <c r="H12872" s="128">
        <v>629716.04</v>
      </c>
      <c r="I12872" s="128">
        <v>11013</v>
      </c>
    </row>
    <row r="12873" spans="1:9" ht="13.5">
      <c r="A12873" s="128">
        <v>2024</v>
      </c>
      <c r="B12873" s="128" t="s">
        <v>139</v>
      </c>
      <c r="C12873" s="128" t="s">
        <v>21</v>
      </c>
      <c r="D12873" s="128" t="s">
        <v>79</v>
      </c>
      <c r="E12873" s="128" t="s">
        <v>135</v>
      </c>
      <c r="F12873" s="128">
        <v>44802852.039999999</v>
      </c>
      <c r="G12873" s="128">
        <v>9823121.25</v>
      </c>
      <c r="H12873" s="128">
        <v>3325843.81</v>
      </c>
      <c r="I12873" s="128">
        <v>34322</v>
      </c>
    </row>
    <row r="12874" spans="1:9" ht="13.5">
      <c r="A12874" s="128">
        <v>2024</v>
      </c>
      <c r="B12874" s="128" t="s">
        <v>139</v>
      </c>
      <c r="C12874" s="128" t="s">
        <v>21</v>
      </c>
      <c r="D12874" s="128" t="s">
        <v>77</v>
      </c>
      <c r="E12874" s="128" t="s">
        <v>132</v>
      </c>
      <c r="F12874" s="128">
        <v>2361593.14</v>
      </c>
      <c r="G12874" s="128">
        <v>1531097.63</v>
      </c>
      <c r="H12874" s="128">
        <v>688867.64</v>
      </c>
      <c r="I12874" s="128">
        <v>12567</v>
      </c>
    </row>
    <row r="12875" spans="1:9" ht="13.5">
      <c r="A12875" s="128">
        <v>2024</v>
      </c>
      <c r="B12875" s="128" t="s">
        <v>139</v>
      </c>
      <c r="C12875" s="128" t="s">
        <v>21</v>
      </c>
      <c r="D12875" s="128" t="s">
        <v>77</v>
      </c>
      <c r="E12875" s="128" t="s">
        <v>133</v>
      </c>
      <c r="F12875" s="128">
        <v>8367574.9299999997</v>
      </c>
      <c r="G12875" s="128">
        <v>4495218.09</v>
      </c>
      <c r="H12875" s="128">
        <v>3286705.67</v>
      </c>
      <c r="I12875" s="128">
        <v>24874</v>
      </c>
    </row>
    <row r="12876" spans="1:9" ht="13.5">
      <c r="A12876" s="128">
        <v>2024</v>
      </c>
      <c r="B12876" s="128" t="s">
        <v>139</v>
      </c>
      <c r="C12876" s="128" t="s">
        <v>21</v>
      </c>
      <c r="D12876" s="128" t="s">
        <v>77</v>
      </c>
      <c r="E12876" s="128" t="s">
        <v>134</v>
      </c>
      <c r="F12876" s="128">
        <v>22622338.219999999</v>
      </c>
      <c r="G12876" s="128">
        <v>9706682.2899999991</v>
      </c>
      <c r="H12876" s="128">
        <v>9080126.2100000009</v>
      </c>
      <c r="I12876" s="128">
        <v>35841</v>
      </c>
    </row>
    <row r="12877" spans="1:9" ht="13.5">
      <c r="A12877" s="128">
        <v>2024</v>
      </c>
      <c r="B12877" s="128" t="s">
        <v>139</v>
      </c>
      <c r="C12877" s="128" t="s">
        <v>21</v>
      </c>
      <c r="D12877" s="128" t="s">
        <v>77</v>
      </c>
      <c r="E12877" s="128" t="s">
        <v>135</v>
      </c>
      <c r="F12877" s="128">
        <v>55508415.079999998</v>
      </c>
      <c r="G12877" s="128">
        <v>14578481.710000001</v>
      </c>
      <c r="H12877" s="128">
        <v>15512319.85</v>
      </c>
      <c r="I12877" s="128">
        <v>183402</v>
      </c>
    </row>
    <row r="12878" spans="1:9" ht="13.5">
      <c r="A12878" s="128">
        <v>2024</v>
      </c>
      <c r="B12878" s="128" t="s">
        <v>139</v>
      </c>
      <c r="C12878" s="128" t="s">
        <v>21</v>
      </c>
      <c r="D12878" s="128" t="s">
        <v>76</v>
      </c>
      <c r="E12878" s="128" t="s">
        <v>136</v>
      </c>
      <c r="F12878" s="128">
        <v>21305495.289999999</v>
      </c>
      <c r="G12878" s="128">
        <v>16055636.74</v>
      </c>
      <c r="H12878" s="128">
        <v>5249962.57</v>
      </c>
      <c r="I12878" s="128">
        <v>310354</v>
      </c>
    </row>
    <row r="12879" spans="1:9" ht="13.5">
      <c r="A12879" s="128">
        <v>2024</v>
      </c>
      <c r="B12879" s="128" t="s">
        <v>139</v>
      </c>
      <c r="C12879" s="128" t="s">
        <v>21</v>
      </c>
      <c r="D12879" s="128" t="s">
        <v>76</v>
      </c>
      <c r="E12879" s="128" t="s">
        <v>132</v>
      </c>
      <c r="F12879" s="128">
        <v>64822593.82</v>
      </c>
      <c r="G12879" s="128">
        <v>41341793.5</v>
      </c>
      <c r="H12879" s="128">
        <v>23480641.809999999</v>
      </c>
      <c r="I12879" s="128">
        <v>498289</v>
      </c>
    </row>
    <row r="12880" spans="1:9" ht="13.5">
      <c r="A12880" s="128">
        <v>2024</v>
      </c>
      <c r="B12880" s="128" t="s">
        <v>139</v>
      </c>
      <c r="C12880" s="128" t="s">
        <v>21</v>
      </c>
      <c r="D12880" s="128" t="s">
        <v>76</v>
      </c>
      <c r="E12880" s="128" t="s">
        <v>133</v>
      </c>
      <c r="F12880" s="128">
        <v>118010516.63</v>
      </c>
      <c r="G12880" s="128">
        <v>64845586.420000002</v>
      </c>
      <c r="H12880" s="128">
        <v>53164771.82</v>
      </c>
      <c r="I12880" s="128">
        <v>664046</v>
      </c>
    </row>
    <row r="12881" spans="1:9" ht="13.5">
      <c r="A12881" s="128">
        <v>2024</v>
      </c>
      <c r="B12881" s="128" t="s">
        <v>139</v>
      </c>
      <c r="C12881" s="128" t="s">
        <v>21</v>
      </c>
      <c r="D12881" s="128" t="s">
        <v>76</v>
      </c>
      <c r="E12881" s="128" t="s">
        <v>134</v>
      </c>
      <c r="F12881" s="128">
        <v>73635964.239999995</v>
      </c>
      <c r="G12881" s="128">
        <v>34023636.079999998</v>
      </c>
      <c r="H12881" s="128">
        <v>39612247.049999997</v>
      </c>
      <c r="I12881" s="128">
        <v>462469</v>
      </c>
    </row>
    <row r="12882" spans="1:9" ht="13.5">
      <c r="A12882" s="128">
        <v>2024</v>
      </c>
      <c r="B12882" s="128" t="s">
        <v>139</v>
      </c>
      <c r="C12882" s="128" t="s">
        <v>21</v>
      </c>
      <c r="D12882" s="128" t="s">
        <v>76</v>
      </c>
      <c r="E12882" s="128" t="s">
        <v>135</v>
      </c>
      <c r="F12882" s="128">
        <v>2684273.83</v>
      </c>
      <c r="G12882" s="128">
        <v>753944.75</v>
      </c>
      <c r="H12882" s="128">
        <v>1930328.48</v>
      </c>
      <c r="I12882" s="128">
        <v>2361</v>
      </c>
    </row>
    <row r="12883" spans="1:9" ht="13.5">
      <c r="A12883" s="128">
        <v>2024</v>
      </c>
      <c r="B12883" s="128" t="s">
        <v>139</v>
      </c>
      <c r="C12883" s="128" t="s">
        <v>22</v>
      </c>
      <c r="D12883" s="128" t="s">
        <v>79</v>
      </c>
      <c r="E12883" s="128" t="s">
        <v>136</v>
      </c>
      <c r="F12883" s="128">
        <v>4115415.01</v>
      </c>
      <c r="G12883" s="128">
        <v>3076155.16</v>
      </c>
      <c r="H12883" s="128">
        <v>1005096.48</v>
      </c>
      <c r="I12883" s="128">
        <v>59078</v>
      </c>
    </row>
    <row r="12884" spans="1:9" ht="13.5">
      <c r="A12884" s="128">
        <v>2024</v>
      </c>
      <c r="B12884" s="128" t="s">
        <v>139</v>
      </c>
      <c r="C12884" s="128" t="s">
        <v>22</v>
      </c>
      <c r="D12884" s="128" t="s">
        <v>79</v>
      </c>
      <c r="E12884" s="128" t="s">
        <v>132</v>
      </c>
      <c r="F12884" s="128">
        <v>1075328.44</v>
      </c>
      <c r="G12884" s="128">
        <v>712892.32</v>
      </c>
      <c r="H12884" s="128">
        <v>240046</v>
      </c>
      <c r="I12884" s="128">
        <v>2350</v>
      </c>
    </row>
    <row r="12885" spans="1:9" ht="13.5">
      <c r="A12885" s="128">
        <v>2024</v>
      </c>
      <c r="B12885" s="128" t="s">
        <v>139</v>
      </c>
      <c r="C12885" s="128" t="s">
        <v>22</v>
      </c>
      <c r="D12885" s="128" t="s">
        <v>79</v>
      </c>
      <c r="E12885" s="128" t="s">
        <v>133</v>
      </c>
      <c r="F12885" s="128">
        <v>1416512.94</v>
      </c>
      <c r="G12885" s="128">
        <v>770466.87</v>
      </c>
      <c r="H12885" s="128">
        <v>264258.65000000002</v>
      </c>
      <c r="I12885" s="128">
        <v>2398</v>
      </c>
    </row>
    <row r="12886" spans="1:9" ht="13.5">
      <c r="A12886" s="128">
        <v>2024</v>
      </c>
      <c r="B12886" s="128" t="s">
        <v>139</v>
      </c>
      <c r="C12886" s="128" t="s">
        <v>22</v>
      </c>
      <c r="D12886" s="128" t="s">
        <v>79</v>
      </c>
      <c r="E12886" s="128" t="s">
        <v>134</v>
      </c>
      <c r="F12886" s="128">
        <v>4553428.3600000003</v>
      </c>
      <c r="G12886" s="128">
        <v>1973859.08</v>
      </c>
      <c r="H12886" s="128">
        <v>683585.29</v>
      </c>
      <c r="I12886" s="128">
        <v>18670</v>
      </c>
    </row>
    <row r="12887" spans="1:9" ht="13.5">
      <c r="A12887" s="128">
        <v>2024</v>
      </c>
      <c r="B12887" s="128" t="s">
        <v>139</v>
      </c>
      <c r="C12887" s="128" t="s">
        <v>22</v>
      </c>
      <c r="D12887" s="128" t="s">
        <v>79</v>
      </c>
      <c r="E12887" s="128" t="s">
        <v>135</v>
      </c>
      <c r="F12887" s="128">
        <v>54521325.82</v>
      </c>
      <c r="G12887" s="128">
        <v>11737076.640000001</v>
      </c>
      <c r="H12887" s="128">
        <v>3929432.84</v>
      </c>
      <c r="I12887" s="128">
        <v>44065</v>
      </c>
    </row>
    <row r="12888" spans="1:9" ht="13.5">
      <c r="A12888" s="128">
        <v>2024</v>
      </c>
      <c r="B12888" s="128" t="s">
        <v>139</v>
      </c>
      <c r="C12888" s="128" t="s">
        <v>22</v>
      </c>
      <c r="D12888" s="128" t="s">
        <v>77</v>
      </c>
      <c r="E12888" s="128" t="s">
        <v>132</v>
      </c>
      <c r="F12888" s="128">
        <v>1752259.67</v>
      </c>
      <c r="G12888" s="128">
        <v>1120885.8400000001</v>
      </c>
      <c r="H12888" s="128">
        <v>511083.87</v>
      </c>
      <c r="I12888" s="128">
        <v>8586</v>
      </c>
    </row>
    <row r="12889" spans="1:9" ht="13.5">
      <c r="A12889" s="128">
        <v>2024</v>
      </c>
      <c r="B12889" s="128" t="s">
        <v>139</v>
      </c>
      <c r="C12889" s="128" t="s">
        <v>22</v>
      </c>
      <c r="D12889" s="128" t="s">
        <v>77</v>
      </c>
      <c r="E12889" s="128" t="s">
        <v>133</v>
      </c>
      <c r="F12889" s="128">
        <v>5376042.4000000004</v>
      </c>
      <c r="G12889" s="128">
        <v>2873043.39</v>
      </c>
      <c r="H12889" s="128">
        <v>2107637.5</v>
      </c>
      <c r="I12889" s="128">
        <v>19067</v>
      </c>
    </row>
    <row r="12890" spans="1:9" ht="13.5">
      <c r="A12890" s="128">
        <v>2024</v>
      </c>
      <c r="B12890" s="128" t="s">
        <v>139</v>
      </c>
      <c r="C12890" s="128" t="s">
        <v>22</v>
      </c>
      <c r="D12890" s="128" t="s">
        <v>77</v>
      </c>
      <c r="E12890" s="128" t="s">
        <v>134</v>
      </c>
      <c r="F12890" s="128">
        <v>22276473.699999999</v>
      </c>
      <c r="G12890" s="128">
        <v>9446845.4800000004</v>
      </c>
      <c r="H12890" s="128">
        <v>9159438.3699999992</v>
      </c>
      <c r="I12890" s="128">
        <v>32394</v>
      </c>
    </row>
    <row r="12891" spans="1:9" ht="13.5">
      <c r="A12891" s="128">
        <v>2024</v>
      </c>
      <c r="B12891" s="128" t="s">
        <v>139</v>
      </c>
      <c r="C12891" s="128" t="s">
        <v>22</v>
      </c>
      <c r="D12891" s="128" t="s">
        <v>77</v>
      </c>
      <c r="E12891" s="128" t="s">
        <v>135</v>
      </c>
      <c r="F12891" s="128">
        <v>52873411.039999999</v>
      </c>
      <c r="G12891" s="128">
        <v>13115908.369999999</v>
      </c>
      <c r="H12891" s="128">
        <v>14381047.51</v>
      </c>
      <c r="I12891" s="128">
        <v>135774</v>
      </c>
    </row>
    <row r="12892" spans="1:9" ht="13.5">
      <c r="A12892" s="128">
        <v>2024</v>
      </c>
      <c r="B12892" s="128" t="s">
        <v>139</v>
      </c>
      <c r="C12892" s="128" t="s">
        <v>22</v>
      </c>
      <c r="D12892" s="128" t="s">
        <v>76</v>
      </c>
      <c r="E12892" s="128" t="s">
        <v>136</v>
      </c>
      <c r="F12892" s="128">
        <v>22844407.690000001</v>
      </c>
      <c r="G12892" s="128">
        <v>17189453.649999999</v>
      </c>
      <c r="H12892" s="128">
        <v>5654954</v>
      </c>
      <c r="I12892" s="128">
        <v>504589</v>
      </c>
    </row>
    <row r="12893" spans="1:9" ht="13.5">
      <c r="A12893" s="128">
        <v>2024</v>
      </c>
      <c r="B12893" s="128" t="s">
        <v>139</v>
      </c>
      <c r="C12893" s="128" t="s">
        <v>22</v>
      </c>
      <c r="D12893" s="128" t="s">
        <v>76</v>
      </c>
      <c r="E12893" s="128" t="s">
        <v>132</v>
      </c>
      <c r="F12893" s="128">
        <v>50636548.460000001</v>
      </c>
      <c r="G12893" s="128">
        <v>32285915.850000001</v>
      </c>
      <c r="H12893" s="128">
        <v>18350490.460000001</v>
      </c>
      <c r="I12893" s="128">
        <v>409415</v>
      </c>
    </row>
    <row r="12894" spans="1:9" ht="13.5">
      <c r="A12894" s="128">
        <v>2024</v>
      </c>
      <c r="B12894" s="128" t="s">
        <v>139</v>
      </c>
      <c r="C12894" s="128" t="s">
        <v>22</v>
      </c>
      <c r="D12894" s="128" t="s">
        <v>76</v>
      </c>
      <c r="E12894" s="128" t="s">
        <v>133</v>
      </c>
      <c r="F12894" s="128">
        <v>81811006.209999993</v>
      </c>
      <c r="G12894" s="128">
        <v>45257453.229999997</v>
      </c>
      <c r="H12894" s="128">
        <v>36553412.299999997</v>
      </c>
      <c r="I12894" s="128">
        <v>619747</v>
      </c>
    </row>
    <row r="12895" spans="1:9" ht="13.5">
      <c r="A12895" s="128">
        <v>2024</v>
      </c>
      <c r="B12895" s="128" t="s">
        <v>139</v>
      </c>
      <c r="C12895" s="128" t="s">
        <v>22</v>
      </c>
      <c r="D12895" s="128" t="s">
        <v>76</v>
      </c>
      <c r="E12895" s="128" t="s">
        <v>134</v>
      </c>
      <c r="F12895" s="128">
        <v>66383501.229999997</v>
      </c>
      <c r="G12895" s="128">
        <v>30659670.949999999</v>
      </c>
      <c r="H12895" s="128">
        <v>35723100.509999998</v>
      </c>
      <c r="I12895" s="128">
        <v>435608</v>
      </c>
    </row>
    <row r="12896" spans="1:9" ht="13.5">
      <c r="A12896" s="128">
        <v>2024</v>
      </c>
      <c r="B12896" s="128" t="s">
        <v>139</v>
      </c>
      <c r="C12896" s="128" t="s">
        <v>22</v>
      </c>
      <c r="D12896" s="128" t="s">
        <v>76</v>
      </c>
      <c r="E12896" s="128" t="s">
        <v>135</v>
      </c>
      <c r="F12896" s="128">
        <v>3653730.09</v>
      </c>
      <c r="G12896" s="128">
        <v>1009858.8</v>
      </c>
      <c r="H12896" s="128">
        <v>2643871.09</v>
      </c>
      <c r="I12896" s="128">
        <v>3266</v>
      </c>
    </row>
    <row r="12897" spans="1:9" ht="13.5">
      <c r="A12897" s="128">
        <v>2024</v>
      </c>
      <c r="B12897" s="128" t="s">
        <v>139</v>
      </c>
      <c r="C12897" s="128" t="s">
        <v>23</v>
      </c>
      <c r="D12897" s="128" t="s">
        <v>79</v>
      </c>
      <c r="E12897" s="128" t="s">
        <v>136</v>
      </c>
      <c r="F12897" s="128">
        <v>1605675.18</v>
      </c>
      <c r="G12897" s="128">
        <v>1193603.58</v>
      </c>
      <c r="H12897" s="128">
        <v>392838.37</v>
      </c>
      <c r="I12897" s="128">
        <v>7887</v>
      </c>
    </row>
    <row r="12898" spans="1:9" ht="13.5">
      <c r="A12898" s="128">
        <v>2024</v>
      </c>
      <c r="B12898" s="128" t="s">
        <v>139</v>
      </c>
      <c r="C12898" s="128" t="s">
        <v>23</v>
      </c>
      <c r="D12898" s="128" t="s">
        <v>79</v>
      </c>
      <c r="E12898" s="128" t="s">
        <v>132</v>
      </c>
      <c r="F12898" s="128">
        <v>340479.48</v>
      </c>
      <c r="G12898" s="128">
        <v>228402.13</v>
      </c>
      <c r="H12898" s="128">
        <v>75894.429999999993</v>
      </c>
      <c r="I12898" s="128">
        <v>560</v>
      </c>
    </row>
    <row r="12899" spans="1:9" ht="13.5">
      <c r="A12899" s="128">
        <v>2024</v>
      </c>
      <c r="B12899" s="128" t="s">
        <v>139</v>
      </c>
      <c r="C12899" s="128" t="s">
        <v>23</v>
      </c>
      <c r="D12899" s="128" t="s">
        <v>79</v>
      </c>
      <c r="E12899" s="128" t="s">
        <v>133</v>
      </c>
      <c r="F12899" s="128">
        <v>213949.29</v>
      </c>
      <c r="G12899" s="128">
        <v>114413.92</v>
      </c>
      <c r="H12899" s="128">
        <v>40141.949999999997</v>
      </c>
      <c r="I12899" s="128">
        <v>367</v>
      </c>
    </row>
    <row r="12900" spans="1:9" ht="13.5">
      <c r="A12900" s="128">
        <v>2024</v>
      </c>
      <c r="B12900" s="128" t="s">
        <v>139</v>
      </c>
      <c r="C12900" s="128" t="s">
        <v>23</v>
      </c>
      <c r="D12900" s="128" t="s">
        <v>79</v>
      </c>
      <c r="E12900" s="128" t="s">
        <v>134</v>
      </c>
      <c r="F12900" s="128">
        <v>681230.72</v>
      </c>
      <c r="G12900" s="128">
        <v>291074.42</v>
      </c>
      <c r="H12900" s="128">
        <v>99839.75</v>
      </c>
      <c r="I12900" s="128">
        <v>1151</v>
      </c>
    </row>
    <row r="12901" spans="1:9" ht="13.5">
      <c r="A12901" s="128">
        <v>2024</v>
      </c>
      <c r="B12901" s="128" t="s">
        <v>139</v>
      </c>
      <c r="C12901" s="128" t="s">
        <v>23</v>
      </c>
      <c r="D12901" s="128" t="s">
        <v>79</v>
      </c>
      <c r="E12901" s="128" t="s">
        <v>135</v>
      </c>
      <c r="F12901" s="128">
        <v>6686867.4500000002</v>
      </c>
      <c r="G12901" s="128">
        <v>1428140.01</v>
      </c>
      <c r="H12901" s="128">
        <v>477581.23</v>
      </c>
      <c r="I12901" s="128">
        <v>3620</v>
      </c>
    </row>
    <row r="12902" spans="1:9" ht="13.5">
      <c r="A12902" s="128">
        <v>2024</v>
      </c>
      <c r="B12902" s="128" t="s">
        <v>139</v>
      </c>
      <c r="C12902" s="128" t="s">
        <v>23</v>
      </c>
      <c r="D12902" s="128" t="s">
        <v>77</v>
      </c>
      <c r="E12902" s="128" t="s">
        <v>132</v>
      </c>
      <c r="F12902" s="128">
        <v>518575.46</v>
      </c>
      <c r="G12902" s="128">
        <v>330510.5</v>
      </c>
      <c r="H12902" s="128">
        <v>152557.54999999999</v>
      </c>
      <c r="I12902" s="128">
        <v>2391</v>
      </c>
    </row>
    <row r="12903" spans="1:9" ht="13.5">
      <c r="A12903" s="128">
        <v>2024</v>
      </c>
      <c r="B12903" s="128" t="s">
        <v>139</v>
      </c>
      <c r="C12903" s="128" t="s">
        <v>23</v>
      </c>
      <c r="D12903" s="128" t="s">
        <v>77</v>
      </c>
      <c r="E12903" s="128" t="s">
        <v>133</v>
      </c>
      <c r="F12903" s="128">
        <v>2158700.6800000002</v>
      </c>
      <c r="G12903" s="128">
        <v>1157231.56</v>
      </c>
      <c r="H12903" s="128">
        <v>855026.24</v>
      </c>
      <c r="I12903" s="128">
        <v>8589</v>
      </c>
    </row>
    <row r="12904" spans="1:9" ht="13.5">
      <c r="A12904" s="128">
        <v>2024</v>
      </c>
      <c r="B12904" s="128" t="s">
        <v>139</v>
      </c>
      <c r="C12904" s="128" t="s">
        <v>23</v>
      </c>
      <c r="D12904" s="128" t="s">
        <v>77</v>
      </c>
      <c r="E12904" s="128" t="s">
        <v>134</v>
      </c>
      <c r="F12904" s="128">
        <v>13074044.59</v>
      </c>
      <c r="G12904" s="128">
        <v>5561903.29</v>
      </c>
      <c r="H12904" s="128">
        <v>5541241.6500000004</v>
      </c>
      <c r="I12904" s="128">
        <v>18062</v>
      </c>
    </row>
    <row r="12905" spans="1:9" ht="13.5">
      <c r="A12905" s="128">
        <v>2024</v>
      </c>
      <c r="B12905" s="128" t="s">
        <v>139</v>
      </c>
      <c r="C12905" s="128" t="s">
        <v>23</v>
      </c>
      <c r="D12905" s="128" t="s">
        <v>77</v>
      </c>
      <c r="E12905" s="128" t="s">
        <v>135</v>
      </c>
      <c r="F12905" s="128">
        <v>16072826.779999999</v>
      </c>
      <c r="G12905" s="128">
        <v>4475962.08</v>
      </c>
      <c r="H12905" s="128">
        <v>5005940.51</v>
      </c>
      <c r="I12905" s="128">
        <v>54860</v>
      </c>
    </row>
    <row r="12906" spans="1:9" ht="13.5">
      <c r="A12906" s="128">
        <v>2024</v>
      </c>
      <c r="B12906" s="128" t="s">
        <v>139</v>
      </c>
      <c r="C12906" s="128" t="s">
        <v>23</v>
      </c>
      <c r="D12906" s="128" t="s">
        <v>76</v>
      </c>
      <c r="E12906" s="128" t="s">
        <v>136</v>
      </c>
      <c r="F12906" s="128">
        <v>9293610.3300000001</v>
      </c>
      <c r="G12906" s="128">
        <v>6982033.9000000004</v>
      </c>
      <c r="H12906" s="128">
        <v>2311576.4300000002</v>
      </c>
      <c r="I12906" s="128">
        <v>176922</v>
      </c>
    </row>
    <row r="12907" spans="1:9" ht="13.5">
      <c r="A12907" s="128">
        <v>2024</v>
      </c>
      <c r="B12907" s="128" t="s">
        <v>139</v>
      </c>
      <c r="C12907" s="128" t="s">
        <v>23</v>
      </c>
      <c r="D12907" s="128" t="s">
        <v>76</v>
      </c>
      <c r="E12907" s="128" t="s">
        <v>132</v>
      </c>
      <c r="F12907" s="128">
        <v>16845999.739999998</v>
      </c>
      <c r="G12907" s="128">
        <v>10599719.65</v>
      </c>
      <c r="H12907" s="128">
        <v>6246267.5099999998</v>
      </c>
      <c r="I12907" s="128">
        <v>123911</v>
      </c>
    </row>
    <row r="12908" spans="1:9" ht="13.5">
      <c r="A12908" s="128">
        <v>2024</v>
      </c>
      <c r="B12908" s="128" t="s">
        <v>139</v>
      </c>
      <c r="C12908" s="128" t="s">
        <v>23</v>
      </c>
      <c r="D12908" s="128" t="s">
        <v>76</v>
      </c>
      <c r="E12908" s="128" t="s">
        <v>133</v>
      </c>
      <c r="F12908" s="128">
        <v>32639595.309999999</v>
      </c>
      <c r="G12908" s="128">
        <v>17704562.649999999</v>
      </c>
      <c r="H12908" s="128">
        <v>14934967.6</v>
      </c>
      <c r="I12908" s="128">
        <v>196293</v>
      </c>
    </row>
    <row r="12909" spans="1:9" ht="13.5">
      <c r="A12909" s="128">
        <v>2024</v>
      </c>
      <c r="B12909" s="128" t="s">
        <v>139</v>
      </c>
      <c r="C12909" s="128" t="s">
        <v>23</v>
      </c>
      <c r="D12909" s="128" t="s">
        <v>76</v>
      </c>
      <c r="E12909" s="128" t="s">
        <v>134</v>
      </c>
      <c r="F12909" s="128">
        <v>28155155.68</v>
      </c>
      <c r="G12909" s="128">
        <v>13089391.6</v>
      </c>
      <c r="H12909" s="128">
        <v>15065754.779999999</v>
      </c>
      <c r="I12909" s="128">
        <v>131206</v>
      </c>
    </row>
    <row r="12910" spans="1:9" ht="13.5">
      <c r="A12910" s="128">
        <v>2024</v>
      </c>
      <c r="B12910" s="128" t="s">
        <v>139</v>
      </c>
      <c r="C12910" s="128" t="s">
        <v>23</v>
      </c>
      <c r="D12910" s="128" t="s">
        <v>76</v>
      </c>
      <c r="E12910" s="128" t="s">
        <v>135</v>
      </c>
      <c r="F12910" s="128">
        <v>817962.44</v>
      </c>
      <c r="G12910" s="128">
        <v>235307.2</v>
      </c>
      <c r="H12910" s="128">
        <v>582655.24</v>
      </c>
      <c r="I12910" s="128">
        <v>674</v>
      </c>
    </row>
    <row r="12911" spans="1:9" ht="13.5">
      <c r="A12911" s="128">
        <v>2024</v>
      </c>
      <c r="B12911" s="128" t="s">
        <v>139</v>
      </c>
      <c r="C12911" s="128" t="s">
        <v>24</v>
      </c>
      <c r="D12911" s="128" t="s">
        <v>79</v>
      </c>
      <c r="E12911" s="128" t="s">
        <v>136</v>
      </c>
      <c r="F12911" s="128">
        <v>1925116.24</v>
      </c>
      <c r="G12911" s="128">
        <v>1446483.86</v>
      </c>
      <c r="H12911" s="128">
        <v>473349.53</v>
      </c>
      <c r="I12911" s="128">
        <v>26963</v>
      </c>
    </row>
    <row r="12912" spans="1:9" ht="13.5">
      <c r="A12912" s="128">
        <v>2024</v>
      </c>
      <c r="B12912" s="128" t="s">
        <v>139</v>
      </c>
      <c r="C12912" s="128" t="s">
        <v>24</v>
      </c>
      <c r="D12912" s="128" t="s">
        <v>79</v>
      </c>
      <c r="E12912" s="128" t="s">
        <v>132</v>
      </c>
      <c r="F12912" s="128">
        <v>398031.06</v>
      </c>
      <c r="G12912" s="128">
        <v>264607.83</v>
      </c>
      <c r="H12912" s="128">
        <v>88332.29</v>
      </c>
      <c r="I12912" s="128">
        <v>1004</v>
      </c>
    </row>
    <row r="12913" spans="1:9" ht="13.5">
      <c r="A12913" s="128">
        <v>2024</v>
      </c>
      <c r="B12913" s="128" t="s">
        <v>139</v>
      </c>
      <c r="C12913" s="128" t="s">
        <v>24</v>
      </c>
      <c r="D12913" s="128" t="s">
        <v>79</v>
      </c>
      <c r="E12913" s="128" t="s">
        <v>133</v>
      </c>
      <c r="F12913" s="128">
        <v>559800.15</v>
      </c>
      <c r="G12913" s="128">
        <v>301996.99</v>
      </c>
      <c r="H12913" s="128">
        <v>103373.97</v>
      </c>
      <c r="I12913" s="128">
        <v>1318</v>
      </c>
    </row>
    <row r="12914" spans="1:9" ht="13.5">
      <c r="A12914" s="128">
        <v>2024</v>
      </c>
      <c r="B12914" s="128" t="s">
        <v>139</v>
      </c>
      <c r="C12914" s="128" t="s">
        <v>24</v>
      </c>
      <c r="D12914" s="128" t="s">
        <v>79</v>
      </c>
      <c r="E12914" s="128" t="s">
        <v>134</v>
      </c>
      <c r="F12914" s="128">
        <v>1962467.55</v>
      </c>
      <c r="G12914" s="128">
        <v>845160.08</v>
      </c>
      <c r="H12914" s="128">
        <v>290233.18</v>
      </c>
      <c r="I12914" s="128">
        <v>8883</v>
      </c>
    </row>
    <row r="12915" spans="1:9" ht="13.5">
      <c r="A12915" s="128">
        <v>2024</v>
      </c>
      <c r="B12915" s="128" t="s">
        <v>139</v>
      </c>
      <c r="C12915" s="128" t="s">
        <v>24</v>
      </c>
      <c r="D12915" s="128" t="s">
        <v>79</v>
      </c>
      <c r="E12915" s="128" t="s">
        <v>135</v>
      </c>
      <c r="F12915" s="128">
        <v>9927762.2799999993</v>
      </c>
      <c r="G12915" s="128">
        <v>2026982.34</v>
      </c>
      <c r="H12915" s="128">
        <v>688574.61</v>
      </c>
      <c r="I12915" s="128">
        <v>9630</v>
      </c>
    </row>
    <row r="12916" spans="1:9" ht="13.5">
      <c r="A12916" s="128">
        <v>2024</v>
      </c>
      <c r="B12916" s="128" t="s">
        <v>139</v>
      </c>
      <c r="C12916" s="128" t="s">
        <v>24</v>
      </c>
      <c r="D12916" s="128" t="s">
        <v>77</v>
      </c>
      <c r="E12916" s="128" t="s">
        <v>132</v>
      </c>
      <c r="F12916" s="128">
        <v>974402.63</v>
      </c>
      <c r="G12916" s="128">
        <v>618261.07999999996</v>
      </c>
      <c r="H12916" s="128">
        <v>313667.98</v>
      </c>
      <c r="I12916" s="128">
        <v>3735</v>
      </c>
    </row>
    <row r="12917" spans="1:9" ht="13.5">
      <c r="A12917" s="128">
        <v>2024</v>
      </c>
      <c r="B12917" s="128" t="s">
        <v>139</v>
      </c>
      <c r="C12917" s="128" t="s">
        <v>24</v>
      </c>
      <c r="D12917" s="128" t="s">
        <v>77</v>
      </c>
      <c r="E12917" s="128" t="s">
        <v>133</v>
      </c>
      <c r="F12917" s="128">
        <v>2948258.25</v>
      </c>
      <c r="G12917" s="128">
        <v>1571661.78</v>
      </c>
      <c r="H12917" s="128">
        <v>1072488.69</v>
      </c>
      <c r="I12917" s="128">
        <v>26682</v>
      </c>
    </row>
    <row r="12918" spans="1:9" ht="13.5">
      <c r="A12918" s="128">
        <v>2024</v>
      </c>
      <c r="B12918" s="128" t="s">
        <v>139</v>
      </c>
      <c r="C12918" s="128" t="s">
        <v>24</v>
      </c>
      <c r="D12918" s="128" t="s">
        <v>77</v>
      </c>
      <c r="E12918" s="128" t="s">
        <v>134</v>
      </c>
      <c r="F12918" s="128">
        <v>8991364.2400000002</v>
      </c>
      <c r="G12918" s="128">
        <v>3914184.96</v>
      </c>
      <c r="H12918" s="128">
        <v>3344400.11</v>
      </c>
      <c r="I12918" s="128">
        <v>14370</v>
      </c>
    </row>
    <row r="12919" spans="1:9" ht="13.5">
      <c r="A12919" s="128">
        <v>2024</v>
      </c>
      <c r="B12919" s="128" t="s">
        <v>139</v>
      </c>
      <c r="C12919" s="128" t="s">
        <v>24</v>
      </c>
      <c r="D12919" s="128" t="s">
        <v>77</v>
      </c>
      <c r="E12919" s="128" t="s">
        <v>135</v>
      </c>
      <c r="F12919" s="128">
        <v>23094445.25</v>
      </c>
      <c r="G12919" s="128">
        <v>5672497.2000000002</v>
      </c>
      <c r="H12919" s="128">
        <v>3955682.32</v>
      </c>
      <c r="I12919" s="128">
        <v>54069</v>
      </c>
    </row>
    <row r="12920" spans="1:9" ht="13.5">
      <c r="A12920" s="128">
        <v>2024</v>
      </c>
      <c r="B12920" s="128" t="s">
        <v>139</v>
      </c>
      <c r="C12920" s="128" t="s">
        <v>24</v>
      </c>
      <c r="D12920" s="128" t="s">
        <v>76</v>
      </c>
      <c r="E12920" s="128" t="s">
        <v>136</v>
      </c>
      <c r="F12920" s="128">
        <v>12505507.68</v>
      </c>
      <c r="G12920" s="128">
        <v>9405396.9499999993</v>
      </c>
      <c r="H12920" s="128">
        <v>3100110.07</v>
      </c>
      <c r="I12920" s="128">
        <v>191456</v>
      </c>
    </row>
    <row r="12921" spans="1:9" ht="13.5">
      <c r="A12921" s="128">
        <v>2024</v>
      </c>
      <c r="B12921" s="128" t="s">
        <v>139</v>
      </c>
      <c r="C12921" s="128" t="s">
        <v>24</v>
      </c>
      <c r="D12921" s="128" t="s">
        <v>76</v>
      </c>
      <c r="E12921" s="128" t="s">
        <v>132</v>
      </c>
      <c r="F12921" s="128">
        <v>13817005.779999999</v>
      </c>
      <c r="G12921" s="128">
        <v>8910316.1500000004</v>
      </c>
      <c r="H12921" s="128">
        <v>4906655.05</v>
      </c>
      <c r="I12921" s="128">
        <v>83876</v>
      </c>
    </row>
    <row r="12922" spans="1:9" ht="13.5">
      <c r="A12922" s="128">
        <v>2024</v>
      </c>
      <c r="B12922" s="128" t="s">
        <v>139</v>
      </c>
      <c r="C12922" s="128" t="s">
        <v>24</v>
      </c>
      <c r="D12922" s="128" t="s">
        <v>76</v>
      </c>
      <c r="E12922" s="128" t="s">
        <v>133</v>
      </c>
      <c r="F12922" s="128">
        <v>54056165.270000003</v>
      </c>
      <c r="G12922" s="128">
        <v>29607426.949999999</v>
      </c>
      <c r="H12922" s="128">
        <v>24448714.109999999</v>
      </c>
      <c r="I12922" s="128">
        <v>330885</v>
      </c>
    </row>
    <row r="12923" spans="1:9" ht="13.5">
      <c r="A12923" s="128">
        <v>2024</v>
      </c>
      <c r="B12923" s="128" t="s">
        <v>139</v>
      </c>
      <c r="C12923" s="128" t="s">
        <v>24</v>
      </c>
      <c r="D12923" s="128" t="s">
        <v>76</v>
      </c>
      <c r="E12923" s="128" t="s">
        <v>134</v>
      </c>
      <c r="F12923" s="128">
        <v>52605291.340000004</v>
      </c>
      <c r="G12923" s="128">
        <v>23785739.100000001</v>
      </c>
      <c r="H12923" s="128">
        <v>28819524.48</v>
      </c>
      <c r="I12923" s="128">
        <v>230241</v>
      </c>
    </row>
    <row r="12924" spans="1:9" ht="13.5">
      <c r="A12924" s="128">
        <v>2024</v>
      </c>
      <c r="B12924" s="128" t="s">
        <v>139</v>
      </c>
      <c r="C12924" s="128" t="s">
        <v>24</v>
      </c>
      <c r="D12924" s="128" t="s">
        <v>76</v>
      </c>
      <c r="E12924" s="128" t="s">
        <v>135</v>
      </c>
      <c r="F12924" s="128">
        <v>1964864.28</v>
      </c>
      <c r="G12924" s="128">
        <v>534260.85</v>
      </c>
      <c r="H12924" s="128">
        <v>1430603.43</v>
      </c>
      <c r="I12924" s="128">
        <v>1508</v>
      </c>
    </row>
    <row r="12925" spans="1:9" ht="13.5">
      <c r="A12925" s="128">
        <v>2024</v>
      </c>
      <c r="B12925" s="128" t="s">
        <v>139</v>
      </c>
      <c r="C12925" s="128" t="s">
        <v>25</v>
      </c>
      <c r="D12925" s="128" t="s">
        <v>79</v>
      </c>
      <c r="E12925" s="128" t="s">
        <v>136</v>
      </c>
      <c r="F12925" s="128">
        <v>229196.68</v>
      </c>
      <c r="G12925" s="128">
        <v>172463.44</v>
      </c>
      <c r="H12925" s="128">
        <v>56859.59</v>
      </c>
      <c r="I12925" s="128">
        <v>2932</v>
      </c>
    </row>
    <row r="12926" spans="1:9" ht="13.5">
      <c r="A12926" s="128">
        <v>2024</v>
      </c>
      <c r="B12926" s="128" t="s">
        <v>139</v>
      </c>
      <c r="C12926" s="128" t="s">
        <v>25</v>
      </c>
      <c r="D12926" s="128" t="s">
        <v>79</v>
      </c>
      <c r="E12926" s="128" t="s">
        <v>132</v>
      </c>
      <c r="F12926" s="128">
        <v>54337.82</v>
      </c>
      <c r="G12926" s="128">
        <v>35336.39</v>
      </c>
      <c r="H12926" s="128">
        <v>11543.43</v>
      </c>
      <c r="I12926" s="128">
        <v>151</v>
      </c>
    </row>
    <row r="12927" spans="1:9" ht="13.5">
      <c r="A12927" s="128">
        <v>2024</v>
      </c>
      <c r="B12927" s="128" t="s">
        <v>139</v>
      </c>
      <c r="C12927" s="128" t="s">
        <v>25</v>
      </c>
      <c r="D12927" s="128" t="s">
        <v>79</v>
      </c>
      <c r="E12927" s="128" t="s">
        <v>133</v>
      </c>
      <c r="F12927" s="128">
        <v>56135.56</v>
      </c>
      <c r="G12927" s="128">
        <v>30524.05</v>
      </c>
      <c r="H12927" s="128">
        <v>12629.4</v>
      </c>
      <c r="I12927" s="128">
        <v>117</v>
      </c>
    </row>
    <row r="12928" spans="1:9" ht="13.5">
      <c r="A12928" s="128">
        <v>2024</v>
      </c>
      <c r="B12928" s="128" t="s">
        <v>139</v>
      </c>
      <c r="C12928" s="128" t="s">
        <v>25</v>
      </c>
      <c r="D12928" s="128" t="s">
        <v>79</v>
      </c>
      <c r="E12928" s="128" t="s">
        <v>134</v>
      </c>
      <c r="F12928" s="128">
        <v>161552.32000000001</v>
      </c>
      <c r="G12928" s="128">
        <v>69731.75</v>
      </c>
      <c r="H12928" s="128">
        <v>23000.26</v>
      </c>
      <c r="I12928" s="128">
        <v>256</v>
      </c>
    </row>
    <row r="12929" spans="1:9" ht="13.5">
      <c r="A12929" s="128">
        <v>2024</v>
      </c>
      <c r="B12929" s="128" t="s">
        <v>139</v>
      </c>
      <c r="C12929" s="128" t="s">
        <v>25</v>
      </c>
      <c r="D12929" s="128" t="s">
        <v>79</v>
      </c>
      <c r="E12929" s="128" t="s">
        <v>135</v>
      </c>
      <c r="F12929" s="128">
        <v>2470328.67</v>
      </c>
      <c r="G12929" s="128">
        <v>525823.57999999996</v>
      </c>
      <c r="H12929" s="128">
        <v>175116.65</v>
      </c>
      <c r="I12929" s="128">
        <v>1377</v>
      </c>
    </row>
    <row r="12930" spans="1:9" ht="13.5">
      <c r="A12930" s="128">
        <v>2024</v>
      </c>
      <c r="B12930" s="128" t="s">
        <v>139</v>
      </c>
      <c r="C12930" s="128" t="s">
        <v>25</v>
      </c>
      <c r="D12930" s="128" t="s">
        <v>77</v>
      </c>
      <c r="E12930" s="128" t="s">
        <v>132</v>
      </c>
      <c r="F12930" s="128">
        <v>186570.13</v>
      </c>
      <c r="G12930" s="128">
        <v>120678.25</v>
      </c>
      <c r="H12930" s="128">
        <v>60160.63</v>
      </c>
      <c r="I12930" s="128">
        <v>997</v>
      </c>
    </row>
    <row r="12931" spans="1:9" ht="13.5">
      <c r="A12931" s="128">
        <v>2024</v>
      </c>
      <c r="B12931" s="128" t="s">
        <v>139</v>
      </c>
      <c r="C12931" s="128" t="s">
        <v>25</v>
      </c>
      <c r="D12931" s="128" t="s">
        <v>77</v>
      </c>
      <c r="E12931" s="128" t="s">
        <v>133</v>
      </c>
      <c r="F12931" s="128">
        <v>348339.08</v>
      </c>
      <c r="G12931" s="128">
        <v>186348.13</v>
      </c>
      <c r="H12931" s="128">
        <v>145802.56</v>
      </c>
      <c r="I12931" s="128">
        <v>1548</v>
      </c>
    </row>
    <row r="12932" spans="1:9" ht="13.5">
      <c r="A12932" s="128">
        <v>2024</v>
      </c>
      <c r="B12932" s="128" t="s">
        <v>139</v>
      </c>
      <c r="C12932" s="128" t="s">
        <v>25</v>
      </c>
      <c r="D12932" s="128" t="s">
        <v>77</v>
      </c>
      <c r="E12932" s="128" t="s">
        <v>134</v>
      </c>
      <c r="F12932" s="128">
        <v>3576127.25</v>
      </c>
      <c r="G12932" s="128">
        <v>1535609.19</v>
      </c>
      <c r="H12932" s="128">
        <v>1516240.17</v>
      </c>
      <c r="I12932" s="128">
        <v>4036</v>
      </c>
    </row>
    <row r="12933" spans="1:9" ht="13.5">
      <c r="A12933" s="128">
        <v>2024</v>
      </c>
      <c r="B12933" s="128" t="s">
        <v>139</v>
      </c>
      <c r="C12933" s="128" t="s">
        <v>25</v>
      </c>
      <c r="D12933" s="128" t="s">
        <v>77</v>
      </c>
      <c r="E12933" s="128" t="s">
        <v>135</v>
      </c>
      <c r="F12933" s="128">
        <v>3900998.29</v>
      </c>
      <c r="G12933" s="128">
        <v>985504.12</v>
      </c>
      <c r="H12933" s="128">
        <v>1103499.4099999999</v>
      </c>
      <c r="I12933" s="128">
        <v>7339</v>
      </c>
    </row>
    <row r="12934" spans="1:9" ht="13.5">
      <c r="A12934" s="128">
        <v>2024</v>
      </c>
      <c r="B12934" s="128" t="s">
        <v>139</v>
      </c>
      <c r="C12934" s="128" t="s">
        <v>25</v>
      </c>
      <c r="D12934" s="128" t="s">
        <v>76</v>
      </c>
      <c r="E12934" s="128" t="s">
        <v>136</v>
      </c>
      <c r="F12934" s="128">
        <v>2057459.08</v>
      </c>
      <c r="G12934" s="128">
        <v>1544505.71</v>
      </c>
      <c r="H12934" s="128">
        <v>512953.37</v>
      </c>
      <c r="I12934" s="128">
        <v>48935</v>
      </c>
    </row>
    <row r="12935" spans="1:9" ht="13.5">
      <c r="A12935" s="128">
        <v>2024</v>
      </c>
      <c r="B12935" s="128" t="s">
        <v>139</v>
      </c>
      <c r="C12935" s="128" t="s">
        <v>25</v>
      </c>
      <c r="D12935" s="128" t="s">
        <v>76</v>
      </c>
      <c r="E12935" s="128" t="s">
        <v>132</v>
      </c>
      <c r="F12935" s="128">
        <v>2564886.2200000002</v>
      </c>
      <c r="G12935" s="128">
        <v>1614030.65</v>
      </c>
      <c r="H12935" s="128">
        <v>950850.22</v>
      </c>
      <c r="I12935" s="128">
        <v>16666</v>
      </c>
    </row>
    <row r="12936" spans="1:9" ht="13.5">
      <c r="A12936" s="128">
        <v>2024</v>
      </c>
      <c r="B12936" s="128" t="s">
        <v>139</v>
      </c>
      <c r="C12936" s="128" t="s">
        <v>25</v>
      </c>
      <c r="D12936" s="128" t="s">
        <v>76</v>
      </c>
      <c r="E12936" s="128" t="s">
        <v>133</v>
      </c>
      <c r="F12936" s="128">
        <v>9343317.0399999991</v>
      </c>
      <c r="G12936" s="128">
        <v>5087737.04</v>
      </c>
      <c r="H12936" s="128">
        <v>4255577.41</v>
      </c>
      <c r="I12936" s="128">
        <v>51580</v>
      </c>
    </row>
    <row r="12937" spans="1:9" ht="13.5">
      <c r="A12937" s="128">
        <v>2024</v>
      </c>
      <c r="B12937" s="128" t="s">
        <v>139</v>
      </c>
      <c r="C12937" s="128" t="s">
        <v>25</v>
      </c>
      <c r="D12937" s="128" t="s">
        <v>76</v>
      </c>
      <c r="E12937" s="128" t="s">
        <v>134</v>
      </c>
      <c r="F12937" s="128">
        <v>10359849.73</v>
      </c>
      <c r="G12937" s="128">
        <v>4776931.82</v>
      </c>
      <c r="H12937" s="128">
        <v>5582909.6900000004</v>
      </c>
      <c r="I12937" s="128">
        <v>52026</v>
      </c>
    </row>
    <row r="12938" spans="1:9" ht="13.5">
      <c r="A12938" s="128">
        <v>2024</v>
      </c>
      <c r="B12938" s="128" t="s">
        <v>139</v>
      </c>
      <c r="C12938" s="128" t="s">
        <v>25</v>
      </c>
      <c r="D12938" s="128" t="s">
        <v>76</v>
      </c>
      <c r="E12938" s="128" t="s">
        <v>135</v>
      </c>
      <c r="F12938" s="128">
        <v>285748.45</v>
      </c>
      <c r="G12938" s="128">
        <v>80361.55</v>
      </c>
      <c r="H12938" s="128">
        <v>205386.9</v>
      </c>
      <c r="I12938" s="128">
        <v>193</v>
      </c>
    </row>
    <row r="12939" spans="1:9" ht="13.5">
      <c r="A12939" s="128">
        <v>2024</v>
      </c>
      <c r="B12939" s="128" t="s">
        <v>139</v>
      </c>
      <c r="C12939" s="128" t="s">
        <v>26</v>
      </c>
      <c r="D12939" s="128" t="s">
        <v>79</v>
      </c>
      <c r="E12939" s="128" t="s">
        <v>136</v>
      </c>
      <c r="F12939" s="128">
        <v>367467.84</v>
      </c>
      <c r="G12939" s="128">
        <v>276639.44</v>
      </c>
      <c r="H12939" s="128">
        <v>89051.35</v>
      </c>
      <c r="I12939" s="128">
        <v>4102</v>
      </c>
    </row>
    <row r="12940" spans="1:9" ht="13.5">
      <c r="A12940" s="128">
        <v>2024</v>
      </c>
      <c r="B12940" s="128" t="s">
        <v>139</v>
      </c>
      <c r="C12940" s="128" t="s">
        <v>26</v>
      </c>
      <c r="D12940" s="128" t="s">
        <v>79</v>
      </c>
      <c r="E12940" s="128" t="s">
        <v>132</v>
      </c>
      <c r="F12940" s="128">
        <v>57728.01</v>
      </c>
      <c r="G12940" s="128">
        <v>39177.5</v>
      </c>
      <c r="H12940" s="128">
        <v>13965.66</v>
      </c>
      <c r="I12940" s="128">
        <v>111</v>
      </c>
    </row>
    <row r="12941" spans="1:9" ht="13.5">
      <c r="A12941" s="128">
        <v>2024</v>
      </c>
      <c r="B12941" s="128" t="s">
        <v>139</v>
      </c>
      <c r="C12941" s="128" t="s">
        <v>26</v>
      </c>
      <c r="D12941" s="128" t="s">
        <v>79</v>
      </c>
      <c r="E12941" s="128" t="s">
        <v>133</v>
      </c>
      <c r="F12941" s="128">
        <v>65550.86</v>
      </c>
      <c r="G12941" s="128">
        <v>35141.5</v>
      </c>
      <c r="H12941" s="128">
        <v>13170.53</v>
      </c>
      <c r="I12941" s="128">
        <v>67</v>
      </c>
    </row>
    <row r="12942" spans="1:9" ht="13.5">
      <c r="A12942" s="128">
        <v>2024</v>
      </c>
      <c r="B12942" s="128" t="s">
        <v>139</v>
      </c>
      <c r="C12942" s="128" t="s">
        <v>26</v>
      </c>
      <c r="D12942" s="128" t="s">
        <v>79</v>
      </c>
      <c r="E12942" s="128" t="s">
        <v>134</v>
      </c>
      <c r="F12942" s="128">
        <v>414720.33</v>
      </c>
      <c r="G12942" s="128">
        <v>174907.02</v>
      </c>
      <c r="H12942" s="128">
        <v>58664.04</v>
      </c>
      <c r="I12942" s="128">
        <v>1119</v>
      </c>
    </row>
    <row r="12943" spans="1:9" ht="13.5">
      <c r="A12943" s="128">
        <v>2024</v>
      </c>
      <c r="B12943" s="128" t="s">
        <v>139</v>
      </c>
      <c r="C12943" s="128" t="s">
        <v>26</v>
      </c>
      <c r="D12943" s="128" t="s">
        <v>79</v>
      </c>
      <c r="E12943" s="128" t="s">
        <v>135</v>
      </c>
      <c r="F12943" s="128">
        <v>9828889.1600000001</v>
      </c>
      <c r="G12943" s="128">
        <v>1974553.73</v>
      </c>
      <c r="H12943" s="128">
        <v>660216.98</v>
      </c>
      <c r="I12943" s="128">
        <v>7760</v>
      </c>
    </row>
    <row r="12944" spans="1:9" ht="13.5">
      <c r="A12944" s="128">
        <v>2024</v>
      </c>
      <c r="B12944" s="128" t="s">
        <v>139</v>
      </c>
      <c r="C12944" s="128" t="s">
        <v>26</v>
      </c>
      <c r="D12944" s="128" t="s">
        <v>77</v>
      </c>
      <c r="E12944" s="128" t="s">
        <v>132</v>
      </c>
      <c r="F12944" s="128">
        <v>101094.85</v>
      </c>
      <c r="G12944" s="128">
        <v>66122.009999999995</v>
      </c>
      <c r="H12944" s="128">
        <v>28145.15</v>
      </c>
      <c r="I12944" s="128">
        <v>359</v>
      </c>
    </row>
    <row r="12945" spans="1:9" ht="13.5">
      <c r="A12945" s="128">
        <v>2024</v>
      </c>
      <c r="B12945" s="128" t="s">
        <v>139</v>
      </c>
      <c r="C12945" s="128" t="s">
        <v>26</v>
      </c>
      <c r="D12945" s="128" t="s">
        <v>77</v>
      </c>
      <c r="E12945" s="128" t="s">
        <v>133</v>
      </c>
      <c r="F12945" s="128">
        <v>171977.4</v>
      </c>
      <c r="G12945" s="128">
        <v>93052.92</v>
      </c>
      <c r="H12945" s="128">
        <v>68040.539999999994</v>
      </c>
      <c r="I12945" s="128">
        <v>487</v>
      </c>
    </row>
    <row r="12946" spans="1:9" ht="13.5">
      <c r="A12946" s="128">
        <v>2024</v>
      </c>
      <c r="B12946" s="128" t="s">
        <v>139</v>
      </c>
      <c r="C12946" s="128" t="s">
        <v>26</v>
      </c>
      <c r="D12946" s="128" t="s">
        <v>77</v>
      </c>
      <c r="E12946" s="128" t="s">
        <v>134</v>
      </c>
      <c r="F12946" s="128">
        <v>589101.19999999995</v>
      </c>
      <c r="G12946" s="128">
        <v>251472.25</v>
      </c>
      <c r="H12946" s="128">
        <v>247900.59</v>
      </c>
      <c r="I12946" s="128">
        <v>1001</v>
      </c>
    </row>
    <row r="12947" spans="1:9" ht="13.5">
      <c r="A12947" s="128">
        <v>2024</v>
      </c>
      <c r="B12947" s="128" t="s">
        <v>139</v>
      </c>
      <c r="C12947" s="128" t="s">
        <v>26</v>
      </c>
      <c r="D12947" s="128" t="s">
        <v>77</v>
      </c>
      <c r="E12947" s="128" t="s">
        <v>135</v>
      </c>
      <c r="F12947" s="128">
        <v>4167686.55</v>
      </c>
      <c r="G12947" s="128">
        <v>1091464.8600000001</v>
      </c>
      <c r="H12947" s="128">
        <v>1091075.02</v>
      </c>
      <c r="I12947" s="128">
        <v>12620</v>
      </c>
    </row>
    <row r="12948" spans="1:9" ht="13.5">
      <c r="A12948" s="128">
        <v>2024</v>
      </c>
      <c r="B12948" s="128" t="s">
        <v>139</v>
      </c>
      <c r="C12948" s="128" t="s">
        <v>26</v>
      </c>
      <c r="D12948" s="128" t="s">
        <v>76</v>
      </c>
      <c r="E12948" s="128" t="s">
        <v>136</v>
      </c>
      <c r="F12948" s="128">
        <v>421858.83</v>
      </c>
      <c r="G12948" s="128">
        <v>317030.99</v>
      </c>
      <c r="H12948" s="128">
        <v>104827.84</v>
      </c>
      <c r="I12948" s="128">
        <v>8664</v>
      </c>
    </row>
    <row r="12949" spans="1:9" ht="13.5">
      <c r="A12949" s="128">
        <v>2024</v>
      </c>
      <c r="B12949" s="128" t="s">
        <v>139</v>
      </c>
      <c r="C12949" s="128" t="s">
        <v>26</v>
      </c>
      <c r="D12949" s="128" t="s">
        <v>76</v>
      </c>
      <c r="E12949" s="128" t="s">
        <v>132</v>
      </c>
      <c r="F12949" s="128">
        <v>1943293.85</v>
      </c>
      <c r="G12949" s="128">
        <v>1240890.5</v>
      </c>
      <c r="H12949" s="128">
        <v>702386.2</v>
      </c>
      <c r="I12949" s="128">
        <v>13334</v>
      </c>
    </row>
    <row r="12950" spans="1:9" ht="13.5">
      <c r="A12950" s="128">
        <v>2024</v>
      </c>
      <c r="B12950" s="128" t="s">
        <v>139</v>
      </c>
      <c r="C12950" s="128" t="s">
        <v>26</v>
      </c>
      <c r="D12950" s="128" t="s">
        <v>76</v>
      </c>
      <c r="E12950" s="128" t="s">
        <v>133</v>
      </c>
      <c r="F12950" s="128">
        <v>4627664.6500000004</v>
      </c>
      <c r="G12950" s="128">
        <v>2545799.65</v>
      </c>
      <c r="H12950" s="128">
        <v>2081850.06</v>
      </c>
      <c r="I12950" s="128">
        <v>35210</v>
      </c>
    </row>
    <row r="12951" spans="1:9" ht="13.5">
      <c r="A12951" s="128">
        <v>2024</v>
      </c>
      <c r="B12951" s="128" t="s">
        <v>139</v>
      </c>
      <c r="C12951" s="128" t="s">
        <v>26</v>
      </c>
      <c r="D12951" s="128" t="s">
        <v>76</v>
      </c>
      <c r="E12951" s="128" t="s">
        <v>134</v>
      </c>
      <c r="F12951" s="128">
        <v>3025203.07</v>
      </c>
      <c r="G12951" s="128">
        <v>1399727.85</v>
      </c>
      <c r="H12951" s="128">
        <v>1625460.99</v>
      </c>
      <c r="I12951" s="128">
        <v>17212</v>
      </c>
    </row>
    <row r="12952" spans="1:9" ht="13.5">
      <c r="A12952" s="128">
        <v>2024</v>
      </c>
      <c r="B12952" s="128" t="s">
        <v>139</v>
      </c>
      <c r="C12952" s="128" t="s">
        <v>26</v>
      </c>
      <c r="D12952" s="128" t="s">
        <v>76</v>
      </c>
      <c r="E12952" s="128" t="s">
        <v>135</v>
      </c>
      <c r="F12952" s="128">
        <v>188032.84</v>
      </c>
      <c r="G12952" s="128">
        <v>53351.7</v>
      </c>
      <c r="H12952" s="128">
        <v>134681.12</v>
      </c>
      <c r="I12952" s="128">
        <v>180</v>
      </c>
    </row>
    <row r="12953" spans="1:9" ht="13.5">
      <c r="A12953" s="128">
        <v>2024</v>
      </c>
      <c r="B12953" s="128" t="s">
        <v>139</v>
      </c>
      <c r="C12953" s="128" t="s">
        <v>27</v>
      </c>
      <c r="D12953" s="128" t="s">
        <v>79</v>
      </c>
      <c r="E12953" s="128" t="s">
        <v>136</v>
      </c>
      <c r="F12953" s="128">
        <v>132223.1</v>
      </c>
      <c r="G12953" s="128">
        <v>98676.98</v>
      </c>
      <c r="H12953" s="128">
        <v>32364.45</v>
      </c>
      <c r="I12953" s="128">
        <v>719</v>
      </c>
    </row>
    <row r="12954" spans="1:9" ht="13.5">
      <c r="A12954" s="128">
        <v>2024</v>
      </c>
      <c r="B12954" s="128" t="s">
        <v>139</v>
      </c>
      <c r="C12954" s="128" t="s">
        <v>27</v>
      </c>
      <c r="D12954" s="128" t="s">
        <v>79</v>
      </c>
      <c r="E12954" s="128" t="s">
        <v>132</v>
      </c>
      <c r="F12954" s="128">
        <v>31420.25</v>
      </c>
      <c r="G12954" s="128">
        <v>21698.68</v>
      </c>
      <c r="H12954" s="128">
        <v>7232.45</v>
      </c>
      <c r="I12954" s="128">
        <v>63</v>
      </c>
    </row>
    <row r="12955" spans="1:9" ht="13.5">
      <c r="A12955" s="128">
        <v>2024</v>
      </c>
      <c r="B12955" s="128" t="s">
        <v>139</v>
      </c>
      <c r="C12955" s="128" t="s">
        <v>27</v>
      </c>
      <c r="D12955" s="128" t="s">
        <v>79</v>
      </c>
      <c r="E12955" s="128" t="s">
        <v>133</v>
      </c>
      <c r="F12955" s="128">
        <v>22093.98</v>
      </c>
      <c r="G12955" s="128">
        <v>11841.6</v>
      </c>
      <c r="H12955" s="128">
        <v>3961.65</v>
      </c>
      <c r="I12955" s="128">
        <v>62</v>
      </c>
    </row>
    <row r="12956" spans="1:9" ht="13.5">
      <c r="A12956" s="128">
        <v>2024</v>
      </c>
      <c r="B12956" s="128" t="s">
        <v>139</v>
      </c>
      <c r="C12956" s="128" t="s">
        <v>27</v>
      </c>
      <c r="D12956" s="128" t="s">
        <v>79</v>
      </c>
      <c r="E12956" s="128" t="s">
        <v>134</v>
      </c>
      <c r="F12956" s="128">
        <v>78059.199999999997</v>
      </c>
      <c r="G12956" s="128">
        <v>33220.74</v>
      </c>
      <c r="H12956" s="128">
        <v>11516.15</v>
      </c>
      <c r="I12956" s="128">
        <v>225</v>
      </c>
    </row>
    <row r="12957" spans="1:9" ht="13.5">
      <c r="A12957" s="128">
        <v>2024</v>
      </c>
      <c r="B12957" s="128" t="s">
        <v>139</v>
      </c>
      <c r="C12957" s="128" t="s">
        <v>27</v>
      </c>
      <c r="D12957" s="128" t="s">
        <v>79</v>
      </c>
      <c r="E12957" s="128" t="s">
        <v>135</v>
      </c>
      <c r="F12957" s="128">
        <v>1600887.86</v>
      </c>
      <c r="G12957" s="128">
        <v>350169.01</v>
      </c>
      <c r="H12957" s="128">
        <v>116894.65</v>
      </c>
      <c r="I12957" s="128">
        <v>860</v>
      </c>
    </row>
    <row r="12958" spans="1:9" ht="13.5">
      <c r="A12958" s="128">
        <v>2024</v>
      </c>
      <c r="B12958" s="128" t="s">
        <v>139</v>
      </c>
      <c r="C12958" s="128" t="s">
        <v>27</v>
      </c>
      <c r="D12958" s="128" t="s">
        <v>77</v>
      </c>
      <c r="E12958" s="128" t="s">
        <v>132</v>
      </c>
      <c r="F12958" s="128">
        <v>47312.56</v>
      </c>
      <c r="G12958" s="128">
        <v>30186.9</v>
      </c>
      <c r="H12958" s="128">
        <v>15709.6</v>
      </c>
      <c r="I12958" s="128">
        <v>135</v>
      </c>
    </row>
    <row r="12959" spans="1:9" ht="13.5">
      <c r="A12959" s="128">
        <v>2024</v>
      </c>
      <c r="B12959" s="128" t="s">
        <v>139</v>
      </c>
      <c r="C12959" s="128" t="s">
        <v>27</v>
      </c>
      <c r="D12959" s="128" t="s">
        <v>77</v>
      </c>
      <c r="E12959" s="128" t="s">
        <v>133</v>
      </c>
      <c r="F12959" s="128">
        <v>88587.67</v>
      </c>
      <c r="G12959" s="128">
        <v>46819.46</v>
      </c>
      <c r="H12959" s="128">
        <v>36166.9</v>
      </c>
      <c r="I12959" s="128">
        <v>267</v>
      </c>
    </row>
    <row r="12960" spans="1:9" ht="13.5">
      <c r="A12960" s="128">
        <v>2024</v>
      </c>
      <c r="B12960" s="128" t="s">
        <v>139</v>
      </c>
      <c r="C12960" s="128" t="s">
        <v>27</v>
      </c>
      <c r="D12960" s="128" t="s">
        <v>77</v>
      </c>
      <c r="E12960" s="128" t="s">
        <v>134</v>
      </c>
      <c r="F12960" s="128">
        <v>295758.24</v>
      </c>
      <c r="G12960" s="128">
        <v>125424.84</v>
      </c>
      <c r="H12960" s="128">
        <v>121514.65</v>
      </c>
      <c r="I12960" s="128">
        <v>414</v>
      </c>
    </row>
    <row r="12961" spans="1:9" ht="13.5">
      <c r="A12961" s="128">
        <v>2024</v>
      </c>
      <c r="B12961" s="128" t="s">
        <v>139</v>
      </c>
      <c r="C12961" s="128" t="s">
        <v>27</v>
      </c>
      <c r="D12961" s="128" t="s">
        <v>77</v>
      </c>
      <c r="E12961" s="128" t="s">
        <v>135</v>
      </c>
      <c r="F12961" s="128">
        <v>1087488</v>
      </c>
      <c r="G12961" s="128">
        <v>284320.46999999997</v>
      </c>
      <c r="H12961" s="128">
        <v>318631.95</v>
      </c>
      <c r="I12961" s="128">
        <v>3793</v>
      </c>
    </row>
    <row r="12962" spans="1:9" ht="13.5">
      <c r="A12962" s="128">
        <v>2024</v>
      </c>
      <c r="B12962" s="128" t="s">
        <v>139</v>
      </c>
      <c r="C12962" s="128" t="s">
        <v>27</v>
      </c>
      <c r="D12962" s="128" t="s">
        <v>76</v>
      </c>
      <c r="E12962" s="128" t="s">
        <v>136</v>
      </c>
      <c r="F12962" s="128">
        <v>265487.12</v>
      </c>
      <c r="G12962" s="128">
        <v>199445.65</v>
      </c>
      <c r="H12962" s="128">
        <v>66041.47</v>
      </c>
      <c r="I12962" s="128">
        <v>4500</v>
      </c>
    </row>
    <row r="12963" spans="1:9" ht="13.5">
      <c r="A12963" s="128">
        <v>2024</v>
      </c>
      <c r="B12963" s="128" t="s">
        <v>139</v>
      </c>
      <c r="C12963" s="128" t="s">
        <v>27</v>
      </c>
      <c r="D12963" s="128" t="s">
        <v>76</v>
      </c>
      <c r="E12963" s="128" t="s">
        <v>132</v>
      </c>
      <c r="F12963" s="128">
        <v>648457.52</v>
      </c>
      <c r="G12963" s="128">
        <v>411337.5</v>
      </c>
      <c r="H12963" s="128">
        <v>237119.99</v>
      </c>
      <c r="I12963" s="128">
        <v>4597</v>
      </c>
    </row>
    <row r="12964" spans="1:9" ht="13.5">
      <c r="A12964" s="128">
        <v>2024</v>
      </c>
      <c r="B12964" s="128" t="s">
        <v>139</v>
      </c>
      <c r="C12964" s="128" t="s">
        <v>27</v>
      </c>
      <c r="D12964" s="128" t="s">
        <v>76</v>
      </c>
      <c r="E12964" s="128" t="s">
        <v>133</v>
      </c>
      <c r="F12964" s="128">
        <v>1683669.25</v>
      </c>
      <c r="G12964" s="128">
        <v>918873.4</v>
      </c>
      <c r="H12964" s="128">
        <v>764788.45</v>
      </c>
      <c r="I12964" s="128">
        <v>7622</v>
      </c>
    </row>
    <row r="12965" spans="1:9" ht="13.5">
      <c r="A12965" s="128">
        <v>2024</v>
      </c>
      <c r="B12965" s="128" t="s">
        <v>139</v>
      </c>
      <c r="C12965" s="128" t="s">
        <v>27</v>
      </c>
      <c r="D12965" s="128" t="s">
        <v>76</v>
      </c>
      <c r="E12965" s="128" t="s">
        <v>134</v>
      </c>
      <c r="F12965" s="128">
        <v>1573705.35</v>
      </c>
      <c r="G12965" s="128">
        <v>733397.25</v>
      </c>
      <c r="H12965" s="128">
        <v>840296.45</v>
      </c>
      <c r="I12965" s="128">
        <v>7889</v>
      </c>
    </row>
    <row r="12966" spans="1:9" ht="13.5">
      <c r="A12966" s="128">
        <v>2024</v>
      </c>
      <c r="B12966" s="128" t="s">
        <v>139</v>
      </c>
      <c r="C12966" s="128" t="s">
        <v>27</v>
      </c>
      <c r="D12966" s="128" t="s">
        <v>76</v>
      </c>
      <c r="E12966" s="128" t="s">
        <v>135</v>
      </c>
      <c r="F12966" s="128">
        <v>70322.44</v>
      </c>
      <c r="G12966" s="128">
        <v>23365.95</v>
      </c>
      <c r="H12966" s="128">
        <v>46956.49</v>
      </c>
      <c r="I12966" s="128">
        <v>100</v>
      </c>
    </row>
    <row r="12967" spans="1:9" ht="13.5">
      <c r="A12967" s="128">
        <v>2024</v>
      </c>
      <c r="B12967" s="128" t="s">
        <v>137</v>
      </c>
      <c r="C12967" s="128" t="s">
        <v>20</v>
      </c>
      <c r="D12967" s="128" t="s">
        <v>79</v>
      </c>
      <c r="E12967" s="128" t="s">
        <v>136</v>
      </c>
      <c r="F12967" s="128">
        <v>40747697.719999999</v>
      </c>
      <c r="G12967" s="128">
        <v>30337787.280000001</v>
      </c>
      <c r="H12967" s="128">
        <v>10394400.779999999</v>
      </c>
      <c r="I12967" s="128">
        <v>288603</v>
      </c>
    </row>
    <row r="12968" spans="1:9" ht="13.5">
      <c r="A12968" s="128">
        <v>2024</v>
      </c>
      <c r="B12968" s="128" t="s">
        <v>137</v>
      </c>
      <c r="C12968" s="128" t="s">
        <v>20</v>
      </c>
      <c r="D12968" s="128" t="s">
        <v>79</v>
      </c>
      <c r="E12968" s="128" t="s">
        <v>132</v>
      </c>
      <c r="F12968" s="128">
        <v>2938338.29</v>
      </c>
      <c r="G12968" s="128">
        <v>1990870.56</v>
      </c>
      <c r="H12968" s="128">
        <v>689426.46</v>
      </c>
      <c r="I12968" s="128">
        <v>10516</v>
      </c>
    </row>
    <row r="12969" spans="1:9" ht="13.5">
      <c r="A12969" s="128">
        <v>2024</v>
      </c>
      <c r="B12969" s="128" t="s">
        <v>137</v>
      </c>
      <c r="C12969" s="128" t="s">
        <v>20</v>
      </c>
      <c r="D12969" s="128" t="s">
        <v>79</v>
      </c>
      <c r="E12969" s="128" t="s">
        <v>133</v>
      </c>
      <c r="F12969" s="128">
        <v>2947522.35</v>
      </c>
      <c r="G12969" s="128">
        <v>1607767.01</v>
      </c>
      <c r="H12969" s="128">
        <v>542892.36</v>
      </c>
      <c r="I12969" s="128">
        <v>5672</v>
      </c>
    </row>
    <row r="12970" spans="1:9" ht="13.5">
      <c r="A12970" s="128">
        <v>2024</v>
      </c>
      <c r="B12970" s="128" t="s">
        <v>137</v>
      </c>
      <c r="C12970" s="128" t="s">
        <v>20</v>
      </c>
      <c r="D12970" s="128" t="s">
        <v>79</v>
      </c>
      <c r="E12970" s="128" t="s">
        <v>134</v>
      </c>
      <c r="F12970" s="128">
        <v>8378483.1399999997</v>
      </c>
      <c r="G12970" s="128">
        <v>3564108.7</v>
      </c>
      <c r="H12970" s="128">
        <v>1251132.8400000001</v>
      </c>
      <c r="I12970" s="128">
        <v>18012</v>
      </c>
    </row>
    <row r="12971" spans="1:9" ht="13.5">
      <c r="A12971" s="128">
        <v>2024</v>
      </c>
      <c r="B12971" s="128" t="s">
        <v>137</v>
      </c>
      <c r="C12971" s="128" t="s">
        <v>20</v>
      </c>
      <c r="D12971" s="128" t="s">
        <v>79</v>
      </c>
      <c r="E12971" s="128" t="s">
        <v>135</v>
      </c>
      <c r="F12971" s="128">
        <v>132385228.73</v>
      </c>
      <c r="G12971" s="128">
        <v>27918504.32</v>
      </c>
      <c r="H12971" s="128">
        <v>9418374.1099999994</v>
      </c>
      <c r="I12971" s="128">
        <v>100704</v>
      </c>
    </row>
    <row r="12972" spans="1:9" ht="13.5">
      <c r="A12972" s="128">
        <v>2024</v>
      </c>
      <c r="B12972" s="128" t="s">
        <v>137</v>
      </c>
      <c r="C12972" s="128" t="s">
        <v>20</v>
      </c>
      <c r="D12972" s="128" t="s">
        <v>77</v>
      </c>
      <c r="E12972" s="128" t="s">
        <v>132</v>
      </c>
      <c r="F12972" s="128">
        <v>3154938.36</v>
      </c>
      <c r="G12972" s="128">
        <v>2054657.28</v>
      </c>
      <c r="H12972" s="128">
        <v>956530.45</v>
      </c>
      <c r="I12972" s="128">
        <v>12366</v>
      </c>
    </row>
    <row r="12973" spans="1:9" ht="13.5">
      <c r="A12973" s="128">
        <v>2024</v>
      </c>
      <c r="B12973" s="128" t="s">
        <v>137</v>
      </c>
      <c r="C12973" s="128" t="s">
        <v>20</v>
      </c>
      <c r="D12973" s="128" t="s">
        <v>77</v>
      </c>
      <c r="E12973" s="128" t="s">
        <v>133</v>
      </c>
      <c r="F12973" s="128">
        <v>7511778.2400000002</v>
      </c>
      <c r="G12973" s="128">
        <v>3999218.4</v>
      </c>
      <c r="H12973" s="128">
        <v>3131542.17</v>
      </c>
      <c r="I12973" s="128">
        <v>22959</v>
      </c>
    </row>
    <row r="12974" spans="1:9" ht="13.5">
      <c r="A12974" s="128">
        <v>2024</v>
      </c>
      <c r="B12974" s="128" t="s">
        <v>137</v>
      </c>
      <c r="C12974" s="128" t="s">
        <v>20</v>
      </c>
      <c r="D12974" s="128" t="s">
        <v>77</v>
      </c>
      <c r="E12974" s="128" t="s">
        <v>134</v>
      </c>
      <c r="F12974" s="128">
        <v>25769218.030000001</v>
      </c>
      <c r="G12974" s="128">
        <v>11080071.9</v>
      </c>
      <c r="H12974" s="128">
        <v>10999112.300000001</v>
      </c>
      <c r="I12974" s="128">
        <v>36819</v>
      </c>
    </row>
    <row r="12975" spans="1:9" ht="13.5">
      <c r="A12975" s="128">
        <v>2024</v>
      </c>
      <c r="B12975" s="128" t="s">
        <v>137</v>
      </c>
      <c r="C12975" s="128" t="s">
        <v>20</v>
      </c>
      <c r="D12975" s="128" t="s">
        <v>77</v>
      </c>
      <c r="E12975" s="128" t="s">
        <v>135</v>
      </c>
      <c r="F12975" s="128">
        <v>60122500.109999999</v>
      </c>
      <c r="G12975" s="128">
        <v>15391360.699999999</v>
      </c>
      <c r="H12975" s="128">
        <v>17059476.640000001</v>
      </c>
      <c r="I12975" s="128">
        <v>186470</v>
      </c>
    </row>
    <row r="12976" spans="1:9" ht="13.5">
      <c r="A12976" s="128">
        <v>2024</v>
      </c>
      <c r="B12976" s="128" t="s">
        <v>137</v>
      </c>
      <c r="C12976" s="128" t="s">
        <v>20</v>
      </c>
      <c r="D12976" s="128" t="s">
        <v>76</v>
      </c>
      <c r="E12976" s="128" t="s">
        <v>136</v>
      </c>
      <c r="F12976" s="128">
        <v>31096958.609999999</v>
      </c>
      <c r="G12976" s="128">
        <v>23441926.359999999</v>
      </c>
      <c r="H12976" s="128">
        <v>7655066.8399999999</v>
      </c>
      <c r="I12976" s="128">
        <v>1030937</v>
      </c>
    </row>
    <row r="12977" spans="1:9" ht="13.5">
      <c r="A12977" s="128">
        <v>2024</v>
      </c>
      <c r="B12977" s="128" t="s">
        <v>137</v>
      </c>
      <c r="C12977" s="128" t="s">
        <v>20</v>
      </c>
      <c r="D12977" s="128" t="s">
        <v>76</v>
      </c>
      <c r="E12977" s="128" t="s">
        <v>132</v>
      </c>
      <c r="F12977" s="128">
        <v>72149450.700000003</v>
      </c>
      <c r="G12977" s="128">
        <v>46099253.310000002</v>
      </c>
      <c r="H12977" s="128">
        <v>26049908.129999999</v>
      </c>
      <c r="I12977" s="128">
        <v>535257</v>
      </c>
    </row>
    <row r="12978" spans="1:9" ht="13.5">
      <c r="A12978" s="128">
        <v>2024</v>
      </c>
      <c r="B12978" s="128" t="s">
        <v>137</v>
      </c>
      <c r="C12978" s="128" t="s">
        <v>20</v>
      </c>
      <c r="D12978" s="128" t="s">
        <v>76</v>
      </c>
      <c r="E12978" s="128" t="s">
        <v>133</v>
      </c>
      <c r="F12978" s="128">
        <v>134398605.58000001</v>
      </c>
      <c r="G12978" s="128">
        <v>73666278.310000002</v>
      </c>
      <c r="H12978" s="128">
        <v>60732242.759999998</v>
      </c>
      <c r="I12978" s="128">
        <v>677970</v>
      </c>
    </row>
    <row r="12979" spans="1:9" ht="13.5">
      <c r="A12979" s="128">
        <v>2024</v>
      </c>
      <c r="B12979" s="128" t="s">
        <v>137</v>
      </c>
      <c r="C12979" s="128" t="s">
        <v>20</v>
      </c>
      <c r="D12979" s="128" t="s">
        <v>76</v>
      </c>
      <c r="E12979" s="128" t="s">
        <v>134</v>
      </c>
      <c r="F12979" s="128">
        <v>126091041.78</v>
      </c>
      <c r="G12979" s="128">
        <v>58060531.880000003</v>
      </c>
      <c r="H12979" s="128">
        <v>68030359.969999999</v>
      </c>
      <c r="I12979" s="128">
        <v>700944</v>
      </c>
    </row>
    <row r="12980" spans="1:9" ht="13.5">
      <c r="A12980" s="128">
        <v>2024</v>
      </c>
      <c r="B12980" s="128" t="s">
        <v>137</v>
      </c>
      <c r="C12980" s="128" t="s">
        <v>20</v>
      </c>
      <c r="D12980" s="128" t="s">
        <v>76</v>
      </c>
      <c r="E12980" s="128" t="s">
        <v>135</v>
      </c>
      <c r="F12980" s="128">
        <v>6847653.8700000001</v>
      </c>
      <c r="G12980" s="128">
        <v>1964075.46</v>
      </c>
      <c r="H12980" s="128">
        <v>4883578.3499999996</v>
      </c>
      <c r="I12980" s="128">
        <v>6023</v>
      </c>
    </row>
    <row r="12981" spans="1:9" ht="13.5">
      <c r="A12981" s="128">
        <v>2024</v>
      </c>
      <c r="B12981" s="128" t="s">
        <v>137</v>
      </c>
      <c r="C12981" s="128" t="s">
        <v>21</v>
      </c>
      <c r="D12981" s="128" t="s">
        <v>79</v>
      </c>
      <c r="E12981" s="128" t="s">
        <v>136</v>
      </c>
      <c r="F12981" s="128">
        <v>6025076.2599999998</v>
      </c>
      <c r="G12981" s="128">
        <v>4523314.68</v>
      </c>
      <c r="H12981" s="128">
        <v>1495912.25</v>
      </c>
      <c r="I12981" s="128">
        <v>105884</v>
      </c>
    </row>
    <row r="12982" spans="1:9" ht="13.5">
      <c r="A12982" s="128">
        <v>2024</v>
      </c>
      <c r="B12982" s="128" t="s">
        <v>137</v>
      </c>
      <c r="C12982" s="128" t="s">
        <v>21</v>
      </c>
      <c r="D12982" s="128" t="s">
        <v>79</v>
      </c>
      <c r="E12982" s="128" t="s">
        <v>132</v>
      </c>
      <c r="F12982" s="128">
        <v>1161946.78</v>
      </c>
      <c r="G12982" s="128">
        <v>772064.28</v>
      </c>
      <c r="H12982" s="128">
        <v>261182.17</v>
      </c>
      <c r="I12982" s="128">
        <v>2843</v>
      </c>
    </row>
    <row r="12983" spans="1:9" ht="13.5">
      <c r="A12983" s="128">
        <v>2024</v>
      </c>
      <c r="B12983" s="128" t="s">
        <v>137</v>
      </c>
      <c r="C12983" s="128" t="s">
        <v>21</v>
      </c>
      <c r="D12983" s="128" t="s">
        <v>79</v>
      </c>
      <c r="E12983" s="128" t="s">
        <v>133</v>
      </c>
      <c r="F12983" s="128">
        <v>1903057.9199999999</v>
      </c>
      <c r="G12983" s="128">
        <v>1019294.97</v>
      </c>
      <c r="H12983" s="128">
        <v>339689.64</v>
      </c>
      <c r="I12983" s="128">
        <v>7037</v>
      </c>
    </row>
    <row r="12984" spans="1:9" ht="13.5">
      <c r="A12984" s="128">
        <v>2024</v>
      </c>
      <c r="B12984" s="128" t="s">
        <v>137</v>
      </c>
      <c r="C12984" s="128" t="s">
        <v>21</v>
      </c>
      <c r="D12984" s="128" t="s">
        <v>79</v>
      </c>
      <c r="E12984" s="128" t="s">
        <v>134</v>
      </c>
      <c r="F12984" s="128">
        <v>4865720.8</v>
      </c>
      <c r="G12984" s="128">
        <v>2123182.6800000002</v>
      </c>
      <c r="H12984" s="128">
        <v>715183.86</v>
      </c>
      <c r="I12984" s="128">
        <v>12319</v>
      </c>
    </row>
    <row r="12985" spans="1:9" ht="13.5">
      <c r="A12985" s="128">
        <v>2024</v>
      </c>
      <c r="B12985" s="128" t="s">
        <v>137</v>
      </c>
      <c r="C12985" s="128" t="s">
        <v>21</v>
      </c>
      <c r="D12985" s="128" t="s">
        <v>79</v>
      </c>
      <c r="E12985" s="128" t="s">
        <v>135</v>
      </c>
      <c r="F12985" s="128">
        <v>54901611.920000002</v>
      </c>
      <c r="G12985" s="128">
        <v>12251608.93</v>
      </c>
      <c r="H12985" s="128">
        <v>4105341.24</v>
      </c>
      <c r="I12985" s="128">
        <v>40626</v>
      </c>
    </row>
    <row r="12986" spans="1:9" ht="13.5">
      <c r="A12986" s="128">
        <v>2024</v>
      </c>
      <c r="B12986" s="128" t="s">
        <v>137</v>
      </c>
      <c r="C12986" s="128" t="s">
        <v>21</v>
      </c>
      <c r="D12986" s="128" t="s">
        <v>77</v>
      </c>
      <c r="E12986" s="128" t="s">
        <v>132</v>
      </c>
      <c r="F12986" s="128">
        <v>3229092.43</v>
      </c>
      <c r="G12986" s="128">
        <v>2070125.2</v>
      </c>
      <c r="H12986" s="128">
        <v>961145.51</v>
      </c>
      <c r="I12986" s="128">
        <v>15742</v>
      </c>
    </row>
    <row r="12987" spans="1:9" ht="13.5">
      <c r="A12987" s="128">
        <v>2024</v>
      </c>
      <c r="B12987" s="128" t="s">
        <v>137</v>
      </c>
      <c r="C12987" s="128" t="s">
        <v>21</v>
      </c>
      <c r="D12987" s="128" t="s">
        <v>77</v>
      </c>
      <c r="E12987" s="128" t="s">
        <v>133</v>
      </c>
      <c r="F12987" s="128">
        <v>9432499.2200000007</v>
      </c>
      <c r="G12987" s="128">
        <v>5054688.66</v>
      </c>
      <c r="H12987" s="128">
        <v>3749094.66</v>
      </c>
      <c r="I12987" s="128">
        <v>23928</v>
      </c>
    </row>
    <row r="12988" spans="1:9" ht="13.5">
      <c r="A12988" s="128">
        <v>2024</v>
      </c>
      <c r="B12988" s="128" t="s">
        <v>137</v>
      </c>
      <c r="C12988" s="128" t="s">
        <v>21</v>
      </c>
      <c r="D12988" s="128" t="s">
        <v>77</v>
      </c>
      <c r="E12988" s="128" t="s">
        <v>134</v>
      </c>
      <c r="F12988" s="128">
        <v>28176481.489999998</v>
      </c>
      <c r="G12988" s="128">
        <v>12064247.41</v>
      </c>
      <c r="H12988" s="128">
        <v>11415994.57</v>
      </c>
      <c r="I12988" s="128">
        <v>42383</v>
      </c>
    </row>
    <row r="12989" spans="1:9" ht="13.5">
      <c r="A12989" s="128">
        <v>2024</v>
      </c>
      <c r="B12989" s="128" t="s">
        <v>137</v>
      </c>
      <c r="C12989" s="128" t="s">
        <v>21</v>
      </c>
      <c r="D12989" s="128" t="s">
        <v>77</v>
      </c>
      <c r="E12989" s="128" t="s">
        <v>135</v>
      </c>
      <c r="F12989" s="128">
        <v>64195593.100000001</v>
      </c>
      <c r="G12989" s="128">
        <v>16990526.809999999</v>
      </c>
      <c r="H12989" s="128">
        <v>18144829.870000001</v>
      </c>
      <c r="I12989" s="128">
        <v>205367</v>
      </c>
    </row>
    <row r="12990" spans="1:9" ht="13.5">
      <c r="A12990" s="128">
        <v>2024</v>
      </c>
      <c r="B12990" s="128" t="s">
        <v>137</v>
      </c>
      <c r="C12990" s="128" t="s">
        <v>21</v>
      </c>
      <c r="D12990" s="128" t="s">
        <v>76</v>
      </c>
      <c r="E12990" s="128" t="s">
        <v>136</v>
      </c>
      <c r="F12990" s="128">
        <v>22880527.789999999</v>
      </c>
      <c r="G12990" s="128">
        <v>17264916.260000002</v>
      </c>
      <c r="H12990" s="128">
        <v>5615665.0300000003</v>
      </c>
      <c r="I12990" s="128">
        <v>353344</v>
      </c>
    </row>
    <row r="12991" spans="1:9" ht="13.5">
      <c r="A12991" s="128">
        <v>2024</v>
      </c>
      <c r="B12991" s="128" t="s">
        <v>137</v>
      </c>
      <c r="C12991" s="128" t="s">
        <v>21</v>
      </c>
      <c r="D12991" s="128" t="s">
        <v>76</v>
      </c>
      <c r="E12991" s="128" t="s">
        <v>132</v>
      </c>
      <c r="F12991" s="128">
        <v>75033889.400000006</v>
      </c>
      <c r="G12991" s="128">
        <v>47929399.799999997</v>
      </c>
      <c r="H12991" s="128">
        <v>27104327.710000001</v>
      </c>
      <c r="I12991" s="128">
        <v>563738</v>
      </c>
    </row>
    <row r="12992" spans="1:9" ht="13.5">
      <c r="A12992" s="128">
        <v>2024</v>
      </c>
      <c r="B12992" s="128" t="s">
        <v>137</v>
      </c>
      <c r="C12992" s="128" t="s">
        <v>21</v>
      </c>
      <c r="D12992" s="128" t="s">
        <v>76</v>
      </c>
      <c r="E12992" s="128" t="s">
        <v>133</v>
      </c>
      <c r="F12992" s="128">
        <v>139896442.38</v>
      </c>
      <c r="G12992" s="128">
        <v>76978532.040000007</v>
      </c>
      <c r="H12992" s="128">
        <v>62917885.600000001</v>
      </c>
      <c r="I12992" s="128">
        <v>755695</v>
      </c>
    </row>
    <row r="12993" spans="1:9" ht="13.5">
      <c r="A12993" s="128">
        <v>2024</v>
      </c>
      <c r="B12993" s="128" t="s">
        <v>137</v>
      </c>
      <c r="C12993" s="128" t="s">
        <v>21</v>
      </c>
      <c r="D12993" s="128" t="s">
        <v>76</v>
      </c>
      <c r="E12993" s="128" t="s">
        <v>134</v>
      </c>
      <c r="F12993" s="128">
        <v>83025639.379999995</v>
      </c>
      <c r="G12993" s="128">
        <v>38450191.950000003</v>
      </c>
      <c r="H12993" s="128">
        <v>44575364.109999999</v>
      </c>
      <c r="I12993" s="128">
        <v>527139</v>
      </c>
    </row>
    <row r="12994" spans="1:9" ht="13.5">
      <c r="A12994" s="128">
        <v>2024</v>
      </c>
      <c r="B12994" s="128" t="s">
        <v>137</v>
      </c>
      <c r="C12994" s="128" t="s">
        <v>21</v>
      </c>
      <c r="D12994" s="128" t="s">
        <v>76</v>
      </c>
      <c r="E12994" s="128" t="s">
        <v>135</v>
      </c>
      <c r="F12994" s="128">
        <v>3406151.9</v>
      </c>
      <c r="G12994" s="128">
        <v>980418.04</v>
      </c>
      <c r="H12994" s="128">
        <v>2425733.86</v>
      </c>
      <c r="I12994" s="128">
        <v>4585</v>
      </c>
    </row>
    <row r="12995" spans="1:9" ht="13.5">
      <c r="A12995" s="128">
        <v>2024</v>
      </c>
      <c r="B12995" s="128" t="s">
        <v>137</v>
      </c>
      <c r="C12995" s="128" t="s">
        <v>22</v>
      </c>
      <c r="D12995" s="128" t="s">
        <v>79</v>
      </c>
      <c r="E12995" s="128" t="s">
        <v>136</v>
      </c>
      <c r="F12995" s="128">
        <v>4161063.48</v>
      </c>
      <c r="G12995" s="128">
        <v>3109615.33</v>
      </c>
      <c r="H12995" s="128">
        <v>1016628.37</v>
      </c>
      <c r="I12995" s="128">
        <v>62250</v>
      </c>
    </row>
    <row r="12996" spans="1:9" ht="13.5">
      <c r="A12996" s="128">
        <v>2024</v>
      </c>
      <c r="B12996" s="128" t="s">
        <v>137</v>
      </c>
      <c r="C12996" s="128" t="s">
        <v>22</v>
      </c>
      <c r="D12996" s="128" t="s">
        <v>79</v>
      </c>
      <c r="E12996" s="128" t="s">
        <v>132</v>
      </c>
      <c r="F12996" s="128">
        <v>724073.45</v>
      </c>
      <c r="G12996" s="128">
        <v>482131.68</v>
      </c>
      <c r="H12996" s="128">
        <v>162235.67000000001</v>
      </c>
      <c r="I12996" s="128">
        <v>1705</v>
      </c>
    </row>
    <row r="12997" spans="1:9" ht="13.5">
      <c r="A12997" s="128">
        <v>2024</v>
      </c>
      <c r="B12997" s="128" t="s">
        <v>137</v>
      </c>
      <c r="C12997" s="128" t="s">
        <v>22</v>
      </c>
      <c r="D12997" s="128" t="s">
        <v>79</v>
      </c>
      <c r="E12997" s="128" t="s">
        <v>133</v>
      </c>
      <c r="F12997" s="128">
        <v>2133211.5099999998</v>
      </c>
      <c r="G12997" s="128">
        <v>1168352.95</v>
      </c>
      <c r="H12997" s="128">
        <v>387172.08</v>
      </c>
      <c r="I12997" s="128">
        <v>3648</v>
      </c>
    </row>
    <row r="12998" spans="1:9" ht="13.5">
      <c r="A12998" s="128">
        <v>2024</v>
      </c>
      <c r="B12998" s="128" t="s">
        <v>137</v>
      </c>
      <c r="C12998" s="128" t="s">
        <v>22</v>
      </c>
      <c r="D12998" s="128" t="s">
        <v>79</v>
      </c>
      <c r="E12998" s="128" t="s">
        <v>134</v>
      </c>
      <c r="F12998" s="128">
        <v>5594370.1900000004</v>
      </c>
      <c r="G12998" s="128">
        <v>2405683.23</v>
      </c>
      <c r="H12998" s="128">
        <v>802635.71</v>
      </c>
      <c r="I12998" s="128">
        <v>21444</v>
      </c>
    </row>
    <row r="12999" spans="1:9" ht="13.5">
      <c r="A12999" s="128">
        <v>2024</v>
      </c>
      <c r="B12999" s="128" t="s">
        <v>137</v>
      </c>
      <c r="C12999" s="128" t="s">
        <v>22</v>
      </c>
      <c r="D12999" s="128" t="s">
        <v>79</v>
      </c>
      <c r="E12999" s="128" t="s">
        <v>135</v>
      </c>
      <c r="F12999" s="128">
        <v>63194589.159999996</v>
      </c>
      <c r="G12999" s="128">
        <v>13741311.98</v>
      </c>
      <c r="H12999" s="128">
        <v>4591453.93</v>
      </c>
      <c r="I12999" s="128">
        <v>49205</v>
      </c>
    </row>
    <row r="13000" spans="1:9" ht="13.5">
      <c r="A13000" s="128">
        <v>2024</v>
      </c>
      <c r="B13000" s="128" t="s">
        <v>137</v>
      </c>
      <c r="C13000" s="128" t="s">
        <v>22</v>
      </c>
      <c r="D13000" s="128" t="s">
        <v>77</v>
      </c>
      <c r="E13000" s="128" t="s">
        <v>132</v>
      </c>
      <c r="F13000" s="128">
        <v>1843667.96</v>
      </c>
      <c r="G13000" s="128">
        <v>1173612.3999999999</v>
      </c>
      <c r="H13000" s="128">
        <v>550122.61</v>
      </c>
      <c r="I13000" s="128">
        <v>8567</v>
      </c>
    </row>
    <row r="13001" spans="1:9" ht="13.5">
      <c r="A13001" s="128">
        <v>2024</v>
      </c>
      <c r="B13001" s="128" t="s">
        <v>137</v>
      </c>
      <c r="C13001" s="128" t="s">
        <v>22</v>
      </c>
      <c r="D13001" s="128" t="s">
        <v>77</v>
      </c>
      <c r="E13001" s="128" t="s">
        <v>133</v>
      </c>
      <c r="F13001" s="128">
        <v>6648500.4100000001</v>
      </c>
      <c r="G13001" s="128">
        <v>3549191.96</v>
      </c>
      <c r="H13001" s="128">
        <v>2658684.84</v>
      </c>
      <c r="I13001" s="128">
        <v>24131</v>
      </c>
    </row>
    <row r="13002" spans="1:9" ht="13.5">
      <c r="A13002" s="128">
        <v>2024</v>
      </c>
      <c r="B13002" s="128" t="s">
        <v>137</v>
      </c>
      <c r="C13002" s="128" t="s">
        <v>22</v>
      </c>
      <c r="D13002" s="128" t="s">
        <v>77</v>
      </c>
      <c r="E13002" s="128" t="s">
        <v>134</v>
      </c>
      <c r="F13002" s="128">
        <v>29287693.809999999</v>
      </c>
      <c r="G13002" s="128">
        <v>12401104.880000001</v>
      </c>
      <c r="H13002" s="128">
        <v>12072861.619999999</v>
      </c>
      <c r="I13002" s="128">
        <v>41431</v>
      </c>
    </row>
    <row r="13003" spans="1:9" ht="13.5">
      <c r="A13003" s="128">
        <v>2024</v>
      </c>
      <c r="B13003" s="128" t="s">
        <v>137</v>
      </c>
      <c r="C13003" s="128" t="s">
        <v>22</v>
      </c>
      <c r="D13003" s="128" t="s">
        <v>77</v>
      </c>
      <c r="E13003" s="128" t="s">
        <v>135</v>
      </c>
      <c r="F13003" s="128">
        <v>60289600.859999999</v>
      </c>
      <c r="G13003" s="128">
        <v>14908608.33</v>
      </c>
      <c r="H13003" s="128">
        <v>16223375.199999999</v>
      </c>
      <c r="I13003" s="128">
        <v>157453</v>
      </c>
    </row>
    <row r="13004" spans="1:9" ht="13.5">
      <c r="A13004" s="128">
        <v>2024</v>
      </c>
      <c r="B13004" s="128" t="s">
        <v>137</v>
      </c>
      <c r="C13004" s="128" t="s">
        <v>22</v>
      </c>
      <c r="D13004" s="128" t="s">
        <v>76</v>
      </c>
      <c r="E13004" s="128" t="s">
        <v>136</v>
      </c>
      <c r="F13004" s="128">
        <v>18347522.43</v>
      </c>
      <c r="G13004" s="128">
        <v>13813917.07</v>
      </c>
      <c r="H13004" s="128">
        <v>4533673.24</v>
      </c>
      <c r="I13004" s="128">
        <v>216441</v>
      </c>
    </row>
    <row r="13005" spans="1:9" ht="13.5">
      <c r="A13005" s="128">
        <v>2024</v>
      </c>
      <c r="B13005" s="128" t="s">
        <v>137</v>
      </c>
      <c r="C13005" s="128" t="s">
        <v>22</v>
      </c>
      <c r="D13005" s="128" t="s">
        <v>76</v>
      </c>
      <c r="E13005" s="128" t="s">
        <v>132</v>
      </c>
      <c r="F13005" s="128">
        <v>58023270.43</v>
      </c>
      <c r="G13005" s="128">
        <v>37009976.969999999</v>
      </c>
      <c r="H13005" s="128">
        <v>21012780.149999999</v>
      </c>
      <c r="I13005" s="128">
        <v>442868</v>
      </c>
    </row>
    <row r="13006" spans="1:9" ht="13.5">
      <c r="A13006" s="128">
        <v>2024</v>
      </c>
      <c r="B13006" s="128" t="s">
        <v>137</v>
      </c>
      <c r="C13006" s="128" t="s">
        <v>22</v>
      </c>
      <c r="D13006" s="128" t="s">
        <v>76</v>
      </c>
      <c r="E13006" s="128" t="s">
        <v>133</v>
      </c>
      <c r="F13006" s="128">
        <v>90404981.939999998</v>
      </c>
      <c r="G13006" s="128">
        <v>50011603.710000001</v>
      </c>
      <c r="H13006" s="128">
        <v>40393233.939999998</v>
      </c>
      <c r="I13006" s="128">
        <v>649119</v>
      </c>
    </row>
    <row r="13007" spans="1:9" ht="13.5">
      <c r="A13007" s="128">
        <v>2024</v>
      </c>
      <c r="B13007" s="128" t="s">
        <v>137</v>
      </c>
      <c r="C13007" s="128" t="s">
        <v>22</v>
      </c>
      <c r="D13007" s="128" t="s">
        <v>76</v>
      </c>
      <c r="E13007" s="128" t="s">
        <v>134</v>
      </c>
      <c r="F13007" s="128">
        <v>71973546.219999999</v>
      </c>
      <c r="G13007" s="128">
        <v>33342560.25</v>
      </c>
      <c r="H13007" s="128">
        <v>38630599.049999997</v>
      </c>
      <c r="I13007" s="128">
        <v>479749</v>
      </c>
    </row>
    <row r="13008" spans="1:9" ht="13.5">
      <c r="A13008" s="128">
        <v>2024</v>
      </c>
      <c r="B13008" s="128" t="s">
        <v>137</v>
      </c>
      <c r="C13008" s="128" t="s">
        <v>22</v>
      </c>
      <c r="D13008" s="128" t="s">
        <v>76</v>
      </c>
      <c r="E13008" s="128" t="s">
        <v>135</v>
      </c>
      <c r="F13008" s="128">
        <v>3747154.01</v>
      </c>
      <c r="G13008" s="128">
        <v>1047930.79</v>
      </c>
      <c r="H13008" s="128">
        <v>2699223.12</v>
      </c>
      <c r="I13008" s="128">
        <v>3135</v>
      </c>
    </row>
    <row r="13009" spans="1:9" ht="13.5">
      <c r="A13009" s="128">
        <v>2024</v>
      </c>
      <c r="B13009" s="128" t="s">
        <v>137</v>
      </c>
      <c r="C13009" s="128" t="s">
        <v>23</v>
      </c>
      <c r="D13009" s="128" t="s">
        <v>79</v>
      </c>
      <c r="E13009" s="128" t="s">
        <v>136</v>
      </c>
      <c r="F13009" s="128">
        <v>1975103.52</v>
      </c>
      <c r="G13009" s="128">
        <v>1470843.66</v>
      </c>
      <c r="H13009" s="128">
        <v>491822.25</v>
      </c>
      <c r="I13009" s="128">
        <v>9011</v>
      </c>
    </row>
    <row r="13010" spans="1:9" ht="13.5">
      <c r="A13010" s="128">
        <v>2024</v>
      </c>
      <c r="B13010" s="128" t="s">
        <v>137</v>
      </c>
      <c r="C13010" s="128" t="s">
        <v>23</v>
      </c>
      <c r="D13010" s="128" t="s">
        <v>79</v>
      </c>
      <c r="E13010" s="128" t="s">
        <v>132</v>
      </c>
      <c r="F13010" s="128">
        <v>660665.72</v>
      </c>
      <c r="G13010" s="128">
        <v>433990.86</v>
      </c>
      <c r="H13010" s="128">
        <v>144967.87</v>
      </c>
      <c r="I13010" s="128">
        <v>938</v>
      </c>
    </row>
    <row r="13011" spans="1:9" ht="13.5">
      <c r="A13011" s="128">
        <v>2024</v>
      </c>
      <c r="B13011" s="128" t="s">
        <v>137</v>
      </c>
      <c r="C13011" s="128" t="s">
        <v>23</v>
      </c>
      <c r="D13011" s="128" t="s">
        <v>79</v>
      </c>
      <c r="E13011" s="128" t="s">
        <v>133</v>
      </c>
      <c r="F13011" s="128">
        <v>437376.63</v>
      </c>
      <c r="G13011" s="128">
        <v>235212.04</v>
      </c>
      <c r="H13011" s="128">
        <v>77704.28</v>
      </c>
      <c r="I13011" s="128">
        <v>709</v>
      </c>
    </row>
    <row r="13012" spans="1:9" ht="13.5">
      <c r="A13012" s="128">
        <v>2024</v>
      </c>
      <c r="B13012" s="128" t="s">
        <v>137</v>
      </c>
      <c r="C13012" s="128" t="s">
        <v>23</v>
      </c>
      <c r="D13012" s="128" t="s">
        <v>79</v>
      </c>
      <c r="E13012" s="128" t="s">
        <v>134</v>
      </c>
      <c r="F13012" s="128">
        <v>870045.49</v>
      </c>
      <c r="G13012" s="128">
        <v>371615.83</v>
      </c>
      <c r="H13012" s="128">
        <v>126074.11</v>
      </c>
      <c r="I13012" s="128">
        <v>1697</v>
      </c>
    </row>
    <row r="13013" spans="1:9" ht="13.5">
      <c r="A13013" s="128">
        <v>2024</v>
      </c>
      <c r="B13013" s="128" t="s">
        <v>137</v>
      </c>
      <c r="C13013" s="128" t="s">
        <v>23</v>
      </c>
      <c r="D13013" s="128" t="s">
        <v>79</v>
      </c>
      <c r="E13013" s="128" t="s">
        <v>135</v>
      </c>
      <c r="F13013" s="128">
        <v>8654615.0899999999</v>
      </c>
      <c r="G13013" s="128">
        <v>1823229.61</v>
      </c>
      <c r="H13013" s="128">
        <v>607766.1</v>
      </c>
      <c r="I13013" s="128">
        <v>4279</v>
      </c>
    </row>
    <row r="13014" spans="1:9" ht="13.5">
      <c r="A13014" s="128">
        <v>2024</v>
      </c>
      <c r="B13014" s="128" t="s">
        <v>137</v>
      </c>
      <c r="C13014" s="128" t="s">
        <v>23</v>
      </c>
      <c r="D13014" s="128" t="s">
        <v>77</v>
      </c>
      <c r="E13014" s="128" t="s">
        <v>132</v>
      </c>
      <c r="F13014" s="128">
        <v>566353.02</v>
      </c>
      <c r="G13014" s="128">
        <v>354221.91</v>
      </c>
      <c r="H13014" s="128">
        <v>168493.09</v>
      </c>
      <c r="I13014" s="128">
        <v>2798</v>
      </c>
    </row>
    <row r="13015" spans="1:9" ht="13.5">
      <c r="A13015" s="128">
        <v>2024</v>
      </c>
      <c r="B13015" s="128" t="s">
        <v>137</v>
      </c>
      <c r="C13015" s="128" t="s">
        <v>23</v>
      </c>
      <c r="D13015" s="128" t="s">
        <v>77</v>
      </c>
      <c r="E13015" s="128" t="s">
        <v>133</v>
      </c>
      <c r="F13015" s="128">
        <v>2611271.21</v>
      </c>
      <c r="G13015" s="128">
        <v>1395831.14</v>
      </c>
      <c r="H13015" s="128">
        <v>1050403.42</v>
      </c>
      <c r="I13015" s="128">
        <v>7981</v>
      </c>
    </row>
    <row r="13016" spans="1:9" ht="13.5">
      <c r="A13016" s="128">
        <v>2024</v>
      </c>
      <c r="B13016" s="128" t="s">
        <v>137</v>
      </c>
      <c r="C13016" s="128" t="s">
        <v>23</v>
      </c>
      <c r="D13016" s="128" t="s">
        <v>77</v>
      </c>
      <c r="E13016" s="128" t="s">
        <v>134</v>
      </c>
      <c r="F13016" s="128">
        <v>16232685.189999999</v>
      </c>
      <c r="G13016" s="128">
        <v>6874675.29</v>
      </c>
      <c r="H13016" s="128">
        <v>6835179.8499999996</v>
      </c>
      <c r="I13016" s="128">
        <v>22360</v>
      </c>
    </row>
    <row r="13017" spans="1:9" ht="13.5">
      <c r="A13017" s="128">
        <v>2024</v>
      </c>
      <c r="B13017" s="128" t="s">
        <v>137</v>
      </c>
      <c r="C13017" s="128" t="s">
        <v>23</v>
      </c>
      <c r="D13017" s="128" t="s">
        <v>77</v>
      </c>
      <c r="E13017" s="128" t="s">
        <v>135</v>
      </c>
      <c r="F13017" s="128">
        <v>19523065.48</v>
      </c>
      <c r="G13017" s="128">
        <v>5357680.01</v>
      </c>
      <c r="H13017" s="128">
        <v>5994049.8899999997</v>
      </c>
      <c r="I13017" s="128">
        <v>66206</v>
      </c>
    </row>
    <row r="13018" spans="1:9" ht="13.5">
      <c r="A13018" s="128">
        <v>2024</v>
      </c>
      <c r="B13018" s="128" t="s">
        <v>137</v>
      </c>
      <c r="C13018" s="128" t="s">
        <v>23</v>
      </c>
      <c r="D13018" s="128" t="s">
        <v>76</v>
      </c>
      <c r="E13018" s="128" t="s">
        <v>136</v>
      </c>
      <c r="F13018" s="128">
        <v>10354002.460000001</v>
      </c>
      <c r="G13018" s="128">
        <v>7775324.8099999996</v>
      </c>
      <c r="H13018" s="128">
        <v>2578701</v>
      </c>
      <c r="I13018" s="128">
        <v>183963</v>
      </c>
    </row>
    <row r="13019" spans="1:9" ht="13.5">
      <c r="A13019" s="128">
        <v>2024</v>
      </c>
      <c r="B13019" s="128" t="s">
        <v>137</v>
      </c>
      <c r="C13019" s="128" t="s">
        <v>23</v>
      </c>
      <c r="D13019" s="128" t="s">
        <v>76</v>
      </c>
      <c r="E13019" s="128" t="s">
        <v>132</v>
      </c>
      <c r="F13019" s="128">
        <v>19097554.260000002</v>
      </c>
      <c r="G13019" s="128">
        <v>12042995.5</v>
      </c>
      <c r="H13019" s="128">
        <v>7054498.1699999999</v>
      </c>
      <c r="I13019" s="128">
        <v>135687</v>
      </c>
    </row>
    <row r="13020" spans="1:9" ht="13.5">
      <c r="A13020" s="128">
        <v>2024</v>
      </c>
      <c r="B13020" s="128" t="s">
        <v>137</v>
      </c>
      <c r="C13020" s="128" t="s">
        <v>23</v>
      </c>
      <c r="D13020" s="128" t="s">
        <v>76</v>
      </c>
      <c r="E13020" s="128" t="s">
        <v>133</v>
      </c>
      <c r="F13020" s="128">
        <v>37357794.229999997</v>
      </c>
      <c r="G13020" s="128">
        <v>20274068.530000001</v>
      </c>
      <c r="H13020" s="128">
        <v>17083700.010000002</v>
      </c>
      <c r="I13020" s="128">
        <v>216137</v>
      </c>
    </row>
    <row r="13021" spans="1:9" ht="13.5">
      <c r="A13021" s="128">
        <v>2024</v>
      </c>
      <c r="B13021" s="128" t="s">
        <v>137</v>
      </c>
      <c r="C13021" s="128" t="s">
        <v>23</v>
      </c>
      <c r="D13021" s="128" t="s">
        <v>76</v>
      </c>
      <c r="E13021" s="128" t="s">
        <v>134</v>
      </c>
      <c r="F13021" s="128">
        <v>30152559.829999998</v>
      </c>
      <c r="G13021" s="128">
        <v>14023277.550000001</v>
      </c>
      <c r="H13021" s="128">
        <v>16129268.75</v>
      </c>
      <c r="I13021" s="128">
        <v>142700</v>
      </c>
    </row>
    <row r="13022" spans="1:9" ht="13.5">
      <c r="A13022" s="128">
        <v>2024</v>
      </c>
      <c r="B13022" s="128" t="s">
        <v>137</v>
      </c>
      <c r="C13022" s="128" t="s">
        <v>23</v>
      </c>
      <c r="D13022" s="128" t="s">
        <v>76</v>
      </c>
      <c r="E13022" s="128" t="s">
        <v>135</v>
      </c>
      <c r="F13022" s="128">
        <v>915183.83</v>
      </c>
      <c r="G13022" s="128">
        <v>261411.9</v>
      </c>
      <c r="H13022" s="128">
        <v>653771.93000000005</v>
      </c>
      <c r="I13022" s="128">
        <v>775</v>
      </c>
    </row>
    <row r="13023" spans="1:9" ht="13.5">
      <c r="A13023" s="128">
        <v>2024</v>
      </c>
      <c r="B13023" s="128" t="s">
        <v>137</v>
      </c>
      <c r="C13023" s="128" t="s">
        <v>24</v>
      </c>
      <c r="D13023" s="128" t="s">
        <v>79</v>
      </c>
      <c r="E13023" s="128" t="s">
        <v>136</v>
      </c>
      <c r="F13023" s="128">
        <v>2258932.37</v>
      </c>
      <c r="G13023" s="128">
        <v>1686814.53</v>
      </c>
      <c r="H13023" s="128">
        <v>556735.26</v>
      </c>
      <c r="I13023" s="128">
        <v>29563</v>
      </c>
    </row>
    <row r="13024" spans="1:9" ht="13.5">
      <c r="A13024" s="128">
        <v>2024</v>
      </c>
      <c r="B13024" s="128" t="s">
        <v>137</v>
      </c>
      <c r="C13024" s="128" t="s">
        <v>24</v>
      </c>
      <c r="D13024" s="128" t="s">
        <v>79</v>
      </c>
      <c r="E13024" s="128" t="s">
        <v>132</v>
      </c>
      <c r="F13024" s="128">
        <v>470824.78</v>
      </c>
      <c r="G13024" s="128">
        <v>313496.81</v>
      </c>
      <c r="H13024" s="128">
        <v>105471.43</v>
      </c>
      <c r="I13024" s="128">
        <v>1032</v>
      </c>
    </row>
    <row r="13025" spans="1:9" ht="13.5">
      <c r="A13025" s="128">
        <v>2024</v>
      </c>
      <c r="B13025" s="128" t="s">
        <v>137</v>
      </c>
      <c r="C13025" s="128" t="s">
        <v>24</v>
      </c>
      <c r="D13025" s="128" t="s">
        <v>79</v>
      </c>
      <c r="E13025" s="128" t="s">
        <v>133</v>
      </c>
      <c r="F13025" s="128">
        <v>581534.93999999994</v>
      </c>
      <c r="G13025" s="128">
        <v>314704.77</v>
      </c>
      <c r="H13025" s="128">
        <v>99916.84</v>
      </c>
      <c r="I13025" s="128">
        <v>1160</v>
      </c>
    </row>
    <row r="13026" spans="1:9" ht="13.5">
      <c r="A13026" s="128">
        <v>2024</v>
      </c>
      <c r="B13026" s="128" t="s">
        <v>137</v>
      </c>
      <c r="C13026" s="128" t="s">
        <v>24</v>
      </c>
      <c r="D13026" s="128" t="s">
        <v>79</v>
      </c>
      <c r="E13026" s="128" t="s">
        <v>134</v>
      </c>
      <c r="F13026" s="128">
        <v>2311740.0099999998</v>
      </c>
      <c r="G13026" s="128">
        <v>997306.31</v>
      </c>
      <c r="H13026" s="128">
        <v>330359.18</v>
      </c>
      <c r="I13026" s="128">
        <v>8840</v>
      </c>
    </row>
    <row r="13027" spans="1:9" ht="13.5">
      <c r="A13027" s="128">
        <v>2024</v>
      </c>
      <c r="B13027" s="128" t="s">
        <v>137</v>
      </c>
      <c r="C13027" s="128" t="s">
        <v>24</v>
      </c>
      <c r="D13027" s="128" t="s">
        <v>79</v>
      </c>
      <c r="E13027" s="128" t="s">
        <v>135</v>
      </c>
      <c r="F13027" s="128">
        <v>14114339.76</v>
      </c>
      <c r="G13027" s="128">
        <v>2992154.41</v>
      </c>
      <c r="H13027" s="128">
        <v>1003830.76</v>
      </c>
      <c r="I13027" s="128">
        <v>12506</v>
      </c>
    </row>
    <row r="13028" spans="1:9" ht="13.5">
      <c r="A13028" s="128">
        <v>2024</v>
      </c>
      <c r="B13028" s="128" t="s">
        <v>137</v>
      </c>
      <c r="C13028" s="128" t="s">
        <v>24</v>
      </c>
      <c r="D13028" s="128" t="s">
        <v>77</v>
      </c>
      <c r="E13028" s="128" t="s">
        <v>132</v>
      </c>
      <c r="F13028" s="128">
        <v>857539.24</v>
      </c>
      <c r="G13028" s="128">
        <v>556898.62</v>
      </c>
      <c r="H13028" s="128">
        <v>224463.82</v>
      </c>
      <c r="I13028" s="128">
        <v>4281</v>
      </c>
    </row>
    <row r="13029" spans="1:9" ht="13.5">
      <c r="A13029" s="128">
        <v>2024</v>
      </c>
      <c r="B13029" s="128" t="s">
        <v>137</v>
      </c>
      <c r="C13029" s="128" t="s">
        <v>24</v>
      </c>
      <c r="D13029" s="128" t="s">
        <v>77</v>
      </c>
      <c r="E13029" s="128" t="s">
        <v>133</v>
      </c>
      <c r="F13029" s="128">
        <v>2715426.07</v>
      </c>
      <c r="G13029" s="128">
        <v>1467453.93</v>
      </c>
      <c r="H13029" s="128">
        <v>903962.12</v>
      </c>
      <c r="I13029" s="128">
        <v>7465</v>
      </c>
    </row>
    <row r="13030" spans="1:9" ht="13.5">
      <c r="A13030" s="128">
        <v>2024</v>
      </c>
      <c r="B13030" s="128" t="s">
        <v>137</v>
      </c>
      <c r="C13030" s="128" t="s">
        <v>24</v>
      </c>
      <c r="D13030" s="128" t="s">
        <v>77</v>
      </c>
      <c r="E13030" s="128" t="s">
        <v>134</v>
      </c>
      <c r="F13030" s="128">
        <v>12286487.140000001</v>
      </c>
      <c r="G13030" s="128">
        <v>5312228.3899999997</v>
      </c>
      <c r="H13030" s="128">
        <v>4326651.59</v>
      </c>
      <c r="I13030" s="128">
        <v>19966</v>
      </c>
    </row>
    <row r="13031" spans="1:9" ht="13.5">
      <c r="A13031" s="128">
        <v>2024</v>
      </c>
      <c r="B13031" s="128" t="s">
        <v>137</v>
      </c>
      <c r="C13031" s="128" t="s">
        <v>24</v>
      </c>
      <c r="D13031" s="128" t="s">
        <v>77</v>
      </c>
      <c r="E13031" s="128" t="s">
        <v>135</v>
      </c>
      <c r="F13031" s="128">
        <v>28531197.82</v>
      </c>
      <c r="G13031" s="128">
        <v>6935187.8200000003</v>
      </c>
      <c r="H13031" s="128">
        <v>4779578.51</v>
      </c>
      <c r="I13031" s="128">
        <v>70413</v>
      </c>
    </row>
    <row r="13032" spans="1:9" ht="13.5">
      <c r="A13032" s="128">
        <v>2024</v>
      </c>
      <c r="B13032" s="128" t="s">
        <v>137</v>
      </c>
      <c r="C13032" s="128" t="s">
        <v>24</v>
      </c>
      <c r="D13032" s="128" t="s">
        <v>76</v>
      </c>
      <c r="E13032" s="128" t="s">
        <v>136</v>
      </c>
      <c r="F13032" s="128">
        <v>14658284.51</v>
      </c>
      <c r="G13032" s="128">
        <v>11021375.48</v>
      </c>
      <c r="H13032" s="128">
        <v>3636970.77</v>
      </c>
      <c r="I13032" s="128">
        <v>212136</v>
      </c>
    </row>
    <row r="13033" spans="1:9" ht="13.5">
      <c r="A13033" s="128">
        <v>2024</v>
      </c>
      <c r="B13033" s="128" t="s">
        <v>137</v>
      </c>
      <c r="C13033" s="128" t="s">
        <v>24</v>
      </c>
      <c r="D13033" s="128" t="s">
        <v>76</v>
      </c>
      <c r="E13033" s="128" t="s">
        <v>132</v>
      </c>
      <c r="F13033" s="128">
        <v>18782000.300000001</v>
      </c>
      <c r="G13033" s="128">
        <v>11940383.4</v>
      </c>
      <c r="H13033" s="128">
        <v>6841572.5800000001</v>
      </c>
      <c r="I13033" s="128">
        <v>108564</v>
      </c>
    </row>
    <row r="13034" spans="1:9" ht="13.5">
      <c r="A13034" s="128">
        <v>2024</v>
      </c>
      <c r="B13034" s="128" t="s">
        <v>137</v>
      </c>
      <c r="C13034" s="128" t="s">
        <v>24</v>
      </c>
      <c r="D13034" s="128" t="s">
        <v>76</v>
      </c>
      <c r="E13034" s="128" t="s">
        <v>133</v>
      </c>
      <c r="F13034" s="128">
        <v>58331759.869999997</v>
      </c>
      <c r="G13034" s="128">
        <v>31924456.199999999</v>
      </c>
      <c r="H13034" s="128">
        <v>26407291.449999999</v>
      </c>
      <c r="I13034" s="128">
        <v>364417</v>
      </c>
    </row>
    <row r="13035" spans="1:9" ht="13.5">
      <c r="A13035" s="128">
        <v>2024</v>
      </c>
      <c r="B13035" s="128" t="s">
        <v>137</v>
      </c>
      <c r="C13035" s="128" t="s">
        <v>24</v>
      </c>
      <c r="D13035" s="128" t="s">
        <v>76</v>
      </c>
      <c r="E13035" s="128" t="s">
        <v>134</v>
      </c>
      <c r="F13035" s="128">
        <v>54815172.869999997</v>
      </c>
      <c r="G13035" s="128">
        <v>25010420.41</v>
      </c>
      <c r="H13035" s="128">
        <v>29804744.120000001</v>
      </c>
      <c r="I13035" s="128">
        <v>242075</v>
      </c>
    </row>
    <row r="13036" spans="1:9" ht="13.5">
      <c r="A13036" s="128">
        <v>2024</v>
      </c>
      <c r="B13036" s="128" t="s">
        <v>137</v>
      </c>
      <c r="C13036" s="128" t="s">
        <v>24</v>
      </c>
      <c r="D13036" s="128" t="s">
        <v>76</v>
      </c>
      <c r="E13036" s="128" t="s">
        <v>135</v>
      </c>
      <c r="F13036" s="128">
        <v>1928762.7</v>
      </c>
      <c r="G13036" s="128">
        <v>583761.91</v>
      </c>
      <c r="H13036" s="128">
        <v>1345000.79</v>
      </c>
      <c r="I13036" s="128">
        <v>2393</v>
      </c>
    </row>
    <row r="13037" spans="1:9" ht="13.5">
      <c r="A13037" s="128">
        <v>2024</v>
      </c>
      <c r="B13037" s="128" t="s">
        <v>137</v>
      </c>
      <c r="C13037" s="128" t="s">
        <v>25</v>
      </c>
      <c r="D13037" s="128" t="s">
        <v>79</v>
      </c>
      <c r="E13037" s="128" t="s">
        <v>136</v>
      </c>
      <c r="F13037" s="128">
        <v>281860.38</v>
      </c>
      <c r="G13037" s="128">
        <v>210534.56</v>
      </c>
      <c r="H13037" s="128">
        <v>69729.81</v>
      </c>
      <c r="I13037" s="128">
        <v>2491</v>
      </c>
    </row>
    <row r="13038" spans="1:9" ht="13.5">
      <c r="A13038" s="128">
        <v>2024</v>
      </c>
      <c r="B13038" s="128" t="s">
        <v>137</v>
      </c>
      <c r="C13038" s="128" t="s">
        <v>25</v>
      </c>
      <c r="D13038" s="128" t="s">
        <v>79</v>
      </c>
      <c r="E13038" s="128" t="s">
        <v>132</v>
      </c>
      <c r="F13038" s="128">
        <v>93453.86</v>
      </c>
      <c r="G13038" s="128">
        <v>63015.96</v>
      </c>
      <c r="H13038" s="128">
        <v>21142.71</v>
      </c>
      <c r="I13038" s="128">
        <v>203</v>
      </c>
    </row>
    <row r="13039" spans="1:9" ht="13.5">
      <c r="A13039" s="128">
        <v>2024</v>
      </c>
      <c r="B13039" s="128" t="s">
        <v>137</v>
      </c>
      <c r="C13039" s="128" t="s">
        <v>25</v>
      </c>
      <c r="D13039" s="128" t="s">
        <v>79</v>
      </c>
      <c r="E13039" s="128" t="s">
        <v>133</v>
      </c>
      <c r="F13039" s="128">
        <v>105540.94</v>
      </c>
      <c r="G13039" s="128">
        <v>57525.05</v>
      </c>
      <c r="H13039" s="128">
        <v>19095.93</v>
      </c>
      <c r="I13039" s="128">
        <v>171</v>
      </c>
    </row>
    <row r="13040" spans="1:9" ht="13.5">
      <c r="A13040" s="128">
        <v>2024</v>
      </c>
      <c r="B13040" s="128" t="s">
        <v>137</v>
      </c>
      <c r="C13040" s="128" t="s">
        <v>25</v>
      </c>
      <c r="D13040" s="128" t="s">
        <v>79</v>
      </c>
      <c r="E13040" s="128" t="s">
        <v>134</v>
      </c>
      <c r="F13040" s="128">
        <v>212721.44</v>
      </c>
      <c r="G13040" s="128">
        <v>90266.94</v>
      </c>
      <c r="H13040" s="128">
        <v>31209.119999999999</v>
      </c>
      <c r="I13040" s="128">
        <v>419</v>
      </c>
    </row>
    <row r="13041" spans="1:9" ht="13.5">
      <c r="A13041" s="128">
        <v>2024</v>
      </c>
      <c r="B13041" s="128" t="s">
        <v>137</v>
      </c>
      <c r="C13041" s="128" t="s">
        <v>25</v>
      </c>
      <c r="D13041" s="128" t="s">
        <v>79</v>
      </c>
      <c r="E13041" s="128" t="s">
        <v>135</v>
      </c>
      <c r="F13041" s="128">
        <v>2861741.67</v>
      </c>
      <c r="G13041" s="128">
        <v>602778.07999999996</v>
      </c>
      <c r="H13041" s="128">
        <v>201186.24</v>
      </c>
      <c r="I13041" s="128">
        <v>1831</v>
      </c>
    </row>
    <row r="13042" spans="1:9" ht="13.5">
      <c r="A13042" s="128">
        <v>2024</v>
      </c>
      <c r="B13042" s="128" t="s">
        <v>137</v>
      </c>
      <c r="C13042" s="128" t="s">
        <v>25</v>
      </c>
      <c r="D13042" s="128" t="s">
        <v>77</v>
      </c>
      <c r="E13042" s="128" t="s">
        <v>132</v>
      </c>
      <c r="F13042" s="128">
        <v>219511.62</v>
      </c>
      <c r="G13042" s="128">
        <v>142268.43</v>
      </c>
      <c r="H13042" s="128">
        <v>69838.720000000001</v>
      </c>
      <c r="I13042" s="128">
        <v>1068</v>
      </c>
    </row>
    <row r="13043" spans="1:9" ht="13.5">
      <c r="A13043" s="128">
        <v>2024</v>
      </c>
      <c r="B13043" s="128" t="s">
        <v>137</v>
      </c>
      <c r="C13043" s="128" t="s">
        <v>25</v>
      </c>
      <c r="D13043" s="128" t="s">
        <v>77</v>
      </c>
      <c r="E13043" s="128" t="s">
        <v>133</v>
      </c>
      <c r="F13043" s="128">
        <v>550381.31000000006</v>
      </c>
      <c r="G13043" s="128">
        <v>292105.68</v>
      </c>
      <c r="H13043" s="128">
        <v>229545</v>
      </c>
      <c r="I13043" s="128">
        <v>1816</v>
      </c>
    </row>
    <row r="13044" spans="1:9" ht="13.5">
      <c r="A13044" s="128">
        <v>2024</v>
      </c>
      <c r="B13044" s="128" t="s">
        <v>137</v>
      </c>
      <c r="C13044" s="128" t="s">
        <v>25</v>
      </c>
      <c r="D13044" s="128" t="s">
        <v>77</v>
      </c>
      <c r="E13044" s="128" t="s">
        <v>134</v>
      </c>
      <c r="F13044" s="128">
        <v>4871928.41</v>
      </c>
      <c r="G13044" s="128">
        <v>2097050.59</v>
      </c>
      <c r="H13044" s="128">
        <v>2074683.72</v>
      </c>
      <c r="I13044" s="128">
        <v>5383</v>
      </c>
    </row>
    <row r="13045" spans="1:9" ht="13.5">
      <c r="A13045" s="128">
        <v>2024</v>
      </c>
      <c r="B13045" s="128" t="s">
        <v>137</v>
      </c>
      <c r="C13045" s="128" t="s">
        <v>25</v>
      </c>
      <c r="D13045" s="128" t="s">
        <v>77</v>
      </c>
      <c r="E13045" s="128" t="s">
        <v>135</v>
      </c>
      <c r="F13045" s="128">
        <v>5382863.3799999999</v>
      </c>
      <c r="G13045" s="128">
        <v>1356348.79</v>
      </c>
      <c r="H13045" s="128">
        <v>1518574.36</v>
      </c>
      <c r="I13045" s="128">
        <v>11029</v>
      </c>
    </row>
    <row r="13046" spans="1:9" ht="13.5">
      <c r="A13046" s="128">
        <v>2024</v>
      </c>
      <c r="B13046" s="128" t="s">
        <v>137</v>
      </c>
      <c r="C13046" s="128" t="s">
        <v>25</v>
      </c>
      <c r="D13046" s="128" t="s">
        <v>76</v>
      </c>
      <c r="E13046" s="128" t="s">
        <v>136</v>
      </c>
      <c r="F13046" s="128">
        <v>1579611.72</v>
      </c>
      <c r="G13046" s="128">
        <v>1188646.3999999999</v>
      </c>
      <c r="H13046" s="128">
        <v>390981.91</v>
      </c>
      <c r="I13046" s="128">
        <v>28906</v>
      </c>
    </row>
    <row r="13047" spans="1:9" ht="13.5">
      <c r="A13047" s="128">
        <v>2024</v>
      </c>
      <c r="B13047" s="128" t="s">
        <v>137</v>
      </c>
      <c r="C13047" s="128" t="s">
        <v>25</v>
      </c>
      <c r="D13047" s="128" t="s">
        <v>76</v>
      </c>
      <c r="E13047" s="128" t="s">
        <v>132</v>
      </c>
      <c r="F13047" s="128">
        <v>3086747.28</v>
      </c>
      <c r="G13047" s="128">
        <v>1953647.75</v>
      </c>
      <c r="H13047" s="128">
        <v>1133093.6299999999</v>
      </c>
      <c r="I13047" s="128">
        <v>20409</v>
      </c>
    </row>
    <row r="13048" spans="1:9" ht="13.5">
      <c r="A13048" s="128">
        <v>2024</v>
      </c>
      <c r="B13048" s="128" t="s">
        <v>137</v>
      </c>
      <c r="C13048" s="128" t="s">
        <v>25</v>
      </c>
      <c r="D13048" s="128" t="s">
        <v>76</v>
      </c>
      <c r="E13048" s="128" t="s">
        <v>133</v>
      </c>
      <c r="F13048" s="128">
        <v>10137915.859999999</v>
      </c>
      <c r="G13048" s="128">
        <v>5531976.25</v>
      </c>
      <c r="H13048" s="128">
        <v>4605928.1100000003</v>
      </c>
      <c r="I13048" s="128">
        <v>56177</v>
      </c>
    </row>
    <row r="13049" spans="1:9" ht="13.5">
      <c r="A13049" s="128">
        <v>2024</v>
      </c>
      <c r="B13049" s="128" t="s">
        <v>137</v>
      </c>
      <c r="C13049" s="128" t="s">
        <v>25</v>
      </c>
      <c r="D13049" s="128" t="s">
        <v>76</v>
      </c>
      <c r="E13049" s="128" t="s">
        <v>134</v>
      </c>
      <c r="F13049" s="128">
        <v>11945184.66</v>
      </c>
      <c r="G13049" s="128">
        <v>5529903.25</v>
      </c>
      <c r="H13049" s="128">
        <v>6415265.8200000003</v>
      </c>
      <c r="I13049" s="128">
        <v>57330</v>
      </c>
    </row>
    <row r="13050" spans="1:9" ht="13.5">
      <c r="A13050" s="128">
        <v>2024</v>
      </c>
      <c r="B13050" s="128" t="s">
        <v>137</v>
      </c>
      <c r="C13050" s="128" t="s">
        <v>25</v>
      </c>
      <c r="D13050" s="128" t="s">
        <v>76</v>
      </c>
      <c r="E13050" s="128" t="s">
        <v>135</v>
      </c>
      <c r="F13050" s="128">
        <v>253601.72</v>
      </c>
      <c r="G13050" s="128">
        <v>70324.55</v>
      </c>
      <c r="H13050" s="128">
        <v>183277.17</v>
      </c>
      <c r="I13050" s="128">
        <v>160</v>
      </c>
    </row>
    <row r="13051" spans="1:9" ht="13.5">
      <c r="A13051" s="128">
        <v>2024</v>
      </c>
      <c r="B13051" s="128" t="s">
        <v>137</v>
      </c>
      <c r="C13051" s="128" t="s">
        <v>26</v>
      </c>
      <c r="D13051" s="128" t="s">
        <v>79</v>
      </c>
      <c r="E13051" s="128" t="s">
        <v>136</v>
      </c>
      <c r="F13051" s="128">
        <v>328939.40999999997</v>
      </c>
      <c r="G13051" s="128">
        <v>249101.13</v>
      </c>
      <c r="H13051" s="128">
        <v>79837.83</v>
      </c>
      <c r="I13051" s="128">
        <v>2530</v>
      </c>
    </row>
    <row r="13052" spans="1:9" ht="13.5">
      <c r="A13052" s="128">
        <v>2024</v>
      </c>
      <c r="B13052" s="128" t="s">
        <v>137</v>
      </c>
      <c r="C13052" s="128" t="s">
        <v>26</v>
      </c>
      <c r="D13052" s="128" t="s">
        <v>79</v>
      </c>
      <c r="E13052" s="128" t="s">
        <v>132</v>
      </c>
      <c r="F13052" s="128">
        <v>32564.77</v>
      </c>
      <c r="G13052" s="128">
        <v>21487.86</v>
      </c>
      <c r="H13052" s="128">
        <v>7571.06</v>
      </c>
      <c r="I13052" s="128">
        <v>100</v>
      </c>
    </row>
    <row r="13053" spans="1:9" ht="13.5">
      <c r="A13053" s="128">
        <v>2024</v>
      </c>
      <c r="B13053" s="128" t="s">
        <v>137</v>
      </c>
      <c r="C13053" s="128" t="s">
        <v>26</v>
      </c>
      <c r="D13053" s="128" t="s">
        <v>79</v>
      </c>
      <c r="E13053" s="128" t="s">
        <v>133</v>
      </c>
      <c r="F13053" s="128">
        <v>62251.69</v>
      </c>
      <c r="G13053" s="128">
        <v>33381.75</v>
      </c>
      <c r="H13053" s="128">
        <v>10993.65</v>
      </c>
      <c r="I13053" s="128">
        <v>105</v>
      </c>
    </row>
    <row r="13054" spans="1:9" ht="13.5">
      <c r="A13054" s="128">
        <v>2024</v>
      </c>
      <c r="B13054" s="128" t="s">
        <v>137</v>
      </c>
      <c r="C13054" s="128" t="s">
        <v>26</v>
      </c>
      <c r="D13054" s="128" t="s">
        <v>79</v>
      </c>
      <c r="E13054" s="128" t="s">
        <v>134</v>
      </c>
      <c r="F13054" s="128">
        <v>518212.96</v>
      </c>
      <c r="G13054" s="128">
        <v>219382</v>
      </c>
      <c r="H13054" s="128">
        <v>73211.37</v>
      </c>
      <c r="I13054" s="128">
        <v>1301</v>
      </c>
    </row>
    <row r="13055" spans="1:9" ht="13.5">
      <c r="A13055" s="128">
        <v>2024</v>
      </c>
      <c r="B13055" s="128" t="s">
        <v>137</v>
      </c>
      <c r="C13055" s="128" t="s">
        <v>26</v>
      </c>
      <c r="D13055" s="128" t="s">
        <v>79</v>
      </c>
      <c r="E13055" s="128" t="s">
        <v>135</v>
      </c>
      <c r="F13055" s="128">
        <v>11868498.18</v>
      </c>
      <c r="G13055" s="128">
        <v>2463970.96</v>
      </c>
      <c r="H13055" s="128">
        <v>822499.74</v>
      </c>
      <c r="I13055" s="128">
        <v>9389</v>
      </c>
    </row>
    <row r="13056" spans="1:9" ht="13.5">
      <c r="A13056" s="128">
        <v>2024</v>
      </c>
      <c r="B13056" s="128" t="s">
        <v>137</v>
      </c>
      <c r="C13056" s="128" t="s">
        <v>26</v>
      </c>
      <c r="D13056" s="128" t="s">
        <v>77</v>
      </c>
      <c r="E13056" s="128" t="s">
        <v>132</v>
      </c>
      <c r="F13056" s="128">
        <v>110830.29</v>
      </c>
      <c r="G13056" s="128">
        <v>70159.399999999994</v>
      </c>
      <c r="H13056" s="128">
        <v>32816.28</v>
      </c>
      <c r="I13056" s="128">
        <v>415</v>
      </c>
    </row>
    <row r="13057" spans="1:9" ht="13.5">
      <c r="A13057" s="128">
        <v>2024</v>
      </c>
      <c r="B13057" s="128" t="s">
        <v>137</v>
      </c>
      <c r="C13057" s="128" t="s">
        <v>26</v>
      </c>
      <c r="D13057" s="128" t="s">
        <v>77</v>
      </c>
      <c r="E13057" s="128" t="s">
        <v>133</v>
      </c>
      <c r="F13057" s="128">
        <v>279401.96999999997</v>
      </c>
      <c r="G13057" s="128">
        <v>150056.14000000001</v>
      </c>
      <c r="H13057" s="128">
        <v>109808.26</v>
      </c>
      <c r="I13057" s="128">
        <v>773</v>
      </c>
    </row>
    <row r="13058" spans="1:9" ht="13.5">
      <c r="A13058" s="128">
        <v>2024</v>
      </c>
      <c r="B13058" s="128" t="s">
        <v>137</v>
      </c>
      <c r="C13058" s="128" t="s">
        <v>26</v>
      </c>
      <c r="D13058" s="128" t="s">
        <v>77</v>
      </c>
      <c r="E13058" s="128" t="s">
        <v>134</v>
      </c>
      <c r="F13058" s="128">
        <v>1232104.08</v>
      </c>
      <c r="G13058" s="128">
        <v>513733.09</v>
      </c>
      <c r="H13058" s="128">
        <v>467997.65</v>
      </c>
      <c r="I13058" s="128">
        <v>2057</v>
      </c>
    </row>
    <row r="13059" spans="1:9" ht="13.5">
      <c r="A13059" s="128">
        <v>2024</v>
      </c>
      <c r="B13059" s="128" t="s">
        <v>137</v>
      </c>
      <c r="C13059" s="128" t="s">
        <v>26</v>
      </c>
      <c r="D13059" s="128" t="s">
        <v>77</v>
      </c>
      <c r="E13059" s="128" t="s">
        <v>135</v>
      </c>
      <c r="F13059" s="128">
        <v>5011657.8600000003</v>
      </c>
      <c r="G13059" s="128">
        <v>1269810.1200000001</v>
      </c>
      <c r="H13059" s="128">
        <v>1241363.96</v>
      </c>
      <c r="I13059" s="128">
        <v>15471</v>
      </c>
    </row>
    <row r="13060" spans="1:9" ht="13.5">
      <c r="A13060" s="128">
        <v>2024</v>
      </c>
      <c r="B13060" s="128" t="s">
        <v>137</v>
      </c>
      <c r="C13060" s="128" t="s">
        <v>26</v>
      </c>
      <c r="D13060" s="128" t="s">
        <v>76</v>
      </c>
      <c r="E13060" s="128" t="s">
        <v>136</v>
      </c>
      <c r="F13060" s="128">
        <v>493598.77</v>
      </c>
      <c r="G13060" s="128">
        <v>372762.61</v>
      </c>
      <c r="H13060" s="128">
        <v>120836.16</v>
      </c>
      <c r="I13060" s="128">
        <v>8617</v>
      </c>
    </row>
    <row r="13061" spans="1:9" ht="13.5">
      <c r="A13061" s="128">
        <v>2024</v>
      </c>
      <c r="B13061" s="128" t="s">
        <v>137</v>
      </c>
      <c r="C13061" s="128" t="s">
        <v>26</v>
      </c>
      <c r="D13061" s="128" t="s">
        <v>76</v>
      </c>
      <c r="E13061" s="128" t="s">
        <v>132</v>
      </c>
      <c r="F13061" s="128">
        <v>2309404.3199999998</v>
      </c>
      <c r="G13061" s="128">
        <v>1475905.3</v>
      </c>
      <c r="H13061" s="128">
        <v>833495.53</v>
      </c>
      <c r="I13061" s="128">
        <v>14592</v>
      </c>
    </row>
    <row r="13062" spans="1:9" ht="13.5">
      <c r="A13062" s="128">
        <v>2024</v>
      </c>
      <c r="B13062" s="128" t="s">
        <v>137</v>
      </c>
      <c r="C13062" s="128" t="s">
        <v>26</v>
      </c>
      <c r="D13062" s="128" t="s">
        <v>76</v>
      </c>
      <c r="E13062" s="128" t="s">
        <v>133</v>
      </c>
      <c r="F13062" s="128">
        <v>5927349.3300000001</v>
      </c>
      <c r="G13062" s="128">
        <v>3259158.95</v>
      </c>
      <c r="H13062" s="128">
        <v>2668184.44</v>
      </c>
      <c r="I13062" s="128">
        <v>43210</v>
      </c>
    </row>
    <row r="13063" spans="1:9" ht="13.5">
      <c r="A13063" s="128">
        <v>2024</v>
      </c>
      <c r="B13063" s="128" t="s">
        <v>137</v>
      </c>
      <c r="C13063" s="128" t="s">
        <v>26</v>
      </c>
      <c r="D13063" s="128" t="s">
        <v>76</v>
      </c>
      <c r="E13063" s="128" t="s">
        <v>134</v>
      </c>
      <c r="F13063" s="128">
        <v>3494619.83</v>
      </c>
      <c r="G13063" s="128">
        <v>1622254.85</v>
      </c>
      <c r="H13063" s="128">
        <v>1872360.02</v>
      </c>
      <c r="I13063" s="128">
        <v>19987</v>
      </c>
    </row>
    <row r="13064" spans="1:9" ht="13.5">
      <c r="A13064" s="128">
        <v>2024</v>
      </c>
      <c r="B13064" s="128" t="s">
        <v>137</v>
      </c>
      <c r="C13064" s="128" t="s">
        <v>26</v>
      </c>
      <c r="D13064" s="128" t="s">
        <v>76</v>
      </c>
      <c r="E13064" s="128" t="s">
        <v>135</v>
      </c>
      <c r="F13064" s="128">
        <v>222648.23</v>
      </c>
      <c r="G13064" s="128">
        <v>62671.05</v>
      </c>
      <c r="H13064" s="128">
        <v>159977.18</v>
      </c>
      <c r="I13064" s="128">
        <v>252</v>
      </c>
    </row>
    <row r="13065" spans="1:9" ht="13.5">
      <c r="A13065" s="128">
        <v>2024</v>
      </c>
      <c r="B13065" s="128" t="s">
        <v>137</v>
      </c>
      <c r="C13065" s="128" t="s">
        <v>27</v>
      </c>
      <c r="D13065" s="128" t="s">
        <v>79</v>
      </c>
      <c r="E13065" s="128" t="s">
        <v>136</v>
      </c>
      <c r="F13065" s="128">
        <v>149944.9</v>
      </c>
      <c r="G13065" s="128">
        <v>107442.5</v>
      </c>
      <c r="H13065" s="128">
        <v>36289.9</v>
      </c>
      <c r="I13065" s="128">
        <v>858</v>
      </c>
    </row>
    <row r="13066" spans="1:9" ht="13.5">
      <c r="A13066" s="128">
        <v>2024</v>
      </c>
      <c r="B13066" s="128" t="s">
        <v>137</v>
      </c>
      <c r="C13066" s="128" t="s">
        <v>27</v>
      </c>
      <c r="D13066" s="128" t="s">
        <v>79</v>
      </c>
      <c r="E13066" s="128" t="s">
        <v>132</v>
      </c>
      <c r="F13066" s="128">
        <v>28948.6</v>
      </c>
      <c r="G13066" s="128">
        <v>19295.95</v>
      </c>
      <c r="H13066" s="128">
        <v>6431.45</v>
      </c>
      <c r="I13066" s="128">
        <v>24</v>
      </c>
    </row>
    <row r="13067" spans="1:9" ht="13.5">
      <c r="A13067" s="128">
        <v>2024</v>
      </c>
      <c r="B13067" s="128" t="s">
        <v>137</v>
      </c>
      <c r="C13067" s="128" t="s">
        <v>27</v>
      </c>
      <c r="D13067" s="128" t="s">
        <v>79</v>
      </c>
      <c r="E13067" s="128" t="s">
        <v>133</v>
      </c>
      <c r="F13067" s="128">
        <v>19126.240000000002</v>
      </c>
      <c r="G13067" s="128">
        <v>10404.719999999999</v>
      </c>
      <c r="H13067" s="128">
        <v>3658.5</v>
      </c>
      <c r="I13067" s="128">
        <v>35</v>
      </c>
    </row>
    <row r="13068" spans="1:9" ht="13.5">
      <c r="A13068" s="128">
        <v>2024</v>
      </c>
      <c r="B13068" s="128" t="s">
        <v>137</v>
      </c>
      <c r="C13068" s="128" t="s">
        <v>27</v>
      </c>
      <c r="D13068" s="128" t="s">
        <v>79</v>
      </c>
      <c r="E13068" s="128" t="s">
        <v>134</v>
      </c>
      <c r="F13068" s="128">
        <v>68218</v>
      </c>
      <c r="G13068" s="128">
        <v>29075.83</v>
      </c>
      <c r="H13068" s="128">
        <v>9687.0499999999993</v>
      </c>
      <c r="I13068" s="128">
        <v>176</v>
      </c>
    </row>
    <row r="13069" spans="1:9" ht="13.5">
      <c r="A13069" s="128">
        <v>2024</v>
      </c>
      <c r="B13069" s="128" t="s">
        <v>137</v>
      </c>
      <c r="C13069" s="128" t="s">
        <v>27</v>
      </c>
      <c r="D13069" s="128" t="s">
        <v>79</v>
      </c>
      <c r="E13069" s="128" t="s">
        <v>135</v>
      </c>
      <c r="F13069" s="128">
        <v>1872768.06</v>
      </c>
      <c r="G13069" s="128">
        <v>421817.89</v>
      </c>
      <c r="H13069" s="128">
        <v>140536.35</v>
      </c>
      <c r="I13069" s="128">
        <v>1238</v>
      </c>
    </row>
    <row r="13070" spans="1:9" ht="13.5">
      <c r="A13070" s="128">
        <v>2024</v>
      </c>
      <c r="B13070" s="128" t="s">
        <v>137</v>
      </c>
      <c r="C13070" s="128" t="s">
        <v>27</v>
      </c>
      <c r="D13070" s="128" t="s">
        <v>77</v>
      </c>
      <c r="E13070" s="128" t="s">
        <v>132</v>
      </c>
      <c r="F13070" s="128">
        <v>31957.8</v>
      </c>
      <c r="G13070" s="128">
        <v>19355.599999999999</v>
      </c>
      <c r="H13070" s="128">
        <v>8635.5400000000009</v>
      </c>
      <c r="I13070" s="128">
        <v>120</v>
      </c>
    </row>
    <row r="13071" spans="1:9" ht="13.5">
      <c r="A13071" s="128">
        <v>2024</v>
      </c>
      <c r="B13071" s="128" t="s">
        <v>137</v>
      </c>
      <c r="C13071" s="128" t="s">
        <v>27</v>
      </c>
      <c r="D13071" s="128" t="s">
        <v>77</v>
      </c>
      <c r="E13071" s="128" t="s">
        <v>133</v>
      </c>
      <c r="F13071" s="128">
        <v>91288.63</v>
      </c>
      <c r="G13071" s="128">
        <v>48584.22</v>
      </c>
      <c r="H13071" s="128">
        <v>35785.25</v>
      </c>
      <c r="I13071" s="128">
        <v>240</v>
      </c>
    </row>
    <row r="13072" spans="1:9" ht="13.5">
      <c r="A13072" s="128">
        <v>2024</v>
      </c>
      <c r="B13072" s="128" t="s">
        <v>137</v>
      </c>
      <c r="C13072" s="128" t="s">
        <v>27</v>
      </c>
      <c r="D13072" s="128" t="s">
        <v>77</v>
      </c>
      <c r="E13072" s="128" t="s">
        <v>134</v>
      </c>
      <c r="F13072" s="128">
        <v>297252.32</v>
      </c>
      <c r="G13072" s="128">
        <v>128016.52</v>
      </c>
      <c r="H13072" s="128">
        <v>125221.64</v>
      </c>
      <c r="I13072" s="128">
        <v>459</v>
      </c>
    </row>
    <row r="13073" spans="1:9" ht="13.5">
      <c r="A13073" s="128">
        <v>2024</v>
      </c>
      <c r="B13073" s="128" t="s">
        <v>137</v>
      </c>
      <c r="C13073" s="128" t="s">
        <v>27</v>
      </c>
      <c r="D13073" s="128" t="s">
        <v>77</v>
      </c>
      <c r="E13073" s="128" t="s">
        <v>135</v>
      </c>
      <c r="F13073" s="128">
        <v>1275537.02</v>
      </c>
      <c r="G13073" s="128">
        <v>328411.15000000002</v>
      </c>
      <c r="H13073" s="128">
        <v>375194.84</v>
      </c>
      <c r="I13073" s="128">
        <v>4552</v>
      </c>
    </row>
    <row r="13074" spans="1:9" ht="13.5">
      <c r="A13074" s="128">
        <v>2024</v>
      </c>
      <c r="B13074" s="128" t="s">
        <v>137</v>
      </c>
      <c r="C13074" s="128" t="s">
        <v>27</v>
      </c>
      <c r="D13074" s="128" t="s">
        <v>76</v>
      </c>
      <c r="E13074" s="128" t="s">
        <v>136</v>
      </c>
      <c r="F13074" s="128">
        <v>328212.28000000003</v>
      </c>
      <c r="G13074" s="128">
        <v>246438.15</v>
      </c>
      <c r="H13074" s="128">
        <v>81774.13</v>
      </c>
      <c r="I13074" s="128">
        <v>3893</v>
      </c>
    </row>
    <row r="13075" spans="1:9" ht="13.5">
      <c r="A13075" s="128">
        <v>2024</v>
      </c>
      <c r="B13075" s="128" t="s">
        <v>137</v>
      </c>
      <c r="C13075" s="128" t="s">
        <v>27</v>
      </c>
      <c r="D13075" s="128" t="s">
        <v>76</v>
      </c>
      <c r="E13075" s="128" t="s">
        <v>132</v>
      </c>
      <c r="F13075" s="128">
        <v>650853.75</v>
      </c>
      <c r="G13075" s="128">
        <v>413593.3</v>
      </c>
      <c r="H13075" s="128">
        <v>237258.85</v>
      </c>
      <c r="I13075" s="128">
        <v>4303</v>
      </c>
    </row>
    <row r="13076" spans="1:9" ht="13.5">
      <c r="A13076" s="128">
        <v>2024</v>
      </c>
      <c r="B13076" s="128" t="s">
        <v>137</v>
      </c>
      <c r="C13076" s="128" t="s">
        <v>27</v>
      </c>
      <c r="D13076" s="128" t="s">
        <v>76</v>
      </c>
      <c r="E13076" s="128" t="s">
        <v>133</v>
      </c>
      <c r="F13076" s="128">
        <v>2037889.47</v>
      </c>
      <c r="G13076" s="128">
        <v>1114615.8</v>
      </c>
      <c r="H13076" s="128">
        <v>923268.75</v>
      </c>
      <c r="I13076" s="128">
        <v>8510</v>
      </c>
    </row>
    <row r="13077" spans="1:9" ht="13.5">
      <c r="A13077" s="128">
        <v>2024</v>
      </c>
      <c r="B13077" s="128" t="s">
        <v>137</v>
      </c>
      <c r="C13077" s="128" t="s">
        <v>27</v>
      </c>
      <c r="D13077" s="128" t="s">
        <v>76</v>
      </c>
      <c r="E13077" s="128" t="s">
        <v>134</v>
      </c>
      <c r="F13077" s="128">
        <v>1451898.81</v>
      </c>
      <c r="G13077" s="128">
        <v>676121.8</v>
      </c>
      <c r="H13077" s="128">
        <v>775771.71</v>
      </c>
      <c r="I13077" s="128">
        <v>7272</v>
      </c>
    </row>
    <row r="13078" spans="1:9" ht="13.5">
      <c r="A13078" s="128">
        <v>2024</v>
      </c>
      <c r="B13078" s="128" t="s">
        <v>137</v>
      </c>
      <c r="C13078" s="128" t="s">
        <v>27</v>
      </c>
      <c r="D13078" s="128" t="s">
        <v>76</v>
      </c>
      <c r="E13078" s="128" t="s">
        <v>135</v>
      </c>
      <c r="F13078" s="128">
        <v>20472.45</v>
      </c>
      <c r="G13078" s="128">
        <v>6614.65</v>
      </c>
      <c r="H13078" s="128">
        <v>13857.8</v>
      </c>
      <c r="I13078" s="128">
        <v>23</v>
      </c>
    </row>
    <row r="13079" spans="1:9" ht="13.5">
      <c r="A13079" s="128"/>
      <c r="B13079" s="128"/>
      <c r="C13079" s="128"/>
      <c r="D13079" s="128"/>
      <c r="E13079" s="128"/>
      <c r="F13079" s="128"/>
      <c r="G13079" s="128"/>
      <c r="H13079" s="128"/>
      <c r="I13079" s="128"/>
    </row>
    <row r="13080" spans="1:9" ht="13.5">
      <c r="A13080" s="128"/>
      <c r="B13080" s="128"/>
      <c r="C13080" s="128"/>
      <c r="D13080" s="128"/>
      <c r="E13080" s="128"/>
      <c r="F13080" s="128"/>
      <c r="G13080" s="128"/>
      <c r="H13080" s="128"/>
      <c r="I13080" s="128"/>
    </row>
    <row r="13081" spans="1:9" ht="13.5">
      <c r="A13081" s="128"/>
      <c r="B13081" s="128"/>
      <c r="C13081" s="128"/>
      <c r="D13081" s="128"/>
      <c r="E13081" s="128"/>
      <c r="F13081" s="128"/>
      <c r="G13081" s="128"/>
      <c r="H13081" s="128"/>
      <c r="I13081" s="128"/>
    </row>
    <row r="13082" spans="1:9" ht="13.5">
      <c r="A13082" s="128"/>
      <c r="B13082" s="128"/>
      <c r="C13082" s="128"/>
      <c r="D13082" s="128"/>
      <c r="E13082" s="128"/>
      <c r="F13082" s="128"/>
      <c r="G13082" s="128"/>
      <c r="H13082" s="128"/>
      <c r="I13082" s="128"/>
    </row>
    <row r="13083" spans="1:9" ht="13.5">
      <c r="A13083" s="128"/>
      <c r="B13083" s="128"/>
      <c r="C13083" s="128"/>
      <c r="D13083" s="128"/>
      <c r="E13083" s="128"/>
      <c r="F13083" s="128"/>
      <c r="G13083" s="128"/>
      <c r="H13083" s="128"/>
      <c r="I13083" s="128"/>
    </row>
    <row r="13084" spans="1:9" ht="13.5">
      <c r="A13084" s="128"/>
      <c r="B13084" s="128"/>
      <c r="C13084" s="128"/>
      <c r="D13084" s="128"/>
      <c r="E13084" s="128"/>
      <c r="F13084" s="128"/>
      <c r="G13084" s="128"/>
      <c r="H13084" s="128"/>
      <c r="I13084" s="128"/>
    </row>
    <row r="13085" spans="1:9" ht="13.5">
      <c r="A13085" s="128"/>
      <c r="B13085" s="128"/>
      <c r="C13085" s="128"/>
      <c r="D13085" s="128"/>
      <c r="E13085" s="128"/>
      <c r="F13085" s="128"/>
      <c r="G13085" s="128"/>
      <c r="H13085" s="128"/>
      <c r="I13085" s="128"/>
    </row>
    <row r="13086" spans="1:9" ht="13.5">
      <c r="A13086" s="128"/>
      <c r="B13086" s="128"/>
      <c r="C13086" s="128"/>
      <c r="D13086" s="128"/>
      <c r="E13086" s="128"/>
      <c r="F13086" s="128"/>
      <c r="G13086" s="128"/>
      <c r="H13086" s="128"/>
      <c r="I13086" s="128"/>
    </row>
    <row r="13087" spans="1:9" ht="13.5">
      <c r="A13087" s="128"/>
      <c r="B13087" s="128"/>
      <c r="C13087" s="128"/>
      <c r="D13087" s="128"/>
      <c r="E13087" s="128"/>
      <c r="F13087" s="128"/>
      <c r="G13087" s="128"/>
      <c r="H13087" s="128"/>
      <c r="I13087" s="128"/>
    </row>
    <row r="13088" spans="1:9" ht="13.5">
      <c r="A13088" s="128"/>
      <c r="B13088" s="128"/>
      <c r="C13088" s="128"/>
      <c r="D13088" s="128"/>
      <c r="E13088" s="128"/>
      <c r="F13088" s="128"/>
      <c r="G13088" s="128"/>
      <c r="H13088" s="128"/>
      <c r="I13088" s="128"/>
    </row>
    <row r="13089" spans="1:9" ht="13.5">
      <c r="A13089" s="128"/>
      <c r="B13089" s="128"/>
      <c r="C13089" s="128"/>
      <c r="D13089" s="128"/>
      <c r="E13089" s="128"/>
      <c r="F13089" s="128"/>
      <c r="G13089" s="128"/>
      <c r="H13089" s="128"/>
      <c r="I13089" s="128"/>
    </row>
    <row r="13090" spans="1:9" ht="13.5">
      <c r="A13090" s="128"/>
      <c r="B13090" s="128"/>
      <c r="C13090" s="128"/>
      <c r="D13090" s="128"/>
      <c r="E13090" s="128"/>
      <c r="F13090" s="128"/>
      <c r="G13090" s="128"/>
      <c r="H13090" s="128"/>
      <c r="I13090" s="128"/>
    </row>
    <row r="13091" spans="1:9" ht="13.5">
      <c r="A13091" s="128"/>
      <c r="B13091" s="128"/>
      <c r="C13091" s="128"/>
      <c r="D13091" s="128"/>
      <c r="E13091" s="128"/>
      <c r="F13091" s="128"/>
      <c r="G13091" s="128"/>
      <c r="H13091" s="128"/>
      <c r="I13091" s="128"/>
    </row>
    <row r="13092" spans="1:9" ht="13.5">
      <c r="A13092" s="128"/>
      <c r="B13092" s="128"/>
      <c r="C13092" s="128"/>
      <c r="D13092" s="128"/>
      <c r="E13092" s="128"/>
      <c r="F13092" s="128"/>
      <c r="G13092" s="128"/>
      <c r="H13092" s="128"/>
      <c r="I13092" s="128"/>
    </row>
    <row r="13093" spans="1:9" ht="13.5">
      <c r="A13093" s="128"/>
      <c r="B13093" s="128"/>
      <c r="C13093" s="128"/>
      <c r="D13093" s="128"/>
      <c r="E13093" s="128"/>
      <c r="F13093" s="128"/>
      <c r="G13093" s="128"/>
      <c r="H13093" s="128"/>
      <c r="I13093" s="128"/>
    </row>
    <row r="13094" spans="1:9" ht="13.5">
      <c r="A13094" s="128"/>
      <c r="B13094" s="128"/>
      <c r="C13094" s="128"/>
      <c r="D13094" s="128"/>
      <c r="E13094" s="128"/>
      <c r="F13094" s="128"/>
      <c r="G13094" s="128"/>
      <c r="H13094" s="128"/>
      <c r="I13094" s="128"/>
    </row>
    <row r="13095" spans="1:9" ht="13.5">
      <c r="A13095" s="128"/>
      <c r="B13095" s="128"/>
      <c r="C13095" s="128"/>
      <c r="D13095" s="128"/>
      <c r="E13095" s="128"/>
      <c r="F13095" s="128"/>
      <c r="G13095" s="128"/>
      <c r="H13095" s="128"/>
      <c r="I13095" s="128"/>
    </row>
    <row r="13096" spans="1:9" ht="13.5">
      <c r="A13096" s="128"/>
      <c r="B13096" s="128"/>
      <c r="C13096" s="128"/>
      <c r="D13096" s="128"/>
      <c r="E13096" s="128"/>
      <c r="F13096" s="128"/>
      <c r="G13096" s="128"/>
      <c r="H13096" s="128"/>
      <c r="I13096" s="128"/>
    </row>
    <row r="13097" spans="1:9" ht="13.5">
      <c r="A13097" s="128"/>
      <c r="B13097" s="128"/>
      <c r="C13097" s="128"/>
      <c r="D13097" s="128"/>
      <c r="E13097" s="128"/>
      <c r="F13097" s="128"/>
      <c r="G13097" s="128"/>
      <c r="H13097" s="128"/>
      <c r="I13097" s="128"/>
    </row>
    <row r="13098" spans="1:9" ht="13.5">
      <c r="A13098" s="128"/>
      <c r="B13098" s="128"/>
      <c r="C13098" s="128"/>
      <c r="D13098" s="128"/>
      <c r="E13098" s="128"/>
      <c r="F13098" s="128"/>
      <c r="G13098" s="128"/>
      <c r="H13098" s="128"/>
      <c r="I13098" s="128"/>
    </row>
    <row r="13099" spans="1:9" ht="13.5">
      <c r="A13099" s="128"/>
      <c r="B13099" s="128"/>
      <c r="C13099" s="128"/>
      <c r="D13099" s="128"/>
      <c r="E13099" s="128"/>
      <c r="F13099" s="128"/>
      <c r="G13099" s="128"/>
      <c r="H13099" s="128"/>
      <c r="I13099" s="128"/>
    </row>
    <row r="13100" spans="1:9" ht="13.5">
      <c r="A13100" s="128"/>
      <c r="B13100" s="128"/>
      <c r="C13100" s="128"/>
      <c r="D13100" s="128"/>
      <c r="E13100" s="128"/>
      <c r="F13100" s="128"/>
      <c r="G13100" s="128"/>
      <c r="H13100" s="128"/>
      <c r="I13100" s="128"/>
    </row>
    <row r="13101" spans="1:9" ht="13.5">
      <c r="A13101" s="128"/>
      <c r="B13101" s="128"/>
      <c r="C13101" s="128"/>
      <c r="D13101" s="128"/>
      <c r="E13101" s="128"/>
      <c r="F13101" s="128"/>
      <c r="G13101" s="128"/>
      <c r="H13101" s="128"/>
      <c r="I13101" s="128"/>
    </row>
    <row r="13102" spans="1:9" ht="13.5">
      <c r="A13102" s="128"/>
      <c r="B13102" s="128"/>
      <c r="C13102" s="128"/>
      <c r="D13102" s="128"/>
      <c r="E13102" s="128"/>
      <c r="F13102" s="128"/>
      <c r="G13102" s="128"/>
      <c r="H13102" s="128"/>
      <c r="I13102" s="128"/>
    </row>
    <row r="13103" spans="1:9" ht="13.5">
      <c r="A13103" s="128"/>
      <c r="B13103" s="128"/>
      <c r="C13103" s="128"/>
      <c r="D13103" s="128"/>
      <c r="E13103" s="128"/>
      <c r="F13103" s="128"/>
      <c r="G13103" s="128"/>
      <c r="H13103" s="128"/>
      <c r="I13103" s="128"/>
    </row>
    <row r="13104" spans="1:9" ht="13.5">
      <c r="A13104" s="128"/>
      <c r="B13104" s="128"/>
      <c r="C13104" s="128"/>
      <c r="D13104" s="128"/>
      <c r="E13104" s="128"/>
      <c r="F13104" s="128"/>
      <c r="G13104" s="128"/>
      <c r="H13104" s="128"/>
      <c r="I13104" s="128"/>
    </row>
    <row r="13105" spans="1:9" ht="13.5">
      <c r="A13105" s="128"/>
      <c r="B13105" s="128"/>
      <c r="C13105" s="128"/>
      <c r="D13105" s="128"/>
      <c r="E13105" s="128"/>
      <c r="F13105" s="128"/>
      <c r="G13105" s="128"/>
      <c r="H13105" s="128"/>
      <c r="I13105" s="128"/>
    </row>
    <row r="13106" spans="1:9" ht="13.5">
      <c r="A13106" s="128"/>
      <c r="B13106" s="128"/>
      <c r="C13106" s="128"/>
      <c r="D13106" s="128"/>
      <c r="E13106" s="128"/>
      <c r="F13106" s="128"/>
      <c r="G13106" s="128"/>
      <c r="H13106" s="128"/>
      <c r="I13106" s="128"/>
    </row>
    <row r="13107" spans="1:9" ht="13.5">
      <c r="A13107" s="128"/>
      <c r="B13107" s="128"/>
      <c r="C13107" s="128"/>
      <c r="D13107" s="128"/>
      <c r="E13107" s="128"/>
      <c r="F13107" s="128"/>
      <c r="G13107" s="128"/>
      <c r="H13107" s="128"/>
      <c r="I13107" s="128"/>
    </row>
    <row r="13108" spans="1:9" ht="13.5">
      <c r="A13108" s="128"/>
      <c r="B13108" s="128"/>
      <c r="C13108" s="128"/>
      <c r="D13108" s="128"/>
      <c r="E13108" s="128"/>
      <c r="F13108" s="128"/>
      <c r="G13108" s="128"/>
      <c r="H13108" s="128"/>
      <c r="I13108" s="128"/>
    </row>
    <row r="13109" spans="1:9" ht="13.5">
      <c r="A13109" s="128"/>
      <c r="B13109" s="128"/>
      <c r="C13109" s="128"/>
      <c r="D13109" s="128"/>
      <c r="E13109" s="128"/>
      <c r="F13109" s="128"/>
      <c r="G13109" s="128"/>
      <c r="H13109" s="128"/>
      <c r="I13109" s="128"/>
    </row>
    <row r="13110" spans="1:9" ht="13.5">
      <c r="A13110" s="128"/>
      <c r="B13110" s="128"/>
      <c r="C13110" s="128"/>
      <c r="D13110" s="128"/>
      <c r="E13110" s="128"/>
      <c r="F13110" s="128"/>
      <c r="G13110" s="128"/>
      <c r="H13110" s="128"/>
      <c r="I13110" s="128"/>
    </row>
    <row r="13111" spans="1:9" ht="13.5">
      <c r="A13111" s="128"/>
      <c r="B13111" s="128"/>
      <c r="C13111" s="128"/>
      <c r="D13111" s="128"/>
      <c r="E13111" s="128"/>
      <c r="F13111" s="128"/>
      <c r="G13111" s="128"/>
      <c r="H13111" s="128"/>
      <c r="I13111" s="128"/>
    </row>
    <row r="13112" spans="1:9" ht="13.5">
      <c r="A13112" s="128"/>
      <c r="B13112" s="128"/>
      <c r="C13112" s="128"/>
      <c r="D13112" s="128"/>
      <c r="E13112" s="128"/>
      <c r="F13112" s="128"/>
      <c r="G13112" s="128"/>
      <c r="H13112" s="128"/>
      <c r="I13112" s="128"/>
    </row>
    <row r="13113" spans="1:9" ht="13.5">
      <c r="A13113" s="128"/>
      <c r="B13113" s="128"/>
      <c r="C13113" s="128"/>
      <c r="D13113" s="128"/>
      <c r="E13113" s="128"/>
      <c r="F13113" s="128"/>
      <c r="G13113" s="128"/>
      <c r="H13113" s="128"/>
      <c r="I13113" s="128"/>
    </row>
    <row r="13114" spans="1:9" ht="13.5">
      <c r="A13114" s="128"/>
      <c r="B13114" s="128"/>
      <c r="C13114" s="128"/>
      <c r="D13114" s="128"/>
      <c r="E13114" s="128"/>
      <c r="F13114" s="128"/>
      <c r="G13114" s="128"/>
      <c r="H13114" s="128"/>
      <c r="I13114" s="128"/>
    </row>
    <row r="13115" spans="1:9" ht="13.5">
      <c r="A13115" s="128"/>
      <c r="B13115" s="128"/>
      <c r="C13115" s="128"/>
      <c r="D13115" s="128"/>
      <c r="E13115" s="128"/>
      <c r="F13115" s="128"/>
      <c r="G13115" s="128"/>
      <c r="H13115" s="128"/>
      <c r="I13115" s="128"/>
    </row>
    <row r="13116" spans="1:9" ht="13.5">
      <c r="A13116" s="128"/>
      <c r="B13116" s="128"/>
      <c r="C13116" s="128"/>
      <c r="D13116" s="128"/>
      <c r="E13116" s="128"/>
      <c r="F13116" s="128"/>
      <c r="G13116" s="128"/>
      <c r="H13116" s="128"/>
      <c r="I13116" s="128"/>
    </row>
    <row r="13117" spans="1:9" ht="13.5">
      <c r="A13117" s="128"/>
      <c r="B13117" s="128"/>
      <c r="C13117" s="128"/>
      <c r="D13117" s="128"/>
      <c r="E13117" s="128"/>
      <c r="F13117" s="128"/>
      <c r="G13117" s="128"/>
      <c r="H13117" s="128"/>
      <c r="I13117" s="128"/>
    </row>
    <row r="13118" spans="1:9" ht="13.5">
      <c r="A13118" s="128"/>
      <c r="B13118" s="128"/>
      <c r="C13118" s="128"/>
      <c r="D13118" s="128"/>
      <c r="E13118" s="128"/>
      <c r="F13118" s="128"/>
      <c r="G13118" s="128"/>
      <c r="H13118" s="128"/>
      <c r="I13118" s="128"/>
    </row>
    <row r="13119" spans="1:9" ht="13.5">
      <c r="A13119" s="128"/>
      <c r="B13119" s="128"/>
      <c r="C13119" s="128"/>
      <c r="D13119" s="128"/>
      <c r="E13119" s="128"/>
      <c r="F13119" s="128"/>
      <c r="G13119" s="128"/>
      <c r="H13119" s="128"/>
      <c r="I13119" s="128"/>
    </row>
    <row r="13120" spans="1:9" ht="13.5">
      <c r="A13120" s="128"/>
      <c r="B13120" s="128"/>
      <c r="C13120" s="128"/>
      <c r="D13120" s="128"/>
      <c r="E13120" s="128"/>
      <c r="F13120" s="128"/>
      <c r="G13120" s="128"/>
      <c r="H13120" s="128"/>
      <c r="I13120" s="128"/>
    </row>
    <row r="13121" spans="1:9" ht="13.5">
      <c r="A13121" s="128"/>
      <c r="B13121" s="128"/>
      <c r="C13121" s="128"/>
      <c r="D13121" s="128"/>
      <c r="E13121" s="128"/>
      <c r="F13121" s="128"/>
      <c r="G13121" s="128"/>
      <c r="H13121" s="128"/>
      <c r="I13121" s="128"/>
    </row>
    <row r="13122" spans="1:9" ht="13.5">
      <c r="A13122" s="128"/>
      <c r="B13122" s="128"/>
      <c r="C13122" s="128"/>
      <c r="D13122" s="128"/>
      <c r="E13122" s="128"/>
      <c r="F13122" s="128"/>
      <c r="G13122" s="128"/>
      <c r="H13122" s="128"/>
      <c r="I13122" s="128"/>
    </row>
    <row r="13123" spans="1:9" ht="13.5">
      <c r="A13123" s="128"/>
      <c r="B13123" s="128"/>
      <c r="C13123" s="128"/>
      <c r="D13123" s="128"/>
      <c r="E13123" s="128"/>
      <c r="F13123" s="128"/>
      <c r="G13123" s="128"/>
      <c r="H13123" s="128"/>
      <c r="I13123" s="128"/>
    </row>
    <row r="13124" spans="1:9" ht="13.5">
      <c r="A13124" s="128"/>
      <c r="B13124" s="128"/>
      <c r="C13124" s="128"/>
      <c r="D13124" s="128"/>
      <c r="E13124" s="128"/>
      <c r="F13124" s="128"/>
      <c r="G13124" s="128"/>
      <c r="H13124" s="128"/>
      <c r="I13124" s="128"/>
    </row>
    <row r="13125" spans="1:9" ht="13.5">
      <c r="A13125" s="128"/>
      <c r="B13125" s="128"/>
      <c r="C13125" s="128"/>
      <c r="D13125" s="128"/>
      <c r="E13125" s="128"/>
      <c r="F13125" s="128"/>
      <c r="G13125" s="128"/>
      <c r="H13125" s="128"/>
      <c r="I13125" s="128"/>
    </row>
    <row r="13126" spans="1:9" ht="13.5">
      <c r="A13126" s="128"/>
      <c r="B13126" s="128"/>
      <c r="C13126" s="128"/>
      <c r="D13126" s="128"/>
      <c r="E13126" s="128"/>
      <c r="F13126" s="128"/>
      <c r="G13126" s="128"/>
      <c r="H13126" s="128"/>
      <c r="I13126" s="128"/>
    </row>
    <row r="13127" spans="1:9" ht="13.5">
      <c r="A13127" s="128"/>
      <c r="B13127" s="128"/>
      <c r="C13127" s="128"/>
      <c r="D13127" s="128"/>
      <c r="E13127" s="128"/>
      <c r="F13127" s="128"/>
      <c r="G13127" s="128"/>
      <c r="H13127" s="128"/>
      <c r="I13127" s="128"/>
    </row>
    <row r="13128" spans="1:9" ht="13.5">
      <c r="A13128" s="128"/>
      <c r="B13128" s="128"/>
      <c r="C13128" s="128"/>
      <c r="D13128" s="128"/>
      <c r="E13128" s="128"/>
      <c r="F13128" s="128"/>
      <c r="G13128" s="128"/>
      <c r="H13128" s="128"/>
      <c r="I13128" s="128"/>
    </row>
    <row r="13129" spans="1:9" ht="13.5">
      <c r="A13129" s="128"/>
      <c r="B13129" s="128"/>
      <c r="C13129" s="128"/>
      <c r="D13129" s="128"/>
      <c r="E13129" s="128"/>
      <c r="F13129" s="128"/>
      <c r="G13129" s="128"/>
      <c r="H13129" s="128"/>
      <c r="I13129" s="128"/>
    </row>
    <row r="13130" spans="1:9" ht="13.5">
      <c r="A13130" s="128"/>
      <c r="B13130" s="128"/>
      <c r="C13130" s="128"/>
      <c r="D13130" s="128"/>
      <c r="E13130" s="128"/>
      <c r="F13130" s="128"/>
      <c r="G13130" s="128"/>
      <c r="H13130" s="128"/>
      <c r="I13130" s="128"/>
    </row>
    <row r="13131" spans="1:9" ht="13.5">
      <c r="A13131" s="128"/>
      <c r="B13131" s="128"/>
      <c r="C13131" s="128"/>
      <c r="D13131" s="128"/>
      <c r="E13131" s="128"/>
      <c r="F13131" s="128"/>
      <c r="G13131" s="128"/>
      <c r="H13131" s="128"/>
      <c r="I13131" s="128"/>
    </row>
    <row r="13132" spans="1:9" ht="13.5">
      <c r="A13132" s="128"/>
      <c r="B13132" s="128"/>
      <c r="C13132" s="128"/>
      <c r="D13132" s="128"/>
      <c r="E13132" s="128"/>
      <c r="F13132" s="128"/>
      <c r="G13132" s="128"/>
      <c r="H13132" s="128"/>
      <c r="I13132" s="128"/>
    </row>
    <row r="13133" spans="1:9" ht="13.5">
      <c r="A13133" s="128"/>
      <c r="B13133" s="128"/>
      <c r="C13133" s="128"/>
      <c r="D13133" s="128"/>
      <c r="E13133" s="128"/>
      <c r="F13133" s="128"/>
      <c r="G13133" s="128"/>
      <c r="H13133" s="128"/>
      <c r="I13133" s="128"/>
    </row>
    <row r="13134" spans="1:9" ht="13.5">
      <c r="A13134" s="128"/>
      <c r="B13134" s="128"/>
      <c r="C13134" s="128"/>
      <c r="D13134" s="128"/>
      <c r="E13134" s="128"/>
      <c r="F13134" s="128"/>
      <c r="G13134" s="128"/>
      <c r="H13134" s="128"/>
      <c r="I13134" s="128"/>
    </row>
    <row r="13135" spans="1:9" ht="13.5">
      <c r="A13135" s="128"/>
      <c r="B13135" s="128"/>
      <c r="C13135" s="128"/>
      <c r="D13135" s="128"/>
      <c r="E13135" s="128"/>
      <c r="F13135" s="128"/>
      <c r="G13135" s="128"/>
      <c r="H13135" s="128"/>
      <c r="I13135" s="128"/>
    </row>
    <row r="13136" spans="1:9" ht="13.5">
      <c r="A13136" s="128"/>
      <c r="B13136" s="128"/>
      <c r="C13136" s="128"/>
      <c r="D13136" s="128"/>
      <c r="E13136" s="128"/>
      <c r="F13136" s="128"/>
      <c r="G13136" s="128"/>
      <c r="H13136" s="128"/>
      <c r="I13136" s="128"/>
    </row>
    <row r="13137" spans="1:9" ht="13.5">
      <c r="A13137" s="128"/>
      <c r="B13137" s="128"/>
      <c r="C13137" s="128"/>
      <c r="D13137" s="128"/>
      <c r="E13137" s="128"/>
      <c r="F13137" s="128"/>
      <c r="G13137" s="128"/>
      <c r="H13137" s="128"/>
      <c r="I13137" s="128"/>
    </row>
    <row r="13138" spans="1:9" ht="13.5">
      <c r="A13138" s="128"/>
      <c r="B13138" s="128"/>
      <c r="C13138" s="128"/>
      <c r="D13138" s="128"/>
      <c r="E13138" s="128"/>
      <c r="F13138" s="128"/>
      <c r="G13138" s="128"/>
      <c r="H13138" s="128"/>
      <c r="I13138" s="128"/>
    </row>
    <row r="13139" spans="1:9" ht="13.5">
      <c r="A13139" s="128"/>
      <c r="B13139" s="128"/>
      <c r="C13139" s="128"/>
      <c r="D13139" s="128"/>
      <c r="E13139" s="128"/>
      <c r="F13139" s="128"/>
      <c r="G13139" s="128"/>
      <c r="H13139" s="128"/>
      <c r="I13139" s="128"/>
    </row>
    <row r="13140" spans="1:9" ht="13.5">
      <c r="A13140" s="128"/>
      <c r="B13140" s="128"/>
      <c r="C13140" s="128"/>
      <c r="D13140" s="128"/>
      <c r="E13140" s="128"/>
      <c r="F13140" s="128"/>
      <c r="G13140" s="128"/>
      <c r="H13140" s="128"/>
      <c r="I13140" s="128"/>
    </row>
    <row r="13141" spans="1:9" ht="13.5">
      <c r="A13141" s="128"/>
      <c r="B13141" s="128"/>
      <c r="C13141" s="128"/>
      <c r="D13141" s="128"/>
      <c r="E13141" s="128"/>
      <c r="F13141" s="128"/>
      <c r="G13141" s="128"/>
      <c r="H13141" s="128"/>
      <c r="I13141" s="128"/>
    </row>
    <row r="13142" spans="1:9" ht="13.5">
      <c r="A13142" s="128"/>
      <c r="B13142" s="128"/>
      <c r="C13142" s="128"/>
      <c r="D13142" s="128"/>
      <c r="E13142" s="128"/>
      <c r="F13142" s="128"/>
      <c r="G13142" s="128"/>
      <c r="H13142" s="128"/>
      <c r="I13142" s="128"/>
    </row>
    <row r="13143" spans="1:9" ht="13.5">
      <c r="A13143" s="128"/>
      <c r="B13143" s="128"/>
      <c r="C13143" s="128"/>
      <c r="D13143" s="128"/>
      <c r="E13143" s="128"/>
      <c r="F13143" s="128"/>
      <c r="G13143" s="128"/>
      <c r="H13143" s="128"/>
      <c r="I13143" s="128"/>
    </row>
    <row r="13144" spans="1:9" ht="13.5">
      <c r="A13144" s="128"/>
      <c r="B13144" s="128"/>
      <c r="C13144" s="128"/>
      <c r="D13144" s="128"/>
      <c r="E13144" s="128"/>
      <c r="F13144" s="128"/>
      <c r="G13144" s="128"/>
      <c r="H13144" s="128"/>
      <c r="I13144" s="128"/>
    </row>
    <row r="13145" spans="1:9" ht="13.5">
      <c r="A13145" s="128"/>
      <c r="B13145" s="128"/>
      <c r="C13145" s="128"/>
      <c r="D13145" s="128"/>
      <c r="E13145" s="128"/>
      <c r="F13145" s="128"/>
      <c r="G13145" s="128"/>
      <c r="H13145" s="128"/>
      <c r="I13145" s="128"/>
    </row>
    <row r="13146" spans="1:9" ht="13.5">
      <c r="A13146" s="128"/>
      <c r="B13146" s="128"/>
      <c r="C13146" s="128"/>
      <c r="D13146" s="128"/>
      <c r="E13146" s="128"/>
      <c r="F13146" s="128"/>
      <c r="G13146" s="128"/>
      <c r="H13146" s="128"/>
      <c r="I13146" s="128"/>
    </row>
    <row r="13147" spans="1:9" ht="13.5">
      <c r="A13147" s="128"/>
      <c r="B13147" s="128"/>
      <c r="C13147" s="128"/>
      <c r="D13147" s="128"/>
      <c r="E13147" s="128"/>
      <c r="F13147" s="128"/>
      <c r="G13147" s="128"/>
      <c r="H13147" s="128"/>
      <c r="I13147" s="128"/>
    </row>
    <row r="13148" spans="1:9" ht="13.5">
      <c r="A13148" s="128"/>
      <c r="B13148" s="128"/>
      <c r="C13148" s="128"/>
      <c r="D13148" s="128"/>
      <c r="E13148" s="128"/>
      <c r="F13148" s="128"/>
      <c r="G13148" s="128"/>
      <c r="H13148" s="128"/>
      <c r="I13148" s="128"/>
    </row>
    <row r="13149" spans="1:9" ht="13.5">
      <c r="A13149" s="128"/>
      <c r="B13149" s="128"/>
      <c r="C13149" s="128"/>
      <c r="D13149" s="128"/>
      <c r="E13149" s="128"/>
      <c r="F13149" s="128"/>
      <c r="G13149" s="128"/>
      <c r="H13149" s="128"/>
      <c r="I13149" s="128"/>
    </row>
    <row r="13150" spans="1:9" ht="13.5">
      <c r="A13150" s="128"/>
      <c r="B13150" s="128"/>
      <c r="C13150" s="128"/>
      <c r="D13150" s="128"/>
      <c r="E13150" s="128"/>
      <c r="F13150" s="128"/>
      <c r="G13150" s="128"/>
      <c r="H13150" s="128"/>
      <c r="I13150" s="128"/>
    </row>
    <row r="13151" spans="1:9" ht="13.5">
      <c r="A13151" s="128"/>
      <c r="B13151" s="128"/>
      <c r="C13151" s="128"/>
      <c r="D13151" s="128"/>
      <c r="E13151" s="128"/>
      <c r="F13151" s="128"/>
      <c r="G13151" s="128"/>
      <c r="H13151" s="128"/>
      <c r="I13151" s="128"/>
    </row>
    <row r="13152" spans="1:9" ht="13.5">
      <c r="A13152" s="128"/>
      <c r="B13152" s="128"/>
      <c r="C13152" s="128"/>
      <c r="D13152" s="128"/>
      <c r="E13152" s="128"/>
      <c r="F13152" s="128"/>
      <c r="G13152" s="128"/>
      <c r="H13152" s="128"/>
      <c r="I13152" s="128"/>
    </row>
    <row r="13153" spans="1:9" ht="13.5">
      <c r="A13153" s="128"/>
      <c r="B13153" s="128"/>
      <c r="C13153" s="128"/>
      <c r="D13153" s="128"/>
      <c r="E13153" s="128"/>
      <c r="F13153" s="128"/>
      <c r="G13153" s="128"/>
      <c r="H13153" s="128"/>
      <c r="I13153" s="128"/>
    </row>
    <row r="13154" spans="1:9" ht="13.5">
      <c r="A13154" s="128"/>
      <c r="B13154" s="128"/>
      <c r="C13154" s="128"/>
      <c r="D13154" s="128"/>
      <c r="E13154" s="128"/>
      <c r="F13154" s="128"/>
      <c r="G13154" s="128"/>
      <c r="H13154" s="128"/>
      <c r="I13154" s="128"/>
    </row>
    <row r="13155" spans="1:9" ht="13.5">
      <c r="A13155" s="128"/>
      <c r="B13155" s="128"/>
      <c r="C13155" s="128"/>
      <c r="D13155" s="128"/>
      <c r="E13155" s="128"/>
      <c r="F13155" s="128"/>
      <c r="G13155" s="128"/>
      <c r="H13155" s="128"/>
      <c r="I13155" s="128"/>
    </row>
    <row r="13156" spans="1:9" ht="13.5">
      <c r="A13156" s="128"/>
      <c r="B13156" s="128"/>
      <c r="C13156" s="128"/>
      <c r="D13156" s="128"/>
      <c r="E13156" s="128"/>
      <c r="F13156" s="128"/>
      <c r="G13156" s="128"/>
      <c r="H13156" s="128"/>
      <c r="I13156" s="128"/>
    </row>
    <row r="13157" spans="1:9" ht="13.5">
      <c r="A13157" s="128"/>
      <c r="B13157" s="128"/>
      <c r="C13157" s="128"/>
      <c r="D13157" s="128"/>
      <c r="E13157" s="128"/>
      <c r="F13157" s="128"/>
      <c r="G13157" s="128"/>
      <c r="H13157" s="128"/>
      <c r="I13157" s="128"/>
    </row>
    <row r="13158" spans="1:9" ht="13.5">
      <c r="A13158" s="128"/>
      <c r="B13158" s="128"/>
      <c r="C13158" s="128"/>
      <c r="D13158" s="128"/>
      <c r="E13158" s="128"/>
      <c r="F13158" s="128"/>
      <c r="G13158" s="128"/>
      <c r="H13158" s="128"/>
      <c r="I13158" s="128"/>
    </row>
    <row r="13159" spans="1:9" ht="13.5">
      <c r="A13159" s="128"/>
      <c r="B13159" s="128"/>
      <c r="C13159" s="128"/>
      <c r="D13159" s="128"/>
      <c r="E13159" s="128"/>
      <c r="F13159" s="128"/>
      <c r="G13159" s="128"/>
      <c r="H13159" s="128"/>
      <c r="I13159" s="128"/>
    </row>
    <row r="13160" spans="1:9" ht="13.5">
      <c r="A13160" s="128"/>
      <c r="B13160" s="128"/>
      <c r="C13160" s="128"/>
      <c r="D13160" s="128"/>
      <c r="E13160" s="128"/>
      <c r="F13160" s="128"/>
      <c r="G13160" s="128"/>
      <c r="H13160" s="128"/>
      <c r="I13160" s="128"/>
    </row>
    <row r="13161" spans="1:9" ht="13.5">
      <c r="A13161" s="128"/>
      <c r="B13161" s="128"/>
      <c r="C13161" s="128"/>
      <c r="D13161" s="128"/>
      <c r="E13161" s="128"/>
      <c r="F13161" s="128"/>
      <c r="G13161" s="128"/>
      <c r="H13161" s="128"/>
      <c r="I13161" s="128"/>
    </row>
    <row r="13162" spans="1:9" ht="13.5">
      <c r="A13162" s="128"/>
      <c r="B13162" s="128"/>
      <c r="C13162" s="128"/>
      <c r="D13162" s="128"/>
      <c r="E13162" s="128"/>
      <c r="F13162" s="128"/>
      <c r="G13162" s="128"/>
      <c r="H13162" s="128"/>
      <c r="I13162" s="128"/>
    </row>
    <row r="13163" spans="1:9" ht="13.5">
      <c r="A13163" s="128"/>
      <c r="B13163" s="128"/>
      <c r="C13163" s="128"/>
      <c r="D13163" s="128"/>
      <c r="E13163" s="128"/>
      <c r="F13163" s="128"/>
      <c r="G13163" s="128"/>
      <c r="H13163" s="128"/>
      <c r="I13163" s="128"/>
    </row>
    <row r="13164" spans="1:9" ht="13.5">
      <c r="A13164" s="128"/>
      <c r="B13164" s="128"/>
      <c r="C13164" s="128"/>
      <c r="D13164" s="128"/>
      <c r="E13164" s="128"/>
      <c r="F13164" s="128"/>
      <c r="G13164" s="128"/>
      <c r="H13164" s="128"/>
      <c r="I13164" s="128"/>
    </row>
    <row r="13165" spans="1:9" ht="13.5">
      <c r="A13165" s="128"/>
      <c r="B13165" s="128"/>
      <c r="C13165" s="128"/>
      <c r="D13165" s="128"/>
      <c r="E13165" s="128"/>
      <c r="F13165" s="128"/>
      <c r="G13165" s="128"/>
      <c r="H13165" s="128"/>
      <c r="I13165" s="128"/>
    </row>
    <row r="13166" spans="1:9" ht="13.5">
      <c r="A13166" s="128"/>
      <c r="B13166" s="128"/>
      <c r="C13166" s="128"/>
      <c r="D13166" s="128"/>
      <c r="E13166" s="128"/>
      <c r="F13166" s="128"/>
      <c r="G13166" s="128"/>
      <c r="H13166" s="128"/>
      <c r="I13166" s="128"/>
    </row>
    <row r="13167" spans="1:9" ht="13.5">
      <c r="A13167" s="128"/>
      <c r="B13167" s="128"/>
      <c r="C13167" s="128"/>
      <c r="D13167" s="128"/>
      <c r="E13167" s="128"/>
      <c r="F13167" s="128"/>
      <c r="G13167" s="128"/>
      <c r="H13167" s="128"/>
      <c r="I13167" s="128"/>
    </row>
    <row r="13168" spans="1:9" ht="13.5">
      <c r="A13168" s="128"/>
      <c r="B13168" s="128"/>
      <c r="C13168" s="128"/>
      <c r="D13168" s="128"/>
      <c r="E13168" s="128"/>
      <c r="F13168" s="128"/>
      <c r="G13168" s="128"/>
      <c r="H13168" s="128"/>
      <c r="I13168" s="128"/>
    </row>
    <row r="13169" spans="1:9" ht="13.5">
      <c r="A13169" s="128"/>
      <c r="B13169" s="128"/>
      <c r="C13169" s="128"/>
      <c r="D13169" s="128"/>
      <c r="E13169" s="128"/>
      <c r="F13169" s="128"/>
      <c r="G13169" s="128"/>
      <c r="H13169" s="128"/>
      <c r="I13169" s="128"/>
    </row>
    <row r="13170" spans="1:9" ht="13.5">
      <c r="A13170" s="128"/>
      <c r="B13170" s="128"/>
      <c r="C13170" s="128"/>
      <c r="D13170" s="128"/>
      <c r="E13170" s="128"/>
      <c r="F13170" s="128"/>
      <c r="G13170" s="128"/>
      <c r="H13170" s="128"/>
      <c r="I13170" s="128"/>
    </row>
    <row r="13171" spans="1:9" ht="13.5">
      <c r="A13171" s="128"/>
      <c r="B13171" s="128"/>
      <c r="C13171" s="128"/>
      <c r="D13171" s="128"/>
      <c r="E13171" s="128"/>
      <c r="F13171" s="128"/>
      <c r="G13171" s="128"/>
      <c r="H13171" s="128"/>
      <c r="I13171" s="128"/>
    </row>
    <row r="13172" spans="1:9" ht="13.5">
      <c r="A13172" s="128"/>
      <c r="B13172" s="128"/>
      <c r="C13172" s="128"/>
      <c r="D13172" s="128"/>
      <c r="E13172" s="128"/>
      <c r="F13172" s="128"/>
      <c r="G13172" s="128"/>
      <c r="H13172" s="128"/>
      <c r="I13172" s="128"/>
    </row>
    <row r="13173" spans="1:9" ht="13.5">
      <c r="A13173" s="128"/>
      <c r="B13173" s="128"/>
      <c r="C13173" s="128"/>
      <c r="D13173" s="128"/>
      <c r="E13173" s="128"/>
      <c r="F13173" s="128"/>
      <c r="G13173" s="128"/>
      <c r="H13173" s="128"/>
      <c r="I13173" s="128"/>
    </row>
    <row r="13174" spans="1:9" ht="13.5">
      <c r="A13174" s="128"/>
      <c r="B13174" s="128"/>
      <c r="C13174" s="128"/>
      <c r="D13174" s="128"/>
      <c r="E13174" s="128"/>
      <c r="F13174" s="128"/>
      <c r="G13174" s="128"/>
      <c r="H13174" s="128"/>
      <c r="I13174" s="128"/>
    </row>
    <row r="13175" spans="1:9" ht="13.5">
      <c r="A13175" s="128"/>
      <c r="B13175" s="128"/>
      <c r="C13175" s="128"/>
      <c r="D13175" s="128"/>
      <c r="E13175" s="128"/>
      <c r="F13175" s="128"/>
      <c r="G13175" s="128"/>
      <c r="H13175" s="128"/>
      <c r="I13175" s="128"/>
    </row>
    <row r="13176" spans="1:9" ht="13.5">
      <c r="A13176" s="128"/>
      <c r="B13176" s="128"/>
      <c r="C13176" s="128"/>
      <c r="D13176" s="128"/>
      <c r="E13176" s="128"/>
      <c r="F13176" s="128"/>
      <c r="G13176" s="128"/>
      <c r="H13176" s="128"/>
      <c r="I13176" s="128"/>
    </row>
    <row r="13177" spans="1:9" ht="13.5">
      <c r="A13177" s="128"/>
      <c r="B13177" s="128"/>
      <c r="C13177" s="128"/>
      <c r="D13177" s="128"/>
      <c r="E13177" s="128"/>
      <c r="F13177" s="128"/>
      <c r="G13177" s="128"/>
      <c r="H13177" s="128"/>
      <c r="I13177" s="128"/>
    </row>
    <row r="13178" spans="1:9" ht="13.5">
      <c r="A13178" s="128"/>
      <c r="B13178" s="128"/>
      <c r="C13178" s="128"/>
      <c r="D13178" s="128"/>
      <c r="E13178" s="128"/>
      <c r="F13178" s="128"/>
      <c r="G13178" s="128"/>
      <c r="H13178" s="128"/>
      <c r="I13178" s="128"/>
    </row>
    <row r="13179" spans="1:9" ht="13.5">
      <c r="A13179" s="128"/>
      <c r="B13179" s="128"/>
      <c r="C13179" s="128"/>
      <c r="D13179" s="128"/>
      <c r="E13179" s="128"/>
      <c r="F13179" s="128"/>
      <c r="G13179" s="128"/>
      <c r="H13179" s="128"/>
      <c r="I13179" s="128"/>
    </row>
    <row r="13180" spans="1:9" ht="13.5">
      <c r="A13180" s="128"/>
      <c r="B13180" s="128"/>
      <c r="C13180" s="128"/>
      <c r="D13180" s="128"/>
      <c r="E13180" s="128"/>
      <c r="F13180" s="128"/>
      <c r="G13180" s="128"/>
      <c r="H13180" s="128"/>
      <c r="I13180" s="128"/>
    </row>
    <row r="13181" spans="1:9" ht="13.5">
      <c r="A13181" s="128"/>
      <c r="B13181" s="128"/>
      <c r="C13181" s="128"/>
      <c r="D13181" s="128"/>
      <c r="E13181" s="128"/>
      <c r="F13181" s="128"/>
      <c r="G13181" s="128"/>
      <c r="H13181" s="128"/>
      <c r="I13181" s="128"/>
    </row>
    <row r="13182" spans="1:9" ht="13.5">
      <c r="A13182" s="128"/>
      <c r="B13182" s="128"/>
      <c r="C13182" s="128"/>
      <c r="D13182" s="128"/>
      <c r="E13182" s="128"/>
      <c r="F13182" s="128"/>
      <c r="G13182" s="128"/>
      <c r="H13182" s="128"/>
      <c r="I13182" s="128"/>
    </row>
    <row r="13183" spans="1:9" ht="13.5">
      <c r="A13183" s="128"/>
      <c r="B13183" s="128"/>
      <c r="C13183" s="128"/>
      <c r="D13183" s="128"/>
      <c r="E13183" s="128"/>
      <c r="F13183" s="128"/>
      <c r="G13183" s="128"/>
      <c r="H13183" s="128"/>
      <c r="I13183" s="128"/>
    </row>
    <row r="13184" spans="1:9" ht="13.5">
      <c r="A13184" s="128"/>
      <c r="B13184" s="128"/>
      <c r="C13184" s="128"/>
      <c r="D13184" s="128"/>
      <c r="E13184" s="128"/>
      <c r="F13184" s="128"/>
      <c r="G13184" s="128"/>
      <c r="H13184" s="128"/>
      <c r="I13184" s="128"/>
    </row>
    <row r="13185" spans="1:9" ht="13.5">
      <c r="A13185" s="128"/>
      <c r="B13185" s="128"/>
      <c r="C13185" s="128"/>
      <c r="D13185" s="128"/>
      <c r="E13185" s="128"/>
      <c r="F13185" s="128"/>
      <c r="G13185" s="128"/>
      <c r="H13185" s="128"/>
      <c r="I13185" s="128"/>
    </row>
    <row r="13186" spans="1:9" ht="13.5">
      <c r="A13186" s="128"/>
      <c r="B13186" s="128"/>
      <c r="C13186" s="128"/>
      <c r="D13186" s="128"/>
      <c r="E13186" s="128"/>
      <c r="F13186" s="128"/>
      <c r="G13186" s="128"/>
      <c r="H13186" s="128"/>
      <c r="I13186" s="128"/>
    </row>
    <row r="13187" spans="1:9" ht="13.5">
      <c r="A13187" s="128"/>
      <c r="B13187" s="128"/>
      <c r="C13187" s="128"/>
      <c r="D13187" s="128"/>
      <c r="E13187" s="128"/>
      <c r="F13187" s="128"/>
      <c r="G13187" s="128"/>
      <c r="H13187" s="128"/>
      <c r="I13187" s="128"/>
    </row>
    <row r="13188" spans="1:9" ht="13.5">
      <c r="A13188" s="128"/>
      <c r="B13188" s="128"/>
      <c r="C13188" s="128"/>
      <c r="D13188" s="128"/>
      <c r="E13188" s="128"/>
      <c r="F13188" s="128"/>
      <c r="G13188" s="128"/>
      <c r="H13188" s="128"/>
      <c r="I13188" s="128"/>
    </row>
    <row r="13189" spans="1:9" ht="13.5">
      <c r="A13189" s="128"/>
      <c r="B13189" s="128"/>
      <c r="C13189" s="128"/>
      <c r="D13189" s="128"/>
      <c r="E13189" s="128"/>
      <c r="F13189" s="128"/>
      <c r="G13189" s="128"/>
      <c r="H13189" s="128"/>
      <c r="I13189" s="128"/>
    </row>
    <row r="13190" spans="1:9" ht="13.5">
      <c r="A13190" s="128"/>
      <c r="B13190" s="128"/>
      <c r="C13190" s="128"/>
      <c r="D13190" s="128"/>
      <c r="E13190" s="128"/>
      <c r="F13190" s="128"/>
      <c r="G13190" s="128"/>
      <c r="H13190" s="128"/>
      <c r="I13190" s="128"/>
    </row>
    <row r="13191" spans="1:9" ht="13.5">
      <c r="A13191" s="128"/>
      <c r="B13191" s="128"/>
      <c r="C13191" s="128"/>
      <c r="D13191" s="128"/>
      <c r="E13191" s="128"/>
      <c r="F13191" s="128"/>
      <c r="G13191" s="128"/>
      <c r="H13191" s="128"/>
      <c r="I13191" s="128"/>
    </row>
    <row r="13192" spans="1:9" ht="13.5">
      <c r="A13192" s="128"/>
      <c r="B13192" s="128"/>
      <c r="C13192" s="128"/>
      <c r="D13192" s="128"/>
      <c r="E13192" s="128"/>
      <c r="F13192" s="128"/>
      <c r="G13192" s="128"/>
      <c r="H13192" s="128"/>
      <c r="I13192" s="128"/>
    </row>
    <row r="13193" spans="1:9" ht="13.5">
      <c r="A13193" s="128"/>
      <c r="B13193" s="128"/>
      <c r="C13193" s="128"/>
      <c r="D13193" s="128"/>
      <c r="E13193" s="128"/>
      <c r="F13193" s="128"/>
      <c r="G13193" s="128"/>
      <c r="H13193" s="128"/>
      <c r="I13193" s="128"/>
    </row>
    <row r="13194" spans="1:9" ht="13.5">
      <c r="A13194" s="128"/>
      <c r="B13194" s="128"/>
      <c r="C13194" s="128"/>
      <c r="D13194" s="128"/>
      <c r="E13194" s="128"/>
      <c r="F13194" s="128"/>
      <c r="G13194" s="128"/>
      <c r="H13194" s="128"/>
      <c r="I13194" s="128"/>
    </row>
    <row r="13195" spans="1:9" ht="13.5">
      <c r="A13195" s="128"/>
      <c r="B13195" s="128"/>
      <c r="C13195" s="128"/>
      <c r="D13195" s="128"/>
      <c r="E13195" s="128"/>
      <c r="F13195" s="128"/>
      <c r="G13195" s="128"/>
      <c r="H13195" s="128"/>
      <c r="I13195" s="128"/>
    </row>
    <row r="13196" spans="1:9" ht="13.5">
      <c r="A13196" s="128"/>
      <c r="B13196" s="128"/>
      <c r="C13196" s="128"/>
      <c r="D13196" s="128"/>
      <c r="E13196" s="128"/>
      <c r="F13196" s="128"/>
      <c r="G13196" s="128"/>
      <c r="H13196" s="128"/>
      <c r="I13196" s="128"/>
    </row>
    <row r="13197" spans="1:9" ht="13.5">
      <c r="A13197" s="128"/>
      <c r="B13197" s="128"/>
      <c r="C13197" s="128"/>
      <c r="D13197" s="128"/>
      <c r="E13197" s="128"/>
      <c r="F13197" s="128"/>
      <c r="G13197" s="128"/>
      <c r="H13197" s="128"/>
      <c r="I13197" s="128"/>
    </row>
    <row r="13198" spans="1:9" ht="13.5">
      <c r="A13198" s="128"/>
      <c r="B13198" s="128"/>
      <c r="C13198" s="128"/>
      <c r="D13198" s="128"/>
      <c r="E13198" s="128"/>
      <c r="F13198" s="128"/>
      <c r="G13198" s="128"/>
      <c r="H13198" s="128"/>
      <c r="I13198" s="128"/>
    </row>
    <row r="13199" spans="1:9" ht="13.5">
      <c r="A13199" s="128"/>
      <c r="B13199" s="128"/>
      <c r="C13199" s="128"/>
      <c r="D13199" s="128"/>
      <c r="E13199" s="128"/>
      <c r="F13199" s="128"/>
      <c r="G13199" s="128"/>
      <c r="H13199" s="128"/>
      <c r="I13199" s="128"/>
    </row>
    <row r="13200" spans="1:9" ht="13.5">
      <c r="A13200" s="128"/>
      <c r="B13200" s="128"/>
      <c r="C13200" s="128"/>
      <c r="D13200" s="128"/>
      <c r="E13200" s="128"/>
      <c r="F13200" s="128"/>
      <c r="G13200" s="128"/>
      <c r="H13200" s="128"/>
      <c r="I13200" s="128"/>
    </row>
    <row r="13201" spans="1:9" ht="13.5">
      <c r="A13201" s="128"/>
      <c r="B13201" s="128"/>
      <c r="C13201" s="128"/>
      <c r="D13201" s="128"/>
      <c r="E13201" s="128"/>
      <c r="F13201" s="128"/>
      <c r="G13201" s="128"/>
      <c r="H13201" s="128"/>
      <c r="I13201" s="128"/>
    </row>
    <row r="13202" spans="1:9" ht="13.5">
      <c r="A13202" s="128"/>
      <c r="B13202" s="128"/>
      <c r="C13202" s="128"/>
      <c r="D13202" s="128"/>
      <c r="E13202" s="128"/>
      <c r="F13202" s="128"/>
      <c r="G13202" s="128"/>
      <c r="H13202" s="128"/>
      <c r="I13202" s="128"/>
    </row>
    <row r="13203" spans="1:9" ht="13.5">
      <c r="A13203" s="128"/>
      <c r="B13203" s="128"/>
      <c r="C13203" s="128"/>
      <c r="D13203" s="128"/>
      <c r="E13203" s="128"/>
      <c r="F13203" s="128"/>
      <c r="G13203" s="128"/>
      <c r="H13203" s="128"/>
      <c r="I13203" s="128"/>
    </row>
    <row r="13204" spans="1:9" ht="13.5">
      <c r="A13204" s="128"/>
      <c r="B13204" s="128"/>
      <c r="C13204" s="128"/>
      <c r="D13204" s="128"/>
      <c r="E13204" s="128"/>
      <c r="F13204" s="128"/>
      <c r="G13204" s="128"/>
      <c r="H13204" s="128"/>
      <c r="I13204" s="128"/>
    </row>
    <row r="13205" spans="1:9" ht="13.5">
      <c r="A13205" s="128"/>
      <c r="B13205" s="128"/>
      <c r="C13205" s="128"/>
      <c r="D13205" s="128"/>
      <c r="E13205" s="128"/>
      <c r="F13205" s="128"/>
      <c r="G13205" s="128"/>
      <c r="H13205" s="128"/>
      <c r="I13205" s="128"/>
    </row>
    <row r="13206" spans="1:9" ht="13.5">
      <c r="A13206" s="128"/>
      <c r="B13206" s="128"/>
      <c r="C13206" s="128"/>
      <c r="D13206" s="128"/>
      <c r="E13206" s="128"/>
      <c r="F13206" s="128"/>
      <c r="G13206" s="128"/>
      <c r="H13206" s="128"/>
      <c r="I13206" s="128"/>
    </row>
    <row r="13207" spans="1:9" ht="13.5">
      <c r="A13207" s="128"/>
      <c r="B13207" s="128"/>
      <c r="C13207" s="128"/>
      <c r="D13207" s="128"/>
      <c r="E13207" s="128"/>
      <c r="F13207" s="128"/>
      <c r="G13207" s="128"/>
      <c r="H13207" s="128"/>
      <c r="I13207" s="128"/>
    </row>
    <row r="13208" spans="1:9" ht="13.5">
      <c r="A13208" s="128"/>
      <c r="B13208" s="128"/>
      <c r="C13208" s="128"/>
      <c r="D13208" s="128"/>
      <c r="E13208" s="128"/>
      <c r="F13208" s="128"/>
      <c r="G13208" s="128"/>
      <c r="H13208" s="128"/>
      <c r="I13208" s="128"/>
    </row>
    <row r="13209" spans="1:9" ht="13.5">
      <c r="A13209" s="128"/>
      <c r="B13209" s="128"/>
      <c r="C13209" s="128"/>
      <c r="D13209" s="128"/>
      <c r="E13209" s="128"/>
      <c r="F13209" s="128"/>
      <c r="G13209" s="128"/>
      <c r="H13209" s="128"/>
      <c r="I13209" s="128"/>
    </row>
    <row r="13210" spans="1:9" ht="13.5">
      <c r="A13210" s="128"/>
      <c r="B13210" s="128"/>
      <c r="C13210" s="128"/>
      <c r="D13210" s="128"/>
      <c r="E13210" s="128"/>
      <c r="F13210" s="128"/>
      <c r="G13210" s="128"/>
      <c r="H13210" s="128"/>
      <c r="I13210" s="128"/>
    </row>
    <row r="13211" spans="1:9" ht="13.5">
      <c r="A13211" s="128"/>
      <c r="B13211" s="128"/>
      <c r="C13211" s="128"/>
      <c r="D13211" s="128"/>
      <c r="E13211" s="128"/>
      <c r="F13211" s="128"/>
      <c r="G13211" s="128"/>
      <c r="H13211" s="128"/>
      <c r="I13211" s="128"/>
    </row>
    <row r="13212" spans="1:9" ht="13.5">
      <c r="A13212" s="128"/>
      <c r="B13212" s="128"/>
      <c r="C13212" s="128"/>
      <c r="D13212" s="128"/>
      <c r="E13212" s="128"/>
      <c r="F13212" s="128"/>
      <c r="G13212" s="128"/>
      <c r="H13212" s="128"/>
      <c r="I13212" s="128"/>
    </row>
    <row r="13213" spans="1:9" ht="13.5">
      <c r="A13213" s="128"/>
      <c r="B13213" s="128"/>
      <c r="C13213" s="128"/>
      <c r="D13213" s="128"/>
      <c r="E13213" s="128"/>
      <c r="F13213" s="128"/>
      <c r="G13213" s="128"/>
      <c r="H13213" s="128"/>
      <c r="I13213" s="128"/>
    </row>
    <row r="13214" spans="1:9" ht="13.5">
      <c r="A13214" s="128"/>
      <c r="B13214" s="128"/>
      <c r="C13214" s="128"/>
      <c r="D13214" s="128"/>
      <c r="E13214" s="128"/>
      <c r="F13214" s="128"/>
      <c r="G13214" s="128"/>
      <c r="H13214" s="128"/>
      <c r="I13214" s="128"/>
    </row>
    <row r="13215" spans="1:9" ht="13.5">
      <c r="A13215" s="128"/>
      <c r="B13215" s="128"/>
      <c r="C13215" s="128"/>
      <c r="D13215" s="128"/>
      <c r="E13215" s="128"/>
      <c r="F13215" s="128"/>
      <c r="G13215" s="128"/>
      <c r="H13215" s="128"/>
      <c r="I13215" s="128"/>
    </row>
    <row r="13216" spans="1:9" ht="13.5">
      <c r="A13216" s="128"/>
      <c r="B13216" s="128"/>
      <c r="C13216" s="128"/>
      <c r="D13216" s="128"/>
      <c r="E13216" s="128"/>
      <c r="F13216" s="128"/>
      <c r="G13216" s="128"/>
      <c r="H13216" s="128"/>
      <c r="I13216" s="128"/>
    </row>
    <row r="13217" spans="1:9" ht="13.5">
      <c r="A13217" s="128"/>
      <c r="B13217" s="128"/>
      <c r="C13217" s="128"/>
      <c r="D13217" s="128"/>
      <c r="E13217" s="128"/>
      <c r="F13217" s="128"/>
      <c r="G13217" s="128"/>
      <c r="H13217" s="128"/>
      <c r="I13217" s="128"/>
    </row>
    <row r="13218" spans="1:9" ht="13.5">
      <c r="A13218" s="128"/>
      <c r="B13218" s="128"/>
      <c r="C13218" s="128"/>
      <c r="D13218" s="128"/>
      <c r="E13218" s="128"/>
      <c r="F13218" s="128"/>
      <c r="G13218" s="128"/>
      <c r="H13218" s="128"/>
      <c r="I13218" s="128"/>
    </row>
    <row r="13219" spans="1:9" ht="13.5">
      <c r="A13219" s="128"/>
      <c r="B13219" s="128"/>
      <c r="C13219" s="128"/>
      <c r="D13219" s="128"/>
      <c r="E13219" s="128"/>
      <c r="F13219" s="128"/>
      <c r="G13219" s="128"/>
      <c r="H13219" s="128"/>
      <c r="I13219" s="128"/>
    </row>
    <row r="13220" spans="1:9" ht="13.5">
      <c r="A13220" s="128"/>
      <c r="B13220" s="128"/>
      <c r="C13220" s="128"/>
      <c r="D13220" s="128"/>
      <c r="E13220" s="128"/>
      <c r="F13220" s="128"/>
      <c r="G13220" s="128"/>
      <c r="H13220" s="128"/>
      <c r="I13220" s="128"/>
    </row>
    <row r="13221" spans="1:9" ht="13.5">
      <c r="A13221" s="128"/>
      <c r="B13221" s="128"/>
      <c r="C13221" s="128"/>
      <c r="D13221" s="128"/>
      <c r="E13221" s="128"/>
      <c r="F13221" s="128"/>
      <c r="G13221" s="128"/>
      <c r="H13221" s="128"/>
      <c r="I13221" s="128"/>
    </row>
    <row r="13222" spans="1:9" ht="13.5">
      <c r="A13222" s="128"/>
      <c r="B13222" s="128"/>
      <c r="C13222" s="128"/>
      <c r="D13222" s="128"/>
      <c r="E13222" s="128"/>
      <c r="F13222" s="128"/>
      <c r="G13222" s="128"/>
      <c r="H13222" s="128"/>
      <c r="I13222" s="128"/>
    </row>
    <row r="13223" spans="1:9" ht="13.5">
      <c r="A13223" s="128"/>
      <c r="B13223" s="128"/>
      <c r="C13223" s="128"/>
      <c r="D13223" s="128"/>
      <c r="E13223" s="128"/>
      <c r="F13223" s="128"/>
      <c r="G13223" s="128"/>
      <c r="H13223" s="128"/>
      <c r="I13223" s="128"/>
    </row>
    <row r="13224" spans="1:9" ht="13.5">
      <c r="A13224" s="128"/>
      <c r="B13224" s="128"/>
      <c r="C13224" s="128"/>
      <c r="D13224" s="128"/>
      <c r="E13224" s="128"/>
      <c r="F13224" s="128"/>
      <c r="G13224" s="128"/>
      <c r="H13224" s="128"/>
      <c r="I13224" s="128"/>
    </row>
    <row r="13225" spans="1:9" ht="13.5">
      <c r="A13225" s="128"/>
      <c r="B13225" s="128"/>
      <c r="C13225" s="128"/>
      <c r="D13225" s="128"/>
      <c r="E13225" s="128"/>
      <c r="F13225" s="128"/>
      <c r="G13225" s="128"/>
      <c r="H13225" s="128"/>
      <c r="I13225" s="128"/>
    </row>
    <row r="13226" spans="1:9" ht="13.5">
      <c r="A13226" s="128"/>
      <c r="B13226" s="128"/>
      <c r="C13226" s="128"/>
      <c r="D13226" s="128"/>
      <c r="E13226" s="128"/>
      <c r="F13226" s="128"/>
      <c r="G13226" s="128"/>
      <c r="H13226" s="128"/>
      <c r="I13226" s="128"/>
    </row>
    <row r="13227" spans="1:9" ht="13.5">
      <c r="A13227" s="128"/>
      <c r="B13227" s="128"/>
      <c r="C13227" s="128"/>
      <c r="D13227" s="128"/>
      <c r="E13227" s="128"/>
      <c r="F13227" s="128"/>
      <c r="G13227" s="128"/>
      <c r="H13227" s="128"/>
      <c r="I13227" s="128"/>
    </row>
    <row r="13228" spans="1:9" ht="13.5">
      <c r="A13228" s="128"/>
      <c r="B13228" s="128"/>
      <c r="C13228" s="128"/>
      <c r="D13228" s="128"/>
      <c r="E13228" s="128"/>
      <c r="F13228" s="128"/>
      <c r="G13228" s="128"/>
      <c r="H13228" s="128"/>
      <c r="I13228" s="128"/>
    </row>
    <row r="13229" spans="1:9" ht="13.5">
      <c r="A13229" s="128"/>
      <c r="B13229" s="128"/>
      <c r="C13229" s="128"/>
      <c r="D13229" s="128"/>
      <c r="E13229" s="128"/>
      <c r="F13229" s="128"/>
      <c r="G13229" s="128"/>
      <c r="H13229" s="128"/>
      <c r="I13229" s="128"/>
    </row>
    <row r="13230" spans="1:9" ht="13.5">
      <c r="A13230" s="128"/>
      <c r="B13230" s="128"/>
      <c r="C13230" s="128"/>
      <c r="D13230" s="128"/>
      <c r="E13230" s="128"/>
      <c r="F13230" s="128"/>
      <c r="G13230" s="128"/>
      <c r="H13230" s="128"/>
      <c r="I13230" s="128"/>
    </row>
    <row r="13231" spans="1:9" ht="13.5">
      <c r="A13231" s="128"/>
      <c r="B13231" s="128"/>
      <c r="C13231" s="128"/>
      <c r="D13231" s="128"/>
      <c r="E13231" s="128"/>
      <c r="F13231" s="128"/>
      <c r="G13231" s="128"/>
      <c r="H13231" s="128"/>
      <c r="I13231" s="128"/>
    </row>
    <row r="13232" spans="1:9" ht="13.5">
      <c r="A13232" s="128"/>
      <c r="B13232" s="128"/>
      <c r="C13232" s="128"/>
      <c r="D13232" s="128"/>
      <c r="E13232" s="128"/>
      <c r="F13232" s="128"/>
      <c r="G13232" s="128"/>
      <c r="H13232" s="128"/>
      <c r="I13232" s="128"/>
    </row>
    <row r="13233" spans="1:9" ht="13.5">
      <c r="A13233" s="128"/>
      <c r="B13233" s="128"/>
      <c r="C13233" s="128"/>
      <c r="D13233" s="128"/>
      <c r="E13233" s="128"/>
      <c r="F13233" s="128"/>
      <c r="G13233" s="128"/>
      <c r="H13233" s="128"/>
      <c r="I13233" s="128"/>
    </row>
    <row r="13234" spans="1:9" ht="13.5">
      <c r="A13234" s="128"/>
      <c r="B13234" s="128"/>
      <c r="C13234" s="128"/>
      <c r="D13234" s="128"/>
      <c r="E13234" s="128"/>
      <c r="F13234" s="128"/>
      <c r="G13234" s="128"/>
      <c r="H13234" s="128"/>
      <c r="I13234" s="128"/>
    </row>
    <row r="13235" spans="1:9" ht="13.5">
      <c r="A13235" s="128"/>
      <c r="B13235" s="128"/>
      <c r="C13235" s="128"/>
      <c r="D13235" s="128"/>
      <c r="E13235" s="128"/>
      <c r="F13235" s="128"/>
      <c r="G13235" s="128"/>
      <c r="H13235" s="128"/>
      <c r="I13235" s="128"/>
    </row>
    <row r="13236" spans="1:9" ht="13.5">
      <c r="A13236" s="128"/>
      <c r="B13236" s="128"/>
      <c r="C13236" s="128"/>
      <c r="D13236" s="128"/>
      <c r="E13236" s="128"/>
      <c r="F13236" s="128"/>
      <c r="G13236" s="128"/>
      <c r="H13236" s="128"/>
      <c r="I13236" s="128"/>
    </row>
    <row r="13237" spans="1:9" ht="13.5">
      <c r="A13237" s="128"/>
      <c r="B13237" s="128"/>
      <c r="C13237" s="128"/>
      <c r="D13237" s="128"/>
      <c r="E13237" s="128"/>
      <c r="F13237" s="128"/>
      <c r="G13237" s="128"/>
      <c r="H13237" s="128"/>
      <c r="I13237" s="128"/>
    </row>
    <row r="13238" spans="1:9" ht="13.5">
      <c r="A13238" s="128"/>
      <c r="B13238" s="128"/>
      <c r="C13238" s="128"/>
      <c r="D13238" s="128"/>
      <c r="E13238" s="128"/>
      <c r="F13238" s="128"/>
      <c r="G13238" s="128"/>
      <c r="H13238" s="128"/>
      <c r="I13238" s="128"/>
    </row>
    <row r="13239" spans="1:9" ht="13.5">
      <c r="A13239" s="128"/>
      <c r="B13239" s="128"/>
      <c r="C13239" s="128"/>
      <c r="D13239" s="128"/>
      <c r="E13239" s="128"/>
      <c r="F13239" s="128"/>
      <c r="G13239" s="128"/>
      <c r="H13239" s="128"/>
      <c r="I13239" s="128"/>
    </row>
    <row r="13240" spans="1:9" ht="13.5">
      <c r="A13240" s="128"/>
      <c r="B13240" s="128"/>
      <c r="C13240" s="128"/>
      <c r="D13240" s="128"/>
      <c r="E13240" s="128"/>
      <c r="F13240" s="128"/>
      <c r="G13240" s="128"/>
      <c r="H13240" s="128"/>
      <c r="I13240" s="128"/>
    </row>
    <row r="13241" spans="1:9" ht="13.5">
      <c r="A13241" s="128"/>
      <c r="B13241" s="128"/>
      <c r="C13241" s="128"/>
      <c r="D13241" s="128"/>
      <c r="E13241" s="128"/>
      <c r="F13241" s="128"/>
      <c r="G13241" s="128"/>
      <c r="H13241" s="128"/>
      <c r="I13241" s="128"/>
    </row>
    <row r="13242" spans="1:9" ht="13.5">
      <c r="A13242" s="128"/>
      <c r="B13242" s="128"/>
      <c r="C13242" s="128"/>
      <c r="D13242" s="128"/>
      <c r="E13242" s="128"/>
      <c r="F13242" s="128"/>
      <c r="G13242" s="128"/>
      <c r="H13242" s="128"/>
      <c r="I13242" s="128"/>
    </row>
    <row r="13243" spans="1:9" ht="13.5">
      <c r="A13243" s="128"/>
      <c r="B13243" s="128"/>
      <c r="C13243" s="128"/>
      <c r="D13243" s="128"/>
      <c r="E13243" s="128"/>
      <c r="F13243" s="128"/>
      <c r="G13243" s="128"/>
      <c r="H13243" s="128"/>
      <c r="I13243" s="128"/>
    </row>
    <row r="13244" spans="1:9" ht="13.5">
      <c r="A13244" s="128"/>
      <c r="B13244" s="128"/>
      <c r="C13244" s="128"/>
      <c r="D13244" s="128"/>
      <c r="E13244" s="128"/>
      <c r="F13244" s="128"/>
      <c r="G13244" s="128"/>
      <c r="H13244" s="128"/>
      <c r="I13244" s="128"/>
    </row>
    <row r="13245" spans="1:9" ht="13.5">
      <c r="A13245" s="128"/>
      <c r="B13245" s="128"/>
      <c r="C13245" s="128"/>
      <c r="D13245" s="128"/>
      <c r="E13245" s="128"/>
      <c r="F13245" s="128"/>
      <c r="G13245" s="128"/>
      <c r="H13245" s="128"/>
      <c r="I13245" s="128"/>
    </row>
    <row r="13246" spans="1:9" ht="13.5">
      <c r="A13246" s="128"/>
      <c r="B13246" s="128"/>
      <c r="C13246" s="128"/>
      <c r="D13246" s="128"/>
      <c r="E13246" s="128"/>
      <c r="F13246" s="128"/>
      <c r="G13246" s="128"/>
      <c r="H13246" s="128"/>
      <c r="I13246" s="128"/>
    </row>
    <row r="13247" spans="1:9" ht="13.5">
      <c r="A13247" s="128"/>
      <c r="B13247" s="128"/>
      <c r="C13247" s="128"/>
      <c r="D13247" s="128"/>
      <c r="E13247" s="128"/>
      <c r="F13247" s="128"/>
      <c r="G13247" s="128"/>
      <c r="H13247" s="128"/>
      <c r="I13247" s="128"/>
    </row>
    <row r="13248" spans="1:9" ht="13.5">
      <c r="A13248" s="128"/>
      <c r="B13248" s="128"/>
      <c r="C13248" s="128"/>
      <c r="D13248" s="128"/>
      <c r="E13248" s="128"/>
      <c r="F13248" s="128"/>
      <c r="G13248" s="128"/>
      <c r="H13248" s="128"/>
      <c r="I13248" s="128"/>
    </row>
    <row r="13249" spans="1:9" ht="13.5">
      <c r="A13249" s="128"/>
      <c r="B13249" s="128"/>
      <c r="C13249" s="128"/>
      <c r="D13249" s="128"/>
      <c r="E13249" s="128"/>
      <c r="F13249" s="128"/>
      <c r="G13249" s="128"/>
      <c r="H13249" s="128"/>
      <c r="I13249" s="128"/>
    </row>
    <row r="13250" spans="1:9" ht="13.5">
      <c r="A13250" s="128"/>
      <c r="B13250" s="128"/>
      <c r="C13250" s="128"/>
      <c r="D13250" s="128"/>
      <c r="E13250" s="128"/>
      <c r="F13250" s="128"/>
      <c r="G13250" s="128"/>
      <c r="H13250" s="128"/>
      <c r="I13250" s="128"/>
    </row>
    <row r="13251" spans="1:9" ht="13.5">
      <c r="A13251" s="128"/>
      <c r="B13251" s="128"/>
      <c r="C13251" s="128"/>
      <c r="D13251" s="128"/>
      <c r="E13251" s="128"/>
      <c r="F13251" s="128"/>
      <c r="G13251" s="128"/>
      <c r="H13251" s="128"/>
      <c r="I13251" s="128"/>
    </row>
    <row r="13252" spans="1:9" ht="13.5">
      <c r="A13252" s="128"/>
      <c r="B13252" s="128"/>
      <c r="C13252" s="128"/>
      <c r="D13252" s="128"/>
      <c r="E13252" s="128"/>
      <c r="F13252" s="128"/>
      <c r="G13252" s="128"/>
      <c r="H13252" s="128"/>
      <c r="I13252" s="128"/>
    </row>
    <row r="13253" spans="1:9" ht="13.5">
      <c r="A13253" s="128"/>
      <c r="B13253" s="128"/>
      <c r="C13253" s="128"/>
      <c r="D13253" s="128"/>
      <c r="E13253" s="128"/>
      <c r="F13253" s="128"/>
      <c r="G13253" s="128"/>
      <c r="H13253" s="128"/>
      <c r="I13253" s="128"/>
    </row>
    <row r="13254" spans="1:9" ht="13.5">
      <c r="A13254" s="128"/>
      <c r="B13254" s="128"/>
      <c r="C13254" s="128"/>
      <c r="D13254" s="128"/>
      <c r="E13254" s="128"/>
      <c r="F13254" s="128"/>
      <c r="G13254" s="128"/>
      <c r="H13254" s="128"/>
      <c r="I13254" s="128"/>
    </row>
    <row r="13255" spans="1:9" ht="13.5">
      <c r="A13255" s="128"/>
      <c r="B13255" s="128"/>
      <c r="C13255" s="128"/>
      <c r="D13255" s="128"/>
      <c r="E13255" s="128"/>
      <c r="F13255" s="128"/>
      <c r="G13255" s="128"/>
      <c r="H13255" s="128"/>
      <c r="I13255" s="128"/>
    </row>
    <row r="13256" spans="1:9" ht="13.5">
      <c r="A13256" s="128"/>
      <c r="B13256" s="128"/>
      <c r="C13256" s="128"/>
      <c r="D13256" s="128"/>
      <c r="E13256" s="128"/>
      <c r="F13256" s="128"/>
      <c r="G13256" s="128"/>
      <c r="H13256" s="128"/>
      <c r="I13256" s="128"/>
    </row>
    <row r="13257" spans="1:9" ht="13.5">
      <c r="A13257" s="128"/>
      <c r="B13257" s="128"/>
      <c r="C13257" s="128"/>
      <c r="D13257" s="128"/>
      <c r="E13257" s="128"/>
      <c r="F13257" s="128"/>
      <c r="G13257" s="128"/>
      <c r="H13257" s="128"/>
      <c r="I13257" s="128"/>
    </row>
    <row r="13258" spans="1:9" ht="13.5">
      <c r="A13258" s="128"/>
      <c r="B13258" s="128"/>
      <c r="C13258" s="128"/>
      <c r="D13258" s="128"/>
      <c r="E13258" s="128"/>
      <c r="F13258" s="128"/>
      <c r="G13258" s="128"/>
      <c r="H13258" s="128"/>
      <c r="I13258" s="128"/>
    </row>
    <row r="13259" spans="1:9" ht="13.5">
      <c r="A13259" s="128"/>
      <c r="B13259" s="128"/>
      <c r="C13259" s="128"/>
      <c r="D13259" s="128"/>
      <c r="E13259" s="128"/>
      <c r="F13259" s="128"/>
      <c r="G13259" s="128"/>
      <c r="H13259" s="128"/>
      <c r="I13259" s="128"/>
    </row>
    <row r="13260" spans="1:9" ht="13.5">
      <c r="A13260" s="128"/>
      <c r="B13260" s="128"/>
      <c r="C13260" s="128"/>
      <c r="D13260" s="128"/>
      <c r="E13260" s="128"/>
      <c r="F13260" s="128"/>
      <c r="G13260" s="128"/>
      <c r="H13260" s="128"/>
      <c r="I13260" s="128"/>
    </row>
    <row r="13261" spans="1:9" ht="13.5">
      <c r="A13261" s="128"/>
      <c r="B13261" s="128"/>
      <c r="C13261" s="128"/>
      <c r="D13261" s="128"/>
      <c r="E13261" s="128"/>
      <c r="F13261" s="128"/>
      <c r="G13261" s="128"/>
      <c r="H13261" s="128"/>
      <c r="I13261" s="128"/>
    </row>
    <row r="13262" spans="1:9" ht="13.5">
      <c r="A13262" s="128"/>
      <c r="B13262" s="128"/>
      <c r="C13262" s="128"/>
      <c r="D13262" s="128"/>
      <c r="E13262" s="128"/>
      <c r="F13262" s="128"/>
      <c r="G13262" s="128"/>
      <c r="H13262" s="128"/>
      <c r="I13262" s="128"/>
    </row>
    <row r="13263" spans="1:9" ht="13.5">
      <c r="A13263" s="128"/>
      <c r="B13263" s="128"/>
      <c r="C13263" s="128"/>
      <c r="D13263" s="128"/>
      <c r="E13263" s="128"/>
      <c r="F13263" s="128"/>
      <c r="G13263" s="128"/>
      <c r="H13263" s="128"/>
      <c r="I13263" s="128"/>
    </row>
    <row r="13264" spans="1:9" ht="13.5">
      <c r="A13264" s="128"/>
      <c r="B13264" s="128"/>
      <c r="C13264" s="128"/>
      <c r="D13264" s="128"/>
      <c r="E13264" s="128"/>
      <c r="F13264" s="128"/>
      <c r="G13264" s="128"/>
      <c r="H13264" s="128"/>
      <c r="I13264" s="128"/>
    </row>
    <row r="13265" spans="1:9" ht="13.5">
      <c r="A13265" s="128"/>
      <c r="B13265" s="128"/>
      <c r="C13265" s="128"/>
      <c r="D13265" s="128"/>
      <c r="E13265" s="128"/>
      <c r="F13265" s="128"/>
      <c r="G13265" s="128"/>
      <c r="H13265" s="128"/>
      <c r="I13265" s="128"/>
    </row>
    <row r="13266" spans="1:9" ht="13.5">
      <c r="A13266" s="128"/>
      <c r="B13266" s="128"/>
      <c r="C13266" s="128"/>
      <c r="D13266" s="128"/>
      <c r="E13266" s="128"/>
      <c r="F13266" s="128"/>
      <c r="G13266" s="128"/>
      <c r="H13266" s="128"/>
      <c r="I13266" s="128"/>
    </row>
    <row r="13267" spans="1:9" ht="13.5">
      <c r="A13267" s="128"/>
      <c r="B13267" s="128"/>
      <c r="C13267" s="128"/>
      <c r="D13267" s="128"/>
      <c r="E13267" s="128"/>
      <c r="F13267" s="128"/>
      <c r="G13267" s="128"/>
      <c r="H13267" s="128"/>
      <c r="I13267" s="128"/>
    </row>
    <row r="13268" spans="1:9" ht="13.5">
      <c r="A13268" s="128"/>
      <c r="B13268" s="128"/>
      <c r="C13268" s="128"/>
      <c r="D13268" s="128"/>
      <c r="E13268" s="128"/>
      <c r="F13268" s="128"/>
      <c r="G13268" s="128"/>
      <c r="H13268" s="128"/>
      <c r="I13268" s="128"/>
    </row>
    <row r="13269" spans="1:9" ht="13.5">
      <c r="A13269" s="128"/>
      <c r="B13269" s="128"/>
      <c r="C13269" s="128"/>
      <c r="D13269" s="128"/>
      <c r="E13269" s="128"/>
      <c r="F13269" s="128"/>
      <c r="G13269" s="128"/>
      <c r="H13269" s="128"/>
      <c r="I13269" s="128"/>
    </row>
    <row r="13270" spans="1:9" ht="13.5">
      <c r="A13270" s="128"/>
      <c r="B13270" s="128"/>
      <c r="C13270" s="128"/>
      <c r="D13270" s="128"/>
      <c r="E13270" s="128"/>
      <c r="F13270" s="128"/>
      <c r="G13270" s="128"/>
      <c r="H13270" s="128"/>
      <c r="I13270" s="128"/>
    </row>
    <row r="13271" spans="1:9" ht="13.5">
      <c r="A13271" s="128"/>
      <c r="B13271" s="128"/>
      <c r="C13271" s="128"/>
      <c r="D13271" s="128"/>
      <c r="E13271" s="128"/>
      <c r="F13271" s="128"/>
      <c r="G13271" s="128"/>
      <c r="H13271" s="128"/>
      <c r="I13271" s="128"/>
    </row>
    <row r="13272" spans="1:9" ht="13.5">
      <c r="A13272" s="128"/>
      <c r="B13272" s="128"/>
      <c r="C13272" s="128"/>
      <c r="D13272" s="128"/>
      <c r="E13272" s="128"/>
      <c r="F13272" s="128"/>
      <c r="G13272" s="128"/>
      <c r="H13272" s="128"/>
      <c r="I13272" s="128"/>
    </row>
    <row r="13273" spans="1:9" ht="13.5">
      <c r="A13273" s="128"/>
      <c r="B13273" s="128"/>
      <c r="C13273" s="128"/>
      <c r="D13273" s="128"/>
      <c r="E13273" s="128"/>
      <c r="F13273" s="128"/>
      <c r="G13273" s="128"/>
      <c r="H13273" s="128"/>
      <c r="I13273" s="128"/>
    </row>
    <row r="13274" spans="1:9" ht="13.5">
      <c r="A13274" s="128"/>
      <c r="B13274" s="128"/>
      <c r="C13274" s="128"/>
      <c r="D13274" s="128"/>
      <c r="E13274" s="128"/>
      <c r="F13274" s="128"/>
      <c r="G13274" s="128"/>
      <c r="H13274" s="128"/>
      <c r="I13274" s="128"/>
    </row>
    <row r="13275" spans="1:9" ht="13.5">
      <c r="A13275" s="128"/>
      <c r="B13275" s="128"/>
      <c r="C13275" s="128"/>
      <c r="D13275" s="128"/>
      <c r="E13275" s="128"/>
      <c r="F13275" s="128"/>
      <c r="G13275" s="128"/>
      <c r="H13275" s="128"/>
      <c r="I13275" s="128"/>
    </row>
    <row r="13276" spans="1:9" ht="13.5">
      <c r="A13276" s="128"/>
      <c r="B13276" s="128"/>
      <c r="C13276" s="128"/>
      <c r="D13276" s="128"/>
      <c r="E13276" s="128"/>
      <c r="F13276" s="128"/>
      <c r="G13276" s="128"/>
      <c r="H13276" s="128"/>
      <c r="I13276" s="128"/>
    </row>
    <row r="13277" spans="1:9" ht="13.5">
      <c r="A13277" s="128"/>
      <c r="B13277" s="128"/>
      <c r="C13277" s="128"/>
      <c r="D13277" s="128"/>
      <c r="E13277" s="128"/>
      <c r="F13277" s="128"/>
      <c r="G13277" s="128"/>
      <c r="H13277" s="128"/>
      <c r="I13277" s="128"/>
    </row>
    <row r="13278" spans="1:9" ht="13.5">
      <c r="A13278" s="128"/>
      <c r="B13278" s="128"/>
      <c r="C13278" s="128"/>
      <c r="D13278" s="128"/>
      <c r="E13278" s="128"/>
      <c r="F13278" s="128"/>
      <c r="G13278" s="128"/>
      <c r="H13278" s="128"/>
      <c r="I13278" s="128"/>
    </row>
    <row r="13279" spans="1:9" ht="13.5">
      <c r="A13279" s="128"/>
      <c r="B13279" s="128"/>
      <c r="C13279" s="128"/>
      <c r="D13279" s="128"/>
      <c r="E13279" s="128"/>
      <c r="F13279" s="128"/>
      <c r="G13279" s="128"/>
      <c r="H13279" s="128"/>
      <c r="I13279" s="128"/>
    </row>
    <row r="13280" spans="1:9" ht="13.5">
      <c r="A13280" s="128"/>
      <c r="B13280" s="128"/>
      <c r="C13280" s="128"/>
      <c r="D13280" s="128"/>
      <c r="E13280" s="128"/>
      <c r="F13280" s="128"/>
      <c r="G13280" s="128"/>
      <c r="H13280" s="128"/>
      <c r="I13280" s="128"/>
    </row>
    <row r="13281" spans="1:9" ht="13.5">
      <c r="A13281" s="128"/>
      <c r="B13281" s="128"/>
      <c r="C13281" s="128"/>
      <c r="D13281" s="128"/>
      <c r="E13281" s="128"/>
      <c r="F13281" s="128"/>
      <c r="G13281" s="128"/>
      <c r="H13281" s="128"/>
      <c r="I13281" s="128"/>
    </row>
    <row r="13282" spans="1:9" ht="13.5">
      <c r="A13282" s="128"/>
      <c r="B13282" s="128"/>
      <c r="C13282" s="128"/>
      <c r="D13282" s="128"/>
      <c r="E13282" s="128"/>
      <c r="F13282" s="128"/>
      <c r="G13282" s="128"/>
      <c r="H13282" s="128"/>
      <c r="I13282" s="128"/>
    </row>
    <row r="13283" spans="1:9" ht="13.5">
      <c r="A13283" s="128"/>
      <c r="B13283" s="128"/>
      <c r="C13283" s="128"/>
      <c r="D13283" s="128"/>
      <c r="E13283" s="128"/>
      <c r="F13283" s="128"/>
      <c r="G13283" s="128"/>
      <c r="H13283" s="128"/>
      <c r="I13283" s="128"/>
    </row>
    <row r="13284" spans="1:9" ht="13.5">
      <c r="A13284" s="128"/>
      <c r="B13284" s="128"/>
      <c r="C13284" s="128"/>
      <c r="D13284" s="128"/>
      <c r="E13284" s="128"/>
      <c r="F13284" s="128"/>
      <c r="G13284" s="128"/>
      <c r="H13284" s="128"/>
      <c r="I13284" s="128"/>
    </row>
    <row r="13285" spans="1:9" ht="13.5">
      <c r="A13285" s="128"/>
      <c r="B13285" s="128"/>
      <c r="C13285" s="128"/>
      <c r="D13285" s="128"/>
      <c r="E13285" s="128"/>
      <c r="F13285" s="128"/>
      <c r="G13285" s="128"/>
      <c r="H13285" s="128"/>
      <c r="I13285" s="128"/>
    </row>
    <row r="13286" spans="1:9" ht="13.5">
      <c r="A13286" s="128"/>
      <c r="B13286" s="128"/>
      <c r="C13286" s="128"/>
      <c r="D13286" s="128"/>
      <c r="E13286" s="128"/>
      <c r="F13286" s="128"/>
      <c r="G13286" s="128"/>
      <c r="H13286" s="128"/>
      <c r="I13286" s="128"/>
    </row>
    <row r="13287" spans="1:9" ht="13.5">
      <c r="A13287" s="128"/>
      <c r="B13287" s="128"/>
      <c r="C13287" s="128"/>
      <c r="D13287" s="128"/>
      <c r="E13287" s="128"/>
      <c r="F13287" s="128"/>
      <c r="G13287" s="128"/>
      <c r="H13287" s="128"/>
      <c r="I13287" s="128"/>
    </row>
    <row r="13288" spans="1:9" ht="13.5">
      <c r="A13288" s="128"/>
      <c r="B13288" s="128"/>
      <c r="C13288" s="128"/>
      <c r="D13288" s="128"/>
      <c r="E13288" s="128"/>
      <c r="F13288" s="128"/>
      <c r="G13288" s="128"/>
      <c r="H13288" s="128"/>
      <c r="I13288" s="128"/>
    </row>
    <row r="13289" spans="1:9" ht="13.5">
      <c r="A13289" s="128"/>
      <c r="B13289" s="128"/>
      <c r="C13289" s="128"/>
      <c r="D13289" s="128"/>
      <c r="E13289" s="128"/>
      <c r="F13289" s="128"/>
      <c r="G13289" s="128"/>
      <c r="H13289" s="128"/>
      <c r="I13289" s="128"/>
    </row>
    <row r="13290" spans="1:9" ht="13.5">
      <c r="A13290" s="128"/>
      <c r="B13290" s="128"/>
      <c r="C13290" s="128"/>
      <c r="D13290" s="128"/>
      <c r="E13290" s="128"/>
      <c r="F13290" s="128"/>
      <c r="G13290" s="128"/>
      <c r="H13290" s="128"/>
      <c r="I13290" s="128"/>
    </row>
    <row r="13291" spans="1:9" ht="13.5">
      <c r="A13291" s="128"/>
      <c r="B13291" s="128"/>
      <c r="C13291" s="128"/>
      <c r="D13291" s="128"/>
      <c r="E13291" s="128"/>
      <c r="F13291" s="128"/>
      <c r="G13291" s="128"/>
      <c r="H13291" s="128"/>
      <c r="I13291" s="128"/>
    </row>
    <row r="13292" spans="1:9" ht="13.5">
      <c r="A13292" s="128"/>
      <c r="B13292" s="128"/>
      <c r="C13292" s="128"/>
      <c r="D13292" s="128"/>
      <c r="E13292" s="128"/>
      <c r="F13292" s="128"/>
      <c r="G13292" s="128"/>
      <c r="H13292" s="128"/>
      <c r="I13292" s="128"/>
    </row>
    <row r="13293" spans="1:9" ht="13.5">
      <c r="A13293" s="128"/>
      <c r="B13293" s="128"/>
      <c r="C13293" s="128"/>
      <c r="D13293" s="128"/>
      <c r="E13293" s="128"/>
      <c r="F13293" s="128"/>
      <c r="G13293" s="128"/>
      <c r="H13293" s="128"/>
      <c r="I13293" s="128"/>
    </row>
    <row r="13294" spans="1:9" ht="13.5">
      <c r="A13294" s="128"/>
      <c r="B13294" s="128"/>
      <c r="C13294" s="128"/>
      <c r="D13294" s="128"/>
      <c r="E13294" s="128"/>
      <c r="F13294" s="128"/>
      <c r="G13294" s="128"/>
      <c r="H13294" s="128"/>
      <c r="I13294" s="128"/>
    </row>
    <row r="13295" spans="1:9" ht="13.5">
      <c r="A13295" s="128"/>
      <c r="B13295" s="128"/>
      <c r="C13295" s="128"/>
      <c r="D13295" s="128"/>
      <c r="E13295" s="128"/>
      <c r="F13295" s="128"/>
      <c r="G13295" s="128"/>
      <c r="H13295" s="128"/>
      <c r="I13295" s="128"/>
    </row>
    <row r="13296" spans="1:9" ht="13.5">
      <c r="A13296" s="128"/>
      <c r="B13296" s="128"/>
      <c r="C13296" s="128"/>
      <c r="D13296" s="128"/>
      <c r="E13296" s="128"/>
      <c r="F13296" s="128"/>
      <c r="G13296" s="128"/>
      <c r="H13296" s="128"/>
      <c r="I13296" s="128"/>
    </row>
    <row r="13297" spans="1:9" ht="13.5">
      <c r="A13297" s="128"/>
      <c r="B13297" s="128"/>
      <c r="C13297" s="128"/>
      <c r="D13297" s="128"/>
      <c r="E13297" s="128"/>
      <c r="F13297" s="128"/>
      <c r="G13297" s="128"/>
      <c r="H13297" s="128"/>
      <c r="I13297" s="128"/>
    </row>
    <row r="13298" spans="1:9" ht="13.5">
      <c r="A13298" s="128"/>
      <c r="B13298" s="128"/>
      <c r="C13298" s="128"/>
      <c r="D13298" s="128"/>
      <c r="E13298" s="128"/>
      <c r="F13298" s="128"/>
      <c r="G13298" s="128"/>
      <c r="H13298" s="128"/>
      <c r="I13298" s="128"/>
    </row>
    <row r="13299" spans="1:9" ht="13.5">
      <c r="A13299" s="128"/>
      <c r="B13299" s="128"/>
      <c r="C13299" s="128"/>
      <c r="D13299" s="128"/>
      <c r="E13299" s="128"/>
      <c r="F13299" s="128"/>
      <c r="G13299" s="128"/>
      <c r="H13299" s="128"/>
      <c r="I13299" s="128"/>
    </row>
    <row r="13300" spans="1:9" ht="13.5">
      <c r="A13300" s="128"/>
      <c r="B13300" s="128"/>
      <c r="C13300" s="128"/>
      <c r="D13300" s="128"/>
      <c r="E13300" s="128"/>
      <c r="F13300" s="128"/>
      <c r="G13300" s="128"/>
      <c r="H13300" s="128"/>
      <c r="I13300" s="128"/>
    </row>
    <row r="13301" spans="1:9" ht="13.5">
      <c r="A13301" s="128"/>
      <c r="B13301" s="128"/>
      <c r="C13301" s="128"/>
      <c r="D13301" s="128"/>
      <c r="E13301" s="128"/>
      <c r="F13301" s="128"/>
      <c r="G13301" s="128"/>
      <c r="H13301" s="128"/>
      <c r="I13301" s="128"/>
    </row>
    <row r="13302" spans="1:9" ht="13.5">
      <c r="A13302" s="128"/>
      <c r="B13302" s="128"/>
      <c r="C13302" s="128"/>
      <c r="D13302" s="128"/>
      <c r="E13302" s="128"/>
      <c r="F13302" s="128"/>
      <c r="G13302" s="128"/>
      <c r="H13302" s="128"/>
      <c r="I13302" s="128"/>
    </row>
    <row r="13303" spans="1:9" ht="13.5">
      <c r="A13303" s="128"/>
      <c r="B13303" s="128"/>
      <c r="C13303" s="128"/>
      <c r="D13303" s="128"/>
      <c r="E13303" s="128"/>
      <c r="F13303" s="128"/>
      <c r="G13303" s="128"/>
      <c r="H13303" s="128"/>
      <c r="I13303" s="128"/>
    </row>
    <row r="13304" spans="1:9" ht="13.5">
      <c r="A13304" s="128"/>
      <c r="B13304" s="128"/>
      <c r="C13304" s="128"/>
      <c r="D13304" s="128"/>
      <c r="E13304" s="128"/>
      <c r="F13304" s="128"/>
      <c r="G13304" s="128"/>
      <c r="H13304" s="128"/>
      <c r="I13304" s="128"/>
    </row>
    <row r="13305" spans="1:9" ht="13.5">
      <c r="A13305" s="128"/>
      <c r="B13305" s="128"/>
      <c r="C13305" s="128"/>
      <c r="D13305" s="128"/>
      <c r="E13305" s="128"/>
      <c r="F13305" s="128"/>
      <c r="G13305" s="128"/>
      <c r="H13305" s="128"/>
      <c r="I13305" s="128"/>
    </row>
    <row r="13306" spans="1:9" ht="13.5">
      <c r="A13306" s="128"/>
      <c r="B13306" s="128"/>
      <c r="C13306" s="128"/>
      <c r="D13306" s="128"/>
      <c r="E13306" s="128"/>
      <c r="F13306" s="128"/>
      <c r="G13306" s="128"/>
      <c r="H13306" s="128"/>
      <c r="I13306" s="128"/>
    </row>
    <row r="13307" spans="1:9" ht="13.5">
      <c r="A13307" s="128"/>
      <c r="B13307" s="128"/>
      <c r="C13307" s="128"/>
      <c r="D13307" s="128"/>
      <c r="E13307" s="128"/>
      <c r="F13307" s="128"/>
      <c r="G13307" s="128"/>
      <c r="H13307" s="128"/>
      <c r="I13307" s="128"/>
    </row>
    <row r="13308" spans="1:9" ht="13.5">
      <c r="A13308" s="128"/>
      <c r="B13308" s="128"/>
      <c r="C13308" s="128"/>
      <c r="D13308" s="128"/>
      <c r="E13308" s="128"/>
      <c r="F13308" s="128"/>
      <c r="G13308" s="128"/>
      <c r="H13308" s="128"/>
      <c r="I13308" s="128"/>
    </row>
    <row r="13309" spans="1:9" ht="13.5">
      <c r="A13309" s="128"/>
      <c r="B13309" s="128"/>
      <c r="C13309" s="128"/>
      <c r="D13309" s="128"/>
      <c r="E13309" s="128"/>
      <c r="F13309" s="128"/>
      <c r="G13309" s="128"/>
      <c r="H13309" s="128"/>
      <c r="I13309" s="128"/>
    </row>
    <row r="13310" spans="1:9" ht="13.5">
      <c r="A13310" s="128"/>
      <c r="B13310" s="128"/>
      <c r="C13310" s="128"/>
      <c r="D13310" s="128"/>
      <c r="E13310" s="128"/>
      <c r="F13310" s="128"/>
      <c r="G13310" s="128"/>
      <c r="H13310" s="128"/>
      <c r="I13310" s="128"/>
    </row>
    <row r="13311" spans="1:9" ht="13.5">
      <c r="A13311" s="128"/>
      <c r="B13311" s="128"/>
      <c r="C13311" s="128"/>
      <c r="D13311" s="128"/>
      <c r="E13311" s="128"/>
      <c r="F13311" s="128"/>
      <c r="G13311" s="128"/>
      <c r="H13311" s="128"/>
      <c r="I13311" s="128"/>
    </row>
    <row r="13312" spans="1:9" ht="13.5">
      <c r="A13312" s="128"/>
      <c r="B13312" s="128"/>
      <c r="C13312" s="128"/>
      <c r="D13312" s="128"/>
      <c r="E13312" s="128"/>
      <c r="F13312" s="128"/>
      <c r="G13312" s="128"/>
      <c r="H13312" s="128"/>
      <c r="I13312" s="128"/>
    </row>
    <row r="13313" spans="1:9" ht="13.5">
      <c r="A13313" s="128"/>
      <c r="B13313" s="128"/>
      <c r="C13313" s="128"/>
      <c r="D13313" s="128"/>
      <c r="E13313" s="128"/>
      <c r="F13313" s="128"/>
      <c r="G13313" s="128"/>
      <c r="H13313" s="128"/>
      <c r="I13313" s="128"/>
    </row>
    <row r="13314" spans="1:9" ht="13.5">
      <c r="A13314" s="128"/>
      <c r="B13314" s="128"/>
      <c r="C13314" s="128"/>
      <c r="D13314" s="128"/>
      <c r="E13314" s="128"/>
      <c r="F13314" s="128"/>
      <c r="G13314" s="128"/>
      <c r="H13314" s="128"/>
      <c r="I13314" s="128"/>
    </row>
    <row r="13315" spans="1:9" ht="13.5">
      <c r="A13315" s="128"/>
      <c r="B13315" s="128"/>
      <c r="C13315" s="128"/>
      <c r="D13315" s="128"/>
      <c r="E13315" s="128"/>
      <c r="F13315" s="128"/>
      <c r="G13315" s="128"/>
      <c r="H13315" s="128"/>
      <c r="I13315" s="128"/>
    </row>
    <row r="13316" spans="1:9" ht="13.5">
      <c r="A13316" s="128"/>
      <c r="B13316" s="128"/>
      <c r="C13316" s="128"/>
      <c r="D13316" s="128"/>
      <c r="E13316" s="128"/>
      <c r="F13316" s="128"/>
      <c r="G13316" s="128"/>
      <c r="H13316" s="128"/>
      <c r="I13316" s="128"/>
    </row>
    <row r="13317" spans="1:9" ht="13.5">
      <c r="A13317" s="128"/>
      <c r="B13317" s="128"/>
      <c r="C13317" s="128"/>
      <c r="D13317" s="128"/>
      <c r="E13317" s="128"/>
      <c r="F13317" s="128"/>
      <c r="G13317" s="128"/>
      <c r="H13317" s="128"/>
      <c r="I13317" s="128"/>
    </row>
    <row r="13318" spans="1:9" ht="13.5">
      <c r="A13318" s="128"/>
      <c r="B13318" s="128"/>
      <c r="C13318" s="128"/>
      <c r="D13318" s="128"/>
      <c r="E13318" s="128"/>
      <c r="F13318" s="128"/>
      <c r="G13318" s="128"/>
      <c r="H13318" s="128"/>
      <c r="I13318" s="128"/>
    </row>
    <row r="13319" spans="1:9" ht="13.5">
      <c r="A13319" s="128"/>
      <c r="B13319" s="128"/>
      <c r="C13319" s="128"/>
      <c r="D13319" s="128"/>
      <c r="E13319" s="128"/>
      <c r="F13319" s="128"/>
      <c r="G13319" s="128"/>
      <c r="H13319" s="128"/>
      <c r="I13319" s="128"/>
    </row>
    <row r="13320" spans="1:9" ht="13.5">
      <c r="A13320" s="128"/>
      <c r="B13320" s="128"/>
      <c r="C13320" s="128"/>
      <c r="D13320" s="128"/>
      <c r="E13320" s="128"/>
      <c r="F13320" s="128"/>
      <c r="G13320" s="128"/>
      <c r="H13320" s="128"/>
      <c r="I13320" s="128"/>
    </row>
    <row r="13321" spans="1:9" ht="13.5">
      <c r="A13321" s="128"/>
      <c r="B13321" s="128"/>
      <c r="C13321" s="128"/>
      <c r="D13321" s="128"/>
      <c r="E13321" s="128"/>
      <c r="F13321" s="128"/>
      <c r="G13321" s="128"/>
      <c r="H13321" s="128"/>
      <c r="I13321" s="128"/>
    </row>
    <row r="13322" spans="1:9" ht="13.5">
      <c r="A13322" s="128"/>
      <c r="B13322" s="128"/>
      <c r="C13322" s="128"/>
      <c r="D13322" s="128"/>
      <c r="E13322" s="128"/>
      <c r="F13322" s="128"/>
      <c r="G13322" s="128"/>
      <c r="H13322" s="128"/>
      <c r="I13322" s="128"/>
    </row>
    <row r="13323" spans="1:9" ht="13.5">
      <c r="A13323" s="128"/>
      <c r="B13323" s="128"/>
      <c r="C13323" s="128"/>
      <c r="D13323" s="128"/>
      <c r="E13323" s="128"/>
      <c r="F13323" s="128"/>
      <c r="G13323" s="128"/>
      <c r="H13323" s="128"/>
      <c r="I13323" s="128"/>
    </row>
    <row r="13324" spans="1:9" ht="13.5">
      <c r="A13324" s="128"/>
      <c r="B13324" s="128"/>
      <c r="C13324" s="128"/>
      <c r="D13324" s="128"/>
      <c r="E13324" s="128"/>
      <c r="F13324" s="128"/>
      <c r="G13324" s="128"/>
      <c r="H13324" s="128"/>
      <c r="I13324" s="128"/>
    </row>
    <row r="13325" spans="1:9" ht="13.5">
      <c r="A13325" s="128"/>
      <c r="B13325" s="128"/>
      <c r="C13325" s="128"/>
      <c r="D13325" s="128"/>
      <c r="E13325" s="128"/>
      <c r="F13325" s="128"/>
      <c r="G13325" s="128"/>
      <c r="H13325" s="128"/>
      <c r="I13325" s="128"/>
    </row>
    <row r="13326" spans="1:9" ht="13.5">
      <c r="A13326" s="128"/>
      <c r="B13326" s="128"/>
      <c r="C13326" s="128"/>
      <c r="D13326" s="128"/>
      <c r="E13326" s="128"/>
      <c r="F13326" s="128"/>
      <c r="G13326" s="128"/>
      <c r="H13326" s="128"/>
      <c r="I13326" s="128"/>
    </row>
    <row r="13327" spans="1:9" ht="13.5">
      <c r="A13327" s="128"/>
      <c r="B13327" s="128"/>
      <c r="C13327" s="128"/>
      <c r="D13327" s="128"/>
      <c r="E13327" s="128"/>
      <c r="F13327" s="128"/>
      <c r="G13327" s="128"/>
      <c r="H13327" s="128"/>
      <c r="I13327" s="128"/>
    </row>
    <row r="13328" spans="1:9" ht="13.5">
      <c r="A13328" s="128"/>
      <c r="B13328" s="128"/>
      <c r="C13328" s="128"/>
      <c r="D13328" s="128"/>
      <c r="E13328" s="128"/>
      <c r="F13328" s="128"/>
      <c r="G13328" s="128"/>
      <c r="H13328" s="128"/>
      <c r="I13328" s="128"/>
    </row>
    <row r="13329" spans="1:9" ht="13.5">
      <c r="A13329" s="128"/>
      <c r="B13329" s="128"/>
      <c r="C13329" s="128"/>
      <c r="D13329" s="128"/>
      <c r="E13329" s="128"/>
      <c r="F13329" s="128"/>
      <c r="G13329" s="128"/>
      <c r="H13329" s="128"/>
      <c r="I13329" s="128"/>
    </row>
    <row r="13330" spans="1:9" ht="13.5">
      <c r="A13330" s="128"/>
      <c r="B13330" s="128"/>
      <c r="C13330" s="128"/>
      <c r="D13330" s="128"/>
      <c r="E13330" s="128"/>
      <c r="F13330" s="128"/>
      <c r="G13330" s="128"/>
      <c r="H13330" s="128"/>
      <c r="I13330" s="128"/>
    </row>
    <row r="13331" spans="1:9" ht="13.5">
      <c r="A13331" s="128"/>
      <c r="B13331" s="128"/>
      <c r="C13331" s="128"/>
      <c r="D13331" s="128"/>
      <c r="E13331" s="128"/>
      <c r="F13331" s="128"/>
      <c r="G13331" s="128"/>
      <c r="H13331" s="128"/>
      <c r="I13331" s="128"/>
    </row>
    <row r="13332" spans="1:9" ht="13.5">
      <c r="A13332" s="128"/>
      <c r="B13332" s="128"/>
      <c r="C13332" s="128"/>
      <c r="D13332" s="128"/>
      <c r="E13332" s="128"/>
      <c r="F13332" s="128"/>
      <c r="G13332" s="128"/>
      <c r="H13332" s="128"/>
      <c r="I13332" s="128"/>
    </row>
    <row r="13333" spans="1:9" ht="13.5">
      <c r="A13333" s="128"/>
      <c r="B13333" s="128"/>
      <c r="C13333" s="128"/>
      <c r="D13333" s="128"/>
      <c r="E13333" s="128"/>
      <c r="F13333" s="128"/>
      <c r="G13333" s="128"/>
      <c r="H13333" s="128"/>
      <c r="I13333" s="128"/>
    </row>
    <row r="13334" spans="1:9" ht="13.5">
      <c r="A13334" s="128"/>
      <c r="B13334" s="128"/>
      <c r="C13334" s="128"/>
      <c r="D13334" s="128"/>
      <c r="E13334" s="128"/>
      <c r="F13334" s="128"/>
      <c r="G13334" s="128"/>
      <c r="H13334" s="128"/>
      <c r="I13334" s="128"/>
    </row>
    <row r="13335" spans="1:9" ht="13.5">
      <c r="A13335" s="128"/>
      <c r="B13335" s="128"/>
      <c r="C13335" s="128"/>
      <c r="D13335" s="128"/>
      <c r="E13335" s="128"/>
      <c r="F13335" s="128"/>
      <c r="G13335" s="128"/>
      <c r="H13335" s="128"/>
      <c r="I13335" s="128"/>
    </row>
    <row r="13336" spans="1:9" ht="13.5">
      <c r="A13336" s="128"/>
      <c r="B13336" s="128"/>
      <c r="C13336" s="128"/>
      <c r="D13336" s="128"/>
      <c r="E13336" s="128"/>
      <c r="F13336" s="128"/>
      <c r="G13336" s="128"/>
      <c r="H13336" s="128"/>
      <c r="I13336" s="128"/>
    </row>
    <row r="13337" spans="1:9" ht="13.5">
      <c r="A13337" s="128"/>
      <c r="B13337" s="128"/>
      <c r="C13337" s="128"/>
      <c r="D13337" s="128"/>
      <c r="E13337" s="128"/>
      <c r="F13337" s="128"/>
      <c r="G13337" s="128"/>
      <c r="H13337" s="128"/>
      <c r="I13337" s="128"/>
    </row>
    <row r="13338" spans="1:9" ht="13.5">
      <c r="A13338" s="128"/>
      <c r="B13338" s="128"/>
      <c r="C13338" s="128"/>
      <c r="D13338" s="128"/>
      <c r="E13338" s="128"/>
      <c r="F13338" s="128"/>
      <c r="G13338" s="128"/>
      <c r="H13338" s="128"/>
      <c r="I13338" s="128"/>
    </row>
    <row r="13339" spans="1:9" ht="13.5">
      <c r="A13339" s="128"/>
      <c r="B13339" s="128"/>
      <c r="C13339" s="128"/>
      <c r="D13339" s="128"/>
      <c r="E13339" s="128"/>
      <c r="F13339" s="128"/>
      <c r="G13339" s="128"/>
      <c r="H13339" s="128"/>
      <c r="I13339" s="128"/>
    </row>
    <row r="13340" spans="1:9" ht="13.5">
      <c r="A13340" s="128"/>
      <c r="B13340" s="128"/>
      <c r="C13340" s="128"/>
      <c r="D13340" s="128"/>
      <c r="E13340" s="128"/>
      <c r="F13340" s="128"/>
      <c r="G13340" s="128"/>
      <c r="H13340" s="128"/>
      <c r="I13340" s="128"/>
    </row>
    <row r="13341" spans="1:9" ht="13.5">
      <c r="A13341" s="128"/>
      <c r="B13341" s="128"/>
      <c r="C13341" s="128"/>
      <c r="D13341" s="128"/>
      <c r="E13341" s="128"/>
      <c r="F13341" s="128"/>
      <c r="G13341" s="128"/>
      <c r="H13341" s="128"/>
      <c r="I13341" s="128"/>
    </row>
    <row r="13342" spans="1:9" ht="13.5">
      <c r="A13342" s="128"/>
      <c r="B13342" s="128"/>
      <c r="C13342" s="128"/>
      <c r="D13342" s="128"/>
      <c r="E13342" s="128"/>
      <c r="F13342" s="128"/>
      <c r="G13342" s="128"/>
      <c r="H13342" s="128"/>
      <c r="I13342" s="128"/>
    </row>
    <row r="13343" spans="1:9" ht="13.5">
      <c r="A13343" s="128"/>
      <c r="B13343" s="128"/>
      <c r="C13343" s="128"/>
      <c r="D13343" s="128"/>
      <c r="E13343" s="128"/>
      <c r="F13343" s="128"/>
      <c r="G13343" s="128"/>
      <c r="H13343" s="128"/>
      <c r="I13343" s="128"/>
    </row>
    <row r="13344" spans="1:9" ht="13.5">
      <c r="A13344" s="128"/>
      <c r="B13344" s="128"/>
      <c r="C13344" s="128"/>
      <c r="D13344" s="128"/>
      <c r="E13344" s="128"/>
      <c r="F13344" s="128"/>
      <c r="G13344" s="128"/>
      <c r="H13344" s="128"/>
      <c r="I13344" s="128"/>
    </row>
    <row r="13345" spans="1:9" ht="13.5">
      <c r="A13345" s="128"/>
      <c r="B13345" s="128"/>
      <c r="C13345" s="128"/>
      <c r="D13345" s="128"/>
      <c r="E13345" s="128"/>
      <c r="F13345" s="128"/>
      <c r="G13345" s="128"/>
      <c r="H13345" s="128"/>
      <c r="I13345" s="128"/>
    </row>
    <row r="13346" spans="1:9" ht="13.5">
      <c r="A13346" s="128"/>
      <c r="B13346" s="128"/>
      <c r="C13346" s="128"/>
      <c r="D13346" s="128"/>
      <c r="E13346" s="128"/>
      <c r="F13346" s="128"/>
      <c r="G13346" s="128"/>
      <c r="H13346" s="128"/>
      <c r="I13346" s="128"/>
    </row>
    <row r="13347" spans="1:9" ht="13.5">
      <c r="A13347" s="128"/>
      <c r="B13347" s="128"/>
      <c r="C13347" s="128"/>
      <c r="D13347" s="128"/>
      <c r="E13347" s="128"/>
      <c r="F13347" s="128"/>
      <c r="G13347" s="128"/>
      <c r="H13347" s="128"/>
      <c r="I13347" s="128"/>
    </row>
    <row r="13348" spans="1:9" ht="13.5">
      <c r="A13348" s="128"/>
      <c r="B13348" s="128"/>
      <c r="C13348" s="128"/>
      <c r="D13348" s="128"/>
      <c r="E13348" s="128"/>
      <c r="F13348" s="128"/>
      <c r="G13348" s="128"/>
      <c r="H13348" s="128"/>
      <c r="I13348" s="128"/>
    </row>
    <row r="13349" spans="1:9" ht="13.5">
      <c r="A13349" s="128"/>
      <c r="B13349" s="128"/>
      <c r="C13349" s="128"/>
      <c r="D13349" s="128"/>
      <c r="E13349" s="128"/>
      <c r="F13349" s="128"/>
      <c r="G13349" s="128"/>
      <c r="H13349" s="128"/>
      <c r="I13349" s="128"/>
    </row>
    <row r="13350" spans="1:9" ht="13.5">
      <c r="A13350" s="128"/>
      <c r="B13350" s="128"/>
      <c r="C13350" s="128"/>
      <c r="D13350" s="128"/>
      <c r="E13350" s="128"/>
      <c r="F13350" s="128"/>
      <c r="G13350" s="128"/>
      <c r="H13350" s="128"/>
      <c r="I13350" s="128"/>
    </row>
    <row r="13351" spans="1:9" ht="13.5">
      <c r="A13351" s="128"/>
      <c r="B13351" s="128"/>
      <c r="C13351" s="128"/>
      <c r="D13351" s="128"/>
      <c r="E13351" s="128"/>
      <c r="F13351" s="128"/>
      <c r="G13351" s="128"/>
      <c r="H13351" s="128"/>
      <c r="I13351" s="128"/>
    </row>
    <row r="13352" spans="1:9" ht="13.5">
      <c r="A13352" s="128"/>
      <c r="B13352" s="128"/>
      <c r="C13352" s="128"/>
      <c r="D13352" s="128"/>
      <c r="E13352" s="128"/>
      <c r="F13352" s="128"/>
      <c r="G13352" s="128"/>
      <c r="H13352" s="128"/>
      <c r="I13352" s="128"/>
    </row>
    <row r="13353" spans="1:9" ht="13.5">
      <c r="A13353" s="128"/>
      <c r="B13353" s="128"/>
      <c r="C13353" s="128"/>
      <c r="D13353" s="128"/>
      <c r="E13353" s="128"/>
      <c r="F13353" s="128"/>
      <c r="G13353" s="128"/>
      <c r="H13353" s="128"/>
      <c r="I13353" s="128"/>
    </row>
    <row r="13354" spans="1:9" ht="13.5">
      <c r="A13354" s="128"/>
      <c r="B13354" s="128"/>
      <c r="C13354" s="128"/>
      <c r="D13354" s="128"/>
      <c r="E13354" s="128"/>
      <c r="F13354" s="128"/>
      <c r="G13354" s="128"/>
      <c r="H13354" s="128"/>
      <c r="I13354" s="128"/>
    </row>
    <row r="13355" spans="1:9" ht="13.5">
      <c r="A13355" s="128"/>
      <c r="B13355" s="128"/>
      <c r="C13355" s="128"/>
      <c r="D13355" s="128"/>
      <c r="E13355" s="128"/>
      <c r="F13355" s="128"/>
      <c r="G13355" s="128"/>
      <c r="H13355" s="128"/>
      <c r="I13355" s="128"/>
    </row>
    <row r="13356" spans="1:9" ht="13.5">
      <c r="A13356" s="128"/>
      <c r="B13356" s="128"/>
      <c r="C13356" s="128"/>
      <c r="D13356" s="128"/>
      <c r="E13356" s="128"/>
      <c r="F13356" s="128"/>
      <c r="G13356" s="128"/>
      <c r="H13356" s="128"/>
      <c r="I13356" s="128"/>
    </row>
    <row r="13357" spans="1:9" ht="13.5">
      <c r="A13357" s="128"/>
      <c r="B13357" s="128"/>
      <c r="C13357" s="128"/>
      <c r="D13357" s="128"/>
      <c r="E13357" s="128"/>
      <c r="F13357" s="128"/>
      <c r="G13357" s="128"/>
      <c r="H13357" s="128"/>
      <c r="I13357" s="128"/>
    </row>
    <row r="13358" spans="1:9" ht="13.5">
      <c r="A13358" s="128"/>
      <c r="B13358" s="128"/>
      <c r="C13358" s="128"/>
      <c r="D13358" s="128"/>
      <c r="E13358" s="128"/>
      <c r="F13358" s="128"/>
      <c r="G13358" s="128"/>
      <c r="H13358" s="128"/>
      <c r="I13358" s="128"/>
    </row>
    <row r="13359" spans="1:9" ht="13.5">
      <c r="A13359" s="128"/>
      <c r="B13359" s="128"/>
      <c r="C13359" s="128"/>
      <c r="D13359" s="128"/>
      <c r="E13359" s="128"/>
      <c r="F13359" s="128"/>
      <c r="G13359" s="128"/>
      <c r="H13359" s="128"/>
      <c r="I13359" s="128"/>
    </row>
    <row r="13360" spans="1:9" ht="13.5">
      <c r="A13360" s="128"/>
      <c r="B13360" s="128"/>
      <c r="C13360" s="128"/>
      <c r="D13360" s="128"/>
      <c r="E13360" s="128"/>
      <c r="F13360" s="128"/>
      <c r="G13360" s="128"/>
      <c r="H13360" s="128"/>
      <c r="I13360" s="128"/>
    </row>
    <row r="13361" spans="1:9" ht="13.5">
      <c r="A13361" s="128"/>
      <c r="B13361" s="128"/>
      <c r="C13361" s="128"/>
      <c r="D13361" s="128"/>
      <c r="E13361" s="128"/>
      <c r="F13361" s="128"/>
      <c r="G13361" s="128"/>
      <c r="H13361" s="128"/>
      <c r="I13361" s="128"/>
    </row>
    <row r="13362" spans="1:9" ht="13.5">
      <c r="A13362" s="128"/>
      <c r="B13362" s="128"/>
      <c r="C13362" s="128"/>
      <c r="D13362" s="128"/>
      <c r="E13362" s="128"/>
      <c r="F13362" s="128"/>
      <c r="G13362" s="128"/>
      <c r="H13362" s="128"/>
      <c r="I13362" s="128"/>
    </row>
    <row r="13363" spans="1:9" ht="13.5">
      <c r="A13363" s="128"/>
      <c r="B13363" s="128"/>
      <c r="C13363" s="128"/>
      <c r="D13363" s="128"/>
      <c r="E13363" s="128"/>
      <c r="F13363" s="128"/>
      <c r="G13363" s="128"/>
      <c r="H13363" s="128"/>
      <c r="I13363" s="128"/>
    </row>
    <row r="13364" spans="1:9" ht="13.5">
      <c r="A13364" s="128"/>
      <c r="B13364" s="128"/>
      <c r="C13364" s="128"/>
      <c r="D13364" s="128"/>
      <c r="E13364" s="128"/>
      <c r="F13364" s="128"/>
      <c r="G13364" s="128"/>
      <c r="H13364" s="128"/>
      <c r="I13364" s="128"/>
    </row>
    <row r="13365" spans="1:9" ht="13.5">
      <c r="A13365" s="128"/>
      <c r="B13365" s="128"/>
      <c r="C13365" s="128"/>
      <c r="D13365" s="128"/>
      <c r="E13365" s="128"/>
      <c r="F13365" s="128"/>
      <c r="G13365" s="128"/>
      <c r="H13365" s="128"/>
      <c r="I13365" s="128"/>
    </row>
    <row r="13366" spans="1:9" ht="13.5">
      <c r="A13366" s="128"/>
      <c r="B13366" s="128"/>
      <c r="C13366" s="128"/>
      <c r="D13366" s="128"/>
      <c r="E13366" s="128"/>
      <c r="F13366" s="128"/>
      <c r="G13366" s="128"/>
      <c r="H13366" s="128"/>
      <c r="I13366" s="128"/>
    </row>
    <row r="13367" spans="1:9" ht="13.5">
      <c r="A13367" s="128"/>
      <c r="B13367" s="128"/>
      <c r="C13367" s="128"/>
      <c r="D13367" s="128"/>
      <c r="E13367" s="128"/>
      <c r="F13367" s="128"/>
      <c r="G13367" s="128"/>
      <c r="H13367" s="128"/>
      <c r="I13367" s="128"/>
    </row>
    <row r="13368" spans="1:9" ht="13.5">
      <c r="A13368" s="128"/>
      <c r="B13368" s="128"/>
      <c r="C13368" s="128"/>
      <c r="D13368" s="128"/>
      <c r="E13368" s="128"/>
      <c r="F13368" s="128"/>
      <c r="G13368" s="128"/>
      <c r="H13368" s="128"/>
      <c r="I13368" s="128"/>
    </row>
    <row r="13369" spans="1:9" ht="13.5">
      <c r="A13369" s="128"/>
      <c r="B13369" s="128"/>
      <c r="C13369" s="128"/>
      <c r="D13369" s="128"/>
      <c r="E13369" s="128"/>
      <c r="F13369" s="128"/>
      <c r="G13369" s="128"/>
      <c r="H13369" s="128"/>
      <c r="I13369" s="128"/>
    </row>
    <row r="13370" spans="1:9" ht="13.5">
      <c r="A13370" s="128"/>
      <c r="B13370" s="128"/>
      <c r="C13370" s="128"/>
      <c r="D13370" s="128"/>
      <c r="E13370" s="128"/>
      <c r="F13370" s="128"/>
      <c r="G13370" s="128"/>
      <c r="H13370" s="128"/>
      <c r="I13370" s="128"/>
    </row>
    <row r="13371" spans="1:9" ht="13.5">
      <c r="A13371" s="128"/>
      <c r="B13371" s="128"/>
      <c r="C13371" s="128"/>
      <c r="D13371" s="128"/>
      <c r="E13371" s="128"/>
      <c r="F13371" s="128"/>
      <c r="G13371" s="128"/>
      <c r="H13371" s="128"/>
      <c r="I13371" s="128"/>
    </row>
    <row r="13372" spans="1:9" ht="13.5">
      <c r="A13372" s="128"/>
      <c r="B13372" s="128"/>
      <c r="C13372" s="128"/>
      <c r="D13372" s="128"/>
      <c r="E13372" s="128"/>
      <c r="F13372" s="128"/>
      <c r="G13372" s="128"/>
      <c r="H13372" s="128"/>
      <c r="I13372" s="128"/>
    </row>
    <row r="13373" spans="1:9" ht="13.5">
      <c r="A13373" s="128"/>
      <c r="B13373" s="128"/>
      <c r="C13373" s="128"/>
      <c r="D13373" s="128"/>
      <c r="E13373" s="128"/>
      <c r="F13373" s="128"/>
      <c r="G13373" s="128"/>
      <c r="H13373" s="128"/>
      <c r="I13373" s="128"/>
    </row>
    <row r="13374" spans="1:9" ht="13.5">
      <c r="A13374" s="128"/>
      <c r="B13374" s="128"/>
      <c r="C13374" s="128"/>
      <c r="D13374" s="128"/>
      <c r="E13374" s="128"/>
      <c r="F13374" s="128"/>
      <c r="G13374" s="128"/>
      <c r="H13374" s="128"/>
      <c r="I13374" s="128"/>
    </row>
    <row r="13375" spans="1:9" ht="13.5">
      <c r="A13375" s="128"/>
      <c r="B13375" s="128"/>
      <c r="C13375" s="128"/>
      <c r="D13375" s="128"/>
      <c r="E13375" s="128"/>
      <c r="F13375" s="128"/>
      <c r="G13375" s="128"/>
      <c r="H13375" s="128"/>
      <c r="I13375" s="128"/>
    </row>
    <row r="13376" spans="1:9" ht="13.5">
      <c r="A13376" s="128"/>
      <c r="B13376" s="128"/>
      <c r="C13376" s="128"/>
      <c r="D13376" s="128"/>
      <c r="E13376" s="128"/>
      <c r="F13376" s="128"/>
      <c r="G13376" s="128"/>
      <c r="H13376" s="128"/>
      <c r="I13376" s="128"/>
    </row>
    <row r="13377" spans="1:9" ht="13.5">
      <c r="A13377" s="128"/>
      <c r="B13377" s="128"/>
      <c r="C13377" s="128"/>
      <c r="D13377" s="128"/>
      <c r="E13377" s="128"/>
      <c r="F13377" s="128"/>
      <c r="G13377" s="128"/>
      <c r="H13377" s="128"/>
      <c r="I13377" s="128"/>
    </row>
    <row r="13378" spans="1:9" ht="13.5">
      <c r="A13378" s="128"/>
      <c r="B13378" s="128"/>
      <c r="C13378" s="128"/>
      <c r="D13378" s="128"/>
      <c r="E13378" s="128"/>
      <c r="F13378" s="128"/>
      <c r="G13378" s="128"/>
      <c r="H13378" s="128"/>
      <c r="I13378" s="128"/>
    </row>
    <row r="13379" spans="1:9" ht="13.5">
      <c r="A13379" s="128"/>
      <c r="B13379" s="128"/>
      <c r="C13379" s="128"/>
      <c r="D13379" s="128"/>
      <c r="E13379" s="128"/>
      <c r="F13379" s="128"/>
      <c r="G13379" s="128"/>
      <c r="H13379" s="128"/>
      <c r="I13379" s="128"/>
    </row>
    <row r="13380" spans="1:9" ht="13.5">
      <c r="A13380" s="128"/>
      <c r="B13380" s="128"/>
      <c r="C13380" s="128"/>
      <c r="D13380" s="128"/>
      <c r="E13380" s="128"/>
      <c r="F13380" s="128"/>
      <c r="G13380" s="128"/>
      <c r="H13380" s="128"/>
      <c r="I13380" s="128"/>
    </row>
    <row r="13381" spans="1:9" ht="13.5">
      <c r="A13381" s="128"/>
      <c r="B13381" s="128"/>
      <c r="C13381" s="128"/>
      <c r="D13381" s="128"/>
      <c r="E13381" s="128"/>
      <c r="F13381" s="128"/>
      <c r="G13381" s="128"/>
      <c r="H13381" s="128"/>
      <c r="I13381" s="128"/>
    </row>
    <row r="13382" spans="1:9" ht="13.5">
      <c r="A13382" s="128"/>
      <c r="B13382" s="128"/>
      <c r="C13382" s="128"/>
      <c r="D13382" s="128"/>
      <c r="E13382" s="128"/>
      <c r="F13382" s="128"/>
      <c r="G13382" s="128"/>
      <c r="H13382" s="128"/>
      <c r="I13382" s="128"/>
    </row>
    <row r="13383" spans="1:9" ht="13.5">
      <c r="A13383" s="128"/>
      <c r="B13383" s="128"/>
      <c r="C13383" s="128"/>
      <c r="D13383" s="128"/>
      <c r="E13383" s="128"/>
      <c r="F13383" s="128"/>
      <c r="G13383" s="128"/>
      <c r="H13383" s="128"/>
      <c r="I13383" s="128"/>
    </row>
    <row r="13384" spans="1:9" ht="13.5">
      <c r="A13384" s="128"/>
      <c r="B13384" s="128"/>
      <c r="C13384" s="128"/>
      <c r="D13384" s="128"/>
      <c r="E13384" s="128"/>
      <c r="F13384" s="128"/>
      <c r="G13384" s="128"/>
      <c r="H13384" s="128"/>
      <c r="I13384" s="128"/>
    </row>
    <row r="13385" spans="1:9" ht="13.5">
      <c r="A13385" s="128"/>
      <c r="B13385" s="128"/>
      <c r="C13385" s="128"/>
      <c r="D13385" s="128"/>
      <c r="E13385" s="128"/>
      <c r="F13385" s="128"/>
      <c r="G13385" s="128"/>
      <c r="H13385" s="128"/>
      <c r="I13385" s="128"/>
    </row>
    <row r="13386" spans="1:9" ht="13.5">
      <c r="A13386" s="128"/>
      <c r="B13386" s="128"/>
      <c r="C13386" s="128"/>
      <c r="D13386" s="128"/>
      <c r="E13386" s="128"/>
      <c r="F13386" s="128"/>
      <c r="G13386" s="128"/>
      <c r="H13386" s="128"/>
      <c r="I13386" s="128"/>
    </row>
    <row r="13387" spans="1:9" ht="13.5">
      <c r="A13387" s="128"/>
      <c r="B13387" s="128"/>
      <c r="C13387" s="128"/>
      <c r="D13387" s="128"/>
      <c r="E13387" s="128"/>
      <c r="F13387" s="128"/>
      <c r="G13387" s="128"/>
      <c r="H13387" s="128"/>
      <c r="I13387" s="128"/>
    </row>
    <row r="13388" spans="1:9" ht="13.5">
      <c r="A13388" s="128"/>
      <c r="B13388" s="128"/>
      <c r="C13388" s="128"/>
      <c r="D13388" s="128"/>
      <c r="E13388" s="128"/>
      <c r="F13388" s="128"/>
      <c r="G13388" s="128"/>
      <c r="H13388" s="128"/>
      <c r="I13388" s="128"/>
    </row>
    <row r="13389" spans="1:9" ht="13.5">
      <c r="A13389" s="128"/>
      <c r="B13389" s="128"/>
      <c r="C13389" s="128"/>
      <c r="D13389" s="128"/>
      <c r="E13389" s="128"/>
      <c r="F13389" s="128"/>
      <c r="G13389" s="128"/>
      <c r="H13389" s="128"/>
      <c r="I13389" s="128"/>
    </row>
    <row r="13390" spans="1:9" ht="13.5">
      <c r="A13390" s="128"/>
      <c r="B13390" s="128"/>
      <c r="C13390" s="128"/>
      <c r="D13390" s="128"/>
      <c r="E13390" s="128"/>
      <c r="F13390" s="128"/>
      <c r="G13390" s="128"/>
      <c r="H13390" s="128"/>
      <c r="I13390" s="128"/>
    </row>
    <row r="13391" spans="1:9" ht="13.5">
      <c r="A13391" s="128"/>
      <c r="B13391" s="128"/>
      <c r="C13391" s="128"/>
      <c r="D13391" s="128"/>
      <c r="E13391" s="128"/>
      <c r="F13391" s="128"/>
      <c r="G13391" s="128"/>
      <c r="H13391" s="128"/>
      <c r="I13391" s="128"/>
    </row>
    <row r="13392" spans="1:9" ht="13.5">
      <c r="A13392" s="128"/>
      <c r="B13392" s="128"/>
      <c r="C13392" s="128"/>
      <c r="D13392" s="128"/>
      <c r="E13392" s="128"/>
      <c r="F13392" s="128"/>
      <c r="G13392" s="128"/>
      <c r="H13392" s="128"/>
      <c r="I13392" s="128"/>
    </row>
    <row r="13393" spans="1:9" ht="13.5">
      <c r="A13393" s="128"/>
      <c r="B13393" s="128"/>
      <c r="C13393" s="128"/>
      <c r="D13393" s="128"/>
      <c r="E13393" s="128"/>
      <c r="F13393" s="128"/>
      <c r="G13393" s="128"/>
      <c r="H13393" s="128"/>
      <c r="I13393" s="128"/>
    </row>
    <row r="13394" spans="1:9" ht="13.5">
      <c r="A13394" s="128"/>
      <c r="B13394" s="128"/>
      <c r="C13394" s="128"/>
      <c r="D13394" s="128"/>
      <c r="E13394" s="128"/>
      <c r="F13394" s="128"/>
      <c r="G13394" s="128"/>
      <c r="H13394" s="128"/>
      <c r="I13394" s="128"/>
    </row>
    <row r="13395" spans="1:9" ht="13.5">
      <c r="A13395" s="128"/>
      <c r="B13395" s="128"/>
      <c r="C13395" s="128"/>
      <c r="D13395" s="128"/>
      <c r="E13395" s="128"/>
      <c r="F13395" s="128"/>
      <c r="G13395" s="128"/>
      <c r="H13395" s="128"/>
      <c r="I13395" s="128"/>
    </row>
    <row r="13396" spans="1:9" ht="13.5">
      <c r="A13396" s="128"/>
      <c r="B13396" s="128"/>
      <c r="C13396" s="128"/>
      <c r="D13396" s="128"/>
      <c r="E13396" s="128"/>
      <c r="F13396" s="128"/>
      <c r="G13396" s="128"/>
      <c r="H13396" s="128"/>
      <c r="I13396" s="128"/>
    </row>
    <row r="13397" spans="1:9" ht="13.5">
      <c r="A13397" s="128"/>
      <c r="B13397" s="128"/>
      <c r="C13397" s="128"/>
      <c r="D13397" s="128"/>
      <c r="E13397" s="128"/>
      <c r="F13397" s="128"/>
      <c r="G13397" s="128"/>
      <c r="H13397" s="128"/>
      <c r="I13397" s="128"/>
    </row>
    <row r="13398" spans="1:9" ht="13.5">
      <c r="A13398" s="128"/>
      <c r="B13398" s="128"/>
      <c r="C13398" s="128"/>
      <c r="D13398" s="128"/>
      <c r="E13398" s="128"/>
      <c r="F13398" s="128"/>
      <c r="G13398" s="128"/>
      <c r="H13398" s="128"/>
      <c r="I13398" s="128"/>
    </row>
    <row r="13399" spans="1:9" ht="13.5">
      <c r="A13399" s="128"/>
      <c r="B13399" s="128"/>
      <c r="C13399" s="128"/>
      <c r="D13399" s="128"/>
      <c r="E13399" s="128"/>
      <c r="F13399" s="128"/>
      <c r="G13399" s="128"/>
      <c r="H13399" s="128"/>
      <c r="I13399" s="128"/>
    </row>
    <row r="13400" spans="1:9" ht="13.5">
      <c r="A13400" s="128"/>
      <c r="B13400" s="128"/>
      <c r="C13400" s="128"/>
      <c r="D13400" s="128"/>
      <c r="E13400" s="128"/>
      <c r="F13400" s="128"/>
      <c r="G13400" s="128"/>
      <c r="H13400" s="128"/>
      <c r="I13400" s="128"/>
    </row>
    <row r="13401" spans="1:9" ht="13.5">
      <c r="A13401" s="128"/>
      <c r="B13401" s="128"/>
      <c r="C13401" s="128"/>
      <c r="D13401" s="128"/>
      <c r="E13401" s="128"/>
      <c r="F13401" s="128"/>
      <c r="G13401" s="128"/>
      <c r="H13401" s="128"/>
      <c r="I13401" s="128"/>
    </row>
    <row r="13402" spans="1:9" ht="13.5">
      <c r="A13402" s="128"/>
      <c r="B13402" s="128"/>
      <c r="C13402" s="128"/>
      <c r="D13402" s="128"/>
      <c r="E13402" s="128"/>
      <c r="F13402" s="128"/>
      <c r="G13402" s="128"/>
      <c r="H13402" s="128"/>
      <c r="I13402" s="128"/>
    </row>
    <row r="13403" spans="1:9" ht="13.5">
      <c r="A13403" s="128"/>
      <c r="B13403" s="128"/>
      <c r="C13403" s="128"/>
      <c r="D13403" s="128"/>
      <c r="E13403" s="128"/>
      <c r="F13403" s="128"/>
      <c r="G13403" s="128"/>
      <c r="H13403" s="128"/>
      <c r="I13403" s="128"/>
    </row>
    <row r="13404" spans="1:9" ht="13.5">
      <c r="A13404" s="128"/>
      <c r="B13404" s="128"/>
      <c r="C13404" s="128"/>
      <c r="D13404" s="128"/>
      <c r="E13404" s="128"/>
      <c r="F13404" s="128"/>
      <c r="G13404" s="128"/>
      <c r="H13404" s="128"/>
      <c r="I13404" s="128"/>
    </row>
    <row r="13405" spans="1:9" ht="13.5">
      <c r="A13405" s="128"/>
      <c r="B13405" s="128"/>
      <c r="C13405" s="128"/>
      <c r="D13405" s="128"/>
      <c r="E13405" s="128"/>
      <c r="F13405" s="128"/>
      <c r="G13405" s="128"/>
      <c r="H13405" s="128"/>
      <c r="I13405" s="128"/>
    </row>
    <row r="13406" spans="1:9" ht="13.5">
      <c r="A13406" s="128"/>
      <c r="B13406" s="128"/>
      <c r="C13406" s="128"/>
      <c r="D13406" s="128"/>
      <c r="E13406" s="128"/>
      <c r="F13406" s="128"/>
      <c r="G13406" s="128"/>
      <c r="H13406" s="128"/>
      <c r="I13406" s="128"/>
    </row>
    <row r="13407" spans="1:9" ht="13.5">
      <c r="A13407" s="128"/>
      <c r="B13407" s="128"/>
      <c r="C13407" s="128"/>
      <c r="D13407" s="128"/>
      <c r="E13407" s="128"/>
      <c r="F13407" s="128"/>
      <c r="G13407" s="128"/>
      <c r="H13407" s="128"/>
      <c r="I13407" s="128"/>
    </row>
    <row r="13408" spans="1:9" ht="13.5">
      <c r="A13408" s="128"/>
      <c r="B13408" s="128"/>
      <c r="C13408" s="128"/>
      <c r="D13408" s="128"/>
      <c r="E13408" s="128"/>
      <c r="F13408" s="128"/>
      <c r="G13408" s="128"/>
      <c r="H13408" s="128"/>
      <c r="I13408" s="128"/>
    </row>
    <row r="13409" spans="1:9" ht="13.5">
      <c r="A13409" s="128"/>
      <c r="B13409" s="128"/>
      <c r="C13409" s="128"/>
      <c r="D13409" s="128"/>
      <c r="E13409" s="128"/>
      <c r="F13409" s="128"/>
      <c r="G13409" s="128"/>
      <c r="H13409" s="128"/>
      <c r="I13409" s="128"/>
    </row>
    <row r="13410" spans="1:9" ht="13.5">
      <c r="A13410" s="128"/>
      <c r="B13410" s="128"/>
      <c r="C13410" s="128"/>
      <c r="D13410" s="128"/>
      <c r="E13410" s="128"/>
      <c r="F13410" s="128"/>
      <c r="G13410" s="128"/>
      <c r="H13410" s="128"/>
      <c r="I13410" s="128"/>
    </row>
    <row r="13411" spans="1:9" ht="13.5">
      <c r="A13411" s="128"/>
      <c r="B13411" s="128"/>
      <c r="C13411" s="128"/>
      <c r="D13411" s="128"/>
      <c r="E13411" s="128"/>
      <c r="F13411" s="128"/>
      <c r="G13411" s="128"/>
      <c r="H13411" s="128"/>
      <c r="I13411" s="128"/>
    </row>
    <row r="13412" spans="1:9" ht="13.5">
      <c r="A13412" s="128"/>
      <c r="B13412" s="128"/>
      <c r="C13412" s="128"/>
      <c r="D13412" s="128"/>
      <c r="E13412" s="128"/>
      <c r="F13412" s="128"/>
      <c r="G13412" s="128"/>
      <c r="H13412" s="128"/>
      <c r="I13412" s="128"/>
    </row>
    <row r="13413" spans="1:9" ht="13.5">
      <c r="A13413" s="128"/>
      <c r="B13413" s="128"/>
      <c r="C13413" s="128"/>
      <c r="D13413" s="128"/>
      <c r="E13413" s="128"/>
      <c r="F13413" s="128"/>
      <c r="G13413" s="128"/>
      <c r="H13413" s="128"/>
      <c r="I13413" s="128"/>
    </row>
    <row r="13414" spans="1:9" ht="13.5">
      <c r="A13414" s="128"/>
      <c r="B13414" s="128"/>
      <c r="C13414" s="128"/>
      <c r="D13414" s="128"/>
      <c r="E13414" s="128"/>
      <c r="F13414" s="128"/>
      <c r="G13414" s="128"/>
      <c r="H13414" s="128"/>
      <c r="I13414" s="128"/>
    </row>
    <row r="13415" spans="1:9" ht="13.5">
      <c r="A13415" s="128"/>
      <c r="B13415" s="128"/>
      <c r="C13415" s="128"/>
      <c r="D13415" s="128"/>
      <c r="E13415" s="128"/>
      <c r="F13415" s="128"/>
      <c r="G13415" s="128"/>
      <c r="H13415" s="128"/>
      <c r="I13415" s="128"/>
    </row>
    <row r="13416" spans="1:9" ht="13.5">
      <c r="A13416" s="128"/>
      <c r="B13416" s="128"/>
      <c r="C13416" s="128"/>
      <c r="D13416" s="128"/>
      <c r="E13416" s="128"/>
      <c r="F13416" s="128"/>
      <c r="G13416" s="128"/>
      <c r="H13416" s="128"/>
      <c r="I13416" s="128"/>
    </row>
    <row r="13417" spans="1:9" ht="13.5">
      <c r="A13417" s="128"/>
      <c r="B13417" s="128"/>
      <c r="C13417" s="128"/>
      <c r="D13417" s="128"/>
      <c r="E13417" s="128"/>
      <c r="F13417" s="128"/>
      <c r="G13417" s="128"/>
      <c r="H13417" s="128"/>
      <c r="I13417" s="128"/>
    </row>
    <row r="13418" spans="1:9" ht="13.5">
      <c r="A13418" s="128"/>
      <c r="B13418" s="128"/>
      <c r="C13418" s="128"/>
      <c r="D13418" s="128"/>
      <c r="E13418" s="128"/>
      <c r="F13418" s="128"/>
      <c r="G13418" s="128"/>
      <c r="H13418" s="128"/>
      <c r="I13418" s="128"/>
    </row>
    <row r="13419" spans="1:9" ht="13.5">
      <c r="A13419" s="128"/>
      <c r="B13419" s="128"/>
      <c r="C13419" s="128"/>
      <c r="D13419" s="128"/>
      <c r="E13419" s="128"/>
      <c r="F13419" s="128"/>
      <c r="G13419" s="128"/>
      <c r="H13419" s="128"/>
      <c r="I13419" s="128"/>
    </row>
    <row r="13420" spans="1:9" ht="13.5">
      <c r="A13420" s="128"/>
      <c r="B13420" s="128"/>
      <c r="C13420" s="128"/>
      <c r="D13420" s="128"/>
      <c r="E13420" s="128"/>
      <c r="F13420" s="128"/>
      <c r="G13420" s="128"/>
      <c r="H13420" s="128"/>
      <c r="I13420" s="128"/>
    </row>
    <row r="13421" spans="1:9" ht="13.5">
      <c r="A13421" s="128"/>
      <c r="B13421" s="128"/>
      <c r="C13421" s="128"/>
      <c r="D13421" s="128"/>
      <c r="E13421" s="128"/>
      <c r="F13421" s="128"/>
      <c r="G13421" s="128"/>
      <c r="H13421" s="128"/>
      <c r="I13421" s="128"/>
    </row>
    <row r="13422" spans="1:9" ht="13.5">
      <c r="A13422" s="128"/>
      <c r="B13422" s="128"/>
      <c r="C13422" s="128"/>
      <c r="D13422" s="128"/>
      <c r="E13422" s="128"/>
      <c r="F13422" s="128"/>
      <c r="G13422" s="128"/>
      <c r="H13422" s="128"/>
      <c r="I13422" s="128"/>
    </row>
    <row r="13423" spans="1:9" ht="13.5">
      <c r="A13423" s="128"/>
      <c r="B13423" s="128"/>
      <c r="C13423" s="128"/>
      <c r="D13423" s="128"/>
      <c r="E13423" s="128"/>
      <c r="F13423" s="128"/>
      <c r="G13423" s="128"/>
      <c r="H13423" s="128"/>
      <c r="I13423" s="128"/>
    </row>
    <row r="13424" spans="1:9" ht="13.5">
      <c r="A13424" s="128"/>
      <c r="B13424" s="128"/>
      <c r="C13424" s="128"/>
      <c r="D13424" s="128"/>
      <c r="E13424" s="128"/>
      <c r="F13424" s="128"/>
      <c r="G13424" s="128"/>
      <c r="H13424" s="128"/>
      <c r="I13424" s="128"/>
    </row>
    <row r="13425" spans="1:9" ht="13.5">
      <c r="A13425" s="128"/>
      <c r="B13425" s="128"/>
      <c r="C13425" s="128"/>
      <c r="D13425" s="128"/>
      <c r="E13425" s="128"/>
      <c r="F13425" s="128"/>
      <c r="G13425" s="128"/>
      <c r="H13425" s="128"/>
      <c r="I13425" s="128"/>
    </row>
    <row r="13426" spans="1:9" ht="13.5">
      <c r="A13426" s="128"/>
      <c r="B13426" s="128"/>
      <c r="C13426" s="128"/>
      <c r="D13426" s="128"/>
      <c r="E13426" s="128"/>
      <c r="F13426" s="128"/>
      <c r="G13426" s="128"/>
      <c r="H13426" s="128"/>
      <c r="I13426" s="128"/>
    </row>
    <row r="13427" spans="1:9" ht="13.5">
      <c r="A13427" s="128"/>
      <c r="B13427" s="128"/>
      <c r="C13427" s="128"/>
      <c r="D13427" s="128"/>
      <c r="E13427" s="128"/>
      <c r="F13427" s="128"/>
      <c r="G13427" s="128"/>
      <c r="H13427" s="128"/>
      <c r="I13427" s="128"/>
    </row>
    <row r="13428" spans="1:9" ht="13.5">
      <c r="A13428" s="128"/>
      <c r="B13428" s="128"/>
      <c r="C13428" s="128"/>
      <c r="D13428" s="128"/>
      <c r="E13428" s="128"/>
      <c r="F13428" s="128"/>
      <c r="G13428" s="128"/>
      <c r="H13428" s="128"/>
      <c r="I13428" s="128"/>
    </row>
    <row r="13429" spans="1:9" ht="13.5">
      <c r="A13429" s="128"/>
      <c r="B13429" s="128"/>
      <c r="C13429" s="128"/>
      <c r="D13429" s="128"/>
      <c r="E13429" s="128"/>
      <c r="F13429" s="128"/>
      <c r="G13429" s="128"/>
      <c r="H13429" s="128"/>
      <c r="I13429" s="128"/>
    </row>
    <row r="13430" spans="1:9" ht="13.5">
      <c r="A13430" s="128"/>
      <c r="B13430" s="128"/>
      <c r="C13430" s="128"/>
      <c r="D13430" s="128"/>
      <c r="E13430" s="128"/>
      <c r="F13430" s="128"/>
      <c r="G13430" s="128"/>
      <c r="H13430" s="128"/>
      <c r="I13430" s="128"/>
    </row>
    <row r="13431" spans="1:9" ht="13.5">
      <c r="A13431" s="128"/>
      <c r="B13431" s="128"/>
      <c r="C13431" s="128"/>
      <c r="D13431" s="128"/>
      <c r="E13431" s="128"/>
      <c r="F13431" s="128"/>
      <c r="G13431" s="128"/>
      <c r="H13431" s="128"/>
      <c r="I13431" s="128"/>
    </row>
    <row r="13432" spans="1:9" ht="13.5">
      <c r="A13432" s="128"/>
      <c r="B13432" s="128"/>
      <c r="C13432" s="128"/>
      <c r="D13432" s="128"/>
      <c r="E13432" s="128"/>
      <c r="F13432" s="128"/>
      <c r="G13432" s="128"/>
      <c r="H13432" s="128"/>
      <c r="I13432" s="128"/>
    </row>
    <row r="13433" spans="1:9" ht="13.5">
      <c r="A13433" s="128"/>
      <c r="B13433" s="128"/>
      <c r="C13433" s="128"/>
      <c r="D13433" s="128"/>
      <c r="E13433" s="128"/>
      <c r="F13433" s="128"/>
      <c r="G13433" s="128"/>
      <c r="H13433" s="128"/>
      <c r="I13433" s="128"/>
    </row>
    <row r="13434" spans="1:9" ht="13.5">
      <c r="A13434" s="128"/>
      <c r="B13434" s="128"/>
      <c r="C13434" s="128"/>
      <c r="D13434" s="128"/>
      <c r="E13434" s="128"/>
      <c r="F13434" s="128"/>
      <c r="G13434" s="128"/>
      <c r="H13434" s="128"/>
      <c r="I13434" s="128"/>
    </row>
    <row r="13435" spans="1:9" ht="13.5">
      <c r="A13435" s="128"/>
      <c r="B13435" s="128"/>
      <c r="C13435" s="128"/>
      <c r="D13435" s="128"/>
      <c r="E13435" s="128"/>
      <c r="F13435" s="128"/>
      <c r="G13435" s="128"/>
      <c r="H13435" s="128"/>
      <c r="I13435" s="128"/>
    </row>
    <row r="13436" spans="1:9" ht="13.5">
      <c r="A13436" s="128"/>
      <c r="B13436" s="128"/>
      <c r="C13436" s="128"/>
      <c r="D13436" s="128"/>
      <c r="E13436" s="128"/>
      <c r="F13436" s="128"/>
      <c r="G13436" s="128"/>
      <c r="H13436" s="128"/>
      <c r="I13436" s="128"/>
    </row>
    <row r="13437" spans="1:9" ht="13.5">
      <c r="A13437" s="128"/>
      <c r="B13437" s="128"/>
      <c r="C13437" s="128"/>
      <c r="D13437" s="128"/>
      <c r="E13437" s="128"/>
      <c r="F13437" s="128"/>
      <c r="G13437" s="128"/>
      <c r="H13437" s="128"/>
      <c r="I13437" s="128"/>
    </row>
    <row r="13438" spans="1:9" ht="13.5">
      <c r="A13438" s="128"/>
      <c r="B13438" s="128"/>
      <c r="C13438" s="128"/>
      <c r="D13438" s="128"/>
      <c r="E13438" s="128"/>
      <c r="F13438" s="128"/>
      <c r="G13438" s="128"/>
      <c r="H13438" s="128"/>
      <c r="I13438" s="128"/>
    </row>
    <row r="13439" spans="1:9" ht="13.5">
      <c r="A13439" s="128"/>
      <c r="B13439" s="128"/>
      <c r="C13439" s="128"/>
      <c r="D13439" s="128"/>
      <c r="E13439" s="128"/>
      <c r="F13439" s="128"/>
      <c r="G13439" s="128"/>
      <c r="H13439" s="128"/>
      <c r="I13439" s="128"/>
    </row>
    <row r="13440" spans="1:9" ht="13.5">
      <c r="A13440" s="128"/>
      <c r="B13440" s="128"/>
      <c r="C13440" s="128"/>
      <c r="D13440" s="128"/>
      <c r="E13440" s="128"/>
      <c r="F13440" s="128"/>
      <c r="G13440" s="128"/>
      <c r="H13440" s="128"/>
      <c r="I13440" s="128"/>
    </row>
    <row r="13441" spans="1:9" ht="13.5">
      <c r="A13441" s="128"/>
      <c r="B13441" s="128"/>
      <c r="C13441" s="128"/>
      <c r="D13441" s="128"/>
      <c r="E13441" s="128"/>
      <c r="F13441" s="128"/>
      <c r="G13441" s="128"/>
      <c r="H13441" s="128"/>
      <c r="I13441" s="128"/>
    </row>
    <row r="13442" spans="1:9" ht="13.5">
      <c r="A13442" s="128"/>
      <c r="B13442" s="128"/>
      <c r="C13442" s="128"/>
      <c r="D13442" s="128"/>
      <c r="E13442" s="128"/>
      <c r="F13442" s="128"/>
      <c r="G13442" s="128"/>
      <c r="H13442" s="128"/>
      <c r="I13442" s="128"/>
    </row>
    <row r="13443" spans="1:9" ht="13.5">
      <c r="A13443" s="128"/>
      <c r="B13443" s="128"/>
      <c r="C13443" s="128"/>
      <c r="D13443" s="128"/>
      <c r="E13443" s="128"/>
      <c r="F13443" s="128"/>
      <c r="G13443" s="128"/>
      <c r="H13443" s="128"/>
      <c r="I13443" s="128"/>
    </row>
    <row r="13444" spans="1:9" ht="13.5">
      <c r="A13444" s="128"/>
      <c r="B13444" s="128"/>
      <c r="C13444" s="128"/>
      <c r="D13444" s="128"/>
      <c r="E13444" s="128"/>
      <c r="F13444" s="128"/>
      <c r="G13444" s="128"/>
      <c r="H13444" s="128"/>
      <c r="I13444" s="128"/>
    </row>
    <row r="13445" spans="1:9" ht="13.5">
      <c r="A13445" s="128"/>
      <c r="B13445" s="128"/>
      <c r="C13445" s="128"/>
      <c r="D13445" s="128"/>
      <c r="E13445" s="128"/>
      <c r="F13445" s="128"/>
      <c r="G13445" s="128"/>
      <c r="H13445" s="128"/>
      <c r="I13445" s="128"/>
    </row>
    <row r="13446" spans="1:9" ht="13.5">
      <c r="A13446" s="128"/>
      <c r="B13446" s="128"/>
      <c r="C13446" s="128"/>
      <c r="D13446" s="128"/>
      <c r="E13446" s="128"/>
      <c r="F13446" s="128"/>
      <c r="G13446" s="128"/>
      <c r="H13446" s="128"/>
      <c r="I13446" s="128"/>
    </row>
    <row r="13447" spans="1:9" ht="13.5">
      <c r="A13447" s="128"/>
      <c r="B13447" s="128"/>
      <c r="C13447" s="128"/>
      <c r="D13447" s="128"/>
      <c r="E13447" s="128"/>
      <c r="F13447" s="128"/>
      <c r="G13447" s="128"/>
      <c r="H13447" s="128"/>
      <c r="I13447" s="128"/>
    </row>
    <row r="13448" spans="1:9" ht="13.5">
      <c r="A13448" s="128"/>
      <c r="B13448" s="128"/>
      <c r="C13448" s="128"/>
      <c r="D13448" s="128"/>
      <c r="E13448" s="128"/>
      <c r="F13448" s="128"/>
      <c r="G13448" s="128"/>
      <c r="H13448" s="128"/>
      <c r="I13448" s="128"/>
    </row>
    <row r="13449" spans="1:9" ht="13.5">
      <c r="A13449" s="128"/>
      <c r="B13449" s="128"/>
      <c r="C13449" s="128"/>
      <c r="D13449" s="128"/>
      <c r="E13449" s="128"/>
      <c r="F13449" s="128"/>
      <c r="G13449" s="128"/>
      <c r="H13449" s="128"/>
      <c r="I13449" s="128"/>
    </row>
    <row r="13450" spans="1:9" ht="13.5">
      <c r="A13450" s="128"/>
      <c r="B13450" s="128"/>
      <c r="C13450" s="128"/>
      <c r="D13450" s="128"/>
      <c r="E13450" s="128"/>
      <c r="F13450" s="128"/>
      <c r="G13450" s="128"/>
      <c r="H13450" s="128"/>
      <c r="I13450" s="128"/>
    </row>
    <row r="13451" spans="1:9" ht="13.5">
      <c r="A13451" s="128"/>
      <c r="B13451" s="128"/>
      <c r="C13451" s="128"/>
      <c r="D13451" s="128"/>
      <c r="E13451" s="128"/>
      <c r="F13451" s="128"/>
      <c r="G13451" s="128"/>
      <c r="H13451" s="128"/>
      <c r="I13451" s="128"/>
    </row>
    <row r="13452" spans="1:9" ht="13.5">
      <c r="A13452" s="128"/>
      <c r="B13452" s="128"/>
      <c r="C13452" s="128"/>
      <c r="D13452" s="128"/>
      <c r="E13452" s="128"/>
      <c r="F13452" s="128"/>
      <c r="G13452" s="128"/>
      <c r="H13452" s="128"/>
      <c r="I13452" s="128"/>
    </row>
    <row r="13453" spans="1:9" ht="13.5">
      <c r="A13453" s="128"/>
      <c r="B13453" s="128"/>
      <c r="C13453" s="128"/>
      <c r="D13453" s="128"/>
      <c r="E13453" s="128"/>
      <c r="F13453" s="128"/>
      <c r="G13453" s="128"/>
      <c r="H13453" s="128"/>
      <c r="I13453" s="128"/>
    </row>
    <row r="13454" spans="1:9" ht="13.5">
      <c r="A13454" s="128"/>
      <c r="B13454" s="128"/>
      <c r="C13454" s="128"/>
      <c r="D13454" s="128"/>
      <c r="E13454" s="128"/>
      <c r="F13454" s="128"/>
      <c r="G13454" s="128"/>
      <c r="H13454" s="128"/>
      <c r="I13454" s="128"/>
    </row>
    <row r="13455" spans="1:9" ht="13.5">
      <c r="A13455" s="128"/>
      <c r="B13455" s="128"/>
      <c r="C13455" s="128"/>
      <c r="D13455" s="128"/>
      <c r="E13455" s="128"/>
      <c r="F13455" s="128"/>
      <c r="G13455" s="128"/>
      <c r="H13455" s="128"/>
      <c r="I13455" s="128"/>
    </row>
    <row r="13456" spans="1:9" ht="13.5">
      <c r="A13456" s="128"/>
      <c r="B13456" s="128"/>
      <c r="C13456" s="128"/>
      <c r="D13456" s="128"/>
      <c r="E13456" s="128"/>
      <c r="F13456" s="128"/>
      <c r="G13456" s="128"/>
      <c r="H13456" s="128"/>
      <c r="I13456" s="128"/>
    </row>
    <row r="13457" spans="1:9" ht="13.5">
      <c r="A13457" s="128"/>
      <c r="B13457" s="128"/>
      <c r="C13457" s="128"/>
      <c r="D13457" s="128"/>
      <c r="E13457" s="128"/>
      <c r="F13457" s="128"/>
      <c r="G13457" s="128"/>
      <c r="H13457" s="128"/>
      <c r="I13457" s="128"/>
    </row>
    <row r="13458" spans="1:9" ht="13.5">
      <c r="A13458" s="128"/>
      <c r="B13458" s="128"/>
      <c r="C13458" s="128"/>
      <c r="D13458" s="128"/>
      <c r="E13458" s="128"/>
      <c r="F13458" s="128"/>
      <c r="G13458" s="128"/>
      <c r="H13458" s="128"/>
      <c r="I13458" s="128"/>
    </row>
    <row r="13459" spans="1:9" ht="13.5">
      <c r="A13459" s="128"/>
      <c r="B13459" s="128"/>
      <c r="C13459" s="128"/>
      <c r="D13459" s="128"/>
      <c r="E13459" s="128"/>
      <c r="F13459" s="128"/>
      <c r="G13459" s="128"/>
      <c r="H13459" s="128"/>
      <c r="I13459" s="128"/>
    </row>
    <row r="13460" spans="1:9" ht="13.5">
      <c r="A13460" s="128"/>
      <c r="B13460" s="128"/>
      <c r="C13460" s="128"/>
      <c r="D13460" s="128"/>
      <c r="E13460" s="128"/>
      <c r="F13460" s="128"/>
      <c r="G13460" s="128"/>
      <c r="H13460" s="128"/>
      <c r="I13460" s="128"/>
    </row>
    <row r="13461" spans="1:9" ht="13.5">
      <c r="A13461" s="128"/>
      <c r="B13461" s="128"/>
      <c r="C13461" s="128"/>
      <c r="D13461" s="128"/>
      <c r="E13461" s="128"/>
      <c r="F13461" s="128"/>
      <c r="G13461" s="128"/>
      <c r="H13461" s="128"/>
      <c r="I13461" s="128"/>
    </row>
    <row r="13462" spans="1:9" ht="13.5">
      <c r="A13462" s="128"/>
      <c r="B13462" s="128"/>
      <c r="C13462" s="128"/>
      <c r="D13462" s="128"/>
      <c r="E13462" s="128"/>
      <c r="F13462" s="128"/>
      <c r="G13462" s="128"/>
      <c r="H13462" s="128"/>
      <c r="I13462" s="128"/>
    </row>
    <row r="13463" spans="1:9" ht="13.5">
      <c r="A13463" s="128"/>
      <c r="B13463" s="128"/>
      <c r="C13463" s="128"/>
      <c r="D13463" s="128"/>
      <c r="E13463" s="128"/>
      <c r="F13463" s="128"/>
      <c r="G13463" s="128"/>
      <c r="H13463" s="128"/>
      <c r="I13463" s="128"/>
    </row>
    <row r="13464" spans="1:9" ht="13.5">
      <c r="A13464" s="128"/>
      <c r="B13464" s="128"/>
      <c r="C13464" s="128"/>
      <c r="D13464" s="128"/>
      <c r="E13464" s="128"/>
      <c r="F13464" s="128"/>
      <c r="G13464" s="128"/>
      <c r="H13464" s="128"/>
      <c r="I13464" s="128"/>
    </row>
    <row r="13465" spans="1:9" ht="13.5">
      <c r="A13465" s="128"/>
      <c r="B13465" s="128"/>
      <c r="C13465" s="128"/>
      <c r="D13465" s="128"/>
      <c r="E13465" s="128"/>
      <c r="F13465" s="128"/>
      <c r="G13465" s="128"/>
      <c r="H13465" s="128"/>
      <c r="I13465" s="128"/>
    </row>
    <row r="13466" spans="1:9" ht="13.5">
      <c r="A13466" s="128"/>
      <c r="B13466" s="128"/>
      <c r="C13466" s="128"/>
      <c r="D13466" s="128"/>
      <c r="E13466" s="128"/>
      <c r="F13466" s="128"/>
      <c r="G13466" s="128"/>
      <c r="H13466" s="128"/>
      <c r="I13466" s="128"/>
    </row>
    <row r="13467" spans="1:9" ht="13.5">
      <c r="A13467" s="128"/>
      <c r="B13467" s="128"/>
      <c r="C13467" s="128"/>
      <c r="D13467" s="128"/>
      <c r="E13467" s="128"/>
      <c r="F13467" s="128"/>
      <c r="G13467" s="128"/>
      <c r="H13467" s="128"/>
      <c r="I13467" s="128"/>
    </row>
    <row r="13468" spans="1:9" ht="13.5">
      <c r="A13468" s="128"/>
      <c r="B13468" s="128"/>
      <c r="C13468" s="128"/>
      <c r="D13468" s="128"/>
      <c r="E13468" s="128"/>
      <c r="F13468" s="128"/>
      <c r="G13468" s="128"/>
      <c r="H13468" s="128"/>
      <c r="I13468" s="128"/>
    </row>
    <row r="13469" spans="1:9" ht="13.5">
      <c r="A13469" s="128"/>
      <c r="B13469" s="128"/>
      <c r="C13469" s="128"/>
      <c r="D13469" s="128"/>
      <c r="E13469" s="128"/>
      <c r="F13469" s="128"/>
      <c r="G13469" s="128"/>
      <c r="H13469" s="128"/>
      <c r="I13469" s="128"/>
    </row>
    <row r="13470" spans="1:9" ht="13.5">
      <c r="A13470" s="128"/>
      <c r="B13470" s="128"/>
      <c r="C13470" s="128"/>
      <c r="D13470" s="128"/>
      <c r="E13470" s="128"/>
      <c r="F13470" s="128"/>
      <c r="G13470" s="128"/>
      <c r="H13470" s="128"/>
      <c r="I13470" s="128"/>
    </row>
    <row r="13471" spans="1:9" ht="13.5">
      <c r="A13471" s="128"/>
      <c r="B13471" s="128"/>
      <c r="C13471" s="128"/>
      <c r="D13471" s="128"/>
      <c r="E13471" s="128"/>
      <c r="F13471" s="128"/>
      <c r="G13471" s="128"/>
      <c r="H13471" s="128"/>
      <c r="I13471" s="128"/>
    </row>
    <row r="13472" spans="1:9" ht="13.5">
      <c r="A13472" s="128"/>
      <c r="B13472" s="128"/>
      <c r="C13472" s="128"/>
      <c r="D13472" s="128"/>
      <c r="E13472" s="128"/>
      <c r="F13472" s="128"/>
      <c r="G13472" s="128"/>
      <c r="H13472" s="128"/>
      <c r="I13472" s="128"/>
    </row>
    <row r="13473" spans="1:9" ht="13.5">
      <c r="A13473" s="128"/>
      <c r="B13473" s="128"/>
      <c r="C13473" s="128"/>
      <c r="D13473" s="128"/>
      <c r="E13473" s="128"/>
      <c r="F13473" s="128"/>
      <c r="G13473" s="128"/>
      <c r="H13473" s="128"/>
      <c r="I13473" s="128"/>
    </row>
    <row r="13474" spans="1:9" ht="13.5">
      <c r="A13474" s="128"/>
      <c r="B13474" s="128"/>
      <c r="C13474" s="128"/>
      <c r="D13474" s="128"/>
      <c r="E13474" s="128"/>
      <c r="F13474" s="128"/>
      <c r="G13474" s="128"/>
      <c r="H13474" s="128"/>
      <c r="I13474" s="128"/>
    </row>
    <row r="13475" spans="1:9" ht="13.5">
      <c r="A13475" s="128"/>
      <c r="B13475" s="128"/>
      <c r="C13475" s="128"/>
      <c r="D13475" s="128"/>
      <c r="E13475" s="128"/>
      <c r="F13475" s="128"/>
      <c r="G13475" s="128"/>
      <c r="H13475" s="128"/>
      <c r="I13475" s="128"/>
    </row>
    <row r="13476" spans="1:9" ht="13.5">
      <c r="A13476" s="128"/>
      <c r="B13476" s="128"/>
      <c r="C13476" s="128"/>
      <c r="D13476" s="128"/>
      <c r="E13476" s="128"/>
      <c r="F13476" s="128"/>
      <c r="G13476" s="128"/>
      <c r="H13476" s="128"/>
      <c r="I13476" s="128"/>
    </row>
    <row r="13477" spans="1:9" ht="13.5">
      <c r="A13477" s="128"/>
      <c r="B13477" s="128"/>
      <c r="C13477" s="128"/>
      <c r="D13477" s="128"/>
      <c r="E13477" s="128"/>
      <c r="F13477" s="128"/>
      <c r="G13477" s="128"/>
      <c r="H13477" s="128"/>
      <c r="I13477" s="128"/>
    </row>
    <row r="13478" spans="1:9" ht="13.5">
      <c r="A13478" s="128"/>
      <c r="B13478" s="128"/>
      <c r="C13478" s="128"/>
      <c r="D13478" s="128"/>
      <c r="E13478" s="128"/>
      <c r="F13478" s="128"/>
      <c r="G13478" s="128"/>
      <c r="H13478" s="128"/>
      <c r="I13478" s="128"/>
    </row>
    <row r="13479" spans="1:9" ht="13.5">
      <c r="A13479" s="128"/>
      <c r="B13479" s="128"/>
      <c r="C13479" s="128"/>
      <c r="D13479" s="128"/>
      <c r="E13479" s="128"/>
      <c r="F13479" s="128"/>
      <c r="G13479" s="128"/>
      <c r="H13479" s="128"/>
      <c r="I13479" s="128"/>
    </row>
    <row r="13480" spans="1:9" ht="13.5">
      <c r="A13480" s="128"/>
      <c r="B13480" s="128"/>
      <c r="C13480" s="128"/>
      <c r="D13480" s="128"/>
      <c r="E13480" s="128"/>
      <c r="F13480" s="128"/>
      <c r="G13480" s="128"/>
      <c r="H13480" s="128"/>
      <c r="I13480" s="128"/>
    </row>
    <row r="13481" spans="1:9" ht="13.5">
      <c r="A13481" s="128"/>
      <c r="B13481" s="128"/>
      <c r="C13481" s="128"/>
      <c r="D13481" s="128"/>
      <c r="E13481" s="128"/>
      <c r="F13481" s="128"/>
      <c r="G13481" s="128"/>
      <c r="H13481" s="128"/>
      <c r="I13481" s="128"/>
    </row>
    <row r="13482" spans="1:9" ht="13.5">
      <c r="A13482" s="128"/>
      <c r="B13482" s="128"/>
      <c r="C13482" s="128"/>
      <c r="D13482" s="128"/>
      <c r="E13482" s="128"/>
      <c r="F13482" s="128"/>
      <c r="G13482" s="128"/>
      <c r="H13482" s="128"/>
      <c r="I13482" s="128"/>
    </row>
    <row r="13483" spans="1:9" ht="13.5">
      <c r="A13483" s="128"/>
      <c r="B13483" s="128"/>
      <c r="C13483" s="128"/>
      <c r="D13483" s="128"/>
      <c r="E13483" s="128"/>
      <c r="F13483" s="128"/>
      <c r="G13483" s="128"/>
      <c r="H13483" s="128"/>
      <c r="I13483" s="128"/>
    </row>
    <row r="13484" spans="1:9" ht="13.5">
      <c r="A13484" s="128"/>
      <c r="B13484" s="128"/>
      <c r="C13484" s="128"/>
      <c r="D13484" s="128"/>
      <c r="E13484" s="128"/>
      <c r="F13484" s="128"/>
      <c r="G13484" s="128"/>
      <c r="H13484" s="128"/>
      <c r="I13484" s="128"/>
    </row>
    <row r="13485" spans="1:9" ht="13.5">
      <c r="A13485" s="128"/>
      <c r="B13485" s="128"/>
      <c r="C13485" s="128"/>
      <c r="D13485" s="128"/>
      <c r="E13485" s="128"/>
      <c r="F13485" s="128"/>
      <c r="G13485" s="128"/>
      <c r="H13485" s="128"/>
      <c r="I13485" s="128"/>
    </row>
    <row r="13486" spans="1:9" ht="13.5">
      <c r="A13486" s="128"/>
      <c r="B13486" s="128"/>
      <c r="C13486" s="128"/>
      <c r="D13486" s="128"/>
      <c r="E13486" s="128"/>
      <c r="F13486" s="128"/>
      <c r="G13486" s="128"/>
      <c r="H13486" s="128"/>
      <c r="I13486" s="128"/>
    </row>
    <row r="13487" spans="1:9" ht="13.5">
      <c r="A13487" s="128"/>
      <c r="B13487" s="128"/>
      <c r="C13487" s="128"/>
      <c r="D13487" s="128"/>
      <c r="E13487" s="128"/>
      <c r="F13487" s="128"/>
      <c r="G13487" s="128"/>
      <c r="H13487" s="128"/>
      <c r="I13487" s="128"/>
    </row>
    <row r="13488" spans="1:9" ht="13.5">
      <c r="A13488" s="128"/>
      <c r="B13488" s="128"/>
      <c r="C13488" s="128"/>
      <c r="D13488" s="128"/>
      <c r="E13488" s="128"/>
      <c r="F13488" s="128"/>
      <c r="G13488" s="128"/>
      <c r="H13488" s="128"/>
      <c r="I13488" s="128"/>
    </row>
    <row r="13489" spans="1:9" ht="13.5">
      <c r="A13489" s="128"/>
      <c r="B13489" s="128"/>
      <c r="C13489" s="128"/>
      <c r="D13489" s="128"/>
      <c r="E13489" s="128"/>
      <c r="F13489" s="128"/>
      <c r="G13489" s="128"/>
      <c r="H13489" s="128"/>
      <c r="I13489" s="128"/>
    </row>
    <row r="13490" spans="1:9" ht="13.5">
      <c r="A13490" s="128"/>
      <c r="B13490" s="128"/>
      <c r="C13490" s="128"/>
      <c r="D13490" s="128"/>
      <c r="E13490" s="128"/>
      <c r="F13490" s="128"/>
      <c r="G13490" s="128"/>
      <c r="H13490" s="128"/>
      <c r="I13490" s="128"/>
    </row>
    <row r="13491" spans="1:9" ht="13.5">
      <c r="A13491" s="128"/>
      <c r="B13491" s="128"/>
      <c r="C13491" s="128"/>
      <c r="D13491" s="128"/>
      <c r="E13491" s="128"/>
      <c r="F13491" s="128"/>
      <c r="G13491" s="128"/>
      <c r="H13491" s="128"/>
      <c r="I13491" s="128"/>
    </row>
    <row r="13492" spans="1:9" ht="13.5">
      <c r="A13492" s="128"/>
      <c r="B13492" s="128"/>
      <c r="C13492" s="128"/>
      <c r="D13492" s="128"/>
      <c r="E13492" s="128"/>
      <c r="F13492" s="128"/>
      <c r="G13492" s="128"/>
      <c r="H13492" s="128"/>
      <c r="I13492" s="128"/>
    </row>
    <row r="13493" spans="1:9" ht="13.5">
      <c r="A13493" s="128"/>
      <c r="B13493" s="128"/>
      <c r="C13493" s="128"/>
      <c r="D13493" s="128"/>
      <c r="E13493" s="128"/>
      <c r="F13493" s="128"/>
      <c r="G13493" s="128"/>
      <c r="H13493" s="128"/>
      <c r="I13493" s="128"/>
    </row>
    <row r="13494" spans="1:9" ht="13.5">
      <c r="A13494" s="128"/>
      <c r="B13494" s="128"/>
      <c r="C13494" s="128"/>
      <c r="D13494" s="128"/>
      <c r="E13494" s="128"/>
      <c r="F13494" s="128"/>
      <c r="G13494" s="128"/>
      <c r="H13494" s="128"/>
      <c r="I13494" s="128"/>
    </row>
    <row r="13495" spans="1:9" ht="13.5">
      <c r="A13495" s="128"/>
      <c r="B13495" s="128"/>
      <c r="C13495" s="128"/>
      <c r="D13495" s="128"/>
      <c r="E13495" s="128"/>
      <c r="F13495" s="128"/>
      <c r="G13495" s="128"/>
      <c r="H13495" s="128"/>
      <c r="I13495" s="128"/>
    </row>
    <row r="13496" spans="1:9" ht="13.5">
      <c r="A13496" s="128"/>
      <c r="B13496" s="128"/>
      <c r="C13496" s="128"/>
      <c r="D13496" s="128"/>
      <c r="E13496" s="128"/>
      <c r="F13496" s="128"/>
      <c r="G13496" s="128"/>
      <c r="H13496" s="128"/>
      <c r="I13496" s="128"/>
    </row>
    <row r="13497" spans="1:9" ht="13.5">
      <c r="A13497" s="128"/>
      <c r="B13497" s="128"/>
      <c r="C13497" s="128"/>
      <c r="D13497" s="128"/>
      <c r="E13497" s="128"/>
      <c r="F13497" s="128"/>
      <c r="G13497" s="128"/>
      <c r="H13497" s="128"/>
      <c r="I13497" s="128"/>
    </row>
    <row r="13498" spans="1:9" ht="13.5">
      <c r="A13498" s="128"/>
      <c r="B13498" s="128"/>
      <c r="C13498" s="128"/>
      <c r="D13498" s="128"/>
      <c r="E13498" s="128"/>
      <c r="F13498" s="128"/>
      <c r="G13498" s="128"/>
      <c r="H13498" s="128"/>
      <c r="I13498" s="128"/>
    </row>
    <row r="13499" spans="1:9" ht="13.5">
      <c r="A13499" s="128"/>
      <c r="B13499" s="128"/>
      <c r="C13499" s="128"/>
      <c r="D13499" s="128"/>
      <c r="E13499" s="128"/>
      <c r="F13499" s="128"/>
      <c r="G13499" s="128"/>
      <c r="H13499" s="128"/>
      <c r="I13499" s="128"/>
    </row>
    <row r="13500" spans="1:9" ht="13.5">
      <c r="A13500" s="128"/>
      <c r="B13500" s="128"/>
      <c r="C13500" s="128"/>
      <c r="D13500" s="128"/>
      <c r="E13500" s="128"/>
      <c r="F13500" s="128"/>
      <c r="G13500" s="128"/>
      <c r="H13500" s="128"/>
      <c r="I13500" s="128"/>
    </row>
    <row r="13501" spans="1:9" ht="13.5">
      <c r="A13501" s="128"/>
      <c r="B13501" s="128"/>
      <c r="C13501" s="128"/>
      <c r="D13501" s="128"/>
      <c r="E13501" s="128"/>
      <c r="F13501" s="128"/>
      <c r="G13501" s="128"/>
      <c r="H13501" s="128"/>
      <c r="I13501" s="128"/>
    </row>
    <row r="13502" spans="1:9" ht="13.5">
      <c r="A13502" s="128"/>
      <c r="B13502" s="128"/>
      <c r="C13502" s="128"/>
      <c r="D13502" s="128"/>
      <c r="E13502" s="128"/>
      <c r="F13502" s="128"/>
      <c r="G13502" s="128"/>
      <c r="H13502" s="128"/>
      <c r="I13502" s="128"/>
    </row>
    <row r="13503" spans="1:9" ht="13.5">
      <c r="A13503" s="128"/>
      <c r="B13503" s="128"/>
      <c r="C13503" s="128"/>
      <c r="D13503" s="128"/>
      <c r="E13503" s="128"/>
      <c r="F13503" s="128"/>
      <c r="G13503" s="128"/>
      <c r="H13503" s="128"/>
      <c r="I13503" s="128"/>
    </row>
    <row r="13504" spans="1:9" ht="13.5">
      <c r="A13504" s="128"/>
      <c r="B13504" s="128"/>
      <c r="C13504" s="128"/>
      <c r="D13504" s="128"/>
      <c r="E13504" s="128"/>
      <c r="F13504" s="128"/>
      <c r="G13504" s="128"/>
      <c r="H13504" s="128"/>
      <c r="I13504" s="128"/>
    </row>
    <row r="13505" spans="1:9" ht="13.5">
      <c r="A13505" s="128"/>
      <c r="B13505" s="128"/>
      <c r="C13505" s="128"/>
      <c r="D13505" s="128"/>
      <c r="E13505" s="128"/>
      <c r="F13505" s="128"/>
      <c r="G13505" s="128"/>
      <c r="H13505" s="128"/>
      <c r="I13505" s="128"/>
    </row>
    <row r="13506" spans="1:9" ht="13.5">
      <c r="A13506" s="128"/>
      <c r="B13506" s="128"/>
      <c r="C13506" s="128"/>
      <c r="D13506" s="128"/>
      <c r="E13506" s="128"/>
      <c r="F13506" s="128"/>
      <c r="G13506" s="128"/>
      <c r="H13506" s="128"/>
      <c r="I13506" s="128"/>
    </row>
    <row r="13507" spans="1:9" ht="13.5">
      <c r="A13507" s="128"/>
      <c r="B13507" s="128"/>
      <c r="C13507" s="128"/>
      <c r="D13507" s="128"/>
      <c r="E13507" s="128"/>
      <c r="F13507" s="128"/>
      <c r="G13507" s="128"/>
      <c r="H13507" s="128"/>
      <c r="I13507" s="128"/>
    </row>
    <row r="13508" spans="1:9" ht="13.5">
      <c r="A13508" s="128"/>
      <c r="B13508" s="128"/>
      <c r="C13508" s="128"/>
      <c r="D13508" s="128"/>
      <c r="E13508" s="128"/>
      <c r="F13508" s="128"/>
      <c r="G13508" s="128"/>
      <c r="H13508" s="128"/>
      <c r="I13508" s="128"/>
    </row>
    <row r="13509" spans="1:9" ht="13.5">
      <c r="A13509" s="128"/>
      <c r="B13509" s="128"/>
      <c r="C13509" s="128"/>
      <c r="D13509" s="128"/>
      <c r="E13509" s="128"/>
      <c r="F13509" s="128"/>
      <c r="G13509" s="128"/>
      <c r="H13509" s="128"/>
      <c r="I13509" s="128"/>
    </row>
    <row r="13510" spans="1:9" ht="13.5">
      <c r="A13510" s="128"/>
      <c r="B13510" s="128"/>
      <c r="C13510" s="128"/>
      <c r="D13510" s="128"/>
      <c r="E13510" s="128"/>
      <c r="F13510" s="128"/>
      <c r="G13510" s="128"/>
      <c r="H13510" s="128"/>
      <c r="I13510" s="128"/>
    </row>
    <row r="13511" spans="1:9" ht="13.5">
      <c r="A13511" s="128"/>
      <c r="B13511" s="128"/>
      <c r="C13511" s="128"/>
      <c r="D13511" s="128"/>
      <c r="E13511" s="128"/>
      <c r="F13511" s="128"/>
      <c r="G13511" s="128"/>
      <c r="H13511" s="128"/>
      <c r="I13511" s="128"/>
    </row>
    <row r="13512" spans="1:9" ht="13.5">
      <c r="A13512" s="128"/>
      <c r="B13512" s="128"/>
      <c r="C13512" s="128"/>
      <c r="D13512" s="128"/>
      <c r="E13512" s="128"/>
      <c r="F13512" s="128"/>
      <c r="G13512" s="128"/>
      <c r="H13512" s="128"/>
      <c r="I13512" s="128"/>
    </row>
    <row r="13513" spans="1:9" ht="13.5">
      <c r="A13513" s="128"/>
      <c r="B13513" s="128"/>
      <c r="C13513" s="128"/>
      <c r="D13513" s="128"/>
      <c r="E13513" s="128"/>
      <c r="F13513" s="128"/>
      <c r="G13513" s="128"/>
      <c r="H13513" s="128"/>
      <c r="I13513" s="128"/>
    </row>
    <row r="13514" spans="1:9" ht="13.5">
      <c r="A13514" s="128"/>
      <c r="B13514" s="128"/>
      <c r="C13514" s="128"/>
      <c r="D13514" s="128"/>
      <c r="E13514" s="128"/>
      <c r="F13514" s="128"/>
      <c r="G13514" s="128"/>
      <c r="H13514" s="128"/>
      <c r="I13514" s="128"/>
    </row>
    <row r="13515" spans="1:9" ht="13.5">
      <c r="A13515" s="128"/>
      <c r="B13515" s="128"/>
      <c r="C13515" s="128"/>
      <c r="D13515" s="128"/>
      <c r="E13515" s="128"/>
      <c r="F13515" s="128"/>
      <c r="G13515" s="128"/>
      <c r="H13515" s="128"/>
      <c r="I13515" s="128"/>
    </row>
    <row r="13516" spans="1:9" ht="13.5">
      <c r="A13516" s="128"/>
      <c r="B13516" s="128"/>
      <c r="C13516" s="128"/>
      <c r="D13516" s="128"/>
      <c r="E13516" s="128"/>
      <c r="F13516" s="128"/>
      <c r="G13516" s="128"/>
      <c r="H13516" s="128"/>
      <c r="I13516" s="128"/>
    </row>
    <row r="13517" spans="1:9" ht="13.5">
      <c r="A13517" s="128"/>
      <c r="B13517" s="128"/>
      <c r="C13517" s="128"/>
      <c r="D13517" s="128"/>
      <c r="E13517" s="128"/>
      <c r="F13517" s="128"/>
      <c r="G13517" s="128"/>
      <c r="H13517" s="128"/>
      <c r="I13517" s="128"/>
    </row>
    <row r="13518" spans="1:9" ht="13.5">
      <c r="A13518" s="128"/>
      <c r="B13518" s="128"/>
      <c r="C13518" s="128"/>
      <c r="D13518" s="128"/>
      <c r="E13518" s="128"/>
      <c r="F13518" s="128"/>
      <c r="G13518" s="128"/>
      <c r="H13518" s="128"/>
      <c r="I13518" s="128"/>
    </row>
    <row r="13519" spans="1:9" ht="13.5">
      <c r="A13519" s="128"/>
      <c r="B13519" s="128"/>
      <c r="C13519" s="128"/>
      <c r="D13519" s="128"/>
      <c r="E13519" s="128"/>
      <c r="F13519" s="128"/>
      <c r="G13519" s="128"/>
      <c r="H13519" s="128"/>
      <c r="I13519" s="128"/>
    </row>
    <row r="13520" spans="1:9" ht="13.5">
      <c r="A13520" s="128"/>
      <c r="B13520" s="128"/>
      <c r="C13520" s="128"/>
      <c r="D13520" s="128"/>
      <c r="E13520" s="128"/>
      <c r="F13520" s="128"/>
      <c r="G13520" s="128"/>
      <c r="H13520" s="128"/>
      <c r="I13520" s="128"/>
    </row>
    <row r="13521" spans="1:9" ht="13.5">
      <c r="A13521" s="128"/>
      <c r="B13521" s="128"/>
      <c r="C13521" s="128"/>
      <c r="D13521" s="128"/>
      <c r="E13521" s="128"/>
      <c r="F13521" s="128"/>
      <c r="G13521" s="128"/>
      <c r="H13521" s="128"/>
      <c r="I13521" s="128"/>
    </row>
    <row r="13522" spans="1:9" ht="13.5">
      <c r="A13522" s="128"/>
      <c r="B13522" s="128"/>
      <c r="C13522" s="128"/>
      <c r="D13522" s="128"/>
      <c r="E13522" s="128"/>
      <c r="F13522" s="128"/>
      <c r="G13522" s="128"/>
      <c r="H13522" s="128"/>
      <c r="I13522" s="128"/>
    </row>
    <row r="13523" spans="1:9" ht="13.5">
      <c r="A13523" s="128"/>
      <c r="B13523" s="128"/>
      <c r="C13523" s="128"/>
      <c r="D13523" s="128"/>
      <c r="E13523" s="128"/>
      <c r="F13523" s="128"/>
      <c r="G13523" s="128"/>
      <c r="H13523" s="128"/>
      <c r="I13523" s="128"/>
    </row>
    <row r="13524" spans="1:9" ht="13.5">
      <c r="A13524" s="128"/>
      <c r="B13524" s="128"/>
      <c r="C13524" s="128"/>
      <c r="D13524" s="128"/>
      <c r="E13524" s="128"/>
      <c r="F13524" s="128"/>
      <c r="G13524" s="128"/>
      <c r="H13524" s="128"/>
      <c r="I13524" s="128"/>
    </row>
    <row r="13525" spans="1:9" ht="13.5">
      <c r="A13525" s="128"/>
      <c r="B13525" s="128"/>
      <c r="C13525" s="128"/>
      <c r="D13525" s="128"/>
      <c r="E13525" s="128"/>
      <c r="F13525" s="128"/>
      <c r="G13525" s="128"/>
      <c r="H13525" s="128"/>
      <c r="I13525" s="128"/>
    </row>
    <row r="13526" spans="1:9" ht="13.5">
      <c r="A13526" s="128"/>
      <c r="B13526" s="128"/>
      <c r="C13526" s="128"/>
      <c r="D13526" s="128"/>
      <c r="E13526" s="128"/>
      <c r="F13526" s="128"/>
      <c r="G13526" s="128"/>
      <c r="H13526" s="128"/>
      <c r="I13526" s="128"/>
    </row>
    <row r="13527" spans="1:9" ht="13.5">
      <c r="A13527" s="128"/>
      <c r="B13527" s="128"/>
      <c r="C13527" s="128"/>
      <c r="D13527" s="128"/>
      <c r="E13527" s="128"/>
      <c r="F13527" s="128"/>
      <c r="G13527" s="128"/>
      <c r="H13527" s="128"/>
      <c r="I13527" s="128"/>
    </row>
    <row r="13528" spans="1:9" ht="13.5">
      <c r="A13528" s="128"/>
      <c r="B13528" s="128"/>
      <c r="C13528" s="128"/>
      <c r="D13528" s="128"/>
      <c r="E13528" s="128"/>
      <c r="F13528" s="128"/>
      <c r="G13528" s="128"/>
      <c r="H13528" s="128"/>
      <c r="I13528" s="128"/>
    </row>
    <row r="13529" spans="1:9" ht="13.5">
      <c r="A13529" s="128"/>
      <c r="B13529" s="128"/>
      <c r="C13529" s="128"/>
      <c r="D13529" s="128"/>
      <c r="E13529" s="128"/>
      <c r="F13529" s="128"/>
      <c r="G13529" s="128"/>
      <c r="H13529" s="128"/>
      <c r="I13529" s="128"/>
    </row>
    <row r="13530" spans="1:9" ht="13.5">
      <c r="A13530" s="128"/>
      <c r="B13530" s="128"/>
      <c r="C13530" s="128"/>
      <c r="D13530" s="128"/>
      <c r="E13530" s="128"/>
      <c r="F13530" s="128"/>
      <c r="G13530" s="128"/>
      <c r="H13530" s="128"/>
      <c r="I13530" s="128"/>
    </row>
    <row r="13531" spans="1:9" ht="13.5">
      <c r="A13531" s="128"/>
      <c r="B13531" s="128"/>
      <c r="C13531" s="128"/>
      <c r="D13531" s="128"/>
      <c r="E13531" s="128"/>
      <c r="F13531" s="128"/>
      <c r="G13531" s="128"/>
      <c r="H13531" s="128"/>
      <c r="I13531" s="128"/>
    </row>
    <row r="13532" spans="1:9" ht="13.5">
      <c r="A13532" s="128"/>
      <c r="B13532" s="128"/>
      <c r="C13532" s="128"/>
      <c r="D13532" s="128"/>
      <c r="E13532" s="128"/>
      <c r="F13532" s="128"/>
      <c r="G13532" s="128"/>
      <c r="H13532" s="128"/>
      <c r="I13532" s="128"/>
    </row>
    <row r="13533" spans="1:9" ht="13.5">
      <c r="A13533" s="128"/>
      <c r="B13533" s="128"/>
      <c r="C13533" s="128"/>
      <c r="D13533" s="128"/>
      <c r="E13533" s="128"/>
      <c r="F13533" s="128"/>
      <c r="G13533" s="128"/>
      <c r="H13533" s="128"/>
      <c r="I13533" s="128"/>
    </row>
    <row r="13534" spans="1:9" ht="13.5">
      <c r="A13534" s="128"/>
      <c r="B13534" s="128"/>
      <c r="C13534" s="128"/>
      <c r="D13534" s="128"/>
      <c r="E13534" s="128"/>
      <c r="F13534" s="128"/>
      <c r="G13534" s="128"/>
      <c r="H13534" s="128"/>
      <c r="I13534" s="128"/>
    </row>
    <row r="13535" spans="1:9" ht="13.5">
      <c r="A13535" s="128"/>
      <c r="B13535" s="128"/>
      <c r="C13535" s="128"/>
      <c r="D13535" s="128"/>
      <c r="E13535" s="128"/>
      <c r="F13535" s="128"/>
      <c r="G13535" s="128"/>
      <c r="H13535" s="128"/>
      <c r="I13535" s="128"/>
    </row>
    <row r="13536" spans="1:9" ht="13.5">
      <c r="A13536" s="128"/>
      <c r="B13536" s="128"/>
      <c r="C13536" s="128"/>
      <c r="D13536" s="128"/>
      <c r="E13536" s="128"/>
      <c r="F13536" s="128"/>
      <c r="G13536" s="128"/>
      <c r="H13536" s="128"/>
      <c r="I13536" s="128"/>
    </row>
    <row r="13537" spans="1:9" ht="13.5">
      <c r="A13537" s="128"/>
      <c r="B13537" s="128"/>
      <c r="C13537" s="128"/>
      <c r="D13537" s="128"/>
      <c r="E13537" s="128"/>
      <c r="F13537" s="128"/>
      <c r="G13537" s="128"/>
      <c r="H13537" s="128"/>
      <c r="I13537" s="128"/>
    </row>
    <row r="13538" spans="1:9" ht="13.5">
      <c r="A13538" s="128"/>
      <c r="B13538" s="128"/>
      <c r="C13538" s="128"/>
      <c r="D13538" s="128"/>
      <c r="E13538" s="128"/>
      <c r="F13538" s="128"/>
      <c r="G13538" s="128"/>
      <c r="H13538" s="128"/>
      <c r="I13538" s="128"/>
    </row>
    <row r="13539" spans="1:9" ht="13.5">
      <c r="A13539" s="128"/>
      <c r="B13539" s="128"/>
      <c r="C13539" s="128"/>
      <c r="D13539" s="128"/>
      <c r="E13539" s="128"/>
      <c r="F13539" s="128"/>
      <c r="G13539" s="128"/>
      <c r="H13539" s="128"/>
      <c r="I13539" s="128"/>
    </row>
    <row r="13540" spans="1:9" ht="13.5">
      <c r="A13540" s="128"/>
      <c r="B13540" s="128"/>
      <c r="C13540" s="128"/>
      <c r="D13540" s="128"/>
      <c r="E13540" s="128"/>
      <c r="F13540" s="128"/>
      <c r="G13540" s="128"/>
      <c r="H13540" s="128"/>
      <c r="I13540" s="128"/>
    </row>
    <row r="13541" spans="1:9" ht="13.5">
      <c r="A13541" s="128"/>
      <c r="B13541" s="128"/>
      <c r="C13541" s="128"/>
      <c r="D13541" s="128"/>
      <c r="E13541" s="128"/>
      <c r="F13541" s="128"/>
      <c r="G13541" s="128"/>
      <c r="H13541" s="128"/>
      <c r="I13541" s="128"/>
    </row>
    <row r="13542" spans="1:9" ht="13.5">
      <c r="A13542" s="128"/>
      <c r="B13542" s="128"/>
      <c r="C13542" s="128"/>
      <c r="D13542" s="128"/>
      <c r="E13542" s="128"/>
      <c r="F13542" s="128"/>
      <c r="G13542" s="128"/>
      <c r="H13542" s="128"/>
      <c r="I13542" s="128"/>
    </row>
    <row r="13543" spans="1:9" ht="13.5">
      <c r="A13543" s="128"/>
      <c r="B13543" s="128"/>
      <c r="C13543" s="128"/>
      <c r="D13543" s="128"/>
      <c r="E13543" s="128"/>
      <c r="F13543" s="128"/>
      <c r="G13543" s="128"/>
      <c r="H13543" s="128"/>
      <c r="I13543" s="128"/>
    </row>
    <row r="13544" spans="1:9" ht="13.5">
      <c r="A13544" s="128"/>
      <c r="B13544" s="128"/>
      <c r="C13544" s="128"/>
      <c r="D13544" s="128"/>
      <c r="E13544" s="128"/>
      <c r="F13544" s="128"/>
      <c r="G13544" s="128"/>
      <c r="H13544" s="128"/>
      <c r="I13544" s="128"/>
    </row>
    <row r="13545" spans="1:9" ht="13.5">
      <c r="A13545" s="128"/>
      <c r="B13545" s="128"/>
      <c r="C13545" s="128"/>
      <c r="D13545" s="128"/>
      <c r="E13545" s="128"/>
      <c r="F13545" s="128"/>
      <c r="G13545" s="128"/>
      <c r="H13545" s="128"/>
      <c r="I13545" s="128"/>
    </row>
    <row r="13546" spans="1:9" ht="13.5">
      <c r="A13546" s="128"/>
      <c r="B13546" s="128"/>
      <c r="C13546" s="128"/>
      <c r="D13546" s="128"/>
      <c r="E13546" s="128"/>
      <c r="F13546" s="128"/>
      <c r="G13546" s="128"/>
      <c r="H13546" s="128"/>
      <c r="I13546" s="128"/>
    </row>
    <row r="13547" spans="1:9" ht="13.5">
      <c r="A13547" s="128"/>
      <c r="B13547" s="128"/>
      <c r="C13547" s="128"/>
      <c r="D13547" s="128"/>
      <c r="E13547" s="128"/>
      <c r="F13547" s="128"/>
      <c r="G13547" s="128"/>
      <c r="H13547" s="128"/>
      <c r="I13547" s="128"/>
    </row>
    <row r="13548" spans="1:9" ht="13.5">
      <c r="A13548" s="128"/>
      <c r="B13548" s="128"/>
      <c r="C13548" s="128"/>
      <c r="D13548" s="128"/>
      <c r="E13548" s="128"/>
      <c r="F13548" s="128"/>
      <c r="G13548" s="128"/>
      <c r="H13548" s="128"/>
      <c r="I13548" s="128"/>
    </row>
    <row r="13549" spans="1:9" ht="13.5">
      <c r="A13549" s="128"/>
      <c r="B13549" s="128"/>
      <c r="C13549" s="128"/>
      <c r="D13549" s="128"/>
      <c r="E13549" s="128"/>
      <c r="F13549" s="128"/>
      <c r="G13549" s="128"/>
      <c r="H13549" s="128"/>
      <c r="I13549" s="128"/>
    </row>
    <row r="13550" spans="1:9" ht="13.5">
      <c r="A13550" s="128"/>
      <c r="B13550" s="128"/>
      <c r="C13550" s="128"/>
      <c r="D13550" s="128"/>
      <c r="E13550" s="128"/>
      <c r="F13550" s="128"/>
      <c r="G13550" s="128"/>
      <c r="H13550" s="128"/>
      <c r="I13550" s="128"/>
    </row>
    <row r="13551" spans="1:9" ht="13.5">
      <c r="A13551" s="128"/>
      <c r="B13551" s="128"/>
      <c r="C13551" s="128"/>
      <c r="D13551" s="128"/>
      <c r="E13551" s="128"/>
      <c r="F13551" s="128"/>
      <c r="G13551" s="128"/>
      <c r="H13551" s="128"/>
      <c r="I13551" s="128"/>
    </row>
    <row r="13552" spans="1:9" ht="13.5">
      <c r="A13552" s="128"/>
      <c r="B13552" s="128"/>
      <c r="C13552" s="128"/>
      <c r="D13552" s="128"/>
      <c r="E13552" s="128"/>
      <c r="F13552" s="128"/>
      <c r="G13552" s="128"/>
      <c r="H13552" s="128"/>
      <c r="I13552" s="128"/>
    </row>
    <row r="13553" spans="1:9" ht="13.5">
      <c r="A13553" s="128"/>
      <c r="B13553" s="128"/>
      <c r="C13553" s="128"/>
      <c r="D13553" s="128"/>
      <c r="E13553" s="128"/>
      <c r="F13553" s="128"/>
      <c r="G13553" s="128"/>
      <c r="H13553" s="128"/>
      <c r="I13553" s="128"/>
    </row>
    <row r="13554" spans="1:9" ht="13.5">
      <c r="A13554" s="128"/>
      <c r="B13554" s="128"/>
      <c r="C13554" s="128"/>
      <c r="D13554" s="128"/>
      <c r="E13554" s="128"/>
      <c r="F13554" s="128"/>
      <c r="G13554" s="128"/>
      <c r="H13554" s="128"/>
      <c r="I13554" s="128"/>
    </row>
    <row r="13555" spans="1:9" ht="13.5">
      <c r="A13555" s="128"/>
      <c r="B13555" s="128"/>
      <c r="C13555" s="128"/>
      <c r="D13555" s="128"/>
      <c r="E13555" s="128"/>
      <c r="F13555" s="128"/>
      <c r="G13555" s="128"/>
      <c r="H13555" s="128"/>
      <c r="I13555" s="128"/>
    </row>
    <row r="13556" spans="1:9" ht="13.5">
      <c r="A13556" s="128"/>
      <c r="B13556" s="128"/>
      <c r="C13556" s="128"/>
      <c r="D13556" s="128"/>
      <c r="E13556" s="128"/>
      <c r="F13556" s="128"/>
      <c r="G13556" s="128"/>
      <c r="H13556" s="128"/>
      <c r="I13556" s="128"/>
    </row>
    <row r="13557" spans="1:9" ht="13.5">
      <c r="A13557" s="128"/>
      <c r="B13557" s="128"/>
      <c r="C13557" s="128"/>
      <c r="D13557" s="128"/>
      <c r="E13557" s="128"/>
      <c r="F13557" s="128"/>
      <c r="G13557" s="128"/>
      <c r="H13557" s="128"/>
      <c r="I13557" s="128"/>
    </row>
    <row r="13558" spans="1:9" ht="13.5">
      <c r="A13558" s="128"/>
      <c r="B13558" s="128"/>
      <c r="C13558" s="128"/>
      <c r="D13558" s="128"/>
      <c r="E13558" s="128"/>
      <c r="F13558" s="128"/>
      <c r="G13558" s="128"/>
      <c r="H13558" s="128"/>
      <c r="I13558" s="128"/>
    </row>
    <row r="13559" spans="1:9" ht="13.5">
      <c r="A13559" s="128"/>
      <c r="B13559" s="128"/>
      <c r="C13559" s="128"/>
      <c r="D13559" s="128"/>
      <c r="E13559" s="128"/>
      <c r="F13559" s="128"/>
      <c r="G13559" s="128"/>
      <c r="H13559" s="128"/>
      <c r="I13559" s="128"/>
    </row>
    <row r="13560" spans="1:9" ht="13.5">
      <c r="A13560" s="128"/>
      <c r="B13560" s="128"/>
      <c r="C13560" s="128"/>
      <c r="D13560" s="128"/>
      <c r="E13560" s="128"/>
      <c r="F13560" s="128"/>
      <c r="G13560" s="128"/>
      <c r="H13560" s="128"/>
      <c r="I13560" s="128"/>
    </row>
    <row r="13561" spans="1:9" ht="13.5">
      <c r="A13561" s="128"/>
      <c r="B13561" s="128"/>
      <c r="C13561" s="128"/>
      <c r="D13561" s="128"/>
      <c r="E13561" s="128"/>
      <c r="F13561" s="128"/>
      <c r="G13561" s="128"/>
      <c r="H13561" s="128"/>
      <c r="I13561" s="128"/>
    </row>
    <row r="13562" spans="1:9" ht="13.5">
      <c r="A13562" s="128"/>
      <c r="B13562" s="128"/>
      <c r="C13562" s="128"/>
      <c r="D13562" s="128"/>
      <c r="E13562" s="128"/>
      <c r="F13562" s="128"/>
      <c r="G13562" s="128"/>
      <c r="H13562" s="128"/>
      <c r="I13562" s="128"/>
    </row>
    <row r="13563" spans="1:9" ht="13.5">
      <c r="A13563" s="128"/>
      <c r="B13563" s="128"/>
      <c r="C13563" s="128"/>
      <c r="D13563" s="128"/>
      <c r="E13563" s="128"/>
      <c r="F13563" s="128"/>
      <c r="G13563" s="128"/>
      <c r="H13563" s="128"/>
      <c r="I13563" s="128"/>
    </row>
    <row r="13564" spans="1:9" ht="13.5">
      <c r="A13564" s="128"/>
      <c r="B13564" s="128"/>
      <c r="C13564" s="128"/>
      <c r="D13564" s="128"/>
      <c r="E13564" s="128"/>
      <c r="F13564" s="128"/>
      <c r="G13564" s="128"/>
      <c r="H13564" s="128"/>
      <c r="I13564" s="128"/>
    </row>
    <row r="13565" spans="1:9" ht="13.5">
      <c r="A13565" s="128"/>
      <c r="B13565" s="128"/>
      <c r="C13565" s="128"/>
      <c r="D13565" s="128"/>
      <c r="E13565" s="128"/>
      <c r="F13565" s="128"/>
      <c r="G13565" s="128"/>
      <c r="H13565" s="128"/>
      <c r="I13565" s="128"/>
    </row>
    <row r="13566" spans="1:9" ht="13.5">
      <c r="A13566" s="128"/>
      <c r="B13566" s="128"/>
      <c r="C13566" s="128"/>
      <c r="D13566" s="128"/>
      <c r="E13566" s="128"/>
      <c r="F13566" s="128"/>
      <c r="G13566" s="128"/>
      <c r="H13566" s="128"/>
      <c r="I13566" s="128"/>
    </row>
    <row r="13567" spans="1:9" ht="13.5">
      <c r="A13567" s="128"/>
      <c r="B13567" s="128"/>
      <c r="C13567" s="128"/>
      <c r="D13567" s="128"/>
      <c r="E13567" s="128"/>
      <c r="F13567" s="128"/>
      <c r="G13567" s="128"/>
      <c r="H13567" s="128"/>
      <c r="I13567" s="128"/>
    </row>
    <row r="13568" spans="1:9" ht="13.5">
      <c r="A13568" s="128"/>
      <c r="B13568" s="128"/>
      <c r="C13568" s="128"/>
      <c r="D13568" s="128"/>
      <c r="E13568" s="128"/>
      <c r="F13568" s="128"/>
      <c r="G13568" s="128"/>
      <c r="H13568" s="128"/>
      <c r="I13568" s="128"/>
    </row>
    <row r="13569" spans="1:9" ht="13.5">
      <c r="A13569" s="128"/>
      <c r="B13569" s="128"/>
      <c r="C13569" s="128"/>
      <c r="D13569" s="128"/>
      <c r="E13569" s="128"/>
      <c r="F13569" s="128"/>
      <c r="G13569" s="128"/>
      <c r="H13569" s="128"/>
      <c r="I13569" s="128"/>
    </row>
    <row r="13570" spans="1:9" ht="13.5">
      <c r="A13570" s="128"/>
      <c r="B13570" s="128"/>
      <c r="C13570" s="128"/>
      <c r="D13570" s="128"/>
      <c r="E13570" s="128"/>
      <c r="F13570" s="128"/>
      <c r="G13570" s="128"/>
      <c r="H13570" s="128"/>
      <c r="I13570" s="128"/>
    </row>
    <row r="13571" spans="1:9" ht="13.5">
      <c r="A13571" s="128"/>
      <c r="B13571" s="128"/>
      <c r="C13571" s="128"/>
      <c r="D13571" s="128"/>
      <c r="E13571" s="128"/>
      <c r="F13571" s="128"/>
      <c r="G13571" s="128"/>
      <c r="H13571" s="128"/>
      <c r="I13571" s="128"/>
    </row>
    <row r="13572" spans="1:9" ht="13.5">
      <c r="A13572" s="128"/>
      <c r="B13572" s="128"/>
      <c r="C13572" s="128"/>
      <c r="D13572" s="128"/>
      <c r="E13572" s="128"/>
      <c r="F13572" s="128"/>
      <c r="G13572" s="128"/>
      <c r="H13572" s="128"/>
      <c r="I13572" s="128"/>
    </row>
    <row r="13573" spans="1:9" ht="13.5">
      <c r="A13573" s="128"/>
      <c r="B13573" s="128"/>
      <c r="C13573" s="128"/>
      <c r="D13573" s="128"/>
      <c r="E13573" s="128"/>
      <c r="F13573" s="128"/>
      <c r="G13573" s="128"/>
      <c r="H13573" s="128"/>
      <c r="I13573" s="128"/>
    </row>
    <row r="13574" spans="1:9" ht="13.5">
      <c r="A13574" s="128"/>
      <c r="B13574" s="128"/>
      <c r="C13574" s="128"/>
      <c r="D13574" s="128"/>
      <c r="E13574" s="128"/>
      <c r="F13574" s="128"/>
      <c r="G13574" s="128"/>
      <c r="H13574" s="128"/>
      <c r="I13574" s="128"/>
    </row>
    <row r="13575" spans="1:9" ht="13.5">
      <c r="A13575" s="128"/>
      <c r="B13575" s="128"/>
      <c r="C13575" s="128"/>
      <c r="D13575" s="128"/>
      <c r="E13575" s="128"/>
      <c r="F13575" s="128"/>
      <c r="G13575" s="128"/>
      <c r="H13575" s="128"/>
      <c r="I13575" s="128"/>
    </row>
    <row r="13576" spans="1:9" ht="13.5">
      <c r="A13576" s="128"/>
      <c r="B13576" s="128"/>
      <c r="C13576" s="128"/>
      <c r="D13576" s="128"/>
      <c r="E13576" s="128"/>
      <c r="F13576" s="128"/>
      <c r="G13576" s="128"/>
      <c r="H13576" s="128"/>
      <c r="I13576" s="128"/>
    </row>
    <row r="13577" spans="1:9" ht="13.5">
      <c r="A13577" s="128"/>
      <c r="B13577" s="128"/>
      <c r="C13577" s="128"/>
      <c r="D13577" s="128"/>
      <c r="E13577" s="128"/>
      <c r="F13577" s="128"/>
      <c r="G13577" s="128"/>
      <c r="H13577" s="128"/>
      <c r="I13577" s="128"/>
    </row>
    <row r="13578" spans="1:9" ht="13.5">
      <c r="A13578" s="128"/>
      <c r="B13578" s="128"/>
      <c r="C13578" s="128"/>
      <c r="D13578" s="128"/>
      <c r="E13578" s="128"/>
      <c r="F13578" s="128"/>
      <c r="G13578" s="128"/>
      <c r="H13578" s="128"/>
      <c r="I13578" s="128"/>
    </row>
    <row r="13579" spans="1:9" ht="13.5">
      <c r="A13579" s="128"/>
      <c r="B13579" s="128"/>
      <c r="C13579" s="128"/>
      <c r="D13579" s="128"/>
      <c r="E13579" s="128"/>
      <c r="F13579" s="128"/>
      <c r="G13579" s="128"/>
      <c r="H13579" s="128"/>
      <c r="I13579" s="128"/>
    </row>
    <row r="13580" spans="1:9" ht="13.5">
      <c r="A13580" s="128"/>
      <c r="B13580" s="128"/>
      <c r="C13580" s="128"/>
      <c r="D13580" s="128"/>
      <c r="E13580" s="128"/>
      <c r="F13580" s="128"/>
      <c r="G13580" s="128"/>
      <c r="H13580" s="128"/>
      <c r="I13580" s="128"/>
    </row>
    <row r="13581" spans="1:9" ht="13.5">
      <c r="A13581" s="128"/>
      <c r="B13581" s="128"/>
      <c r="C13581" s="128"/>
      <c r="D13581" s="128"/>
      <c r="E13581" s="128"/>
      <c r="F13581" s="128"/>
      <c r="G13581" s="128"/>
      <c r="H13581" s="128"/>
      <c r="I13581" s="128"/>
    </row>
    <row r="13582" spans="1:9" ht="13.5">
      <c r="A13582" s="128"/>
      <c r="B13582" s="128"/>
      <c r="C13582" s="128"/>
      <c r="D13582" s="128"/>
      <c r="E13582" s="128"/>
      <c r="F13582" s="128"/>
      <c r="G13582" s="128"/>
      <c r="H13582" s="128"/>
      <c r="I13582" s="128"/>
    </row>
    <row r="13583" spans="1:9" ht="13.5">
      <c r="A13583" s="128"/>
      <c r="B13583" s="128"/>
      <c r="C13583" s="128"/>
      <c r="D13583" s="128"/>
      <c r="E13583" s="128"/>
      <c r="F13583" s="128"/>
      <c r="G13583" s="128"/>
      <c r="H13583" s="128"/>
      <c r="I13583" s="128"/>
    </row>
    <row r="13584" spans="1:9" ht="13.5">
      <c r="A13584" s="128"/>
      <c r="B13584" s="128"/>
      <c r="C13584" s="128"/>
      <c r="D13584" s="128"/>
      <c r="E13584" s="128"/>
      <c r="F13584" s="128"/>
      <c r="G13584" s="128"/>
      <c r="H13584" s="128"/>
      <c r="I13584" s="128"/>
    </row>
    <row r="13585" spans="1:9" ht="13.5">
      <c r="A13585" s="128"/>
      <c r="B13585" s="128"/>
      <c r="C13585" s="128"/>
      <c r="D13585" s="128"/>
      <c r="E13585" s="128"/>
      <c r="F13585" s="128"/>
      <c r="G13585" s="128"/>
      <c r="H13585" s="128"/>
      <c r="I13585" s="128"/>
    </row>
    <row r="13586" spans="1:9" ht="13.5">
      <c r="A13586" s="128"/>
      <c r="B13586" s="128"/>
      <c r="C13586" s="128"/>
      <c r="D13586" s="128"/>
      <c r="E13586" s="128"/>
      <c r="F13586" s="128"/>
      <c r="G13586" s="128"/>
      <c r="H13586" s="128"/>
      <c r="I13586" s="128"/>
    </row>
    <row r="13587" spans="1:9" ht="13.5">
      <c r="A13587" s="128"/>
      <c r="B13587" s="128"/>
      <c r="C13587" s="128"/>
      <c r="D13587" s="128"/>
      <c r="E13587" s="128"/>
      <c r="F13587" s="128"/>
      <c r="G13587" s="128"/>
      <c r="H13587" s="128"/>
      <c r="I13587" s="128"/>
    </row>
    <row r="13588" spans="1:9" ht="13.5">
      <c r="A13588" s="128"/>
      <c r="B13588" s="128"/>
      <c r="C13588" s="128"/>
      <c r="D13588" s="128"/>
      <c r="E13588" s="128"/>
      <c r="F13588" s="128"/>
      <c r="G13588" s="128"/>
      <c r="H13588" s="128"/>
      <c r="I13588" s="128"/>
    </row>
    <row r="13589" spans="1:9" ht="13.5">
      <c r="A13589" s="128"/>
      <c r="B13589" s="128"/>
      <c r="C13589" s="128"/>
      <c r="D13589" s="128"/>
      <c r="E13589" s="128"/>
      <c r="F13589" s="128"/>
      <c r="G13589" s="128"/>
      <c r="H13589" s="128"/>
      <c r="I13589" s="128"/>
    </row>
    <row r="13590" spans="1:9" ht="13.5">
      <c r="A13590" s="128"/>
      <c r="B13590" s="128"/>
      <c r="C13590" s="128"/>
      <c r="D13590" s="128"/>
      <c r="E13590" s="128"/>
      <c r="F13590" s="128"/>
      <c r="G13590" s="128"/>
      <c r="H13590" s="128"/>
      <c r="I13590" s="128"/>
    </row>
    <row r="13591" spans="1:9" ht="13.5">
      <c r="A13591" s="128"/>
      <c r="B13591" s="128"/>
      <c r="C13591" s="128"/>
      <c r="D13591" s="128"/>
      <c r="E13591" s="128"/>
      <c r="F13591" s="128"/>
      <c r="G13591" s="128"/>
      <c r="H13591" s="128"/>
      <c r="I13591" s="128"/>
    </row>
    <row r="13592" spans="1:9" ht="13.5">
      <c r="A13592" s="128"/>
      <c r="B13592" s="128"/>
      <c r="C13592" s="128"/>
      <c r="D13592" s="128"/>
      <c r="E13592" s="128"/>
      <c r="F13592" s="128"/>
      <c r="G13592" s="128"/>
      <c r="H13592" s="128"/>
      <c r="I13592" s="128"/>
    </row>
    <row r="13593" spans="1:9" ht="13.5">
      <c r="A13593" s="128"/>
      <c r="B13593" s="128"/>
      <c r="C13593" s="128"/>
      <c r="D13593" s="128"/>
      <c r="E13593" s="128"/>
      <c r="F13593" s="128"/>
      <c r="G13593" s="128"/>
      <c r="H13593" s="128"/>
      <c r="I13593" s="128"/>
    </row>
    <row r="13594" spans="1:9" ht="13.5">
      <c r="A13594" s="128"/>
      <c r="B13594" s="128"/>
      <c r="C13594" s="128"/>
      <c r="D13594" s="128"/>
      <c r="E13594" s="128"/>
      <c r="F13594" s="128"/>
      <c r="G13594" s="128"/>
      <c r="H13594" s="128"/>
      <c r="I13594" s="128"/>
    </row>
    <row r="13595" spans="1:9" ht="13.5">
      <c r="A13595" s="128"/>
      <c r="B13595" s="128"/>
      <c r="C13595" s="128"/>
      <c r="D13595" s="128"/>
      <c r="E13595" s="128"/>
      <c r="F13595" s="128"/>
      <c r="G13595" s="128"/>
      <c r="H13595" s="128"/>
      <c r="I13595" s="128"/>
    </row>
    <row r="13596" spans="1:9" ht="13.5">
      <c r="A13596" s="128"/>
      <c r="B13596" s="128"/>
      <c r="C13596" s="128"/>
      <c r="D13596" s="128"/>
      <c r="E13596" s="128"/>
      <c r="F13596" s="128"/>
      <c r="G13596" s="128"/>
      <c r="H13596" s="128"/>
      <c r="I13596" s="128"/>
    </row>
    <row r="13597" spans="1:9" ht="13.5">
      <c r="A13597" s="128"/>
      <c r="B13597" s="128"/>
      <c r="C13597" s="128"/>
      <c r="D13597" s="128"/>
      <c r="E13597" s="128"/>
      <c r="F13597" s="128"/>
      <c r="G13597" s="128"/>
      <c r="H13597" s="128"/>
      <c r="I13597" s="128"/>
    </row>
    <row r="13598" spans="1:9" ht="13.5">
      <c r="A13598" s="128"/>
      <c r="B13598" s="128"/>
      <c r="C13598" s="128"/>
      <c r="D13598" s="128"/>
      <c r="E13598" s="128"/>
      <c r="F13598" s="128"/>
      <c r="G13598" s="128"/>
      <c r="H13598" s="128"/>
      <c r="I13598" s="128"/>
    </row>
    <row r="13599" spans="1:9" ht="13.5">
      <c r="A13599" s="128"/>
      <c r="B13599" s="128"/>
      <c r="C13599" s="128"/>
      <c r="D13599" s="128"/>
      <c r="E13599" s="128"/>
      <c r="F13599" s="128"/>
      <c r="G13599" s="128"/>
      <c r="H13599" s="128"/>
      <c r="I13599" s="128"/>
    </row>
    <row r="13600" spans="1:9" ht="13.5">
      <c r="A13600" s="128"/>
      <c r="B13600" s="128"/>
      <c r="C13600" s="128"/>
      <c r="D13600" s="128"/>
      <c r="E13600" s="128"/>
      <c r="F13600" s="128"/>
      <c r="G13600" s="128"/>
      <c r="H13600" s="128"/>
      <c r="I13600" s="128"/>
    </row>
    <row r="13601" spans="1:9" ht="13.5">
      <c r="A13601" s="128"/>
      <c r="B13601" s="128"/>
      <c r="C13601" s="128"/>
      <c r="D13601" s="128"/>
      <c r="E13601" s="128"/>
      <c r="F13601" s="128"/>
      <c r="G13601" s="128"/>
      <c r="H13601" s="128"/>
      <c r="I13601" s="128"/>
    </row>
    <row r="13602" spans="1:9" ht="13.5">
      <c r="A13602" s="128"/>
      <c r="B13602" s="128"/>
      <c r="C13602" s="128"/>
      <c r="D13602" s="128"/>
      <c r="E13602" s="128"/>
      <c r="F13602" s="128"/>
      <c r="G13602" s="128"/>
      <c r="H13602" s="128"/>
      <c r="I13602" s="128"/>
    </row>
    <row r="13603" spans="1:9" ht="13.5">
      <c r="A13603" s="128"/>
      <c r="B13603" s="128"/>
      <c r="C13603" s="128"/>
      <c r="D13603" s="128"/>
      <c r="E13603" s="128"/>
      <c r="F13603" s="128"/>
      <c r="G13603" s="128"/>
      <c r="H13603" s="128"/>
      <c r="I13603" s="128"/>
    </row>
    <row r="13604" spans="1:9" ht="13.5">
      <c r="A13604" s="128"/>
      <c r="B13604" s="128"/>
      <c r="C13604" s="128"/>
      <c r="D13604" s="128"/>
      <c r="E13604" s="128"/>
      <c r="F13604" s="128"/>
      <c r="G13604" s="128"/>
      <c r="H13604" s="128"/>
      <c r="I13604" s="128"/>
    </row>
    <row r="13605" spans="1:9" ht="13.5">
      <c r="A13605" s="128"/>
      <c r="B13605" s="128"/>
      <c r="C13605" s="128"/>
      <c r="D13605" s="128"/>
      <c r="E13605" s="128"/>
      <c r="F13605" s="128"/>
      <c r="G13605" s="128"/>
      <c r="H13605" s="128"/>
      <c r="I13605" s="128"/>
    </row>
    <row r="13606" spans="1:9" ht="13.5">
      <c r="A13606" s="128"/>
      <c r="B13606" s="128"/>
      <c r="C13606" s="128"/>
      <c r="D13606" s="128"/>
      <c r="E13606" s="128"/>
      <c r="F13606" s="128"/>
      <c r="G13606" s="128"/>
      <c r="H13606" s="128"/>
      <c r="I13606" s="128"/>
    </row>
    <row r="13607" spans="1:9" ht="13.5">
      <c r="A13607" s="128"/>
      <c r="B13607" s="128"/>
      <c r="C13607" s="128"/>
      <c r="D13607" s="128"/>
      <c r="E13607" s="128"/>
      <c r="F13607" s="128"/>
      <c r="G13607" s="128"/>
      <c r="H13607" s="128"/>
      <c r="I13607" s="128"/>
    </row>
    <row r="13608" spans="1:9" ht="13.5">
      <c r="A13608" s="128"/>
      <c r="B13608" s="128"/>
      <c r="C13608" s="128"/>
      <c r="D13608" s="128"/>
      <c r="E13608" s="128"/>
      <c r="F13608" s="128"/>
      <c r="G13608" s="128"/>
      <c r="H13608" s="128"/>
      <c r="I13608" s="128"/>
    </row>
    <row r="13609" spans="1:9" ht="13.5">
      <c r="A13609" s="128"/>
      <c r="B13609" s="128"/>
      <c r="C13609" s="128"/>
      <c r="D13609" s="128"/>
      <c r="E13609" s="128"/>
      <c r="F13609" s="128"/>
      <c r="G13609" s="128"/>
      <c r="H13609" s="128"/>
      <c r="I13609" s="128"/>
    </row>
    <row r="13610" spans="1:9" ht="13.5">
      <c r="A13610" s="128"/>
      <c r="B13610" s="128"/>
      <c r="C13610" s="128"/>
      <c r="D13610" s="128"/>
      <c r="E13610" s="128"/>
      <c r="F13610" s="128"/>
      <c r="G13610" s="128"/>
      <c r="H13610" s="128"/>
      <c r="I13610" s="128"/>
    </row>
    <row r="13611" spans="1:9" ht="13.5">
      <c r="A13611" s="128"/>
      <c r="B13611" s="128"/>
      <c r="C13611" s="128"/>
      <c r="D13611" s="128"/>
      <c r="E13611" s="128"/>
      <c r="F13611" s="128"/>
      <c r="G13611" s="128"/>
      <c r="H13611" s="128"/>
      <c r="I13611" s="128"/>
    </row>
    <row r="13612" spans="1:9" ht="13.5">
      <c r="A13612" s="128"/>
      <c r="B13612" s="128"/>
      <c r="C13612" s="128"/>
      <c r="D13612" s="128"/>
      <c r="E13612" s="128"/>
      <c r="F13612" s="128"/>
      <c r="G13612" s="128"/>
      <c r="H13612" s="128"/>
      <c r="I13612" s="128"/>
    </row>
    <row r="13613" spans="1:9" ht="13.5">
      <c r="A13613" s="128"/>
      <c r="B13613" s="128"/>
      <c r="C13613" s="128"/>
      <c r="D13613" s="128"/>
      <c r="E13613" s="128"/>
      <c r="F13613" s="128"/>
      <c r="G13613" s="128"/>
      <c r="H13613" s="128"/>
      <c r="I13613" s="128"/>
    </row>
    <row r="13614" spans="1:9" ht="13.5">
      <c r="A13614" s="128"/>
      <c r="B13614" s="128"/>
      <c r="C13614" s="128"/>
      <c r="D13614" s="128"/>
      <c r="E13614" s="128"/>
      <c r="F13614" s="128"/>
      <c r="G13614" s="128"/>
      <c r="H13614" s="128"/>
      <c r="I13614" s="128"/>
    </row>
    <row r="13615" spans="1:9" ht="13.5">
      <c r="A13615" s="128"/>
      <c r="B13615" s="128"/>
      <c r="C13615" s="128"/>
      <c r="D13615" s="128"/>
      <c r="E13615" s="128"/>
      <c r="F13615" s="128"/>
      <c r="G13615" s="128"/>
      <c r="H13615" s="128"/>
      <c r="I13615" s="128"/>
    </row>
    <row r="13616" spans="1:9" ht="13.5">
      <c r="A13616" s="128"/>
      <c r="B13616" s="128"/>
      <c r="C13616" s="128"/>
      <c r="D13616" s="128"/>
      <c r="E13616" s="128"/>
      <c r="F13616" s="128"/>
      <c r="G13616" s="128"/>
      <c r="H13616" s="128"/>
      <c r="I13616" s="128"/>
    </row>
    <row r="13617" spans="1:9" ht="13.5">
      <c r="A13617" s="128"/>
      <c r="B13617" s="128"/>
      <c r="C13617" s="128"/>
      <c r="D13617" s="128"/>
      <c r="E13617" s="128"/>
      <c r="F13617" s="128"/>
      <c r="G13617" s="128"/>
      <c r="H13617" s="128"/>
      <c r="I13617" s="128"/>
    </row>
    <row r="13618" spans="1:9" ht="13.5">
      <c r="A13618" s="128"/>
      <c r="B13618" s="128"/>
      <c r="C13618" s="128"/>
      <c r="D13618" s="128"/>
      <c r="E13618" s="128"/>
      <c r="F13618" s="128"/>
      <c r="G13618" s="128"/>
      <c r="H13618" s="128"/>
      <c r="I13618" s="128"/>
    </row>
    <row r="13619" spans="1:9" ht="13.5">
      <c r="A13619" s="128"/>
      <c r="B13619" s="128"/>
      <c r="C13619" s="128"/>
      <c r="D13619" s="128"/>
      <c r="E13619" s="128"/>
      <c r="F13619" s="128"/>
      <c r="G13619" s="128"/>
      <c r="H13619" s="128"/>
      <c r="I13619" s="128"/>
    </row>
    <row r="13620" spans="1:9" ht="13.5">
      <c r="A13620" s="128"/>
      <c r="B13620" s="128"/>
      <c r="C13620" s="128"/>
      <c r="D13620" s="128"/>
      <c r="E13620" s="128"/>
      <c r="F13620" s="128"/>
      <c r="G13620" s="128"/>
      <c r="H13620" s="128"/>
      <c r="I13620" s="128"/>
    </row>
    <row r="13621" spans="1:9" ht="13.5">
      <c r="A13621" s="128"/>
      <c r="B13621" s="128"/>
      <c r="C13621" s="128"/>
      <c r="D13621" s="128"/>
      <c r="E13621" s="128"/>
      <c r="F13621" s="128"/>
      <c r="G13621" s="128"/>
      <c r="H13621" s="128"/>
      <c r="I13621" s="128"/>
    </row>
    <row r="13622" spans="1:9" ht="13.5">
      <c r="A13622" s="128"/>
      <c r="B13622" s="128"/>
      <c r="C13622" s="128"/>
      <c r="D13622" s="128"/>
      <c r="E13622" s="128"/>
      <c r="F13622" s="128"/>
      <c r="G13622" s="128"/>
      <c r="H13622" s="128"/>
      <c r="I13622" s="128"/>
    </row>
    <row r="13623" spans="1:9" ht="13.5">
      <c r="A13623" s="128"/>
      <c r="B13623" s="128"/>
      <c r="C13623" s="128"/>
      <c r="D13623" s="128"/>
      <c r="E13623" s="128"/>
      <c r="F13623" s="128"/>
      <c r="G13623" s="128"/>
      <c r="H13623" s="128"/>
      <c r="I13623" s="128"/>
    </row>
    <row r="13624" spans="1:9" ht="13.5">
      <c r="A13624" s="128"/>
      <c r="B13624" s="128"/>
      <c r="C13624" s="128"/>
      <c r="D13624" s="128"/>
      <c r="E13624" s="128"/>
      <c r="F13624" s="128"/>
      <c r="G13624" s="128"/>
      <c r="H13624" s="128"/>
      <c r="I13624" s="128"/>
    </row>
    <row r="13625" spans="1:9" ht="13.5">
      <c r="A13625" s="128"/>
      <c r="B13625" s="128"/>
      <c r="C13625" s="128"/>
      <c r="D13625" s="128"/>
      <c r="E13625" s="128"/>
      <c r="F13625" s="128"/>
      <c r="G13625" s="128"/>
      <c r="H13625" s="128"/>
      <c r="I13625" s="128"/>
    </row>
    <row r="13626" spans="1:9" ht="13.5">
      <c r="A13626" s="128"/>
      <c r="B13626" s="128"/>
      <c r="C13626" s="128"/>
      <c r="D13626" s="128"/>
      <c r="E13626" s="128"/>
      <c r="F13626" s="128"/>
      <c r="G13626" s="128"/>
      <c r="H13626" s="128"/>
      <c r="I13626" s="128"/>
    </row>
    <row r="13627" spans="1:9" ht="13.5">
      <c r="A13627" s="128"/>
      <c r="B13627" s="128"/>
      <c r="C13627" s="128"/>
      <c r="D13627" s="128"/>
      <c r="E13627" s="128"/>
      <c r="F13627" s="128"/>
      <c r="G13627" s="128"/>
      <c r="H13627" s="128"/>
      <c r="I13627" s="128"/>
    </row>
    <row r="13628" spans="1:9" ht="13.5">
      <c r="A13628" s="128"/>
      <c r="B13628" s="128"/>
      <c r="C13628" s="128"/>
      <c r="D13628" s="128"/>
      <c r="E13628" s="128"/>
      <c r="F13628" s="128"/>
      <c r="G13628" s="128"/>
      <c r="H13628" s="128"/>
      <c r="I13628" s="128"/>
    </row>
    <row r="13629" spans="1:9" ht="13.5">
      <c r="A13629" s="128"/>
      <c r="B13629" s="128"/>
      <c r="C13629" s="128"/>
      <c r="D13629" s="128"/>
      <c r="E13629" s="128"/>
      <c r="F13629" s="128"/>
      <c r="G13629" s="128"/>
      <c r="H13629" s="128"/>
      <c r="I13629" s="128"/>
    </row>
    <row r="13630" spans="1:9" ht="13.5">
      <c r="A13630" s="128"/>
      <c r="B13630" s="128"/>
      <c r="C13630" s="128"/>
      <c r="D13630" s="128"/>
      <c r="E13630" s="128"/>
      <c r="F13630" s="128"/>
      <c r="G13630" s="128"/>
      <c r="H13630" s="128"/>
      <c r="I13630" s="128"/>
    </row>
    <row r="13631" spans="1:9" ht="13.5">
      <c r="A13631" s="128"/>
      <c r="B13631" s="128"/>
      <c r="C13631" s="128"/>
      <c r="D13631" s="128"/>
      <c r="E13631" s="128"/>
      <c r="F13631" s="128"/>
      <c r="G13631" s="128"/>
      <c r="H13631" s="128"/>
      <c r="I13631" s="128"/>
    </row>
    <row r="13632" spans="1:9" ht="13.5">
      <c r="A13632" s="128"/>
      <c r="B13632" s="128"/>
      <c r="C13632" s="128"/>
      <c r="D13632" s="128"/>
      <c r="E13632" s="128"/>
      <c r="F13632" s="128"/>
      <c r="G13632" s="128"/>
      <c r="H13632" s="128"/>
      <c r="I13632" s="128"/>
    </row>
    <row r="13633" spans="1:9" ht="13.5">
      <c r="A13633" s="128"/>
      <c r="B13633" s="128"/>
      <c r="C13633" s="128"/>
      <c r="D13633" s="128"/>
      <c r="E13633" s="128"/>
      <c r="F13633" s="128"/>
      <c r="G13633" s="128"/>
      <c r="H13633" s="128"/>
      <c r="I13633" s="128"/>
    </row>
    <row r="13634" spans="1:9" ht="13.5">
      <c r="A13634" s="128"/>
      <c r="B13634" s="128"/>
      <c r="C13634" s="128"/>
      <c r="D13634" s="128"/>
      <c r="E13634" s="128"/>
      <c r="F13634" s="128"/>
      <c r="G13634" s="128"/>
      <c r="H13634" s="128"/>
      <c r="I13634" s="128"/>
    </row>
    <row r="13635" spans="1:9" ht="13.5">
      <c r="A13635" s="128"/>
      <c r="B13635" s="128"/>
      <c r="C13635" s="128"/>
      <c r="D13635" s="128"/>
      <c r="E13635" s="128"/>
      <c r="F13635" s="128"/>
      <c r="G13635" s="128"/>
      <c r="H13635" s="128"/>
      <c r="I13635" s="128"/>
    </row>
    <row r="13636" spans="1:9" ht="13.5">
      <c r="A13636" s="128"/>
      <c r="B13636" s="128"/>
      <c r="C13636" s="128"/>
      <c r="D13636" s="128"/>
      <c r="E13636" s="128"/>
      <c r="F13636" s="128"/>
      <c r="G13636" s="128"/>
      <c r="H13636" s="128"/>
      <c r="I13636" s="128"/>
    </row>
    <row r="13637" spans="1:9" ht="13.5">
      <c r="A13637" s="128"/>
      <c r="B13637" s="128"/>
      <c r="C13637" s="128"/>
      <c r="D13637" s="128"/>
      <c r="E13637" s="128"/>
      <c r="F13637" s="128"/>
      <c r="G13637" s="128"/>
      <c r="H13637" s="128"/>
      <c r="I13637" s="128"/>
    </row>
    <row r="13638" spans="1:9" ht="13.5">
      <c r="A13638" s="128"/>
      <c r="B13638" s="128"/>
      <c r="C13638" s="128"/>
      <c r="D13638" s="128"/>
      <c r="E13638" s="128"/>
      <c r="F13638" s="128"/>
      <c r="G13638" s="128"/>
      <c r="H13638" s="128"/>
      <c r="I13638" s="128"/>
    </row>
    <row r="13639" spans="1:9" ht="13.5">
      <c r="A13639" s="128"/>
      <c r="B13639" s="128"/>
      <c r="C13639" s="128"/>
      <c r="D13639" s="128"/>
      <c r="E13639" s="128"/>
      <c r="F13639" s="128"/>
      <c r="G13639" s="128"/>
      <c r="H13639" s="128"/>
      <c r="I13639" s="128"/>
    </row>
    <row r="13640" spans="1:9" ht="13.5">
      <c r="A13640" s="128"/>
      <c r="B13640" s="128"/>
      <c r="C13640" s="128"/>
      <c r="D13640" s="128"/>
      <c r="E13640" s="128"/>
      <c r="F13640" s="128"/>
      <c r="G13640" s="128"/>
      <c r="H13640" s="128"/>
      <c r="I13640" s="128"/>
    </row>
    <row r="13641" spans="1:9" ht="13.5">
      <c r="A13641" s="128"/>
      <c r="B13641" s="128"/>
      <c r="C13641" s="128"/>
      <c r="D13641" s="128"/>
      <c r="E13641" s="128"/>
      <c r="F13641" s="128"/>
      <c r="G13641" s="128"/>
      <c r="H13641" s="128"/>
      <c r="I13641" s="128"/>
    </row>
    <row r="13642" spans="1:9" ht="13.5">
      <c r="A13642" s="128"/>
      <c r="B13642" s="128"/>
      <c r="C13642" s="128"/>
      <c r="D13642" s="128"/>
      <c r="E13642" s="128"/>
      <c r="F13642" s="128"/>
      <c r="G13642" s="128"/>
      <c r="H13642" s="128"/>
      <c r="I13642" s="128"/>
    </row>
    <row r="13643" spans="1:9" ht="13.5">
      <c r="A13643" s="128"/>
      <c r="B13643" s="128"/>
      <c r="C13643" s="128"/>
      <c r="D13643" s="128"/>
      <c r="E13643" s="128"/>
      <c r="F13643" s="128"/>
      <c r="G13643" s="128"/>
      <c r="H13643" s="128"/>
      <c r="I13643" s="128"/>
    </row>
    <row r="13644" spans="1:9" ht="13.5">
      <c r="A13644" s="128"/>
      <c r="B13644" s="128"/>
      <c r="C13644" s="128"/>
      <c r="D13644" s="128"/>
      <c r="E13644" s="128"/>
      <c r="F13644" s="128"/>
      <c r="G13644" s="128"/>
      <c r="H13644" s="128"/>
      <c r="I13644" s="128"/>
    </row>
    <row r="13645" spans="1:9" ht="13.5">
      <c r="A13645" s="128"/>
      <c r="B13645" s="128"/>
      <c r="C13645" s="128"/>
      <c r="D13645" s="128"/>
      <c r="E13645" s="128"/>
      <c r="F13645" s="128"/>
      <c r="G13645" s="128"/>
      <c r="H13645" s="128"/>
      <c r="I13645" s="128"/>
    </row>
    <row r="13646" spans="1:9" ht="13.5">
      <c r="A13646" s="128"/>
      <c r="B13646" s="128"/>
      <c r="C13646" s="128"/>
      <c r="D13646" s="128"/>
      <c r="E13646" s="128"/>
      <c r="F13646" s="128"/>
      <c r="G13646" s="128"/>
      <c r="H13646" s="128"/>
      <c r="I13646" s="128"/>
    </row>
    <row r="13647" spans="1:9" ht="13.5">
      <c r="A13647" s="128"/>
      <c r="B13647" s="128"/>
      <c r="C13647" s="128"/>
      <c r="D13647" s="128"/>
      <c r="E13647" s="128"/>
      <c r="F13647" s="128"/>
      <c r="G13647" s="128"/>
      <c r="H13647" s="128"/>
      <c r="I13647" s="128"/>
    </row>
    <row r="13648" spans="1:9" ht="13.5">
      <c r="A13648" s="128"/>
      <c r="B13648" s="128"/>
      <c r="C13648" s="128"/>
      <c r="D13648" s="128"/>
      <c r="E13648" s="128"/>
      <c r="F13648" s="128"/>
      <c r="G13648" s="128"/>
      <c r="H13648" s="128"/>
      <c r="I13648" s="128"/>
    </row>
    <row r="13649" spans="1:9" ht="13.5">
      <c r="A13649" s="128"/>
      <c r="B13649" s="128"/>
      <c r="C13649" s="128"/>
      <c r="D13649" s="128"/>
      <c r="E13649" s="128"/>
      <c r="F13649" s="128"/>
      <c r="G13649" s="128"/>
      <c r="H13649" s="128"/>
      <c r="I13649" s="128"/>
    </row>
    <row r="13650" spans="1:9" ht="13.5">
      <c r="A13650" s="128"/>
      <c r="B13650" s="128"/>
      <c r="C13650" s="128"/>
      <c r="D13650" s="128"/>
      <c r="E13650" s="128"/>
      <c r="F13650" s="128"/>
      <c r="G13650" s="128"/>
      <c r="H13650" s="128"/>
      <c r="I13650" s="128"/>
    </row>
    <row r="13651" spans="1:9" ht="13.5">
      <c r="A13651" s="128"/>
      <c r="B13651" s="128"/>
      <c r="C13651" s="128"/>
      <c r="D13651" s="128"/>
      <c r="E13651" s="128"/>
      <c r="F13651" s="128"/>
      <c r="G13651" s="128"/>
      <c r="H13651" s="128"/>
      <c r="I13651" s="128"/>
    </row>
    <row r="13652" spans="1:9" ht="13.5">
      <c r="A13652" s="128"/>
      <c r="B13652" s="128"/>
      <c r="C13652" s="128"/>
      <c r="D13652" s="128"/>
      <c r="E13652" s="128"/>
      <c r="F13652" s="128"/>
      <c r="G13652" s="128"/>
      <c r="H13652" s="128"/>
      <c r="I13652" s="128"/>
    </row>
    <row r="13653" spans="1:9" ht="13.5">
      <c r="A13653" s="128"/>
      <c r="B13653" s="128"/>
      <c r="C13653" s="128"/>
      <c r="D13653" s="128"/>
      <c r="E13653" s="128"/>
      <c r="F13653" s="128"/>
      <c r="G13653" s="128"/>
      <c r="H13653" s="128"/>
      <c r="I13653" s="128"/>
    </row>
    <row r="13654" spans="1:9" ht="13.5">
      <c r="A13654" s="128"/>
      <c r="B13654" s="128"/>
      <c r="C13654" s="128"/>
      <c r="D13654" s="128"/>
      <c r="E13654" s="128"/>
      <c r="F13654" s="128"/>
      <c r="G13654" s="128"/>
      <c r="H13654" s="128"/>
      <c r="I13654" s="128"/>
    </row>
    <row r="13655" spans="1:9" ht="13.5">
      <c r="A13655" s="128"/>
      <c r="B13655" s="128"/>
      <c r="C13655" s="128"/>
      <c r="D13655" s="128"/>
      <c r="E13655" s="128"/>
      <c r="F13655" s="128"/>
      <c r="G13655" s="128"/>
      <c r="H13655" s="128"/>
      <c r="I13655" s="128"/>
    </row>
    <row r="13656" spans="1:9" ht="13.5">
      <c r="A13656" s="128"/>
      <c r="B13656" s="128"/>
      <c r="C13656" s="128"/>
      <c r="D13656" s="128"/>
      <c r="E13656" s="128"/>
      <c r="F13656" s="128"/>
      <c r="G13656" s="128"/>
      <c r="H13656" s="128"/>
      <c r="I13656" s="128"/>
    </row>
    <row r="13657" spans="1:9" ht="13.5">
      <c r="A13657" s="128"/>
      <c r="B13657" s="128"/>
      <c r="C13657" s="128"/>
      <c r="D13657" s="128"/>
      <c r="E13657" s="128"/>
      <c r="F13657" s="128"/>
      <c r="G13657" s="128"/>
      <c r="H13657" s="128"/>
      <c r="I13657" s="128"/>
    </row>
    <row r="13658" spans="1:9" ht="13.5">
      <c r="A13658" s="128"/>
      <c r="B13658" s="128"/>
      <c r="C13658" s="128"/>
      <c r="D13658" s="128"/>
      <c r="E13658" s="128"/>
      <c r="F13658" s="128"/>
      <c r="G13658" s="128"/>
      <c r="H13658" s="128"/>
      <c r="I13658" s="128"/>
    </row>
    <row r="13659" spans="1:9" ht="13.5">
      <c r="A13659" s="128"/>
      <c r="B13659" s="128"/>
      <c r="C13659" s="128"/>
      <c r="D13659" s="128"/>
      <c r="E13659" s="128"/>
      <c r="F13659" s="128"/>
      <c r="G13659" s="128"/>
      <c r="H13659" s="128"/>
      <c r="I13659" s="128"/>
    </row>
    <row r="13660" spans="1:9" ht="13.5">
      <c r="A13660" s="128"/>
      <c r="B13660" s="128"/>
      <c r="C13660" s="128"/>
      <c r="D13660" s="128"/>
      <c r="E13660" s="128"/>
      <c r="F13660" s="128"/>
      <c r="G13660" s="128"/>
      <c r="H13660" s="128"/>
      <c r="I13660" s="128"/>
    </row>
    <row r="13661" spans="1:9" ht="13.5">
      <c r="A13661" s="128"/>
      <c r="B13661" s="128"/>
      <c r="C13661" s="128"/>
      <c r="D13661" s="128"/>
      <c r="E13661" s="128"/>
      <c r="F13661" s="128"/>
      <c r="G13661" s="128"/>
      <c r="H13661" s="128"/>
      <c r="I13661" s="128"/>
    </row>
    <row r="13662" spans="1:9" ht="13.5">
      <c r="A13662" s="128"/>
      <c r="B13662" s="128"/>
      <c r="C13662" s="128"/>
      <c r="D13662" s="128"/>
      <c r="E13662" s="128"/>
      <c r="F13662" s="128"/>
      <c r="G13662" s="128"/>
      <c r="H13662" s="128"/>
      <c r="I13662" s="128"/>
    </row>
    <row r="13663" spans="1:9" ht="13.5">
      <c r="A13663" s="128"/>
      <c r="B13663" s="128"/>
      <c r="C13663" s="128"/>
      <c r="D13663" s="128"/>
      <c r="E13663" s="128"/>
      <c r="F13663" s="128"/>
      <c r="G13663" s="128"/>
      <c r="H13663" s="128"/>
      <c r="I13663" s="128"/>
    </row>
    <row r="13664" spans="1:9" ht="13.5">
      <c r="A13664" s="128"/>
      <c r="B13664" s="128"/>
      <c r="C13664" s="128"/>
      <c r="D13664" s="128"/>
      <c r="E13664" s="128"/>
      <c r="F13664" s="128"/>
      <c r="G13664" s="128"/>
      <c r="H13664" s="128"/>
      <c r="I13664" s="128"/>
    </row>
    <row r="13665" spans="1:9" ht="13.5">
      <c r="A13665" s="128"/>
      <c r="B13665" s="128"/>
      <c r="C13665" s="128"/>
      <c r="D13665" s="128"/>
      <c r="E13665" s="128"/>
      <c r="F13665" s="128"/>
      <c r="G13665" s="128"/>
      <c r="H13665" s="128"/>
      <c r="I13665" s="128"/>
    </row>
    <row r="13666" spans="1:9" ht="13.5">
      <c r="A13666" s="128"/>
      <c r="B13666" s="128"/>
      <c r="C13666" s="128"/>
      <c r="D13666" s="128"/>
      <c r="E13666" s="128"/>
      <c r="F13666" s="128"/>
      <c r="G13666" s="128"/>
      <c r="H13666" s="128"/>
      <c r="I13666" s="128"/>
    </row>
    <row r="13667" spans="1:9" ht="13.5">
      <c r="A13667" s="128"/>
      <c r="B13667" s="128"/>
      <c r="C13667" s="128"/>
      <c r="D13667" s="128"/>
      <c r="E13667" s="128"/>
      <c r="F13667" s="128"/>
      <c r="G13667" s="128"/>
      <c r="H13667" s="128"/>
      <c r="I13667" s="128"/>
    </row>
    <row r="13668" spans="1:9" ht="13.5">
      <c r="A13668" s="128"/>
      <c r="B13668" s="128"/>
      <c r="C13668" s="128"/>
      <c r="D13668" s="128"/>
      <c r="E13668" s="128"/>
      <c r="F13668" s="128"/>
      <c r="G13668" s="128"/>
      <c r="H13668" s="128"/>
      <c r="I13668" s="128"/>
    </row>
    <row r="13669" spans="1:9" ht="13.5">
      <c r="A13669" s="128"/>
      <c r="B13669" s="128"/>
      <c r="C13669" s="128"/>
      <c r="D13669" s="128"/>
      <c r="E13669" s="128"/>
      <c r="F13669" s="128"/>
      <c r="G13669" s="128"/>
      <c r="H13669" s="128"/>
      <c r="I13669" s="128"/>
    </row>
    <row r="13670" spans="1:9" ht="13.5">
      <c r="A13670" s="128"/>
      <c r="B13670" s="128"/>
      <c r="C13670" s="128"/>
      <c r="D13670" s="128"/>
      <c r="E13670" s="128"/>
      <c r="F13670" s="128"/>
      <c r="G13670" s="128"/>
      <c r="H13670" s="128"/>
      <c r="I13670" s="128"/>
    </row>
    <row r="13671" spans="1:9" ht="13.5">
      <c r="A13671" s="128"/>
      <c r="B13671" s="128"/>
      <c r="C13671" s="128"/>
      <c r="D13671" s="128"/>
      <c r="E13671" s="128"/>
      <c r="F13671" s="128"/>
      <c r="G13671" s="128"/>
      <c r="H13671" s="128"/>
      <c r="I13671" s="128"/>
    </row>
    <row r="13672" spans="1:9" ht="13.5">
      <c r="A13672" s="128"/>
      <c r="B13672" s="128"/>
      <c r="C13672" s="128"/>
      <c r="D13672" s="128"/>
      <c r="E13672" s="128"/>
      <c r="F13672" s="128"/>
      <c r="G13672" s="128"/>
      <c r="H13672" s="128"/>
      <c r="I13672" s="128"/>
    </row>
    <row r="13673" spans="1:9" ht="13.5">
      <c r="A13673" s="128"/>
      <c r="B13673" s="128"/>
      <c r="C13673" s="128"/>
      <c r="D13673" s="128"/>
      <c r="E13673" s="128"/>
      <c r="F13673" s="128"/>
      <c r="G13673" s="128"/>
      <c r="H13673" s="128"/>
      <c r="I13673" s="128"/>
    </row>
    <row r="13674" spans="1:9" ht="13.5">
      <c r="A13674" s="128"/>
      <c r="B13674" s="128"/>
      <c r="C13674" s="128"/>
      <c r="D13674" s="128"/>
      <c r="E13674" s="128"/>
      <c r="F13674" s="128"/>
      <c r="G13674" s="128"/>
      <c r="H13674" s="128"/>
      <c r="I13674" s="128"/>
    </row>
    <row r="13675" spans="1:9" ht="13.5">
      <c r="A13675" s="128"/>
      <c r="B13675" s="128"/>
      <c r="C13675" s="128"/>
      <c r="D13675" s="128"/>
      <c r="E13675" s="128"/>
      <c r="F13675" s="128"/>
      <c r="G13675" s="128"/>
      <c r="H13675" s="128"/>
      <c r="I13675" s="128"/>
    </row>
    <row r="13676" spans="1:9" ht="13.5">
      <c r="A13676" s="128"/>
      <c r="B13676" s="128"/>
      <c r="C13676" s="128"/>
      <c r="D13676" s="128"/>
      <c r="E13676" s="128"/>
      <c r="F13676" s="128"/>
      <c r="G13676" s="128"/>
      <c r="H13676" s="128"/>
      <c r="I13676" s="128"/>
    </row>
    <row r="13677" spans="1:9" ht="13.5">
      <c r="A13677" s="128"/>
      <c r="B13677" s="128"/>
      <c r="C13677" s="128"/>
      <c r="D13677" s="128"/>
      <c r="E13677" s="128"/>
      <c r="F13677" s="128"/>
      <c r="G13677" s="128"/>
      <c r="H13677" s="128"/>
      <c r="I13677" s="128"/>
    </row>
    <row r="13678" spans="1:9" ht="13.5">
      <c r="A13678" s="128"/>
      <c r="B13678" s="128"/>
      <c r="C13678" s="128"/>
      <c r="D13678" s="128"/>
      <c r="E13678" s="128"/>
      <c r="F13678" s="128"/>
      <c r="G13678" s="128"/>
      <c r="H13678" s="128"/>
      <c r="I13678" s="128"/>
    </row>
    <row r="13679" spans="1:9" ht="13.5">
      <c r="A13679" s="128"/>
      <c r="B13679" s="128"/>
      <c r="C13679" s="128"/>
      <c r="D13679" s="128"/>
      <c r="E13679" s="128"/>
      <c r="F13679" s="128"/>
      <c r="G13679" s="128"/>
      <c r="H13679" s="128"/>
      <c r="I13679" s="128"/>
    </row>
    <row r="13680" spans="1:9" ht="13.5">
      <c r="A13680" s="128"/>
      <c r="B13680" s="128"/>
      <c r="C13680" s="128"/>
      <c r="D13680" s="128"/>
      <c r="E13680" s="128"/>
      <c r="F13680" s="128"/>
      <c r="G13680" s="128"/>
      <c r="H13680" s="128"/>
      <c r="I13680" s="128"/>
    </row>
    <row r="13681" spans="1:9" ht="13.5">
      <c r="A13681" s="128"/>
      <c r="B13681" s="128"/>
      <c r="C13681" s="128"/>
      <c r="D13681" s="128"/>
      <c r="E13681" s="128"/>
      <c r="F13681" s="128"/>
      <c r="G13681" s="128"/>
      <c r="H13681" s="128"/>
      <c r="I13681" s="128"/>
    </row>
    <row r="13682" spans="1:9" ht="13.5">
      <c r="A13682" s="128"/>
      <c r="B13682" s="128"/>
      <c r="C13682" s="128"/>
      <c r="D13682" s="128"/>
      <c r="E13682" s="128"/>
      <c r="F13682" s="128"/>
      <c r="G13682" s="128"/>
      <c r="H13682" s="128"/>
      <c r="I13682" s="128"/>
    </row>
    <row r="13683" spans="1:9" ht="13.5">
      <c r="A13683" s="128"/>
      <c r="B13683" s="128"/>
      <c r="C13683" s="128"/>
      <c r="D13683" s="128"/>
      <c r="E13683" s="128"/>
      <c r="F13683" s="128"/>
      <c r="G13683" s="128"/>
      <c r="H13683" s="128"/>
      <c r="I13683" s="128"/>
    </row>
    <row r="13684" spans="1:9" ht="13.5">
      <c r="A13684" s="128"/>
      <c r="B13684" s="128"/>
      <c r="C13684" s="128"/>
      <c r="D13684" s="128"/>
      <c r="E13684" s="128"/>
      <c r="F13684" s="128"/>
      <c r="G13684" s="128"/>
      <c r="H13684" s="128"/>
      <c r="I13684" s="128"/>
    </row>
    <row r="13685" spans="1:9" ht="13.5">
      <c r="A13685" s="128"/>
      <c r="B13685" s="128"/>
      <c r="C13685" s="128"/>
      <c r="D13685" s="128"/>
      <c r="E13685" s="128"/>
      <c r="F13685" s="128"/>
      <c r="G13685" s="128"/>
      <c r="H13685" s="128"/>
      <c r="I13685" s="128"/>
    </row>
    <row r="13686" spans="1:9" ht="13.5">
      <c r="A13686" s="128"/>
      <c r="B13686" s="128"/>
      <c r="C13686" s="128"/>
      <c r="D13686" s="128"/>
      <c r="E13686" s="128"/>
      <c r="F13686" s="128"/>
      <c r="G13686" s="128"/>
      <c r="H13686" s="128"/>
      <c r="I13686" s="128"/>
    </row>
    <row r="13687" spans="1:9" ht="13.5">
      <c r="A13687" s="128"/>
      <c r="B13687" s="128"/>
      <c r="C13687" s="128"/>
      <c r="D13687" s="128"/>
      <c r="E13687" s="128"/>
      <c r="F13687" s="128"/>
      <c r="G13687" s="128"/>
      <c r="H13687" s="128"/>
      <c r="I13687" s="128"/>
    </row>
    <row r="13688" spans="1:9" ht="13.5">
      <c r="A13688" s="128"/>
      <c r="B13688" s="128"/>
      <c r="C13688" s="128"/>
      <c r="D13688" s="128"/>
      <c r="E13688" s="128"/>
      <c r="F13688" s="128"/>
      <c r="G13688" s="128"/>
      <c r="H13688" s="128"/>
      <c r="I13688" s="128"/>
    </row>
    <row r="13689" spans="1:9" ht="13.5">
      <c r="A13689" s="128"/>
      <c r="B13689" s="128"/>
      <c r="C13689" s="128"/>
      <c r="D13689" s="128"/>
      <c r="E13689" s="128"/>
      <c r="F13689" s="128"/>
      <c r="G13689" s="128"/>
      <c r="H13689" s="128"/>
      <c r="I13689" s="128"/>
    </row>
    <row r="13690" spans="1:9" ht="13.5">
      <c r="A13690" s="128"/>
      <c r="B13690" s="128"/>
      <c r="C13690" s="128"/>
      <c r="D13690" s="128"/>
      <c r="E13690" s="128"/>
      <c r="F13690" s="128"/>
      <c r="G13690" s="128"/>
      <c r="H13690" s="128"/>
      <c r="I13690" s="128"/>
    </row>
    <row r="13691" spans="1:9" ht="13.5">
      <c r="A13691" s="128"/>
      <c r="B13691" s="128"/>
      <c r="C13691" s="128"/>
      <c r="D13691" s="128"/>
      <c r="E13691" s="128"/>
      <c r="F13691" s="128"/>
      <c r="G13691" s="128"/>
      <c r="H13691" s="128"/>
      <c r="I13691" s="128"/>
    </row>
    <row r="13692" spans="1:9" ht="13.5">
      <c r="A13692" s="128"/>
      <c r="B13692" s="128"/>
      <c r="C13692" s="128"/>
      <c r="D13692" s="128"/>
      <c r="E13692" s="128"/>
      <c r="F13692" s="128"/>
      <c r="G13692" s="128"/>
      <c r="H13692" s="128"/>
      <c r="I13692" s="128"/>
    </row>
    <row r="13693" spans="1:9" ht="13.5">
      <c r="A13693" s="128"/>
      <c r="B13693" s="128"/>
      <c r="C13693" s="128"/>
      <c r="D13693" s="128"/>
      <c r="E13693" s="128"/>
      <c r="F13693" s="128"/>
      <c r="G13693" s="128"/>
      <c r="H13693" s="128"/>
      <c r="I13693" s="128"/>
    </row>
    <row r="13694" spans="1:9" ht="13.5">
      <c r="A13694" s="128"/>
      <c r="B13694" s="128"/>
      <c r="C13694" s="128"/>
      <c r="D13694" s="128"/>
      <c r="E13694" s="128"/>
      <c r="F13694" s="128"/>
      <c r="G13694" s="128"/>
      <c r="H13694" s="128"/>
      <c r="I13694" s="128"/>
    </row>
    <row r="13695" spans="1:9" ht="13.5">
      <c r="A13695" s="128"/>
      <c r="B13695" s="128"/>
      <c r="C13695" s="128"/>
      <c r="D13695" s="128"/>
      <c r="E13695" s="128"/>
      <c r="F13695" s="128"/>
      <c r="G13695" s="128"/>
      <c r="H13695" s="128"/>
      <c r="I13695" s="128"/>
    </row>
    <row r="13696" spans="1:9" ht="13.5">
      <c r="A13696" s="128"/>
      <c r="B13696" s="128"/>
      <c r="C13696" s="128"/>
      <c r="D13696" s="128"/>
      <c r="E13696" s="128"/>
      <c r="F13696" s="128"/>
      <c r="G13696" s="128"/>
      <c r="H13696" s="128"/>
      <c r="I13696" s="128"/>
    </row>
    <row r="13697" spans="1:9" ht="13.5">
      <c r="A13697" s="128"/>
      <c r="B13697" s="128"/>
      <c r="C13697" s="128"/>
      <c r="D13697" s="128"/>
      <c r="E13697" s="128"/>
      <c r="F13697" s="128"/>
      <c r="G13697" s="128"/>
      <c r="H13697" s="128"/>
      <c r="I13697" s="128"/>
    </row>
    <row r="13698" spans="1:9" ht="13.5">
      <c r="A13698" s="128"/>
      <c r="B13698" s="128"/>
      <c r="C13698" s="128"/>
      <c r="D13698" s="128"/>
      <c r="E13698" s="128"/>
      <c r="F13698" s="128"/>
      <c r="G13698" s="128"/>
      <c r="H13698" s="128"/>
      <c r="I13698" s="128"/>
    </row>
    <row r="13699" spans="1:9" ht="13.5">
      <c r="A13699" s="128"/>
      <c r="B13699" s="128"/>
      <c r="C13699" s="128"/>
      <c r="D13699" s="128"/>
      <c r="E13699" s="128"/>
      <c r="F13699" s="128"/>
      <c r="G13699" s="128"/>
      <c r="H13699" s="128"/>
      <c r="I13699" s="128"/>
    </row>
    <row r="13700" spans="1:9" ht="13.5">
      <c r="A13700" s="128"/>
      <c r="B13700" s="128"/>
      <c r="C13700" s="128"/>
      <c r="D13700" s="128"/>
      <c r="E13700" s="128"/>
      <c r="F13700" s="128"/>
      <c r="G13700" s="128"/>
      <c r="H13700" s="128"/>
      <c r="I13700" s="128"/>
    </row>
    <row r="13701" spans="1:9" ht="13.5">
      <c r="A13701" s="128"/>
      <c r="B13701" s="128"/>
      <c r="C13701" s="128"/>
      <c r="D13701" s="128"/>
      <c r="E13701" s="128"/>
      <c r="F13701" s="128"/>
      <c r="G13701" s="128"/>
      <c r="H13701" s="128"/>
      <c r="I13701" s="128"/>
    </row>
    <row r="13702" spans="1:9" ht="13.5">
      <c r="A13702" s="128"/>
      <c r="B13702" s="128"/>
      <c r="C13702" s="128"/>
      <c r="D13702" s="128"/>
      <c r="E13702" s="128"/>
      <c r="F13702" s="128"/>
      <c r="G13702" s="128"/>
      <c r="H13702" s="128"/>
      <c r="I13702" s="128"/>
    </row>
    <row r="13703" spans="1:9" ht="13.5">
      <c r="A13703" s="128"/>
      <c r="B13703" s="128"/>
      <c r="C13703" s="128"/>
      <c r="D13703" s="128"/>
      <c r="E13703" s="128"/>
      <c r="F13703" s="128"/>
      <c r="G13703" s="128"/>
      <c r="H13703" s="128"/>
      <c r="I13703" s="128"/>
    </row>
    <row r="13704" spans="1:9" ht="13.5">
      <c r="A13704" s="128"/>
      <c r="B13704" s="128"/>
      <c r="C13704" s="128"/>
      <c r="D13704" s="128"/>
      <c r="E13704" s="128"/>
      <c r="F13704" s="128"/>
      <c r="G13704" s="128"/>
      <c r="H13704" s="128"/>
      <c r="I13704" s="128"/>
    </row>
    <row r="13705" spans="1:9" ht="13.5">
      <c r="A13705" s="128"/>
      <c r="B13705" s="128"/>
      <c r="C13705" s="128"/>
      <c r="D13705" s="128"/>
      <c r="E13705" s="128"/>
      <c r="F13705" s="128"/>
      <c r="G13705" s="128"/>
      <c r="H13705" s="128"/>
      <c r="I13705" s="128"/>
    </row>
    <row r="13706" spans="1:9" ht="13.5">
      <c r="A13706" s="128"/>
      <c r="B13706" s="128"/>
      <c r="C13706" s="128"/>
      <c r="D13706" s="128"/>
      <c r="E13706" s="128"/>
      <c r="F13706" s="128"/>
      <c r="G13706" s="128"/>
      <c r="H13706" s="128"/>
      <c r="I13706" s="128"/>
    </row>
    <row r="13707" spans="1:9" ht="13.5">
      <c r="A13707" s="128"/>
      <c r="B13707" s="128"/>
      <c r="C13707" s="128"/>
      <c r="D13707" s="128"/>
      <c r="E13707" s="128"/>
      <c r="F13707" s="128"/>
      <c r="G13707" s="128"/>
      <c r="H13707" s="128"/>
      <c r="I13707" s="128"/>
    </row>
    <row r="13708" spans="1:9" ht="13.5">
      <c r="A13708" s="128"/>
      <c r="B13708" s="128"/>
      <c r="C13708" s="128"/>
      <c r="D13708" s="128"/>
      <c r="E13708" s="128"/>
      <c r="F13708" s="128"/>
      <c r="G13708" s="128"/>
      <c r="H13708" s="128"/>
      <c r="I13708" s="128"/>
    </row>
    <row r="13709" spans="1:9" ht="13.5">
      <c r="A13709" s="128"/>
      <c r="B13709" s="128"/>
      <c r="C13709" s="128"/>
      <c r="D13709" s="128"/>
      <c r="E13709" s="128"/>
      <c r="F13709" s="128"/>
      <c r="G13709" s="128"/>
      <c r="H13709" s="128"/>
      <c r="I13709" s="128"/>
    </row>
    <row r="13710" spans="1:9" ht="13.5">
      <c r="A13710" s="128"/>
      <c r="B13710" s="128"/>
      <c r="C13710" s="128"/>
      <c r="D13710" s="128"/>
      <c r="E13710" s="128"/>
      <c r="F13710" s="128"/>
      <c r="G13710" s="128"/>
      <c r="H13710" s="128"/>
      <c r="I13710" s="128"/>
    </row>
    <row r="13711" spans="1:9" ht="13.5">
      <c r="A13711" s="128"/>
      <c r="B13711" s="128"/>
      <c r="C13711" s="128"/>
      <c r="D13711" s="128"/>
      <c r="E13711" s="128"/>
      <c r="F13711" s="128"/>
      <c r="G13711" s="128"/>
      <c r="H13711" s="128"/>
      <c r="I13711" s="128"/>
    </row>
    <row r="13712" spans="1:9" ht="13.5">
      <c r="A13712" s="128"/>
      <c r="B13712" s="128"/>
      <c r="C13712" s="128"/>
      <c r="D13712" s="128"/>
      <c r="E13712" s="128"/>
      <c r="F13712" s="128"/>
      <c r="G13712" s="128"/>
      <c r="H13712" s="128"/>
      <c r="I13712" s="128"/>
    </row>
    <row r="13713" spans="1:9" ht="13.5">
      <c r="A13713" s="128"/>
      <c r="B13713" s="128"/>
      <c r="C13713" s="128"/>
      <c r="D13713" s="128"/>
      <c r="E13713" s="128"/>
      <c r="F13713" s="128"/>
      <c r="G13713" s="128"/>
      <c r="H13713" s="128"/>
      <c r="I13713" s="128"/>
    </row>
    <row r="13714" spans="1:9" ht="13.5">
      <c r="A13714" s="128"/>
      <c r="B13714" s="128"/>
      <c r="C13714" s="128"/>
      <c r="D13714" s="128"/>
      <c r="E13714" s="128"/>
      <c r="F13714" s="128"/>
      <c r="G13714" s="128"/>
      <c r="H13714" s="128"/>
      <c r="I13714" s="128"/>
    </row>
    <row r="13715" spans="1:9" ht="13.5">
      <c r="A13715" s="128"/>
      <c r="B13715" s="128"/>
      <c r="C13715" s="128"/>
      <c r="D13715" s="128"/>
      <c r="E13715" s="128"/>
      <c r="F13715" s="128"/>
      <c r="G13715" s="128"/>
      <c r="H13715" s="128"/>
      <c r="I13715" s="128"/>
    </row>
    <row r="13716" spans="1:9" ht="13.5">
      <c r="A13716" s="128"/>
      <c r="B13716" s="128"/>
      <c r="C13716" s="128"/>
      <c r="D13716" s="128"/>
      <c r="E13716" s="128"/>
      <c r="F13716" s="128"/>
      <c r="G13716" s="128"/>
      <c r="H13716" s="128"/>
      <c r="I13716" s="128"/>
    </row>
    <row r="13717" spans="1:9" ht="13.5">
      <c r="A13717" s="128"/>
      <c r="B13717" s="128"/>
      <c r="C13717" s="128"/>
      <c r="D13717" s="128"/>
      <c r="E13717" s="128"/>
      <c r="F13717" s="128"/>
      <c r="G13717" s="128"/>
      <c r="H13717" s="128"/>
      <c r="I13717" s="128"/>
    </row>
    <row r="13718" spans="1:9" ht="13.5">
      <c r="A13718" s="128"/>
      <c r="B13718" s="128"/>
      <c r="C13718" s="128"/>
      <c r="D13718" s="128"/>
      <c r="E13718" s="128"/>
      <c r="F13718" s="128"/>
      <c r="G13718" s="128"/>
      <c r="H13718" s="128"/>
      <c r="I13718" s="128"/>
    </row>
    <row r="13719" spans="1:9" ht="13.5">
      <c r="A13719" s="128"/>
      <c r="B13719" s="128"/>
      <c r="C13719" s="128"/>
      <c r="D13719" s="128"/>
      <c r="E13719" s="128"/>
      <c r="F13719" s="128"/>
      <c r="G13719" s="128"/>
      <c r="H13719" s="128"/>
      <c r="I13719" s="128"/>
    </row>
    <row r="13720" spans="1:9" ht="13.5">
      <c r="A13720" s="128"/>
      <c r="B13720" s="128"/>
      <c r="C13720" s="128"/>
      <c r="D13720" s="128"/>
      <c r="E13720" s="128"/>
      <c r="F13720" s="128"/>
      <c r="G13720" s="128"/>
      <c r="H13720" s="128"/>
      <c r="I13720" s="128"/>
    </row>
    <row r="13721" spans="1:9" ht="13.5">
      <c r="A13721" s="128"/>
      <c r="B13721" s="128"/>
      <c r="C13721" s="128"/>
      <c r="D13721" s="128"/>
      <c r="E13721" s="128"/>
      <c r="F13721" s="128"/>
      <c r="G13721" s="128"/>
      <c r="H13721" s="128"/>
      <c r="I13721" s="128"/>
    </row>
    <row r="13722" spans="1:9" ht="13.5">
      <c r="A13722" s="128"/>
      <c r="B13722" s="128"/>
      <c r="C13722" s="128"/>
      <c r="D13722" s="128"/>
      <c r="E13722" s="128"/>
      <c r="F13722" s="128"/>
      <c r="G13722" s="128"/>
      <c r="H13722" s="128"/>
      <c r="I13722" s="128"/>
    </row>
    <row r="13723" spans="1:9" ht="13.5">
      <c r="A13723" s="128"/>
      <c r="B13723" s="128"/>
      <c r="C13723" s="128"/>
      <c r="D13723" s="128"/>
      <c r="E13723" s="128"/>
      <c r="F13723" s="128"/>
      <c r="G13723" s="128"/>
      <c r="H13723" s="128"/>
      <c r="I13723" s="128"/>
    </row>
    <row r="13724" spans="1:9" ht="13.5">
      <c r="A13724" s="128"/>
      <c r="B13724" s="128"/>
      <c r="C13724" s="128"/>
      <c r="D13724" s="128"/>
      <c r="E13724" s="128"/>
      <c r="F13724" s="128"/>
      <c r="G13724" s="128"/>
      <c r="H13724" s="128"/>
      <c r="I13724" s="128"/>
    </row>
    <row r="13725" spans="1:9" ht="13.5">
      <c r="A13725" s="128"/>
      <c r="B13725" s="128"/>
      <c r="C13725" s="128"/>
      <c r="D13725" s="128"/>
      <c r="E13725" s="128"/>
      <c r="F13725" s="128"/>
      <c r="G13725" s="128"/>
      <c r="H13725" s="128"/>
      <c r="I13725" s="128"/>
    </row>
    <row r="13726" spans="1:9" ht="13.5">
      <c r="A13726" s="128"/>
      <c r="B13726" s="128"/>
      <c r="C13726" s="128"/>
      <c r="D13726" s="128"/>
      <c r="E13726" s="128"/>
      <c r="F13726" s="128"/>
      <c r="G13726" s="128"/>
      <c r="H13726" s="128"/>
      <c r="I13726" s="128"/>
    </row>
    <row r="13727" spans="1:9" ht="13.5">
      <c r="A13727" s="128"/>
      <c r="B13727" s="128"/>
      <c r="C13727" s="128"/>
      <c r="D13727" s="128"/>
      <c r="E13727" s="128"/>
      <c r="F13727" s="128"/>
      <c r="G13727" s="128"/>
      <c r="H13727" s="128"/>
      <c r="I13727" s="128"/>
    </row>
    <row r="13728" spans="1:9" ht="13.5">
      <c r="A13728" s="128"/>
      <c r="B13728" s="128"/>
      <c r="C13728" s="128"/>
      <c r="D13728" s="128"/>
      <c r="E13728" s="128"/>
      <c r="F13728" s="128"/>
      <c r="G13728" s="128"/>
      <c r="H13728" s="128"/>
      <c r="I13728" s="128"/>
    </row>
    <row r="13729" spans="1:9" ht="13.5">
      <c r="A13729" s="128"/>
      <c r="B13729" s="128"/>
      <c r="C13729" s="128"/>
      <c r="D13729" s="128"/>
      <c r="E13729" s="128"/>
      <c r="F13729" s="128"/>
      <c r="G13729" s="128"/>
      <c r="H13729" s="128"/>
      <c r="I13729" s="128"/>
    </row>
    <row r="13730" spans="1:9" ht="13.5">
      <c r="A13730" s="128"/>
      <c r="B13730" s="128"/>
      <c r="C13730" s="128"/>
      <c r="D13730" s="128"/>
      <c r="E13730" s="128"/>
      <c r="F13730" s="128"/>
      <c r="G13730" s="128"/>
      <c r="H13730" s="128"/>
      <c r="I13730" s="128"/>
    </row>
    <row r="13731" spans="1:9" ht="13.5">
      <c r="A13731" s="128"/>
      <c r="B13731" s="128"/>
      <c r="C13731" s="128"/>
      <c r="D13731" s="128"/>
      <c r="E13731" s="128"/>
      <c r="F13731" s="128"/>
      <c r="G13731" s="128"/>
      <c r="H13731" s="128"/>
      <c r="I13731" s="128"/>
    </row>
    <row r="13732" spans="1:9" ht="13.5">
      <c r="A13732" s="128"/>
      <c r="B13732" s="128"/>
      <c r="C13732" s="128"/>
      <c r="D13732" s="128"/>
      <c r="E13732" s="128"/>
      <c r="F13732" s="128"/>
      <c r="G13732" s="128"/>
      <c r="H13732" s="128"/>
      <c r="I13732" s="128"/>
    </row>
    <row r="13733" spans="1:9" ht="13.5">
      <c r="A13733" s="128"/>
      <c r="B13733" s="128"/>
      <c r="C13733" s="128"/>
      <c r="D13733" s="128"/>
      <c r="E13733" s="128"/>
      <c r="F13733" s="128"/>
      <c r="G13733" s="128"/>
      <c r="H13733" s="128"/>
      <c r="I13733" s="128"/>
    </row>
    <row r="13734" spans="1:9" ht="13.5">
      <c r="A13734" s="128"/>
      <c r="B13734" s="128"/>
      <c r="C13734" s="128"/>
      <c r="D13734" s="128"/>
      <c r="E13734" s="128"/>
      <c r="F13734" s="128"/>
      <c r="G13734" s="128"/>
      <c r="H13734" s="128"/>
      <c r="I13734" s="128"/>
    </row>
    <row r="13735" spans="1:9" ht="13.5">
      <c r="A13735" s="128"/>
      <c r="B13735" s="128"/>
      <c r="C13735" s="128"/>
      <c r="D13735" s="128"/>
      <c r="E13735" s="128"/>
      <c r="F13735" s="128"/>
      <c r="G13735" s="128"/>
      <c r="H13735" s="128"/>
      <c r="I13735" s="128"/>
    </row>
    <row r="13736" spans="1:9" ht="13.5">
      <c r="A13736" s="128"/>
      <c r="B13736" s="128"/>
      <c r="C13736" s="128"/>
      <c r="D13736" s="128"/>
      <c r="E13736" s="128"/>
      <c r="F13736" s="128"/>
      <c r="G13736" s="128"/>
      <c r="H13736" s="128"/>
      <c r="I13736" s="128"/>
    </row>
    <row r="13737" spans="1:9" ht="13.5">
      <c r="A13737" s="128"/>
      <c r="B13737" s="128"/>
      <c r="C13737" s="128"/>
      <c r="D13737" s="128"/>
      <c r="E13737" s="128"/>
      <c r="F13737" s="128"/>
      <c r="G13737" s="128"/>
      <c r="H13737" s="128"/>
      <c r="I13737" s="128"/>
    </row>
    <row r="13738" spans="1:9" ht="13.5">
      <c r="A13738" s="128"/>
      <c r="B13738" s="128"/>
      <c r="C13738" s="128"/>
      <c r="D13738" s="128"/>
      <c r="E13738" s="128"/>
      <c r="F13738" s="128"/>
      <c r="G13738" s="128"/>
      <c r="H13738" s="128"/>
      <c r="I13738" s="128"/>
    </row>
    <row r="13739" spans="1:9" ht="13.5">
      <c r="A13739" s="128"/>
      <c r="B13739" s="128"/>
      <c r="C13739" s="128"/>
      <c r="D13739" s="128"/>
      <c r="E13739" s="128"/>
      <c r="F13739" s="128"/>
      <c r="G13739" s="128"/>
      <c r="H13739" s="128"/>
      <c r="I13739" s="128"/>
    </row>
    <row r="13740" spans="1:9" ht="13.5">
      <c r="A13740" s="128"/>
      <c r="B13740" s="128"/>
      <c r="C13740" s="128"/>
      <c r="D13740" s="128"/>
      <c r="E13740" s="128"/>
      <c r="F13740" s="128"/>
      <c r="G13740" s="128"/>
      <c r="H13740" s="128"/>
      <c r="I13740" s="128"/>
    </row>
    <row r="13741" spans="1:9" ht="13.5">
      <c r="A13741" s="128"/>
      <c r="B13741" s="128"/>
      <c r="C13741" s="128"/>
      <c r="D13741" s="128"/>
      <c r="E13741" s="128"/>
      <c r="F13741" s="128"/>
      <c r="G13741" s="128"/>
      <c r="H13741" s="128"/>
      <c r="I13741" s="128"/>
    </row>
    <row r="13742" spans="1:9" ht="13.5">
      <c r="A13742" s="128"/>
      <c r="B13742" s="128"/>
      <c r="C13742" s="128"/>
      <c r="D13742" s="128"/>
      <c r="E13742" s="128"/>
      <c r="F13742" s="128"/>
      <c r="G13742" s="128"/>
      <c r="H13742" s="128"/>
      <c r="I13742" s="128"/>
    </row>
    <row r="13743" spans="1:9" ht="13.5">
      <c r="A13743" s="128"/>
      <c r="B13743" s="128"/>
      <c r="C13743" s="128"/>
      <c r="D13743" s="128"/>
      <c r="E13743" s="128"/>
      <c r="F13743" s="128"/>
      <c r="G13743" s="128"/>
      <c r="H13743" s="128"/>
      <c r="I13743" s="128"/>
    </row>
    <row r="13744" spans="1:9" ht="13.5">
      <c r="A13744" s="128"/>
      <c r="B13744" s="128"/>
      <c r="C13744" s="128"/>
      <c r="D13744" s="128"/>
      <c r="E13744" s="128"/>
      <c r="F13744" s="128"/>
      <c r="G13744" s="128"/>
      <c r="H13744" s="128"/>
      <c r="I13744" s="128"/>
    </row>
    <row r="13745" spans="1:9" ht="13.5">
      <c r="A13745" s="128"/>
      <c r="B13745" s="128"/>
      <c r="C13745" s="128"/>
      <c r="D13745" s="128"/>
      <c r="E13745" s="128"/>
      <c r="F13745" s="128"/>
      <c r="G13745" s="128"/>
      <c r="H13745" s="128"/>
      <c r="I13745" s="128"/>
    </row>
    <row r="13746" spans="1:9" ht="13.5">
      <c r="A13746" s="128"/>
      <c r="B13746" s="128"/>
      <c r="C13746" s="128"/>
      <c r="D13746" s="128"/>
      <c r="E13746" s="128"/>
      <c r="F13746" s="128"/>
      <c r="G13746" s="128"/>
      <c r="H13746" s="128"/>
      <c r="I13746" s="128"/>
    </row>
    <row r="13747" spans="1:9" ht="13.5">
      <c r="A13747" s="128"/>
      <c r="B13747" s="128"/>
      <c r="C13747" s="128"/>
      <c r="D13747" s="128"/>
      <c r="E13747" s="128"/>
      <c r="F13747" s="128"/>
      <c r="G13747" s="128"/>
      <c r="H13747" s="128"/>
      <c r="I13747" s="128"/>
    </row>
    <row r="13748" spans="1:9" ht="13.5">
      <c r="A13748" s="128"/>
      <c r="B13748" s="128"/>
      <c r="C13748" s="128"/>
      <c r="D13748" s="128"/>
      <c r="E13748" s="128"/>
      <c r="F13748" s="128"/>
      <c r="G13748" s="128"/>
      <c r="H13748" s="128"/>
      <c r="I13748" s="128"/>
    </row>
    <row r="13749" spans="1:9" ht="13.5">
      <c r="A13749" s="128"/>
      <c r="B13749" s="128"/>
      <c r="C13749" s="128"/>
      <c r="D13749" s="128"/>
      <c r="E13749" s="128"/>
      <c r="F13749" s="128"/>
      <c r="G13749" s="128"/>
      <c r="H13749" s="128"/>
      <c r="I13749" s="128"/>
    </row>
    <row r="13750" spans="1:9" ht="13.5">
      <c r="A13750" s="128"/>
      <c r="B13750" s="128"/>
      <c r="C13750" s="128"/>
      <c r="D13750" s="128"/>
      <c r="E13750" s="128"/>
      <c r="F13750" s="128"/>
      <c r="G13750" s="128"/>
      <c r="H13750" s="128"/>
      <c r="I13750" s="128"/>
    </row>
    <row r="13751" spans="1:9" ht="13.5">
      <c r="A13751" s="128"/>
      <c r="B13751" s="128"/>
      <c r="C13751" s="128"/>
      <c r="D13751" s="128"/>
      <c r="E13751" s="128"/>
      <c r="F13751" s="128"/>
      <c r="G13751" s="128"/>
      <c r="H13751" s="128"/>
      <c r="I13751" s="128"/>
    </row>
    <row r="13752" spans="1:9" ht="13.5">
      <c r="A13752" s="128"/>
      <c r="B13752" s="128"/>
      <c r="C13752" s="128"/>
      <c r="D13752" s="128"/>
      <c r="E13752" s="128"/>
      <c r="F13752" s="128"/>
      <c r="G13752" s="128"/>
      <c r="H13752" s="128"/>
      <c r="I13752" s="128"/>
    </row>
    <row r="13753" spans="1:9" ht="13.5">
      <c r="A13753" s="128"/>
      <c r="B13753" s="128"/>
      <c r="C13753" s="128"/>
      <c r="D13753" s="128"/>
      <c r="E13753" s="128"/>
      <c r="F13753" s="128"/>
      <c r="G13753" s="128"/>
      <c r="H13753" s="128"/>
      <c r="I13753" s="128"/>
    </row>
    <row r="13754" spans="1:9" ht="13.5">
      <c r="A13754" s="128"/>
      <c r="B13754" s="128"/>
      <c r="C13754" s="128"/>
      <c r="D13754" s="128"/>
      <c r="E13754" s="128"/>
      <c r="F13754" s="128"/>
      <c r="G13754" s="128"/>
      <c r="H13754" s="128"/>
      <c r="I13754" s="128"/>
    </row>
    <row r="13755" spans="1:9" ht="13.5">
      <c r="A13755" s="128"/>
      <c r="B13755" s="128"/>
      <c r="C13755" s="128"/>
      <c r="D13755" s="128"/>
      <c r="E13755" s="128"/>
      <c r="F13755" s="128"/>
      <c r="G13755" s="128"/>
      <c r="H13755" s="128"/>
      <c r="I13755" s="128"/>
    </row>
    <row r="13756" spans="1:9" ht="13.5">
      <c r="A13756" s="128"/>
      <c r="B13756" s="128"/>
      <c r="C13756" s="128"/>
      <c r="D13756" s="128"/>
      <c r="E13756" s="128"/>
      <c r="F13756" s="128"/>
      <c r="G13756" s="128"/>
      <c r="H13756" s="128"/>
      <c r="I13756" s="128"/>
    </row>
    <row r="13757" spans="1:9" ht="13.5">
      <c r="A13757" s="128"/>
      <c r="B13757" s="128"/>
      <c r="C13757" s="128"/>
      <c r="D13757" s="128"/>
      <c r="E13757" s="128"/>
      <c r="F13757" s="128"/>
      <c r="G13757" s="128"/>
      <c r="H13757" s="128"/>
      <c r="I13757" s="128"/>
    </row>
    <row r="13758" spans="1:9" ht="13.5">
      <c r="A13758" s="128"/>
      <c r="B13758" s="128"/>
      <c r="C13758" s="128"/>
      <c r="D13758" s="128"/>
      <c r="E13758" s="128"/>
      <c r="F13758" s="128"/>
      <c r="G13758" s="128"/>
      <c r="H13758" s="128"/>
      <c r="I13758" s="128"/>
    </row>
    <row r="13759" spans="1:9" ht="13.5">
      <c r="A13759" s="128"/>
      <c r="B13759" s="128"/>
      <c r="C13759" s="128"/>
      <c r="D13759" s="128"/>
      <c r="E13759" s="128"/>
      <c r="F13759" s="128"/>
      <c r="G13759" s="128"/>
      <c r="H13759" s="128"/>
      <c r="I13759" s="128"/>
    </row>
    <row r="13760" spans="1:9" ht="13.5">
      <c r="A13760" s="128"/>
      <c r="B13760" s="128"/>
      <c r="C13760" s="128"/>
      <c r="D13760" s="128"/>
      <c r="E13760" s="128"/>
      <c r="F13760" s="128"/>
      <c r="G13760" s="128"/>
      <c r="H13760" s="128"/>
      <c r="I13760" s="128"/>
    </row>
    <row r="13761" spans="1:9" ht="13.5">
      <c r="A13761" s="128"/>
      <c r="B13761" s="128"/>
      <c r="C13761" s="128"/>
      <c r="D13761" s="128"/>
      <c r="E13761" s="128"/>
      <c r="F13761" s="128"/>
      <c r="G13761" s="128"/>
      <c r="H13761" s="128"/>
      <c r="I13761" s="128"/>
    </row>
    <row r="13762" spans="1:9" ht="13.5">
      <c r="A13762" s="128"/>
      <c r="B13762" s="128"/>
      <c r="C13762" s="128"/>
      <c r="D13762" s="128"/>
      <c r="E13762" s="128"/>
      <c r="F13762" s="128"/>
      <c r="G13762" s="128"/>
      <c r="H13762" s="128"/>
      <c r="I13762" s="128"/>
    </row>
    <row r="13763" spans="1:9" ht="13.5">
      <c r="A13763" s="128"/>
      <c r="B13763" s="128"/>
      <c r="C13763" s="128"/>
      <c r="D13763" s="128"/>
      <c r="E13763" s="128"/>
      <c r="F13763" s="128"/>
      <c r="G13763" s="128"/>
      <c r="H13763" s="128"/>
      <c r="I13763" s="128"/>
    </row>
    <row r="13764" spans="1:9" ht="13.5">
      <c r="A13764" s="128"/>
      <c r="B13764" s="128"/>
      <c r="C13764" s="128"/>
      <c r="D13764" s="128"/>
      <c r="E13764" s="128"/>
      <c r="F13764" s="128"/>
      <c r="G13764" s="128"/>
      <c r="H13764" s="128"/>
      <c r="I13764" s="128"/>
    </row>
    <row r="13765" spans="1:9" ht="13.5">
      <c r="A13765" s="128"/>
      <c r="B13765" s="128"/>
      <c r="C13765" s="128"/>
      <c r="D13765" s="128"/>
      <c r="E13765" s="128"/>
      <c r="F13765" s="128"/>
      <c r="G13765" s="128"/>
      <c r="H13765" s="128"/>
      <c r="I13765" s="128"/>
    </row>
    <row r="13766" spans="1:9" ht="13.5">
      <c r="A13766" s="128"/>
      <c r="B13766" s="128"/>
      <c r="C13766" s="128"/>
      <c r="D13766" s="128"/>
      <c r="E13766" s="128"/>
      <c r="F13766" s="128"/>
      <c r="G13766" s="128"/>
      <c r="H13766" s="128"/>
      <c r="I13766" s="128"/>
    </row>
    <row r="13767" spans="1:9" ht="13.5">
      <c r="A13767" s="128"/>
      <c r="B13767" s="128"/>
      <c r="C13767" s="128"/>
      <c r="D13767" s="128"/>
      <c r="E13767" s="128"/>
      <c r="F13767" s="128"/>
      <c r="G13767" s="128"/>
      <c r="H13767" s="128"/>
      <c r="I13767" s="128"/>
    </row>
    <row r="13768" spans="1:9" ht="13.5">
      <c r="A13768" s="128"/>
      <c r="B13768" s="128"/>
      <c r="C13768" s="128"/>
      <c r="D13768" s="128"/>
      <c r="E13768" s="128"/>
      <c r="F13768" s="128"/>
      <c r="G13768" s="128"/>
      <c r="H13768" s="128"/>
      <c r="I13768" s="128"/>
    </row>
    <row r="13769" spans="1:9" ht="13.5">
      <c r="A13769" s="128"/>
      <c r="B13769" s="128"/>
      <c r="C13769" s="128"/>
      <c r="D13769" s="128"/>
      <c r="E13769" s="128"/>
      <c r="F13769" s="128"/>
      <c r="G13769" s="128"/>
      <c r="H13769" s="128"/>
      <c r="I13769" s="128"/>
    </row>
    <row r="13770" spans="1:9" ht="13.5">
      <c r="A13770" s="128"/>
      <c r="B13770" s="128"/>
      <c r="C13770" s="128"/>
      <c r="D13770" s="128"/>
      <c r="E13770" s="128"/>
      <c r="F13770" s="128"/>
      <c r="G13770" s="128"/>
      <c r="H13770" s="128"/>
      <c r="I13770" s="128"/>
    </row>
    <row r="13771" spans="1:9" ht="13.5">
      <c r="A13771" s="128"/>
      <c r="B13771" s="128"/>
      <c r="C13771" s="128"/>
      <c r="D13771" s="128"/>
      <c r="E13771" s="128"/>
      <c r="F13771" s="128"/>
      <c r="G13771" s="128"/>
      <c r="H13771" s="128"/>
      <c r="I13771" s="128"/>
    </row>
    <row r="13772" spans="1:9" ht="13.5">
      <c r="A13772" s="128"/>
      <c r="B13772" s="128"/>
      <c r="C13772" s="128"/>
      <c r="D13772" s="128"/>
      <c r="E13772" s="128"/>
      <c r="F13772" s="128"/>
      <c r="G13772" s="128"/>
      <c r="H13772" s="128"/>
      <c r="I13772" s="128"/>
    </row>
    <row r="13773" spans="1:9" ht="13.5">
      <c r="A13773" s="128"/>
      <c r="B13773" s="128"/>
      <c r="C13773" s="128"/>
      <c r="D13773" s="128"/>
      <c r="E13773" s="128"/>
      <c r="F13773" s="128"/>
      <c r="G13773" s="128"/>
      <c r="H13773" s="128"/>
      <c r="I13773" s="128"/>
    </row>
    <row r="13774" spans="1:9" ht="13.5">
      <c r="A13774" s="128"/>
      <c r="B13774" s="128"/>
      <c r="C13774" s="128"/>
      <c r="D13774" s="128"/>
      <c r="E13774" s="128"/>
      <c r="F13774" s="128"/>
      <c r="G13774" s="128"/>
      <c r="H13774" s="128"/>
      <c r="I13774" s="128"/>
    </row>
    <row r="13775" spans="1:9" ht="13.5">
      <c r="A13775" s="128"/>
      <c r="B13775" s="128"/>
      <c r="C13775" s="128"/>
      <c r="D13775" s="128"/>
      <c r="E13775" s="128"/>
      <c r="F13775" s="128"/>
      <c r="G13775" s="128"/>
      <c r="H13775" s="128"/>
      <c r="I13775" s="128"/>
    </row>
    <row r="13776" spans="1:9" ht="13.5">
      <c r="A13776" s="128"/>
      <c r="B13776" s="128"/>
      <c r="C13776" s="128"/>
      <c r="D13776" s="128"/>
      <c r="E13776" s="128"/>
      <c r="F13776" s="128"/>
      <c r="G13776" s="128"/>
      <c r="H13776" s="128"/>
      <c r="I13776" s="128"/>
    </row>
    <row r="13777" spans="1:9" ht="13.5">
      <c r="A13777" s="128"/>
      <c r="B13777" s="128"/>
      <c r="C13777" s="128"/>
      <c r="D13777" s="128"/>
      <c r="E13777" s="128"/>
      <c r="F13777" s="128"/>
      <c r="G13777" s="128"/>
      <c r="H13777" s="128"/>
      <c r="I13777" s="128"/>
    </row>
    <row r="13778" spans="1:9" ht="13.5">
      <c r="A13778" s="128"/>
      <c r="B13778" s="128"/>
      <c r="C13778" s="128"/>
      <c r="D13778" s="128"/>
      <c r="E13778" s="128"/>
      <c r="F13778" s="128"/>
      <c r="G13778" s="128"/>
      <c r="H13778" s="128"/>
      <c r="I13778" s="128"/>
    </row>
    <row r="13779" spans="1:9" ht="13.5">
      <c r="A13779" s="128"/>
      <c r="B13779" s="128"/>
      <c r="C13779" s="128"/>
      <c r="D13779" s="128"/>
      <c r="E13779" s="128"/>
      <c r="F13779" s="128"/>
      <c r="G13779" s="128"/>
      <c r="H13779" s="128"/>
      <c r="I13779" s="128"/>
    </row>
    <row r="13780" spans="1:9" ht="13.5">
      <c r="A13780" s="128"/>
      <c r="B13780" s="128"/>
      <c r="C13780" s="128"/>
      <c r="D13780" s="128"/>
      <c r="E13780" s="128"/>
      <c r="F13780" s="128"/>
      <c r="G13780" s="128"/>
      <c r="H13780" s="128"/>
      <c r="I13780" s="128"/>
    </row>
    <row r="13781" spans="1:9" ht="13.5">
      <c r="A13781" s="128"/>
      <c r="B13781" s="128"/>
      <c r="C13781" s="128"/>
      <c r="D13781" s="128"/>
      <c r="E13781" s="128"/>
      <c r="F13781" s="128"/>
      <c r="G13781" s="128"/>
      <c r="H13781" s="128"/>
      <c r="I13781" s="128"/>
    </row>
    <row r="13782" spans="1:9" ht="13.5">
      <c r="A13782" s="128"/>
      <c r="B13782" s="128"/>
      <c r="C13782" s="128"/>
      <c r="D13782" s="128"/>
      <c r="E13782" s="128"/>
      <c r="F13782" s="128"/>
      <c r="G13782" s="128"/>
      <c r="H13782" s="128"/>
      <c r="I13782" s="128"/>
    </row>
    <row r="13783" spans="1:9" ht="13.5">
      <c r="A13783" s="128"/>
      <c r="B13783" s="128"/>
      <c r="C13783" s="128"/>
      <c r="D13783" s="128"/>
      <c r="E13783" s="128"/>
      <c r="F13783" s="128"/>
      <c r="G13783" s="128"/>
      <c r="H13783" s="128"/>
      <c r="I13783" s="128"/>
    </row>
    <row r="13784" spans="1:9" ht="13.5">
      <c r="A13784" s="128"/>
      <c r="B13784" s="128"/>
      <c r="C13784" s="128"/>
      <c r="D13784" s="128"/>
      <c r="E13784" s="128"/>
      <c r="F13784" s="128"/>
      <c r="G13784" s="128"/>
      <c r="H13784" s="128"/>
      <c r="I13784" s="128"/>
    </row>
    <row r="13785" spans="1:9" ht="13.5">
      <c r="A13785" s="128"/>
      <c r="B13785" s="128"/>
      <c r="C13785" s="128"/>
      <c r="D13785" s="128"/>
      <c r="E13785" s="128"/>
      <c r="F13785" s="128"/>
      <c r="G13785" s="128"/>
      <c r="H13785" s="128"/>
      <c r="I13785" s="128"/>
    </row>
    <row r="13786" spans="1:9" ht="13.5">
      <c r="A13786" s="128"/>
      <c r="B13786" s="128"/>
      <c r="C13786" s="128"/>
      <c r="D13786" s="128"/>
      <c r="E13786" s="128"/>
      <c r="F13786" s="128"/>
      <c r="G13786" s="128"/>
      <c r="H13786" s="128"/>
      <c r="I13786" s="128"/>
    </row>
    <row r="13787" spans="1:9" ht="13.5">
      <c r="A13787" s="128"/>
      <c r="B13787" s="128"/>
      <c r="C13787" s="128"/>
      <c r="D13787" s="128"/>
      <c r="E13787" s="128"/>
      <c r="F13787" s="128"/>
      <c r="G13787" s="128"/>
      <c r="H13787" s="128"/>
      <c r="I13787" s="128"/>
    </row>
    <row r="13788" spans="1:9" ht="13.5">
      <c r="A13788" s="128"/>
      <c r="B13788" s="128"/>
      <c r="C13788" s="128"/>
      <c r="D13788" s="128"/>
      <c r="E13788" s="128"/>
      <c r="F13788" s="128"/>
      <c r="G13788" s="128"/>
      <c r="H13788" s="128"/>
      <c r="I13788" s="128"/>
    </row>
    <row r="13789" spans="1:9" ht="13.5">
      <c r="A13789" s="128"/>
      <c r="B13789" s="128"/>
      <c r="C13789" s="128"/>
      <c r="D13789" s="128"/>
      <c r="E13789" s="128"/>
      <c r="F13789" s="128"/>
      <c r="G13789" s="128"/>
      <c r="H13789" s="128"/>
      <c r="I13789" s="128"/>
    </row>
    <row r="13790" spans="1:9" ht="13.5">
      <c r="A13790" s="128"/>
      <c r="B13790" s="128"/>
      <c r="C13790" s="128"/>
      <c r="D13790" s="128"/>
      <c r="E13790" s="128"/>
      <c r="F13790" s="128"/>
      <c r="G13790" s="128"/>
      <c r="H13790" s="128"/>
      <c r="I13790" s="128"/>
    </row>
    <row r="13791" spans="1:9" ht="13.5">
      <c r="A13791" s="128"/>
      <c r="B13791" s="128"/>
      <c r="C13791" s="128"/>
      <c r="D13791" s="128"/>
      <c r="E13791" s="128"/>
      <c r="F13791" s="128"/>
      <c r="G13791" s="128"/>
      <c r="H13791" s="128"/>
      <c r="I13791" s="128"/>
    </row>
    <row r="13792" spans="1:9" ht="13.5">
      <c r="A13792" s="128"/>
      <c r="B13792" s="128"/>
      <c r="C13792" s="128"/>
      <c r="D13792" s="128"/>
      <c r="E13792" s="128"/>
      <c r="F13792" s="128"/>
      <c r="G13792" s="128"/>
      <c r="H13792" s="128"/>
      <c r="I13792" s="128"/>
    </row>
    <row r="13793" spans="1:9" ht="13.5">
      <c r="A13793" s="128"/>
      <c r="B13793" s="128"/>
      <c r="C13793" s="128"/>
      <c r="D13793" s="128"/>
      <c r="E13793" s="128"/>
      <c r="F13793" s="128"/>
      <c r="G13793" s="128"/>
      <c r="H13793" s="128"/>
      <c r="I13793" s="128"/>
    </row>
    <row r="13794" spans="1:9" ht="13.5">
      <c r="A13794" s="128"/>
      <c r="B13794" s="128"/>
      <c r="C13794" s="128"/>
      <c r="D13794" s="128"/>
      <c r="E13794" s="128"/>
      <c r="F13794" s="128"/>
      <c r="G13794" s="128"/>
      <c r="H13794" s="128"/>
      <c r="I13794" s="128"/>
    </row>
    <row r="13795" spans="1:9" ht="13.5">
      <c r="A13795" s="128"/>
      <c r="B13795" s="128"/>
      <c r="C13795" s="128"/>
      <c r="D13795" s="128"/>
      <c r="E13795" s="128"/>
      <c r="F13795" s="128"/>
      <c r="G13795" s="128"/>
      <c r="H13795" s="128"/>
      <c r="I13795" s="128"/>
    </row>
    <row r="13796" spans="1:9" ht="13.5">
      <c r="A13796" s="128"/>
      <c r="B13796" s="128"/>
      <c r="C13796" s="128"/>
      <c r="D13796" s="128"/>
      <c r="E13796" s="128"/>
      <c r="F13796" s="128"/>
      <c r="G13796" s="128"/>
      <c r="H13796" s="128"/>
      <c r="I13796" s="128"/>
    </row>
    <row r="13797" spans="1:9" ht="13.5">
      <c r="A13797" s="128"/>
      <c r="B13797" s="128"/>
      <c r="C13797" s="128"/>
      <c r="D13797" s="128"/>
      <c r="E13797" s="128"/>
      <c r="F13797" s="128"/>
      <c r="G13797" s="128"/>
      <c r="H13797" s="128"/>
      <c r="I13797" s="128"/>
    </row>
    <row r="13798" spans="1:9" ht="13.5">
      <c r="A13798" s="128"/>
      <c r="B13798" s="128"/>
      <c r="C13798" s="128"/>
      <c r="D13798" s="128"/>
      <c r="E13798" s="128"/>
      <c r="F13798" s="128"/>
      <c r="G13798" s="128"/>
      <c r="H13798" s="128"/>
      <c r="I13798" s="128"/>
    </row>
    <row r="13799" spans="1:9" ht="13.5">
      <c r="A13799" s="128"/>
      <c r="B13799" s="128"/>
      <c r="C13799" s="128"/>
      <c r="D13799" s="128"/>
      <c r="E13799" s="128"/>
      <c r="F13799" s="128"/>
      <c r="G13799" s="128"/>
      <c r="H13799" s="128"/>
      <c r="I13799" s="128"/>
    </row>
    <row r="13800" spans="1:9" ht="13.5">
      <c r="A13800" s="128"/>
      <c r="B13800" s="128"/>
      <c r="C13800" s="128"/>
      <c r="D13800" s="128"/>
      <c r="E13800" s="128"/>
      <c r="F13800" s="128"/>
      <c r="G13800" s="128"/>
      <c r="H13800" s="128"/>
      <c r="I13800" s="128"/>
    </row>
    <row r="13801" spans="1:9" ht="13.5">
      <c r="A13801" s="128"/>
      <c r="B13801" s="128"/>
      <c r="C13801" s="128"/>
      <c r="D13801" s="128"/>
      <c r="E13801" s="128"/>
      <c r="F13801" s="128"/>
      <c r="G13801" s="128"/>
      <c r="H13801" s="128"/>
      <c r="I13801" s="128"/>
    </row>
    <row r="13802" spans="1:9" ht="13.5">
      <c r="A13802" s="128"/>
      <c r="B13802" s="128"/>
      <c r="C13802" s="128"/>
      <c r="D13802" s="128"/>
      <c r="E13802" s="128"/>
      <c r="F13802" s="128"/>
      <c r="G13802" s="128"/>
      <c r="H13802" s="128"/>
      <c r="I13802" s="128"/>
    </row>
    <row r="13803" spans="1:9" ht="13.5">
      <c r="A13803" s="128"/>
      <c r="B13803" s="128"/>
      <c r="C13803" s="128"/>
      <c r="D13803" s="128"/>
      <c r="E13803" s="128"/>
      <c r="F13803" s="128"/>
      <c r="G13803" s="128"/>
      <c r="H13803" s="128"/>
      <c r="I13803" s="128"/>
    </row>
    <row r="13804" spans="1:9" ht="13.5">
      <c r="A13804" s="128"/>
      <c r="B13804" s="128"/>
      <c r="C13804" s="128"/>
      <c r="D13804" s="128"/>
      <c r="E13804" s="128"/>
      <c r="F13804" s="128"/>
      <c r="G13804" s="128"/>
      <c r="H13804" s="128"/>
      <c r="I13804" s="128"/>
    </row>
    <row r="13805" spans="1:9" ht="13.5">
      <c r="A13805" s="128"/>
      <c r="B13805" s="128"/>
      <c r="C13805" s="128"/>
      <c r="D13805" s="128"/>
      <c r="E13805" s="128"/>
      <c r="F13805" s="128"/>
      <c r="G13805" s="128"/>
      <c r="H13805" s="128"/>
      <c r="I13805" s="128"/>
    </row>
    <row r="13806" spans="1:9" ht="13.5">
      <c r="A13806" s="128"/>
      <c r="B13806" s="128"/>
      <c r="C13806" s="128"/>
      <c r="D13806" s="128"/>
      <c r="E13806" s="128"/>
      <c r="F13806" s="128"/>
      <c r="G13806" s="128"/>
      <c r="H13806" s="128"/>
      <c r="I13806" s="128"/>
    </row>
    <row r="13807" spans="1:9" ht="13.5">
      <c r="A13807" s="128"/>
      <c r="B13807" s="128"/>
      <c r="C13807" s="128"/>
      <c r="D13807" s="128"/>
      <c r="E13807" s="128"/>
      <c r="F13807" s="128"/>
      <c r="G13807" s="128"/>
      <c r="H13807" s="128"/>
      <c r="I13807" s="128"/>
    </row>
    <row r="13808" spans="1:9" ht="13.5">
      <c r="A13808" s="128"/>
      <c r="B13808" s="128"/>
      <c r="C13808" s="128"/>
      <c r="D13808" s="128"/>
      <c r="E13808" s="128"/>
      <c r="F13808" s="128"/>
      <c r="G13808" s="128"/>
      <c r="H13808" s="128"/>
      <c r="I13808" s="128"/>
    </row>
    <row r="13809" spans="1:9" ht="13.5">
      <c r="A13809" s="128"/>
      <c r="B13809" s="128"/>
      <c r="C13809" s="128"/>
      <c r="D13809" s="128"/>
      <c r="E13809" s="128"/>
      <c r="F13809" s="128"/>
      <c r="G13809" s="128"/>
      <c r="H13809" s="128"/>
      <c r="I13809" s="128"/>
    </row>
    <row r="13810" spans="1:9" ht="13.5">
      <c r="A13810" s="128"/>
      <c r="B13810" s="128"/>
      <c r="C13810" s="128"/>
      <c r="D13810" s="128"/>
      <c r="E13810" s="128"/>
      <c r="F13810" s="128"/>
      <c r="G13810" s="128"/>
      <c r="H13810" s="128"/>
      <c r="I13810" s="128"/>
    </row>
    <row r="13811" spans="1:9" ht="13.5">
      <c r="A13811" s="128"/>
      <c r="B13811" s="128"/>
      <c r="C13811" s="128"/>
      <c r="D13811" s="128"/>
      <c r="E13811" s="128"/>
      <c r="F13811" s="128"/>
      <c r="G13811" s="128"/>
      <c r="H13811" s="128"/>
      <c r="I13811" s="128"/>
    </row>
    <row r="13812" spans="1:9" ht="13.5">
      <c r="A13812" s="128"/>
      <c r="B13812" s="128"/>
      <c r="C13812" s="128"/>
      <c r="D13812" s="128"/>
      <c r="E13812" s="128"/>
      <c r="F13812" s="128"/>
      <c r="G13812" s="128"/>
      <c r="H13812" s="128"/>
      <c r="I13812" s="128"/>
    </row>
    <row r="13813" spans="1:9" ht="13.5">
      <c r="A13813" s="128"/>
      <c r="B13813" s="128"/>
      <c r="C13813" s="128"/>
      <c r="D13813" s="128"/>
      <c r="E13813" s="128"/>
      <c r="F13813" s="128"/>
      <c r="G13813" s="128"/>
      <c r="H13813" s="128"/>
      <c r="I13813" s="128"/>
    </row>
    <row r="13814" spans="1:9" ht="13.5">
      <c r="A13814" s="128"/>
      <c r="B13814" s="128"/>
      <c r="C13814" s="128"/>
      <c r="D13814" s="128"/>
      <c r="E13814" s="128"/>
      <c r="F13814" s="128"/>
      <c r="G13814" s="128"/>
      <c r="H13814" s="128"/>
      <c r="I13814" s="128"/>
    </row>
    <row r="13815" spans="1:9" ht="13.5">
      <c r="A13815" s="128"/>
      <c r="B13815" s="128"/>
      <c r="C13815" s="128"/>
      <c r="D13815" s="128"/>
      <c r="E13815" s="128"/>
      <c r="F13815" s="128"/>
      <c r="G13815" s="128"/>
      <c r="H13815" s="128"/>
      <c r="I13815" s="128"/>
    </row>
    <row r="13816" spans="1:9" ht="13.5">
      <c r="A13816" s="128"/>
      <c r="B13816" s="128"/>
      <c r="C13816" s="128"/>
      <c r="D13816" s="128"/>
      <c r="E13816" s="128"/>
      <c r="F13816" s="128"/>
      <c r="G13816" s="128"/>
      <c r="H13816" s="128"/>
      <c r="I13816" s="128"/>
    </row>
    <row r="13817" spans="1:9" ht="13.5">
      <c r="A13817" s="128"/>
      <c r="B13817" s="128"/>
      <c r="C13817" s="128"/>
      <c r="D13817" s="128"/>
      <c r="E13817" s="128"/>
      <c r="F13817" s="128"/>
      <c r="G13817" s="128"/>
      <c r="H13817" s="128"/>
      <c r="I13817" s="128"/>
    </row>
    <row r="13818" spans="1:9" ht="13.5">
      <c r="A13818" s="128"/>
      <c r="B13818" s="128"/>
      <c r="C13818" s="128"/>
      <c r="D13818" s="128"/>
      <c r="E13818" s="128"/>
      <c r="F13818" s="128"/>
      <c r="G13818" s="128"/>
      <c r="H13818" s="128"/>
      <c r="I13818" s="128"/>
    </row>
    <row r="13819" spans="1:9" ht="13.5">
      <c r="A13819" s="128"/>
      <c r="B13819" s="128"/>
      <c r="C13819" s="128"/>
      <c r="D13819" s="128"/>
      <c r="E13819" s="128"/>
      <c r="F13819" s="128"/>
      <c r="G13819" s="128"/>
      <c r="H13819" s="128"/>
      <c r="I13819" s="128"/>
    </row>
    <row r="13820" spans="1:9" ht="13.5">
      <c r="A13820" s="128"/>
      <c r="B13820" s="128"/>
      <c r="C13820" s="128"/>
      <c r="D13820" s="128"/>
      <c r="E13820" s="128"/>
      <c r="F13820" s="128"/>
      <c r="G13820" s="128"/>
      <c r="H13820" s="128"/>
      <c r="I13820" s="128"/>
    </row>
    <row r="13821" spans="1:9" ht="13.5">
      <c r="A13821" s="128"/>
      <c r="B13821" s="128"/>
      <c r="C13821" s="128"/>
      <c r="D13821" s="128"/>
      <c r="E13821" s="128"/>
      <c r="F13821" s="128"/>
      <c r="G13821" s="128"/>
      <c r="H13821" s="128"/>
      <c r="I13821" s="128"/>
    </row>
    <row r="13822" spans="1:9" ht="13.5">
      <c r="A13822" s="128"/>
      <c r="B13822" s="128"/>
      <c r="C13822" s="128"/>
      <c r="D13822" s="128"/>
      <c r="E13822" s="128"/>
      <c r="F13822" s="128"/>
      <c r="G13822" s="128"/>
      <c r="H13822" s="128"/>
      <c r="I13822" s="128"/>
    </row>
    <row r="13823" spans="1:9" ht="13.5">
      <c r="A13823" s="128"/>
      <c r="B13823" s="128"/>
      <c r="C13823" s="128"/>
      <c r="D13823" s="128"/>
      <c r="E13823" s="128"/>
      <c r="F13823" s="128"/>
      <c r="G13823" s="128"/>
      <c r="H13823" s="128"/>
      <c r="I13823" s="128"/>
    </row>
    <row r="13824" spans="1:9" ht="13.5">
      <c r="A13824" s="128"/>
      <c r="B13824" s="128"/>
      <c r="C13824" s="128"/>
      <c r="D13824" s="128"/>
      <c r="E13824" s="128"/>
      <c r="F13824" s="128"/>
      <c r="G13824" s="128"/>
      <c r="H13824" s="128"/>
      <c r="I13824" s="128"/>
    </row>
    <row r="13825" spans="1:9" ht="13.5">
      <c r="A13825" s="128"/>
      <c r="B13825" s="128"/>
      <c r="C13825" s="128"/>
      <c r="D13825" s="128"/>
      <c r="E13825" s="128"/>
      <c r="F13825" s="128"/>
      <c r="G13825" s="128"/>
      <c r="H13825" s="128"/>
      <c r="I13825" s="128"/>
    </row>
    <row r="13826" spans="1:9" ht="13.5">
      <c r="A13826" s="128"/>
      <c r="B13826" s="128"/>
      <c r="C13826" s="128"/>
      <c r="D13826" s="128"/>
      <c r="E13826" s="128"/>
      <c r="F13826" s="128"/>
      <c r="G13826" s="128"/>
      <c r="H13826" s="128"/>
      <c r="I13826" s="128"/>
    </row>
    <row r="13827" spans="1:9" ht="13.5">
      <c r="A13827" s="128"/>
      <c r="B13827" s="128"/>
      <c r="C13827" s="128"/>
      <c r="D13827" s="128"/>
      <c r="E13827" s="128"/>
      <c r="F13827" s="128"/>
      <c r="G13827" s="128"/>
      <c r="H13827" s="128"/>
      <c r="I13827" s="128"/>
    </row>
    <row r="13828" spans="1:9" ht="13.5">
      <c r="A13828" s="128"/>
      <c r="B13828" s="128"/>
      <c r="C13828" s="128"/>
      <c r="D13828" s="128"/>
      <c r="E13828" s="128"/>
      <c r="F13828" s="128"/>
      <c r="G13828" s="128"/>
      <c r="H13828" s="128"/>
      <c r="I13828" s="128"/>
    </row>
    <row r="13829" spans="1:9" ht="13.5">
      <c r="A13829" s="128"/>
      <c r="B13829" s="128"/>
      <c r="C13829" s="128"/>
      <c r="D13829" s="128"/>
      <c r="E13829" s="128"/>
      <c r="F13829" s="128"/>
      <c r="G13829" s="128"/>
      <c r="H13829" s="128"/>
      <c r="I13829" s="128"/>
    </row>
    <row r="13830" spans="1:9" ht="13.5">
      <c r="A13830" s="128"/>
      <c r="B13830" s="128"/>
      <c r="C13830" s="128"/>
      <c r="D13830" s="128"/>
      <c r="E13830" s="128"/>
      <c r="F13830" s="128"/>
      <c r="G13830" s="128"/>
      <c r="H13830" s="128"/>
      <c r="I13830" s="128"/>
    </row>
    <row r="13831" spans="1:9" ht="13.5">
      <c r="A13831" s="128"/>
      <c r="B13831" s="128"/>
      <c r="C13831" s="128"/>
      <c r="D13831" s="128"/>
      <c r="E13831" s="128"/>
      <c r="F13831" s="128"/>
      <c r="G13831" s="128"/>
      <c r="H13831" s="128"/>
      <c r="I13831" s="128"/>
    </row>
    <row r="13832" spans="1:9" ht="13.5">
      <c r="A13832" s="128"/>
      <c r="B13832" s="128"/>
      <c r="C13832" s="128"/>
      <c r="D13832" s="128"/>
      <c r="E13832" s="128"/>
      <c r="F13832" s="128"/>
      <c r="G13832" s="128"/>
      <c r="H13832" s="128"/>
      <c r="I13832" s="128"/>
    </row>
    <row r="13833" spans="1:9" ht="13.5">
      <c r="A13833" s="128"/>
      <c r="B13833" s="128"/>
      <c r="C13833" s="128"/>
      <c r="D13833" s="128"/>
      <c r="E13833" s="128"/>
      <c r="F13833" s="128"/>
      <c r="G13833" s="128"/>
      <c r="H13833" s="128"/>
      <c r="I13833" s="128"/>
    </row>
    <row r="13834" spans="1:9" ht="13.5">
      <c r="A13834" s="128"/>
      <c r="B13834" s="128"/>
      <c r="C13834" s="128"/>
      <c r="D13834" s="128"/>
      <c r="E13834" s="128"/>
      <c r="F13834" s="128"/>
      <c r="G13834" s="128"/>
      <c r="H13834" s="128"/>
      <c r="I13834" s="128"/>
    </row>
    <row r="13835" spans="1:9" ht="13.5">
      <c r="A13835" s="128"/>
      <c r="B13835" s="128"/>
      <c r="C13835" s="128"/>
      <c r="D13835" s="128"/>
      <c r="E13835" s="128"/>
      <c r="F13835" s="128"/>
      <c r="G13835" s="128"/>
      <c r="H13835" s="128"/>
      <c r="I13835" s="128"/>
    </row>
    <row r="13836" spans="1:9" ht="13.5">
      <c r="A13836" s="128"/>
      <c r="B13836" s="128"/>
      <c r="C13836" s="128"/>
      <c r="D13836" s="128"/>
      <c r="E13836" s="128"/>
      <c r="F13836" s="128"/>
      <c r="G13836" s="128"/>
      <c r="H13836" s="128"/>
      <c r="I13836" s="128"/>
    </row>
    <row r="13837" spans="1:9" ht="13.5">
      <c r="A13837" s="128"/>
      <c r="B13837" s="128"/>
      <c r="C13837" s="128"/>
      <c r="D13837" s="128"/>
      <c r="E13837" s="128"/>
      <c r="F13837" s="128"/>
      <c r="G13837" s="128"/>
      <c r="H13837" s="128"/>
      <c r="I13837" s="128"/>
    </row>
    <row r="13838" spans="1:9" ht="13.5">
      <c r="A13838" s="128"/>
      <c r="B13838" s="128"/>
      <c r="C13838" s="128"/>
      <c r="D13838" s="128"/>
      <c r="E13838" s="128"/>
      <c r="F13838" s="128"/>
      <c r="G13838" s="128"/>
      <c r="H13838" s="128"/>
      <c r="I13838" s="128"/>
    </row>
    <row r="13839" spans="1:9" ht="13.5">
      <c r="A13839" s="128"/>
      <c r="B13839" s="128"/>
      <c r="C13839" s="128"/>
      <c r="D13839" s="128"/>
      <c r="E13839" s="128"/>
      <c r="F13839" s="128"/>
      <c r="G13839" s="128"/>
      <c r="H13839" s="128"/>
      <c r="I13839" s="128"/>
    </row>
    <row r="13840" spans="1:9" ht="13.5">
      <c r="A13840" s="128"/>
      <c r="B13840" s="128"/>
      <c r="C13840" s="128"/>
      <c r="D13840" s="128"/>
      <c r="E13840" s="128"/>
      <c r="F13840" s="128"/>
      <c r="G13840" s="128"/>
      <c r="H13840" s="128"/>
      <c r="I13840" s="128"/>
    </row>
    <row r="13841" spans="1:9" ht="13.5">
      <c r="A13841" s="128"/>
      <c r="B13841" s="128"/>
      <c r="C13841" s="128"/>
      <c r="D13841" s="128"/>
      <c r="E13841" s="128"/>
      <c r="F13841" s="128"/>
      <c r="G13841" s="128"/>
      <c r="H13841" s="128"/>
      <c r="I13841" s="128"/>
    </row>
    <row r="13842" spans="1:9" ht="13.5">
      <c r="A13842" s="128"/>
      <c r="B13842" s="128"/>
      <c r="C13842" s="128"/>
      <c r="D13842" s="128"/>
      <c r="E13842" s="128"/>
      <c r="F13842" s="128"/>
      <c r="G13842" s="128"/>
      <c r="H13842" s="128"/>
      <c r="I13842" s="128"/>
    </row>
    <row r="13843" spans="1:9" ht="13.5">
      <c r="A13843" s="128"/>
      <c r="B13843" s="128"/>
      <c r="C13843" s="128"/>
      <c r="D13843" s="128"/>
      <c r="E13843" s="128"/>
      <c r="F13843" s="128"/>
      <c r="G13843" s="128"/>
      <c r="H13843" s="128"/>
      <c r="I13843" s="128"/>
    </row>
    <row r="13844" spans="1:9" ht="13.5">
      <c r="A13844" s="128"/>
      <c r="B13844" s="128"/>
      <c r="C13844" s="128"/>
      <c r="D13844" s="128"/>
      <c r="E13844" s="128"/>
      <c r="F13844" s="128"/>
      <c r="G13844" s="128"/>
      <c r="H13844" s="128"/>
      <c r="I13844" s="128"/>
    </row>
    <row r="13845" spans="1:9" ht="13.5">
      <c r="A13845" s="128"/>
      <c r="B13845" s="128"/>
      <c r="C13845" s="128"/>
      <c r="D13845" s="128"/>
      <c r="E13845" s="128"/>
      <c r="F13845" s="128"/>
      <c r="G13845" s="128"/>
      <c r="H13845" s="128"/>
      <c r="I13845" s="128"/>
    </row>
    <row r="13846" spans="1:9" ht="13.5">
      <c r="A13846" s="128"/>
      <c r="B13846" s="128"/>
      <c r="C13846" s="128"/>
      <c r="D13846" s="128"/>
      <c r="E13846" s="128"/>
      <c r="F13846" s="128"/>
      <c r="G13846" s="128"/>
      <c r="H13846" s="128"/>
      <c r="I13846" s="128"/>
    </row>
    <row r="13847" spans="1:9" ht="13.5">
      <c r="A13847" s="128"/>
      <c r="B13847" s="128"/>
      <c r="C13847" s="128"/>
      <c r="D13847" s="128"/>
      <c r="E13847" s="128"/>
      <c r="F13847" s="128"/>
      <c r="G13847" s="128"/>
      <c r="H13847" s="128"/>
      <c r="I13847" s="128"/>
    </row>
    <row r="13848" spans="1:9" ht="13.5">
      <c r="A13848" s="128"/>
      <c r="B13848" s="128"/>
      <c r="C13848" s="128"/>
      <c r="D13848" s="128"/>
      <c r="E13848" s="128"/>
      <c r="F13848" s="128"/>
      <c r="G13848" s="128"/>
      <c r="H13848" s="128"/>
      <c r="I13848" s="128"/>
    </row>
    <row r="13849" spans="1:9" ht="13.5">
      <c r="A13849" s="128"/>
      <c r="B13849" s="128"/>
      <c r="C13849" s="128"/>
      <c r="D13849" s="128"/>
      <c r="E13849" s="128"/>
      <c r="F13849" s="128"/>
      <c r="G13849" s="128"/>
      <c r="H13849" s="128"/>
      <c r="I13849" s="128"/>
    </row>
    <row r="13850" spans="1:9" ht="13.5">
      <c r="A13850" s="128"/>
      <c r="B13850" s="128"/>
      <c r="C13850" s="128"/>
      <c r="D13850" s="128"/>
      <c r="E13850" s="128"/>
      <c r="F13850" s="128"/>
      <c r="G13850" s="128"/>
      <c r="H13850" s="128"/>
      <c r="I13850" s="128"/>
    </row>
    <row r="13851" spans="1:9" ht="13.5">
      <c r="A13851" s="128"/>
      <c r="B13851" s="128"/>
      <c r="C13851" s="128"/>
      <c r="D13851" s="128"/>
      <c r="E13851" s="128"/>
      <c r="F13851" s="128"/>
      <c r="G13851" s="128"/>
      <c r="H13851" s="128"/>
      <c r="I13851" s="128"/>
    </row>
    <row r="13852" spans="1:9" ht="13.5">
      <c r="A13852" s="128"/>
      <c r="B13852" s="128"/>
      <c r="C13852" s="128"/>
      <c r="D13852" s="128"/>
      <c r="E13852" s="128"/>
      <c r="F13852" s="128"/>
      <c r="G13852" s="128"/>
      <c r="H13852" s="128"/>
      <c r="I13852" s="128"/>
    </row>
    <row r="13853" spans="1:9" ht="13.5">
      <c r="A13853" s="128"/>
      <c r="B13853" s="128"/>
      <c r="C13853" s="128"/>
      <c r="D13853" s="128"/>
      <c r="E13853" s="128"/>
      <c r="F13853" s="128"/>
      <c r="G13853" s="128"/>
      <c r="H13853" s="128"/>
      <c r="I13853" s="128"/>
    </row>
    <row r="13854" spans="1:9" ht="13.5">
      <c r="A13854" s="128"/>
      <c r="B13854" s="128"/>
      <c r="C13854" s="128"/>
      <c r="D13854" s="128"/>
      <c r="E13854" s="128"/>
      <c r="F13854" s="128"/>
      <c r="G13854" s="128"/>
      <c r="H13854" s="128"/>
      <c r="I13854" s="128"/>
    </row>
    <row r="13855" spans="1:9" ht="13.5">
      <c r="A13855" s="128"/>
      <c r="B13855" s="128"/>
      <c r="C13855" s="128"/>
      <c r="D13855" s="128"/>
      <c r="E13855" s="128"/>
      <c r="F13855" s="128"/>
      <c r="G13855" s="128"/>
      <c r="H13855" s="128"/>
      <c r="I13855" s="128"/>
    </row>
    <row r="13856" spans="1:9" ht="13.5">
      <c r="A13856" s="128"/>
      <c r="B13856" s="128"/>
      <c r="C13856" s="128"/>
      <c r="D13856" s="128"/>
      <c r="E13856" s="128"/>
      <c r="F13856" s="128"/>
      <c r="G13856" s="128"/>
      <c r="H13856" s="128"/>
      <c r="I13856" s="128"/>
    </row>
    <row r="13857" spans="1:9" ht="13.5">
      <c r="A13857" s="128"/>
      <c r="B13857" s="128"/>
      <c r="C13857" s="128"/>
      <c r="D13857" s="128"/>
      <c r="E13857" s="128"/>
      <c r="F13857" s="128"/>
      <c r="G13857" s="128"/>
      <c r="H13857" s="128"/>
      <c r="I13857" s="128"/>
    </row>
    <row r="13858" spans="1:9" ht="13.5">
      <c r="A13858" s="128"/>
      <c r="B13858" s="128"/>
      <c r="C13858" s="128"/>
      <c r="D13858" s="128"/>
      <c r="E13858" s="128"/>
      <c r="F13858" s="128"/>
      <c r="G13858" s="128"/>
      <c r="H13858" s="128"/>
      <c r="I13858" s="128"/>
    </row>
    <row r="13859" spans="1:9" ht="13.5">
      <c r="A13859" s="128"/>
      <c r="B13859" s="128"/>
      <c r="C13859" s="128"/>
      <c r="D13859" s="128"/>
      <c r="E13859" s="128"/>
      <c r="F13859" s="128"/>
      <c r="G13859" s="128"/>
      <c r="H13859" s="128"/>
      <c r="I13859" s="128"/>
    </row>
    <row r="13860" spans="1:9" ht="13.5">
      <c r="A13860" s="128"/>
      <c r="B13860" s="128"/>
      <c r="C13860" s="128"/>
      <c r="D13860" s="128"/>
      <c r="E13860" s="128"/>
      <c r="F13860" s="128"/>
      <c r="G13860" s="128"/>
      <c r="H13860" s="128"/>
      <c r="I13860" s="128"/>
    </row>
    <row r="13861" spans="1:9" ht="13.5">
      <c r="A13861" s="128"/>
      <c r="B13861" s="128"/>
      <c r="C13861" s="128"/>
      <c r="D13861" s="128"/>
      <c r="E13861" s="128"/>
      <c r="F13861" s="128"/>
      <c r="G13861" s="128"/>
      <c r="H13861" s="128"/>
      <c r="I13861" s="128"/>
    </row>
    <row r="13862" spans="1:9" ht="13.5">
      <c r="A13862" s="128"/>
      <c r="B13862" s="128"/>
      <c r="C13862" s="128"/>
      <c r="D13862" s="128"/>
      <c r="E13862" s="128"/>
      <c r="F13862" s="128"/>
      <c r="G13862" s="128"/>
      <c r="H13862" s="128"/>
      <c r="I13862" s="128"/>
    </row>
    <row r="13863" spans="1:9" ht="13.5">
      <c r="A13863" s="128"/>
      <c r="B13863" s="128"/>
      <c r="C13863" s="128"/>
      <c r="D13863" s="128"/>
      <c r="E13863" s="128"/>
      <c r="F13863" s="128"/>
      <c r="G13863" s="128"/>
      <c r="H13863" s="128"/>
      <c r="I13863" s="128"/>
    </row>
    <row r="13864" spans="1:9" ht="13.5">
      <c r="A13864" s="128"/>
      <c r="B13864" s="128"/>
      <c r="C13864" s="128"/>
      <c r="D13864" s="128"/>
      <c r="E13864" s="128"/>
      <c r="F13864" s="128"/>
      <c r="G13864" s="128"/>
      <c r="H13864" s="128"/>
      <c r="I13864" s="128"/>
    </row>
    <row r="13865" spans="1:9" ht="13.5">
      <c r="A13865" s="128"/>
      <c r="B13865" s="128"/>
      <c r="C13865" s="128"/>
      <c r="D13865" s="128"/>
      <c r="E13865" s="128"/>
      <c r="F13865" s="128"/>
      <c r="G13865" s="128"/>
      <c r="H13865" s="128"/>
      <c r="I13865" s="128"/>
    </row>
    <row r="13866" spans="1:9" ht="13.5">
      <c r="A13866" s="128"/>
      <c r="B13866" s="128"/>
      <c r="C13866" s="128"/>
      <c r="D13866" s="128"/>
      <c r="E13866" s="128"/>
      <c r="F13866" s="128"/>
      <c r="G13866" s="128"/>
      <c r="H13866" s="128"/>
      <c r="I13866" s="128"/>
    </row>
    <row r="13867" spans="1:9" ht="13.5">
      <c r="A13867" s="128"/>
      <c r="B13867" s="128"/>
      <c r="C13867" s="128"/>
      <c r="D13867" s="128"/>
      <c r="E13867" s="128"/>
      <c r="F13867" s="128"/>
      <c r="G13867" s="128"/>
      <c r="H13867" s="128"/>
      <c r="I13867" s="128"/>
    </row>
    <row r="13868" spans="1:9" ht="13.5">
      <c r="A13868" s="128"/>
      <c r="B13868" s="128"/>
      <c r="C13868" s="128"/>
      <c r="D13868" s="128"/>
      <c r="E13868" s="128"/>
      <c r="F13868" s="128"/>
      <c r="G13868" s="128"/>
      <c r="H13868" s="128"/>
      <c r="I13868" s="128"/>
    </row>
    <row r="13869" spans="1:9" ht="13.5">
      <c r="A13869" s="128"/>
      <c r="B13869" s="128"/>
      <c r="C13869" s="128"/>
      <c r="D13869" s="128"/>
      <c r="E13869" s="128"/>
      <c r="F13869" s="128"/>
      <c r="G13869" s="128"/>
      <c r="H13869" s="128"/>
      <c r="I13869" s="128"/>
    </row>
    <row r="13870" spans="1:9" ht="13.5">
      <c r="A13870" s="128"/>
      <c r="B13870" s="128"/>
      <c r="C13870" s="128"/>
      <c r="D13870" s="128"/>
      <c r="E13870" s="128"/>
      <c r="F13870" s="128"/>
      <c r="G13870" s="128"/>
      <c r="H13870" s="128"/>
      <c r="I13870" s="128"/>
    </row>
    <row r="13871" spans="1:9" ht="13.5">
      <c r="A13871" s="128"/>
      <c r="B13871" s="128"/>
      <c r="C13871" s="128"/>
      <c r="D13871" s="128"/>
      <c r="E13871" s="128"/>
      <c r="F13871" s="128"/>
      <c r="G13871" s="128"/>
      <c r="H13871" s="128"/>
      <c r="I13871" s="128"/>
    </row>
    <row r="13872" spans="1:9" ht="13.5">
      <c r="A13872" s="128"/>
      <c r="B13872" s="128"/>
      <c r="C13872" s="128"/>
      <c r="D13872" s="128"/>
      <c r="E13872" s="128"/>
      <c r="F13872" s="128"/>
      <c r="G13872" s="128"/>
      <c r="H13872" s="128"/>
      <c r="I13872" s="128"/>
    </row>
    <row r="13873" spans="1:9" ht="13.5">
      <c r="A13873" s="128"/>
      <c r="B13873" s="128"/>
      <c r="C13873" s="128"/>
      <c r="D13873" s="128"/>
      <c r="E13873" s="128"/>
      <c r="F13873" s="128"/>
      <c r="G13873" s="128"/>
      <c r="H13873" s="128"/>
      <c r="I13873" s="128"/>
    </row>
    <row r="13874" spans="1:9" ht="13.5">
      <c r="A13874" s="128"/>
      <c r="B13874" s="128"/>
      <c r="C13874" s="128"/>
      <c r="D13874" s="128"/>
      <c r="E13874" s="128"/>
      <c r="F13874" s="128"/>
      <c r="G13874" s="128"/>
      <c r="H13874" s="128"/>
      <c r="I13874" s="128"/>
    </row>
    <row r="13875" spans="1:9" ht="13.5">
      <c r="A13875" s="128"/>
      <c r="B13875" s="128"/>
      <c r="C13875" s="128"/>
      <c r="D13875" s="128"/>
      <c r="E13875" s="128"/>
      <c r="F13875" s="128"/>
      <c r="G13875" s="128"/>
      <c r="H13875" s="128"/>
      <c r="I13875" s="128"/>
    </row>
    <row r="13876" spans="1:9" ht="13.5">
      <c r="A13876" s="128"/>
      <c r="B13876" s="128"/>
      <c r="C13876" s="128"/>
      <c r="D13876" s="128"/>
      <c r="E13876" s="128"/>
      <c r="F13876" s="128"/>
      <c r="G13876" s="128"/>
      <c r="H13876" s="128"/>
      <c r="I13876" s="128"/>
    </row>
    <row r="13877" spans="1:9" ht="13.5">
      <c r="A13877" s="128"/>
      <c r="B13877" s="128"/>
      <c r="C13877" s="128"/>
      <c r="D13877" s="128"/>
      <c r="E13877" s="128"/>
      <c r="F13877" s="128"/>
      <c r="G13877" s="128"/>
      <c r="H13877" s="128"/>
      <c r="I13877" s="128"/>
    </row>
    <row r="13878" spans="1:9" ht="13.5">
      <c r="A13878" s="128"/>
      <c r="B13878" s="128"/>
      <c r="C13878" s="128"/>
      <c r="D13878" s="128"/>
      <c r="E13878" s="128"/>
      <c r="F13878" s="128"/>
      <c r="G13878" s="128"/>
      <c r="H13878" s="128"/>
      <c r="I13878" s="128"/>
    </row>
    <row r="13879" spans="1:9" ht="13.5">
      <c r="A13879" s="128"/>
      <c r="B13879" s="128"/>
      <c r="C13879" s="128"/>
      <c r="D13879" s="128"/>
      <c r="E13879" s="128"/>
      <c r="F13879" s="128"/>
      <c r="G13879" s="128"/>
      <c r="H13879" s="128"/>
      <c r="I13879" s="128"/>
    </row>
    <row r="13880" spans="1:9" ht="13.5">
      <c r="A13880" s="128"/>
      <c r="B13880" s="128"/>
      <c r="C13880" s="128"/>
      <c r="D13880" s="128"/>
      <c r="E13880" s="128"/>
      <c r="F13880" s="128"/>
      <c r="G13880" s="128"/>
      <c r="H13880" s="128"/>
      <c r="I13880" s="128"/>
    </row>
    <row r="13881" spans="1:9" ht="13.5">
      <c r="A13881" s="128"/>
      <c r="B13881" s="128"/>
      <c r="C13881" s="128"/>
      <c r="D13881" s="128"/>
      <c r="E13881" s="128"/>
      <c r="F13881" s="128"/>
      <c r="G13881" s="128"/>
      <c r="H13881" s="128"/>
      <c r="I13881" s="128"/>
    </row>
    <row r="13882" spans="1:9" ht="13.5">
      <c r="A13882" s="128"/>
      <c r="B13882" s="128"/>
      <c r="C13882" s="128"/>
      <c r="D13882" s="128"/>
      <c r="E13882" s="128"/>
      <c r="F13882" s="128"/>
      <c r="G13882" s="128"/>
      <c r="H13882" s="128"/>
      <c r="I13882" s="128"/>
    </row>
    <row r="13883" spans="1:9" ht="13.5">
      <c r="A13883" s="128"/>
      <c r="B13883" s="128"/>
      <c r="C13883" s="128"/>
      <c r="D13883" s="128"/>
      <c r="E13883" s="128"/>
      <c r="F13883" s="128"/>
      <c r="G13883" s="128"/>
      <c r="H13883" s="128"/>
      <c r="I13883" s="128"/>
    </row>
    <row r="13884" spans="1:9" ht="13.5">
      <c r="A13884" s="128"/>
      <c r="B13884" s="128"/>
      <c r="C13884" s="128"/>
      <c r="D13884" s="128"/>
      <c r="E13884" s="128"/>
      <c r="F13884" s="128"/>
      <c r="G13884" s="128"/>
      <c r="H13884" s="128"/>
      <c r="I13884" s="128"/>
    </row>
    <row r="13885" spans="1:9" ht="13.5">
      <c r="A13885" s="128"/>
      <c r="B13885" s="128"/>
      <c r="C13885" s="128"/>
      <c r="D13885" s="128"/>
      <c r="E13885" s="128"/>
      <c r="F13885" s="128"/>
      <c r="G13885" s="128"/>
      <c r="H13885" s="128"/>
      <c r="I13885" s="128"/>
    </row>
    <row r="13886" spans="1:9" ht="13.5">
      <c r="A13886" s="128"/>
      <c r="B13886" s="128"/>
      <c r="C13886" s="128"/>
      <c r="D13886" s="128"/>
      <c r="E13886" s="128"/>
      <c r="F13886" s="128"/>
      <c r="G13886" s="128"/>
      <c r="H13886" s="128"/>
      <c r="I13886" s="128"/>
    </row>
    <row r="13887" spans="1:9" ht="13.5">
      <c r="A13887" s="128"/>
      <c r="B13887" s="128"/>
      <c r="C13887" s="128"/>
      <c r="D13887" s="128"/>
      <c r="E13887" s="128"/>
      <c r="F13887" s="128"/>
      <c r="G13887" s="128"/>
      <c r="H13887" s="128"/>
      <c r="I13887" s="128"/>
    </row>
    <row r="13888" spans="1:9" ht="13.5">
      <c r="A13888" s="128"/>
      <c r="B13888" s="128"/>
      <c r="C13888" s="128"/>
      <c r="D13888" s="128"/>
      <c r="E13888" s="128"/>
      <c r="F13888" s="128"/>
      <c r="G13888" s="128"/>
      <c r="H13888" s="128"/>
      <c r="I13888" s="128"/>
    </row>
    <row r="13889" spans="1:9" ht="13.5">
      <c r="A13889" s="128"/>
      <c r="B13889" s="128"/>
      <c r="C13889" s="128"/>
      <c r="D13889" s="128"/>
      <c r="E13889" s="128"/>
      <c r="F13889" s="128"/>
      <c r="G13889" s="128"/>
      <c r="H13889" s="128"/>
      <c r="I13889" s="128"/>
    </row>
    <row r="13890" spans="1:9" ht="13.5">
      <c r="A13890" s="128"/>
      <c r="B13890" s="128"/>
      <c r="C13890" s="128"/>
      <c r="D13890" s="128"/>
      <c r="E13890" s="128"/>
      <c r="F13890" s="128"/>
      <c r="G13890" s="128"/>
      <c r="H13890" s="128"/>
      <c r="I13890" s="128"/>
    </row>
    <row r="13891" spans="1:9" ht="13.5">
      <c r="A13891" s="128"/>
      <c r="B13891" s="128"/>
      <c r="C13891" s="128"/>
      <c r="D13891" s="128"/>
      <c r="E13891" s="128"/>
      <c r="F13891" s="128"/>
      <c r="G13891" s="128"/>
      <c r="H13891" s="128"/>
      <c r="I13891" s="128"/>
    </row>
    <row r="13892" spans="1:9" ht="13.5">
      <c r="A13892" s="128"/>
      <c r="B13892" s="128"/>
      <c r="C13892" s="128"/>
      <c r="D13892" s="128"/>
      <c r="E13892" s="128"/>
      <c r="F13892" s="128"/>
      <c r="G13892" s="128"/>
      <c r="H13892" s="128"/>
      <c r="I13892" s="128"/>
    </row>
    <row r="13893" spans="1:9" ht="13.5">
      <c r="A13893" s="128"/>
      <c r="B13893" s="128"/>
      <c r="C13893" s="128"/>
      <c r="D13893" s="128"/>
      <c r="E13893" s="128"/>
      <c r="F13893" s="128"/>
      <c r="G13893" s="128"/>
      <c r="H13893" s="128"/>
      <c r="I13893" s="128"/>
    </row>
    <row r="13894" spans="1:9" ht="13.5">
      <c r="A13894" s="128"/>
      <c r="B13894" s="128"/>
      <c r="C13894" s="128"/>
      <c r="D13894" s="128"/>
      <c r="E13894" s="128"/>
      <c r="F13894" s="128"/>
      <c r="G13894" s="128"/>
      <c r="H13894" s="128"/>
      <c r="I13894" s="128"/>
    </row>
    <row r="13895" spans="1:9" ht="13.5">
      <c r="A13895" s="128"/>
      <c r="B13895" s="128"/>
      <c r="C13895" s="128"/>
      <c r="D13895" s="128"/>
      <c r="E13895" s="128"/>
      <c r="F13895" s="128"/>
      <c r="G13895" s="128"/>
      <c r="H13895" s="128"/>
      <c r="I13895" s="128"/>
    </row>
    <row r="13896" spans="1:9" ht="13.5">
      <c r="A13896" s="128"/>
      <c r="B13896" s="128"/>
      <c r="C13896" s="128"/>
      <c r="D13896" s="128"/>
      <c r="E13896" s="128"/>
      <c r="F13896" s="128"/>
      <c r="G13896" s="128"/>
      <c r="H13896" s="128"/>
      <c r="I13896" s="128"/>
    </row>
    <row r="13897" spans="1:9" ht="13.5">
      <c r="A13897" s="128"/>
      <c r="B13897" s="128"/>
      <c r="C13897" s="128"/>
      <c r="D13897" s="128"/>
      <c r="E13897" s="128"/>
      <c r="F13897" s="128"/>
      <c r="G13897" s="128"/>
      <c r="H13897" s="128"/>
      <c r="I13897" s="128"/>
    </row>
    <row r="13898" spans="1:9" ht="13.5">
      <c r="A13898" s="128"/>
      <c r="B13898" s="128"/>
      <c r="C13898" s="128"/>
      <c r="D13898" s="128"/>
      <c r="E13898" s="128"/>
      <c r="F13898" s="128"/>
      <c r="G13898" s="128"/>
      <c r="H13898" s="128"/>
      <c r="I13898" s="128"/>
    </row>
    <row r="13899" spans="1:9" ht="13.5">
      <c r="A13899" s="128"/>
      <c r="B13899" s="128"/>
      <c r="C13899" s="128"/>
      <c r="D13899" s="128"/>
      <c r="E13899" s="128"/>
      <c r="F13899" s="128"/>
      <c r="G13899" s="128"/>
      <c r="H13899" s="128"/>
      <c r="I13899" s="128"/>
    </row>
    <row r="13900" spans="1:9" ht="13.5">
      <c r="A13900" s="128"/>
      <c r="B13900" s="128"/>
      <c r="C13900" s="128"/>
      <c r="D13900" s="128"/>
      <c r="E13900" s="128"/>
      <c r="F13900" s="128"/>
      <c r="G13900" s="128"/>
      <c r="H13900" s="128"/>
      <c r="I13900" s="128"/>
    </row>
    <row r="13901" spans="1:9" ht="13.5">
      <c r="A13901" s="128"/>
      <c r="B13901" s="128"/>
      <c r="C13901" s="128"/>
      <c r="D13901" s="128"/>
      <c r="E13901" s="128"/>
      <c r="F13901" s="128"/>
      <c r="G13901" s="128"/>
      <c r="H13901" s="128"/>
      <c r="I13901" s="128"/>
    </row>
    <row r="13902" spans="1:9" ht="13.5">
      <c r="A13902" s="128"/>
      <c r="B13902" s="128"/>
      <c r="C13902" s="128"/>
      <c r="D13902" s="128"/>
      <c r="E13902" s="128"/>
      <c r="F13902" s="128"/>
      <c r="G13902" s="128"/>
      <c r="H13902" s="128"/>
      <c r="I13902" s="128"/>
    </row>
    <row r="13903" spans="1:9" ht="13.5">
      <c r="A13903" s="128"/>
      <c r="B13903" s="128"/>
      <c r="C13903" s="128"/>
      <c r="D13903" s="128"/>
      <c r="E13903" s="128"/>
      <c r="F13903" s="128"/>
      <c r="G13903" s="128"/>
      <c r="H13903" s="128"/>
      <c r="I13903" s="128"/>
    </row>
    <row r="13904" spans="1:9" ht="13.5">
      <c r="A13904" s="128"/>
      <c r="B13904" s="128"/>
      <c r="C13904" s="128"/>
      <c r="D13904" s="128"/>
      <c r="E13904" s="128"/>
      <c r="F13904" s="128"/>
      <c r="G13904" s="128"/>
      <c r="H13904" s="128"/>
      <c r="I13904" s="128"/>
    </row>
    <row r="13905" spans="1:9" ht="13.5">
      <c r="A13905" s="128"/>
      <c r="B13905" s="128"/>
      <c r="C13905" s="128"/>
      <c r="D13905" s="128"/>
      <c r="E13905" s="128"/>
      <c r="F13905" s="128"/>
      <c r="G13905" s="128"/>
      <c r="H13905" s="128"/>
      <c r="I13905" s="128"/>
    </row>
    <row r="13906" spans="1:9" ht="13.5">
      <c r="A13906" s="128"/>
      <c r="B13906" s="128"/>
      <c r="C13906" s="128"/>
      <c r="D13906" s="128"/>
      <c r="E13906" s="128"/>
      <c r="F13906" s="128"/>
      <c r="G13906" s="128"/>
      <c r="H13906" s="128"/>
      <c r="I13906" s="128"/>
    </row>
    <row r="13907" spans="1:9" ht="13.5">
      <c r="A13907" s="128"/>
      <c r="B13907" s="128"/>
      <c r="C13907" s="128"/>
      <c r="D13907" s="128"/>
      <c r="E13907" s="128"/>
      <c r="F13907" s="128"/>
      <c r="G13907" s="128"/>
      <c r="H13907" s="128"/>
      <c r="I13907" s="128"/>
    </row>
    <row r="13908" spans="1:9" ht="13.5">
      <c r="A13908" s="128"/>
      <c r="B13908" s="128"/>
      <c r="C13908" s="128"/>
      <c r="D13908" s="128"/>
      <c r="E13908" s="128"/>
      <c r="F13908" s="128"/>
      <c r="G13908" s="128"/>
      <c r="H13908" s="128"/>
      <c r="I13908" s="128"/>
    </row>
    <row r="13909" spans="1:9" ht="13.5">
      <c r="A13909" s="128"/>
      <c r="B13909" s="128"/>
      <c r="C13909" s="128"/>
      <c r="D13909" s="128"/>
      <c r="E13909" s="128"/>
      <c r="F13909" s="128"/>
      <c r="G13909" s="128"/>
      <c r="H13909" s="128"/>
      <c r="I13909" s="128"/>
    </row>
    <row r="13910" spans="1:9" ht="13.5">
      <c r="A13910" s="128"/>
      <c r="B13910" s="128"/>
      <c r="C13910" s="128"/>
      <c r="D13910" s="128"/>
      <c r="E13910" s="128"/>
      <c r="F13910" s="128"/>
      <c r="G13910" s="128"/>
      <c r="H13910" s="128"/>
      <c r="I13910" s="128"/>
    </row>
    <row r="13911" spans="1:9" ht="13.5">
      <c r="A13911" s="128"/>
      <c r="B13911" s="128"/>
      <c r="C13911" s="128"/>
      <c r="D13911" s="128"/>
      <c r="E13911" s="128"/>
      <c r="F13911" s="128"/>
      <c r="G13911" s="128"/>
      <c r="H13911" s="128"/>
      <c r="I13911" s="128"/>
    </row>
    <row r="13912" spans="1:9" ht="13.5">
      <c r="A13912" s="128"/>
      <c r="B13912" s="128"/>
      <c r="C13912" s="128"/>
      <c r="D13912" s="128"/>
      <c r="E13912" s="128"/>
      <c r="F13912" s="128"/>
      <c r="G13912" s="128"/>
      <c r="H13912" s="128"/>
      <c r="I13912" s="128"/>
    </row>
    <row r="13913" spans="1:9" ht="13.5">
      <c r="A13913" s="128"/>
      <c r="B13913" s="128"/>
      <c r="C13913" s="128"/>
      <c r="D13913" s="128"/>
      <c r="E13913" s="128"/>
      <c r="F13913" s="128"/>
      <c r="G13913" s="128"/>
      <c r="H13913" s="128"/>
      <c r="I13913" s="128"/>
    </row>
    <row r="13914" spans="1:9" ht="13.5">
      <c r="A13914" s="128"/>
      <c r="B13914" s="128"/>
      <c r="C13914" s="128"/>
      <c r="D13914" s="128"/>
      <c r="E13914" s="128"/>
      <c r="F13914" s="128"/>
      <c r="G13914" s="128"/>
      <c r="H13914" s="128"/>
      <c r="I13914" s="128"/>
    </row>
    <row r="13915" spans="1:9" ht="13.5">
      <c r="A13915" s="128"/>
      <c r="B13915" s="128"/>
      <c r="C13915" s="128"/>
      <c r="D13915" s="128"/>
      <c r="E13915" s="128"/>
      <c r="F13915" s="128"/>
      <c r="G13915" s="128"/>
      <c r="H13915" s="128"/>
      <c r="I13915" s="128"/>
    </row>
    <row r="13916" spans="1:9" ht="13.5">
      <c r="A13916" s="128"/>
      <c r="B13916" s="128"/>
      <c r="C13916" s="128"/>
      <c r="D13916" s="128"/>
      <c r="E13916" s="128"/>
      <c r="F13916" s="128"/>
      <c r="G13916" s="128"/>
      <c r="H13916" s="128"/>
      <c r="I13916" s="128"/>
    </row>
    <row r="13917" spans="1:9" ht="13.5">
      <c r="A13917" s="128"/>
      <c r="B13917" s="128"/>
      <c r="C13917" s="128"/>
      <c r="D13917" s="128"/>
      <c r="E13917" s="128"/>
      <c r="F13917" s="128"/>
      <c r="G13917" s="128"/>
      <c r="H13917" s="128"/>
      <c r="I13917" s="128"/>
    </row>
    <row r="13918" spans="1:9" ht="13.5">
      <c r="A13918" s="128"/>
      <c r="B13918" s="128"/>
      <c r="C13918" s="128"/>
      <c r="D13918" s="128"/>
      <c r="E13918" s="128"/>
      <c r="F13918" s="128"/>
      <c r="G13918" s="128"/>
      <c r="H13918" s="128"/>
      <c r="I13918" s="128"/>
    </row>
    <row r="13919" spans="1:9" ht="13.5">
      <c r="A13919" s="128"/>
      <c r="B13919" s="128"/>
      <c r="C13919" s="128"/>
      <c r="D13919" s="128"/>
      <c r="E13919" s="128"/>
      <c r="F13919" s="128"/>
      <c r="G13919" s="128"/>
      <c r="H13919" s="128"/>
      <c r="I13919" s="128"/>
    </row>
    <row r="13920" spans="1:9" ht="13.5">
      <c r="A13920" s="128"/>
      <c r="B13920" s="128"/>
      <c r="C13920" s="128"/>
      <c r="D13920" s="128"/>
      <c r="E13920" s="128"/>
      <c r="F13920" s="128"/>
      <c r="G13920" s="128"/>
      <c r="H13920" s="128"/>
      <c r="I13920" s="128"/>
    </row>
    <row r="13921" spans="1:9" ht="13.5">
      <c r="A13921" s="128"/>
      <c r="B13921" s="128"/>
      <c r="C13921" s="128"/>
      <c r="D13921" s="128"/>
      <c r="E13921" s="128"/>
      <c r="F13921" s="128"/>
      <c r="G13921" s="128"/>
      <c r="H13921" s="128"/>
      <c r="I13921" s="128"/>
    </row>
    <row r="13922" spans="1:9" ht="13.5">
      <c r="A13922" s="128"/>
      <c r="B13922" s="128"/>
      <c r="C13922" s="128"/>
      <c r="D13922" s="128"/>
      <c r="E13922" s="128"/>
      <c r="F13922" s="128"/>
      <c r="G13922" s="128"/>
      <c r="H13922" s="128"/>
      <c r="I13922" s="128"/>
    </row>
    <row r="13923" spans="1:9" ht="13.5">
      <c r="A13923" s="128"/>
      <c r="B13923" s="128"/>
      <c r="C13923" s="128"/>
      <c r="D13923" s="128"/>
      <c r="E13923" s="128"/>
      <c r="F13923" s="128"/>
      <c r="G13923" s="128"/>
      <c r="H13923" s="128"/>
      <c r="I13923" s="128"/>
    </row>
    <row r="13924" spans="1:9" ht="13.5">
      <c r="A13924" s="128"/>
      <c r="B13924" s="128"/>
      <c r="C13924" s="128"/>
      <c r="D13924" s="128"/>
      <c r="E13924" s="128"/>
      <c r="F13924" s="128"/>
      <c r="G13924" s="128"/>
      <c r="H13924" s="128"/>
      <c r="I13924" s="128"/>
    </row>
    <row r="13925" spans="1:9" ht="13.5">
      <c r="A13925" s="128"/>
      <c r="B13925" s="128"/>
      <c r="C13925" s="128"/>
      <c r="D13925" s="128"/>
      <c r="E13925" s="128"/>
      <c r="F13925" s="128"/>
      <c r="G13925" s="128"/>
      <c r="H13925" s="128"/>
      <c r="I13925" s="128"/>
    </row>
    <row r="13926" spans="1:9" ht="13.5">
      <c r="A13926" s="128"/>
      <c r="B13926" s="128"/>
      <c r="C13926" s="128"/>
      <c r="D13926" s="128"/>
      <c r="E13926" s="128"/>
      <c r="F13926" s="128"/>
      <c r="G13926" s="128"/>
      <c r="H13926" s="128"/>
      <c r="I13926" s="128"/>
    </row>
    <row r="13927" spans="1:9" ht="13.5">
      <c r="A13927" s="128"/>
      <c r="B13927" s="128"/>
      <c r="C13927" s="128"/>
      <c r="D13927" s="128"/>
      <c r="E13927" s="128"/>
      <c r="F13927" s="128"/>
      <c r="G13927" s="128"/>
      <c r="H13927" s="128"/>
      <c r="I13927" s="128"/>
    </row>
    <row r="13928" spans="1:9" ht="13.5">
      <c r="A13928" s="128"/>
      <c r="B13928" s="128"/>
      <c r="C13928" s="128"/>
      <c r="D13928" s="128"/>
      <c r="E13928" s="128"/>
      <c r="F13928" s="128"/>
      <c r="G13928" s="128"/>
      <c r="H13928" s="128"/>
      <c r="I13928" s="128"/>
    </row>
    <row r="13929" spans="1:9" ht="13.5">
      <c r="A13929" s="128"/>
      <c r="B13929" s="128"/>
      <c r="C13929" s="128"/>
      <c r="D13929" s="128"/>
      <c r="E13929" s="128"/>
      <c r="F13929" s="128"/>
      <c r="G13929" s="128"/>
      <c r="H13929" s="128"/>
      <c r="I13929" s="128"/>
    </row>
    <row r="13930" spans="1:9" ht="13.5">
      <c r="A13930" s="128"/>
      <c r="B13930" s="128"/>
      <c r="C13930" s="128"/>
      <c r="D13930" s="128"/>
      <c r="E13930" s="128"/>
      <c r="F13930" s="128"/>
      <c r="G13930" s="128"/>
      <c r="H13930" s="128"/>
      <c r="I13930" s="128"/>
    </row>
    <row r="13931" spans="1:9" ht="13.5">
      <c r="A13931" s="128"/>
      <c r="B13931" s="128"/>
      <c r="C13931" s="128"/>
      <c r="D13931" s="128"/>
      <c r="E13931" s="128"/>
      <c r="F13931" s="128"/>
      <c r="G13931" s="128"/>
      <c r="H13931" s="128"/>
      <c r="I13931" s="128"/>
    </row>
    <row r="13932" spans="1:9" ht="13.5">
      <c r="A13932" s="128"/>
      <c r="B13932" s="128"/>
      <c r="C13932" s="128"/>
      <c r="D13932" s="128"/>
      <c r="E13932" s="128"/>
      <c r="F13932" s="128"/>
      <c r="G13932" s="128"/>
      <c r="H13932" s="128"/>
      <c r="I13932" s="128"/>
    </row>
    <row r="13933" spans="1:9" ht="13.5">
      <c r="A13933" s="128"/>
      <c r="B13933" s="128"/>
      <c r="C13933" s="128"/>
      <c r="D13933" s="128"/>
      <c r="E13933" s="128"/>
      <c r="F13933" s="128"/>
      <c r="G13933" s="128"/>
      <c r="H13933" s="128"/>
      <c r="I13933" s="128"/>
    </row>
    <row r="13934" spans="1:9" ht="13.5">
      <c r="A13934" s="128"/>
      <c r="B13934" s="128"/>
      <c r="C13934" s="128"/>
      <c r="D13934" s="128"/>
      <c r="E13934" s="128"/>
      <c r="F13934" s="128"/>
      <c r="G13934" s="128"/>
      <c r="H13934" s="128"/>
      <c r="I13934" s="128"/>
    </row>
    <row r="13935" spans="1:9" ht="13.5">
      <c r="A13935" s="128"/>
      <c r="B13935" s="128"/>
      <c r="C13935" s="128"/>
      <c r="D13935" s="128"/>
      <c r="E13935" s="128"/>
      <c r="F13935" s="128"/>
      <c r="G13935" s="128"/>
      <c r="H13935" s="128"/>
      <c r="I13935" s="128"/>
    </row>
    <row r="13936" spans="1:9" ht="13.5">
      <c r="A13936" s="128"/>
      <c r="B13936" s="128"/>
      <c r="C13936" s="128"/>
      <c r="D13936" s="128"/>
      <c r="E13936" s="128"/>
      <c r="F13936" s="128"/>
      <c r="G13936" s="128"/>
      <c r="H13936" s="128"/>
      <c r="I13936" s="128"/>
    </row>
    <row r="13937" spans="1:9" ht="13.5">
      <c r="A13937" s="128"/>
      <c r="B13937" s="128"/>
      <c r="C13937" s="128"/>
      <c r="D13937" s="128"/>
      <c r="E13937" s="128"/>
      <c r="F13937" s="128"/>
      <c r="G13937" s="128"/>
      <c r="H13937" s="128"/>
      <c r="I13937" s="128"/>
    </row>
    <row r="13938" spans="1:9" ht="13.5">
      <c r="A13938" s="128"/>
      <c r="B13938" s="128"/>
      <c r="C13938" s="128"/>
      <c r="D13938" s="128"/>
      <c r="E13938" s="128"/>
      <c r="F13938" s="128"/>
      <c r="G13938" s="128"/>
      <c r="H13938" s="128"/>
      <c r="I13938" s="128"/>
    </row>
    <row r="13939" spans="1:9" ht="13.5">
      <c r="A13939" s="128"/>
      <c r="B13939" s="128"/>
      <c r="C13939" s="128"/>
      <c r="D13939" s="128"/>
      <c r="E13939" s="128"/>
      <c r="F13939" s="128"/>
      <c r="G13939" s="128"/>
      <c r="H13939" s="128"/>
      <c r="I13939" s="128"/>
    </row>
    <row r="13940" spans="1:9" ht="13.5">
      <c r="A13940" s="128"/>
      <c r="B13940" s="128"/>
      <c r="C13940" s="128"/>
      <c r="D13940" s="128"/>
      <c r="E13940" s="128"/>
      <c r="F13940" s="128"/>
      <c r="G13940" s="128"/>
      <c r="H13940" s="128"/>
      <c r="I13940" s="128"/>
    </row>
    <row r="13941" spans="1:9" ht="13.5">
      <c r="A13941" s="128"/>
      <c r="B13941" s="128"/>
      <c r="C13941" s="128"/>
      <c r="D13941" s="128"/>
      <c r="E13941" s="128"/>
      <c r="F13941" s="128"/>
      <c r="G13941" s="128"/>
      <c r="H13941" s="128"/>
      <c r="I13941" s="128"/>
    </row>
    <row r="13942" spans="1:9" ht="13.5">
      <c r="A13942" s="128"/>
      <c r="B13942" s="128"/>
      <c r="C13942" s="128"/>
      <c r="D13942" s="128"/>
      <c r="E13942" s="128"/>
      <c r="F13942" s="128"/>
      <c r="G13942" s="128"/>
      <c r="H13942" s="128"/>
      <c r="I13942" s="128"/>
    </row>
    <row r="13943" spans="1:9" ht="13.5">
      <c r="A13943" s="128"/>
      <c r="B13943" s="128"/>
      <c r="C13943" s="128"/>
      <c r="D13943" s="128"/>
      <c r="E13943" s="128"/>
      <c r="F13943" s="128"/>
      <c r="G13943" s="128"/>
      <c r="H13943" s="128"/>
      <c r="I13943" s="128"/>
    </row>
    <row r="13944" spans="1:9" ht="13.5">
      <c r="A13944" s="128"/>
      <c r="B13944" s="128"/>
      <c r="C13944" s="128"/>
      <c r="D13944" s="128"/>
      <c r="E13944" s="128"/>
      <c r="F13944" s="128"/>
      <c r="G13944" s="128"/>
      <c r="H13944" s="128"/>
      <c r="I13944" s="128"/>
    </row>
    <row r="13945" spans="1:9" ht="13.5">
      <c r="A13945" s="128"/>
      <c r="B13945" s="128"/>
      <c r="C13945" s="128"/>
      <c r="D13945" s="128"/>
      <c r="E13945" s="128"/>
      <c r="F13945" s="128"/>
      <c r="G13945" s="128"/>
      <c r="H13945" s="128"/>
      <c r="I13945" s="128"/>
    </row>
    <row r="13946" spans="1:9" ht="13.5">
      <c r="A13946" s="128"/>
      <c r="B13946" s="128"/>
      <c r="C13946" s="128"/>
      <c r="D13946" s="128"/>
      <c r="E13946" s="128"/>
      <c r="F13946" s="128"/>
      <c r="G13946" s="128"/>
      <c r="H13946" s="128"/>
      <c r="I13946" s="128"/>
    </row>
    <row r="13947" spans="1:9" ht="13.5">
      <c r="A13947" s="128"/>
      <c r="B13947" s="128"/>
      <c r="C13947" s="128"/>
      <c r="D13947" s="128"/>
      <c r="E13947" s="128"/>
      <c r="F13947" s="128"/>
      <c r="G13947" s="128"/>
      <c r="H13947" s="128"/>
      <c r="I13947" s="128"/>
    </row>
    <row r="13948" spans="1:9" ht="13.5">
      <c r="A13948" s="128"/>
      <c r="B13948" s="128"/>
      <c r="C13948" s="128"/>
      <c r="D13948" s="128"/>
      <c r="E13948" s="128"/>
      <c r="F13948" s="128"/>
      <c r="G13948" s="128"/>
      <c r="H13948" s="128"/>
      <c r="I13948" s="128"/>
    </row>
    <row r="13949" spans="1:9" ht="13.5">
      <c r="A13949" s="128"/>
      <c r="B13949" s="128"/>
      <c r="C13949" s="128"/>
      <c r="D13949" s="128"/>
      <c r="E13949" s="128"/>
      <c r="F13949" s="128"/>
      <c r="G13949" s="128"/>
      <c r="H13949" s="128"/>
      <c r="I13949" s="128"/>
    </row>
    <row r="13950" spans="1:9" ht="13.5">
      <c r="A13950" s="128"/>
      <c r="B13950" s="128"/>
      <c r="C13950" s="128"/>
      <c r="D13950" s="128"/>
      <c r="E13950" s="128"/>
      <c r="F13950" s="128"/>
      <c r="G13950" s="128"/>
      <c r="H13950" s="128"/>
      <c r="I13950" s="128"/>
    </row>
    <row r="13951" spans="1:9" ht="13.5">
      <c r="A13951" s="128"/>
      <c r="B13951" s="128"/>
      <c r="C13951" s="128"/>
      <c r="D13951" s="128"/>
      <c r="E13951" s="128"/>
      <c r="F13951" s="128"/>
      <c r="G13951" s="128"/>
      <c r="H13951" s="128"/>
      <c r="I13951" s="128"/>
    </row>
    <row r="13952" spans="1:9" ht="13.5">
      <c r="A13952" s="128"/>
      <c r="B13952" s="128"/>
      <c r="C13952" s="128"/>
      <c r="D13952" s="128"/>
      <c r="E13952" s="128"/>
      <c r="F13952" s="128"/>
      <c r="G13952" s="128"/>
      <c r="H13952" s="128"/>
      <c r="I13952" s="128"/>
    </row>
    <row r="13953" spans="1:9" ht="13.5">
      <c r="A13953" s="128"/>
      <c r="B13953" s="128"/>
      <c r="C13953" s="128"/>
      <c r="D13953" s="128"/>
      <c r="E13953" s="128"/>
      <c r="F13953" s="128"/>
      <c r="G13953" s="128"/>
      <c r="H13953" s="128"/>
      <c r="I13953" s="128"/>
    </row>
    <row r="13954" spans="1:9" ht="13.5">
      <c r="A13954" s="128"/>
      <c r="B13954" s="128"/>
      <c r="C13954" s="128"/>
      <c r="D13954" s="128"/>
      <c r="E13954" s="128"/>
      <c r="F13954" s="128"/>
      <c r="G13954" s="128"/>
      <c r="H13954" s="128"/>
      <c r="I13954" s="128"/>
    </row>
    <row r="13955" spans="1:9" ht="13.5">
      <c r="A13955" s="128"/>
      <c r="B13955" s="128"/>
      <c r="C13955" s="128"/>
      <c r="D13955" s="128"/>
      <c r="E13955" s="128"/>
      <c r="F13955" s="128"/>
      <c r="G13955" s="128"/>
      <c r="H13955" s="128"/>
      <c r="I13955" s="128"/>
    </row>
    <row r="13956" spans="1:9" ht="13.5">
      <c r="A13956" s="128"/>
      <c r="B13956" s="128"/>
      <c r="C13956" s="128"/>
      <c r="D13956" s="128"/>
      <c r="E13956" s="128"/>
      <c r="F13956" s="128"/>
      <c r="G13956" s="128"/>
      <c r="H13956" s="128"/>
      <c r="I13956" s="128"/>
    </row>
    <row r="13957" spans="1:9" ht="13.5">
      <c r="A13957" s="128"/>
      <c r="B13957" s="128"/>
      <c r="C13957" s="128"/>
      <c r="D13957" s="128"/>
      <c r="E13957" s="128"/>
      <c r="F13957" s="128"/>
      <c r="G13957" s="128"/>
      <c r="H13957" s="128"/>
      <c r="I13957" s="128"/>
    </row>
    <row r="13958" spans="1:9" ht="13.5">
      <c r="A13958" s="128"/>
      <c r="B13958" s="128"/>
      <c r="C13958" s="128"/>
      <c r="D13958" s="128"/>
      <c r="E13958" s="128"/>
      <c r="F13958" s="128"/>
      <c r="G13958" s="128"/>
      <c r="H13958" s="128"/>
      <c r="I13958" s="128"/>
    </row>
    <row r="13959" spans="1:9" ht="13.5">
      <c r="A13959" s="128"/>
      <c r="B13959" s="128"/>
      <c r="C13959" s="128"/>
      <c r="D13959" s="128"/>
      <c r="E13959" s="128"/>
      <c r="F13959" s="128"/>
      <c r="G13959" s="128"/>
      <c r="H13959" s="128"/>
      <c r="I13959" s="128"/>
    </row>
    <row r="13960" spans="1:9" ht="13.5">
      <c r="A13960" s="128"/>
      <c r="B13960" s="128"/>
      <c r="C13960" s="128"/>
      <c r="D13960" s="128"/>
      <c r="E13960" s="128"/>
      <c r="F13960" s="128"/>
      <c r="G13960" s="128"/>
      <c r="H13960" s="128"/>
      <c r="I13960" s="128"/>
    </row>
    <row r="13961" spans="1:9" ht="13.5">
      <c r="A13961" s="128"/>
      <c r="B13961" s="128"/>
      <c r="C13961" s="128"/>
      <c r="D13961" s="128"/>
      <c r="E13961" s="128"/>
      <c r="F13961" s="128"/>
      <c r="G13961" s="128"/>
      <c r="H13961" s="128"/>
      <c r="I13961" s="128"/>
    </row>
    <row r="13962" spans="1:9" ht="13.5">
      <c r="A13962" s="128"/>
      <c r="B13962" s="128"/>
      <c r="C13962" s="128"/>
      <c r="D13962" s="128"/>
      <c r="E13962" s="128"/>
      <c r="F13962" s="128"/>
      <c r="G13962" s="128"/>
      <c r="H13962" s="128"/>
      <c r="I13962" s="128"/>
    </row>
    <row r="13963" spans="1:9" ht="13.5">
      <c r="A13963" s="128"/>
      <c r="B13963" s="128"/>
      <c r="C13963" s="128"/>
      <c r="D13963" s="128"/>
      <c r="E13963" s="128"/>
      <c r="F13963" s="128"/>
      <c r="G13963" s="128"/>
      <c r="H13963" s="128"/>
      <c r="I13963" s="128"/>
    </row>
    <row r="13964" spans="1:9" ht="13.5">
      <c r="A13964" s="128"/>
      <c r="B13964" s="128"/>
      <c r="C13964" s="128"/>
      <c r="D13964" s="128"/>
      <c r="E13964" s="128"/>
      <c r="F13964" s="128"/>
      <c r="G13964" s="128"/>
      <c r="H13964" s="128"/>
      <c r="I13964" s="128"/>
    </row>
    <row r="13965" spans="1:9" ht="13.5">
      <c r="A13965" s="128"/>
      <c r="B13965" s="128"/>
      <c r="C13965" s="128"/>
      <c r="D13965" s="128"/>
      <c r="E13965" s="128"/>
      <c r="F13965" s="128"/>
      <c r="G13965" s="128"/>
      <c r="H13965" s="128"/>
      <c r="I13965" s="128"/>
    </row>
    <row r="13966" spans="1:9" ht="13.5">
      <c r="A13966" s="128"/>
      <c r="B13966" s="128"/>
      <c r="C13966" s="128"/>
      <c r="D13966" s="128"/>
      <c r="E13966" s="128"/>
      <c r="F13966" s="128"/>
      <c r="G13966" s="128"/>
      <c r="H13966" s="128"/>
      <c r="I13966" s="128"/>
    </row>
    <row r="13967" spans="1:9" ht="13.5">
      <c r="A13967" s="128"/>
      <c r="B13967" s="128"/>
      <c r="C13967" s="128"/>
      <c r="D13967" s="128"/>
      <c r="E13967" s="128"/>
      <c r="F13967" s="128"/>
      <c r="G13967" s="128"/>
      <c r="H13967" s="128"/>
      <c r="I13967" s="128"/>
    </row>
    <row r="13968" spans="1:9" ht="13.5">
      <c r="A13968" s="128"/>
      <c r="B13968" s="128"/>
      <c r="C13968" s="128"/>
      <c r="D13968" s="128"/>
      <c r="E13968" s="128"/>
      <c r="F13968" s="128"/>
      <c r="G13968" s="128"/>
      <c r="H13968" s="128"/>
      <c r="I13968" s="128"/>
    </row>
    <row r="13969" spans="1:9" ht="13.5">
      <c r="A13969" s="128"/>
      <c r="B13969" s="128"/>
      <c r="C13969" s="128"/>
      <c r="D13969" s="128"/>
      <c r="E13969" s="128"/>
      <c r="F13969" s="128"/>
      <c r="G13969" s="128"/>
      <c r="H13969" s="128"/>
      <c r="I13969" s="128"/>
    </row>
    <row r="13970" spans="1:9" ht="13.5">
      <c r="A13970" s="128"/>
      <c r="B13970" s="128"/>
      <c r="C13970" s="128"/>
      <c r="D13970" s="128"/>
      <c r="E13970" s="128"/>
      <c r="F13970" s="128"/>
      <c r="G13970" s="128"/>
      <c r="H13970" s="128"/>
      <c r="I13970" s="128"/>
    </row>
    <row r="13971" spans="1:9" ht="13.5">
      <c r="A13971" s="128"/>
      <c r="B13971" s="128"/>
      <c r="C13971" s="128"/>
      <c r="D13971" s="128"/>
      <c r="E13971" s="128"/>
      <c r="F13971" s="128"/>
      <c r="G13971" s="128"/>
      <c r="H13971" s="128"/>
      <c r="I13971" s="128"/>
    </row>
    <row r="13972" spans="1:9" ht="13.5">
      <c r="A13972" s="128"/>
      <c r="B13972" s="128"/>
      <c r="C13972" s="128"/>
      <c r="D13972" s="128"/>
      <c r="E13972" s="128"/>
      <c r="F13972" s="128"/>
      <c r="G13972" s="128"/>
      <c r="H13972" s="128"/>
      <c r="I13972" s="128"/>
    </row>
    <row r="13973" spans="1:9" ht="13.5">
      <c r="A13973" s="128"/>
      <c r="B13973" s="128"/>
      <c r="C13973" s="128"/>
      <c r="D13973" s="128"/>
      <c r="E13973" s="128"/>
      <c r="F13973" s="128"/>
      <c r="G13973" s="128"/>
      <c r="H13973" s="128"/>
      <c r="I13973" s="128"/>
    </row>
    <row r="13974" spans="1:9" ht="13.5">
      <c r="A13974" s="128"/>
      <c r="B13974" s="128"/>
      <c r="C13974" s="128"/>
      <c r="D13974" s="128"/>
      <c r="E13974" s="128"/>
      <c r="F13974" s="128"/>
      <c r="G13974" s="128"/>
      <c r="H13974" s="128"/>
      <c r="I13974" s="128"/>
    </row>
    <row r="13975" spans="1:9" ht="13.5">
      <c r="A13975" s="128"/>
      <c r="B13975" s="128"/>
      <c r="C13975" s="128"/>
      <c r="D13975" s="128"/>
      <c r="E13975" s="128"/>
      <c r="F13975" s="128"/>
      <c r="G13975" s="128"/>
      <c r="H13975" s="128"/>
      <c r="I13975" s="128"/>
    </row>
    <row r="13976" spans="1:9" ht="13.5">
      <c r="A13976" s="128"/>
      <c r="B13976" s="128"/>
      <c r="C13976" s="128"/>
      <c r="D13976" s="128"/>
      <c r="E13976" s="128"/>
      <c r="F13976" s="128"/>
      <c r="G13976" s="128"/>
      <c r="H13976" s="128"/>
      <c r="I13976" s="128"/>
    </row>
    <row r="13977" spans="1:9" ht="13.5">
      <c r="A13977" s="128"/>
      <c r="B13977" s="128"/>
      <c r="C13977" s="128"/>
      <c r="D13977" s="128"/>
      <c r="E13977" s="128"/>
      <c r="F13977" s="128"/>
      <c r="G13977" s="128"/>
      <c r="H13977" s="128"/>
      <c r="I13977" s="128"/>
    </row>
    <row r="13978" spans="1:9" ht="13.5">
      <c r="A13978" s="128"/>
      <c r="B13978" s="128"/>
      <c r="C13978" s="128"/>
      <c r="D13978" s="128"/>
      <c r="E13978" s="128"/>
      <c r="F13978" s="128"/>
      <c r="G13978" s="128"/>
      <c r="H13978" s="128"/>
      <c r="I13978" s="128"/>
    </row>
    <row r="13979" spans="1:9" ht="13.5">
      <c r="A13979" s="128"/>
      <c r="B13979" s="128"/>
      <c r="C13979" s="128"/>
      <c r="D13979" s="128"/>
      <c r="E13979" s="128"/>
      <c r="F13979" s="128"/>
      <c r="G13979" s="128"/>
      <c r="H13979" s="128"/>
      <c r="I13979" s="128"/>
    </row>
    <row r="13980" spans="1:9" ht="13.5">
      <c r="A13980" s="128"/>
      <c r="B13980" s="128"/>
      <c r="C13980" s="128"/>
      <c r="D13980" s="128"/>
      <c r="E13980" s="128"/>
      <c r="F13980" s="128"/>
      <c r="G13980" s="128"/>
      <c r="H13980" s="128"/>
      <c r="I13980" s="128"/>
    </row>
    <row r="13981" spans="1:9" ht="13.5">
      <c r="A13981" s="128"/>
      <c r="B13981" s="128"/>
      <c r="C13981" s="128"/>
      <c r="D13981" s="128"/>
      <c r="E13981" s="128"/>
      <c r="F13981" s="128"/>
      <c r="G13981" s="128"/>
      <c r="H13981" s="128"/>
      <c r="I13981" s="128"/>
    </row>
    <row r="13982" spans="1:9" ht="13.5">
      <c r="A13982" s="128"/>
      <c r="B13982" s="128"/>
      <c r="C13982" s="128"/>
      <c r="D13982" s="128"/>
      <c r="E13982" s="128"/>
      <c r="F13982" s="128"/>
      <c r="G13982" s="128"/>
      <c r="H13982" s="128"/>
      <c r="I13982" s="128"/>
    </row>
    <row r="13983" spans="1:9" ht="13.5">
      <c r="A13983" s="128"/>
      <c r="B13983" s="128"/>
      <c r="C13983" s="128"/>
      <c r="D13983" s="128"/>
      <c r="E13983" s="128"/>
      <c r="F13983" s="128"/>
      <c r="G13983" s="128"/>
      <c r="H13983" s="128"/>
      <c r="I13983" s="128"/>
    </row>
    <row r="13984" spans="1:9" ht="13.5">
      <c r="A13984" s="128"/>
      <c r="B13984" s="128"/>
      <c r="C13984" s="128"/>
      <c r="D13984" s="128"/>
      <c r="E13984" s="128"/>
      <c r="F13984" s="128"/>
      <c r="G13984" s="128"/>
      <c r="H13984" s="128"/>
      <c r="I13984" s="128"/>
    </row>
    <row r="13985" spans="1:9" ht="13.5">
      <c r="A13985" s="128"/>
      <c r="B13985" s="128"/>
      <c r="C13985" s="128"/>
      <c r="D13985" s="128"/>
      <c r="E13985" s="128"/>
      <c r="F13985" s="128"/>
      <c r="G13985" s="128"/>
      <c r="H13985" s="128"/>
      <c r="I13985" s="128"/>
    </row>
    <row r="13986" spans="1:9" ht="13.5">
      <c r="A13986" s="128"/>
      <c r="B13986" s="128"/>
      <c r="C13986" s="128"/>
      <c r="D13986" s="128"/>
      <c r="E13986" s="128"/>
      <c r="F13986" s="128"/>
      <c r="G13986" s="128"/>
      <c r="H13986" s="128"/>
      <c r="I13986" s="128"/>
    </row>
    <row r="13987" spans="1:9" ht="13.5">
      <c r="A13987" s="128"/>
      <c r="B13987" s="128"/>
      <c r="C13987" s="128"/>
      <c r="D13987" s="128"/>
      <c r="E13987" s="128"/>
      <c r="F13987" s="128"/>
      <c r="G13987" s="128"/>
      <c r="H13987" s="128"/>
      <c r="I13987" s="128"/>
    </row>
    <row r="13988" spans="1:9" ht="13.5">
      <c r="A13988" s="128"/>
      <c r="B13988" s="128"/>
      <c r="C13988" s="128"/>
      <c r="D13988" s="128"/>
      <c r="E13988" s="128"/>
      <c r="F13988" s="128"/>
      <c r="G13988" s="128"/>
      <c r="H13988" s="128"/>
      <c r="I13988" s="128"/>
    </row>
    <row r="13989" spans="1:9" ht="13.5">
      <c r="A13989" s="128"/>
      <c r="B13989" s="128"/>
      <c r="C13989" s="128"/>
      <c r="D13989" s="128"/>
      <c r="E13989" s="128"/>
      <c r="F13989" s="128"/>
      <c r="G13989" s="128"/>
      <c r="H13989" s="128"/>
      <c r="I13989" s="128"/>
    </row>
    <row r="13990" spans="1:9" ht="13.5">
      <c r="A13990" s="128"/>
      <c r="B13990" s="128"/>
      <c r="C13990" s="128"/>
      <c r="D13990" s="128"/>
      <c r="E13990" s="128"/>
      <c r="F13990" s="128"/>
      <c r="G13990" s="128"/>
      <c r="H13990" s="128"/>
      <c r="I13990" s="128"/>
    </row>
    <row r="13991" spans="1:9" ht="13.5">
      <c r="A13991" s="128"/>
      <c r="B13991" s="128"/>
      <c r="C13991" s="128"/>
      <c r="D13991" s="128"/>
      <c r="E13991" s="128"/>
      <c r="F13991" s="128"/>
      <c r="G13991" s="128"/>
      <c r="H13991" s="128"/>
      <c r="I13991" s="128"/>
    </row>
    <row r="13992" spans="1:9" ht="13.5">
      <c r="A13992" s="128"/>
      <c r="B13992" s="128"/>
      <c r="C13992" s="128"/>
      <c r="D13992" s="128"/>
      <c r="E13992" s="128"/>
      <c r="F13992" s="128"/>
      <c r="G13992" s="128"/>
      <c r="H13992" s="128"/>
      <c r="I13992" s="128"/>
    </row>
    <row r="13993" spans="1:9" ht="13.5">
      <c r="A13993" s="128"/>
      <c r="B13993" s="128"/>
      <c r="C13993" s="128"/>
      <c r="D13993" s="128"/>
      <c r="E13993" s="128"/>
      <c r="F13993" s="128"/>
      <c r="G13993" s="128"/>
      <c r="H13993" s="128"/>
      <c r="I13993" s="128"/>
    </row>
    <row r="13994" spans="1:9" ht="13.5">
      <c r="A13994" s="128"/>
      <c r="B13994" s="128"/>
      <c r="C13994" s="128"/>
      <c r="D13994" s="128"/>
      <c r="E13994" s="128"/>
      <c r="F13994" s="128"/>
      <c r="G13994" s="128"/>
      <c r="H13994" s="128"/>
      <c r="I13994" s="128"/>
    </row>
    <row r="13995" spans="1:9" ht="13.5">
      <c r="A13995" s="128"/>
      <c r="B13995" s="128"/>
      <c r="C13995" s="128"/>
      <c r="D13995" s="128"/>
      <c r="E13995" s="128"/>
      <c r="F13995" s="128"/>
      <c r="G13995" s="128"/>
      <c r="H13995" s="128"/>
      <c r="I13995" s="128"/>
    </row>
    <row r="13996" spans="1:9" ht="13.5">
      <c r="A13996" s="128"/>
      <c r="B13996" s="128"/>
      <c r="C13996" s="128"/>
      <c r="D13996" s="128"/>
      <c r="E13996" s="128"/>
      <c r="F13996" s="128"/>
      <c r="G13996" s="128"/>
      <c r="H13996" s="128"/>
      <c r="I13996" s="128"/>
    </row>
    <row r="13997" spans="1:9" ht="13.5">
      <c r="A13997" s="128"/>
      <c r="B13997" s="128"/>
      <c r="C13997" s="128"/>
      <c r="D13997" s="128"/>
      <c r="E13997" s="128"/>
      <c r="F13997" s="128"/>
      <c r="G13997" s="128"/>
      <c r="H13997" s="128"/>
      <c r="I13997" s="128"/>
    </row>
    <row r="13998" spans="1:9" ht="13.5">
      <c r="A13998" s="128"/>
      <c r="B13998" s="128"/>
      <c r="C13998" s="128"/>
      <c r="D13998" s="128"/>
      <c r="E13998" s="128"/>
      <c r="F13998" s="128"/>
      <c r="G13998" s="128"/>
      <c r="H13998" s="128"/>
      <c r="I13998" s="128"/>
    </row>
    <row r="13999" spans="1:9" ht="13.5">
      <c r="A13999" s="128"/>
      <c r="B13999" s="128"/>
      <c r="C13999" s="128"/>
      <c r="D13999" s="128"/>
      <c r="E13999" s="128"/>
      <c r="F13999" s="128"/>
      <c r="G13999" s="128"/>
      <c r="H13999" s="128"/>
      <c r="I13999" s="128"/>
    </row>
    <row r="14000" spans="1:9" ht="13.5">
      <c r="A14000" s="128"/>
      <c r="B14000" s="128"/>
      <c r="C14000" s="128"/>
      <c r="D14000" s="128"/>
      <c r="E14000" s="128"/>
      <c r="F14000" s="128"/>
      <c r="G14000" s="128"/>
      <c r="H14000" s="128"/>
      <c r="I14000" s="128"/>
    </row>
    <row r="14001" spans="1:9" ht="13.5">
      <c r="A14001" s="128"/>
      <c r="B14001" s="128"/>
      <c r="C14001" s="128"/>
      <c r="D14001" s="128"/>
      <c r="E14001" s="128"/>
      <c r="F14001" s="128"/>
      <c r="G14001" s="128"/>
      <c r="H14001" s="128"/>
      <c r="I14001" s="128"/>
    </row>
    <row r="14002" spans="1:9" ht="13.5">
      <c r="A14002" s="128"/>
      <c r="B14002" s="128"/>
      <c r="C14002" s="128"/>
      <c r="D14002" s="128"/>
      <c r="E14002" s="128"/>
      <c r="F14002" s="128"/>
      <c r="G14002" s="128"/>
      <c r="H14002" s="128"/>
      <c r="I14002" s="128"/>
    </row>
    <row r="14003" spans="1:9" ht="13.5">
      <c r="A14003" s="128"/>
      <c r="B14003" s="128"/>
      <c r="C14003" s="128"/>
      <c r="D14003" s="128"/>
      <c r="E14003" s="128"/>
      <c r="F14003" s="128"/>
      <c r="G14003" s="128"/>
      <c r="H14003" s="128"/>
      <c r="I14003" s="128"/>
    </row>
    <row r="14004" spans="1:9" ht="13.5">
      <c r="A14004" s="128"/>
      <c r="B14004" s="128"/>
      <c r="C14004" s="128"/>
      <c r="D14004" s="128"/>
      <c r="E14004" s="128"/>
      <c r="F14004" s="128"/>
      <c r="G14004" s="128"/>
      <c r="H14004" s="128"/>
      <c r="I14004" s="128"/>
    </row>
    <row r="14005" spans="1:9" ht="13.5">
      <c r="A14005" s="128"/>
      <c r="B14005" s="128"/>
      <c r="C14005" s="128"/>
      <c r="D14005" s="128"/>
      <c r="E14005" s="128"/>
      <c r="F14005" s="128"/>
      <c r="G14005" s="128"/>
      <c r="H14005" s="128"/>
      <c r="I14005" s="128"/>
    </row>
    <row r="14006" spans="1:9" ht="13.5">
      <c r="A14006" s="128"/>
      <c r="B14006" s="128"/>
      <c r="C14006" s="128"/>
      <c r="D14006" s="128"/>
      <c r="E14006" s="128"/>
      <c r="F14006" s="128"/>
      <c r="G14006" s="128"/>
      <c r="H14006" s="128"/>
      <c r="I14006" s="128"/>
    </row>
    <row r="14007" spans="1:9" ht="13.5">
      <c r="A14007" s="128"/>
      <c r="B14007" s="128"/>
      <c r="C14007" s="128"/>
      <c r="D14007" s="128"/>
      <c r="E14007" s="128"/>
      <c r="F14007" s="128"/>
      <c r="G14007" s="128"/>
      <c r="H14007" s="128"/>
      <c r="I14007" s="128"/>
    </row>
    <row r="14008" spans="1:9" ht="13.5">
      <c r="A14008" s="128"/>
      <c r="B14008" s="128"/>
      <c r="C14008" s="128"/>
      <c r="D14008" s="128"/>
      <c r="E14008" s="128"/>
      <c r="F14008" s="128"/>
      <c r="G14008" s="128"/>
      <c r="H14008" s="128"/>
      <c r="I14008" s="128"/>
    </row>
    <row r="14009" spans="1:9" ht="13.5">
      <c r="A14009" s="128"/>
      <c r="B14009" s="128"/>
      <c r="C14009" s="128"/>
      <c r="D14009" s="128"/>
      <c r="E14009" s="128"/>
      <c r="F14009" s="128"/>
      <c r="G14009" s="128"/>
      <c r="H14009" s="128"/>
      <c r="I14009" s="128"/>
    </row>
    <row r="14010" spans="1:9" ht="13.5">
      <c r="A14010" s="128"/>
      <c r="B14010" s="128"/>
      <c r="C14010" s="128"/>
      <c r="D14010" s="128"/>
      <c r="E14010" s="128"/>
      <c r="F14010" s="128"/>
      <c r="G14010" s="128"/>
      <c r="H14010" s="128"/>
      <c r="I14010" s="128"/>
    </row>
    <row r="14011" spans="1:9" ht="13.5">
      <c r="A14011" s="128"/>
      <c r="B14011" s="128"/>
      <c r="C14011" s="128"/>
      <c r="D14011" s="128"/>
      <c r="E14011" s="128"/>
      <c r="F14011" s="128"/>
      <c r="G14011" s="128"/>
      <c r="H14011" s="128"/>
      <c r="I14011" s="128"/>
    </row>
    <row r="14012" spans="1:9" ht="13.5">
      <c r="A14012" s="128"/>
      <c r="B14012" s="128"/>
      <c r="C14012" s="128"/>
      <c r="D14012" s="128"/>
      <c r="E14012" s="128"/>
      <c r="F14012" s="128"/>
      <c r="G14012" s="128"/>
      <c r="H14012" s="128"/>
      <c r="I14012" s="128"/>
    </row>
    <row r="14013" spans="1:9" ht="13.5">
      <c r="A14013" s="128"/>
      <c r="B14013" s="128"/>
      <c r="C14013" s="128"/>
      <c r="D14013" s="128"/>
      <c r="E14013" s="128"/>
      <c r="F14013" s="128"/>
      <c r="G14013" s="128"/>
      <c r="H14013" s="128"/>
      <c r="I14013" s="128"/>
    </row>
    <row r="14014" spans="1:9" ht="13.5">
      <c r="A14014" s="128"/>
      <c r="B14014" s="128"/>
      <c r="C14014" s="128"/>
      <c r="D14014" s="128"/>
      <c r="E14014" s="128"/>
      <c r="F14014" s="128"/>
      <c r="G14014" s="128"/>
      <c r="H14014" s="128"/>
      <c r="I14014" s="128"/>
    </row>
    <row r="14015" spans="1:9" ht="13.5">
      <c r="A14015" s="128"/>
      <c r="B14015" s="128"/>
      <c r="C14015" s="128"/>
      <c r="D14015" s="128"/>
      <c r="E14015" s="128"/>
      <c r="F14015" s="128"/>
      <c r="G14015" s="128"/>
      <c r="H14015" s="128"/>
      <c r="I14015" s="128"/>
    </row>
    <row r="14016" spans="1:9" ht="13.5">
      <c r="A14016" s="128"/>
      <c r="B14016" s="128"/>
      <c r="C14016" s="128"/>
      <c r="D14016" s="128"/>
      <c r="E14016" s="128"/>
      <c r="F14016" s="128"/>
      <c r="G14016" s="128"/>
      <c r="H14016" s="128"/>
      <c r="I14016" s="128"/>
    </row>
    <row r="14017" spans="1:9" ht="13.5">
      <c r="A14017" s="128"/>
      <c r="B14017" s="128"/>
      <c r="C14017" s="128"/>
      <c r="D14017" s="128"/>
      <c r="E14017" s="128"/>
      <c r="F14017" s="128"/>
      <c r="G14017" s="128"/>
      <c r="H14017" s="128"/>
      <c r="I14017" s="128"/>
    </row>
    <row r="14018" spans="1:9" ht="13.5">
      <c r="A14018" s="128"/>
      <c r="B14018" s="128"/>
      <c r="C14018" s="128"/>
      <c r="D14018" s="128"/>
      <c r="E14018" s="128"/>
      <c r="F14018" s="128"/>
      <c r="G14018" s="128"/>
      <c r="H14018" s="128"/>
      <c r="I14018" s="128"/>
    </row>
    <row r="14019" spans="1:9" ht="13.5">
      <c r="A14019" s="128"/>
      <c r="B14019" s="128"/>
      <c r="C14019" s="128"/>
      <c r="D14019" s="128"/>
      <c r="E14019" s="128"/>
      <c r="F14019" s="128"/>
      <c r="G14019" s="128"/>
      <c r="H14019" s="128"/>
      <c r="I14019" s="128"/>
    </row>
    <row r="14020" spans="1:9" ht="13.5">
      <c r="A14020" s="128"/>
      <c r="B14020" s="128"/>
      <c r="C14020" s="128"/>
      <c r="D14020" s="128"/>
      <c r="E14020" s="128"/>
      <c r="F14020" s="128"/>
      <c r="G14020" s="128"/>
      <c r="H14020" s="128"/>
      <c r="I14020" s="128"/>
    </row>
    <row r="14021" spans="1:9" ht="13.5">
      <c r="A14021" s="128"/>
      <c r="B14021" s="128"/>
      <c r="C14021" s="128"/>
      <c r="D14021" s="128"/>
      <c r="E14021" s="128"/>
      <c r="F14021" s="128"/>
      <c r="G14021" s="128"/>
      <c r="H14021" s="128"/>
      <c r="I14021" s="128"/>
    </row>
    <row r="14022" spans="1:9" ht="13.5">
      <c r="A14022" s="128"/>
      <c r="B14022" s="128"/>
      <c r="C14022" s="128"/>
      <c r="D14022" s="128"/>
      <c r="E14022" s="128"/>
      <c r="F14022" s="128"/>
      <c r="G14022" s="128"/>
      <c r="H14022" s="128"/>
      <c r="I14022" s="128"/>
    </row>
    <row r="14023" spans="1:9" ht="13.5">
      <c r="A14023" s="128"/>
      <c r="B14023" s="128"/>
      <c r="C14023" s="128"/>
      <c r="D14023" s="128"/>
      <c r="E14023" s="128"/>
      <c r="F14023" s="128"/>
      <c r="G14023" s="128"/>
      <c r="H14023" s="128"/>
      <c r="I14023" s="128"/>
    </row>
    <row r="14024" spans="1:9" ht="13.5">
      <c r="A14024" s="128"/>
      <c r="B14024" s="128"/>
      <c r="C14024" s="128"/>
      <c r="D14024" s="128"/>
      <c r="E14024" s="128"/>
      <c r="F14024" s="128"/>
      <c r="G14024" s="128"/>
      <c r="H14024" s="128"/>
      <c r="I14024" s="128"/>
    </row>
    <row r="14025" spans="1:9" ht="13.5">
      <c r="A14025" s="128"/>
      <c r="B14025" s="128"/>
      <c r="C14025" s="128"/>
      <c r="D14025" s="128"/>
      <c r="E14025" s="128"/>
      <c r="F14025" s="128"/>
      <c r="G14025" s="128"/>
      <c r="H14025" s="128"/>
      <c r="I14025" s="128"/>
    </row>
    <row r="14026" spans="1:9" ht="13.5">
      <c r="A14026" s="128"/>
      <c r="B14026" s="128"/>
      <c r="C14026" s="128"/>
      <c r="D14026" s="128"/>
      <c r="E14026" s="128"/>
      <c r="F14026" s="128"/>
      <c r="G14026" s="128"/>
      <c r="H14026" s="128"/>
      <c r="I14026" s="128"/>
    </row>
    <row r="14027" spans="1:9" ht="13.5">
      <c r="A14027" s="128"/>
      <c r="B14027" s="128"/>
      <c r="C14027" s="128"/>
      <c r="D14027" s="128"/>
      <c r="E14027" s="128"/>
      <c r="F14027" s="128"/>
      <c r="G14027" s="128"/>
      <c r="H14027" s="128"/>
      <c r="I14027" s="128"/>
    </row>
    <row r="14028" spans="1:9" ht="13.5">
      <c r="A14028" s="128"/>
      <c r="B14028" s="128"/>
      <c r="C14028" s="128"/>
      <c r="D14028" s="128"/>
      <c r="E14028" s="128"/>
      <c r="F14028" s="128"/>
      <c r="G14028" s="128"/>
      <c r="H14028" s="128"/>
      <c r="I14028" s="128"/>
    </row>
    <row r="14029" spans="1:9" ht="13.5">
      <c r="A14029" s="128"/>
      <c r="B14029" s="128"/>
      <c r="C14029" s="128"/>
      <c r="D14029" s="128"/>
      <c r="E14029" s="128"/>
      <c r="F14029" s="128"/>
      <c r="G14029" s="128"/>
      <c r="H14029" s="128"/>
      <c r="I14029" s="128"/>
    </row>
    <row r="14030" spans="1:9" ht="13.5">
      <c r="A14030" s="128"/>
      <c r="B14030" s="128"/>
      <c r="C14030" s="128"/>
      <c r="D14030" s="128"/>
      <c r="E14030" s="128"/>
      <c r="F14030" s="128"/>
      <c r="G14030" s="128"/>
      <c r="H14030" s="128"/>
      <c r="I14030" s="128"/>
    </row>
    <row r="14031" spans="1:9" ht="13.5">
      <c r="A14031" s="128"/>
      <c r="B14031" s="128"/>
      <c r="C14031" s="128"/>
      <c r="D14031" s="128"/>
      <c r="E14031" s="128"/>
      <c r="F14031" s="128"/>
      <c r="G14031" s="128"/>
      <c r="H14031" s="128"/>
      <c r="I14031" s="128"/>
    </row>
    <row r="14032" spans="1:9" ht="13.5">
      <c r="A14032" s="128"/>
      <c r="B14032" s="128"/>
      <c r="C14032" s="128"/>
      <c r="D14032" s="128"/>
      <c r="E14032" s="128"/>
      <c r="F14032" s="128"/>
      <c r="G14032" s="128"/>
      <c r="H14032" s="128"/>
      <c r="I14032" s="128"/>
    </row>
    <row r="14033" spans="1:9" ht="13.5">
      <c r="A14033" s="128"/>
      <c r="B14033" s="128"/>
      <c r="C14033" s="128"/>
      <c r="D14033" s="128"/>
      <c r="E14033" s="128"/>
      <c r="F14033" s="128"/>
      <c r="G14033" s="128"/>
      <c r="H14033" s="128"/>
      <c r="I14033" s="128"/>
    </row>
    <row r="14034" spans="1:9" ht="13.5">
      <c r="A14034" s="128"/>
      <c r="B14034" s="128"/>
      <c r="C14034" s="128"/>
      <c r="D14034" s="128"/>
      <c r="E14034" s="128"/>
      <c r="F14034" s="128"/>
      <c r="G14034" s="128"/>
      <c r="H14034" s="128"/>
      <c r="I14034" s="128"/>
    </row>
    <row r="14035" spans="1:9" ht="13.5">
      <c r="A14035" s="128"/>
      <c r="B14035" s="128"/>
      <c r="C14035" s="128"/>
      <c r="D14035" s="128"/>
      <c r="E14035" s="128"/>
      <c r="F14035" s="128"/>
      <c r="G14035" s="128"/>
      <c r="H14035" s="128"/>
      <c r="I14035" s="128"/>
    </row>
    <row r="14036" spans="1:9" ht="13.5">
      <c r="A14036" s="128"/>
      <c r="B14036" s="128"/>
      <c r="C14036" s="128"/>
      <c r="D14036" s="128"/>
      <c r="E14036" s="128"/>
      <c r="F14036" s="128"/>
      <c r="G14036" s="128"/>
      <c r="H14036" s="128"/>
      <c r="I14036" s="128"/>
    </row>
    <row r="14037" spans="1:9" ht="13.5">
      <c r="A14037" s="128"/>
      <c r="B14037" s="128"/>
      <c r="C14037" s="128"/>
      <c r="D14037" s="128"/>
      <c r="E14037" s="128"/>
      <c r="F14037" s="128"/>
      <c r="G14037" s="128"/>
      <c r="H14037" s="128"/>
      <c r="I14037" s="128"/>
    </row>
    <row r="14038" spans="1:9" ht="13.5">
      <c r="A14038" s="128"/>
      <c r="B14038" s="128"/>
      <c r="C14038" s="128"/>
      <c r="D14038" s="128"/>
      <c r="E14038" s="128"/>
      <c r="F14038" s="128"/>
      <c r="G14038" s="128"/>
      <c r="H14038" s="128"/>
      <c r="I14038" s="128"/>
    </row>
    <row r="14039" spans="1:9" ht="13.5">
      <c r="A14039" s="128"/>
      <c r="B14039" s="128"/>
      <c r="C14039" s="128"/>
      <c r="D14039" s="128"/>
      <c r="E14039" s="128"/>
      <c r="F14039" s="128"/>
      <c r="G14039" s="128"/>
      <c r="H14039" s="128"/>
      <c r="I14039" s="128"/>
    </row>
    <row r="14040" spans="1:9" ht="13.5">
      <c r="A14040" s="128"/>
      <c r="B14040" s="128"/>
      <c r="C14040" s="128"/>
      <c r="D14040" s="128"/>
      <c r="E14040" s="128"/>
      <c r="F14040" s="128"/>
      <c r="G14040" s="128"/>
      <c r="H14040" s="128"/>
      <c r="I14040" s="128"/>
    </row>
    <row r="14041" spans="1:9" ht="13.5">
      <c r="A14041" s="128"/>
      <c r="B14041" s="128"/>
      <c r="C14041" s="128"/>
      <c r="D14041" s="128"/>
      <c r="E14041" s="128"/>
      <c r="F14041" s="128"/>
      <c r="G14041" s="128"/>
      <c r="H14041" s="128"/>
      <c r="I14041" s="128"/>
    </row>
    <row r="14042" spans="1:9" ht="13.5">
      <c r="A14042" s="128"/>
      <c r="B14042" s="128"/>
      <c r="C14042" s="128"/>
      <c r="D14042" s="128"/>
      <c r="E14042" s="128"/>
      <c r="F14042" s="128"/>
      <c r="G14042" s="128"/>
      <c r="H14042" s="128"/>
      <c r="I14042" s="128"/>
    </row>
    <row r="14043" spans="1:9" ht="13.5">
      <c r="A14043" s="128"/>
      <c r="B14043" s="128"/>
      <c r="C14043" s="128"/>
      <c r="D14043" s="128"/>
      <c r="E14043" s="128"/>
      <c r="F14043" s="128"/>
      <c r="G14043" s="128"/>
      <c r="H14043" s="128"/>
      <c r="I14043" s="128"/>
    </row>
    <row r="14044" spans="1:9" ht="13.5">
      <c r="A14044" s="128"/>
      <c r="B14044" s="128"/>
      <c r="C14044" s="128"/>
      <c r="D14044" s="128"/>
      <c r="E14044" s="128"/>
      <c r="F14044" s="128"/>
      <c r="G14044" s="128"/>
      <c r="H14044" s="128"/>
      <c r="I14044" s="128"/>
    </row>
    <row r="14045" spans="1:9" ht="13.5">
      <c r="A14045" s="128"/>
      <c r="B14045" s="128"/>
      <c r="C14045" s="128"/>
      <c r="D14045" s="128"/>
      <c r="E14045" s="128"/>
      <c r="F14045" s="128"/>
      <c r="G14045" s="128"/>
      <c r="H14045" s="128"/>
      <c r="I14045" s="128"/>
    </row>
    <row r="14046" spans="1:9" ht="13.5">
      <c r="A14046" s="128"/>
      <c r="B14046" s="128"/>
      <c r="C14046" s="128"/>
      <c r="D14046" s="128"/>
      <c r="E14046" s="128"/>
      <c r="F14046" s="128"/>
      <c r="G14046" s="128"/>
      <c r="H14046" s="128"/>
      <c r="I14046" s="128"/>
    </row>
    <row r="14047" spans="1:9" ht="13.5">
      <c r="A14047" s="128"/>
      <c r="B14047" s="128"/>
      <c r="C14047" s="128"/>
      <c r="D14047" s="128"/>
      <c r="E14047" s="128"/>
      <c r="F14047" s="128"/>
      <c r="G14047" s="128"/>
      <c r="H14047" s="128"/>
      <c r="I14047" s="128"/>
    </row>
    <row r="14048" spans="1:9" ht="13.5">
      <c r="A14048" s="128"/>
      <c r="B14048" s="128"/>
      <c r="C14048" s="128"/>
      <c r="D14048" s="128"/>
      <c r="E14048" s="128"/>
      <c r="F14048" s="128"/>
      <c r="G14048" s="128"/>
      <c r="H14048" s="128"/>
      <c r="I14048" s="128"/>
    </row>
    <row r="14049" spans="1:9" ht="13.5">
      <c r="A14049" s="128"/>
      <c r="B14049" s="128"/>
      <c r="C14049" s="128"/>
      <c r="D14049" s="128"/>
      <c r="E14049" s="128"/>
      <c r="F14049" s="128"/>
      <c r="G14049" s="128"/>
      <c r="H14049" s="128"/>
      <c r="I14049" s="128"/>
    </row>
    <row r="14050" spans="1:9" ht="13.5">
      <c r="A14050" s="128"/>
      <c r="B14050" s="128"/>
      <c r="C14050" s="128"/>
      <c r="D14050" s="128"/>
      <c r="E14050" s="128"/>
      <c r="F14050" s="128"/>
      <c r="G14050" s="128"/>
      <c r="H14050" s="128"/>
      <c r="I14050" s="128"/>
    </row>
    <row r="14051" spans="1:9" ht="13.5">
      <c r="A14051" s="128"/>
      <c r="B14051" s="128"/>
      <c r="C14051" s="128"/>
      <c r="D14051" s="128"/>
      <c r="E14051" s="128"/>
      <c r="F14051" s="128"/>
      <c r="G14051" s="128"/>
      <c r="H14051" s="128"/>
      <c r="I14051" s="128"/>
    </row>
    <row r="14052" spans="1:9" ht="13.5">
      <c r="A14052" s="128"/>
      <c r="B14052" s="128"/>
      <c r="C14052" s="128"/>
      <c r="D14052" s="128"/>
      <c r="E14052" s="128"/>
      <c r="F14052" s="128"/>
      <c r="G14052" s="128"/>
      <c r="H14052" s="128"/>
      <c r="I14052" s="128"/>
    </row>
    <row r="14053" spans="1:9" ht="13.5">
      <c r="A14053" s="128"/>
      <c r="B14053" s="128"/>
      <c r="C14053" s="128"/>
      <c r="D14053" s="128"/>
      <c r="E14053" s="128"/>
      <c r="F14053" s="128"/>
      <c r="G14053" s="128"/>
      <c r="H14053" s="128"/>
      <c r="I14053" s="128"/>
    </row>
    <row r="14054" spans="1:9" ht="13.5">
      <c r="A14054" s="128"/>
      <c r="B14054" s="128"/>
      <c r="C14054" s="128"/>
      <c r="D14054" s="128"/>
      <c r="E14054" s="128"/>
      <c r="F14054" s="128"/>
      <c r="G14054" s="128"/>
      <c r="H14054" s="128"/>
      <c r="I14054" s="128"/>
    </row>
    <row r="14055" spans="1:9" ht="13.5">
      <c r="A14055" s="128"/>
      <c r="B14055" s="128"/>
      <c r="C14055" s="128"/>
      <c r="D14055" s="128"/>
      <c r="E14055" s="128"/>
      <c r="F14055" s="128"/>
      <c r="G14055" s="128"/>
      <c r="H14055" s="128"/>
      <c r="I14055" s="128"/>
    </row>
    <row r="14056" spans="1:9" ht="13.5">
      <c r="A14056" s="128"/>
      <c r="B14056" s="128"/>
      <c r="C14056" s="128"/>
      <c r="D14056" s="128"/>
      <c r="E14056" s="128"/>
      <c r="F14056" s="128"/>
      <c r="G14056" s="128"/>
      <c r="H14056" s="128"/>
      <c r="I14056" s="128"/>
    </row>
    <row r="14057" spans="1:9" ht="13.5">
      <c r="A14057" s="128"/>
      <c r="B14057" s="128"/>
      <c r="C14057" s="128"/>
      <c r="D14057" s="128"/>
      <c r="E14057" s="128"/>
      <c r="F14057" s="128"/>
      <c r="G14057" s="128"/>
      <c r="H14057" s="128"/>
      <c r="I14057" s="128"/>
    </row>
    <row r="14058" spans="1:9" ht="13.5">
      <c r="A14058" s="128"/>
      <c r="B14058" s="128"/>
      <c r="C14058" s="128"/>
      <c r="D14058" s="128"/>
      <c r="E14058" s="128"/>
      <c r="F14058" s="128"/>
      <c r="G14058" s="128"/>
      <c r="H14058" s="128"/>
      <c r="I14058" s="128"/>
    </row>
    <row r="14059" spans="1:9" ht="13.5">
      <c r="A14059" s="128"/>
      <c r="B14059" s="128"/>
      <c r="C14059" s="128"/>
      <c r="D14059" s="128"/>
      <c r="E14059" s="128"/>
      <c r="F14059" s="128"/>
      <c r="G14059" s="128"/>
      <c r="H14059" s="128"/>
      <c r="I14059" s="128"/>
    </row>
    <row r="14060" spans="1:9" ht="13.5">
      <c r="A14060" s="128"/>
      <c r="B14060" s="128"/>
      <c r="C14060" s="128"/>
      <c r="D14060" s="128"/>
      <c r="E14060" s="128"/>
      <c r="F14060" s="128"/>
      <c r="G14060" s="128"/>
      <c r="H14060" s="128"/>
      <c r="I14060" s="128"/>
    </row>
    <row r="14061" spans="1:9" ht="13.5">
      <c r="A14061" s="128"/>
      <c r="B14061" s="128"/>
      <c r="C14061" s="128"/>
      <c r="D14061" s="128"/>
      <c r="E14061" s="128"/>
      <c r="F14061" s="128"/>
      <c r="G14061" s="128"/>
      <c r="H14061" s="128"/>
      <c r="I14061" s="128"/>
    </row>
    <row r="14062" spans="1:9" ht="13.5">
      <c r="A14062" s="128"/>
      <c r="B14062" s="128"/>
      <c r="C14062" s="128"/>
      <c r="D14062" s="128"/>
      <c r="E14062" s="128"/>
      <c r="F14062" s="128"/>
      <c r="G14062" s="128"/>
      <c r="H14062" s="128"/>
      <c r="I14062" s="128"/>
    </row>
    <row r="14063" spans="1:9" ht="13.5">
      <c r="A14063" s="128"/>
      <c r="B14063" s="128"/>
      <c r="C14063" s="128"/>
      <c r="D14063" s="128"/>
      <c r="E14063" s="128"/>
      <c r="F14063" s="128"/>
      <c r="G14063" s="128"/>
      <c r="H14063" s="128"/>
      <c r="I14063" s="128"/>
    </row>
    <row r="14064" spans="1:9" ht="13.5">
      <c r="A14064" s="128"/>
      <c r="B14064" s="128"/>
      <c r="C14064" s="128"/>
      <c r="D14064" s="128"/>
      <c r="E14064" s="128"/>
      <c r="F14064" s="128"/>
      <c r="G14064" s="128"/>
      <c r="H14064" s="128"/>
      <c r="I14064" s="128"/>
    </row>
    <row r="14065" spans="1:9" ht="13.5">
      <c r="A14065" s="128"/>
      <c r="B14065" s="128"/>
      <c r="C14065" s="128"/>
      <c r="D14065" s="128"/>
      <c r="E14065" s="128"/>
      <c r="F14065" s="128"/>
      <c r="G14065" s="128"/>
      <c r="H14065" s="128"/>
      <c r="I14065" s="128"/>
    </row>
    <row r="14066" spans="1:9" ht="13.5">
      <c r="A14066" s="128"/>
      <c r="B14066" s="128"/>
      <c r="C14066" s="128"/>
      <c r="D14066" s="128"/>
      <c r="E14066" s="128"/>
      <c r="F14066" s="128"/>
      <c r="G14066" s="128"/>
      <c r="H14066" s="128"/>
      <c r="I14066" s="128"/>
    </row>
    <row r="14067" spans="1:9" ht="13.5">
      <c r="A14067" s="128"/>
      <c r="B14067" s="128"/>
      <c r="C14067" s="128"/>
      <c r="D14067" s="128"/>
      <c r="E14067" s="128"/>
      <c r="F14067" s="128"/>
      <c r="G14067" s="128"/>
      <c r="H14067" s="128"/>
      <c r="I14067" s="128"/>
    </row>
    <row r="14068" spans="1:9" ht="13.5">
      <c r="A14068" s="128"/>
      <c r="B14068" s="128"/>
      <c r="C14068" s="128"/>
      <c r="D14068" s="128"/>
      <c r="E14068" s="128"/>
      <c r="F14068" s="128"/>
      <c r="G14068" s="128"/>
      <c r="H14068" s="128"/>
      <c r="I14068" s="128"/>
    </row>
    <row r="14069" spans="1:9" ht="13.5">
      <c r="A14069" s="128"/>
      <c r="B14069" s="128"/>
      <c r="C14069" s="128"/>
      <c r="D14069" s="128"/>
      <c r="E14069" s="128"/>
      <c r="F14069" s="128"/>
      <c r="G14069" s="128"/>
      <c r="H14069" s="128"/>
      <c r="I14069" s="128"/>
    </row>
    <row r="14070" spans="1:9" ht="13.5">
      <c r="A14070" s="128"/>
      <c r="B14070" s="128"/>
      <c r="C14070" s="128"/>
      <c r="D14070" s="128"/>
      <c r="E14070" s="128"/>
      <c r="F14070" s="128"/>
      <c r="G14070" s="128"/>
      <c r="H14070" s="128"/>
      <c r="I14070" s="128"/>
    </row>
    <row r="14071" spans="1:9" ht="13.5">
      <c r="A14071" s="128"/>
      <c r="B14071" s="128"/>
      <c r="C14071" s="128"/>
      <c r="D14071" s="128"/>
      <c r="E14071" s="128"/>
      <c r="F14071" s="128"/>
      <c r="G14071" s="128"/>
      <c r="H14071" s="128"/>
      <c r="I14071" s="128"/>
    </row>
    <row r="14072" spans="1:9" ht="13.5">
      <c r="A14072" s="128"/>
      <c r="B14072" s="128"/>
      <c r="C14072" s="128"/>
      <c r="D14072" s="128"/>
      <c r="E14072" s="128"/>
      <c r="F14072" s="128"/>
      <c r="G14072" s="128"/>
      <c r="H14072" s="128"/>
      <c r="I14072" s="128"/>
    </row>
    <row r="14073" spans="1:9" ht="13.5">
      <c r="A14073" s="128"/>
      <c r="B14073" s="128"/>
      <c r="C14073" s="128"/>
      <c r="D14073" s="128"/>
      <c r="E14073" s="128"/>
      <c r="F14073" s="128"/>
      <c r="G14073" s="128"/>
      <c r="H14073" s="128"/>
      <c r="I14073" s="128"/>
    </row>
    <row r="14074" spans="1:9" ht="13.5">
      <c r="A14074" s="128"/>
      <c r="B14074" s="128"/>
      <c r="C14074" s="128"/>
      <c r="D14074" s="128"/>
      <c r="E14074" s="128"/>
      <c r="F14074" s="128"/>
      <c r="G14074" s="128"/>
      <c r="H14074" s="128"/>
      <c r="I14074" s="128"/>
    </row>
    <row r="14075" spans="1:9" ht="13.5">
      <c r="A14075" s="128"/>
      <c r="B14075" s="128"/>
      <c r="C14075" s="128"/>
      <c r="D14075" s="128"/>
      <c r="E14075" s="128"/>
      <c r="F14075" s="128"/>
      <c r="G14075" s="128"/>
      <c r="H14075" s="128"/>
      <c r="I14075" s="128"/>
    </row>
    <row r="14076" spans="1:9" ht="13.5">
      <c r="A14076" s="128"/>
      <c r="B14076" s="128"/>
      <c r="C14076" s="128"/>
      <c r="D14076" s="128"/>
      <c r="E14076" s="128"/>
      <c r="F14076" s="128"/>
      <c r="G14076" s="128"/>
      <c r="H14076" s="128"/>
      <c r="I14076" s="128"/>
    </row>
    <row r="14077" spans="1:9" ht="13.5">
      <c r="A14077" s="128"/>
      <c r="B14077" s="128"/>
      <c r="C14077" s="128"/>
      <c r="D14077" s="128"/>
      <c r="E14077" s="128"/>
      <c r="F14077" s="128"/>
      <c r="G14077" s="128"/>
      <c r="H14077" s="128"/>
      <c r="I14077" s="128"/>
    </row>
    <row r="14078" spans="1:9" ht="13.5">
      <c r="A14078" s="128"/>
      <c r="B14078" s="128"/>
      <c r="C14078" s="128"/>
      <c r="D14078" s="128"/>
      <c r="E14078" s="128"/>
      <c r="F14078" s="128"/>
      <c r="G14078" s="128"/>
      <c r="H14078" s="128"/>
      <c r="I14078" s="128"/>
    </row>
    <row r="14079" spans="1:9" ht="13.5">
      <c r="A14079" s="128"/>
      <c r="B14079" s="128"/>
      <c r="C14079" s="128"/>
      <c r="D14079" s="128"/>
      <c r="E14079" s="128"/>
      <c r="F14079" s="128"/>
      <c r="G14079" s="128"/>
      <c r="H14079" s="128"/>
      <c r="I14079" s="128"/>
    </row>
    <row r="14080" spans="1:9" ht="13.5">
      <c r="A14080" s="128"/>
      <c r="B14080" s="128"/>
      <c r="C14080" s="128"/>
      <c r="D14080" s="128"/>
      <c r="E14080" s="128"/>
      <c r="F14080" s="128"/>
      <c r="G14080" s="128"/>
      <c r="H14080" s="128"/>
      <c r="I14080" s="128"/>
    </row>
    <row r="14081" spans="1:9" ht="13.5">
      <c r="A14081" s="128"/>
      <c r="B14081" s="128"/>
      <c r="C14081" s="128"/>
      <c r="D14081" s="128"/>
      <c r="E14081" s="128"/>
      <c r="F14081" s="128"/>
      <c r="G14081" s="128"/>
      <c r="H14081" s="128"/>
      <c r="I14081" s="128"/>
    </row>
    <row r="14082" spans="1:9" ht="13.5">
      <c r="A14082" s="128"/>
      <c r="B14082" s="128"/>
      <c r="C14082" s="128"/>
      <c r="D14082" s="128"/>
      <c r="E14082" s="128"/>
      <c r="F14082" s="128"/>
      <c r="G14082" s="128"/>
      <c r="H14082" s="128"/>
      <c r="I14082" s="128"/>
    </row>
    <row r="14083" spans="1:9" ht="13.5">
      <c r="A14083" s="128"/>
      <c r="B14083" s="128"/>
      <c r="C14083" s="128"/>
      <c r="D14083" s="128"/>
      <c r="E14083" s="128"/>
      <c r="F14083" s="128"/>
      <c r="G14083" s="128"/>
      <c r="H14083" s="128"/>
      <c r="I14083" s="128"/>
    </row>
    <row r="14084" spans="1:9" ht="13.5">
      <c r="A14084" s="128"/>
      <c r="B14084" s="128"/>
      <c r="C14084" s="128"/>
      <c r="D14084" s="128"/>
      <c r="E14084" s="128"/>
      <c r="F14084" s="128"/>
      <c r="G14084" s="128"/>
      <c r="H14084" s="128"/>
      <c r="I14084" s="128"/>
    </row>
    <row r="14085" spans="1:9" ht="13.5">
      <c r="A14085" s="128"/>
      <c r="B14085" s="128"/>
      <c r="C14085" s="128"/>
      <c r="D14085" s="128"/>
      <c r="E14085" s="128"/>
      <c r="F14085" s="128"/>
      <c r="G14085" s="128"/>
      <c r="H14085" s="128"/>
      <c r="I14085" s="128"/>
    </row>
    <row r="14086" spans="1:9" ht="13.5">
      <c r="A14086" s="128"/>
      <c r="B14086" s="128"/>
      <c r="C14086" s="128"/>
      <c r="D14086" s="128"/>
      <c r="E14086" s="128"/>
      <c r="F14086" s="128"/>
      <c r="G14086" s="128"/>
      <c r="H14086" s="128"/>
      <c r="I14086" s="128"/>
    </row>
    <row r="14087" spans="1:9" ht="13.5">
      <c r="A14087" s="128"/>
      <c r="B14087" s="128"/>
      <c r="C14087" s="128"/>
      <c r="D14087" s="128"/>
      <c r="E14087" s="128"/>
      <c r="F14087" s="128"/>
      <c r="G14087" s="128"/>
      <c r="H14087" s="128"/>
      <c r="I14087" s="128"/>
    </row>
    <row r="14088" spans="1:9" ht="13.5">
      <c r="A14088" s="128"/>
      <c r="B14088" s="128"/>
      <c r="C14088" s="128"/>
      <c r="D14088" s="128"/>
      <c r="E14088" s="128"/>
      <c r="F14088" s="128"/>
      <c r="G14088" s="128"/>
      <c r="H14088" s="128"/>
      <c r="I14088" s="128"/>
    </row>
    <row r="14089" spans="1:9" ht="13.5">
      <c r="A14089" s="128"/>
      <c r="B14089" s="128"/>
      <c r="C14089" s="128"/>
      <c r="D14089" s="128"/>
      <c r="E14089" s="128"/>
      <c r="F14089" s="128"/>
      <c r="G14089" s="128"/>
      <c r="H14089" s="128"/>
      <c r="I14089" s="128"/>
    </row>
    <row r="14090" spans="1:9" ht="13.5">
      <c r="A14090" s="128"/>
      <c r="B14090" s="128"/>
      <c r="C14090" s="128"/>
      <c r="D14090" s="128"/>
      <c r="E14090" s="128"/>
      <c r="F14090" s="128"/>
      <c r="G14090" s="128"/>
      <c r="H14090" s="128"/>
      <c r="I14090" s="128"/>
    </row>
    <row r="14091" spans="1:9" ht="13.5">
      <c r="A14091" s="128"/>
      <c r="B14091" s="128"/>
      <c r="C14091" s="128"/>
      <c r="D14091" s="128"/>
      <c r="E14091" s="128"/>
      <c r="F14091" s="128"/>
      <c r="G14091" s="128"/>
      <c r="H14091" s="128"/>
      <c r="I14091" s="128"/>
    </row>
    <row r="14092" spans="1:9" ht="13.5">
      <c r="A14092" s="128"/>
      <c r="B14092" s="128"/>
      <c r="C14092" s="128"/>
      <c r="D14092" s="128"/>
      <c r="E14092" s="128"/>
      <c r="F14092" s="128"/>
      <c r="G14092" s="128"/>
      <c r="H14092" s="128"/>
      <c r="I14092" s="128"/>
    </row>
    <row r="14093" spans="1:9" ht="13.5">
      <c r="A14093" s="128"/>
      <c r="B14093" s="128"/>
      <c r="C14093" s="128"/>
      <c r="D14093" s="128"/>
      <c r="E14093" s="128"/>
      <c r="F14093" s="128"/>
      <c r="G14093" s="128"/>
      <c r="H14093" s="128"/>
      <c r="I14093" s="128"/>
    </row>
    <row r="14094" spans="1:9" ht="13.5">
      <c r="A14094" s="128"/>
      <c r="B14094" s="128"/>
      <c r="C14094" s="128"/>
      <c r="D14094" s="128"/>
      <c r="E14094" s="128"/>
      <c r="F14094" s="128"/>
      <c r="G14094" s="128"/>
      <c r="H14094" s="128"/>
      <c r="I14094" s="128"/>
    </row>
    <row r="14095" spans="1:9" ht="13.5">
      <c r="A14095" s="128"/>
      <c r="B14095" s="128"/>
      <c r="C14095" s="128"/>
      <c r="D14095" s="128"/>
      <c r="E14095" s="128"/>
      <c r="F14095" s="128"/>
      <c r="G14095" s="128"/>
      <c r="H14095" s="128"/>
      <c r="I14095" s="128"/>
    </row>
    <row r="14096" spans="1:9" ht="13.5">
      <c r="A14096" s="128"/>
      <c r="B14096" s="128"/>
      <c r="C14096" s="128"/>
      <c r="D14096" s="128"/>
      <c r="E14096" s="128"/>
      <c r="F14096" s="128"/>
      <c r="G14096" s="128"/>
      <c r="H14096" s="128"/>
      <c r="I14096" s="128"/>
    </row>
    <row r="14097" spans="1:9" ht="13.5">
      <c r="A14097" s="128"/>
      <c r="B14097" s="128"/>
      <c r="C14097" s="128"/>
      <c r="D14097" s="128"/>
      <c r="E14097" s="128"/>
      <c r="F14097" s="128"/>
      <c r="G14097" s="128"/>
      <c r="H14097" s="128"/>
      <c r="I14097" s="128"/>
    </row>
    <row r="14098" spans="1:9" ht="13.5">
      <c r="A14098" s="128"/>
      <c r="B14098" s="128"/>
      <c r="C14098" s="128"/>
      <c r="D14098" s="128"/>
      <c r="E14098" s="128"/>
      <c r="F14098" s="128"/>
      <c r="G14098" s="128"/>
      <c r="H14098" s="128"/>
      <c r="I14098" s="128"/>
    </row>
    <row r="14099" spans="1:9" ht="13.5">
      <c r="A14099" s="128"/>
      <c r="B14099" s="128"/>
      <c r="C14099" s="128"/>
      <c r="D14099" s="128"/>
      <c r="E14099" s="128"/>
      <c r="F14099" s="128"/>
      <c r="G14099" s="128"/>
      <c r="H14099" s="128"/>
      <c r="I14099" s="128"/>
    </row>
    <row r="14100" spans="1:9" ht="13.5">
      <c r="A14100" s="128"/>
      <c r="B14100" s="128"/>
      <c r="C14100" s="128"/>
      <c r="D14100" s="128"/>
      <c r="E14100" s="128"/>
      <c r="F14100" s="128"/>
      <c r="G14100" s="128"/>
      <c r="H14100" s="128"/>
      <c r="I14100" s="128"/>
    </row>
    <row r="14101" spans="1:9" ht="13.5">
      <c r="A14101" s="128"/>
      <c r="B14101" s="128"/>
      <c r="C14101" s="128"/>
      <c r="D14101" s="128"/>
      <c r="E14101" s="128"/>
      <c r="F14101" s="128"/>
      <c r="G14101" s="128"/>
      <c r="H14101" s="128"/>
      <c r="I14101" s="128"/>
    </row>
    <row r="14102" spans="1:9" ht="13.5">
      <c r="A14102" s="128"/>
      <c r="B14102" s="128"/>
      <c r="C14102" s="128"/>
      <c r="D14102" s="128"/>
      <c r="E14102" s="128"/>
      <c r="F14102" s="128"/>
      <c r="G14102" s="128"/>
      <c r="H14102" s="128"/>
      <c r="I14102" s="128"/>
    </row>
    <row r="14103" spans="1:9" ht="13.5">
      <c r="A14103" s="128"/>
      <c r="B14103" s="128"/>
      <c r="C14103" s="128"/>
      <c r="D14103" s="128"/>
      <c r="E14103" s="128"/>
      <c r="F14103" s="128"/>
      <c r="G14103" s="128"/>
      <c r="H14103" s="128"/>
      <c r="I14103" s="128"/>
    </row>
    <row r="14104" spans="1:9" ht="13.5">
      <c r="A14104" s="128"/>
      <c r="B14104" s="128"/>
      <c r="C14104" s="128"/>
      <c r="D14104" s="128"/>
      <c r="E14104" s="128"/>
      <c r="F14104" s="128"/>
      <c r="G14104" s="128"/>
      <c r="H14104" s="128"/>
      <c r="I14104" s="128"/>
    </row>
    <row r="14105" spans="1:9" ht="13.5">
      <c r="A14105" s="128"/>
      <c r="B14105" s="128"/>
      <c r="C14105" s="128"/>
      <c r="D14105" s="128"/>
      <c r="E14105" s="128"/>
      <c r="F14105" s="128"/>
      <c r="G14105" s="128"/>
      <c r="H14105" s="128"/>
      <c r="I14105" s="128"/>
    </row>
    <row r="14106" spans="1:9" ht="13.5">
      <c r="A14106" s="128"/>
      <c r="B14106" s="128"/>
      <c r="C14106" s="128"/>
      <c r="D14106" s="128"/>
      <c r="E14106" s="128"/>
      <c r="F14106" s="128"/>
      <c r="G14106" s="128"/>
      <c r="H14106" s="128"/>
      <c r="I14106" s="128"/>
    </row>
    <row r="14107" spans="1:9" ht="13.5">
      <c r="A14107" s="128"/>
      <c r="B14107" s="128"/>
      <c r="C14107" s="128"/>
      <c r="D14107" s="128"/>
      <c r="E14107" s="128"/>
      <c r="F14107" s="128"/>
      <c r="G14107" s="128"/>
      <c r="H14107" s="128"/>
      <c r="I14107" s="128"/>
    </row>
    <row r="14108" spans="1:9" ht="13.5">
      <c r="A14108" s="128"/>
      <c r="B14108" s="128"/>
      <c r="C14108" s="128"/>
      <c r="D14108" s="128"/>
      <c r="E14108" s="128"/>
      <c r="F14108" s="128"/>
      <c r="G14108" s="128"/>
      <c r="H14108" s="128"/>
      <c r="I14108" s="128"/>
    </row>
    <row r="14109" spans="1:9" ht="13.5">
      <c r="A14109" s="128"/>
      <c r="B14109" s="128"/>
      <c r="C14109" s="128"/>
      <c r="D14109" s="128"/>
      <c r="E14109" s="128"/>
      <c r="F14109" s="128"/>
      <c r="G14109" s="128"/>
      <c r="H14109" s="128"/>
      <c r="I14109" s="128"/>
    </row>
    <row r="14110" spans="1:9" ht="13.5">
      <c r="A14110" s="128"/>
      <c r="B14110" s="128"/>
      <c r="C14110" s="128"/>
      <c r="D14110" s="128"/>
      <c r="E14110" s="128"/>
      <c r="F14110" s="128"/>
      <c r="G14110" s="128"/>
      <c r="H14110" s="128"/>
      <c r="I14110" s="128"/>
    </row>
    <row r="14111" spans="1:9" ht="13.5">
      <c r="A14111" s="128"/>
      <c r="B14111" s="128"/>
      <c r="C14111" s="128"/>
      <c r="D14111" s="128"/>
      <c r="E14111" s="128"/>
      <c r="F14111" s="128"/>
      <c r="G14111" s="128"/>
      <c r="H14111" s="128"/>
      <c r="I14111" s="128"/>
    </row>
    <row r="14112" spans="1:9" ht="13.5">
      <c r="A14112" s="128"/>
      <c r="B14112" s="128"/>
      <c r="C14112" s="128"/>
      <c r="D14112" s="128"/>
      <c r="E14112" s="128"/>
      <c r="F14112" s="128"/>
      <c r="G14112" s="128"/>
      <c r="H14112" s="128"/>
      <c r="I14112" s="128"/>
    </row>
    <row r="14113" spans="1:9" ht="13.5">
      <c r="A14113" s="128"/>
      <c r="B14113" s="128"/>
      <c r="C14113" s="128"/>
      <c r="D14113" s="128"/>
      <c r="E14113" s="128"/>
      <c r="F14113" s="128"/>
      <c r="G14113" s="128"/>
      <c r="H14113" s="128"/>
      <c r="I14113" s="128"/>
    </row>
    <row r="14114" spans="1:9" ht="13.5">
      <c r="A14114" s="128"/>
      <c r="B14114" s="128"/>
      <c r="C14114" s="128"/>
      <c r="D14114" s="128"/>
      <c r="E14114" s="128"/>
      <c r="F14114" s="128"/>
      <c r="G14114" s="128"/>
      <c r="H14114" s="128"/>
      <c r="I14114" s="128"/>
    </row>
    <row r="14115" spans="1:9" ht="13.5">
      <c r="A14115" s="128"/>
      <c r="B14115" s="128"/>
      <c r="C14115" s="128"/>
      <c r="D14115" s="128"/>
      <c r="E14115" s="128"/>
      <c r="F14115" s="128"/>
      <c r="G14115" s="128"/>
      <c r="H14115" s="128"/>
      <c r="I14115" s="128"/>
    </row>
    <row r="14116" spans="1:9" ht="13.5">
      <c r="A14116" s="128"/>
      <c r="B14116" s="128"/>
      <c r="C14116" s="128"/>
      <c r="D14116" s="128"/>
      <c r="E14116" s="128"/>
      <c r="F14116" s="128"/>
      <c r="G14116" s="128"/>
      <c r="H14116" s="128"/>
      <c r="I14116" s="128"/>
    </row>
    <row r="14117" spans="1:9" ht="13.5">
      <c r="A14117" s="128"/>
      <c r="B14117" s="128"/>
      <c r="C14117" s="128"/>
      <c r="D14117" s="128"/>
      <c r="E14117" s="128"/>
      <c r="F14117" s="128"/>
      <c r="G14117" s="128"/>
      <c r="H14117" s="128"/>
      <c r="I14117" s="128"/>
    </row>
    <row r="14118" spans="1:9" ht="13.5">
      <c r="A14118" s="128"/>
      <c r="B14118" s="128"/>
      <c r="C14118" s="128"/>
      <c r="D14118" s="128"/>
      <c r="E14118" s="128"/>
      <c r="F14118" s="128"/>
      <c r="G14118" s="128"/>
      <c r="H14118" s="128"/>
      <c r="I14118" s="128"/>
    </row>
    <row r="14119" spans="1:9" ht="13.5">
      <c r="A14119" s="128"/>
      <c r="B14119" s="128"/>
      <c r="C14119" s="128"/>
      <c r="D14119" s="128"/>
      <c r="E14119" s="128"/>
      <c r="F14119" s="128"/>
      <c r="G14119" s="128"/>
      <c r="H14119" s="128"/>
      <c r="I14119" s="128"/>
    </row>
    <row r="14120" spans="1:9" ht="13.5">
      <c r="A14120" s="128"/>
      <c r="B14120" s="128"/>
      <c r="C14120" s="128"/>
      <c r="D14120" s="128"/>
      <c r="E14120" s="128"/>
      <c r="F14120" s="128"/>
      <c r="G14120" s="128"/>
      <c r="H14120" s="128"/>
      <c r="I14120" s="128"/>
    </row>
    <row r="14121" spans="1:9" ht="13.5">
      <c r="A14121" s="128"/>
      <c r="B14121" s="128"/>
      <c r="C14121" s="128"/>
      <c r="D14121" s="128"/>
      <c r="E14121" s="128"/>
      <c r="F14121" s="128"/>
      <c r="G14121" s="128"/>
      <c r="H14121" s="128"/>
      <c r="I14121" s="128"/>
    </row>
    <row r="14122" spans="1:9" ht="13.5">
      <c r="A14122" s="128"/>
      <c r="B14122" s="128"/>
      <c r="C14122" s="128"/>
      <c r="D14122" s="128"/>
      <c r="E14122" s="128"/>
      <c r="F14122" s="128"/>
      <c r="G14122" s="128"/>
      <c r="H14122" s="128"/>
      <c r="I14122" s="128"/>
    </row>
    <row r="14123" spans="1:9" ht="13.5">
      <c r="A14123" s="128"/>
      <c r="B14123" s="128"/>
      <c r="C14123" s="128"/>
      <c r="D14123" s="128"/>
      <c r="E14123" s="128"/>
      <c r="F14123" s="128"/>
      <c r="G14123" s="128"/>
      <c r="H14123" s="128"/>
      <c r="I14123" s="128"/>
    </row>
    <row r="14124" spans="1:9" ht="13.5">
      <c r="A14124" s="128"/>
      <c r="B14124" s="128"/>
      <c r="C14124" s="128"/>
      <c r="D14124" s="128"/>
      <c r="E14124" s="128"/>
      <c r="F14124" s="128"/>
      <c r="G14124" s="128"/>
      <c r="H14124" s="128"/>
      <c r="I14124" s="128"/>
    </row>
    <row r="14125" spans="1:9" ht="13.5">
      <c r="A14125" s="128"/>
      <c r="B14125" s="128"/>
      <c r="C14125" s="128"/>
      <c r="D14125" s="128"/>
      <c r="E14125" s="128"/>
      <c r="F14125" s="128"/>
      <c r="G14125" s="128"/>
      <c r="H14125" s="128"/>
      <c r="I14125" s="128"/>
    </row>
    <row r="14126" spans="1:9" ht="13.5">
      <c r="A14126" s="128"/>
      <c r="B14126" s="128"/>
      <c r="C14126" s="128"/>
      <c r="D14126" s="128"/>
      <c r="E14126" s="128"/>
      <c r="F14126" s="128"/>
      <c r="G14126" s="128"/>
      <c r="H14126" s="128"/>
      <c r="I14126" s="128"/>
    </row>
    <row r="14127" spans="1:9" ht="13.5">
      <c r="A14127" s="128"/>
      <c r="B14127" s="128"/>
      <c r="C14127" s="128"/>
      <c r="D14127" s="128"/>
      <c r="E14127" s="128"/>
      <c r="F14127" s="128"/>
      <c r="G14127" s="128"/>
      <c r="H14127" s="128"/>
      <c r="I14127" s="128"/>
    </row>
    <row r="14128" spans="1:9" ht="13.5">
      <c r="A14128" s="128"/>
      <c r="B14128" s="128"/>
      <c r="C14128" s="128"/>
      <c r="D14128" s="128"/>
      <c r="E14128" s="128"/>
      <c r="F14128" s="128"/>
      <c r="G14128" s="128"/>
      <c r="H14128" s="128"/>
      <c r="I14128" s="128"/>
    </row>
    <row r="14129" spans="1:9" ht="13.5">
      <c r="A14129" s="128"/>
      <c r="B14129" s="128"/>
      <c r="C14129" s="128"/>
      <c r="D14129" s="128"/>
      <c r="E14129" s="128"/>
      <c r="F14129" s="128"/>
      <c r="G14129" s="128"/>
      <c r="H14129" s="128"/>
      <c r="I14129" s="128"/>
    </row>
    <row r="14130" spans="1:9" ht="13.5">
      <c r="A14130" s="128"/>
      <c r="B14130" s="128"/>
      <c r="C14130" s="128"/>
      <c r="D14130" s="128"/>
      <c r="E14130" s="128"/>
      <c r="F14130" s="128"/>
      <c r="G14130" s="128"/>
      <c r="H14130" s="128"/>
      <c r="I14130" s="128"/>
    </row>
    <row r="14131" spans="1:9" ht="13.5">
      <c r="A14131" s="128"/>
      <c r="B14131" s="128"/>
      <c r="C14131" s="128"/>
      <c r="D14131" s="128"/>
      <c r="E14131" s="128"/>
      <c r="F14131" s="128"/>
      <c r="G14131" s="128"/>
      <c r="H14131" s="128"/>
      <c r="I14131" s="128"/>
    </row>
    <row r="14132" spans="1:9" ht="13.5">
      <c r="A14132" s="128"/>
      <c r="B14132" s="128"/>
      <c r="C14132" s="128"/>
      <c r="D14132" s="128"/>
      <c r="E14132" s="128"/>
      <c r="F14132" s="128"/>
      <c r="G14132" s="128"/>
      <c r="H14132" s="128"/>
      <c r="I14132" s="128"/>
    </row>
    <row r="14133" spans="1:9" ht="13.5">
      <c r="A14133" s="128"/>
      <c r="B14133" s="128"/>
      <c r="C14133" s="128"/>
      <c r="D14133" s="128"/>
      <c r="E14133" s="128"/>
      <c r="F14133" s="128"/>
      <c r="G14133" s="128"/>
      <c r="H14133" s="128"/>
      <c r="I14133" s="128"/>
    </row>
    <row r="14134" spans="1:9" ht="13.5">
      <c r="A14134" s="128"/>
      <c r="B14134" s="128"/>
      <c r="C14134" s="128"/>
      <c r="D14134" s="128"/>
      <c r="E14134" s="128"/>
      <c r="F14134" s="128"/>
      <c r="G14134" s="128"/>
      <c r="H14134" s="128"/>
      <c r="I14134" s="128"/>
    </row>
    <row r="14135" spans="1:9" ht="13.5">
      <c r="A14135" s="128"/>
      <c r="B14135" s="128"/>
      <c r="C14135" s="128"/>
      <c r="D14135" s="128"/>
      <c r="E14135" s="128"/>
      <c r="F14135" s="128"/>
      <c r="G14135" s="128"/>
      <c r="H14135" s="128"/>
      <c r="I14135" s="128"/>
    </row>
    <row r="14136" spans="1:9" ht="13.5">
      <c r="A14136" s="128"/>
      <c r="B14136" s="128"/>
      <c r="C14136" s="128"/>
      <c r="D14136" s="128"/>
      <c r="E14136" s="128"/>
      <c r="F14136" s="128"/>
      <c r="G14136" s="128"/>
      <c r="H14136" s="128"/>
      <c r="I14136" s="128"/>
    </row>
    <row r="14137" spans="1:9" ht="13.5">
      <c r="A14137" s="128"/>
      <c r="B14137" s="128"/>
      <c r="C14137" s="128"/>
      <c r="D14137" s="128"/>
      <c r="E14137" s="128"/>
      <c r="F14137" s="128"/>
      <c r="G14137" s="128"/>
      <c r="H14137" s="128"/>
      <c r="I14137" s="128"/>
    </row>
    <row r="14138" spans="1:9" ht="13.5">
      <c r="A14138" s="128"/>
      <c r="B14138" s="128"/>
      <c r="C14138" s="128"/>
      <c r="D14138" s="128"/>
      <c r="E14138" s="128"/>
      <c r="F14138" s="128"/>
      <c r="G14138" s="128"/>
      <c r="H14138" s="128"/>
      <c r="I14138" s="128"/>
    </row>
    <row r="14139" spans="1:9" ht="13.5">
      <c r="A14139" s="128"/>
      <c r="B14139" s="128"/>
      <c r="C14139" s="128"/>
      <c r="D14139" s="128"/>
      <c r="E14139" s="128"/>
      <c r="F14139" s="128"/>
      <c r="G14139" s="128"/>
      <c r="H14139" s="128"/>
      <c r="I14139" s="128"/>
    </row>
    <row r="14140" spans="1:9" ht="13.5">
      <c r="A14140" s="128"/>
      <c r="B14140" s="128"/>
      <c r="C14140" s="128"/>
      <c r="D14140" s="128"/>
      <c r="E14140" s="128"/>
      <c r="F14140" s="128"/>
      <c r="G14140" s="128"/>
      <c r="H14140" s="128"/>
      <c r="I14140" s="128"/>
    </row>
    <row r="14141" spans="1:9" ht="13.5">
      <c r="A14141" s="128"/>
      <c r="B14141" s="128"/>
      <c r="C14141" s="128"/>
      <c r="D14141" s="128"/>
      <c r="E14141" s="128"/>
      <c r="F14141" s="128"/>
      <c r="G14141" s="128"/>
      <c r="H14141" s="128"/>
      <c r="I14141" s="128"/>
    </row>
    <row r="14142" spans="1:9" ht="13.5">
      <c r="A14142" s="128"/>
      <c r="B14142" s="128"/>
      <c r="C14142" s="128"/>
      <c r="D14142" s="128"/>
      <c r="E14142" s="128"/>
      <c r="F14142" s="128"/>
      <c r="G14142" s="128"/>
      <c r="H14142" s="128"/>
      <c r="I14142" s="128"/>
    </row>
    <row r="14143" spans="1:9" ht="13.5">
      <c r="A14143" s="128"/>
      <c r="B14143" s="128"/>
      <c r="C14143" s="128"/>
      <c r="D14143" s="128"/>
      <c r="E14143" s="128"/>
      <c r="F14143" s="128"/>
      <c r="G14143" s="128"/>
      <c r="H14143" s="128"/>
      <c r="I14143" s="128"/>
    </row>
    <row r="14144" spans="1:9" ht="13.5">
      <c r="A14144" s="128"/>
      <c r="B14144" s="128"/>
      <c r="C14144" s="128"/>
      <c r="D14144" s="128"/>
      <c r="E14144" s="128"/>
      <c r="F14144" s="128"/>
      <c r="G14144" s="128"/>
      <c r="H14144" s="128"/>
      <c r="I14144" s="128"/>
    </row>
    <row r="14145" spans="1:9" ht="13.5">
      <c r="A14145" s="128"/>
      <c r="B14145" s="128"/>
      <c r="C14145" s="128"/>
      <c r="D14145" s="128"/>
      <c r="E14145" s="128"/>
      <c r="F14145" s="128"/>
      <c r="G14145" s="128"/>
      <c r="H14145" s="128"/>
      <c r="I14145" s="128"/>
    </row>
    <row r="14146" spans="1:9" ht="13.5">
      <c r="A14146" s="128"/>
      <c r="B14146" s="128"/>
      <c r="C14146" s="128"/>
      <c r="D14146" s="128"/>
      <c r="E14146" s="128"/>
      <c r="F14146" s="128"/>
      <c r="G14146" s="128"/>
      <c r="H14146" s="128"/>
      <c r="I14146" s="128"/>
    </row>
    <row r="14147" spans="1:9" ht="13.5">
      <c r="A14147" s="128"/>
      <c r="B14147" s="128"/>
      <c r="C14147" s="128"/>
      <c r="D14147" s="128"/>
      <c r="E14147" s="128"/>
      <c r="F14147" s="128"/>
      <c r="G14147" s="128"/>
      <c r="H14147" s="128"/>
      <c r="I14147" s="128"/>
    </row>
    <row r="14148" spans="1:9" ht="13.5">
      <c r="A14148" s="128"/>
      <c r="B14148" s="128"/>
      <c r="C14148" s="128"/>
      <c r="D14148" s="128"/>
      <c r="E14148" s="128"/>
      <c r="F14148" s="128"/>
      <c r="G14148" s="128"/>
      <c r="H14148" s="128"/>
      <c r="I14148" s="128"/>
    </row>
    <row r="14149" spans="1:9" ht="13.5">
      <c r="A14149" s="128"/>
      <c r="B14149" s="128"/>
      <c r="C14149" s="128"/>
      <c r="D14149" s="128"/>
      <c r="E14149" s="128"/>
      <c r="F14149" s="128"/>
      <c r="G14149" s="128"/>
      <c r="H14149" s="128"/>
      <c r="I14149" s="128"/>
    </row>
    <row r="14150" spans="1:9" ht="13.5">
      <c r="A14150" s="128"/>
      <c r="B14150" s="128"/>
      <c r="C14150" s="128"/>
      <c r="D14150" s="128"/>
      <c r="E14150" s="128"/>
      <c r="F14150" s="128"/>
      <c r="G14150" s="128"/>
      <c r="H14150" s="128"/>
      <c r="I14150" s="128"/>
    </row>
    <row r="14151" spans="1:9" ht="13.5">
      <c r="A14151" s="128"/>
      <c r="B14151" s="128"/>
      <c r="C14151" s="128"/>
      <c r="D14151" s="128"/>
      <c r="E14151" s="128"/>
      <c r="F14151" s="128"/>
      <c r="G14151" s="128"/>
      <c r="H14151" s="128"/>
      <c r="I14151" s="128"/>
    </row>
    <row r="14152" spans="1:9" ht="13.5">
      <c r="A14152" s="128"/>
      <c r="B14152" s="128"/>
      <c r="C14152" s="128"/>
      <c r="D14152" s="128"/>
      <c r="E14152" s="128"/>
      <c r="F14152" s="128"/>
      <c r="G14152" s="128"/>
      <c r="H14152" s="128"/>
      <c r="I14152" s="128"/>
    </row>
    <row r="14153" spans="1:9" ht="13.5">
      <c r="A14153" s="128"/>
      <c r="B14153" s="128"/>
      <c r="C14153" s="128"/>
      <c r="D14153" s="128"/>
      <c r="E14153" s="128"/>
      <c r="F14153" s="128"/>
      <c r="G14153" s="128"/>
      <c r="H14153" s="128"/>
      <c r="I14153" s="128"/>
    </row>
    <row r="14154" spans="1:9" ht="13.5">
      <c r="A14154" s="128"/>
      <c r="B14154" s="128"/>
      <c r="C14154" s="128"/>
      <c r="D14154" s="128"/>
      <c r="E14154" s="128"/>
      <c r="F14154" s="128"/>
      <c r="G14154" s="128"/>
      <c r="H14154" s="128"/>
      <c r="I14154" s="128"/>
    </row>
    <row r="14155" spans="1:9" ht="13.5">
      <c r="A14155" s="128"/>
      <c r="B14155" s="128"/>
      <c r="C14155" s="128"/>
      <c r="D14155" s="128"/>
      <c r="E14155" s="128"/>
      <c r="F14155" s="128"/>
      <c r="G14155" s="128"/>
      <c r="H14155" s="128"/>
      <c r="I14155" s="128"/>
    </row>
    <row r="14156" spans="1:9" ht="13.5">
      <c r="A14156" s="128"/>
      <c r="B14156" s="128"/>
      <c r="C14156" s="128"/>
      <c r="D14156" s="128"/>
      <c r="E14156" s="128"/>
      <c r="F14156" s="128"/>
      <c r="G14156" s="128"/>
      <c r="H14156" s="128"/>
      <c r="I14156" s="128"/>
    </row>
    <row r="14157" spans="1:9" ht="13.5">
      <c r="A14157" s="128"/>
      <c r="B14157" s="128"/>
      <c r="C14157" s="128"/>
      <c r="D14157" s="128"/>
      <c r="E14157" s="128"/>
      <c r="F14157" s="128"/>
      <c r="G14157" s="128"/>
      <c r="H14157" s="128"/>
      <c r="I14157" s="128"/>
    </row>
    <row r="14158" spans="1:9" ht="13.5">
      <c r="A14158" s="128"/>
      <c r="B14158" s="128"/>
      <c r="C14158" s="128"/>
      <c r="D14158" s="128"/>
      <c r="E14158" s="128"/>
      <c r="F14158" s="128"/>
      <c r="G14158" s="128"/>
      <c r="H14158" s="128"/>
      <c r="I14158" s="128"/>
    </row>
    <row r="14159" spans="1:9" ht="13.5">
      <c r="A14159" s="128"/>
      <c r="B14159" s="128"/>
      <c r="C14159" s="128"/>
      <c r="D14159" s="128"/>
      <c r="E14159" s="128"/>
      <c r="F14159" s="128"/>
      <c r="G14159" s="128"/>
      <c r="H14159" s="128"/>
      <c r="I14159" s="128"/>
    </row>
    <row r="14160" spans="1:9" ht="13.5">
      <c r="A14160" s="128"/>
      <c r="B14160" s="128"/>
      <c r="C14160" s="128"/>
      <c r="D14160" s="128"/>
      <c r="E14160" s="128"/>
      <c r="F14160" s="128"/>
      <c r="G14160" s="128"/>
      <c r="H14160" s="128"/>
      <c r="I14160" s="128"/>
    </row>
    <row r="14161" spans="1:9" ht="13.5">
      <c r="A14161" s="128"/>
      <c r="B14161" s="128"/>
      <c r="C14161" s="128"/>
      <c r="D14161" s="128"/>
      <c r="E14161" s="128"/>
      <c r="F14161" s="128"/>
      <c r="G14161" s="128"/>
      <c r="H14161" s="128"/>
      <c r="I14161" s="128"/>
    </row>
    <row r="14162" spans="1:9" ht="13.5">
      <c r="A14162" s="128"/>
      <c r="B14162" s="128"/>
      <c r="C14162" s="128"/>
      <c r="D14162" s="128"/>
      <c r="E14162" s="128"/>
      <c r="F14162" s="128"/>
      <c r="G14162" s="128"/>
      <c r="H14162" s="128"/>
      <c r="I14162" s="128"/>
    </row>
    <row r="14163" spans="1:9" ht="13.5">
      <c r="A14163" s="128"/>
      <c r="B14163" s="128"/>
      <c r="C14163" s="128"/>
      <c r="D14163" s="128"/>
      <c r="E14163" s="128"/>
      <c r="F14163" s="128"/>
      <c r="G14163" s="128"/>
      <c r="H14163" s="128"/>
      <c r="I14163" s="128"/>
    </row>
    <row r="14164" spans="1:9" ht="13.5">
      <c r="A14164" s="128"/>
      <c r="B14164" s="128"/>
      <c r="C14164" s="128"/>
      <c r="D14164" s="128"/>
      <c r="E14164" s="128"/>
      <c r="F14164" s="128"/>
      <c r="G14164" s="128"/>
      <c r="H14164" s="128"/>
      <c r="I14164" s="128"/>
    </row>
    <row r="14165" spans="1:9" ht="13.5">
      <c r="A14165" s="128"/>
      <c r="B14165" s="128"/>
      <c r="C14165" s="128"/>
      <c r="D14165" s="128"/>
      <c r="E14165" s="128"/>
      <c r="F14165" s="128"/>
      <c r="G14165" s="128"/>
      <c r="H14165" s="128"/>
      <c r="I14165" s="128"/>
    </row>
    <row r="14166" spans="1:9" ht="13.5">
      <c r="A14166" s="128"/>
      <c r="B14166" s="128"/>
      <c r="C14166" s="128"/>
      <c r="D14166" s="128"/>
      <c r="E14166" s="128"/>
      <c r="F14166" s="128"/>
      <c r="G14166" s="128"/>
      <c r="H14166" s="128"/>
      <c r="I14166" s="128"/>
    </row>
    <row r="14167" spans="1:9" ht="13.5">
      <c r="A14167" s="128"/>
      <c r="B14167" s="128"/>
      <c r="C14167" s="128"/>
      <c r="D14167" s="128"/>
      <c r="E14167" s="128"/>
      <c r="F14167" s="128"/>
      <c r="G14167" s="128"/>
      <c r="H14167" s="128"/>
      <c r="I14167" s="128"/>
    </row>
    <row r="14168" spans="1:9" ht="13.5">
      <c r="A14168" s="128"/>
      <c r="B14168" s="128"/>
      <c r="C14168" s="128"/>
      <c r="D14168" s="128"/>
      <c r="E14168" s="128"/>
      <c r="F14168" s="128"/>
      <c r="G14168" s="128"/>
      <c r="H14168" s="128"/>
      <c r="I14168" s="128"/>
    </row>
    <row r="14169" spans="1:9" ht="13.5">
      <c r="A14169" s="128"/>
      <c r="B14169" s="128"/>
      <c r="C14169" s="128"/>
      <c r="D14169" s="128"/>
      <c r="E14169" s="128"/>
      <c r="F14169" s="128"/>
      <c r="G14169" s="128"/>
      <c r="H14169" s="128"/>
      <c r="I14169" s="128"/>
    </row>
    <row r="14170" spans="1:9" ht="13.5">
      <c r="A14170" s="128"/>
      <c r="B14170" s="128"/>
      <c r="C14170" s="128"/>
      <c r="D14170" s="128"/>
      <c r="E14170" s="128"/>
      <c r="F14170" s="128"/>
      <c r="G14170" s="128"/>
      <c r="H14170" s="128"/>
      <c r="I14170" s="128"/>
    </row>
    <row r="14171" spans="1:9" ht="13.5">
      <c r="A14171" s="128"/>
      <c r="B14171" s="128"/>
      <c r="C14171" s="128"/>
      <c r="D14171" s="128"/>
      <c r="E14171" s="128"/>
      <c r="F14171" s="128"/>
      <c r="G14171" s="128"/>
      <c r="H14171" s="128"/>
      <c r="I14171" s="128"/>
    </row>
    <row r="14172" spans="1:9" ht="13.5">
      <c r="A14172" s="128"/>
      <c r="B14172" s="128"/>
      <c r="C14172" s="128"/>
      <c r="D14172" s="128"/>
      <c r="E14172" s="128"/>
      <c r="F14172" s="128"/>
      <c r="G14172" s="128"/>
      <c r="H14172" s="128"/>
      <c r="I14172" s="128"/>
    </row>
    <row r="14173" spans="1:9" ht="13.5">
      <c r="A14173" s="128"/>
      <c r="B14173" s="128"/>
      <c r="C14173" s="128"/>
      <c r="D14173" s="128"/>
      <c r="E14173" s="128"/>
      <c r="F14173" s="128"/>
      <c r="G14173" s="128"/>
      <c r="H14173" s="128"/>
      <c r="I14173" s="128"/>
    </row>
    <row r="14174" spans="1:9" ht="13.5">
      <c r="A14174" s="128"/>
      <c r="B14174" s="128"/>
      <c r="C14174" s="128"/>
      <c r="D14174" s="128"/>
      <c r="E14174" s="128"/>
      <c r="F14174" s="128"/>
      <c r="G14174" s="128"/>
      <c r="H14174" s="128"/>
      <c r="I14174" s="128"/>
    </row>
    <row r="14175" spans="1:9" ht="13.5">
      <c r="A14175" s="128"/>
      <c r="B14175" s="128"/>
      <c r="C14175" s="128"/>
      <c r="D14175" s="128"/>
      <c r="E14175" s="128"/>
      <c r="F14175" s="128"/>
      <c r="G14175" s="128"/>
      <c r="H14175" s="128"/>
      <c r="I14175" s="128"/>
    </row>
    <row r="14176" spans="1:9" ht="13.5">
      <c r="A14176" s="128"/>
      <c r="B14176" s="128"/>
      <c r="C14176" s="128"/>
      <c r="D14176" s="128"/>
      <c r="E14176" s="128"/>
      <c r="F14176" s="128"/>
      <c r="G14176" s="128"/>
      <c r="H14176" s="128"/>
      <c r="I14176" s="128"/>
    </row>
    <row r="14177" spans="1:9" ht="13.5">
      <c r="A14177" s="128"/>
      <c r="B14177" s="128"/>
      <c r="C14177" s="128"/>
      <c r="D14177" s="128"/>
      <c r="E14177" s="128"/>
      <c r="F14177" s="128"/>
      <c r="G14177" s="128"/>
      <c r="H14177" s="128"/>
      <c r="I14177" s="128"/>
    </row>
    <row r="14178" spans="1:9" ht="13.5">
      <c r="A14178" s="128"/>
      <c r="B14178" s="128"/>
      <c r="C14178" s="128"/>
      <c r="D14178" s="128"/>
      <c r="E14178" s="128"/>
      <c r="F14178" s="128"/>
      <c r="G14178" s="128"/>
      <c r="H14178" s="128"/>
      <c r="I14178" s="128"/>
    </row>
    <row r="14179" spans="1:9" ht="13.5">
      <c r="A14179" s="128"/>
      <c r="B14179" s="128"/>
      <c r="C14179" s="128"/>
      <c r="D14179" s="128"/>
      <c r="E14179" s="128"/>
      <c r="F14179" s="128"/>
      <c r="G14179" s="128"/>
      <c r="H14179" s="128"/>
      <c r="I14179" s="128"/>
    </row>
    <row r="14180" spans="1:9" ht="13.5">
      <c r="A14180" s="128"/>
      <c r="B14180" s="128"/>
      <c r="C14180" s="128"/>
      <c r="D14180" s="128"/>
      <c r="E14180" s="128"/>
      <c r="F14180" s="128"/>
      <c r="G14180" s="128"/>
      <c r="H14180" s="128"/>
      <c r="I14180" s="128"/>
    </row>
    <row r="14181" spans="1:9" ht="13.5">
      <c r="A14181" s="128"/>
      <c r="B14181" s="128"/>
      <c r="C14181" s="128"/>
      <c r="D14181" s="128"/>
      <c r="E14181" s="128"/>
      <c r="F14181" s="128"/>
      <c r="G14181" s="128"/>
      <c r="H14181" s="128"/>
      <c r="I14181" s="128"/>
    </row>
    <row r="14182" spans="1:9" ht="13.5">
      <c r="A14182" s="128"/>
      <c r="B14182" s="128"/>
      <c r="C14182" s="128"/>
      <c r="D14182" s="128"/>
      <c r="E14182" s="128"/>
      <c r="F14182" s="128"/>
      <c r="G14182" s="128"/>
      <c r="H14182" s="128"/>
      <c r="I14182" s="128"/>
    </row>
    <row r="14183" spans="1:9" ht="13.5">
      <c r="A14183" s="128"/>
      <c r="B14183" s="128"/>
      <c r="C14183" s="128"/>
      <c r="D14183" s="128"/>
      <c r="E14183" s="128"/>
      <c r="F14183" s="128"/>
      <c r="G14183" s="128"/>
      <c r="H14183" s="128"/>
      <c r="I14183" s="128"/>
    </row>
    <row r="14184" spans="1:9" ht="13.5">
      <c r="A14184" s="128"/>
      <c r="B14184" s="128"/>
      <c r="C14184" s="128"/>
      <c r="D14184" s="128"/>
      <c r="E14184" s="128"/>
      <c r="F14184" s="128"/>
      <c r="G14184" s="128"/>
      <c r="H14184" s="128"/>
      <c r="I14184" s="128"/>
    </row>
    <row r="14185" spans="1:9" ht="13.5">
      <c r="A14185" s="128"/>
      <c r="B14185" s="128"/>
      <c r="C14185" s="128"/>
      <c r="D14185" s="128"/>
      <c r="E14185" s="128"/>
      <c r="F14185" s="128"/>
      <c r="G14185" s="128"/>
      <c r="H14185" s="128"/>
      <c r="I14185" s="128"/>
    </row>
    <row r="14186" spans="1:9" ht="13.5">
      <c r="A14186" s="128"/>
      <c r="B14186" s="128"/>
      <c r="C14186" s="128"/>
      <c r="D14186" s="128"/>
      <c r="E14186" s="128"/>
      <c r="F14186" s="128"/>
      <c r="G14186" s="128"/>
      <c r="H14186" s="128"/>
      <c r="I14186" s="128"/>
    </row>
    <row r="14187" spans="1:9" ht="13.5">
      <c r="A14187" s="128"/>
      <c r="B14187" s="128"/>
      <c r="C14187" s="128"/>
      <c r="D14187" s="128"/>
      <c r="E14187" s="128"/>
      <c r="F14187" s="128"/>
      <c r="G14187" s="128"/>
      <c r="H14187" s="128"/>
      <c r="I14187" s="128"/>
    </row>
    <row r="14188" spans="1:9" ht="13.5">
      <c r="A14188" s="128"/>
      <c r="B14188" s="128"/>
      <c r="C14188" s="128"/>
      <c r="D14188" s="128"/>
      <c r="E14188" s="128"/>
      <c r="F14188" s="128"/>
      <c r="G14188" s="128"/>
      <c r="H14188" s="128"/>
      <c r="I14188" s="128"/>
    </row>
    <row r="14189" spans="1:9" ht="13.5">
      <c r="A14189" s="128"/>
      <c r="B14189" s="128"/>
      <c r="C14189" s="128"/>
      <c r="D14189" s="128"/>
      <c r="E14189" s="128"/>
      <c r="F14189" s="128"/>
      <c r="G14189" s="128"/>
      <c r="H14189" s="128"/>
      <c r="I14189" s="128"/>
    </row>
    <row r="14190" spans="1:9" ht="13.5">
      <c r="A14190" s="128"/>
      <c r="B14190" s="128"/>
      <c r="C14190" s="128"/>
      <c r="D14190" s="128"/>
      <c r="E14190" s="128"/>
      <c r="F14190" s="128"/>
      <c r="G14190" s="128"/>
      <c r="H14190" s="128"/>
      <c r="I14190" s="128"/>
    </row>
    <row r="14191" spans="1:9" ht="13.5">
      <c r="A14191" s="128"/>
      <c r="B14191" s="128"/>
      <c r="C14191" s="128"/>
      <c r="D14191" s="128"/>
      <c r="E14191" s="128"/>
      <c r="F14191" s="128"/>
      <c r="G14191" s="128"/>
      <c r="H14191" s="128"/>
      <c r="I14191" s="128"/>
    </row>
    <row r="14192" spans="1:9" ht="13.5">
      <c r="A14192" s="128"/>
      <c r="B14192" s="128"/>
      <c r="C14192" s="128"/>
      <c r="D14192" s="128"/>
      <c r="E14192" s="128"/>
      <c r="F14192" s="128"/>
      <c r="G14192" s="128"/>
      <c r="H14192" s="128"/>
      <c r="I14192" s="128"/>
    </row>
    <row r="14193" spans="1:9" ht="13.5">
      <c r="A14193" s="128"/>
      <c r="B14193" s="128"/>
      <c r="C14193" s="128"/>
      <c r="D14193" s="128"/>
      <c r="E14193" s="128"/>
      <c r="F14193" s="128"/>
      <c r="G14193" s="128"/>
      <c r="H14193" s="128"/>
      <c r="I14193" s="128"/>
    </row>
    <row r="14194" spans="1:9" ht="13.5">
      <c r="A14194" s="128"/>
      <c r="B14194" s="128"/>
      <c r="C14194" s="128"/>
      <c r="D14194" s="128"/>
      <c r="E14194" s="128"/>
      <c r="F14194" s="128"/>
      <c r="G14194" s="128"/>
      <c r="H14194" s="128"/>
      <c r="I14194" s="128"/>
    </row>
    <row r="14195" spans="1:9" ht="13.5">
      <c r="A14195" s="128"/>
      <c r="B14195" s="128"/>
      <c r="C14195" s="128"/>
      <c r="D14195" s="128"/>
      <c r="E14195" s="128"/>
      <c r="F14195" s="128"/>
      <c r="G14195" s="128"/>
      <c r="H14195" s="128"/>
      <c r="I14195" s="128"/>
    </row>
    <row r="14196" spans="1:9" ht="13.5">
      <c r="A14196" s="128"/>
      <c r="B14196" s="128"/>
      <c r="C14196" s="128"/>
      <c r="D14196" s="128"/>
      <c r="E14196" s="128"/>
      <c r="F14196" s="128"/>
      <c r="G14196" s="128"/>
      <c r="H14196" s="128"/>
      <c r="I14196" s="128"/>
    </row>
    <row r="14197" spans="1:9" ht="13.5">
      <c r="A14197" s="128"/>
      <c r="B14197" s="128"/>
      <c r="C14197" s="128"/>
      <c r="D14197" s="128"/>
      <c r="E14197" s="128"/>
      <c r="F14197" s="128"/>
      <c r="G14197" s="128"/>
      <c r="H14197" s="128"/>
      <c r="I14197" s="128"/>
    </row>
    <row r="14198" spans="1:9" ht="13.5">
      <c r="A14198" s="128"/>
      <c r="B14198" s="128"/>
      <c r="C14198" s="128"/>
      <c r="D14198" s="128"/>
      <c r="E14198" s="128"/>
      <c r="F14198" s="128"/>
      <c r="G14198" s="128"/>
      <c r="H14198" s="128"/>
      <c r="I14198" s="128"/>
    </row>
    <row r="14199" spans="1:9" ht="13.5">
      <c r="A14199" s="128"/>
      <c r="B14199" s="128"/>
      <c r="C14199" s="128"/>
      <c r="D14199" s="128"/>
      <c r="E14199" s="128"/>
      <c r="F14199" s="128"/>
      <c r="G14199" s="128"/>
      <c r="H14199" s="128"/>
      <c r="I14199" s="128"/>
    </row>
    <row r="14200" spans="1:9" ht="13.5">
      <c r="A14200" s="128"/>
      <c r="B14200" s="128"/>
      <c r="C14200" s="128"/>
      <c r="D14200" s="128"/>
      <c r="E14200" s="128"/>
      <c r="F14200" s="128"/>
      <c r="G14200" s="128"/>
      <c r="H14200" s="128"/>
      <c r="I14200" s="128"/>
    </row>
    <row r="14201" spans="1:9" ht="13.5">
      <c r="A14201" s="128"/>
      <c r="B14201" s="128"/>
      <c r="C14201" s="128"/>
      <c r="D14201" s="128"/>
      <c r="E14201" s="128"/>
      <c r="F14201" s="128"/>
      <c r="G14201" s="128"/>
      <c r="H14201" s="128"/>
      <c r="I14201" s="128"/>
    </row>
    <row r="14202" spans="1:9" ht="13.5">
      <c r="A14202" s="128"/>
      <c r="B14202" s="128"/>
      <c r="C14202" s="128"/>
      <c r="D14202" s="128"/>
      <c r="E14202" s="128"/>
      <c r="F14202" s="128"/>
      <c r="G14202" s="128"/>
      <c r="H14202" s="128"/>
      <c r="I14202" s="128"/>
    </row>
    <row r="14203" spans="1:9" ht="13.5">
      <c r="A14203" s="128"/>
      <c r="B14203" s="128"/>
      <c r="C14203" s="128"/>
      <c r="D14203" s="128"/>
      <c r="E14203" s="128"/>
      <c r="F14203" s="128"/>
      <c r="G14203" s="128"/>
      <c r="H14203" s="128"/>
      <c r="I14203" s="128"/>
    </row>
    <row r="14204" spans="1:9" ht="13.5">
      <c r="A14204" s="128"/>
      <c r="B14204" s="128"/>
      <c r="C14204" s="128"/>
      <c r="D14204" s="128"/>
      <c r="E14204" s="128"/>
      <c r="F14204" s="128"/>
      <c r="G14204" s="128"/>
      <c r="H14204" s="128"/>
      <c r="I14204" s="128"/>
    </row>
    <row r="14205" spans="1:9" ht="13.5">
      <c r="A14205" s="128"/>
      <c r="B14205" s="128"/>
      <c r="C14205" s="128"/>
      <c r="D14205" s="128"/>
      <c r="E14205" s="128"/>
      <c r="F14205" s="128"/>
      <c r="G14205" s="128"/>
      <c r="H14205" s="128"/>
      <c r="I14205" s="128"/>
    </row>
    <row r="14206" spans="1:9" ht="13.5">
      <c r="A14206" s="128"/>
      <c r="B14206" s="128"/>
      <c r="C14206" s="128"/>
      <c r="D14206" s="128"/>
      <c r="E14206" s="128"/>
      <c r="F14206" s="128"/>
      <c r="G14206" s="128"/>
      <c r="H14206" s="128"/>
      <c r="I14206" s="128"/>
    </row>
    <row r="14207" spans="1:9" ht="13.5">
      <c r="A14207" s="128"/>
      <c r="B14207" s="128"/>
      <c r="C14207" s="128"/>
      <c r="D14207" s="128"/>
      <c r="E14207" s="128"/>
      <c r="F14207" s="128"/>
      <c r="G14207" s="128"/>
      <c r="H14207" s="128"/>
      <c r="I14207" s="128"/>
    </row>
    <row r="14208" spans="1:9" ht="13.5">
      <c r="A14208" s="128"/>
      <c r="B14208" s="128"/>
      <c r="C14208" s="128"/>
      <c r="D14208" s="128"/>
      <c r="E14208" s="128"/>
      <c r="F14208" s="128"/>
      <c r="G14208" s="128"/>
      <c r="H14208" s="128"/>
      <c r="I14208" s="128"/>
    </row>
    <row r="14209" spans="1:9" ht="13.5">
      <c r="A14209" s="128"/>
      <c r="B14209" s="128"/>
      <c r="C14209" s="128"/>
      <c r="D14209" s="128"/>
      <c r="E14209" s="128"/>
      <c r="F14209" s="128"/>
      <c r="G14209" s="128"/>
      <c r="H14209" s="128"/>
      <c r="I14209" s="128"/>
    </row>
    <row r="14210" spans="1:9" ht="13.5">
      <c r="A14210" s="128"/>
      <c r="B14210" s="128"/>
      <c r="C14210" s="128"/>
      <c r="D14210" s="128"/>
      <c r="E14210" s="128"/>
      <c r="F14210" s="128"/>
      <c r="G14210" s="128"/>
      <c r="H14210" s="128"/>
      <c r="I14210" s="128"/>
    </row>
    <row r="14211" spans="1:9" ht="13.5">
      <c r="A14211" s="128"/>
      <c r="B14211" s="128"/>
      <c r="C14211" s="128"/>
      <c r="D14211" s="128"/>
      <c r="E14211" s="128"/>
      <c r="F14211" s="128"/>
      <c r="G14211" s="128"/>
      <c r="H14211" s="128"/>
      <c r="I14211" s="128"/>
    </row>
    <row r="14212" spans="1:9" ht="13.5">
      <c r="A14212" s="128"/>
      <c r="B14212" s="128"/>
      <c r="C14212" s="128"/>
      <c r="D14212" s="128"/>
      <c r="E14212" s="128"/>
      <c r="F14212" s="128"/>
      <c r="G14212" s="128"/>
      <c r="H14212" s="128"/>
      <c r="I14212" s="128"/>
    </row>
    <row r="14213" spans="1:9" ht="13.5">
      <c r="A14213" s="128"/>
      <c r="B14213" s="128"/>
      <c r="C14213" s="128"/>
      <c r="D14213" s="128"/>
      <c r="E14213" s="128"/>
      <c r="F14213" s="128"/>
      <c r="G14213" s="128"/>
      <c r="H14213" s="128"/>
      <c r="I14213" s="128"/>
    </row>
    <row r="14214" spans="1:9" ht="13.5">
      <c r="A14214" s="128"/>
      <c r="B14214" s="128"/>
      <c r="C14214" s="128"/>
      <c r="D14214" s="128"/>
      <c r="E14214" s="128"/>
      <c r="F14214" s="128"/>
      <c r="G14214" s="128"/>
      <c r="H14214" s="128"/>
      <c r="I14214" s="128"/>
    </row>
    <row r="14215" spans="1:9" ht="13.5">
      <c r="A14215" s="128"/>
      <c r="B14215" s="128"/>
      <c r="C14215" s="128"/>
      <c r="D14215" s="128"/>
      <c r="E14215" s="128"/>
      <c r="F14215" s="128"/>
      <c r="G14215" s="128"/>
      <c r="H14215" s="128"/>
      <c r="I14215" s="128"/>
    </row>
    <row r="14216" spans="1:9" ht="13.5">
      <c r="A14216" s="128"/>
      <c r="B14216" s="128"/>
      <c r="C14216" s="128"/>
      <c r="D14216" s="128"/>
      <c r="E14216" s="128"/>
      <c r="F14216" s="128"/>
      <c r="G14216" s="128"/>
      <c r="H14216" s="128"/>
      <c r="I14216" s="128"/>
    </row>
    <row r="14217" spans="1:9" ht="13.5">
      <c r="A14217" s="128"/>
      <c r="B14217" s="128"/>
      <c r="C14217" s="128"/>
      <c r="D14217" s="128"/>
      <c r="E14217" s="128"/>
      <c r="F14217" s="128"/>
      <c r="G14217" s="128"/>
      <c r="H14217" s="128"/>
      <c r="I14217" s="128"/>
    </row>
    <row r="14218" spans="1:9" ht="13.5">
      <c r="A14218" s="128"/>
      <c r="B14218" s="128"/>
      <c r="C14218" s="128"/>
      <c r="D14218" s="128"/>
      <c r="E14218" s="128"/>
      <c r="F14218" s="128"/>
      <c r="G14218" s="128"/>
      <c r="H14218" s="128"/>
      <c r="I14218" s="128"/>
    </row>
    <row r="14219" spans="1:9" ht="13.5">
      <c r="A14219" s="128"/>
      <c r="B14219" s="128"/>
      <c r="C14219" s="128"/>
      <c r="D14219" s="128"/>
      <c r="E14219" s="128"/>
      <c r="F14219" s="128"/>
      <c r="G14219" s="128"/>
      <c r="H14219" s="128"/>
      <c r="I14219" s="128"/>
    </row>
    <row r="14220" spans="1:9" ht="13.5">
      <c r="A14220" s="128"/>
      <c r="B14220" s="128"/>
      <c r="C14220" s="128"/>
      <c r="D14220" s="128"/>
      <c r="E14220" s="128"/>
      <c r="F14220" s="128"/>
      <c r="G14220" s="128"/>
      <c r="H14220" s="128"/>
      <c r="I14220" s="128"/>
    </row>
    <row r="14221" spans="1:9" ht="13.5">
      <c r="A14221" s="128"/>
      <c r="B14221" s="128"/>
      <c r="C14221" s="128"/>
      <c r="D14221" s="128"/>
      <c r="E14221" s="128"/>
      <c r="F14221" s="128"/>
      <c r="G14221" s="128"/>
      <c r="H14221" s="128"/>
      <c r="I14221" s="128"/>
    </row>
    <row r="14222" spans="1:9" ht="13.5">
      <c r="A14222" s="128"/>
      <c r="B14222" s="128"/>
      <c r="C14222" s="128"/>
      <c r="D14222" s="128"/>
      <c r="E14222" s="128"/>
      <c r="F14222" s="128"/>
      <c r="G14222" s="128"/>
      <c r="H14222" s="128"/>
      <c r="I14222" s="128"/>
    </row>
    <row r="14223" spans="1:9" ht="13.5">
      <c r="A14223" s="128"/>
      <c r="B14223" s="128"/>
      <c r="C14223" s="128"/>
      <c r="D14223" s="128"/>
      <c r="E14223" s="128"/>
      <c r="F14223" s="128"/>
      <c r="G14223" s="128"/>
      <c r="H14223" s="128"/>
      <c r="I14223" s="128"/>
    </row>
    <row r="14224" spans="1:9" ht="13.5">
      <c r="A14224" s="128"/>
      <c r="B14224" s="128"/>
      <c r="C14224" s="128"/>
      <c r="D14224" s="128"/>
      <c r="E14224" s="128"/>
      <c r="F14224" s="128"/>
      <c r="G14224" s="128"/>
      <c r="H14224" s="128"/>
      <c r="I14224" s="128"/>
    </row>
    <row r="14225" spans="1:9" ht="13.5">
      <c r="A14225" s="128"/>
      <c r="B14225" s="128"/>
      <c r="C14225" s="128"/>
      <c r="D14225" s="128"/>
      <c r="E14225" s="128"/>
      <c r="F14225" s="128"/>
      <c r="G14225" s="128"/>
      <c r="H14225" s="128"/>
      <c r="I14225" s="128"/>
    </row>
    <row r="14226" spans="1:9" ht="13.5">
      <c r="A14226" s="128"/>
      <c r="B14226" s="128"/>
      <c r="C14226" s="128"/>
      <c r="D14226" s="128"/>
      <c r="E14226" s="128"/>
      <c r="F14226" s="128"/>
      <c r="G14226" s="128"/>
      <c r="H14226" s="128"/>
      <c r="I14226" s="128"/>
    </row>
    <row r="14227" spans="1:9" ht="13.5">
      <c r="A14227" s="128"/>
      <c r="B14227" s="128"/>
      <c r="C14227" s="128"/>
      <c r="D14227" s="128"/>
      <c r="E14227" s="128"/>
      <c r="F14227" s="128"/>
      <c r="G14227" s="128"/>
      <c r="H14227" s="128"/>
      <c r="I14227" s="128"/>
    </row>
    <row r="14228" spans="1:9" ht="13.5">
      <c r="A14228" s="128"/>
      <c r="B14228" s="128"/>
      <c r="C14228" s="128"/>
      <c r="D14228" s="128"/>
      <c r="E14228" s="128"/>
      <c r="F14228" s="128"/>
      <c r="G14228" s="128"/>
      <c r="H14228" s="128"/>
      <c r="I14228" s="128"/>
    </row>
    <row r="14229" spans="1:9" ht="13.5">
      <c r="A14229" s="128"/>
      <c r="B14229" s="128"/>
      <c r="C14229" s="128"/>
      <c r="D14229" s="128"/>
      <c r="E14229" s="128"/>
      <c r="F14229" s="128"/>
      <c r="G14229" s="128"/>
      <c r="H14229" s="128"/>
      <c r="I14229" s="128"/>
    </row>
    <row r="14230" spans="1:9" ht="13.5">
      <c r="A14230" s="128"/>
      <c r="B14230" s="128"/>
      <c r="C14230" s="128"/>
      <c r="D14230" s="128"/>
      <c r="E14230" s="128"/>
      <c r="F14230" s="128"/>
      <c r="G14230" s="128"/>
      <c r="H14230" s="128"/>
      <c r="I14230" s="128"/>
    </row>
    <row r="14231" spans="1:9" ht="13.5">
      <c r="A14231" s="128"/>
      <c r="B14231" s="128"/>
      <c r="C14231" s="128"/>
      <c r="D14231" s="128"/>
      <c r="E14231" s="128"/>
      <c r="F14231" s="128"/>
      <c r="G14231" s="128"/>
      <c r="H14231" s="128"/>
      <c r="I14231" s="128"/>
    </row>
    <row r="14232" spans="1:9" ht="13.5">
      <c r="A14232" s="128"/>
      <c r="B14232" s="128"/>
      <c r="C14232" s="128"/>
      <c r="D14232" s="128"/>
      <c r="E14232" s="128"/>
      <c r="F14232" s="128"/>
      <c r="G14232" s="128"/>
      <c r="H14232" s="128"/>
      <c r="I14232" s="128"/>
    </row>
    <row r="14233" spans="1:9" ht="13.5">
      <c r="A14233" s="128"/>
      <c r="B14233" s="128"/>
      <c r="C14233" s="128"/>
      <c r="D14233" s="128"/>
      <c r="E14233" s="128"/>
      <c r="F14233" s="128"/>
      <c r="G14233" s="128"/>
      <c r="H14233" s="128"/>
      <c r="I14233" s="128"/>
    </row>
    <row r="14234" spans="1:9" ht="13.5">
      <c r="A14234" s="128"/>
      <c r="B14234" s="128"/>
      <c r="C14234" s="128"/>
      <c r="D14234" s="128"/>
      <c r="E14234" s="128"/>
      <c r="F14234" s="128"/>
      <c r="G14234" s="128"/>
      <c r="H14234" s="128"/>
      <c r="I14234" s="128"/>
    </row>
    <row r="14235" spans="1:9" ht="13.5">
      <c r="A14235" s="128"/>
      <c r="B14235" s="128"/>
      <c r="C14235" s="128"/>
      <c r="D14235" s="128"/>
      <c r="E14235" s="128"/>
      <c r="F14235" s="128"/>
      <c r="G14235" s="128"/>
      <c r="H14235" s="128"/>
      <c r="I14235" s="128"/>
    </row>
    <row r="14236" spans="1:9" ht="13.5">
      <c r="A14236" s="128"/>
      <c r="B14236" s="128"/>
      <c r="C14236" s="128"/>
      <c r="D14236" s="128"/>
      <c r="E14236" s="128"/>
      <c r="F14236" s="128"/>
      <c r="G14236" s="128"/>
      <c r="H14236" s="128"/>
      <c r="I14236" s="128"/>
    </row>
    <row r="14237" spans="1:9" ht="13.5">
      <c r="A14237" s="128"/>
      <c r="B14237" s="128"/>
      <c r="C14237" s="128"/>
      <c r="D14237" s="128"/>
      <c r="E14237" s="128"/>
      <c r="F14237" s="128"/>
      <c r="G14237" s="128"/>
      <c r="H14237" s="128"/>
      <c r="I14237" s="128"/>
    </row>
    <row r="14238" spans="1:9" ht="13.5">
      <c r="A14238" s="128"/>
      <c r="B14238" s="128"/>
      <c r="C14238" s="128"/>
      <c r="D14238" s="128"/>
      <c r="E14238" s="128"/>
      <c r="F14238" s="128"/>
      <c r="G14238" s="128"/>
      <c r="H14238" s="128"/>
      <c r="I14238" s="128"/>
    </row>
    <row r="14239" spans="1:9" ht="13.5">
      <c r="A14239" s="128"/>
      <c r="B14239" s="128"/>
      <c r="C14239" s="128"/>
      <c r="D14239" s="128"/>
      <c r="E14239" s="128"/>
      <c r="F14239" s="128"/>
      <c r="G14239" s="128"/>
      <c r="H14239" s="128"/>
      <c r="I14239" s="128"/>
    </row>
    <row r="14240" spans="1:9" ht="13.5">
      <c r="A14240" s="128"/>
      <c r="B14240" s="128"/>
      <c r="C14240" s="128"/>
      <c r="D14240" s="128"/>
      <c r="E14240" s="128"/>
      <c r="F14240" s="128"/>
      <c r="G14240" s="128"/>
      <c r="H14240" s="128"/>
      <c r="I14240" s="128"/>
    </row>
    <row r="14241" spans="1:9" ht="13.5">
      <c r="A14241" s="128"/>
      <c r="B14241" s="128"/>
      <c r="C14241" s="128"/>
      <c r="D14241" s="128"/>
      <c r="E14241" s="128"/>
      <c r="F14241" s="128"/>
      <c r="G14241" s="128"/>
      <c r="H14241" s="128"/>
      <c r="I14241" s="128"/>
    </row>
    <row r="14242" spans="1:9" ht="13.5">
      <c r="A14242" s="128"/>
      <c r="B14242" s="128"/>
      <c r="C14242" s="128"/>
      <c r="D14242" s="128"/>
      <c r="E14242" s="128"/>
      <c r="F14242" s="128"/>
      <c r="G14242" s="128"/>
      <c r="H14242" s="128"/>
      <c r="I14242" s="128"/>
    </row>
    <row r="14243" spans="1:9" ht="13.5">
      <c r="A14243" s="128"/>
      <c r="B14243" s="128"/>
      <c r="C14243" s="128"/>
      <c r="D14243" s="128"/>
      <c r="E14243" s="128"/>
      <c r="F14243" s="128"/>
      <c r="G14243" s="128"/>
      <c r="H14243" s="128"/>
      <c r="I14243" s="128"/>
    </row>
    <row r="14244" spans="1:9" ht="13.5">
      <c r="A14244" s="128"/>
      <c r="B14244" s="128"/>
      <c r="C14244" s="128"/>
      <c r="D14244" s="128"/>
      <c r="E14244" s="128"/>
      <c r="F14244" s="128"/>
      <c r="G14244" s="128"/>
      <c r="H14244" s="128"/>
      <c r="I14244" s="128"/>
    </row>
    <row r="14245" spans="1:9" ht="13.5">
      <c r="A14245" s="128"/>
      <c r="B14245" s="128"/>
      <c r="C14245" s="128"/>
      <c r="D14245" s="128"/>
      <c r="E14245" s="128"/>
      <c r="F14245" s="128"/>
      <c r="G14245" s="128"/>
      <c r="H14245" s="128"/>
      <c r="I14245" s="128"/>
    </row>
    <row r="14246" spans="1:9" ht="13.5">
      <c r="A14246" s="128"/>
      <c r="B14246" s="128"/>
      <c r="C14246" s="128"/>
      <c r="D14246" s="128"/>
      <c r="E14246" s="128"/>
      <c r="F14246" s="128"/>
      <c r="G14246" s="128"/>
      <c r="H14246" s="128"/>
      <c r="I14246" s="128"/>
    </row>
    <row r="14247" spans="1:9" ht="13.5">
      <c r="A14247" s="128"/>
      <c r="B14247" s="128"/>
      <c r="C14247" s="128"/>
      <c r="D14247" s="128"/>
      <c r="E14247" s="128"/>
      <c r="F14247" s="128"/>
      <c r="G14247" s="128"/>
      <c r="H14247" s="128"/>
      <c r="I14247" s="128"/>
    </row>
    <row r="14248" spans="1:9" ht="13.5">
      <c r="A14248" s="128"/>
      <c r="B14248" s="128"/>
      <c r="C14248" s="128"/>
      <c r="D14248" s="128"/>
      <c r="E14248" s="128"/>
      <c r="F14248" s="128"/>
      <c r="G14248" s="128"/>
      <c r="H14248" s="128"/>
      <c r="I14248" s="128"/>
    </row>
    <row r="14249" spans="1:9" ht="13.5">
      <c r="A14249" s="128"/>
      <c r="B14249" s="128"/>
      <c r="C14249" s="128"/>
      <c r="D14249" s="128"/>
      <c r="E14249" s="128"/>
      <c r="F14249" s="128"/>
      <c r="G14249" s="128"/>
      <c r="H14249" s="128"/>
      <c r="I14249" s="128"/>
    </row>
    <row r="14250" spans="1:9" ht="13.5">
      <c r="A14250" s="128"/>
      <c r="B14250" s="128"/>
      <c r="C14250" s="128"/>
      <c r="D14250" s="128"/>
      <c r="E14250" s="128"/>
      <c r="F14250" s="128"/>
      <c r="G14250" s="128"/>
      <c r="H14250" s="128"/>
      <c r="I14250" s="128"/>
    </row>
    <row r="14251" spans="1:9" ht="13.5">
      <c r="A14251" s="128"/>
      <c r="B14251" s="128"/>
      <c r="C14251" s="128"/>
      <c r="D14251" s="128"/>
      <c r="E14251" s="128"/>
      <c r="F14251" s="128"/>
      <c r="G14251" s="128"/>
      <c r="H14251" s="128"/>
      <c r="I14251" s="128"/>
    </row>
    <row r="14252" spans="1:9" ht="13.5">
      <c r="A14252" s="128"/>
      <c r="B14252" s="128"/>
      <c r="C14252" s="128"/>
      <c r="D14252" s="128"/>
      <c r="E14252" s="128"/>
      <c r="F14252" s="128"/>
      <c r="G14252" s="128"/>
      <c r="H14252" s="128"/>
      <c r="I14252" s="128"/>
    </row>
    <row r="14253" spans="1:9" ht="13.5">
      <c r="A14253" s="128"/>
      <c r="B14253" s="128"/>
      <c r="C14253" s="128"/>
      <c r="D14253" s="128"/>
      <c r="E14253" s="128"/>
      <c r="F14253" s="128"/>
      <c r="G14253" s="128"/>
      <c r="H14253" s="128"/>
      <c r="I14253" s="128"/>
    </row>
    <row r="14254" spans="1:9" ht="13.5">
      <c r="A14254" s="128"/>
      <c r="B14254" s="128"/>
      <c r="C14254" s="128"/>
      <c r="D14254" s="128"/>
      <c r="E14254" s="128"/>
      <c r="F14254" s="128"/>
      <c r="G14254" s="128"/>
      <c r="H14254" s="128"/>
      <c r="I14254" s="128"/>
    </row>
    <row r="14255" spans="1:9" ht="13.5">
      <c r="A14255" s="128"/>
      <c r="B14255" s="128"/>
      <c r="C14255" s="128"/>
      <c r="D14255" s="128"/>
      <c r="E14255" s="128"/>
      <c r="F14255" s="128"/>
      <c r="G14255" s="128"/>
      <c r="H14255" s="128"/>
      <c r="I14255" s="128"/>
    </row>
    <row r="14256" spans="1:9" ht="13.5">
      <c r="A14256" s="128"/>
      <c r="B14256" s="128"/>
      <c r="C14256" s="128"/>
      <c r="D14256" s="128"/>
      <c r="E14256" s="128"/>
      <c r="F14256" s="128"/>
      <c r="G14256" s="128"/>
      <c r="H14256" s="128"/>
      <c r="I14256" s="128"/>
    </row>
    <row r="14257" spans="1:9" ht="13.5">
      <c r="A14257" s="128"/>
      <c r="B14257" s="128"/>
      <c r="C14257" s="128"/>
      <c r="D14257" s="128"/>
      <c r="E14257" s="128"/>
      <c r="F14257" s="128"/>
      <c r="G14257" s="128"/>
      <c r="H14257" s="128"/>
      <c r="I14257" s="128"/>
    </row>
    <row r="14258" spans="1:9" ht="13.5">
      <c r="A14258" s="128"/>
      <c r="B14258" s="128"/>
      <c r="C14258" s="128"/>
      <c r="D14258" s="128"/>
      <c r="E14258" s="128"/>
      <c r="F14258" s="128"/>
      <c r="G14258" s="128"/>
      <c r="H14258" s="128"/>
      <c r="I14258" s="128"/>
    </row>
    <row r="14259" spans="1:9" ht="13.5">
      <c r="A14259" s="128"/>
      <c r="B14259" s="128"/>
      <c r="C14259" s="128"/>
      <c r="D14259" s="128"/>
      <c r="E14259" s="128"/>
      <c r="F14259" s="128"/>
      <c r="G14259" s="128"/>
      <c r="H14259" s="128"/>
      <c r="I14259" s="128"/>
    </row>
    <row r="14260" spans="1:9" ht="13.5">
      <c r="A14260" s="128"/>
      <c r="B14260" s="128"/>
      <c r="C14260" s="128"/>
      <c r="D14260" s="128"/>
      <c r="E14260" s="128"/>
      <c r="F14260" s="128"/>
      <c r="G14260" s="128"/>
      <c r="H14260" s="128"/>
      <c r="I14260" s="128"/>
    </row>
    <row r="14261" spans="1:9" ht="13.5">
      <c r="A14261" s="128"/>
      <c r="B14261" s="128"/>
      <c r="C14261" s="128"/>
      <c r="D14261" s="128"/>
      <c r="E14261" s="128"/>
      <c r="F14261" s="128"/>
      <c r="G14261" s="128"/>
      <c r="H14261" s="128"/>
      <c r="I14261" s="128"/>
    </row>
    <row r="14262" spans="1:9" ht="13.5">
      <c r="A14262" s="128"/>
      <c r="B14262" s="128"/>
      <c r="C14262" s="128"/>
      <c r="D14262" s="128"/>
      <c r="E14262" s="128"/>
      <c r="F14262" s="128"/>
      <c r="G14262" s="128"/>
      <c r="H14262" s="128"/>
      <c r="I14262" s="128"/>
    </row>
    <row r="14263" spans="1:9" ht="13.5">
      <c r="A14263" s="128"/>
      <c r="B14263" s="128"/>
      <c r="C14263" s="128"/>
      <c r="D14263" s="128"/>
      <c r="E14263" s="128"/>
      <c r="F14263" s="128"/>
      <c r="G14263" s="128"/>
      <c r="H14263" s="128"/>
      <c r="I14263" s="128"/>
    </row>
    <row r="14264" spans="1:9" ht="13.5">
      <c r="A14264" s="128"/>
      <c r="B14264" s="128"/>
      <c r="C14264" s="128"/>
      <c r="D14264" s="128"/>
      <c r="E14264" s="128"/>
      <c r="F14264" s="128"/>
      <c r="G14264" s="128"/>
      <c r="H14264" s="128"/>
      <c r="I14264" s="128"/>
    </row>
    <row r="14265" spans="1:9" ht="13.5">
      <c r="A14265" s="128"/>
      <c r="B14265" s="128"/>
      <c r="C14265" s="128"/>
      <c r="D14265" s="128"/>
      <c r="E14265" s="128"/>
      <c r="F14265" s="128"/>
      <c r="G14265" s="128"/>
      <c r="H14265" s="128"/>
      <c r="I14265" s="128"/>
    </row>
    <row r="14266" spans="1:9" ht="13.5">
      <c r="A14266" s="128"/>
      <c r="B14266" s="128"/>
      <c r="C14266" s="128"/>
      <c r="D14266" s="128"/>
      <c r="E14266" s="128"/>
      <c r="F14266" s="128"/>
      <c r="G14266" s="128"/>
      <c r="H14266" s="128"/>
      <c r="I14266" s="128"/>
    </row>
    <row r="14267" spans="1:9" ht="13.5">
      <c r="A14267" s="128"/>
      <c r="B14267" s="128"/>
      <c r="C14267" s="128"/>
      <c r="D14267" s="128"/>
      <c r="E14267" s="128"/>
      <c r="F14267" s="128"/>
      <c r="G14267" s="128"/>
      <c r="H14267" s="128"/>
      <c r="I14267" s="128"/>
    </row>
    <row r="14268" spans="1:9" ht="13.5">
      <c r="A14268" s="128"/>
      <c r="B14268" s="128"/>
      <c r="C14268" s="128"/>
      <c r="D14268" s="128"/>
      <c r="E14268" s="128"/>
      <c r="F14268" s="128"/>
      <c r="G14268" s="128"/>
      <c r="H14268" s="128"/>
      <c r="I14268" s="128"/>
    </row>
    <row r="14269" spans="1:9" ht="13.5">
      <c r="A14269" s="128"/>
      <c r="B14269" s="128"/>
      <c r="C14269" s="128"/>
      <c r="D14269" s="128"/>
      <c r="E14269" s="128"/>
      <c r="F14269" s="128"/>
      <c r="G14269" s="128"/>
      <c r="H14269" s="128"/>
      <c r="I14269" s="128"/>
    </row>
    <row r="14270" spans="1:9" ht="13.5">
      <c r="A14270" s="128"/>
      <c r="B14270" s="128"/>
      <c r="C14270" s="128"/>
      <c r="D14270" s="128"/>
      <c r="E14270" s="128"/>
      <c r="F14270" s="128"/>
      <c r="G14270" s="128"/>
      <c r="H14270" s="128"/>
      <c r="I14270" s="128"/>
    </row>
    <row r="14271" spans="1:9" ht="13.5">
      <c r="A14271" s="128"/>
      <c r="B14271" s="128"/>
      <c r="C14271" s="128"/>
      <c r="D14271" s="128"/>
      <c r="E14271" s="128"/>
      <c r="F14271" s="128"/>
      <c r="G14271" s="128"/>
      <c r="H14271" s="128"/>
      <c r="I14271" s="128"/>
    </row>
    <row r="14272" spans="1:9" ht="13.5">
      <c r="A14272" s="128"/>
      <c r="B14272" s="128"/>
      <c r="C14272" s="128"/>
      <c r="D14272" s="128"/>
      <c r="E14272" s="128"/>
      <c r="F14272" s="128"/>
      <c r="G14272" s="128"/>
      <c r="H14272" s="128"/>
      <c r="I14272" s="128"/>
    </row>
    <row r="14273" spans="1:9" ht="13.5">
      <c r="A14273" s="128"/>
      <c r="B14273" s="128"/>
      <c r="C14273" s="128"/>
      <c r="D14273" s="128"/>
      <c r="E14273" s="128"/>
      <c r="F14273" s="128"/>
      <c r="G14273" s="128"/>
      <c r="H14273" s="128"/>
      <c r="I14273" s="128"/>
    </row>
    <row r="14274" spans="1:9" ht="13.5">
      <c r="A14274" s="128"/>
      <c r="B14274" s="128"/>
      <c r="C14274" s="128"/>
      <c r="D14274" s="128"/>
      <c r="E14274" s="128"/>
      <c r="F14274" s="128"/>
      <c r="G14274" s="128"/>
      <c r="H14274" s="128"/>
      <c r="I14274" s="128"/>
    </row>
    <row r="14275" spans="1:9" ht="13.5">
      <c r="A14275" s="128"/>
      <c r="B14275" s="128"/>
      <c r="C14275" s="128"/>
      <c r="D14275" s="128"/>
      <c r="E14275" s="128"/>
      <c r="F14275" s="128"/>
      <c r="G14275" s="128"/>
      <c r="H14275" s="128"/>
      <c r="I14275" s="128"/>
    </row>
    <row r="14276" spans="1:9" ht="13.5">
      <c r="A14276" s="128"/>
      <c r="B14276" s="128"/>
      <c r="C14276" s="128"/>
      <c r="D14276" s="128"/>
      <c r="E14276" s="128"/>
      <c r="F14276" s="128"/>
      <c r="G14276" s="128"/>
      <c r="H14276" s="128"/>
      <c r="I14276" s="128"/>
    </row>
    <row r="14277" spans="1:9" ht="13.5">
      <c r="A14277" s="128"/>
      <c r="B14277" s="128"/>
      <c r="C14277" s="128"/>
      <c r="D14277" s="128"/>
      <c r="E14277" s="128"/>
      <c r="F14277" s="128"/>
      <c r="G14277" s="128"/>
      <c r="H14277" s="128"/>
      <c r="I14277" s="128"/>
    </row>
    <row r="14278" spans="1:9" ht="13.5">
      <c r="A14278" s="128"/>
      <c r="B14278" s="128"/>
      <c r="C14278" s="128"/>
      <c r="D14278" s="128"/>
      <c r="E14278" s="128"/>
      <c r="F14278" s="128"/>
      <c r="G14278" s="128"/>
      <c r="H14278" s="128"/>
      <c r="I14278" s="128"/>
    </row>
    <row r="14279" spans="1:9" ht="13.5">
      <c r="A14279" s="128"/>
      <c r="B14279" s="128"/>
      <c r="C14279" s="128"/>
      <c r="D14279" s="128"/>
      <c r="E14279" s="128"/>
      <c r="F14279" s="128"/>
      <c r="G14279" s="128"/>
      <c r="H14279" s="128"/>
      <c r="I14279" s="128"/>
    </row>
    <row r="14280" spans="1:9" ht="13.5">
      <c r="A14280" s="128"/>
      <c r="B14280" s="128"/>
      <c r="C14280" s="128"/>
      <c r="D14280" s="128"/>
      <c r="E14280" s="128"/>
      <c r="F14280" s="128"/>
      <c r="G14280" s="128"/>
      <c r="H14280" s="128"/>
      <c r="I14280" s="128"/>
    </row>
    <row r="14281" spans="1:9" ht="13.5">
      <c r="A14281" s="128"/>
      <c r="B14281" s="128"/>
      <c r="C14281" s="128"/>
      <c r="D14281" s="128"/>
      <c r="E14281" s="128"/>
      <c r="F14281" s="128"/>
      <c r="G14281" s="128"/>
      <c r="H14281" s="128"/>
      <c r="I14281" s="128"/>
    </row>
    <row r="14282" spans="1:9" ht="13.5">
      <c r="A14282" s="128"/>
      <c r="B14282" s="128"/>
      <c r="C14282" s="128"/>
      <c r="D14282" s="128"/>
      <c r="E14282" s="128"/>
      <c r="F14282" s="128"/>
      <c r="G14282" s="128"/>
      <c r="H14282" s="128"/>
      <c r="I14282" s="128"/>
    </row>
    <row r="14283" spans="1:9" ht="13.5">
      <c r="A14283" s="128"/>
      <c r="B14283" s="128"/>
      <c r="C14283" s="128"/>
      <c r="D14283" s="128"/>
      <c r="E14283" s="128"/>
      <c r="F14283" s="128"/>
      <c r="G14283" s="128"/>
      <c r="H14283" s="128"/>
      <c r="I14283" s="128"/>
    </row>
    <row r="14284" spans="1:9" ht="13.5">
      <c r="A14284" s="128"/>
      <c r="B14284" s="128"/>
      <c r="C14284" s="128"/>
      <c r="D14284" s="128"/>
      <c r="E14284" s="128"/>
      <c r="F14284" s="128"/>
      <c r="G14284" s="128"/>
      <c r="H14284" s="128"/>
      <c r="I14284" s="128"/>
    </row>
    <row r="14285" spans="1:9" ht="13.5">
      <c r="A14285" s="128"/>
      <c r="B14285" s="128"/>
      <c r="C14285" s="128"/>
      <c r="D14285" s="128"/>
      <c r="E14285" s="128"/>
      <c r="F14285" s="128"/>
      <c r="G14285" s="128"/>
      <c r="H14285" s="128"/>
      <c r="I14285" s="128"/>
    </row>
    <row r="14286" spans="1:9" ht="13.5">
      <c r="A14286" s="128"/>
      <c r="B14286" s="128"/>
      <c r="C14286" s="128"/>
      <c r="D14286" s="128"/>
      <c r="E14286" s="128"/>
      <c r="F14286" s="128"/>
      <c r="G14286" s="128"/>
      <c r="H14286" s="128"/>
      <c r="I14286" s="128"/>
    </row>
    <row r="14287" spans="1:9" ht="13.5">
      <c r="A14287" s="128"/>
      <c r="B14287" s="128"/>
      <c r="C14287" s="128"/>
      <c r="D14287" s="128"/>
      <c r="E14287" s="128"/>
      <c r="F14287" s="128"/>
      <c r="G14287" s="128"/>
      <c r="H14287" s="128"/>
      <c r="I14287" s="128"/>
    </row>
    <row r="14288" spans="1:9" ht="13.5">
      <c r="A14288" s="128"/>
      <c r="B14288" s="128"/>
      <c r="C14288" s="128"/>
      <c r="D14288" s="128"/>
      <c r="E14288" s="128"/>
      <c r="F14288" s="128"/>
      <c r="G14288" s="128"/>
      <c r="H14288" s="128"/>
      <c r="I14288" s="128"/>
    </row>
    <row r="14289" spans="1:9" ht="13.5">
      <c r="A14289" s="128"/>
      <c r="B14289" s="128"/>
      <c r="C14289" s="128"/>
      <c r="D14289" s="128"/>
      <c r="E14289" s="128"/>
      <c r="F14289" s="128"/>
      <c r="G14289" s="128"/>
      <c r="H14289" s="128"/>
      <c r="I14289" s="128"/>
    </row>
    <row r="14290" spans="1:9" ht="13.5">
      <c r="A14290" s="128"/>
      <c r="B14290" s="128"/>
      <c r="C14290" s="128"/>
      <c r="D14290" s="128"/>
      <c r="E14290" s="128"/>
      <c r="F14290" s="128"/>
      <c r="G14290" s="128"/>
      <c r="H14290" s="128"/>
      <c r="I14290" s="128"/>
    </row>
    <row r="14291" spans="1:9" ht="13.5">
      <c r="A14291" s="128"/>
      <c r="B14291" s="128"/>
      <c r="C14291" s="128"/>
      <c r="D14291" s="128"/>
      <c r="E14291" s="128"/>
      <c r="F14291" s="128"/>
      <c r="G14291" s="128"/>
      <c r="H14291" s="128"/>
      <c r="I14291" s="128"/>
    </row>
    <row r="14292" spans="1:9" ht="13.5">
      <c r="A14292" s="128"/>
      <c r="B14292" s="128"/>
      <c r="C14292" s="128"/>
      <c r="D14292" s="128"/>
      <c r="E14292" s="128"/>
      <c r="F14292" s="128"/>
      <c r="G14292" s="128"/>
      <c r="H14292" s="128"/>
      <c r="I14292" s="128"/>
    </row>
    <row r="14293" spans="1:9" ht="13.5">
      <c r="A14293" s="128"/>
      <c r="B14293" s="128"/>
      <c r="C14293" s="128"/>
      <c r="D14293" s="128"/>
      <c r="E14293" s="128"/>
      <c r="F14293" s="128"/>
      <c r="G14293" s="128"/>
      <c r="H14293" s="128"/>
      <c r="I14293" s="128"/>
    </row>
    <row r="14294" spans="1:9" ht="13.5">
      <c r="A14294" s="128"/>
      <c r="B14294" s="128"/>
      <c r="C14294" s="128"/>
      <c r="D14294" s="128"/>
      <c r="E14294" s="128"/>
      <c r="F14294" s="128"/>
      <c r="G14294" s="128"/>
      <c r="H14294" s="128"/>
      <c r="I14294" s="128"/>
    </row>
    <row r="14295" spans="1:9" ht="13.5">
      <c r="A14295" s="128"/>
      <c r="B14295" s="128"/>
      <c r="C14295" s="128"/>
      <c r="D14295" s="128"/>
      <c r="E14295" s="128"/>
      <c r="F14295" s="128"/>
      <c r="G14295" s="128"/>
      <c r="H14295" s="128"/>
      <c r="I14295" s="128"/>
    </row>
    <row r="14296" spans="1:9" ht="13.5">
      <c r="A14296" s="128"/>
      <c r="B14296" s="128"/>
      <c r="C14296" s="128"/>
      <c r="D14296" s="128"/>
      <c r="E14296" s="128"/>
      <c r="F14296" s="128"/>
      <c r="G14296" s="128"/>
      <c r="H14296" s="128"/>
      <c r="I14296" s="128"/>
    </row>
    <row r="14297" spans="1:9" ht="13.5">
      <c r="A14297" s="128"/>
      <c r="B14297" s="128"/>
      <c r="C14297" s="128"/>
      <c r="D14297" s="128"/>
      <c r="E14297" s="128"/>
      <c r="F14297" s="128"/>
      <c r="G14297" s="128"/>
      <c r="H14297" s="128"/>
      <c r="I14297" s="128"/>
    </row>
    <row r="14298" spans="1:9" ht="13.5">
      <c r="A14298" s="128"/>
      <c r="B14298" s="128"/>
      <c r="C14298" s="128"/>
      <c r="D14298" s="128"/>
      <c r="E14298" s="128"/>
      <c r="F14298" s="128"/>
      <c r="G14298" s="128"/>
      <c r="H14298" s="128"/>
      <c r="I14298" s="128"/>
    </row>
    <row r="14299" spans="1:9" ht="13.5">
      <c r="A14299" s="128"/>
      <c r="B14299" s="128"/>
      <c r="C14299" s="128"/>
      <c r="D14299" s="128"/>
      <c r="E14299" s="128"/>
      <c r="F14299" s="128"/>
      <c r="G14299" s="128"/>
      <c r="H14299" s="128"/>
      <c r="I14299" s="128"/>
    </row>
    <row r="14300" spans="1:9" ht="13.5">
      <c r="A14300" s="128"/>
      <c r="B14300" s="128"/>
      <c r="C14300" s="128"/>
      <c r="D14300" s="128"/>
      <c r="E14300" s="128"/>
      <c r="F14300" s="128"/>
      <c r="G14300" s="128"/>
      <c r="H14300" s="128"/>
      <c r="I14300" s="128"/>
    </row>
    <row r="14301" spans="1:9" ht="13.5">
      <c r="A14301" s="128"/>
      <c r="B14301" s="128"/>
      <c r="C14301" s="128"/>
      <c r="D14301" s="128"/>
      <c r="E14301" s="128"/>
      <c r="F14301" s="128"/>
      <c r="G14301" s="128"/>
      <c r="H14301" s="128"/>
      <c r="I14301" s="128"/>
    </row>
    <row r="14302" spans="1:9" ht="13.5">
      <c r="A14302" s="128"/>
      <c r="B14302" s="128"/>
      <c r="C14302" s="128"/>
      <c r="D14302" s="128"/>
      <c r="E14302" s="128"/>
      <c r="F14302" s="128"/>
      <c r="G14302" s="128"/>
      <c r="H14302" s="128"/>
      <c r="I14302" s="128"/>
    </row>
    <row r="14303" spans="1:9" ht="13.5">
      <c r="A14303" s="128"/>
      <c r="B14303" s="128"/>
      <c r="C14303" s="128"/>
      <c r="D14303" s="128"/>
      <c r="E14303" s="128"/>
      <c r="F14303" s="128"/>
      <c r="G14303" s="128"/>
      <c r="H14303" s="128"/>
      <c r="I14303" s="128"/>
    </row>
    <row r="14304" spans="1:9" ht="13.5">
      <c r="A14304" s="128"/>
      <c r="B14304" s="128"/>
      <c r="C14304" s="128"/>
      <c r="D14304" s="128"/>
      <c r="E14304" s="128"/>
      <c r="F14304" s="128"/>
      <c r="G14304" s="128"/>
      <c r="H14304" s="128"/>
      <c r="I14304" s="128"/>
    </row>
    <row r="14305" spans="1:9" ht="13.5">
      <c r="A14305" s="128"/>
      <c r="B14305" s="128"/>
      <c r="C14305" s="128"/>
      <c r="D14305" s="128"/>
      <c r="E14305" s="128"/>
      <c r="F14305" s="128"/>
      <c r="G14305" s="128"/>
      <c r="H14305" s="128"/>
      <c r="I14305" s="128"/>
    </row>
    <row r="14306" spans="1:9" ht="13.5">
      <c r="A14306" s="128"/>
      <c r="B14306" s="128"/>
      <c r="C14306" s="128"/>
      <c r="D14306" s="128"/>
      <c r="E14306" s="128"/>
      <c r="F14306" s="128"/>
      <c r="G14306" s="128"/>
      <c r="H14306" s="128"/>
      <c r="I14306" s="128"/>
    </row>
    <row r="14307" spans="1:9" ht="13.5">
      <c r="A14307" s="128"/>
      <c r="B14307" s="128"/>
      <c r="C14307" s="128"/>
      <c r="D14307" s="128"/>
      <c r="E14307" s="128"/>
      <c r="F14307" s="128"/>
      <c r="G14307" s="128"/>
      <c r="H14307" s="128"/>
      <c r="I14307" s="128"/>
    </row>
    <row r="14308" spans="1:9" ht="13.5">
      <c r="A14308" s="128"/>
      <c r="B14308" s="128"/>
      <c r="C14308" s="128"/>
      <c r="D14308" s="128"/>
      <c r="E14308" s="128"/>
      <c r="F14308" s="128"/>
      <c r="G14308" s="128"/>
      <c r="H14308" s="128"/>
      <c r="I14308" s="128"/>
    </row>
    <row r="14309" spans="1:9" ht="13.5">
      <c r="A14309" s="128"/>
      <c r="B14309" s="128"/>
      <c r="C14309" s="128"/>
      <c r="D14309" s="128"/>
      <c r="E14309" s="128"/>
      <c r="F14309" s="128"/>
      <c r="G14309" s="128"/>
      <c r="H14309" s="128"/>
      <c r="I14309" s="128"/>
    </row>
    <row r="14310" spans="1:9" ht="13.5">
      <c r="A14310" s="128"/>
      <c r="B14310" s="128"/>
      <c r="C14310" s="128"/>
      <c r="D14310" s="128"/>
      <c r="E14310" s="128"/>
      <c r="F14310" s="128"/>
      <c r="G14310" s="128"/>
      <c r="H14310" s="128"/>
      <c r="I14310" s="128"/>
    </row>
    <row r="14311" spans="1:9" ht="13.5">
      <c r="A14311" s="128"/>
      <c r="B14311" s="128"/>
      <c r="C14311" s="128"/>
      <c r="D14311" s="128"/>
      <c r="E14311" s="128"/>
      <c r="F14311" s="128"/>
      <c r="G14311" s="128"/>
      <c r="H14311" s="128"/>
      <c r="I14311" s="128"/>
    </row>
    <row r="14312" spans="1:9" ht="13.5">
      <c r="A14312" s="128"/>
      <c r="B14312" s="128"/>
      <c r="C14312" s="128"/>
      <c r="D14312" s="128"/>
      <c r="E14312" s="128"/>
      <c r="F14312" s="128"/>
      <c r="G14312" s="128"/>
      <c r="H14312" s="128"/>
      <c r="I14312" s="128"/>
    </row>
    <row r="14313" spans="1:9" ht="13.5">
      <c r="A14313" s="128"/>
      <c r="B14313" s="128"/>
      <c r="C14313" s="128"/>
      <c r="D14313" s="128"/>
      <c r="E14313" s="128"/>
      <c r="F14313" s="128"/>
      <c r="G14313" s="128"/>
      <c r="H14313" s="128"/>
      <c r="I14313" s="128"/>
    </row>
    <row r="14314" spans="1:9" ht="13.5">
      <c r="A14314" s="128"/>
      <c r="B14314" s="128"/>
      <c r="C14314" s="128"/>
      <c r="D14314" s="128"/>
      <c r="E14314" s="128"/>
      <c r="F14314" s="128"/>
      <c r="G14314" s="128"/>
      <c r="H14314" s="128"/>
      <c r="I14314" s="128"/>
    </row>
    <row r="14315" spans="1:9" ht="13.5">
      <c r="A14315" s="128"/>
      <c r="B14315" s="128"/>
      <c r="C14315" s="128"/>
      <c r="D14315" s="128"/>
      <c r="E14315" s="128"/>
      <c r="F14315" s="128"/>
      <c r="G14315" s="128"/>
      <c r="H14315" s="128"/>
      <c r="I14315" s="128"/>
    </row>
    <row r="14316" spans="1:9" ht="13.5">
      <c r="A14316" s="128"/>
      <c r="B14316" s="128"/>
      <c r="C14316" s="128"/>
      <c r="D14316" s="128"/>
      <c r="E14316" s="128"/>
      <c r="F14316" s="128"/>
      <c r="G14316" s="128"/>
      <c r="H14316" s="128"/>
      <c r="I14316" s="128"/>
    </row>
    <row r="14317" spans="1:9" ht="13.5">
      <c r="A14317" s="128"/>
      <c r="B14317" s="128"/>
      <c r="C14317" s="128"/>
      <c r="D14317" s="128"/>
      <c r="E14317" s="128"/>
      <c r="F14317" s="128"/>
      <c r="G14317" s="128"/>
      <c r="H14317" s="128"/>
      <c r="I14317" s="128"/>
    </row>
    <row r="14318" spans="1:9" ht="13.5">
      <c r="A14318" s="128"/>
      <c r="B14318" s="128"/>
      <c r="C14318" s="128"/>
      <c r="D14318" s="128"/>
      <c r="E14318" s="128"/>
      <c r="F14318" s="128"/>
      <c r="G14318" s="128"/>
      <c r="H14318" s="128"/>
      <c r="I14318" s="128"/>
    </row>
    <row r="14319" spans="1:9" ht="13.5">
      <c r="A14319" s="128"/>
      <c r="B14319" s="128"/>
      <c r="C14319" s="128"/>
      <c r="D14319" s="128"/>
      <c r="E14319" s="128"/>
      <c r="F14319" s="128"/>
      <c r="G14319" s="128"/>
      <c r="H14319" s="128"/>
      <c r="I14319" s="128"/>
    </row>
    <row r="14320" spans="1:9" ht="13.5">
      <c r="A14320" s="128"/>
      <c r="B14320" s="128"/>
      <c r="C14320" s="128"/>
      <c r="D14320" s="128"/>
      <c r="E14320" s="128"/>
      <c r="F14320" s="128"/>
      <c r="G14320" s="128"/>
      <c r="H14320" s="128"/>
      <c r="I14320" s="128"/>
    </row>
    <row r="14321" spans="1:9" ht="13.5">
      <c r="A14321" s="128"/>
      <c r="B14321" s="128"/>
      <c r="C14321" s="128"/>
      <c r="D14321" s="128"/>
      <c r="E14321" s="128"/>
      <c r="F14321" s="128"/>
      <c r="G14321" s="128"/>
      <c r="H14321" s="128"/>
      <c r="I14321" s="128"/>
    </row>
    <row r="14322" spans="1:9" ht="13.5">
      <c r="A14322" s="128"/>
      <c r="B14322" s="128"/>
      <c r="C14322" s="128"/>
      <c r="D14322" s="128"/>
      <c r="E14322" s="128"/>
      <c r="F14322" s="128"/>
      <c r="G14322" s="128"/>
      <c r="H14322" s="128"/>
      <c r="I14322" s="128"/>
    </row>
    <row r="14323" spans="1:9" ht="13.5">
      <c r="A14323" s="128"/>
      <c r="B14323" s="128"/>
      <c r="C14323" s="128"/>
      <c r="D14323" s="128"/>
      <c r="E14323" s="128"/>
      <c r="F14323" s="128"/>
      <c r="G14323" s="128"/>
      <c r="H14323" s="128"/>
      <c r="I14323" s="128"/>
    </row>
    <row r="14324" spans="1:9" ht="13.5">
      <c r="A14324" s="128"/>
      <c r="B14324" s="128"/>
      <c r="C14324" s="128"/>
      <c r="D14324" s="128"/>
      <c r="E14324" s="128"/>
      <c r="F14324" s="128"/>
      <c r="G14324" s="128"/>
      <c r="H14324" s="128"/>
      <c r="I14324" s="128"/>
    </row>
    <row r="14325" spans="1:9" ht="13.5">
      <c r="A14325" s="128"/>
      <c r="B14325" s="128"/>
      <c r="C14325" s="128"/>
      <c r="D14325" s="128"/>
      <c r="E14325" s="128"/>
      <c r="F14325" s="128"/>
      <c r="G14325" s="128"/>
      <c r="H14325" s="128"/>
      <c r="I14325" s="128"/>
    </row>
    <row r="14326" spans="1:9" ht="13.5">
      <c r="A14326" s="128"/>
      <c r="B14326" s="128"/>
      <c r="C14326" s="128"/>
      <c r="D14326" s="128"/>
      <c r="E14326" s="128"/>
      <c r="F14326" s="128"/>
      <c r="G14326" s="128"/>
      <c r="H14326" s="128"/>
      <c r="I14326" s="128"/>
    </row>
    <row r="14327" spans="1:9" ht="13.5">
      <c r="A14327" s="128"/>
      <c r="B14327" s="128"/>
      <c r="C14327" s="128"/>
      <c r="D14327" s="128"/>
      <c r="E14327" s="128"/>
      <c r="F14327" s="128"/>
      <c r="G14327" s="128"/>
      <c r="H14327" s="128"/>
      <c r="I14327" s="128"/>
    </row>
    <row r="14328" spans="1:9" ht="13.5">
      <c r="A14328" s="128"/>
      <c r="B14328" s="128"/>
      <c r="C14328" s="128"/>
      <c r="D14328" s="128"/>
      <c r="E14328" s="128"/>
      <c r="F14328" s="128"/>
      <c r="G14328" s="128"/>
      <c r="H14328" s="128"/>
      <c r="I14328" s="128"/>
    </row>
    <row r="14329" spans="1:9" ht="13.5">
      <c r="A14329" s="128"/>
      <c r="B14329" s="128"/>
      <c r="C14329" s="128"/>
      <c r="D14329" s="128"/>
      <c r="E14329" s="128"/>
      <c r="F14329" s="128"/>
      <c r="G14329" s="128"/>
      <c r="H14329" s="128"/>
      <c r="I14329" s="128"/>
    </row>
    <row r="14330" spans="1:9" ht="13.5">
      <c r="A14330" s="128"/>
      <c r="B14330" s="128"/>
      <c r="C14330" s="128"/>
      <c r="D14330" s="128"/>
      <c r="E14330" s="128"/>
      <c r="F14330" s="128"/>
      <c r="G14330" s="128"/>
      <c r="H14330" s="128"/>
      <c r="I14330" s="128"/>
    </row>
    <row r="14331" spans="1:9" ht="13.5">
      <c r="A14331" s="128"/>
      <c r="B14331" s="128"/>
      <c r="C14331" s="128"/>
      <c r="D14331" s="128"/>
      <c r="E14331" s="128"/>
      <c r="F14331" s="128"/>
      <c r="G14331" s="128"/>
      <c r="H14331" s="128"/>
      <c r="I14331" s="128"/>
    </row>
    <row r="14332" spans="1:9" ht="13.5">
      <c r="A14332" s="128"/>
      <c r="B14332" s="128"/>
      <c r="C14332" s="128"/>
      <c r="D14332" s="128"/>
      <c r="E14332" s="128"/>
      <c r="F14332" s="128"/>
      <c r="G14332" s="128"/>
      <c r="H14332" s="128"/>
      <c r="I14332" s="128"/>
    </row>
    <row r="14333" spans="1:9" ht="13.5">
      <c r="A14333" s="128"/>
      <c r="B14333" s="128"/>
      <c r="C14333" s="128"/>
      <c r="D14333" s="128"/>
      <c r="E14333" s="128"/>
      <c r="F14333" s="128"/>
      <c r="G14333" s="128"/>
      <c r="H14333" s="128"/>
      <c r="I14333" s="128"/>
    </row>
    <row r="14334" spans="1:9" ht="13.5">
      <c r="A14334" s="128"/>
      <c r="B14334" s="128"/>
      <c r="C14334" s="128"/>
      <c r="D14334" s="128"/>
      <c r="E14334" s="128"/>
      <c r="F14334" s="128"/>
      <c r="G14334" s="128"/>
      <c r="H14334" s="128"/>
      <c r="I14334" s="128"/>
    </row>
    <row r="14335" spans="1:9" ht="13.5">
      <c r="A14335" s="128"/>
      <c r="B14335" s="128"/>
      <c r="C14335" s="128"/>
      <c r="D14335" s="128"/>
      <c r="E14335" s="128"/>
      <c r="F14335" s="128"/>
      <c r="G14335" s="128"/>
      <c r="H14335" s="128"/>
      <c r="I14335" s="128"/>
    </row>
    <row r="14336" spans="1:9" ht="13.5">
      <c r="A14336" s="128"/>
      <c r="B14336" s="128"/>
      <c r="C14336" s="128"/>
      <c r="D14336" s="128"/>
      <c r="E14336" s="128"/>
      <c r="F14336" s="128"/>
      <c r="G14336" s="128"/>
      <c r="H14336" s="128"/>
      <c r="I14336" s="128"/>
    </row>
    <row r="14337" spans="1:9" ht="13.5">
      <c r="A14337" s="128"/>
      <c r="B14337" s="128"/>
      <c r="C14337" s="128"/>
      <c r="D14337" s="128"/>
      <c r="E14337" s="128"/>
      <c r="F14337" s="128"/>
      <c r="G14337" s="128"/>
      <c r="H14337" s="128"/>
      <c r="I14337" s="128"/>
    </row>
    <row r="14338" spans="1:9" ht="13.5">
      <c r="A14338" s="128"/>
      <c r="B14338" s="128"/>
      <c r="C14338" s="128"/>
      <c r="D14338" s="128"/>
      <c r="E14338" s="128"/>
      <c r="F14338" s="128"/>
      <c r="G14338" s="128"/>
      <c r="H14338" s="128"/>
      <c r="I14338" s="128"/>
    </row>
    <row r="14339" spans="1:9" ht="13.5">
      <c r="A14339" s="128"/>
      <c r="B14339" s="128"/>
      <c r="C14339" s="128"/>
      <c r="D14339" s="128"/>
      <c r="E14339" s="128"/>
      <c r="F14339" s="128"/>
      <c r="G14339" s="128"/>
      <c r="H14339" s="128"/>
      <c r="I14339" s="128"/>
    </row>
    <row r="14340" spans="1:9" ht="13.5">
      <c r="A14340" s="128"/>
      <c r="B14340" s="128"/>
      <c r="C14340" s="128"/>
      <c r="D14340" s="128"/>
      <c r="E14340" s="128"/>
      <c r="F14340" s="128"/>
      <c r="G14340" s="128"/>
      <c r="H14340" s="128"/>
      <c r="I14340" s="128"/>
    </row>
    <row r="14341" spans="1:9" ht="13.5">
      <c r="A14341" s="128"/>
      <c r="B14341" s="128"/>
      <c r="C14341" s="128"/>
      <c r="D14341" s="128"/>
      <c r="E14341" s="128"/>
      <c r="F14341" s="128"/>
      <c r="G14341" s="128"/>
      <c r="H14341" s="128"/>
      <c r="I14341" s="128"/>
    </row>
    <row r="14342" spans="1:9" ht="13.5">
      <c r="A14342" s="128"/>
      <c r="B14342" s="128"/>
      <c r="C14342" s="128"/>
      <c r="D14342" s="128"/>
      <c r="E14342" s="128"/>
      <c r="F14342" s="128"/>
      <c r="G14342" s="128"/>
      <c r="H14342" s="128"/>
      <c r="I14342" s="128"/>
    </row>
    <row r="14343" spans="1:9" ht="13.5">
      <c r="A14343" s="128"/>
      <c r="B14343" s="128"/>
      <c r="C14343" s="128"/>
      <c r="D14343" s="128"/>
      <c r="E14343" s="128"/>
      <c r="F14343" s="128"/>
      <c r="G14343" s="128"/>
      <c r="H14343" s="128"/>
      <c r="I14343" s="128"/>
    </row>
    <row r="14344" spans="1:9" ht="13.5">
      <c r="A14344" s="128"/>
      <c r="B14344" s="128"/>
      <c r="C14344" s="128"/>
      <c r="D14344" s="128"/>
      <c r="E14344" s="128"/>
      <c r="F14344" s="128"/>
      <c r="G14344" s="128"/>
      <c r="H14344" s="128"/>
      <c r="I14344" s="128"/>
    </row>
    <row r="14345" spans="1:9" ht="13.5">
      <c r="A14345" s="128"/>
      <c r="B14345" s="128"/>
      <c r="C14345" s="128"/>
      <c r="D14345" s="128"/>
      <c r="E14345" s="128"/>
      <c r="F14345" s="128"/>
      <c r="G14345" s="128"/>
      <c r="H14345" s="128"/>
      <c r="I14345" s="128"/>
    </row>
    <row r="14346" spans="1:9" ht="13.5">
      <c r="A14346" s="128"/>
      <c r="B14346" s="128"/>
      <c r="C14346" s="128"/>
      <c r="D14346" s="128"/>
      <c r="E14346" s="128"/>
      <c r="F14346" s="128"/>
      <c r="G14346" s="128"/>
      <c r="H14346" s="128"/>
      <c r="I14346" s="128"/>
    </row>
    <row r="14347" spans="1:9" ht="13.5">
      <c r="A14347" s="128"/>
      <c r="B14347" s="128"/>
      <c r="C14347" s="128"/>
      <c r="D14347" s="128"/>
      <c r="E14347" s="128"/>
      <c r="F14347" s="128"/>
      <c r="G14347" s="128"/>
      <c r="H14347" s="128"/>
      <c r="I14347" s="128"/>
    </row>
    <row r="14348" spans="1:9" ht="13.5">
      <c r="A14348" s="128"/>
      <c r="B14348" s="128"/>
      <c r="C14348" s="128"/>
      <c r="D14348" s="128"/>
      <c r="E14348" s="128"/>
      <c r="F14348" s="128"/>
      <c r="G14348" s="128"/>
      <c r="H14348" s="128"/>
      <c r="I14348" s="128"/>
    </row>
    <row r="14349" spans="1:9" ht="13.5">
      <c r="A14349" s="128"/>
      <c r="B14349" s="128"/>
      <c r="C14349" s="128"/>
      <c r="D14349" s="128"/>
      <c r="E14349" s="128"/>
      <c r="F14349" s="128"/>
      <c r="G14349" s="128"/>
      <c r="H14349" s="128"/>
      <c r="I14349" s="128"/>
    </row>
    <row r="14350" spans="1:9" ht="13.5">
      <c r="A14350" s="128"/>
      <c r="B14350" s="128"/>
      <c r="C14350" s="128"/>
      <c r="D14350" s="128"/>
      <c r="E14350" s="128"/>
      <c r="F14350" s="128"/>
      <c r="G14350" s="128"/>
      <c r="H14350" s="128"/>
      <c r="I14350" s="128"/>
    </row>
    <row r="14351" spans="1:9" ht="13.5">
      <c r="A14351" s="128"/>
      <c r="B14351" s="128"/>
      <c r="C14351" s="128"/>
      <c r="D14351" s="128"/>
      <c r="E14351" s="128"/>
      <c r="F14351" s="128"/>
      <c r="G14351" s="128"/>
      <c r="H14351" s="128"/>
      <c r="I14351" s="128"/>
    </row>
    <row r="14352" spans="1:9" ht="13.5">
      <c r="A14352" s="128"/>
      <c r="B14352" s="128"/>
      <c r="C14352" s="128"/>
      <c r="D14352" s="128"/>
      <c r="E14352" s="128"/>
      <c r="F14352" s="128"/>
      <c r="G14352" s="128"/>
      <c r="H14352" s="128"/>
      <c r="I14352" s="128"/>
    </row>
    <row r="14353" spans="1:9" ht="13.5">
      <c r="A14353" s="128"/>
      <c r="B14353" s="128"/>
      <c r="C14353" s="128"/>
      <c r="D14353" s="128"/>
      <c r="E14353" s="128"/>
      <c r="F14353" s="128"/>
      <c r="G14353" s="128"/>
      <c r="H14353" s="128"/>
      <c r="I14353" s="128"/>
    </row>
    <row r="14354" spans="1:9" ht="13.5">
      <c r="A14354" s="128"/>
      <c r="B14354" s="128"/>
      <c r="C14354" s="128"/>
      <c r="D14354" s="128"/>
      <c r="E14354" s="128"/>
      <c r="F14354" s="128"/>
      <c r="G14354" s="128"/>
      <c r="H14354" s="128"/>
      <c r="I14354" s="128"/>
    </row>
    <row r="14355" spans="1:9" ht="13.5">
      <c r="A14355" s="128"/>
      <c r="B14355" s="128"/>
      <c r="C14355" s="128"/>
      <c r="D14355" s="128"/>
      <c r="E14355" s="128"/>
      <c r="F14355" s="128"/>
      <c r="G14355" s="128"/>
      <c r="H14355" s="128"/>
      <c r="I14355" s="128"/>
    </row>
    <row r="14356" spans="1:9" ht="13.5">
      <c r="A14356" s="128"/>
      <c r="B14356" s="128"/>
      <c r="C14356" s="128"/>
      <c r="D14356" s="128"/>
      <c r="E14356" s="128"/>
      <c r="F14356" s="128"/>
      <c r="G14356" s="128"/>
      <c r="H14356" s="128"/>
      <c r="I14356" s="128"/>
    </row>
    <row r="14357" spans="1:9" ht="13.5">
      <c r="A14357" s="128"/>
      <c r="B14357" s="128"/>
      <c r="C14357" s="128"/>
      <c r="D14357" s="128"/>
      <c r="E14357" s="128"/>
      <c r="F14357" s="128"/>
      <c r="G14357" s="128"/>
      <c r="H14357" s="128"/>
      <c r="I14357" s="128"/>
    </row>
    <row r="14358" spans="1:9" ht="13.5">
      <c r="A14358" s="128"/>
      <c r="B14358" s="128"/>
      <c r="C14358" s="128"/>
      <c r="D14358" s="128"/>
      <c r="E14358" s="128"/>
      <c r="F14358" s="128"/>
      <c r="G14358" s="128"/>
      <c r="H14358" s="128"/>
      <c r="I14358" s="128"/>
    </row>
    <row r="14359" spans="1:9" ht="13.5">
      <c r="A14359" s="128"/>
      <c r="B14359" s="128"/>
      <c r="C14359" s="128"/>
      <c r="D14359" s="128"/>
      <c r="E14359" s="128"/>
      <c r="F14359" s="128"/>
      <c r="G14359" s="128"/>
      <c r="H14359" s="128"/>
      <c r="I14359" s="128"/>
    </row>
    <row r="14360" spans="1:9" ht="13.5">
      <c r="A14360" s="128"/>
      <c r="B14360" s="128"/>
      <c r="C14360" s="128"/>
      <c r="D14360" s="128"/>
      <c r="E14360" s="128"/>
      <c r="F14360" s="128"/>
      <c r="G14360" s="128"/>
      <c r="H14360" s="128"/>
      <c r="I14360" s="128"/>
    </row>
    <row r="14361" spans="1:9" ht="13.5">
      <c r="A14361" s="128"/>
      <c r="B14361" s="128"/>
      <c r="C14361" s="128"/>
      <c r="D14361" s="128"/>
      <c r="E14361" s="128"/>
      <c r="F14361" s="128"/>
      <c r="G14361" s="128"/>
      <c r="H14361" s="128"/>
      <c r="I14361" s="128"/>
    </row>
    <row r="14362" spans="1:9" ht="13.5">
      <c r="A14362" s="128"/>
      <c r="B14362" s="128"/>
      <c r="C14362" s="128"/>
      <c r="D14362" s="128"/>
      <c r="E14362" s="128"/>
      <c r="F14362" s="128"/>
      <c r="G14362" s="128"/>
      <c r="H14362" s="128"/>
      <c r="I14362" s="128"/>
    </row>
    <row r="14363" spans="1:9" ht="13.5">
      <c r="A14363" s="128"/>
      <c r="B14363" s="128"/>
      <c r="C14363" s="128"/>
      <c r="D14363" s="128"/>
      <c r="E14363" s="128"/>
      <c r="F14363" s="128"/>
      <c r="G14363" s="128"/>
      <c r="H14363" s="128"/>
      <c r="I14363" s="128"/>
    </row>
    <row r="14364" spans="1:9" ht="13.5">
      <c r="A14364" s="128"/>
      <c r="B14364" s="128"/>
      <c r="C14364" s="128"/>
      <c r="D14364" s="128"/>
      <c r="E14364" s="128"/>
      <c r="F14364" s="128"/>
      <c r="G14364" s="128"/>
      <c r="H14364" s="128"/>
      <c r="I14364" s="128"/>
    </row>
    <row r="14365" spans="1:9" ht="13.5">
      <c r="A14365" s="128"/>
      <c r="B14365" s="128"/>
      <c r="C14365" s="128"/>
      <c r="D14365" s="128"/>
      <c r="E14365" s="128"/>
      <c r="F14365" s="128"/>
      <c r="G14365" s="128"/>
      <c r="H14365" s="128"/>
      <c r="I14365" s="128"/>
    </row>
    <row r="14366" spans="1:9" ht="13.5">
      <c r="A14366" s="128"/>
      <c r="B14366" s="128"/>
      <c r="C14366" s="128"/>
      <c r="D14366" s="128"/>
      <c r="E14366" s="128"/>
      <c r="F14366" s="128"/>
      <c r="G14366" s="128"/>
      <c r="H14366" s="128"/>
      <c r="I14366" s="128"/>
    </row>
    <row r="14367" spans="1:9" ht="13.5">
      <c r="A14367" s="128"/>
      <c r="B14367" s="128"/>
      <c r="C14367" s="128"/>
      <c r="D14367" s="128"/>
      <c r="E14367" s="128"/>
      <c r="F14367" s="128"/>
      <c r="G14367" s="128"/>
      <c r="H14367" s="128"/>
      <c r="I14367" s="128"/>
    </row>
    <row r="14368" spans="1:9" ht="13.5">
      <c r="A14368" s="128"/>
      <c r="B14368" s="128"/>
      <c r="C14368" s="128"/>
      <c r="D14368" s="128"/>
      <c r="E14368" s="128"/>
      <c r="F14368" s="128"/>
      <c r="G14368" s="128"/>
      <c r="H14368" s="128"/>
      <c r="I14368" s="128"/>
    </row>
    <row r="14369" spans="1:9" ht="13.5">
      <c r="A14369" s="128"/>
      <c r="B14369" s="128"/>
      <c r="C14369" s="128"/>
      <c r="D14369" s="128"/>
      <c r="E14369" s="128"/>
      <c r="F14369" s="128"/>
      <c r="G14369" s="128"/>
      <c r="H14369" s="128"/>
      <c r="I14369" s="128"/>
    </row>
    <row r="14370" spans="1:9" ht="13.5">
      <c r="A14370" s="128"/>
      <c r="B14370" s="128"/>
      <c r="C14370" s="128"/>
      <c r="D14370" s="128"/>
      <c r="E14370" s="128"/>
      <c r="F14370" s="128"/>
      <c r="G14370" s="128"/>
      <c r="H14370" s="128"/>
      <c r="I14370" s="128"/>
    </row>
    <row r="14371" spans="1:9" ht="13.5">
      <c r="A14371" s="128"/>
      <c r="B14371" s="128"/>
      <c r="C14371" s="128"/>
      <c r="D14371" s="128"/>
      <c r="E14371" s="128"/>
      <c r="F14371" s="128"/>
      <c r="G14371" s="128"/>
      <c r="H14371" s="128"/>
      <c r="I14371" s="128"/>
    </row>
    <row r="14372" spans="1:9" ht="13.5">
      <c r="A14372" s="128"/>
      <c r="B14372" s="128"/>
      <c r="C14372" s="128"/>
      <c r="D14372" s="128"/>
      <c r="E14372" s="128"/>
      <c r="F14372" s="128"/>
      <c r="G14372" s="128"/>
      <c r="H14372" s="128"/>
      <c r="I14372" s="128"/>
    </row>
    <row r="14373" spans="1:9" ht="13.5">
      <c r="A14373" s="128"/>
      <c r="B14373" s="128"/>
      <c r="C14373" s="128"/>
      <c r="D14373" s="128"/>
      <c r="E14373" s="128"/>
      <c r="F14373" s="128"/>
      <c r="G14373" s="128"/>
      <c r="H14373" s="128"/>
      <c r="I14373" s="128"/>
    </row>
    <row r="14374" spans="1:9" ht="13.5">
      <c r="A14374" s="128"/>
      <c r="B14374" s="128"/>
      <c r="C14374" s="128"/>
      <c r="D14374" s="128"/>
      <c r="E14374" s="128"/>
      <c r="F14374" s="128"/>
      <c r="G14374" s="128"/>
      <c r="H14374" s="128"/>
      <c r="I14374" s="128"/>
    </row>
    <row r="14375" spans="1:9" ht="13.5">
      <c r="A14375" s="128"/>
      <c r="B14375" s="128"/>
      <c r="C14375" s="128"/>
      <c r="D14375" s="128"/>
      <c r="E14375" s="128"/>
      <c r="F14375" s="128"/>
      <c r="G14375" s="128"/>
      <c r="H14375" s="128"/>
      <c r="I14375" s="128"/>
    </row>
    <row r="14376" spans="1:9" ht="13.5">
      <c r="A14376" s="128"/>
      <c r="B14376" s="128"/>
      <c r="C14376" s="128"/>
      <c r="D14376" s="128"/>
      <c r="E14376" s="128"/>
      <c r="F14376" s="128"/>
      <c r="G14376" s="128"/>
      <c r="H14376" s="128"/>
      <c r="I14376" s="128"/>
    </row>
    <row r="14377" spans="1:9" ht="13.5">
      <c r="A14377" s="128"/>
      <c r="B14377" s="128"/>
      <c r="C14377" s="128"/>
      <c r="D14377" s="128"/>
      <c r="E14377" s="128"/>
      <c r="F14377" s="128"/>
      <c r="G14377" s="128"/>
      <c r="H14377" s="128"/>
      <c r="I14377" s="128"/>
    </row>
    <row r="14378" spans="1:9" ht="13.5">
      <c r="A14378" s="128"/>
      <c r="B14378" s="128"/>
      <c r="C14378" s="128"/>
      <c r="D14378" s="128"/>
      <c r="E14378" s="128"/>
      <c r="F14378" s="128"/>
      <c r="G14378" s="128"/>
      <c r="H14378" s="128"/>
      <c r="I14378" s="128"/>
    </row>
    <row r="14379" spans="1:9" ht="13.5">
      <c r="A14379" s="128"/>
      <c r="B14379" s="128"/>
      <c r="C14379" s="128"/>
      <c r="D14379" s="128"/>
      <c r="E14379" s="128"/>
      <c r="F14379" s="128"/>
      <c r="G14379" s="128"/>
      <c r="H14379" s="128"/>
      <c r="I14379" s="128"/>
    </row>
    <row r="14380" spans="1:9" ht="13.5">
      <c r="A14380" s="128"/>
      <c r="B14380" s="128"/>
      <c r="C14380" s="128"/>
      <c r="D14380" s="128"/>
      <c r="E14380" s="128"/>
      <c r="F14380" s="128"/>
      <c r="G14380" s="128"/>
      <c r="H14380" s="128"/>
      <c r="I14380" s="128"/>
    </row>
    <row r="14381" spans="1:9" ht="13.5">
      <c r="A14381" s="128"/>
      <c r="B14381" s="128"/>
      <c r="C14381" s="128"/>
      <c r="D14381" s="128"/>
      <c r="E14381" s="128"/>
      <c r="F14381" s="128"/>
      <c r="G14381" s="128"/>
      <c r="H14381" s="128"/>
      <c r="I14381" s="128"/>
    </row>
    <row r="14382" spans="1:9" ht="13.5">
      <c r="A14382" s="128"/>
      <c r="B14382" s="128"/>
      <c r="C14382" s="128"/>
      <c r="D14382" s="128"/>
      <c r="E14382" s="128"/>
      <c r="F14382" s="128"/>
      <c r="G14382" s="128"/>
      <c r="H14382" s="128"/>
      <c r="I14382" s="128"/>
    </row>
    <row r="14383" spans="1:9" ht="13.5">
      <c r="A14383" s="128"/>
      <c r="B14383" s="128"/>
      <c r="C14383" s="128"/>
      <c r="D14383" s="128"/>
      <c r="E14383" s="128"/>
      <c r="F14383" s="128"/>
      <c r="G14383" s="128"/>
      <c r="H14383" s="128"/>
      <c r="I14383" s="128"/>
    </row>
    <row r="14384" spans="1:9" ht="13.5">
      <c r="A14384" s="128"/>
      <c r="B14384" s="128"/>
      <c r="C14384" s="128"/>
      <c r="D14384" s="128"/>
      <c r="E14384" s="128"/>
      <c r="F14384" s="128"/>
      <c r="G14384" s="128"/>
      <c r="H14384" s="128"/>
      <c r="I14384" s="128"/>
    </row>
    <row r="14385" spans="1:9" ht="13.5">
      <c r="A14385" s="128"/>
      <c r="B14385" s="128"/>
      <c r="C14385" s="128"/>
      <c r="D14385" s="128"/>
      <c r="E14385" s="128"/>
      <c r="F14385" s="128"/>
      <c r="G14385" s="128"/>
      <c r="H14385" s="128"/>
      <c r="I14385" s="128"/>
    </row>
    <row r="14386" spans="1:9" ht="13.5">
      <c r="A14386" s="128"/>
      <c r="B14386" s="128"/>
      <c r="C14386" s="128"/>
      <c r="D14386" s="128"/>
      <c r="E14386" s="128"/>
      <c r="F14386" s="128"/>
      <c r="G14386" s="128"/>
      <c r="H14386" s="128"/>
      <c r="I14386" s="128"/>
    </row>
    <row r="14387" spans="1:9" ht="13.5">
      <c r="A14387" s="128"/>
      <c r="B14387" s="128"/>
      <c r="C14387" s="128"/>
      <c r="D14387" s="128"/>
      <c r="E14387" s="128"/>
      <c r="F14387" s="128"/>
      <c r="G14387" s="128"/>
      <c r="H14387" s="128"/>
      <c r="I14387" s="128"/>
    </row>
    <row r="14388" spans="1:9" ht="13.5">
      <c r="A14388" s="128"/>
      <c r="B14388" s="128"/>
      <c r="C14388" s="128"/>
      <c r="D14388" s="128"/>
      <c r="E14388" s="128"/>
      <c r="F14388" s="128"/>
      <c r="G14388" s="128"/>
      <c r="H14388" s="128"/>
      <c r="I14388" s="128"/>
    </row>
    <row r="14389" spans="1:9" ht="13.5">
      <c r="A14389" s="128"/>
      <c r="B14389" s="128"/>
      <c r="C14389" s="128"/>
      <c r="D14389" s="128"/>
      <c r="E14389" s="128"/>
      <c r="F14389" s="128"/>
      <c r="G14389" s="128"/>
      <c r="H14389" s="128"/>
      <c r="I14389" s="128"/>
    </row>
    <row r="14390" spans="1:9" ht="13.5">
      <c r="A14390" s="128"/>
      <c r="B14390" s="128"/>
      <c r="C14390" s="128"/>
      <c r="D14390" s="128"/>
      <c r="E14390" s="128"/>
      <c r="F14390" s="128"/>
      <c r="G14390" s="128"/>
      <c r="H14390" s="128"/>
      <c r="I14390" s="128"/>
    </row>
    <row r="14391" spans="1:9" ht="13.5">
      <c r="A14391" s="128"/>
      <c r="B14391" s="128"/>
      <c r="C14391" s="128"/>
      <c r="D14391" s="128"/>
      <c r="E14391" s="128"/>
      <c r="F14391" s="128"/>
      <c r="G14391" s="128"/>
      <c r="H14391" s="128"/>
      <c r="I14391" s="128"/>
    </row>
    <row r="14392" spans="1:9" ht="13.5">
      <c r="A14392" s="128"/>
      <c r="B14392" s="128"/>
      <c r="C14392" s="128"/>
      <c r="D14392" s="128"/>
      <c r="E14392" s="128"/>
      <c r="F14392" s="128"/>
      <c r="G14392" s="128"/>
      <c r="H14392" s="128"/>
      <c r="I14392" s="128"/>
    </row>
    <row r="14393" spans="1:9" ht="13.5">
      <c r="A14393" s="128"/>
      <c r="B14393" s="128"/>
      <c r="C14393" s="128"/>
      <c r="D14393" s="128"/>
      <c r="E14393" s="128"/>
      <c r="F14393" s="128"/>
      <c r="G14393" s="128"/>
      <c r="H14393" s="128"/>
      <c r="I14393" s="128"/>
    </row>
    <row r="14394" spans="1:9" ht="13.5">
      <c r="A14394" s="128"/>
      <c r="B14394" s="128"/>
      <c r="C14394" s="128"/>
      <c r="D14394" s="128"/>
      <c r="E14394" s="128"/>
      <c r="F14394" s="128"/>
      <c r="G14394" s="128"/>
      <c r="H14394" s="128"/>
      <c r="I14394" s="128"/>
    </row>
    <row r="14395" spans="1:9" ht="13.5">
      <c r="A14395" s="128"/>
      <c r="B14395" s="128"/>
      <c r="C14395" s="128"/>
      <c r="D14395" s="128"/>
      <c r="E14395" s="128"/>
      <c r="F14395" s="128"/>
      <c r="G14395" s="128"/>
      <c r="H14395" s="128"/>
      <c r="I14395" s="128"/>
    </row>
    <row r="14396" spans="1:9" ht="13.5">
      <c r="A14396" s="128"/>
      <c r="B14396" s="128"/>
      <c r="C14396" s="128"/>
      <c r="D14396" s="128"/>
      <c r="E14396" s="128"/>
      <c r="F14396" s="128"/>
      <c r="G14396" s="128"/>
      <c r="H14396" s="128"/>
      <c r="I14396" s="128"/>
    </row>
    <row r="14397" spans="1:9" ht="13.5">
      <c r="A14397" s="128"/>
      <c r="B14397" s="128"/>
      <c r="C14397" s="128"/>
      <c r="D14397" s="128"/>
      <c r="E14397" s="128"/>
      <c r="F14397" s="128"/>
      <c r="G14397" s="128"/>
      <c r="H14397" s="128"/>
      <c r="I14397" s="128"/>
    </row>
    <row r="14398" spans="1:9" ht="13.5">
      <c r="A14398" s="128"/>
      <c r="B14398" s="128"/>
      <c r="C14398" s="128"/>
      <c r="D14398" s="128"/>
      <c r="E14398" s="128"/>
      <c r="F14398" s="128"/>
      <c r="G14398" s="128"/>
      <c r="H14398" s="128"/>
      <c r="I14398" s="128"/>
    </row>
    <row r="14399" spans="1:9" ht="13.5">
      <c r="A14399" s="128"/>
      <c r="B14399" s="128"/>
      <c r="C14399" s="128"/>
      <c r="D14399" s="128"/>
      <c r="E14399" s="128"/>
      <c r="F14399" s="128"/>
      <c r="G14399" s="128"/>
      <c r="H14399" s="128"/>
      <c r="I14399" s="128"/>
    </row>
    <row r="14400" spans="1:9" ht="13.5">
      <c r="A14400" s="128"/>
      <c r="B14400" s="128"/>
      <c r="C14400" s="128"/>
      <c r="D14400" s="128"/>
      <c r="E14400" s="128"/>
      <c r="F14400" s="128"/>
      <c r="G14400" s="128"/>
      <c r="H14400" s="128"/>
      <c r="I14400" s="128"/>
    </row>
    <row r="14401" spans="1:9" ht="13.5">
      <c r="A14401" s="128"/>
      <c r="B14401" s="128"/>
      <c r="C14401" s="128"/>
      <c r="D14401" s="128"/>
      <c r="E14401" s="128"/>
      <c r="F14401" s="128"/>
      <c r="G14401" s="128"/>
      <c r="H14401" s="128"/>
      <c r="I14401" s="128"/>
    </row>
    <row r="14402" spans="1:9" ht="13.5">
      <c r="A14402" s="128"/>
      <c r="B14402" s="128"/>
      <c r="C14402" s="128"/>
      <c r="D14402" s="128"/>
      <c r="E14402" s="128"/>
      <c r="F14402" s="128"/>
      <c r="G14402" s="128"/>
      <c r="H14402" s="128"/>
      <c r="I14402" s="128"/>
    </row>
    <row r="14403" spans="1:9" ht="13.5">
      <c r="A14403" s="128"/>
      <c r="B14403" s="128"/>
      <c r="C14403" s="128"/>
      <c r="D14403" s="128"/>
      <c r="E14403" s="128"/>
      <c r="F14403" s="128"/>
      <c r="G14403" s="128"/>
      <c r="H14403" s="128"/>
      <c r="I14403" s="128"/>
    </row>
    <row r="14404" spans="1:9" ht="13.5">
      <c r="A14404" s="128"/>
      <c r="B14404" s="128"/>
      <c r="C14404" s="128"/>
      <c r="D14404" s="128"/>
      <c r="E14404" s="128"/>
      <c r="F14404" s="128"/>
      <c r="G14404" s="128"/>
      <c r="H14404" s="128"/>
      <c r="I14404" s="128"/>
    </row>
    <row r="14405" spans="1:9" ht="13.5">
      <c r="A14405" s="128"/>
      <c r="B14405" s="128"/>
      <c r="C14405" s="128"/>
      <c r="D14405" s="128"/>
      <c r="E14405" s="128"/>
      <c r="F14405" s="128"/>
      <c r="G14405" s="128"/>
      <c r="H14405" s="128"/>
      <c r="I14405" s="128"/>
    </row>
    <row r="14406" spans="1:9" ht="13.5">
      <c r="A14406" s="128"/>
      <c r="B14406" s="128"/>
      <c r="C14406" s="128"/>
      <c r="D14406" s="128"/>
      <c r="E14406" s="128"/>
      <c r="F14406" s="128"/>
      <c r="G14406" s="128"/>
      <c r="H14406" s="128"/>
      <c r="I14406" s="128"/>
    </row>
    <row r="14407" spans="1:9" ht="13.5">
      <c r="A14407" s="128"/>
      <c r="B14407" s="128"/>
      <c r="C14407" s="128"/>
      <c r="D14407" s="128"/>
      <c r="E14407" s="128"/>
      <c r="F14407" s="128"/>
      <c r="G14407" s="128"/>
      <c r="H14407" s="128"/>
      <c r="I14407" s="128"/>
    </row>
    <row r="14408" spans="1:9" ht="13.5">
      <c r="A14408" s="128"/>
      <c r="B14408" s="128"/>
      <c r="C14408" s="128"/>
      <c r="D14408" s="128"/>
      <c r="E14408" s="128"/>
      <c r="F14408" s="128"/>
      <c r="G14408" s="128"/>
      <c r="H14408" s="128"/>
      <c r="I14408" s="128"/>
    </row>
    <row r="14409" spans="1:9" ht="13.5">
      <c r="A14409" s="128"/>
      <c r="B14409" s="128"/>
      <c r="C14409" s="128"/>
      <c r="D14409" s="128"/>
      <c r="E14409" s="128"/>
      <c r="F14409" s="128"/>
      <c r="G14409" s="128"/>
      <c r="H14409" s="128"/>
      <c r="I14409" s="128"/>
    </row>
    <row r="14410" spans="1:9" ht="13.5">
      <c r="A14410" s="128"/>
      <c r="B14410" s="128"/>
      <c r="C14410" s="128"/>
      <c r="D14410" s="128"/>
      <c r="E14410" s="128"/>
      <c r="F14410" s="128"/>
      <c r="G14410" s="128"/>
      <c r="H14410" s="128"/>
      <c r="I14410" s="128"/>
    </row>
    <row r="14411" spans="1:9" ht="13.5">
      <c r="A14411" s="128"/>
      <c r="B14411" s="128"/>
      <c r="C14411" s="128"/>
      <c r="D14411" s="128"/>
      <c r="E14411" s="128"/>
      <c r="F14411" s="128"/>
      <c r="G14411" s="128"/>
      <c r="H14411" s="128"/>
      <c r="I14411" s="128"/>
    </row>
    <row r="14412" spans="1:9" ht="13.5">
      <c r="A14412" s="128"/>
      <c r="B14412" s="128"/>
      <c r="C14412" s="128"/>
      <c r="D14412" s="128"/>
      <c r="E14412" s="128"/>
      <c r="F14412" s="128"/>
      <c r="G14412" s="128"/>
      <c r="H14412" s="128"/>
      <c r="I14412" s="128"/>
    </row>
    <row r="14413" spans="1:9" ht="13.5">
      <c r="A14413" s="128"/>
      <c r="B14413" s="128"/>
      <c r="C14413" s="128"/>
      <c r="D14413" s="128"/>
      <c r="E14413" s="128"/>
      <c r="F14413" s="128"/>
      <c r="G14413" s="128"/>
      <c r="H14413" s="128"/>
      <c r="I14413" s="128"/>
    </row>
    <row r="14414" spans="1:9" ht="13.5">
      <c r="A14414" s="128"/>
      <c r="B14414" s="128"/>
      <c r="C14414" s="128"/>
      <c r="D14414" s="128"/>
      <c r="E14414" s="128"/>
      <c r="F14414" s="128"/>
      <c r="G14414" s="128"/>
      <c r="H14414" s="128"/>
      <c r="I14414" s="128"/>
    </row>
    <row r="14415" spans="1:9" ht="13.5">
      <c r="A14415" s="128"/>
      <c r="B14415" s="128"/>
      <c r="C14415" s="128"/>
      <c r="D14415" s="128"/>
      <c r="E14415" s="128"/>
      <c r="F14415" s="128"/>
      <c r="G14415" s="128"/>
      <c r="H14415" s="128"/>
      <c r="I14415" s="128"/>
    </row>
    <row r="14416" spans="1:9" ht="13.5">
      <c r="A14416" s="128"/>
      <c r="B14416" s="128"/>
      <c r="C14416" s="128"/>
      <c r="D14416" s="128"/>
      <c r="E14416" s="128"/>
      <c r="F14416" s="128"/>
      <c r="G14416" s="128"/>
      <c r="H14416" s="128"/>
      <c r="I14416" s="128"/>
    </row>
    <row r="14417" spans="1:9" ht="13.5">
      <c r="A14417" s="128"/>
      <c r="B14417" s="128"/>
      <c r="C14417" s="128"/>
      <c r="D14417" s="128"/>
      <c r="E14417" s="128"/>
      <c r="F14417" s="128"/>
      <c r="G14417" s="128"/>
      <c r="H14417" s="128"/>
      <c r="I14417" s="128"/>
    </row>
    <row r="14418" spans="1:9" ht="13.5">
      <c r="A14418" s="128"/>
      <c r="B14418" s="128"/>
      <c r="C14418" s="128"/>
      <c r="D14418" s="128"/>
      <c r="E14418" s="128"/>
      <c r="F14418" s="128"/>
      <c r="G14418" s="128"/>
      <c r="H14418" s="128"/>
      <c r="I14418" s="128"/>
    </row>
    <row r="14419" spans="1:9" ht="13.5">
      <c r="A14419" s="128"/>
      <c r="B14419" s="128"/>
      <c r="C14419" s="128"/>
      <c r="D14419" s="128"/>
      <c r="E14419" s="128"/>
      <c r="F14419" s="128"/>
      <c r="G14419" s="128"/>
      <c r="H14419" s="128"/>
      <c r="I14419" s="128"/>
    </row>
    <row r="14420" spans="1:9" ht="13.5">
      <c r="A14420" s="128"/>
      <c r="B14420" s="128"/>
      <c r="C14420" s="128"/>
      <c r="D14420" s="128"/>
      <c r="E14420" s="128"/>
      <c r="F14420" s="128"/>
      <c r="G14420" s="128"/>
      <c r="H14420" s="128"/>
      <c r="I14420" s="128"/>
    </row>
    <row r="14421" spans="1:9" ht="13.5">
      <c r="A14421" s="128"/>
      <c r="B14421" s="128"/>
      <c r="C14421" s="128"/>
      <c r="D14421" s="128"/>
      <c r="E14421" s="128"/>
      <c r="F14421" s="128"/>
      <c r="G14421" s="128"/>
      <c r="H14421" s="128"/>
      <c r="I14421" s="128"/>
    </row>
    <row r="14422" spans="1:9" ht="13.5">
      <c r="A14422" s="128"/>
      <c r="B14422" s="128"/>
      <c r="C14422" s="128"/>
      <c r="D14422" s="128"/>
      <c r="E14422" s="128"/>
      <c r="F14422" s="128"/>
      <c r="G14422" s="128"/>
      <c r="H14422" s="128"/>
      <c r="I14422" s="128"/>
    </row>
    <row r="14423" spans="1:9" ht="13.5">
      <c r="A14423" s="128"/>
      <c r="B14423" s="128"/>
      <c r="C14423" s="128"/>
      <c r="D14423" s="128"/>
      <c r="E14423" s="128"/>
      <c r="F14423" s="128"/>
      <c r="G14423" s="128"/>
      <c r="H14423" s="128"/>
      <c r="I14423" s="128"/>
    </row>
    <row r="14424" spans="1:9" ht="13.5">
      <c r="A14424" s="128"/>
      <c r="B14424" s="128"/>
      <c r="C14424" s="128"/>
      <c r="D14424" s="128"/>
      <c r="E14424" s="128"/>
      <c r="F14424" s="128"/>
      <c r="G14424" s="128"/>
      <c r="H14424" s="128"/>
      <c r="I14424" s="128"/>
    </row>
    <row r="14425" spans="1:9" ht="13.5">
      <c r="A14425" s="128"/>
      <c r="B14425" s="128"/>
      <c r="C14425" s="128"/>
      <c r="D14425" s="128"/>
      <c r="E14425" s="128"/>
      <c r="F14425" s="128"/>
      <c r="G14425" s="128"/>
      <c r="H14425" s="128"/>
      <c r="I14425" s="128"/>
    </row>
    <row r="14426" spans="1:9" ht="13.5">
      <c r="A14426" s="128"/>
      <c r="B14426" s="128"/>
      <c r="C14426" s="128"/>
      <c r="D14426" s="128"/>
      <c r="E14426" s="128"/>
      <c r="F14426" s="128"/>
      <c r="G14426" s="128"/>
      <c r="H14426" s="128"/>
      <c r="I14426" s="128"/>
    </row>
    <row r="14427" spans="1:9" ht="13.5">
      <c r="A14427" s="128"/>
      <c r="B14427" s="128"/>
      <c r="C14427" s="128"/>
      <c r="D14427" s="128"/>
      <c r="E14427" s="128"/>
      <c r="F14427" s="128"/>
      <c r="G14427" s="128"/>
      <c r="H14427" s="128"/>
      <c r="I14427" s="128"/>
    </row>
    <row r="14428" spans="1:9" ht="13.5">
      <c r="A14428" s="128"/>
      <c r="B14428" s="128"/>
      <c r="C14428" s="128"/>
      <c r="D14428" s="128"/>
      <c r="E14428" s="128"/>
      <c r="F14428" s="128"/>
      <c r="G14428" s="128"/>
      <c r="H14428" s="128"/>
      <c r="I14428" s="128"/>
    </row>
    <row r="14429" spans="1:9" ht="13.5">
      <c r="A14429" s="128"/>
      <c r="B14429" s="128"/>
      <c r="C14429" s="128"/>
      <c r="D14429" s="128"/>
      <c r="E14429" s="128"/>
      <c r="F14429" s="128"/>
      <c r="G14429" s="128"/>
      <c r="H14429" s="128"/>
      <c r="I14429" s="128"/>
    </row>
    <row r="14430" spans="1:9" ht="13.5">
      <c r="A14430" s="128"/>
      <c r="B14430" s="128"/>
      <c r="C14430" s="128"/>
      <c r="D14430" s="128"/>
      <c r="E14430" s="128"/>
      <c r="F14430" s="128"/>
      <c r="G14430" s="128"/>
      <c r="H14430" s="128"/>
      <c r="I14430" s="128"/>
    </row>
    <row r="14431" spans="1:9" ht="13.5">
      <c r="A14431" s="128"/>
      <c r="B14431" s="128"/>
      <c r="C14431" s="128"/>
      <c r="D14431" s="128"/>
      <c r="E14431" s="128"/>
      <c r="F14431" s="128"/>
      <c r="G14431" s="128"/>
      <c r="H14431" s="128"/>
      <c r="I14431" s="128"/>
    </row>
    <row r="14432" spans="1:9" ht="13.5">
      <c r="A14432" s="128"/>
      <c r="B14432" s="128"/>
      <c r="C14432" s="128"/>
      <c r="D14432" s="128"/>
      <c r="E14432" s="128"/>
      <c r="F14432" s="128"/>
      <c r="G14432" s="128"/>
      <c r="H14432" s="128"/>
      <c r="I14432" s="128"/>
    </row>
    <row r="14433" spans="1:9" ht="13.5">
      <c r="A14433" s="128"/>
      <c r="B14433" s="128"/>
      <c r="C14433" s="128"/>
      <c r="D14433" s="128"/>
      <c r="E14433" s="128"/>
      <c r="F14433" s="128"/>
      <c r="G14433" s="128"/>
      <c r="H14433" s="128"/>
      <c r="I14433" s="128"/>
    </row>
    <row r="14434" spans="1:9" ht="13.5">
      <c r="A14434" s="128"/>
      <c r="B14434" s="128"/>
      <c r="C14434" s="128"/>
      <c r="D14434" s="128"/>
      <c r="E14434" s="128"/>
      <c r="F14434" s="128"/>
      <c r="G14434" s="128"/>
      <c r="H14434" s="128"/>
      <c r="I14434" s="128"/>
    </row>
    <row r="14435" spans="1:9" ht="13.5">
      <c r="A14435" s="128"/>
      <c r="B14435" s="128"/>
      <c r="C14435" s="128"/>
      <c r="D14435" s="128"/>
      <c r="E14435" s="128"/>
      <c r="F14435" s="128"/>
      <c r="G14435" s="128"/>
      <c r="H14435" s="128"/>
      <c r="I14435" s="128"/>
    </row>
    <row r="14436" spans="1:9" ht="13.5">
      <c r="A14436" s="128"/>
      <c r="B14436" s="128"/>
      <c r="C14436" s="128"/>
      <c r="D14436" s="128"/>
      <c r="E14436" s="128"/>
      <c r="F14436" s="128"/>
      <c r="G14436" s="128"/>
      <c r="H14436" s="128"/>
      <c r="I14436" s="128"/>
    </row>
    <row r="14437" spans="1:9" ht="13.5">
      <c r="A14437" s="128"/>
      <c r="B14437" s="128"/>
      <c r="C14437" s="128"/>
      <c r="D14437" s="128"/>
      <c r="E14437" s="128"/>
      <c r="F14437" s="128"/>
      <c r="G14437" s="128"/>
      <c r="H14437" s="128"/>
      <c r="I14437" s="128"/>
    </row>
    <row r="14438" spans="1:9" ht="13.5">
      <c r="A14438" s="128"/>
      <c r="B14438" s="128"/>
      <c r="C14438" s="128"/>
      <c r="D14438" s="128"/>
      <c r="E14438" s="128"/>
      <c r="F14438" s="128"/>
      <c r="G14438" s="128"/>
      <c r="H14438" s="128"/>
      <c r="I14438" s="128"/>
    </row>
    <row r="14439" spans="1:9" ht="13.5">
      <c r="A14439" s="128"/>
      <c r="B14439" s="128"/>
      <c r="C14439" s="128"/>
      <c r="D14439" s="128"/>
      <c r="E14439" s="128"/>
      <c r="F14439" s="128"/>
      <c r="G14439" s="128"/>
      <c r="H14439" s="128"/>
      <c r="I14439" s="128"/>
    </row>
    <row r="14440" spans="1:9" ht="13.5">
      <c r="A14440" s="128"/>
      <c r="B14440" s="128"/>
      <c r="C14440" s="128"/>
      <c r="D14440" s="128"/>
      <c r="E14440" s="128"/>
      <c r="F14440" s="128"/>
      <c r="G14440" s="128"/>
      <c r="H14440" s="128"/>
      <c r="I14440" s="128"/>
    </row>
    <row r="14441" spans="1:9" ht="13.5">
      <c r="A14441" s="128"/>
      <c r="B14441" s="128"/>
      <c r="C14441" s="128"/>
      <c r="D14441" s="128"/>
      <c r="E14441" s="128"/>
      <c r="F14441" s="128"/>
      <c r="G14441" s="128"/>
      <c r="H14441" s="128"/>
      <c r="I14441" s="128"/>
    </row>
    <row r="14442" spans="1:9" ht="13.5">
      <c r="A14442" s="128"/>
      <c r="B14442" s="128"/>
      <c r="C14442" s="128"/>
      <c r="D14442" s="128"/>
      <c r="E14442" s="128"/>
      <c r="F14442" s="128"/>
      <c r="G14442" s="128"/>
      <c r="H14442" s="128"/>
      <c r="I14442" s="128"/>
    </row>
    <row r="14443" spans="1:9" ht="13.5">
      <c r="A14443" s="128"/>
      <c r="B14443" s="128"/>
      <c r="C14443" s="128"/>
      <c r="D14443" s="128"/>
      <c r="E14443" s="128"/>
      <c r="F14443" s="128"/>
      <c r="G14443" s="128"/>
      <c r="H14443" s="128"/>
      <c r="I14443" s="128"/>
    </row>
    <row r="14444" spans="1:9" ht="13.5">
      <c r="A14444" s="128"/>
      <c r="B14444" s="128"/>
      <c r="C14444" s="128"/>
      <c r="D14444" s="128"/>
      <c r="E14444" s="128"/>
      <c r="F14444" s="128"/>
      <c r="G14444" s="128"/>
      <c r="H14444" s="128"/>
      <c r="I14444" s="128"/>
    </row>
    <row r="14445" spans="1:9" ht="13.5">
      <c r="A14445" s="128"/>
      <c r="B14445" s="128"/>
      <c r="C14445" s="128"/>
      <c r="D14445" s="128"/>
      <c r="E14445" s="128"/>
      <c r="F14445" s="128"/>
      <c r="G14445" s="128"/>
      <c r="H14445" s="128"/>
      <c r="I14445" s="128"/>
    </row>
    <row r="14446" spans="1:9" ht="13.5">
      <c r="A14446" s="128"/>
      <c r="B14446" s="128"/>
      <c r="C14446" s="128"/>
      <c r="D14446" s="128"/>
      <c r="E14446" s="128"/>
      <c r="F14446" s="128"/>
      <c r="G14446" s="128"/>
      <c r="H14446" s="128"/>
      <c r="I14446" s="128"/>
    </row>
    <row r="14447" spans="1:9" ht="13.5">
      <c r="A14447" s="128"/>
      <c r="B14447" s="128"/>
      <c r="C14447" s="128"/>
      <c r="D14447" s="128"/>
      <c r="E14447" s="128"/>
      <c r="F14447" s="128"/>
      <c r="G14447" s="128"/>
      <c r="H14447" s="128"/>
      <c r="I14447" s="128"/>
    </row>
    <row r="14448" spans="1:9" ht="13.5">
      <c r="A14448" s="128"/>
      <c r="B14448" s="128"/>
      <c r="C14448" s="128"/>
      <c r="D14448" s="128"/>
      <c r="E14448" s="128"/>
      <c r="F14448" s="128"/>
      <c r="G14448" s="128"/>
      <c r="H14448" s="128"/>
      <c r="I14448" s="128"/>
    </row>
    <row r="14449" spans="1:9" ht="13.5">
      <c r="A14449" s="128"/>
      <c r="B14449" s="128"/>
      <c r="C14449" s="128"/>
      <c r="D14449" s="128"/>
      <c r="E14449" s="128"/>
      <c r="F14449" s="128"/>
      <c r="G14449" s="128"/>
      <c r="H14449" s="128"/>
      <c r="I14449" s="128"/>
    </row>
    <row r="14450" spans="1:9" ht="13.5">
      <c r="A14450" s="128"/>
      <c r="B14450" s="128"/>
      <c r="C14450" s="128"/>
      <c r="D14450" s="128"/>
      <c r="E14450" s="128"/>
      <c r="F14450" s="128"/>
      <c r="G14450" s="128"/>
      <c r="H14450" s="128"/>
      <c r="I14450" s="128"/>
    </row>
    <row r="14451" spans="1:9" ht="13.5">
      <c r="A14451" s="128"/>
      <c r="B14451" s="128"/>
      <c r="C14451" s="128"/>
      <c r="D14451" s="128"/>
      <c r="E14451" s="128"/>
      <c r="F14451" s="128"/>
      <c r="G14451" s="128"/>
      <c r="H14451" s="128"/>
      <c r="I14451" s="128"/>
    </row>
    <row r="14452" spans="1:9" ht="13.5">
      <c r="A14452" s="128"/>
      <c r="B14452" s="128"/>
      <c r="C14452" s="128"/>
      <c r="D14452" s="128"/>
      <c r="E14452" s="128"/>
      <c r="F14452" s="128"/>
      <c r="G14452" s="128"/>
      <c r="H14452" s="128"/>
      <c r="I14452" s="128"/>
    </row>
    <row r="14453" spans="1:9" ht="13.5">
      <c r="A14453" s="128"/>
      <c r="B14453" s="128"/>
      <c r="C14453" s="128"/>
      <c r="D14453" s="128"/>
      <c r="E14453" s="128"/>
      <c r="F14453" s="128"/>
      <c r="G14453" s="128"/>
      <c r="H14453" s="128"/>
      <c r="I14453" s="128"/>
    </row>
    <row r="14454" spans="1:9" ht="13.5">
      <c r="A14454" s="128"/>
      <c r="B14454" s="128"/>
      <c r="C14454" s="128"/>
      <c r="D14454" s="128"/>
      <c r="E14454" s="128"/>
      <c r="F14454" s="128"/>
      <c r="G14454" s="128"/>
      <c r="H14454" s="128"/>
      <c r="I14454" s="128"/>
    </row>
    <row r="14455" spans="1:9" ht="13.5">
      <c r="A14455" s="128"/>
      <c r="B14455" s="128"/>
      <c r="C14455" s="128"/>
      <c r="D14455" s="128"/>
      <c r="E14455" s="128"/>
      <c r="F14455" s="128"/>
      <c r="G14455" s="128"/>
      <c r="H14455" s="128"/>
      <c r="I14455" s="128"/>
    </row>
    <row r="14456" spans="1:9" ht="13.5">
      <c r="A14456" s="128"/>
      <c r="B14456" s="128"/>
      <c r="C14456" s="128"/>
      <c r="D14456" s="128"/>
      <c r="E14456" s="128"/>
      <c r="F14456" s="128"/>
      <c r="G14456" s="128"/>
      <c r="H14456" s="128"/>
      <c r="I14456" s="128"/>
    </row>
    <row r="14457" spans="1:9" ht="13.5">
      <c r="A14457" s="128"/>
      <c r="B14457" s="128"/>
      <c r="C14457" s="128"/>
      <c r="D14457" s="128"/>
      <c r="E14457" s="128"/>
      <c r="F14457" s="128"/>
      <c r="G14457" s="128"/>
      <c r="H14457" s="128"/>
      <c r="I14457" s="128"/>
    </row>
    <row r="14458" spans="1:9" ht="13.5">
      <c r="A14458" s="128"/>
      <c r="B14458" s="128"/>
      <c r="C14458" s="128"/>
      <c r="D14458" s="128"/>
      <c r="E14458" s="128"/>
      <c r="F14458" s="128"/>
      <c r="G14458" s="128"/>
      <c r="H14458" s="128"/>
      <c r="I14458" s="128"/>
    </row>
    <row r="14459" spans="1:9" ht="13.5">
      <c r="A14459" s="128"/>
      <c r="B14459" s="128"/>
      <c r="C14459" s="128"/>
      <c r="D14459" s="128"/>
      <c r="E14459" s="128"/>
      <c r="F14459" s="128"/>
      <c r="G14459" s="128"/>
      <c r="H14459" s="128"/>
      <c r="I14459" s="128"/>
    </row>
    <row r="14460" spans="1:9" ht="13.5">
      <c r="A14460" s="128"/>
      <c r="B14460" s="128"/>
      <c r="C14460" s="128"/>
      <c r="D14460" s="128"/>
      <c r="E14460" s="128"/>
      <c r="F14460" s="128"/>
      <c r="G14460" s="128"/>
      <c r="H14460" s="128"/>
      <c r="I14460" s="128"/>
    </row>
    <row r="14461" spans="1:9" ht="13.5">
      <c r="A14461" s="128"/>
      <c r="B14461" s="128"/>
      <c r="C14461" s="128"/>
      <c r="D14461" s="128"/>
      <c r="E14461" s="128"/>
      <c r="F14461" s="128"/>
      <c r="G14461" s="128"/>
      <c r="H14461" s="128"/>
      <c r="I14461" s="128"/>
    </row>
    <row r="14462" spans="1:9" ht="13.5">
      <c r="A14462" s="128"/>
      <c r="B14462" s="128"/>
      <c r="C14462" s="128"/>
      <c r="D14462" s="128"/>
      <c r="E14462" s="128"/>
      <c r="F14462" s="128"/>
      <c r="G14462" s="128"/>
      <c r="H14462" s="128"/>
      <c r="I14462" s="128"/>
    </row>
    <row r="14463" spans="1:9" ht="13.5">
      <c r="A14463" s="128"/>
      <c r="B14463" s="128"/>
      <c r="C14463" s="128"/>
      <c r="D14463" s="128"/>
      <c r="E14463" s="128"/>
      <c r="F14463" s="128"/>
      <c r="G14463" s="128"/>
      <c r="H14463" s="128"/>
      <c r="I14463" s="128"/>
    </row>
    <row r="14464" spans="1:9" ht="13.5">
      <c r="A14464" s="128"/>
      <c r="B14464" s="128"/>
      <c r="C14464" s="128"/>
      <c r="D14464" s="128"/>
      <c r="E14464" s="128"/>
      <c r="F14464" s="128"/>
      <c r="G14464" s="128"/>
      <c r="H14464" s="128"/>
      <c r="I14464" s="128"/>
    </row>
    <row r="14465" spans="1:9" ht="13.5">
      <c r="A14465" s="128"/>
      <c r="B14465" s="128"/>
      <c r="C14465" s="128"/>
      <c r="D14465" s="128"/>
      <c r="E14465" s="128"/>
      <c r="F14465" s="128"/>
      <c r="G14465" s="128"/>
      <c r="H14465" s="128"/>
      <c r="I14465" s="128"/>
    </row>
    <row r="14466" spans="1:9" ht="13.5">
      <c r="A14466" s="128"/>
      <c r="B14466" s="128"/>
      <c r="C14466" s="128"/>
      <c r="D14466" s="128"/>
      <c r="E14466" s="128"/>
      <c r="F14466" s="128"/>
      <c r="G14466" s="128"/>
      <c r="H14466" s="128"/>
      <c r="I14466" s="128"/>
    </row>
    <row r="14467" spans="1:9" ht="13.5">
      <c r="A14467" s="128"/>
      <c r="B14467" s="128"/>
      <c r="C14467" s="128"/>
      <c r="D14467" s="128"/>
      <c r="E14467" s="128"/>
      <c r="F14467" s="128"/>
      <c r="G14467" s="128"/>
      <c r="H14467" s="128"/>
      <c r="I14467" s="128"/>
    </row>
    <row r="14468" spans="1:9" ht="13.5">
      <c r="A14468" s="128"/>
      <c r="B14468" s="128"/>
      <c r="C14468" s="128"/>
      <c r="D14468" s="128"/>
      <c r="E14468" s="128"/>
      <c r="F14468" s="128"/>
      <c r="G14468" s="128"/>
      <c r="H14468" s="128"/>
      <c r="I14468" s="128"/>
    </row>
    <row r="14469" spans="1:9" ht="13.5">
      <c r="A14469" s="128"/>
      <c r="B14469" s="128"/>
      <c r="C14469" s="128"/>
      <c r="D14469" s="128"/>
      <c r="E14469" s="128"/>
      <c r="F14469" s="128"/>
      <c r="G14469" s="128"/>
      <c r="H14469" s="128"/>
      <c r="I14469" s="128"/>
    </row>
    <row r="14470" spans="1:9" ht="13.5">
      <c r="A14470" s="128"/>
      <c r="B14470" s="128"/>
      <c r="C14470" s="128"/>
      <c r="D14470" s="128"/>
      <c r="E14470" s="128"/>
      <c r="F14470" s="128"/>
      <c r="G14470" s="128"/>
      <c r="H14470" s="128"/>
      <c r="I14470" s="128"/>
    </row>
    <row r="14471" spans="1:9" ht="13.5">
      <c r="A14471" s="128"/>
      <c r="B14471" s="128"/>
      <c r="C14471" s="128"/>
      <c r="D14471" s="128"/>
      <c r="E14471" s="128"/>
      <c r="F14471" s="128"/>
      <c r="G14471" s="128"/>
      <c r="H14471" s="128"/>
      <c r="I14471" s="128"/>
    </row>
    <row r="14472" spans="1:9" ht="13.5">
      <c r="A14472" s="128"/>
      <c r="B14472" s="128"/>
      <c r="C14472" s="128"/>
      <c r="D14472" s="128"/>
      <c r="E14472" s="128"/>
      <c r="F14472" s="128"/>
      <c r="G14472" s="128"/>
      <c r="H14472" s="128"/>
      <c r="I14472" s="128"/>
    </row>
    <row r="14473" spans="1:9" ht="13.5">
      <c r="A14473" s="128"/>
      <c r="B14473" s="128"/>
      <c r="C14473" s="128"/>
      <c r="D14473" s="128"/>
      <c r="E14473" s="128"/>
      <c r="F14473" s="128"/>
      <c r="G14473" s="128"/>
      <c r="H14473" s="128"/>
      <c r="I14473" s="128"/>
    </row>
    <row r="14474" spans="1:9" ht="13.5">
      <c r="A14474" s="128"/>
      <c r="B14474" s="128"/>
      <c r="C14474" s="128"/>
      <c r="D14474" s="128"/>
      <c r="E14474" s="128"/>
      <c r="F14474" s="128"/>
      <c r="G14474" s="128"/>
      <c r="H14474" s="128"/>
      <c r="I14474" s="128"/>
    </row>
    <row r="14475" spans="1:9" ht="13.5">
      <c r="A14475" s="128"/>
      <c r="B14475" s="128"/>
      <c r="C14475" s="128"/>
      <c r="D14475" s="128"/>
      <c r="E14475" s="128"/>
      <c r="F14475" s="128"/>
      <c r="G14475" s="128"/>
      <c r="H14475" s="128"/>
      <c r="I14475" s="128"/>
    </row>
    <row r="14476" spans="1:9" ht="13.5">
      <c r="A14476" s="128"/>
      <c r="B14476" s="128"/>
      <c r="C14476" s="128"/>
      <c r="D14476" s="128"/>
      <c r="E14476" s="128"/>
      <c r="F14476" s="128"/>
      <c r="G14476" s="128"/>
      <c r="H14476" s="128"/>
      <c r="I14476" s="128"/>
    </row>
    <row r="14477" spans="1:9" ht="13.5">
      <c r="A14477" s="128"/>
      <c r="B14477" s="128"/>
      <c r="C14477" s="128"/>
      <c r="D14477" s="128"/>
      <c r="E14477" s="128"/>
      <c r="F14477" s="128"/>
      <c r="G14477" s="128"/>
      <c r="H14477" s="128"/>
      <c r="I14477" s="128"/>
    </row>
    <row r="14478" spans="1:9" ht="13.5">
      <c r="A14478" s="128"/>
      <c r="B14478" s="128"/>
      <c r="C14478" s="128"/>
      <c r="D14478" s="128"/>
      <c r="E14478" s="128"/>
      <c r="F14478" s="128"/>
      <c r="G14478" s="128"/>
      <c r="H14478" s="128"/>
      <c r="I14478" s="128"/>
    </row>
    <row r="14479" spans="1:9" ht="13.5">
      <c r="A14479" s="128"/>
      <c r="B14479" s="128"/>
      <c r="C14479" s="128"/>
      <c r="D14479" s="128"/>
      <c r="E14479" s="128"/>
      <c r="F14479" s="128"/>
      <c r="G14479" s="128"/>
      <c r="H14479" s="128"/>
      <c r="I14479" s="128"/>
    </row>
    <row r="14480" spans="1:9" ht="13.5">
      <c r="A14480" s="128"/>
      <c r="B14480" s="128"/>
      <c r="C14480" s="128"/>
      <c r="D14480" s="128"/>
      <c r="E14480" s="128"/>
      <c r="F14480" s="128"/>
      <c r="G14480" s="128"/>
      <c r="H14480" s="128"/>
      <c r="I14480" s="128"/>
    </row>
    <row r="14481" spans="1:9" ht="13.5">
      <c r="A14481" s="128"/>
      <c r="B14481" s="128"/>
      <c r="C14481" s="128"/>
      <c r="D14481" s="128"/>
      <c r="E14481" s="128"/>
      <c r="F14481" s="128"/>
      <c r="G14481" s="128"/>
      <c r="H14481" s="128"/>
      <c r="I14481" s="128"/>
    </row>
    <row r="14482" spans="1:9" ht="13.5">
      <c r="A14482" s="128"/>
      <c r="B14482" s="128"/>
      <c r="C14482" s="128"/>
      <c r="D14482" s="128"/>
      <c r="E14482" s="128"/>
      <c r="F14482" s="128"/>
      <c r="G14482" s="128"/>
      <c r="H14482" s="128"/>
      <c r="I14482" s="128"/>
    </row>
    <row r="14483" spans="1:9" ht="13.5">
      <c r="A14483" s="128"/>
      <c r="B14483" s="128"/>
      <c r="C14483" s="128"/>
      <c r="D14483" s="128"/>
      <c r="E14483" s="128"/>
      <c r="F14483" s="128"/>
      <c r="G14483" s="128"/>
      <c r="H14483" s="128"/>
      <c r="I14483" s="128"/>
    </row>
    <row r="14484" spans="1:9" ht="13.5">
      <c r="A14484" s="128"/>
      <c r="B14484" s="128"/>
      <c r="C14484" s="128"/>
      <c r="D14484" s="128"/>
      <c r="E14484" s="128"/>
      <c r="F14484" s="128"/>
      <c r="G14484" s="128"/>
      <c r="H14484" s="128"/>
      <c r="I14484" s="128"/>
    </row>
    <row r="14485" spans="1:9" ht="13.5">
      <c r="A14485" s="128"/>
      <c r="B14485" s="128"/>
      <c r="C14485" s="128"/>
      <c r="D14485" s="128"/>
      <c r="E14485" s="128"/>
      <c r="F14485" s="128"/>
      <c r="G14485" s="128"/>
      <c r="H14485" s="128"/>
      <c r="I14485" s="128"/>
    </row>
    <row r="14486" spans="1:9" ht="13.5">
      <c r="A14486" s="128"/>
      <c r="B14486" s="128"/>
      <c r="C14486" s="128"/>
      <c r="D14486" s="128"/>
      <c r="E14486" s="128"/>
      <c r="F14486" s="128"/>
      <c r="G14486" s="128"/>
      <c r="H14486" s="128"/>
      <c r="I14486" s="128"/>
    </row>
    <row r="14487" spans="1:9" ht="13.5">
      <c r="A14487" s="128"/>
      <c r="B14487" s="128"/>
      <c r="C14487" s="128"/>
      <c r="D14487" s="128"/>
      <c r="E14487" s="128"/>
      <c r="F14487" s="128"/>
      <c r="G14487" s="128"/>
      <c r="H14487" s="128"/>
      <c r="I14487" s="128"/>
    </row>
    <row r="14488" spans="1:9" ht="13.5">
      <c r="A14488" s="128"/>
      <c r="B14488" s="128"/>
      <c r="C14488" s="128"/>
      <c r="D14488" s="128"/>
      <c r="E14488" s="128"/>
      <c r="F14488" s="128"/>
      <c r="G14488" s="128"/>
      <c r="H14488" s="128"/>
      <c r="I14488" s="128"/>
    </row>
    <row r="14489" spans="1:9" ht="13.5">
      <c r="A14489" s="128"/>
      <c r="B14489" s="128"/>
      <c r="C14489" s="128"/>
      <c r="D14489" s="128"/>
      <c r="E14489" s="128"/>
      <c r="F14489" s="128"/>
      <c r="G14489" s="128"/>
      <c r="H14489" s="128"/>
      <c r="I14489" s="128"/>
    </row>
    <row r="14490" spans="1:9" ht="13.5">
      <c r="A14490" s="128"/>
      <c r="B14490" s="128"/>
      <c r="C14490" s="128"/>
      <c r="D14490" s="128"/>
      <c r="E14490" s="128"/>
      <c r="F14490" s="128"/>
      <c r="G14490" s="128"/>
      <c r="H14490" s="128"/>
      <c r="I14490" s="128"/>
    </row>
    <row r="14491" spans="1:9" ht="13.5">
      <c r="A14491" s="128"/>
      <c r="B14491" s="128"/>
      <c r="C14491" s="128"/>
      <c r="D14491" s="128"/>
      <c r="E14491" s="128"/>
      <c r="F14491" s="128"/>
      <c r="G14491" s="128"/>
      <c r="H14491" s="128"/>
      <c r="I14491" s="128"/>
    </row>
    <row r="14492" spans="1:9" ht="13.5">
      <c r="A14492" s="128"/>
      <c r="B14492" s="128"/>
      <c r="C14492" s="128"/>
      <c r="D14492" s="128"/>
      <c r="E14492" s="128"/>
      <c r="F14492" s="128"/>
      <c r="G14492" s="128"/>
      <c r="H14492" s="128"/>
      <c r="I14492" s="128"/>
    </row>
    <row r="14493" spans="1:9" ht="13.5">
      <c r="A14493" s="128"/>
      <c r="B14493" s="128"/>
      <c r="C14493" s="128"/>
      <c r="D14493" s="128"/>
      <c r="E14493" s="128"/>
      <c r="F14493" s="128"/>
      <c r="G14493" s="128"/>
      <c r="H14493" s="128"/>
      <c r="I14493" s="128"/>
    </row>
    <row r="14494" spans="1:9" ht="13.5">
      <c r="A14494" s="128"/>
      <c r="B14494" s="128"/>
      <c r="C14494" s="128"/>
      <c r="D14494" s="128"/>
      <c r="E14494" s="128"/>
      <c r="F14494" s="128"/>
      <c r="G14494" s="128"/>
      <c r="H14494" s="128"/>
      <c r="I14494" s="128"/>
    </row>
    <row r="14495" spans="1:9" ht="13.5">
      <c r="A14495" s="128"/>
      <c r="B14495" s="128"/>
      <c r="C14495" s="128"/>
      <c r="D14495" s="128"/>
      <c r="E14495" s="128"/>
      <c r="F14495" s="128"/>
      <c r="G14495" s="128"/>
      <c r="H14495" s="128"/>
      <c r="I14495" s="128"/>
    </row>
    <row r="14496" spans="1:9" ht="13.5">
      <c r="A14496" s="128"/>
      <c r="B14496" s="128"/>
      <c r="C14496" s="128"/>
      <c r="D14496" s="128"/>
      <c r="E14496" s="128"/>
      <c r="F14496" s="128"/>
      <c r="G14496" s="128"/>
      <c r="H14496" s="128"/>
      <c r="I14496" s="128"/>
    </row>
    <row r="14497" spans="1:9" ht="13.5">
      <c r="A14497" s="128"/>
      <c r="B14497" s="128"/>
      <c r="C14497" s="128"/>
      <c r="D14497" s="128"/>
      <c r="E14497" s="128"/>
      <c r="F14497" s="128"/>
      <c r="G14497" s="128"/>
      <c r="H14497" s="128"/>
      <c r="I14497" s="128"/>
    </row>
    <row r="14498" spans="1:9" ht="13.5">
      <c r="A14498" s="128"/>
      <c r="B14498" s="128"/>
      <c r="C14498" s="128"/>
      <c r="D14498" s="128"/>
      <c r="E14498" s="128"/>
      <c r="F14498" s="128"/>
      <c r="G14498" s="128"/>
      <c r="H14498" s="128"/>
      <c r="I14498" s="128"/>
    </row>
    <row r="14499" spans="1:9" ht="13.5">
      <c r="A14499" s="128"/>
      <c r="B14499" s="128"/>
      <c r="C14499" s="128"/>
      <c r="D14499" s="128"/>
      <c r="E14499" s="128"/>
      <c r="F14499" s="128"/>
      <c r="G14499" s="128"/>
      <c r="H14499" s="128"/>
      <c r="I14499" s="128"/>
    </row>
    <row r="14500" spans="1:9" ht="13.5">
      <c r="A14500" s="128"/>
      <c r="B14500" s="128"/>
      <c r="C14500" s="128"/>
      <c r="D14500" s="128"/>
      <c r="E14500" s="128"/>
      <c r="F14500" s="128"/>
      <c r="G14500" s="128"/>
      <c r="H14500" s="128"/>
      <c r="I14500" s="128"/>
    </row>
    <row r="14501" spans="1:9" ht="13.5">
      <c r="A14501" s="128"/>
      <c r="B14501" s="128"/>
      <c r="C14501" s="128"/>
      <c r="D14501" s="128"/>
      <c r="E14501" s="128"/>
      <c r="F14501" s="128"/>
      <c r="G14501" s="128"/>
      <c r="H14501" s="128"/>
      <c r="I14501" s="128"/>
    </row>
    <row r="14502" spans="1:9" ht="13.5">
      <c r="A14502" s="128"/>
      <c r="B14502" s="128"/>
      <c r="C14502" s="128"/>
      <c r="D14502" s="128"/>
      <c r="E14502" s="128"/>
      <c r="F14502" s="128"/>
      <c r="G14502" s="128"/>
      <c r="H14502" s="128"/>
      <c r="I14502" s="128"/>
    </row>
    <row r="14503" spans="1:9" ht="13.5">
      <c r="A14503" s="128"/>
      <c r="B14503" s="128"/>
      <c r="C14503" s="128"/>
      <c r="D14503" s="128"/>
      <c r="E14503" s="128"/>
      <c r="F14503" s="128"/>
      <c r="G14503" s="128"/>
      <c r="H14503" s="128"/>
      <c r="I14503" s="128"/>
    </row>
    <row r="14504" spans="1:9" ht="13.5">
      <c r="A14504" s="128"/>
      <c r="B14504" s="128"/>
      <c r="C14504" s="128"/>
      <c r="D14504" s="128"/>
      <c r="E14504" s="128"/>
      <c r="F14504" s="128"/>
      <c r="G14504" s="128"/>
      <c r="H14504" s="128"/>
      <c r="I14504" s="128"/>
    </row>
    <row r="14505" spans="1:9" ht="13.5">
      <c r="A14505" s="128"/>
      <c r="B14505" s="128"/>
      <c r="C14505" s="128"/>
      <c r="D14505" s="128"/>
      <c r="E14505" s="128"/>
      <c r="F14505" s="128"/>
      <c r="G14505" s="128"/>
      <c r="H14505" s="128"/>
      <c r="I14505" s="128"/>
    </row>
    <row r="14506" spans="1:9" ht="13.5">
      <c r="A14506" s="128"/>
      <c r="B14506" s="128"/>
      <c r="C14506" s="128"/>
      <c r="D14506" s="128"/>
      <c r="E14506" s="128"/>
      <c r="F14506" s="128"/>
      <c r="G14506" s="128"/>
      <c r="H14506" s="128"/>
      <c r="I14506" s="128"/>
    </row>
    <row r="14507" spans="1:9" ht="13.5">
      <c r="A14507" s="128"/>
      <c r="B14507" s="128"/>
      <c r="C14507" s="128"/>
      <c r="D14507" s="128"/>
      <c r="E14507" s="128"/>
      <c r="F14507" s="128"/>
      <c r="G14507" s="128"/>
      <c r="H14507" s="128"/>
      <c r="I14507" s="128"/>
    </row>
    <row r="14508" spans="1:9" ht="13.5">
      <c r="A14508" s="128"/>
      <c r="B14508" s="128"/>
      <c r="C14508" s="128"/>
      <c r="D14508" s="128"/>
      <c r="E14508" s="128"/>
      <c r="F14508" s="128"/>
      <c r="G14508" s="128"/>
      <c r="H14508" s="128"/>
      <c r="I14508" s="128"/>
    </row>
    <row r="14509" spans="1:9" ht="13.5">
      <c r="A14509" s="128"/>
      <c r="B14509" s="128"/>
      <c r="C14509" s="128"/>
      <c r="D14509" s="128"/>
      <c r="E14509" s="128"/>
      <c r="F14509" s="128"/>
      <c r="G14509" s="128"/>
      <c r="H14509" s="128"/>
      <c r="I14509" s="128"/>
    </row>
    <row r="14510" spans="1:9" ht="13.5">
      <c r="A14510" s="128"/>
      <c r="B14510" s="128"/>
      <c r="C14510" s="128"/>
      <c r="D14510" s="128"/>
      <c r="E14510" s="128"/>
      <c r="F14510" s="128"/>
      <c r="G14510" s="128"/>
      <c r="H14510" s="128"/>
      <c r="I14510" s="128"/>
    </row>
    <row r="14511" spans="1:9" ht="13.5">
      <c r="A14511" s="128"/>
      <c r="B14511" s="128"/>
      <c r="C14511" s="128"/>
      <c r="D14511" s="128"/>
      <c r="E14511" s="128"/>
      <c r="F14511" s="128"/>
      <c r="G14511" s="128"/>
      <c r="H14511" s="128"/>
      <c r="I14511" s="128"/>
    </row>
    <row r="14512" spans="1:9" ht="13.5">
      <c r="A14512" s="128"/>
      <c r="B14512" s="128"/>
      <c r="C14512" s="128"/>
      <c r="D14512" s="128"/>
      <c r="E14512" s="128"/>
      <c r="F14512" s="128"/>
      <c r="G14512" s="128"/>
      <c r="H14512" s="128"/>
      <c r="I14512" s="128"/>
    </row>
    <row r="14513" spans="1:9" ht="13.5">
      <c r="A14513" s="128"/>
      <c r="B14513" s="128"/>
      <c r="C14513" s="128"/>
      <c r="D14513" s="128"/>
      <c r="E14513" s="128"/>
      <c r="F14513" s="128"/>
      <c r="G14513" s="128"/>
      <c r="H14513" s="128"/>
      <c r="I14513" s="128"/>
    </row>
    <row r="14514" spans="1:9" ht="13.5">
      <c r="A14514" s="128"/>
      <c r="B14514" s="128"/>
      <c r="C14514" s="128"/>
      <c r="D14514" s="128"/>
      <c r="E14514" s="128"/>
      <c r="F14514" s="128"/>
      <c r="G14514" s="128"/>
      <c r="H14514" s="128"/>
      <c r="I14514" s="128"/>
    </row>
    <row r="14515" spans="1:9" ht="13.5">
      <c r="A14515" s="128"/>
      <c r="B14515" s="128"/>
      <c r="C14515" s="128"/>
      <c r="D14515" s="128"/>
      <c r="E14515" s="128"/>
      <c r="F14515" s="128"/>
      <c r="G14515" s="128"/>
      <c r="H14515" s="128"/>
      <c r="I14515" s="128"/>
    </row>
    <row r="14516" spans="1:9" ht="13.5">
      <c r="A14516" s="128"/>
      <c r="B14516" s="128"/>
      <c r="C14516" s="128"/>
      <c r="D14516" s="128"/>
      <c r="E14516" s="128"/>
      <c r="F14516" s="128"/>
      <c r="G14516" s="128"/>
      <c r="H14516" s="128"/>
      <c r="I14516" s="128"/>
    </row>
    <row r="14517" spans="1:9" ht="13.5">
      <c r="A14517" s="128"/>
      <c r="B14517" s="128"/>
      <c r="C14517" s="128"/>
      <c r="D14517" s="128"/>
      <c r="E14517" s="128"/>
      <c r="F14517" s="128"/>
      <c r="G14517" s="128"/>
      <c r="H14517" s="128"/>
      <c r="I14517" s="128"/>
    </row>
    <row r="14518" spans="1:9" ht="13.5">
      <c r="A14518" s="128"/>
      <c r="B14518" s="128"/>
      <c r="C14518" s="128"/>
      <c r="D14518" s="128"/>
      <c r="E14518" s="128"/>
      <c r="F14518" s="128"/>
      <c r="G14518" s="128"/>
      <c r="H14518" s="128"/>
      <c r="I14518" s="128"/>
    </row>
    <row r="14519" spans="1:9" ht="13.5">
      <c r="A14519" s="128"/>
      <c r="B14519" s="128"/>
      <c r="C14519" s="128"/>
      <c r="D14519" s="128"/>
      <c r="E14519" s="128"/>
      <c r="F14519" s="128"/>
      <c r="G14519" s="128"/>
      <c r="H14519" s="128"/>
      <c r="I14519" s="128"/>
    </row>
    <row r="14520" spans="1:9" ht="13.5">
      <c r="A14520" s="128"/>
      <c r="B14520" s="128"/>
      <c r="C14520" s="128"/>
      <c r="D14520" s="128"/>
      <c r="E14520" s="128"/>
      <c r="F14520" s="128"/>
      <c r="G14520" s="128"/>
      <c r="H14520" s="128"/>
      <c r="I14520" s="128"/>
    </row>
    <row r="14521" spans="1:9" ht="13.5">
      <c r="A14521" s="128"/>
      <c r="B14521" s="128"/>
      <c r="C14521" s="128"/>
      <c r="D14521" s="128"/>
      <c r="E14521" s="128"/>
      <c r="F14521" s="128"/>
      <c r="G14521" s="128"/>
      <c r="H14521" s="128"/>
      <c r="I14521" s="128"/>
    </row>
    <row r="14522" spans="1:9" ht="13.5">
      <c r="A14522" s="128"/>
      <c r="B14522" s="128"/>
      <c r="C14522" s="128"/>
      <c r="D14522" s="128"/>
      <c r="E14522" s="128"/>
      <c r="F14522" s="128"/>
      <c r="G14522" s="128"/>
      <c r="H14522" s="128"/>
      <c r="I14522" s="128"/>
    </row>
    <row r="14523" spans="1:9" ht="13.5">
      <c r="A14523" s="128"/>
      <c r="B14523" s="128"/>
      <c r="C14523" s="128"/>
      <c r="D14523" s="128"/>
      <c r="E14523" s="128"/>
      <c r="F14523" s="128"/>
      <c r="G14523" s="128"/>
      <c r="H14523" s="128"/>
      <c r="I14523" s="128"/>
    </row>
    <row r="14524" spans="1:9" ht="13.5">
      <c r="A14524" s="128"/>
      <c r="B14524" s="128"/>
      <c r="C14524" s="128"/>
      <c r="D14524" s="128"/>
      <c r="E14524" s="128"/>
      <c r="F14524" s="128"/>
      <c r="G14524" s="128"/>
      <c r="H14524" s="128"/>
      <c r="I14524" s="128"/>
    </row>
    <row r="14525" spans="1:9" ht="13.5">
      <c r="A14525" s="128"/>
      <c r="B14525" s="128"/>
      <c r="C14525" s="128"/>
      <c r="D14525" s="128"/>
      <c r="E14525" s="128"/>
      <c r="F14525" s="128"/>
      <c r="G14525" s="128"/>
      <c r="H14525" s="128"/>
      <c r="I14525" s="128"/>
    </row>
    <row r="14526" spans="1:9" ht="13.5">
      <c r="A14526" s="128"/>
      <c r="B14526" s="128"/>
      <c r="C14526" s="128"/>
      <c r="D14526" s="128"/>
      <c r="E14526" s="128"/>
      <c r="F14526" s="128"/>
      <c r="G14526" s="128"/>
      <c r="H14526" s="128"/>
      <c r="I14526" s="128"/>
    </row>
    <row r="14527" spans="1:9" ht="13.5">
      <c r="A14527" s="128"/>
      <c r="B14527" s="128"/>
      <c r="C14527" s="128"/>
      <c r="D14527" s="128"/>
      <c r="E14527" s="128"/>
      <c r="F14527" s="128"/>
      <c r="G14527" s="128"/>
      <c r="H14527" s="128"/>
      <c r="I14527" s="128"/>
    </row>
    <row r="14528" spans="1:9" ht="13.5">
      <c r="A14528" s="128"/>
      <c r="B14528" s="128"/>
      <c r="C14528" s="128"/>
      <c r="D14528" s="128"/>
      <c r="E14528" s="128"/>
      <c r="F14528" s="128"/>
      <c r="G14528" s="128"/>
      <c r="H14528" s="128"/>
      <c r="I14528" s="128"/>
    </row>
    <row r="14529" spans="1:9" ht="13.5">
      <c r="A14529" s="128"/>
      <c r="B14529" s="128"/>
      <c r="C14529" s="128"/>
      <c r="D14529" s="128"/>
      <c r="E14529" s="128"/>
      <c r="F14529" s="128"/>
      <c r="G14529" s="128"/>
      <c r="H14529" s="128"/>
      <c r="I14529" s="128"/>
    </row>
    <row r="14530" spans="1:9" ht="13.5">
      <c r="A14530" s="128"/>
      <c r="B14530" s="128"/>
      <c r="C14530" s="128"/>
      <c r="D14530" s="128"/>
      <c r="E14530" s="128"/>
      <c r="F14530" s="128"/>
      <c r="G14530" s="128"/>
      <c r="H14530" s="128"/>
      <c r="I14530" s="128"/>
    </row>
    <row r="14531" spans="1:9" ht="13.5">
      <c r="A14531" s="128"/>
      <c r="B14531" s="128"/>
      <c r="C14531" s="128"/>
      <c r="D14531" s="128"/>
      <c r="E14531" s="128"/>
      <c r="F14531" s="128"/>
      <c r="G14531" s="128"/>
      <c r="H14531" s="128"/>
      <c r="I14531" s="128"/>
    </row>
    <row r="14532" spans="1:9" ht="13.5">
      <c r="A14532" s="128"/>
      <c r="B14532" s="128"/>
      <c r="C14532" s="128"/>
      <c r="D14532" s="128"/>
      <c r="E14532" s="128"/>
      <c r="F14532" s="128"/>
      <c r="G14532" s="128"/>
      <c r="H14532" s="128"/>
      <c r="I14532" s="128"/>
    </row>
    <row r="14533" spans="1:9" ht="13.5">
      <c r="A14533" s="128"/>
      <c r="B14533" s="128"/>
      <c r="C14533" s="128"/>
      <c r="D14533" s="128"/>
      <c r="E14533" s="128"/>
      <c r="F14533" s="128"/>
      <c r="G14533" s="128"/>
      <c r="H14533" s="128"/>
      <c r="I14533" s="128"/>
    </row>
    <row r="14534" spans="1:9" ht="13.5">
      <c r="A14534" s="128"/>
      <c r="B14534" s="128"/>
      <c r="C14534" s="128"/>
      <c r="D14534" s="128"/>
      <c r="E14534" s="128"/>
      <c r="F14534" s="128"/>
      <c r="G14534" s="128"/>
      <c r="H14534" s="128"/>
      <c r="I14534" s="128"/>
    </row>
    <row r="14535" spans="1:9" ht="13.5">
      <c r="A14535" s="128"/>
      <c r="B14535" s="128"/>
      <c r="C14535" s="128"/>
      <c r="D14535" s="128"/>
      <c r="E14535" s="128"/>
      <c r="F14535" s="128"/>
      <c r="G14535" s="128"/>
      <c r="H14535" s="128"/>
      <c r="I14535" s="128"/>
    </row>
    <row r="14536" spans="1:9" ht="13.5">
      <c r="A14536" s="128"/>
      <c r="B14536" s="128"/>
      <c r="C14536" s="128"/>
      <c r="D14536" s="128"/>
      <c r="E14536" s="128"/>
      <c r="F14536" s="128"/>
      <c r="G14536" s="128"/>
      <c r="H14536" s="128"/>
      <c r="I14536" s="128"/>
    </row>
    <row r="14537" spans="1:9" ht="13.5">
      <c r="A14537" s="128"/>
      <c r="B14537" s="128"/>
      <c r="C14537" s="128"/>
      <c r="D14537" s="128"/>
      <c r="E14537" s="128"/>
      <c r="F14537" s="128"/>
      <c r="G14537" s="128"/>
      <c r="H14537" s="128"/>
      <c r="I14537" s="128"/>
    </row>
    <row r="14538" spans="1:9" ht="13.5">
      <c r="A14538" s="128"/>
      <c r="B14538" s="128"/>
      <c r="C14538" s="128"/>
      <c r="D14538" s="128"/>
      <c r="E14538" s="128"/>
      <c r="F14538" s="128"/>
      <c r="G14538" s="128"/>
      <c r="H14538" s="128"/>
      <c r="I14538" s="128"/>
    </row>
    <row r="14539" spans="1:9" ht="13.5">
      <c r="A14539" s="128"/>
      <c r="B14539" s="128"/>
      <c r="C14539" s="128"/>
      <c r="D14539" s="128"/>
      <c r="E14539" s="128"/>
      <c r="F14539" s="128"/>
      <c r="G14539" s="128"/>
      <c r="H14539" s="128"/>
      <c r="I14539" s="128"/>
    </row>
    <row r="14540" spans="1:9" ht="13.5">
      <c r="A14540" s="128"/>
      <c r="B14540" s="128"/>
      <c r="C14540" s="128"/>
      <c r="D14540" s="128"/>
      <c r="E14540" s="128"/>
      <c r="F14540" s="128"/>
      <c r="G14540" s="128"/>
      <c r="H14540" s="128"/>
      <c r="I14540" s="128"/>
    </row>
    <row r="14541" spans="1:9" ht="13.5">
      <c r="A14541" s="128"/>
      <c r="B14541" s="128"/>
      <c r="C14541" s="128"/>
      <c r="D14541" s="128"/>
      <c r="E14541" s="128"/>
      <c r="F14541" s="128"/>
      <c r="G14541" s="128"/>
      <c r="H14541" s="128"/>
      <c r="I14541" s="128"/>
    </row>
    <row r="14542" spans="1:9" ht="13.5">
      <c r="A14542" s="128"/>
      <c r="B14542" s="128"/>
      <c r="C14542" s="128"/>
      <c r="D14542" s="128"/>
      <c r="E14542" s="128"/>
      <c r="F14542" s="128"/>
      <c r="G14542" s="128"/>
      <c r="H14542" s="128"/>
      <c r="I14542" s="128"/>
    </row>
    <row r="14543" spans="1:9" ht="13.5">
      <c r="A14543" s="128"/>
      <c r="B14543" s="128"/>
      <c r="C14543" s="128"/>
      <c r="D14543" s="128"/>
      <c r="E14543" s="128"/>
      <c r="F14543" s="128"/>
      <c r="G14543" s="128"/>
      <c r="H14543" s="128"/>
      <c r="I14543" s="128"/>
    </row>
    <row r="14544" spans="1:9" ht="13.5">
      <c r="A14544" s="128"/>
      <c r="B14544" s="128"/>
      <c r="C14544" s="128"/>
      <c r="D14544" s="128"/>
      <c r="E14544" s="128"/>
      <c r="F14544" s="128"/>
      <c r="G14544" s="128"/>
      <c r="H14544" s="128"/>
      <c r="I14544" s="128"/>
    </row>
    <row r="14545" spans="1:9" ht="13.5">
      <c r="A14545" s="128"/>
      <c r="B14545" s="128"/>
      <c r="C14545" s="128"/>
      <c r="D14545" s="128"/>
      <c r="E14545" s="128"/>
      <c r="F14545" s="128"/>
      <c r="G14545" s="128"/>
      <c r="H14545" s="128"/>
      <c r="I14545" s="128"/>
    </row>
    <row r="14546" spans="1:9" ht="13.5">
      <c r="A14546" s="128"/>
      <c r="B14546" s="128"/>
      <c r="C14546" s="128"/>
      <c r="D14546" s="128"/>
      <c r="E14546" s="128"/>
      <c r="F14546" s="128"/>
      <c r="G14546" s="128"/>
      <c r="H14546" s="128"/>
      <c r="I14546" s="128"/>
    </row>
    <row r="14547" spans="1:9" ht="13.5">
      <c r="A14547" s="128"/>
      <c r="B14547" s="128"/>
      <c r="C14547" s="128"/>
      <c r="D14547" s="128"/>
      <c r="E14547" s="128"/>
      <c r="F14547" s="128"/>
      <c r="G14547" s="128"/>
      <c r="H14547" s="128"/>
      <c r="I14547" s="128"/>
    </row>
    <row r="14548" spans="1:9" ht="13.5">
      <c r="A14548" s="128"/>
      <c r="B14548" s="128"/>
      <c r="C14548" s="128"/>
      <c r="D14548" s="128"/>
      <c r="E14548" s="128"/>
      <c r="F14548" s="128"/>
      <c r="G14548" s="128"/>
      <c r="H14548" s="128"/>
      <c r="I14548" s="128"/>
    </row>
    <row r="14549" spans="1:9" ht="13.5">
      <c r="A14549" s="128"/>
      <c r="B14549" s="128"/>
      <c r="C14549" s="128"/>
      <c r="D14549" s="128"/>
      <c r="E14549" s="128"/>
      <c r="F14549" s="128"/>
      <c r="G14549" s="128"/>
      <c r="H14549" s="128"/>
      <c r="I14549" s="128"/>
    </row>
    <row r="14550" spans="1:9" ht="13.5">
      <c r="A14550" s="128"/>
      <c r="B14550" s="128"/>
      <c r="C14550" s="128"/>
      <c r="D14550" s="128"/>
      <c r="E14550" s="128"/>
      <c r="F14550" s="128"/>
      <c r="G14550" s="128"/>
      <c r="H14550" s="128"/>
      <c r="I14550" s="128"/>
    </row>
    <row r="14551" spans="1:9" ht="13.5">
      <c r="A14551" s="128"/>
      <c r="B14551" s="128"/>
      <c r="C14551" s="128"/>
      <c r="D14551" s="128"/>
      <c r="E14551" s="128"/>
      <c r="F14551" s="128"/>
      <c r="G14551" s="128"/>
      <c r="H14551" s="128"/>
      <c r="I14551" s="128"/>
    </row>
    <row r="14552" spans="1:9" ht="13.5">
      <c r="A14552" s="128"/>
      <c r="B14552" s="128"/>
      <c r="C14552" s="128"/>
      <c r="D14552" s="128"/>
      <c r="E14552" s="128"/>
      <c r="F14552" s="128"/>
      <c r="G14552" s="128"/>
      <c r="H14552" s="128"/>
      <c r="I14552" s="128"/>
    </row>
    <row r="14553" spans="1:9" ht="13.5">
      <c r="A14553" s="128"/>
      <c r="B14553" s="128"/>
      <c r="C14553" s="128"/>
      <c r="D14553" s="128"/>
      <c r="E14553" s="128"/>
      <c r="F14553" s="128"/>
      <c r="G14553" s="128"/>
      <c r="H14553" s="128"/>
      <c r="I14553" s="128"/>
    </row>
    <row r="14554" spans="1:9" ht="13.5">
      <c r="A14554" s="128"/>
      <c r="B14554" s="128"/>
      <c r="C14554" s="128"/>
      <c r="D14554" s="128"/>
      <c r="E14554" s="128"/>
      <c r="F14554" s="128"/>
      <c r="G14554" s="128"/>
      <c r="H14554" s="128"/>
      <c r="I14554" s="128"/>
    </row>
    <row r="14555" spans="1:9" ht="13.5">
      <c r="A14555" s="128"/>
      <c r="B14555" s="128"/>
      <c r="C14555" s="128"/>
      <c r="D14555" s="128"/>
      <c r="E14555" s="128"/>
      <c r="F14555" s="128"/>
      <c r="G14555" s="128"/>
      <c r="H14555" s="128"/>
      <c r="I14555" s="128"/>
    </row>
    <row r="14556" spans="1:9" ht="13.5">
      <c r="A14556" s="128"/>
      <c r="B14556" s="128"/>
      <c r="C14556" s="128"/>
      <c r="D14556" s="128"/>
      <c r="E14556" s="128"/>
      <c r="F14556" s="128"/>
      <c r="G14556" s="128"/>
      <c r="H14556" s="128"/>
      <c r="I14556" s="128"/>
    </row>
    <row r="14557" spans="1:9" ht="13.5">
      <c r="A14557" s="128"/>
      <c r="B14557" s="128"/>
      <c r="C14557" s="128"/>
      <c r="D14557" s="128"/>
      <c r="E14557" s="128"/>
      <c r="F14557" s="128"/>
      <c r="G14557" s="128"/>
      <c r="H14557" s="128"/>
      <c r="I14557" s="128"/>
    </row>
    <row r="14558" spans="1:9" ht="13.5">
      <c r="A14558" s="128"/>
      <c r="B14558" s="128"/>
      <c r="C14558" s="128"/>
      <c r="D14558" s="128"/>
      <c r="E14558" s="128"/>
      <c r="F14558" s="128"/>
      <c r="G14558" s="128"/>
      <c r="H14558" s="128"/>
      <c r="I14558" s="128"/>
    </row>
    <row r="14559" spans="1:9" ht="13.5">
      <c r="A14559" s="128"/>
      <c r="B14559" s="128"/>
      <c r="C14559" s="128"/>
      <c r="D14559" s="128"/>
      <c r="E14559" s="128"/>
      <c r="F14559" s="128"/>
      <c r="G14559" s="128"/>
      <c r="H14559" s="128"/>
      <c r="I14559" s="128"/>
    </row>
    <row r="14560" spans="1:9" ht="13.5">
      <c r="A14560" s="128"/>
      <c r="B14560" s="128"/>
      <c r="C14560" s="128"/>
      <c r="D14560" s="128"/>
      <c r="E14560" s="128"/>
      <c r="F14560" s="128"/>
      <c r="G14560" s="128"/>
      <c r="H14560" s="128"/>
      <c r="I14560" s="128"/>
    </row>
    <row r="14561" spans="1:9" ht="13.5">
      <c r="A14561" s="128"/>
      <c r="B14561" s="128"/>
      <c r="C14561" s="128"/>
      <c r="D14561" s="128"/>
      <c r="E14561" s="128"/>
      <c r="F14561" s="128"/>
      <c r="G14561" s="128"/>
      <c r="H14561" s="128"/>
      <c r="I14561" s="128"/>
    </row>
    <row r="14562" spans="1:9" ht="13.5">
      <c r="A14562" s="128"/>
      <c r="B14562" s="128"/>
      <c r="C14562" s="128"/>
      <c r="D14562" s="128"/>
      <c r="E14562" s="128"/>
      <c r="F14562" s="128"/>
      <c r="G14562" s="128"/>
      <c r="H14562" s="128"/>
      <c r="I14562" s="128"/>
    </row>
    <row r="14563" spans="1:9" ht="13.5">
      <c r="A14563" s="128"/>
      <c r="B14563" s="128"/>
      <c r="C14563" s="128"/>
      <c r="D14563" s="128"/>
      <c r="E14563" s="128"/>
      <c r="F14563" s="128"/>
      <c r="G14563" s="128"/>
      <c r="H14563" s="128"/>
      <c r="I14563" s="128"/>
    </row>
    <row r="14564" spans="1:9" ht="13.5">
      <c r="A14564" s="128"/>
      <c r="B14564" s="128"/>
      <c r="C14564" s="128"/>
      <c r="D14564" s="128"/>
      <c r="E14564" s="128"/>
      <c r="F14564" s="128"/>
      <c r="G14564" s="128"/>
      <c r="H14564" s="128"/>
      <c r="I14564" s="128"/>
    </row>
    <row r="14565" spans="1:9" ht="13.5">
      <c r="A14565" s="128"/>
      <c r="B14565" s="128"/>
      <c r="C14565" s="128"/>
      <c r="D14565" s="128"/>
      <c r="E14565" s="128"/>
      <c r="F14565" s="128"/>
      <c r="G14565" s="128"/>
      <c r="H14565" s="128"/>
      <c r="I14565" s="128"/>
    </row>
    <row r="14566" spans="1:9" ht="13.5">
      <c r="A14566" s="128"/>
      <c r="B14566" s="128"/>
      <c r="C14566" s="128"/>
      <c r="D14566" s="128"/>
      <c r="E14566" s="128"/>
      <c r="F14566" s="128"/>
      <c r="G14566" s="128"/>
      <c r="H14566" s="128"/>
      <c r="I14566" s="128"/>
    </row>
    <row r="14567" spans="1:9" ht="13.5">
      <c r="A14567" s="128"/>
      <c r="B14567" s="128"/>
      <c r="C14567" s="128"/>
      <c r="D14567" s="128"/>
      <c r="E14567" s="128"/>
      <c r="F14567" s="128"/>
      <c r="G14567" s="128"/>
      <c r="H14567" s="128"/>
      <c r="I14567" s="128"/>
    </row>
    <row r="14568" spans="1:9" ht="13.5">
      <c r="A14568" s="128"/>
      <c r="B14568" s="128"/>
      <c r="C14568" s="128"/>
      <c r="D14568" s="128"/>
      <c r="E14568" s="128"/>
      <c r="F14568" s="128"/>
      <c r="G14568" s="128"/>
      <c r="H14568" s="128"/>
      <c r="I14568" s="128"/>
    </row>
    <row r="14569" spans="1:9" ht="13.5">
      <c r="A14569" s="128"/>
      <c r="B14569" s="128"/>
      <c r="C14569" s="128"/>
      <c r="D14569" s="128"/>
      <c r="E14569" s="128"/>
      <c r="F14569" s="128"/>
      <c r="G14569" s="128"/>
      <c r="H14569" s="128"/>
      <c r="I14569" s="128"/>
    </row>
    <row r="14570" spans="1:9" ht="13.5">
      <c r="A14570" s="128"/>
      <c r="B14570" s="128"/>
      <c r="C14570" s="128"/>
      <c r="D14570" s="128"/>
      <c r="E14570" s="128"/>
      <c r="F14570" s="128"/>
      <c r="G14570" s="128"/>
      <c r="H14570" s="128"/>
      <c r="I14570" s="128"/>
    </row>
    <row r="14571" spans="1:9" ht="13.5">
      <c r="A14571" s="128"/>
      <c r="B14571" s="128"/>
      <c r="C14571" s="128"/>
      <c r="D14571" s="128"/>
      <c r="E14571" s="128"/>
      <c r="F14571" s="128"/>
      <c r="G14571" s="128"/>
      <c r="H14571" s="128"/>
      <c r="I14571" s="128"/>
    </row>
    <row r="14572" spans="1:9" ht="13.5">
      <c r="A14572" s="128"/>
      <c r="B14572" s="128"/>
      <c r="C14572" s="128"/>
      <c r="D14572" s="128"/>
      <c r="E14572" s="128"/>
      <c r="F14572" s="128"/>
      <c r="G14572" s="128"/>
      <c r="H14572" s="128"/>
      <c r="I14572" s="128"/>
    </row>
    <row r="14573" spans="1:9" ht="13.5">
      <c r="A14573" s="128"/>
      <c r="B14573" s="128"/>
      <c r="C14573" s="128"/>
      <c r="D14573" s="128"/>
      <c r="E14573" s="128"/>
      <c r="F14573" s="128"/>
      <c r="G14573" s="128"/>
      <c r="H14573" s="128"/>
      <c r="I14573" s="128"/>
    </row>
    <row r="14574" spans="1:9" ht="13.5">
      <c r="A14574" s="128"/>
      <c r="B14574" s="128"/>
      <c r="C14574" s="128"/>
      <c r="D14574" s="128"/>
      <c r="E14574" s="128"/>
      <c r="F14574" s="128"/>
      <c r="G14574" s="128"/>
      <c r="H14574" s="128"/>
      <c r="I14574" s="128"/>
    </row>
    <row r="14575" spans="1:9" ht="13.5">
      <c r="A14575" s="128"/>
      <c r="B14575" s="128"/>
      <c r="C14575" s="128"/>
      <c r="D14575" s="128"/>
      <c r="E14575" s="128"/>
      <c r="F14575" s="128"/>
      <c r="G14575" s="128"/>
      <c r="H14575" s="128"/>
      <c r="I14575" s="128"/>
    </row>
    <row r="14576" spans="1:9" ht="13.5">
      <c r="A14576" s="128"/>
      <c r="B14576" s="128"/>
      <c r="C14576" s="128"/>
      <c r="D14576" s="128"/>
      <c r="E14576" s="128"/>
      <c r="F14576" s="128"/>
      <c r="G14576" s="128"/>
      <c r="H14576" s="128"/>
      <c r="I14576" s="128"/>
    </row>
    <row r="14577" spans="1:9" ht="13.5">
      <c r="A14577" s="128"/>
      <c r="B14577" s="128"/>
      <c r="C14577" s="128"/>
      <c r="D14577" s="128"/>
      <c r="E14577" s="128"/>
      <c r="F14577" s="128"/>
      <c r="G14577" s="128"/>
      <c r="H14577" s="128"/>
      <c r="I14577" s="128"/>
    </row>
    <row r="14578" spans="1:9" ht="13.5">
      <c r="A14578" s="128"/>
      <c r="B14578" s="128"/>
      <c r="C14578" s="128"/>
      <c r="D14578" s="128"/>
      <c r="E14578" s="128"/>
      <c r="F14578" s="128"/>
      <c r="G14578" s="128"/>
      <c r="H14578" s="128"/>
      <c r="I14578" s="128"/>
    </row>
    <row r="14579" spans="1:9" ht="13.5">
      <c r="A14579" s="128"/>
      <c r="B14579" s="128"/>
      <c r="C14579" s="128"/>
      <c r="D14579" s="128"/>
      <c r="E14579" s="128"/>
      <c r="F14579" s="128"/>
      <c r="G14579" s="128"/>
      <c r="H14579" s="128"/>
      <c r="I14579" s="128"/>
    </row>
    <row r="14580" spans="1:9" ht="13.5">
      <c r="A14580" s="128"/>
      <c r="B14580" s="128"/>
      <c r="C14580" s="128"/>
      <c r="D14580" s="128"/>
      <c r="E14580" s="128"/>
      <c r="F14580" s="128"/>
      <c r="G14580" s="128"/>
      <c r="H14580" s="128"/>
      <c r="I14580" s="128"/>
    </row>
    <row r="14581" spans="1:9" ht="13.5">
      <c r="A14581" s="128"/>
      <c r="B14581" s="128"/>
      <c r="C14581" s="128"/>
      <c r="D14581" s="128"/>
      <c r="E14581" s="128"/>
      <c r="F14581" s="128"/>
      <c r="G14581" s="128"/>
      <c r="H14581" s="128"/>
      <c r="I14581" s="128"/>
    </row>
    <row r="14582" spans="1:9" ht="13.5">
      <c r="A14582" s="128"/>
      <c r="B14582" s="128"/>
      <c r="C14582" s="128"/>
      <c r="D14582" s="128"/>
      <c r="E14582" s="128"/>
      <c r="F14582" s="128"/>
      <c r="G14582" s="128"/>
      <c r="H14582" s="128"/>
      <c r="I14582" s="128"/>
    </row>
    <row r="14583" spans="1:9" ht="13.5">
      <c r="A14583" s="128"/>
      <c r="B14583" s="128"/>
      <c r="C14583" s="128"/>
      <c r="D14583" s="128"/>
      <c r="E14583" s="128"/>
      <c r="F14583" s="128"/>
      <c r="G14583" s="128"/>
      <c r="H14583" s="128"/>
      <c r="I14583" s="128"/>
    </row>
    <row r="14584" spans="1:9" ht="13.5">
      <c r="A14584" s="128"/>
      <c r="B14584" s="128"/>
      <c r="C14584" s="128"/>
      <c r="D14584" s="128"/>
      <c r="E14584" s="128"/>
      <c r="F14584" s="128"/>
      <c r="G14584" s="128"/>
      <c r="H14584" s="128"/>
      <c r="I14584" s="128"/>
    </row>
    <row r="14585" spans="1:9" ht="13.5">
      <c r="A14585" s="128"/>
      <c r="B14585" s="128"/>
      <c r="C14585" s="128"/>
      <c r="D14585" s="128"/>
      <c r="E14585" s="128"/>
      <c r="F14585" s="128"/>
      <c r="G14585" s="128"/>
      <c r="H14585" s="128"/>
      <c r="I14585" s="128"/>
    </row>
    <row r="14586" spans="1:9" ht="13.5">
      <c r="A14586" s="128"/>
      <c r="B14586" s="128"/>
      <c r="C14586" s="128"/>
      <c r="D14586" s="128"/>
      <c r="E14586" s="128"/>
      <c r="F14586" s="128"/>
      <c r="G14586" s="128"/>
      <c r="H14586" s="128"/>
      <c r="I14586" s="128"/>
    </row>
    <row r="14587" spans="1:9" ht="13.5">
      <c r="A14587" s="128"/>
      <c r="B14587" s="128"/>
      <c r="C14587" s="128"/>
      <c r="D14587" s="128"/>
      <c r="E14587" s="128"/>
      <c r="F14587" s="128"/>
      <c r="G14587" s="128"/>
      <c r="H14587" s="128"/>
      <c r="I14587" s="128"/>
    </row>
    <row r="14588" spans="1:9" ht="13.5">
      <c r="A14588" s="128"/>
      <c r="B14588" s="128"/>
      <c r="C14588" s="128"/>
      <c r="D14588" s="128"/>
      <c r="E14588" s="128"/>
      <c r="F14588" s="128"/>
      <c r="G14588" s="128"/>
      <c r="H14588" s="128"/>
      <c r="I14588" s="128"/>
    </row>
    <row r="14589" spans="1:9" ht="13.5">
      <c r="A14589" s="128"/>
      <c r="B14589" s="128"/>
      <c r="C14589" s="128"/>
      <c r="D14589" s="128"/>
      <c r="E14589" s="128"/>
      <c r="F14589" s="128"/>
      <c r="G14589" s="128"/>
      <c r="H14589" s="128"/>
      <c r="I14589" s="128"/>
    </row>
    <row r="14590" spans="1:9" ht="13.5">
      <c r="A14590" s="128"/>
      <c r="B14590" s="128"/>
      <c r="C14590" s="128"/>
      <c r="D14590" s="128"/>
      <c r="E14590" s="128"/>
      <c r="F14590" s="128"/>
      <c r="G14590" s="128"/>
      <c r="H14590" s="128"/>
      <c r="I14590" s="128"/>
    </row>
    <row r="14591" spans="1:9" ht="13.5">
      <c r="A14591" s="128"/>
      <c r="B14591" s="128"/>
      <c r="C14591" s="128"/>
      <c r="D14591" s="128"/>
      <c r="E14591" s="128"/>
      <c r="F14591" s="128"/>
      <c r="G14591" s="128"/>
      <c r="H14591" s="128"/>
      <c r="I14591" s="128"/>
    </row>
    <row r="14592" spans="1:9" ht="13.5">
      <c r="A14592" s="128"/>
      <c r="B14592" s="128"/>
      <c r="C14592" s="128"/>
      <c r="D14592" s="128"/>
      <c r="E14592" s="128"/>
      <c r="F14592" s="128"/>
      <c r="G14592" s="128"/>
      <c r="H14592" s="128"/>
      <c r="I14592" s="128"/>
    </row>
    <row r="14593" spans="1:9" ht="13.5">
      <c r="A14593" s="128"/>
      <c r="B14593" s="128"/>
      <c r="C14593" s="128"/>
      <c r="D14593" s="128"/>
      <c r="E14593" s="128"/>
      <c r="F14593" s="128"/>
      <c r="G14593" s="128"/>
      <c r="H14593" s="128"/>
      <c r="I14593" s="128"/>
    </row>
    <row r="14594" spans="1:9" ht="13.5">
      <c r="A14594" s="128"/>
      <c r="B14594" s="128"/>
      <c r="C14594" s="128"/>
      <c r="D14594" s="128"/>
      <c r="E14594" s="128"/>
      <c r="F14594" s="128"/>
      <c r="G14594" s="128"/>
      <c r="H14594" s="128"/>
      <c r="I14594" s="128"/>
    </row>
    <row r="14595" spans="1:9" ht="13.5">
      <c r="A14595" s="128"/>
      <c r="B14595" s="128"/>
      <c r="C14595" s="128"/>
      <c r="D14595" s="128"/>
      <c r="E14595" s="128"/>
      <c r="F14595" s="128"/>
      <c r="G14595" s="128"/>
      <c r="H14595" s="128"/>
      <c r="I14595" s="128"/>
    </row>
    <row r="14596" spans="1:9" ht="13.5">
      <c r="A14596" s="128"/>
      <c r="B14596" s="128"/>
      <c r="C14596" s="128"/>
      <c r="D14596" s="128"/>
      <c r="E14596" s="128"/>
      <c r="F14596" s="128"/>
      <c r="G14596" s="128"/>
      <c r="H14596" s="128"/>
      <c r="I14596" s="128"/>
    </row>
    <row r="14597" spans="1:9" ht="13.5">
      <c r="A14597" s="128"/>
      <c r="B14597" s="128"/>
      <c r="C14597" s="128"/>
      <c r="D14597" s="128"/>
      <c r="E14597" s="128"/>
      <c r="F14597" s="128"/>
      <c r="G14597" s="128"/>
      <c r="H14597" s="128"/>
      <c r="I14597" s="128"/>
    </row>
    <row r="14598" spans="1:9" ht="13.5">
      <c r="A14598" s="128"/>
      <c r="B14598" s="128"/>
      <c r="C14598" s="128"/>
      <c r="D14598" s="128"/>
      <c r="E14598" s="128"/>
      <c r="F14598" s="128"/>
      <c r="G14598" s="128"/>
      <c r="H14598" s="128"/>
      <c r="I14598" s="128"/>
    </row>
    <row r="14599" spans="1:9" ht="13.5">
      <c r="A14599" s="128"/>
      <c r="B14599" s="128"/>
      <c r="C14599" s="128"/>
      <c r="D14599" s="128"/>
      <c r="E14599" s="128"/>
      <c r="F14599" s="128"/>
      <c r="G14599" s="128"/>
      <c r="H14599" s="128"/>
      <c r="I14599" s="128"/>
    </row>
    <row r="14600" spans="1:9" ht="13.5">
      <c r="A14600" s="128"/>
      <c r="B14600" s="128"/>
      <c r="C14600" s="128"/>
      <c r="D14600" s="128"/>
      <c r="E14600" s="128"/>
      <c r="F14600" s="128"/>
      <c r="G14600" s="128"/>
      <c r="H14600" s="128"/>
      <c r="I14600" s="128"/>
    </row>
    <row r="14601" spans="1:9" ht="13.5">
      <c r="A14601" s="128"/>
      <c r="B14601" s="128"/>
      <c r="C14601" s="128"/>
      <c r="D14601" s="128"/>
      <c r="E14601" s="128"/>
      <c r="F14601" s="128"/>
      <c r="G14601" s="128"/>
      <c r="H14601" s="128"/>
      <c r="I14601" s="128"/>
    </row>
    <row r="14602" spans="1:9" ht="13.5">
      <c r="A14602" s="128"/>
      <c r="B14602" s="128"/>
      <c r="C14602" s="128"/>
      <c r="D14602" s="128"/>
      <c r="E14602" s="128"/>
      <c r="F14602" s="128"/>
      <c r="G14602" s="128"/>
      <c r="H14602" s="128"/>
      <c r="I14602" s="128"/>
    </row>
    <row r="14603" spans="1:9" ht="13.5">
      <c r="A14603" s="128"/>
      <c r="B14603" s="128"/>
      <c r="C14603" s="128"/>
      <c r="D14603" s="128"/>
      <c r="E14603" s="128"/>
      <c r="F14603" s="128"/>
      <c r="G14603" s="128"/>
      <c r="H14603" s="128"/>
      <c r="I14603" s="128"/>
    </row>
    <row r="14604" spans="1:9" ht="13.5">
      <c r="A14604" s="128"/>
      <c r="B14604" s="128"/>
      <c r="C14604" s="128"/>
      <c r="D14604" s="128"/>
      <c r="E14604" s="128"/>
      <c r="F14604" s="128"/>
      <c r="G14604" s="128"/>
      <c r="H14604" s="128"/>
      <c r="I14604" s="128"/>
    </row>
    <row r="14605" spans="1:9" ht="13.5">
      <c r="A14605" s="128"/>
      <c r="B14605" s="128"/>
      <c r="C14605" s="128"/>
      <c r="D14605" s="128"/>
      <c r="E14605" s="128"/>
      <c r="F14605" s="128"/>
      <c r="G14605" s="128"/>
      <c r="H14605" s="128"/>
      <c r="I14605" s="128"/>
    </row>
    <row r="14606" spans="1:9" ht="13.5">
      <c r="A14606" s="128"/>
      <c r="B14606" s="128"/>
      <c r="C14606" s="128"/>
      <c r="D14606" s="128"/>
      <c r="E14606" s="128"/>
      <c r="F14606" s="128"/>
      <c r="G14606" s="128"/>
      <c r="H14606" s="128"/>
      <c r="I14606" s="128"/>
    </row>
    <row r="14607" spans="1:9" ht="13.5">
      <c r="A14607" s="128"/>
      <c r="B14607" s="128"/>
      <c r="C14607" s="128"/>
      <c r="D14607" s="128"/>
      <c r="E14607" s="128"/>
      <c r="F14607" s="128"/>
      <c r="G14607" s="128"/>
      <c r="H14607" s="128"/>
      <c r="I14607" s="128"/>
    </row>
    <row r="14608" spans="1:9" ht="13.5">
      <c r="A14608" s="128"/>
      <c r="B14608" s="128"/>
      <c r="C14608" s="128"/>
      <c r="D14608" s="128"/>
      <c r="E14608" s="128"/>
      <c r="F14608" s="128"/>
      <c r="G14608" s="128"/>
      <c r="H14608" s="128"/>
      <c r="I14608" s="128"/>
    </row>
    <row r="14609" spans="1:9" ht="13.5">
      <c r="A14609" s="128"/>
      <c r="B14609" s="128"/>
      <c r="C14609" s="128"/>
      <c r="D14609" s="128"/>
      <c r="E14609" s="128"/>
      <c r="F14609" s="128"/>
      <c r="G14609" s="128"/>
      <c r="H14609" s="128"/>
      <c r="I14609" s="128"/>
    </row>
    <row r="14610" spans="1:9" ht="13.5">
      <c r="A14610" s="128"/>
      <c r="B14610" s="128"/>
      <c r="C14610" s="128"/>
      <c r="D14610" s="128"/>
      <c r="E14610" s="128"/>
      <c r="F14610" s="128"/>
      <c r="G14610" s="128"/>
      <c r="H14610" s="128"/>
      <c r="I14610" s="128"/>
    </row>
    <row r="14611" spans="1:9" ht="13.5">
      <c r="A14611" s="128"/>
      <c r="B14611" s="128"/>
      <c r="C14611" s="128"/>
      <c r="D14611" s="128"/>
      <c r="E14611" s="128"/>
      <c r="F14611" s="128"/>
      <c r="G14611" s="128"/>
      <c r="H14611" s="128"/>
      <c r="I14611" s="128"/>
    </row>
    <row r="14612" spans="1:9" ht="13.5">
      <c r="A14612" s="128"/>
      <c r="B14612" s="128"/>
      <c r="C14612" s="128"/>
      <c r="D14612" s="128"/>
      <c r="E14612" s="128"/>
      <c r="F14612" s="128"/>
      <c r="G14612" s="128"/>
      <c r="H14612" s="128"/>
      <c r="I14612" s="128"/>
    </row>
    <row r="14613" spans="1:9" ht="13.5">
      <c r="A14613" s="128"/>
      <c r="B14613" s="128"/>
      <c r="C14613" s="128"/>
      <c r="D14613" s="128"/>
      <c r="E14613" s="128"/>
      <c r="F14613" s="128"/>
      <c r="G14613" s="128"/>
      <c r="H14613" s="128"/>
      <c r="I14613" s="128"/>
    </row>
    <row r="14614" spans="1:9" ht="13.5">
      <c r="A14614" s="128"/>
      <c r="B14614" s="128"/>
      <c r="C14614" s="128"/>
      <c r="D14614" s="128"/>
      <c r="E14614" s="128"/>
      <c r="F14614" s="128"/>
      <c r="G14614" s="128"/>
      <c r="H14614" s="128"/>
      <c r="I14614" s="128"/>
    </row>
    <row r="14615" spans="1:9" ht="13.5">
      <c r="A14615" s="128"/>
      <c r="B14615" s="128"/>
      <c r="C14615" s="128"/>
      <c r="D14615" s="128"/>
      <c r="E14615" s="128"/>
      <c r="F14615" s="128"/>
      <c r="G14615" s="128"/>
      <c r="H14615" s="128"/>
      <c r="I14615" s="128"/>
    </row>
    <row r="14616" spans="1:9" ht="13.5">
      <c r="A14616" s="128"/>
      <c r="B14616" s="128"/>
      <c r="C14616" s="128"/>
      <c r="D14616" s="128"/>
      <c r="E14616" s="128"/>
      <c r="F14616" s="128"/>
      <c r="G14616" s="128"/>
      <c r="H14616" s="128"/>
      <c r="I14616" s="128"/>
    </row>
    <row r="14617" spans="1:9" ht="13.5">
      <c r="A14617" s="128"/>
      <c r="B14617" s="128"/>
      <c r="C14617" s="128"/>
      <c r="D14617" s="128"/>
      <c r="E14617" s="128"/>
      <c r="F14617" s="128"/>
      <c r="G14617" s="128"/>
      <c r="H14617" s="128"/>
      <c r="I14617" s="128"/>
    </row>
    <row r="14618" spans="1:9" ht="13.5">
      <c r="A14618" s="128"/>
      <c r="B14618" s="128"/>
      <c r="C14618" s="128"/>
      <c r="D14618" s="128"/>
      <c r="E14618" s="128"/>
      <c r="F14618" s="128"/>
      <c r="G14618" s="128"/>
      <c r="H14618" s="128"/>
      <c r="I14618" s="128"/>
    </row>
    <row r="14619" spans="1:9" ht="13.5">
      <c r="A14619" s="128"/>
      <c r="B14619" s="128"/>
      <c r="C14619" s="128"/>
      <c r="D14619" s="128"/>
      <c r="E14619" s="128"/>
      <c r="F14619" s="128"/>
      <c r="G14619" s="128"/>
      <c r="H14619" s="128"/>
      <c r="I14619" s="128"/>
    </row>
    <row r="14620" spans="1:9" ht="13.5">
      <c r="A14620" s="128"/>
      <c r="B14620" s="128"/>
      <c r="C14620" s="128"/>
      <c r="D14620" s="128"/>
      <c r="E14620" s="128"/>
      <c r="F14620" s="128"/>
      <c r="G14620" s="128"/>
      <c r="H14620" s="128"/>
      <c r="I14620" s="128"/>
    </row>
    <row r="14621" spans="1:9" ht="13.5">
      <c r="A14621" s="128"/>
      <c r="B14621" s="128"/>
      <c r="C14621" s="128"/>
      <c r="D14621" s="128"/>
      <c r="E14621" s="128"/>
      <c r="F14621" s="128"/>
      <c r="G14621" s="128"/>
      <c r="H14621" s="128"/>
      <c r="I14621" s="128"/>
    </row>
    <row r="14622" spans="1:9" ht="13.5">
      <c r="A14622" s="128"/>
      <c r="B14622" s="128"/>
      <c r="C14622" s="128"/>
      <c r="D14622" s="128"/>
      <c r="E14622" s="128"/>
      <c r="F14622" s="128"/>
      <c r="G14622" s="128"/>
      <c r="H14622" s="128"/>
      <c r="I14622" s="128"/>
    </row>
    <row r="14623" spans="1:9" ht="13.5">
      <c r="A14623" s="128"/>
      <c r="B14623" s="128"/>
      <c r="C14623" s="128"/>
      <c r="D14623" s="128"/>
      <c r="E14623" s="128"/>
      <c r="F14623" s="128"/>
      <c r="G14623" s="128"/>
      <c r="H14623" s="128"/>
      <c r="I14623" s="128"/>
    </row>
    <row r="14624" spans="1:9" ht="13.5">
      <c r="A14624" s="128"/>
      <c r="B14624" s="128"/>
      <c r="C14624" s="128"/>
      <c r="D14624" s="128"/>
      <c r="E14624" s="128"/>
      <c r="F14624" s="128"/>
      <c r="G14624" s="128"/>
      <c r="H14624" s="128"/>
      <c r="I14624" s="128"/>
    </row>
    <row r="14625" spans="1:9" ht="13.5">
      <c r="A14625" s="128"/>
      <c r="B14625" s="128"/>
      <c r="C14625" s="128"/>
      <c r="D14625" s="128"/>
      <c r="E14625" s="128"/>
      <c r="F14625" s="128"/>
      <c r="G14625" s="128"/>
      <c r="H14625" s="128"/>
      <c r="I14625" s="128"/>
    </row>
    <row r="14626" spans="1:9" ht="13.5">
      <c r="A14626" s="128"/>
      <c r="B14626" s="128"/>
      <c r="C14626" s="128"/>
      <c r="D14626" s="128"/>
      <c r="E14626" s="128"/>
      <c r="F14626" s="128"/>
      <c r="G14626" s="128"/>
      <c r="H14626" s="128"/>
      <c r="I14626" s="128"/>
    </row>
    <row r="14627" spans="1:9" ht="13.5">
      <c r="A14627" s="128"/>
      <c r="B14627" s="128"/>
      <c r="C14627" s="128"/>
      <c r="D14627" s="128"/>
      <c r="E14627" s="128"/>
      <c r="F14627" s="128"/>
      <c r="G14627" s="128"/>
      <c r="H14627" s="128"/>
      <c r="I14627" s="128"/>
    </row>
    <row r="14628" spans="1:9" ht="13.5">
      <c r="A14628" s="128"/>
      <c r="B14628" s="128"/>
      <c r="C14628" s="128"/>
      <c r="D14628" s="128"/>
      <c r="E14628" s="128"/>
      <c r="F14628" s="128"/>
      <c r="G14628" s="128"/>
      <c r="H14628" s="128"/>
      <c r="I14628" s="128"/>
    </row>
    <row r="14629" spans="1:9" ht="13.5">
      <c r="A14629" s="128"/>
      <c r="B14629" s="128"/>
      <c r="C14629" s="128"/>
      <c r="D14629" s="128"/>
      <c r="E14629" s="128"/>
      <c r="F14629" s="128"/>
      <c r="G14629" s="128"/>
      <c r="H14629" s="128"/>
      <c r="I14629" s="128"/>
    </row>
    <row r="14630" spans="1:9" ht="13.5">
      <c r="A14630" s="128"/>
      <c r="B14630" s="128"/>
      <c r="C14630" s="128"/>
      <c r="D14630" s="128"/>
      <c r="E14630" s="128"/>
      <c r="F14630" s="128"/>
      <c r="G14630" s="128"/>
      <c r="H14630" s="128"/>
      <c r="I14630" s="128"/>
    </row>
    <row r="14631" spans="1:9" ht="13.5">
      <c r="A14631" s="128"/>
      <c r="B14631" s="128"/>
      <c r="C14631" s="128"/>
      <c r="D14631" s="128"/>
      <c r="E14631" s="128"/>
      <c r="F14631" s="128"/>
      <c r="G14631" s="128"/>
      <c r="H14631" s="128"/>
      <c r="I14631" s="128"/>
    </row>
    <row r="14632" spans="1:9" ht="13.5">
      <c r="A14632" s="128"/>
      <c r="B14632" s="128"/>
      <c r="C14632" s="128"/>
      <c r="D14632" s="128"/>
      <c r="E14632" s="128"/>
      <c r="F14632" s="128"/>
      <c r="G14632" s="128"/>
      <c r="H14632" s="128"/>
      <c r="I14632" s="128"/>
    </row>
    <row r="14633" spans="1:9" ht="13.5">
      <c r="A14633" s="128"/>
      <c r="B14633" s="128"/>
      <c r="C14633" s="128"/>
      <c r="D14633" s="128"/>
      <c r="E14633" s="128"/>
      <c r="F14633" s="128"/>
      <c r="G14633" s="128"/>
      <c r="H14633" s="128"/>
      <c r="I14633" s="128"/>
    </row>
    <row r="14634" spans="1:9" ht="13.5">
      <c r="A14634" s="128"/>
      <c r="B14634" s="128"/>
      <c r="C14634" s="128"/>
      <c r="D14634" s="128"/>
      <c r="E14634" s="128"/>
      <c r="F14634" s="128"/>
      <c r="G14634" s="128"/>
      <c r="H14634" s="128"/>
      <c r="I14634" s="128"/>
    </row>
    <row r="14635" spans="1:9" ht="13.5">
      <c r="A14635" s="128"/>
      <c r="B14635" s="128"/>
      <c r="C14635" s="128"/>
      <c r="D14635" s="128"/>
      <c r="E14635" s="128"/>
      <c r="F14635" s="128"/>
      <c r="G14635" s="128"/>
      <c r="H14635" s="128"/>
      <c r="I14635" s="128"/>
    </row>
    <row r="14636" spans="1:9" ht="13.5">
      <c r="A14636" s="128"/>
      <c r="B14636" s="128"/>
      <c r="C14636" s="128"/>
      <c r="D14636" s="128"/>
      <c r="E14636" s="128"/>
      <c r="F14636" s="128"/>
      <c r="G14636" s="128"/>
      <c r="H14636" s="128"/>
      <c r="I14636" s="128"/>
    </row>
    <row r="14637" spans="1:9" ht="13.5">
      <c r="A14637" s="128"/>
      <c r="B14637" s="128"/>
      <c r="C14637" s="128"/>
      <c r="D14637" s="128"/>
      <c r="E14637" s="128"/>
      <c r="F14637" s="128"/>
      <c r="G14637" s="128"/>
      <c r="H14637" s="128"/>
      <c r="I14637" s="128"/>
    </row>
    <row r="14638" spans="1:9" ht="13.5">
      <c r="A14638" s="128"/>
      <c r="B14638" s="128"/>
      <c r="C14638" s="128"/>
      <c r="D14638" s="128"/>
      <c r="E14638" s="128"/>
      <c r="F14638" s="128"/>
      <c r="G14638" s="128"/>
      <c r="H14638" s="128"/>
      <c r="I14638" s="128"/>
    </row>
    <row r="14639" spans="1:9" ht="13.5">
      <c r="A14639" s="128"/>
      <c r="B14639" s="128"/>
      <c r="C14639" s="128"/>
      <c r="D14639" s="128"/>
      <c r="E14639" s="128"/>
      <c r="F14639" s="128"/>
      <c r="G14639" s="128"/>
      <c r="H14639" s="128"/>
      <c r="I14639" s="128"/>
    </row>
    <row r="14640" spans="1:9" ht="13.5">
      <c r="A14640" s="128"/>
      <c r="B14640" s="128"/>
      <c r="C14640" s="128"/>
      <c r="D14640" s="128"/>
      <c r="E14640" s="128"/>
      <c r="F14640" s="128"/>
      <c r="G14640" s="128"/>
      <c r="H14640" s="128"/>
      <c r="I14640" s="128"/>
    </row>
    <row r="14641" spans="1:9" ht="13.5">
      <c r="A14641" s="128"/>
      <c r="B14641" s="128"/>
      <c r="C14641" s="128"/>
      <c r="D14641" s="128"/>
      <c r="E14641" s="128"/>
      <c r="F14641" s="128"/>
      <c r="G14641" s="128"/>
      <c r="H14641" s="128"/>
      <c r="I14641" s="128"/>
    </row>
    <row r="14642" spans="1:9" ht="13.5">
      <c r="A14642" s="128"/>
      <c r="B14642" s="128"/>
      <c r="C14642" s="128"/>
      <c r="D14642" s="128"/>
      <c r="E14642" s="128"/>
      <c r="F14642" s="128"/>
      <c r="G14642" s="128"/>
      <c r="H14642" s="128"/>
      <c r="I14642" s="128"/>
    </row>
    <row r="14643" spans="1:9" ht="13.5">
      <c r="A14643" s="128"/>
      <c r="B14643" s="128"/>
      <c r="C14643" s="128"/>
      <c r="D14643" s="128"/>
      <c r="E14643" s="128"/>
      <c r="F14643" s="128"/>
      <c r="G14643" s="128"/>
      <c r="H14643" s="128"/>
      <c r="I14643" s="128"/>
    </row>
    <row r="14644" spans="1:9" ht="13.5">
      <c r="A14644" s="128"/>
      <c r="B14644" s="128"/>
      <c r="C14644" s="128"/>
      <c r="D14644" s="128"/>
      <c r="E14644" s="128"/>
      <c r="F14644" s="128"/>
      <c r="G14644" s="128"/>
      <c r="H14644" s="128"/>
      <c r="I14644" s="128"/>
    </row>
    <row r="14645" spans="1:9" ht="13.5">
      <c r="A14645" s="128"/>
      <c r="B14645" s="128"/>
      <c r="C14645" s="128"/>
      <c r="D14645" s="128"/>
      <c r="E14645" s="128"/>
      <c r="F14645" s="128"/>
      <c r="G14645" s="128"/>
      <c r="H14645" s="128"/>
      <c r="I14645" s="128"/>
    </row>
    <row r="14646" spans="1:9" ht="13.5">
      <c r="A14646" s="128"/>
      <c r="B14646" s="128"/>
      <c r="C14646" s="128"/>
      <c r="D14646" s="128"/>
      <c r="E14646" s="128"/>
      <c r="F14646" s="128"/>
      <c r="G14646" s="128"/>
      <c r="H14646" s="128"/>
      <c r="I14646" s="128"/>
    </row>
    <row r="14647" spans="1:9" ht="13.5">
      <c r="A14647" s="128"/>
      <c r="B14647" s="128"/>
      <c r="C14647" s="128"/>
      <c r="D14647" s="128"/>
      <c r="E14647" s="128"/>
      <c r="F14647" s="128"/>
      <c r="G14647" s="128"/>
      <c r="H14647" s="128"/>
      <c r="I14647" s="128"/>
    </row>
    <row r="14648" spans="1:9" ht="13.5">
      <c r="A14648" s="128"/>
      <c r="B14648" s="128"/>
      <c r="C14648" s="128"/>
      <c r="D14648" s="128"/>
      <c r="E14648" s="128"/>
      <c r="F14648" s="128"/>
      <c r="G14648" s="128"/>
      <c r="H14648" s="128"/>
      <c r="I14648" s="128"/>
    </row>
    <row r="14649" spans="1:9" ht="13.5">
      <c r="A14649" s="128"/>
      <c r="B14649" s="128"/>
      <c r="C14649" s="128"/>
      <c r="D14649" s="128"/>
      <c r="E14649" s="128"/>
      <c r="F14649" s="128"/>
      <c r="G14649" s="128"/>
      <c r="H14649" s="128"/>
      <c r="I14649" s="128"/>
    </row>
    <row r="14650" spans="1:9" ht="13.5">
      <c r="A14650" s="128"/>
      <c r="B14650" s="128"/>
      <c r="C14650" s="128"/>
      <c r="D14650" s="128"/>
      <c r="E14650" s="128"/>
      <c r="F14650" s="128"/>
      <c r="G14650" s="128"/>
      <c r="H14650" s="128"/>
      <c r="I14650" s="128"/>
    </row>
    <row r="14651" spans="1:9" ht="13.5">
      <c r="A14651" s="128"/>
      <c r="B14651" s="128"/>
      <c r="C14651" s="128"/>
      <c r="D14651" s="128"/>
      <c r="E14651" s="128"/>
      <c r="F14651" s="128"/>
      <c r="G14651" s="128"/>
      <c r="H14651" s="128"/>
      <c r="I14651" s="128"/>
    </row>
    <row r="14652" spans="1:9" ht="13.5">
      <c r="A14652" s="128"/>
      <c r="B14652" s="128"/>
      <c r="C14652" s="128"/>
      <c r="D14652" s="128"/>
      <c r="E14652" s="128"/>
      <c r="F14652" s="128"/>
      <c r="G14652" s="128"/>
      <c r="H14652" s="128"/>
      <c r="I14652" s="128"/>
    </row>
    <row r="14653" spans="1:9" ht="13.5">
      <c r="A14653" s="128"/>
      <c r="B14653" s="128"/>
      <c r="C14653" s="128"/>
      <c r="D14653" s="128"/>
      <c r="E14653" s="128"/>
      <c r="F14653" s="128"/>
      <c r="G14653" s="128"/>
      <c r="H14653" s="128"/>
      <c r="I14653" s="128"/>
    </row>
    <row r="14654" spans="1:9" ht="13.5">
      <c r="A14654" s="128"/>
      <c r="B14654" s="128"/>
      <c r="C14654" s="128"/>
      <c r="D14654" s="128"/>
      <c r="E14654" s="128"/>
      <c r="F14654" s="128"/>
      <c r="G14654" s="128"/>
      <c r="H14654" s="128"/>
      <c r="I14654" s="128"/>
    </row>
    <row r="14655" spans="1:9" ht="13.5">
      <c r="A14655" s="128"/>
      <c r="B14655" s="128"/>
      <c r="C14655" s="128"/>
      <c r="D14655" s="128"/>
      <c r="E14655" s="128"/>
      <c r="F14655" s="128"/>
      <c r="G14655" s="128"/>
      <c r="H14655" s="128"/>
      <c r="I14655" s="128"/>
    </row>
    <row r="14656" spans="1:9" ht="13.5">
      <c r="A14656" s="128"/>
      <c r="B14656" s="128"/>
      <c r="C14656" s="128"/>
      <c r="D14656" s="128"/>
      <c r="E14656" s="128"/>
      <c r="F14656" s="128"/>
      <c r="G14656" s="128"/>
      <c r="H14656" s="128"/>
      <c r="I14656" s="128"/>
    </row>
    <row r="14657" spans="1:9" ht="13.5">
      <c r="A14657" s="128"/>
      <c r="B14657" s="128"/>
      <c r="C14657" s="128"/>
      <c r="D14657" s="128"/>
      <c r="E14657" s="128"/>
      <c r="F14657" s="128"/>
      <c r="G14657" s="128"/>
      <c r="H14657" s="128"/>
      <c r="I14657" s="128"/>
    </row>
    <row r="14658" spans="1:9" ht="13.5">
      <c r="A14658" s="128"/>
      <c r="B14658" s="128"/>
      <c r="C14658" s="128"/>
      <c r="D14658" s="128"/>
      <c r="E14658" s="128"/>
      <c r="F14658" s="128"/>
      <c r="G14658" s="128"/>
      <c r="H14658" s="128"/>
      <c r="I14658" s="128"/>
    </row>
    <row r="14659" spans="1:9" ht="13.5">
      <c r="A14659" s="128"/>
      <c r="B14659" s="128"/>
      <c r="C14659" s="128"/>
      <c r="D14659" s="128"/>
      <c r="E14659" s="128"/>
      <c r="F14659" s="128"/>
      <c r="G14659" s="128"/>
      <c r="H14659" s="128"/>
      <c r="I14659" s="128"/>
    </row>
    <row r="14660" spans="1:9" ht="13.5">
      <c r="A14660" s="128"/>
      <c r="B14660" s="128"/>
      <c r="C14660" s="128"/>
      <c r="D14660" s="128"/>
      <c r="E14660" s="128"/>
      <c r="F14660" s="128"/>
      <c r="G14660" s="128"/>
      <c r="H14660" s="128"/>
      <c r="I14660" s="128"/>
    </row>
    <row r="14661" spans="1:9" ht="13.5">
      <c r="A14661" s="128"/>
      <c r="B14661" s="128"/>
      <c r="C14661" s="128"/>
      <c r="D14661" s="128"/>
      <c r="E14661" s="128"/>
      <c r="F14661" s="128"/>
      <c r="G14661" s="128"/>
      <c r="H14661" s="128"/>
      <c r="I14661" s="128"/>
    </row>
    <row r="14662" spans="1:9" ht="13.5">
      <c r="A14662" s="128"/>
      <c r="B14662" s="128"/>
      <c r="C14662" s="128"/>
      <c r="D14662" s="128"/>
      <c r="E14662" s="128"/>
      <c r="F14662" s="128"/>
      <c r="G14662" s="128"/>
      <c r="H14662" s="128"/>
      <c r="I14662" s="128"/>
    </row>
    <row r="14663" spans="1:9" ht="13.5">
      <c r="A14663" s="128"/>
      <c r="B14663" s="128"/>
      <c r="C14663" s="128"/>
      <c r="D14663" s="128"/>
      <c r="E14663" s="128"/>
      <c r="F14663" s="128"/>
      <c r="G14663" s="128"/>
      <c r="H14663" s="128"/>
      <c r="I14663" s="128"/>
    </row>
    <row r="14664" spans="1:9" ht="13.5">
      <c r="A14664" s="128"/>
      <c r="B14664" s="128"/>
      <c r="C14664" s="128"/>
      <c r="D14664" s="128"/>
      <c r="E14664" s="128"/>
      <c r="F14664" s="128"/>
      <c r="G14664" s="128"/>
      <c r="H14664" s="128"/>
      <c r="I14664" s="128"/>
    </row>
    <row r="14665" spans="1:9" ht="13.5">
      <c r="A14665" s="128"/>
      <c r="B14665" s="128"/>
      <c r="C14665" s="128"/>
      <c r="D14665" s="128"/>
      <c r="E14665" s="128"/>
      <c r="F14665" s="128"/>
      <c r="G14665" s="128"/>
      <c r="H14665" s="128"/>
      <c r="I14665" s="128"/>
    </row>
    <row r="14666" spans="1:9" ht="13.5">
      <c r="A14666" s="128"/>
      <c r="B14666" s="128"/>
      <c r="C14666" s="128"/>
      <c r="D14666" s="128"/>
      <c r="E14666" s="128"/>
      <c r="F14666" s="128"/>
      <c r="G14666" s="128"/>
      <c r="H14666" s="128"/>
      <c r="I14666" s="128"/>
    </row>
    <row r="14667" spans="1:9" ht="13.5">
      <c r="A14667" s="128"/>
      <c r="B14667" s="128"/>
      <c r="C14667" s="128"/>
      <c r="D14667" s="128"/>
      <c r="E14667" s="128"/>
      <c r="F14667" s="128"/>
      <c r="G14667" s="128"/>
      <c r="H14667" s="128"/>
      <c r="I14667" s="128"/>
    </row>
    <row r="14668" spans="1:9" ht="13.5">
      <c r="A14668" s="128"/>
      <c r="B14668" s="128"/>
      <c r="C14668" s="128"/>
      <c r="D14668" s="128"/>
      <c r="E14668" s="128"/>
      <c r="F14668" s="128"/>
      <c r="G14668" s="128"/>
      <c r="H14668" s="128"/>
      <c r="I14668" s="128"/>
    </row>
    <row r="14669" spans="1:9" ht="13.5">
      <c r="A14669" s="128"/>
      <c r="B14669" s="128"/>
      <c r="C14669" s="128"/>
      <c r="D14669" s="128"/>
      <c r="E14669" s="128"/>
      <c r="F14669" s="128"/>
      <c r="G14669" s="128"/>
      <c r="H14669" s="128"/>
      <c r="I14669" s="128"/>
    </row>
    <row r="14670" spans="1:9" ht="13.5">
      <c r="A14670" s="128"/>
      <c r="B14670" s="128"/>
      <c r="C14670" s="128"/>
      <c r="D14670" s="128"/>
      <c r="E14670" s="128"/>
      <c r="F14670" s="128"/>
      <c r="G14670" s="128"/>
      <c r="H14670" s="128"/>
      <c r="I14670" s="128"/>
    </row>
    <row r="14671" spans="1:9" ht="13.5">
      <c r="A14671" s="128"/>
      <c r="B14671" s="128"/>
      <c r="C14671" s="128"/>
      <c r="D14671" s="128"/>
      <c r="E14671" s="128"/>
      <c r="F14671" s="128"/>
      <c r="G14671" s="128"/>
      <c r="H14671" s="128"/>
      <c r="I14671" s="128"/>
    </row>
    <row r="14672" spans="1:9" ht="13.5">
      <c r="A14672" s="128"/>
      <c r="B14672" s="128"/>
      <c r="C14672" s="128"/>
      <c r="D14672" s="128"/>
      <c r="E14672" s="128"/>
      <c r="F14672" s="128"/>
      <c r="G14672" s="128"/>
      <c r="H14672" s="128"/>
      <c r="I14672" s="128"/>
    </row>
    <row r="14673" spans="1:9" ht="13.5">
      <c r="A14673" s="128"/>
      <c r="B14673" s="128"/>
      <c r="C14673" s="128"/>
      <c r="D14673" s="128"/>
      <c r="E14673" s="128"/>
      <c r="F14673" s="128"/>
      <c r="G14673" s="128"/>
      <c r="H14673" s="128"/>
      <c r="I14673" s="128"/>
    </row>
    <row r="14674" spans="1:9" ht="13.5">
      <c r="A14674" s="128"/>
      <c r="B14674" s="128"/>
      <c r="C14674" s="128"/>
      <c r="D14674" s="128"/>
      <c r="E14674" s="128"/>
      <c r="F14674" s="128"/>
      <c r="G14674" s="128"/>
      <c r="H14674" s="128"/>
      <c r="I14674" s="128"/>
    </row>
    <row r="14675" spans="1:9" ht="13.5">
      <c r="A14675" s="128"/>
      <c r="B14675" s="128"/>
      <c r="C14675" s="128"/>
      <c r="D14675" s="128"/>
      <c r="E14675" s="128"/>
      <c r="F14675" s="128"/>
      <c r="G14675" s="128"/>
      <c r="H14675" s="128"/>
      <c r="I14675" s="128"/>
    </row>
    <row r="14676" spans="1:9" ht="13.5">
      <c r="A14676" s="128"/>
      <c r="B14676" s="128"/>
      <c r="C14676" s="128"/>
      <c r="D14676" s="128"/>
      <c r="E14676" s="128"/>
      <c r="F14676" s="128"/>
      <c r="G14676" s="128"/>
      <c r="H14676" s="128"/>
      <c r="I14676" s="128"/>
    </row>
    <row r="14677" spans="1:9" ht="13.5">
      <c r="A14677" s="128"/>
      <c r="B14677" s="128"/>
      <c r="C14677" s="128"/>
      <c r="D14677" s="128"/>
      <c r="E14677" s="128"/>
      <c r="F14677" s="128"/>
      <c r="G14677" s="128"/>
      <c r="H14677" s="128"/>
      <c r="I14677" s="128"/>
    </row>
    <row r="14678" spans="1:9" ht="13.5">
      <c r="A14678" s="128"/>
      <c r="B14678" s="128"/>
      <c r="C14678" s="128"/>
      <c r="D14678" s="128"/>
      <c r="E14678" s="128"/>
      <c r="F14678" s="128"/>
      <c r="G14678" s="128"/>
      <c r="H14678" s="128"/>
      <c r="I14678" s="128"/>
    </row>
    <row r="14679" spans="1:9" ht="13.5">
      <c r="A14679" s="128"/>
      <c r="B14679" s="128"/>
      <c r="C14679" s="128"/>
      <c r="D14679" s="128"/>
      <c r="E14679" s="128"/>
      <c r="F14679" s="128"/>
      <c r="G14679" s="128"/>
      <c r="H14679" s="128"/>
      <c r="I14679" s="128"/>
    </row>
    <row r="14680" spans="1:9" ht="13.5">
      <c r="A14680" s="128"/>
      <c r="B14680" s="128"/>
      <c r="C14680" s="128"/>
      <c r="D14680" s="128"/>
      <c r="E14680" s="128"/>
      <c r="F14680" s="128"/>
      <c r="G14680" s="128"/>
      <c r="H14680" s="128"/>
      <c r="I14680" s="128"/>
    </row>
    <row r="14681" spans="1:9" ht="13.5">
      <c r="A14681" s="128"/>
      <c r="B14681" s="128"/>
      <c r="C14681" s="128"/>
      <c r="D14681" s="128"/>
      <c r="E14681" s="128"/>
      <c r="F14681" s="128"/>
      <c r="G14681" s="128"/>
      <c r="H14681" s="128"/>
      <c r="I14681" s="128"/>
    </row>
    <row r="14682" spans="1:9" ht="13.5">
      <c r="A14682" s="128"/>
      <c r="B14682" s="128"/>
      <c r="C14682" s="128"/>
      <c r="D14682" s="128"/>
      <c r="E14682" s="128"/>
      <c r="F14682" s="128"/>
      <c r="G14682" s="128"/>
      <c r="H14682" s="128"/>
      <c r="I14682" s="128"/>
    </row>
    <row r="14683" spans="1:9" ht="13.5">
      <c r="A14683" s="128"/>
      <c r="B14683" s="128"/>
      <c r="C14683" s="128"/>
      <c r="D14683" s="128"/>
      <c r="E14683" s="128"/>
      <c r="F14683" s="128"/>
      <c r="G14683" s="128"/>
      <c r="H14683" s="128"/>
      <c r="I14683" s="128"/>
    </row>
    <row r="14684" spans="1:9" ht="13.5">
      <c r="A14684" s="128"/>
      <c r="B14684" s="128"/>
      <c r="C14684" s="128"/>
      <c r="D14684" s="128"/>
      <c r="E14684" s="128"/>
      <c r="F14684" s="128"/>
      <c r="G14684" s="128"/>
      <c r="H14684" s="128"/>
      <c r="I14684" s="128"/>
    </row>
    <row r="14685" spans="1:9" ht="13.5">
      <c r="A14685" s="128"/>
      <c r="B14685" s="128"/>
      <c r="C14685" s="128"/>
      <c r="D14685" s="128"/>
      <c r="E14685" s="128"/>
      <c r="F14685" s="128"/>
      <c r="G14685" s="128"/>
      <c r="H14685" s="128"/>
      <c r="I14685" s="128"/>
    </row>
    <row r="14686" spans="1:9" ht="13.5">
      <c r="A14686" s="128"/>
      <c r="B14686" s="128"/>
      <c r="C14686" s="128"/>
      <c r="D14686" s="128"/>
      <c r="E14686" s="128"/>
      <c r="F14686" s="128"/>
      <c r="G14686" s="128"/>
      <c r="H14686" s="128"/>
      <c r="I14686" s="128"/>
    </row>
    <row r="14687" spans="1:9" ht="13.5">
      <c r="A14687" s="128"/>
      <c r="B14687" s="128"/>
      <c r="C14687" s="128"/>
      <c r="D14687" s="128"/>
      <c r="E14687" s="128"/>
      <c r="F14687" s="128"/>
      <c r="G14687" s="128"/>
      <c r="H14687" s="128"/>
      <c r="I14687" s="128"/>
    </row>
    <row r="14688" spans="1:9" ht="13.5">
      <c r="A14688" s="128"/>
      <c r="B14688" s="128"/>
      <c r="C14688" s="128"/>
      <c r="D14688" s="128"/>
      <c r="E14688" s="128"/>
      <c r="F14688" s="128"/>
      <c r="G14688" s="128"/>
      <c r="H14688" s="128"/>
      <c r="I14688" s="128"/>
    </row>
    <row r="14689" spans="1:9" ht="13.5">
      <c r="A14689" s="128"/>
      <c r="B14689" s="128"/>
      <c r="C14689" s="128"/>
      <c r="D14689" s="128"/>
      <c r="E14689" s="128"/>
      <c r="F14689" s="128"/>
      <c r="G14689" s="128"/>
      <c r="H14689" s="128"/>
      <c r="I14689" s="128"/>
    </row>
    <row r="14690" spans="1:9" ht="13.5">
      <c r="A14690" s="128"/>
      <c r="B14690" s="128"/>
      <c r="C14690" s="128"/>
      <c r="D14690" s="128"/>
      <c r="E14690" s="128"/>
      <c r="F14690" s="128"/>
      <c r="G14690" s="128"/>
      <c r="H14690" s="128"/>
      <c r="I14690" s="128"/>
    </row>
    <row r="14691" spans="1:9" ht="13.5">
      <c r="A14691" s="128"/>
      <c r="B14691" s="128"/>
      <c r="C14691" s="128"/>
      <c r="D14691" s="128"/>
      <c r="E14691" s="128"/>
      <c r="F14691" s="128"/>
      <c r="G14691" s="128"/>
      <c r="H14691" s="128"/>
      <c r="I14691" s="128"/>
    </row>
    <row r="14692" spans="1:9" ht="13.5">
      <c r="A14692" s="128"/>
      <c r="B14692" s="128"/>
      <c r="C14692" s="128"/>
      <c r="D14692" s="128"/>
      <c r="E14692" s="128"/>
      <c r="F14692" s="128"/>
      <c r="G14692" s="128"/>
      <c r="H14692" s="128"/>
      <c r="I14692" s="128"/>
    </row>
    <row r="14693" spans="1:9" ht="13.5">
      <c r="A14693" s="128"/>
      <c r="B14693" s="128"/>
      <c r="C14693" s="128"/>
      <c r="D14693" s="128"/>
      <c r="E14693" s="128"/>
      <c r="F14693" s="128"/>
      <c r="G14693" s="128"/>
      <c r="H14693" s="128"/>
      <c r="I14693" s="128"/>
    </row>
    <row r="14694" spans="1:9" ht="13.5">
      <c r="A14694" s="128"/>
      <c r="B14694" s="128"/>
      <c r="C14694" s="128"/>
      <c r="D14694" s="128"/>
      <c r="E14694" s="128"/>
      <c r="F14694" s="128"/>
      <c r="G14694" s="128"/>
      <c r="H14694" s="128"/>
      <c r="I14694" s="128"/>
    </row>
    <row r="14695" spans="1:9" ht="13.5">
      <c r="A14695" s="128"/>
      <c r="B14695" s="128"/>
      <c r="C14695" s="128"/>
      <c r="D14695" s="128"/>
      <c r="E14695" s="128"/>
      <c r="F14695" s="128"/>
      <c r="G14695" s="128"/>
      <c r="H14695" s="128"/>
      <c r="I14695" s="128"/>
    </row>
    <row r="14696" spans="1:9" ht="13.5">
      <c r="A14696" s="128"/>
      <c r="B14696" s="128"/>
      <c r="C14696" s="128"/>
      <c r="D14696" s="128"/>
      <c r="E14696" s="128"/>
      <c r="F14696" s="128"/>
      <c r="G14696" s="128"/>
      <c r="H14696" s="128"/>
      <c r="I14696" s="128"/>
    </row>
    <row r="14697" spans="1:9" ht="13.5">
      <c r="A14697" s="128"/>
      <c r="B14697" s="128"/>
      <c r="C14697" s="128"/>
      <c r="D14697" s="128"/>
      <c r="E14697" s="128"/>
      <c r="F14697" s="128"/>
      <c r="G14697" s="128"/>
      <c r="H14697" s="128"/>
      <c r="I14697" s="128"/>
    </row>
    <row r="14698" spans="1:9" ht="13.5">
      <c r="A14698" s="128"/>
      <c r="B14698" s="128"/>
      <c r="C14698" s="128"/>
      <c r="D14698" s="128"/>
      <c r="E14698" s="128"/>
      <c r="F14698" s="128"/>
      <c r="G14698" s="128"/>
      <c r="H14698" s="128"/>
      <c r="I14698" s="128"/>
    </row>
    <row r="14699" spans="1:9" ht="13.5">
      <c r="A14699" s="128"/>
      <c r="B14699" s="128"/>
      <c r="C14699" s="128"/>
      <c r="D14699" s="128"/>
      <c r="E14699" s="128"/>
      <c r="F14699" s="128"/>
      <c r="G14699" s="128"/>
      <c r="H14699" s="128"/>
      <c r="I14699" s="128"/>
    </row>
    <row r="14700" spans="1:9" ht="13.5">
      <c r="A14700" s="128"/>
      <c r="B14700" s="128"/>
      <c r="C14700" s="128"/>
      <c r="D14700" s="128"/>
      <c r="E14700" s="128"/>
      <c r="F14700" s="128"/>
      <c r="G14700" s="128"/>
      <c r="H14700" s="128"/>
      <c r="I14700" s="128"/>
    </row>
    <row r="14701" spans="1:9" ht="13.5">
      <c r="A14701" s="128"/>
      <c r="B14701" s="128"/>
      <c r="C14701" s="128"/>
      <c r="D14701" s="128"/>
      <c r="E14701" s="128"/>
      <c r="F14701" s="128"/>
      <c r="G14701" s="128"/>
      <c r="H14701" s="128"/>
      <c r="I14701" s="128"/>
    </row>
    <row r="14702" spans="1:9" ht="13.5">
      <c r="A14702" s="128"/>
      <c r="B14702" s="128"/>
      <c r="C14702" s="128"/>
      <c r="D14702" s="128"/>
      <c r="E14702" s="128"/>
      <c r="F14702" s="128"/>
      <c r="G14702" s="128"/>
      <c r="H14702" s="128"/>
      <c r="I14702" s="128"/>
    </row>
    <row r="14703" spans="1:9" ht="13.5">
      <c r="A14703" s="128"/>
      <c r="B14703" s="128"/>
      <c r="C14703" s="128"/>
      <c r="D14703" s="128"/>
      <c r="E14703" s="128"/>
      <c r="F14703" s="128"/>
      <c r="G14703" s="128"/>
      <c r="H14703" s="128"/>
      <c r="I14703" s="128"/>
    </row>
    <row r="14704" spans="1:9" ht="13.5">
      <c r="A14704" s="128"/>
      <c r="B14704" s="128"/>
      <c r="C14704" s="128"/>
      <c r="D14704" s="128"/>
      <c r="E14704" s="128"/>
      <c r="F14704" s="128"/>
      <c r="G14704" s="128"/>
      <c r="H14704" s="128"/>
      <c r="I14704" s="128"/>
    </row>
    <row r="14705" spans="1:9" ht="13.5">
      <c r="A14705" s="128"/>
      <c r="B14705" s="128"/>
      <c r="C14705" s="128"/>
      <c r="D14705" s="128"/>
      <c r="E14705" s="128"/>
      <c r="F14705" s="128"/>
      <c r="G14705" s="128"/>
      <c r="H14705" s="128"/>
      <c r="I14705" s="128"/>
    </row>
    <row r="14706" spans="1:9" ht="13.5">
      <c r="A14706" s="128"/>
      <c r="B14706" s="128"/>
      <c r="C14706" s="128"/>
      <c r="D14706" s="128"/>
      <c r="E14706" s="128"/>
      <c r="F14706" s="128"/>
      <c r="G14706" s="128"/>
      <c r="H14706" s="128"/>
      <c r="I14706" s="128"/>
    </row>
    <row r="14707" spans="1:9" ht="13.5">
      <c r="A14707" s="128"/>
      <c r="B14707" s="128"/>
      <c r="C14707" s="128"/>
      <c r="D14707" s="128"/>
      <c r="E14707" s="128"/>
      <c r="F14707" s="128"/>
      <c r="G14707" s="128"/>
      <c r="H14707" s="128"/>
      <c r="I14707" s="128"/>
    </row>
    <row r="14708" spans="1:9" ht="13.5">
      <c r="A14708" s="128"/>
      <c r="B14708" s="128"/>
      <c r="C14708" s="128"/>
      <c r="D14708" s="128"/>
      <c r="E14708" s="128"/>
      <c r="F14708" s="128"/>
      <c r="G14708" s="128"/>
      <c r="H14708" s="128"/>
      <c r="I14708" s="128"/>
    </row>
    <row r="14709" spans="1:9" ht="13.5">
      <c r="A14709" s="128"/>
      <c r="B14709" s="128"/>
      <c r="C14709" s="128"/>
      <c r="D14709" s="128"/>
      <c r="E14709" s="128"/>
      <c r="F14709" s="128"/>
      <c r="G14709" s="128"/>
      <c r="H14709" s="128"/>
      <c r="I14709" s="128"/>
    </row>
    <row r="14710" spans="1:9" ht="13.5">
      <c r="A14710" s="128"/>
      <c r="B14710" s="128"/>
      <c r="C14710" s="128"/>
      <c r="D14710" s="128"/>
      <c r="E14710" s="128"/>
      <c r="F14710" s="128"/>
      <c r="G14710" s="128"/>
      <c r="H14710" s="128"/>
      <c r="I14710" s="128"/>
    </row>
    <row r="14711" spans="1:9" ht="13.5">
      <c r="A14711" s="128"/>
      <c r="B14711" s="128"/>
      <c r="C14711" s="128"/>
      <c r="D14711" s="128"/>
      <c r="E14711" s="128"/>
      <c r="F14711" s="128"/>
      <c r="G14711" s="128"/>
      <c r="H14711" s="128"/>
      <c r="I14711" s="128"/>
    </row>
    <row r="14712" spans="1:9" ht="13.5">
      <c r="A14712" s="128"/>
      <c r="B14712" s="128"/>
      <c r="C14712" s="128"/>
      <c r="D14712" s="128"/>
      <c r="E14712" s="128"/>
      <c r="F14712" s="128"/>
      <c r="G14712" s="128"/>
      <c r="H14712" s="128"/>
      <c r="I14712" s="128"/>
    </row>
    <row r="14713" spans="1:9" ht="13.5">
      <c r="A14713" s="128"/>
      <c r="B14713" s="128"/>
      <c r="C14713" s="128"/>
      <c r="D14713" s="128"/>
      <c r="E14713" s="128"/>
      <c r="F14713" s="128"/>
      <c r="G14713" s="128"/>
      <c r="H14713" s="128"/>
      <c r="I14713" s="128"/>
    </row>
    <row r="14714" spans="1:9" ht="13.5">
      <c r="A14714" s="128"/>
      <c r="B14714" s="128"/>
      <c r="C14714" s="128"/>
      <c r="D14714" s="128"/>
      <c r="E14714" s="128"/>
      <c r="F14714" s="128"/>
      <c r="G14714" s="128"/>
      <c r="H14714" s="128"/>
      <c r="I14714" s="128"/>
    </row>
    <row r="14715" spans="1:9" ht="13.5">
      <c r="A14715" s="128"/>
      <c r="B14715" s="128"/>
      <c r="C14715" s="128"/>
      <c r="D14715" s="128"/>
      <c r="E14715" s="128"/>
      <c r="F14715" s="128"/>
      <c r="G14715" s="128"/>
      <c r="H14715" s="128"/>
      <c r="I14715" s="128"/>
    </row>
    <row r="14716" spans="1:9" ht="13.5">
      <c r="A14716" s="128"/>
      <c r="B14716" s="128"/>
      <c r="C14716" s="128"/>
      <c r="D14716" s="128"/>
      <c r="E14716" s="128"/>
      <c r="F14716" s="128"/>
      <c r="G14716" s="128"/>
      <c r="H14716" s="128"/>
      <c r="I14716" s="128"/>
    </row>
    <row r="14717" spans="1:9" ht="13.5">
      <c r="A14717" s="128"/>
      <c r="B14717" s="128"/>
      <c r="C14717" s="128"/>
      <c r="D14717" s="128"/>
      <c r="E14717" s="128"/>
      <c r="F14717" s="128"/>
      <c r="G14717" s="128"/>
      <c r="H14717" s="128"/>
      <c r="I14717" s="128"/>
    </row>
    <row r="14718" spans="1:9" ht="13.5">
      <c r="A14718" s="128"/>
      <c r="B14718" s="128"/>
      <c r="C14718" s="128"/>
      <c r="D14718" s="128"/>
      <c r="E14718" s="128"/>
      <c r="F14718" s="128"/>
      <c r="G14718" s="128"/>
      <c r="H14718" s="128"/>
      <c r="I14718" s="128"/>
    </row>
    <row r="14719" spans="1:9" ht="13.5">
      <c r="A14719" s="128"/>
      <c r="B14719" s="128"/>
      <c r="C14719" s="128"/>
      <c r="D14719" s="128"/>
      <c r="E14719" s="128"/>
      <c r="F14719" s="128"/>
      <c r="G14719" s="128"/>
      <c r="H14719" s="128"/>
      <c r="I14719" s="128"/>
    </row>
    <row r="14720" spans="1:9" ht="13.5">
      <c r="A14720" s="128"/>
      <c r="B14720" s="128"/>
      <c r="C14720" s="128"/>
      <c r="D14720" s="128"/>
      <c r="E14720" s="128"/>
      <c r="F14720" s="128"/>
      <c r="G14720" s="128"/>
      <c r="H14720" s="128"/>
      <c r="I14720" s="128"/>
    </row>
    <row r="14721" spans="1:9" ht="13.5">
      <c r="A14721" s="128"/>
      <c r="B14721" s="128"/>
      <c r="C14721" s="128"/>
      <c r="D14721" s="128"/>
      <c r="E14721" s="128"/>
      <c r="F14721" s="128"/>
      <c r="G14721" s="128"/>
      <c r="H14721" s="128"/>
      <c r="I14721" s="128"/>
    </row>
    <row r="14722" spans="1:9" ht="13.5">
      <c r="A14722" s="128"/>
      <c r="B14722" s="128"/>
      <c r="C14722" s="128"/>
      <c r="D14722" s="128"/>
      <c r="E14722" s="128"/>
      <c r="F14722" s="128"/>
      <c r="G14722" s="128"/>
      <c r="H14722" s="128"/>
      <c r="I14722" s="128"/>
    </row>
    <row r="14723" spans="1:9" ht="13.5">
      <c r="A14723" s="128"/>
      <c r="B14723" s="128"/>
      <c r="C14723" s="128"/>
      <c r="D14723" s="128"/>
      <c r="E14723" s="128"/>
      <c r="F14723" s="128"/>
      <c r="G14723" s="128"/>
      <c r="H14723" s="128"/>
      <c r="I14723" s="128"/>
    </row>
    <row r="14724" spans="1:9" ht="13.5">
      <c r="A14724" s="128"/>
      <c r="B14724" s="128"/>
      <c r="C14724" s="128"/>
      <c r="D14724" s="128"/>
      <c r="E14724" s="128"/>
      <c r="F14724" s="128"/>
      <c r="G14724" s="128"/>
      <c r="H14724" s="128"/>
      <c r="I14724" s="128"/>
    </row>
    <row r="14725" spans="1:9" ht="13.5">
      <c r="A14725" s="128"/>
      <c r="B14725" s="128"/>
      <c r="C14725" s="128"/>
      <c r="D14725" s="128"/>
      <c r="E14725" s="128"/>
      <c r="F14725" s="128"/>
      <c r="G14725" s="128"/>
      <c r="H14725" s="128"/>
      <c r="I14725" s="128"/>
    </row>
    <row r="14726" spans="1:9" ht="13.5">
      <c r="A14726" s="128"/>
      <c r="B14726" s="128"/>
      <c r="C14726" s="128"/>
      <c r="D14726" s="128"/>
      <c r="E14726" s="128"/>
      <c r="F14726" s="128"/>
      <c r="G14726" s="128"/>
      <c r="H14726" s="128"/>
      <c r="I14726" s="128"/>
    </row>
    <row r="14727" spans="1:9" ht="13.5">
      <c r="A14727" s="128"/>
      <c r="B14727" s="128"/>
      <c r="C14727" s="128"/>
      <c r="D14727" s="128"/>
      <c r="E14727" s="128"/>
      <c r="F14727" s="128"/>
      <c r="G14727" s="128"/>
      <c r="H14727" s="128"/>
      <c r="I14727" s="128"/>
    </row>
    <row r="14728" spans="1:9" ht="13.5">
      <c r="A14728" s="128"/>
      <c r="B14728" s="128"/>
      <c r="C14728" s="128"/>
      <c r="D14728" s="128"/>
      <c r="E14728" s="128"/>
      <c r="F14728" s="128"/>
      <c r="G14728" s="128"/>
      <c r="H14728" s="128"/>
      <c r="I14728" s="128"/>
    </row>
    <row r="14729" spans="1:9" ht="13.5">
      <c r="A14729" s="128"/>
      <c r="B14729" s="128"/>
      <c r="C14729" s="128"/>
      <c r="D14729" s="128"/>
      <c r="E14729" s="128"/>
      <c r="F14729" s="128"/>
      <c r="G14729" s="128"/>
      <c r="H14729" s="128"/>
      <c r="I14729" s="128"/>
    </row>
    <row r="14730" spans="1:9" ht="13.5">
      <c r="A14730" s="128"/>
      <c r="B14730" s="128"/>
      <c r="C14730" s="128"/>
      <c r="D14730" s="128"/>
      <c r="E14730" s="128"/>
      <c r="F14730" s="128"/>
      <c r="G14730" s="128"/>
      <c r="H14730" s="128"/>
      <c r="I14730" s="128"/>
    </row>
    <row r="14731" spans="1:9" ht="13.5">
      <c r="A14731" s="128"/>
      <c r="B14731" s="128"/>
      <c r="C14731" s="128"/>
      <c r="D14731" s="128"/>
      <c r="E14731" s="128"/>
      <c r="F14731" s="128"/>
      <c r="G14731" s="128"/>
      <c r="H14731" s="128"/>
      <c r="I14731" s="128"/>
    </row>
    <row r="14732" spans="1:9" ht="13.5">
      <c r="A14732" s="128"/>
      <c r="B14732" s="128"/>
      <c r="C14732" s="128"/>
      <c r="D14732" s="128"/>
      <c r="E14732" s="128"/>
      <c r="F14732" s="128"/>
      <c r="G14732" s="128"/>
      <c r="H14732" s="128"/>
      <c r="I14732" s="128"/>
    </row>
    <row r="14733" spans="1:9" ht="13.5">
      <c r="A14733" s="128"/>
      <c r="B14733" s="128"/>
      <c r="C14733" s="128"/>
      <c r="D14733" s="128"/>
      <c r="E14733" s="128"/>
      <c r="F14733" s="128"/>
      <c r="G14733" s="128"/>
      <c r="H14733" s="128"/>
      <c r="I14733" s="128"/>
    </row>
    <row r="14734" spans="1:9" ht="13.5">
      <c r="A14734" s="128"/>
      <c r="B14734" s="128"/>
      <c r="C14734" s="128"/>
      <c r="D14734" s="128"/>
      <c r="E14734" s="128"/>
      <c r="F14734" s="128"/>
      <c r="G14734" s="128"/>
      <c r="H14734" s="128"/>
      <c r="I14734" s="128"/>
    </row>
    <row r="14735" spans="1:9" ht="13.5">
      <c r="A14735" s="128"/>
      <c r="B14735" s="128"/>
      <c r="C14735" s="128"/>
      <c r="D14735" s="128"/>
      <c r="E14735" s="128"/>
      <c r="F14735" s="128"/>
      <c r="G14735" s="128"/>
      <c r="H14735" s="128"/>
      <c r="I14735" s="128"/>
    </row>
    <row r="14736" spans="1:9" ht="13.5">
      <c r="A14736" s="128"/>
      <c r="B14736" s="128"/>
      <c r="C14736" s="128"/>
      <c r="D14736" s="128"/>
      <c r="E14736" s="128"/>
      <c r="F14736" s="128"/>
      <c r="G14736" s="128"/>
      <c r="H14736" s="128"/>
      <c r="I14736" s="128"/>
    </row>
    <row r="14737" spans="1:9" ht="13.5">
      <c r="A14737" s="128"/>
      <c r="B14737" s="128"/>
      <c r="C14737" s="128"/>
      <c r="D14737" s="128"/>
      <c r="E14737" s="128"/>
      <c r="F14737" s="128"/>
      <c r="G14737" s="128"/>
      <c r="H14737" s="128"/>
      <c r="I14737" s="128"/>
    </row>
    <row r="14738" spans="1:9" ht="13.5">
      <c r="A14738" s="128"/>
      <c r="B14738" s="128"/>
      <c r="C14738" s="128"/>
      <c r="D14738" s="128"/>
      <c r="E14738" s="128"/>
      <c r="F14738" s="128"/>
      <c r="G14738" s="128"/>
      <c r="H14738" s="128"/>
      <c r="I14738" s="128"/>
    </row>
    <row r="14739" spans="1:9" ht="13.5">
      <c r="A14739" s="128"/>
      <c r="B14739" s="128"/>
      <c r="C14739" s="128"/>
      <c r="D14739" s="128"/>
      <c r="E14739" s="128"/>
      <c r="F14739" s="128"/>
      <c r="G14739" s="128"/>
      <c r="H14739" s="128"/>
      <c r="I14739" s="128"/>
    </row>
    <row r="14740" spans="1:9" ht="13.5">
      <c r="A14740" s="128"/>
      <c r="B14740" s="128"/>
      <c r="C14740" s="128"/>
      <c r="D14740" s="128"/>
      <c r="E14740" s="128"/>
      <c r="F14740" s="128"/>
      <c r="G14740" s="128"/>
      <c r="H14740" s="128"/>
      <c r="I14740" s="128"/>
    </row>
    <row r="14741" spans="1:9" ht="13.5">
      <c r="A14741" s="128"/>
      <c r="B14741" s="128"/>
      <c r="C14741" s="128"/>
      <c r="D14741" s="128"/>
      <c r="E14741" s="128"/>
      <c r="F14741" s="128"/>
      <c r="G14741" s="128"/>
      <c r="H14741" s="128"/>
      <c r="I14741" s="128"/>
    </row>
    <row r="14742" spans="1:9" ht="13.5">
      <c r="A14742" s="128"/>
      <c r="B14742" s="128"/>
      <c r="C14742" s="128"/>
      <c r="D14742" s="128"/>
      <c r="E14742" s="128"/>
      <c r="F14742" s="128"/>
      <c r="G14742" s="128"/>
      <c r="H14742" s="128"/>
      <c r="I14742" s="128"/>
    </row>
    <row r="14743" spans="1:9" ht="13.5">
      <c r="A14743" s="128"/>
      <c r="B14743" s="128"/>
      <c r="C14743" s="128"/>
      <c r="D14743" s="128"/>
      <c r="E14743" s="128"/>
      <c r="F14743" s="128"/>
      <c r="G14743" s="128"/>
      <c r="H14743" s="128"/>
      <c r="I14743" s="128"/>
    </row>
    <row r="14744" spans="1:9" ht="13.5">
      <c r="A14744" s="128"/>
      <c r="B14744" s="128"/>
      <c r="C14744" s="128"/>
      <c r="D14744" s="128"/>
      <c r="E14744" s="128"/>
      <c r="F14744" s="128"/>
      <c r="G14744" s="128"/>
      <c r="H14744" s="128"/>
      <c r="I14744" s="128"/>
    </row>
    <row r="14745" spans="1:9" ht="13.5">
      <c r="A14745" s="128"/>
      <c r="B14745" s="128"/>
      <c r="C14745" s="128"/>
      <c r="D14745" s="128"/>
      <c r="E14745" s="128"/>
      <c r="F14745" s="128"/>
      <c r="G14745" s="128"/>
      <c r="H14745" s="128"/>
      <c r="I14745" s="128"/>
    </row>
    <row r="14746" spans="1:9" ht="13.5">
      <c r="A14746" s="128"/>
      <c r="B14746" s="128"/>
      <c r="C14746" s="128"/>
      <c r="D14746" s="128"/>
      <c r="E14746" s="128"/>
      <c r="F14746" s="128"/>
      <c r="G14746" s="128"/>
      <c r="H14746" s="128"/>
      <c r="I14746" s="128"/>
    </row>
    <row r="14747" spans="1:9" ht="13.5">
      <c r="A14747" s="128"/>
      <c r="B14747" s="128"/>
      <c r="C14747" s="128"/>
      <c r="D14747" s="128"/>
      <c r="E14747" s="128"/>
      <c r="F14747" s="128"/>
      <c r="G14747" s="128"/>
      <c r="H14747" s="128"/>
      <c r="I14747" s="128"/>
    </row>
    <row r="14748" spans="1:9" ht="13.5">
      <c r="A14748" s="128"/>
      <c r="B14748" s="128"/>
      <c r="C14748" s="128"/>
      <c r="D14748" s="128"/>
      <c r="E14748" s="128"/>
      <c r="F14748" s="128"/>
      <c r="G14748" s="128"/>
      <c r="H14748" s="128"/>
      <c r="I14748" s="128"/>
    </row>
    <row r="14749" spans="1:9" ht="13.5">
      <c r="A14749" s="128"/>
      <c r="B14749" s="128"/>
      <c r="C14749" s="128"/>
      <c r="D14749" s="128"/>
      <c r="E14749" s="128"/>
      <c r="F14749" s="128"/>
      <c r="G14749" s="128"/>
      <c r="H14749" s="128"/>
      <c r="I14749" s="128"/>
    </row>
    <row r="14750" spans="1:9" ht="13.5">
      <c r="A14750" s="128"/>
      <c r="B14750" s="128"/>
      <c r="C14750" s="128"/>
      <c r="D14750" s="128"/>
      <c r="E14750" s="128"/>
      <c r="F14750" s="128"/>
      <c r="G14750" s="128"/>
      <c r="H14750" s="128"/>
      <c r="I14750" s="128"/>
    </row>
    <row r="14751" spans="1:9" ht="13.5">
      <c r="A14751" s="128"/>
      <c r="B14751" s="128"/>
      <c r="C14751" s="128"/>
      <c r="D14751" s="128"/>
      <c r="E14751" s="128"/>
      <c r="F14751" s="128"/>
      <c r="G14751" s="128"/>
      <c r="H14751" s="128"/>
      <c r="I14751" s="128"/>
    </row>
    <row r="14752" spans="1:9" ht="13.5">
      <c r="A14752" s="128"/>
      <c r="B14752" s="128"/>
      <c r="C14752" s="128"/>
      <c r="D14752" s="128"/>
      <c r="E14752" s="128"/>
      <c r="F14752" s="128"/>
      <c r="G14752" s="128"/>
      <c r="H14752" s="128"/>
      <c r="I14752" s="128"/>
    </row>
    <row r="14753" spans="1:9" ht="13.5">
      <c r="A14753" s="128"/>
      <c r="B14753" s="128"/>
      <c r="C14753" s="128"/>
      <c r="D14753" s="128"/>
      <c r="E14753" s="128"/>
      <c r="F14753" s="128"/>
      <c r="G14753" s="128"/>
      <c r="H14753" s="128"/>
      <c r="I14753" s="128"/>
    </row>
    <row r="14754" spans="1:9" ht="13.5">
      <c r="A14754" s="128"/>
      <c r="B14754" s="128"/>
      <c r="C14754" s="128"/>
      <c r="D14754" s="128"/>
      <c r="E14754" s="128"/>
      <c r="F14754" s="128"/>
      <c r="G14754" s="128"/>
      <c r="H14754" s="128"/>
      <c r="I14754" s="128"/>
    </row>
    <row r="14755" spans="1:9" ht="13.5">
      <c r="A14755" s="128"/>
      <c r="B14755" s="128"/>
      <c r="C14755" s="128"/>
      <c r="D14755" s="128"/>
      <c r="E14755" s="128"/>
      <c r="F14755" s="128"/>
      <c r="G14755" s="128"/>
      <c r="H14755" s="128"/>
      <c r="I14755" s="128"/>
    </row>
    <row r="14756" spans="1:9" ht="13.5">
      <c r="A14756" s="128"/>
      <c r="B14756" s="128"/>
      <c r="C14756" s="128"/>
      <c r="D14756" s="128"/>
      <c r="E14756" s="128"/>
      <c r="F14756" s="128"/>
      <c r="G14756" s="128"/>
      <c r="H14756" s="128"/>
      <c r="I14756" s="128"/>
    </row>
    <row r="14757" spans="1:9" ht="13.5">
      <c r="A14757" s="128"/>
      <c r="B14757" s="128"/>
      <c r="C14757" s="128"/>
      <c r="D14757" s="128"/>
      <c r="E14757" s="128"/>
      <c r="F14757" s="128"/>
      <c r="G14757" s="128"/>
      <c r="H14757" s="128"/>
      <c r="I14757" s="128"/>
    </row>
    <row r="14758" spans="1:9" ht="13.5">
      <c r="A14758" s="128"/>
      <c r="B14758" s="128"/>
      <c r="C14758" s="128"/>
      <c r="D14758" s="128"/>
      <c r="E14758" s="128"/>
      <c r="F14758" s="128"/>
      <c r="G14758" s="128"/>
      <c r="H14758" s="128"/>
      <c r="I14758" s="128"/>
    </row>
    <row r="14759" spans="1:9" ht="13.5">
      <c r="A14759" s="128"/>
      <c r="B14759" s="128"/>
      <c r="C14759" s="128"/>
      <c r="D14759" s="128"/>
      <c r="E14759" s="128"/>
      <c r="F14759" s="128"/>
      <c r="G14759" s="128"/>
      <c r="H14759" s="128"/>
      <c r="I14759" s="128"/>
    </row>
    <row r="14760" spans="1:9" ht="13.5">
      <c r="A14760" s="128"/>
      <c r="B14760" s="128"/>
      <c r="C14760" s="128"/>
      <c r="D14760" s="128"/>
      <c r="E14760" s="128"/>
      <c r="F14760" s="128"/>
      <c r="G14760" s="128"/>
      <c r="H14760" s="128"/>
      <c r="I14760" s="128"/>
    </row>
    <row r="14761" spans="1:9" ht="13.5">
      <c r="A14761" s="128"/>
      <c r="B14761" s="128"/>
      <c r="C14761" s="128"/>
      <c r="D14761" s="128"/>
      <c r="E14761" s="128"/>
      <c r="F14761" s="128"/>
      <c r="G14761" s="128"/>
      <c r="H14761" s="128"/>
      <c r="I14761" s="128"/>
    </row>
    <row r="14762" spans="1:9" ht="13.5">
      <c r="A14762" s="128"/>
      <c r="B14762" s="128"/>
      <c r="C14762" s="128"/>
      <c r="D14762" s="128"/>
      <c r="E14762" s="128"/>
      <c r="F14762" s="128"/>
      <c r="G14762" s="128"/>
      <c r="H14762" s="128"/>
      <c r="I14762" s="128"/>
    </row>
    <row r="14763" spans="1:9" ht="13.5">
      <c r="A14763" s="128"/>
      <c r="B14763" s="128"/>
      <c r="C14763" s="128"/>
      <c r="D14763" s="128"/>
      <c r="E14763" s="128"/>
      <c r="F14763" s="128"/>
      <c r="G14763" s="128"/>
      <c r="H14763" s="128"/>
      <c r="I14763" s="128"/>
    </row>
    <row r="14764" spans="1:9" ht="13.5">
      <c r="A14764" s="128"/>
      <c r="B14764" s="128"/>
      <c r="C14764" s="128"/>
      <c r="D14764" s="128"/>
      <c r="E14764" s="128"/>
      <c r="F14764" s="128"/>
      <c r="G14764" s="128"/>
      <c r="H14764" s="128"/>
      <c r="I14764" s="128"/>
    </row>
    <row r="14765" spans="1:9" ht="13.5">
      <c r="A14765" s="128"/>
      <c r="B14765" s="128"/>
      <c r="C14765" s="128"/>
      <c r="D14765" s="128"/>
      <c r="E14765" s="128"/>
      <c r="F14765" s="128"/>
      <c r="G14765" s="128"/>
      <c r="H14765" s="128"/>
      <c r="I14765" s="128"/>
    </row>
    <row r="14766" spans="1:9" ht="13.5">
      <c r="A14766" s="128"/>
      <c r="B14766" s="128"/>
      <c r="C14766" s="128"/>
      <c r="D14766" s="128"/>
      <c r="E14766" s="128"/>
      <c r="F14766" s="128"/>
      <c r="G14766" s="128"/>
      <c r="H14766" s="128"/>
      <c r="I14766" s="128"/>
    </row>
    <row r="14767" spans="1:9" ht="13.5">
      <c r="A14767" s="128"/>
      <c r="B14767" s="128"/>
      <c r="C14767" s="128"/>
      <c r="D14767" s="128"/>
      <c r="E14767" s="128"/>
      <c r="F14767" s="128"/>
      <c r="G14767" s="128"/>
      <c r="H14767" s="128"/>
      <c r="I14767" s="128"/>
    </row>
    <row r="14768" spans="1:9" ht="13.5">
      <c r="A14768" s="128"/>
      <c r="B14768" s="128"/>
      <c r="C14768" s="128"/>
      <c r="D14768" s="128"/>
      <c r="E14768" s="128"/>
      <c r="F14768" s="128"/>
      <c r="G14768" s="128"/>
      <c r="H14768" s="128"/>
      <c r="I14768" s="128"/>
    </row>
    <row r="14769" spans="1:9" ht="13.5">
      <c r="A14769" s="128"/>
      <c r="B14769" s="128"/>
      <c r="C14769" s="128"/>
      <c r="D14769" s="128"/>
      <c r="E14769" s="128"/>
      <c r="F14769" s="128"/>
      <c r="G14769" s="128"/>
      <c r="H14769" s="128"/>
      <c r="I14769" s="128"/>
    </row>
    <row r="14770" spans="1:9" ht="13.5">
      <c r="A14770" s="128"/>
      <c r="B14770" s="128"/>
      <c r="C14770" s="128"/>
      <c r="D14770" s="128"/>
      <c r="E14770" s="128"/>
      <c r="F14770" s="128"/>
      <c r="G14770" s="128"/>
      <c r="H14770" s="128"/>
      <c r="I14770" s="128"/>
    </row>
    <row r="14771" spans="1:9" ht="13.5">
      <c r="A14771" s="128"/>
      <c r="B14771" s="128"/>
      <c r="C14771" s="128"/>
      <c r="D14771" s="128"/>
      <c r="E14771" s="128"/>
      <c r="F14771" s="128"/>
      <c r="G14771" s="128"/>
      <c r="H14771" s="128"/>
      <c r="I14771" s="128"/>
    </row>
    <row r="14772" spans="1:9" ht="13.5">
      <c r="A14772" s="128"/>
      <c r="B14772" s="128"/>
      <c r="C14772" s="128"/>
      <c r="D14772" s="128"/>
      <c r="E14772" s="128"/>
      <c r="F14772" s="128"/>
      <c r="G14772" s="128"/>
      <c r="H14772" s="128"/>
      <c r="I14772" s="128"/>
    </row>
    <row r="14773" spans="1:9" ht="13.5">
      <c r="A14773" s="128"/>
      <c r="B14773" s="128"/>
      <c r="C14773" s="128"/>
      <c r="D14773" s="128"/>
      <c r="E14773" s="128"/>
      <c r="F14773" s="128"/>
      <c r="G14773" s="128"/>
      <c r="H14773" s="128"/>
      <c r="I14773" s="128"/>
    </row>
    <row r="14774" spans="1:9" ht="13.5">
      <c r="A14774" s="128"/>
      <c r="B14774" s="128"/>
      <c r="C14774" s="128"/>
      <c r="D14774" s="128"/>
      <c r="E14774" s="128"/>
      <c r="F14774" s="128"/>
      <c r="G14774" s="128"/>
      <c r="H14774" s="128"/>
      <c r="I14774" s="128"/>
    </row>
    <row r="14775" spans="1:9" ht="13.5">
      <c r="A14775" s="128"/>
      <c r="B14775" s="128"/>
      <c r="C14775" s="128"/>
      <c r="D14775" s="128"/>
      <c r="E14775" s="128"/>
      <c r="F14775" s="128"/>
      <c r="G14775" s="128"/>
      <c r="H14775" s="128"/>
      <c r="I14775" s="128"/>
    </row>
    <row r="14776" spans="1:9" ht="13.5">
      <c r="A14776" s="128"/>
      <c r="B14776" s="128"/>
      <c r="C14776" s="128"/>
      <c r="D14776" s="128"/>
      <c r="E14776" s="128"/>
      <c r="F14776" s="128"/>
      <c r="G14776" s="128"/>
      <c r="H14776" s="128"/>
      <c r="I14776" s="128"/>
    </row>
    <row r="14777" spans="1:9" ht="13.5">
      <c r="A14777" s="128"/>
      <c r="B14777" s="128"/>
      <c r="C14777" s="128"/>
      <c r="D14777" s="128"/>
      <c r="E14777" s="128"/>
      <c r="F14777" s="128"/>
      <c r="G14777" s="128"/>
      <c r="H14777" s="128"/>
      <c r="I14777" s="128"/>
    </row>
    <row r="14778" spans="1:9" ht="13.5">
      <c r="A14778" s="128"/>
      <c r="B14778" s="128"/>
      <c r="C14778" s="128"/>
      <c r="D14778" s="128"/>
      <c r="E14778" s="128"/>
      <c r="F14778" s="128"/>
      <c r="G14778" s="128"/>
      <c r="H14778" s="128"/>
      <c r="I14778" s="128"/>
    </row>
    <row r="14779" spans="1:9" ht="13.5">
      <c r="A14779" s="128"/>
      <c r="B14779" s="128"/>
      <c r="C14779" s="128"/>
      <c r="D14779" s="128"/>
      <c r="E14779" s="128"/>
      <c r="F14779" s="128"/>
      <c r="G14779" s="128"/>
      <c r="H14779" s="128"/>
      <c r="I14779" s="128"/>
    </row>
    <row r="14780" spans="1:9" ht="13.5">
      <c r="A14780" s="128"/>
      <c r="B14780" s="128"/>
      <c r="C14780" s="128"/>
      <c r="D14780" s="128"/>
      <c r="E14780" s="128"/>
      <c r="F14780" s="128"/>
      <c r="G14780" s="128"/>
      <c r="H14780" s="128"/>
      <c r="I14780" s="128"/>
    </row>
    <row r="14781" spans="1:9" ht="13.5">
      <c r="A14781" s="128"/>
      <c r="B14781" s="128"/>
      <c r="C14781" s="128"/>
      <c r="D14781" s="128"/>
      <c r="E14781" s="128"/>
      <c r="F14781" s="128"/>
      <c r="G14781" s="128"/>
      <c r="H14781" s="128"/>
      <c r="I14781" s="128"/>
    </row>
    <row r="14782" spans="1:9" ht="13.5">
      <c r="A14782" s="128"/>
      <c r="B14782" s="128"/>
      <c r="C14782" s="128"/>
      <c r="D14782" s="128"/>
      <c r="E14782" s="128"/>
      <c r="F14782" s="128"/>
      <c r="G14782" s="128"/>
      <c r="H14782" s="128"/>
      <c r="I14782" s="128"/>
    </row>
    <row r="14783" spans="1:9" ht="13.5">
      <c r="A14783" s="128"/>
      <c r="B14783" s="128"/>
      <c r="C14783" s="128"/>
      <c r="D14783" s="128"/>
      <c r="E14783" s="128"/>
      <c r="F14783" s="128"/>
      <c r="G14783" s="128"/>
      <c r="H14783" s="128"/>
      <c r="I14783" s="128"/>
    </row>
    <row r="14784" spans="1:9" ht="13.5">
      <c r="A14784" s="128"/>
      <c r="B14784" s="128"/>
      <c r="C14784" s="128"/>
      <c r="D14784" s="128"/>
      <c r="E14784" s="128"/>
      <c r="F14784" s="128"/>
      <c r="G14784" s="128"/>
      <c r="H14784" s="128"/>
      <c r="I14784" s="128"/>
    </row>
    <row r="14785" spans="1:9" ht="13.5">
      <c r="A14785" s="128"/>
      <c r="B14785" s="128"/>
      <c r="C14785" s="128"/>
      <c r="D14785" s="128"/>
      <c r="E14785" s="128"/>
      <c r="F14785" s="128"/>
      <c r="G14785" s="128"/>
      <c r="H14785" s="128"/>
      <c r="I14785" s="128"/>
    </row>
    <row r="14786" spans="1:9" ht="13.5">
      <c r="A14786" s="128"/>
      <c r="B14786" s="128"/>
      <c r="C14786" s="128"/>
      <c r="D14786" s="128"/>
      <c r="E14786" s="128"/>
      <c r="F14786" s="128"/>
      <c r="G14786" s="128"/>
      <c r="H14786" s="128"/>
      <c r="I14786" s="128"/>
    </row>
    <row r="14787" spans="1:9" ht="13.5">
      <c r="A14787" s="128"/>
      <c r="B14787" s="128"/>
      <c r="C14787" s="128"/>
      <c r="D14787" s="128"/>
      <c r="E14787" s="128"/>
      <c r="F14787" s="128"/>
      <c r="G14787" s="128"/>
      <c r="H14787" s="128"/>
      <c r="I14787" s="128"/>
    </row>
    <row r="14788" spans="1:9" ht="13.5">
      <c r="A14788" s="128"/>
      <c r="B14788" s="128"/>
      <c r="C14788" s="128"/>
      <c r="D14788" s="128"/>
      <c r="E14788" s="128"/>
      <c r="F14788" s="128"/>
      <c r="G14788" s="128"/>
      <c r="H14788" s="128"/>
      <c r="I14788" s="128"/>
    </row>
    <row r="14789" spans="1:9" ht="13.5">
      <c r="A14789" s="128"/>
      <c r="B14789" s="128"/>
      <c r="C14789" s="128"/>
      <c r="D14789" s="128"/>
      <c r="E14789" s="128"/>
      <c r="F14789" s="128"/>
      <c r="G14789" s="128"/>
      <c r="H14789" s="128"/>
      <c r="I14789" s="128"/>
    </row>
    <row r="14790" spans="1:9" ht="13.5">
      <c r="A14790" s="128"/>
      <c r="B14790" s="128"/>
      <c r="C14790" s="128"/>
      <c r="D14790" s="128"/>
      <c r="E14790" s="128"/>
      <c r="F14790" s="128"/>
      <c r="G14790" s="128"/>
      <c r="H14790" s="128"/>
      <c r="I14790" s="128"/>
    </row>
    <row r="14791" spans="1:9" ht="13.5">
      <c r="A14791" s="128"/>
      <c r="B14791" s="128"/>
      <c r="C14791" s="128"/>
      <c r="D14791" s="128"/>
      <c r="E14791" s="128"/>
      <c r="F14791" s="128"/>
      <c r="G14791" s="128"/>
      <c r="H14791" s="128"/>
      <c r="I14791" s="128"/>
    </row>
    <row r="14792" spans="1:9" ht="13.5">
      <c r="A14792" s="128"/>
      <c r="B14792" s="128"/>
      <c r="C14792" s="128"/>
      <c r="D14792" s="128"/>
      <c r="E14792" s="128"/>
      <c r="F14792" s="128"/>
      <c r="G14792" s="128"/>
      <c r="H14792" s="128"/>
      <c r="I14792" s="128"/>
    </row>
    <row r="14793" spans="1:9" ht="13.5">
      <c r="A14793" s="128"/>
      <c r="B14793" s="128"/>
      <c r="C14793" s="128"/>
      <c r="D14793" s="128"/>
      <c r="E14793" s="128"/>
      <c r="F14793" s="128"/>
      <c r="G14793" s="128"/>
      <c r="H14793" s="128"/>
      <c r="I14793" s="128"/>
    </row>
    <row r="14794" spans="1:9" ht="13.5">
      <c r="A14794" s="128"/>
      <c r="B14794" s="128"/>
      <c r="C14794" s="128"/>
      <c r="D14794" s="128"/>
      <c r="E14794" s="128"/>
      <c r="F14794" s="128"/>
      <c r="G14794" s="128"/>
      <c r="H14794" s="128"/>
      <c r="I14794" s="128"/>
    </row>
    <row r="14795" spans="1:9" ht="13.5">
      <c r="A14795" s="128"/>
      <c r="B14795" s="128"/>
      <c r="C14795" s="128"/>
      <c r="D14795" s="128"/>
      <c r="E14795" s="128"/>
      <c r="F14795" s="128"/>
      <c r="G14795" s="128"/>
      <c r="H14795" s="128"/>
      <c r="I14795" s="128"/>
    </row>
    <row r="14796" spans="1:9" ht="13.5">
      <c r="A14796" s="128"/>
      <c r="B14796" s="128"/>
      <c r="C14796" s="128"/>
      <c r="D14796" s="128"/>
      <c r="E14796" s="128"/>
      <c r="F14796" s="128"/>
      <c r="G14796" s="128"/>
      <c r="H14796" s="128"/>
      <c r="I14796" s="128"/>
    </row>
    <row r="14797" spans="1:9" ht="13.5">
      <c r="A14797" s="128"/>
      <c r="B14797" s="128"/>
      <c r="C14797" s="128"/>
      <c r="D14797" s="128"/>
      <c r="E14797" s="128"/>
      <c r="F14797" s="128"/>
      <c r="G14797" s="128"/>
      <c r="H14797" s="128"/>
      <c r="I14797" s="128"/>
    </row>
    <row r="14798" spans="1:9" ht="13.5">
      <c r="A14798" s="128"/>
      <c r="B14798" s="128"/>
      <c r="C14798" s="128"/>
      <c r="D14798" s="128"/>
      <c r="E14798" s="128"/>
      <c r="F14798" s="128"/>
      <c r="G14798" s="128"/>
      <c r="H14798" s="128"/>
      <c r="I14798" s="128"/>
    </row>
    <row r="14799" spans="1:9" ht="13.5">
      <c r="A14799" s="128"/>
      <c r="B14799" s="128"/>
      <c r="C14799" s="128"/>
      <c r="D14799" s="128"/>
      <c r="E14799" s="128"/>
      <c r="F14799" s="128"/>
      <c r="G14799" s="128"/>
      <c r="H14799" s="128"/>
      <c r="I14799" s="128"/>
    </row>
    <row r="14800" spans="1:9" ht="13.5">
      <c r="A14800" s="128"/>
      <c r="B14800" s="128"/>
      <c r="C14800" s="128"/>
      <c r="D14800" s="128"/>
      <c r="E14800" s="128"/>
      <c r="F14800" s="128"/>
      <c r="G14800" s="128"/>
      <c r="H14800" s="128"/>
      <c r="I14800" s="128"/>
    </row>
    <row r="14801" spans="1:9" ht="13.5">
      <c r="A14801" s="128"/>
      <c r="B14801" s="128"/>
      <c r="C14801" s="128"/>
      <c r="D14801" s="128"/>
      <c r="E14801" s="128"/>
      <c r="F14801" s="128"/>
      <c r="G14801" s="128"/>
      <c r="H14801" s="128"/>
      <c r="I14801" s="128"/>
    </row>
    <row r="14802" spans="1:9" ht="13.5">
      <c r="A14802" s="128"/>
      <c r="B14802" s="128"/>
      <c r="C14802" s="128"/>
      <c r="D14802" s="128"/>
      <c r="E14802" s="128"/>
      <c r="F14802" s="128"/>
      <c r="G14802" s="128"/>
      <c r="H14802" s="128"/>
      <c r="I14802" s="128"/>
    </row>
    <row r="14803" spans="1:9" ht="13.5">
      <c r="A14803" s="128"/>
      <c r="B14803" s="128"/>
      <c r="C14803" s="128"/>
      <c r="D14803" s="128"/>
      <c r="E14803" s="128"/>
      <c r="F14803" s="128"/>
      <c r="G14803" s="128"/>
      <c r="H14803" s="128"/>
      <c r="I14803" s="128"/>
    </row>
    <row r="14804" spans="1:9" ht="13.5">
      <c r="A14804" s="128"/>
      <c r="B14804" s="128"/>
      <c r="C14804" s="128"/>
      <c r="D14804" s="128"/>
      <c r="E14804" s="128"/>
      <c r="F14804" s="128"/>
      <c r="G14804" s="128"/>
      <c r="H14804" s="128"/>
      <c r="I14804" s="128"/>
    </row>
    <row r="14805" spans="1:9" ht="13.5">
      <c r="A14805" s="128"/>
      <c r="B14805" s="128"/>
      <c r="C14805" s="128"/>
      <c r="D14805" s="128"/>
      <c r="E14805" s="128"/>
      <c r="F14805" s="128"/>
      <c r="G14805" s="128"/>
      <c r="H14805" s="128"/>
      <c r="I14805" s="128"/>
    </row>
    <row r="14806" spans="1:9" ht="13.5">
      <c r="A14806" s="128"/>
      <c r="B14806" s="128"/>
      <c r="C14806" s="128"/>
      <c r="D14806" s="128"/>
      <c r="E14806" s="128"/>
      <c r="F14806" s="128"/>
      <c r="G14806" s="128"/>
      <c r="H14806" s="128"/>
      <c r="I14806" s="128"/>
    </row>
    <row r="14807" spans="1:9" ht="13.5">
      <c r="A14807" s="128"/>
      <c r="B14807" s="128"/>
      <c r="C14807" s="128"/>
      <c r="D14807" s="128"/>
      <c r="E14807" s="128"/>
      <c r="F14807" s="128"/>
      <c r="G14807" s="128"/>
      <c r="H14807" s="128"/>
      <c r="I14807" s="128"/>
    </row>
    <row r="14808" spans="1:9" ht="13.5">
      <c r="A14808" s="128"/>
      <c r="B14808" s="128"/>
      <c r="C14808" s="128"/>
      <c r="D14808" s="128"/>
      <c r="E14808" s="128"/>
      <c r="F14808" s="128"/>
      <c r="G14808" s="128"/>
      <c r="H14808" s="128"/>
      <c r="I14808" s="128"/>
    </row>
    <row r="14809" spans="1:9" ht="13.5">
      <c r="A14809" s="128"/>
      <c r="B14809" s="128"/>
      <c r="C14809" s="128"/>
      <c r="D14809" s="128"/>
      <c r="E14809" s="128"/>
      <c r="F14809" s="128"/>
      <c r="G14809" s="128"/>
      <c r="H14809" s="128"/>
      <c r="I14809" s="128"/>
    </row>
    <row r="14810" spans="1:9" ht="13.5">
      <c r="A14810" s="128"/>
      <c r="B14810" s="128"/>
      <c r="C14810" s="128"/>
      <c r="D14810" s="128"/>
      <c r="E14810" s="128"/>
      <c r="F14810" s="128"/>
      <c r="G14810" s="128"/>
      <c r="H14810" s="128"/>
      <c r="I14810" s="128"/>
    </row>
    <row r="14811" spans="1:9" ht="13.5">
      <c r="A14811" s="128"/>
      <c r="B14811" s="128"/>
      <c r="C14811" s="128"/>
      <c r="D14811" s="128"/>
      <c r="E14811" s="128"/>
      <c r="F14811" s="128"/>
      <c r="G14811" s="128"/>
      <c r="H14811" s="128"/>
      <c r="I14811" s="128"/>
    </row>
    <row r="14812" spans="1:9" ht="13.5">
      <c r="A14812" s="128"/>
      <c r="B14812" s="128"/>
      <c r="C14812" s="128"/>
      <c r="D14812" s="128"/>
      <c r="E14812" s="128"/>
      <c r="F14812" s="128"/>
      <c r="G14812" s="128"/>
      <c r="H14812" s="128"/>
      <c r="I14812" s="128"/>
    </row>
    <row r="14813" spans="1:9" ht="13.5">
      <c r="A14813" s="128"/>
      <c r="B14813" s="128"/>
      <c r="C14813" s="128"/>
      <c r="D14813" s="128"/>
      <c r="E14813" s="128"/>
      <c r="F14813" s="128"/>
      <c r="G14813" s="128"/>
      <c r="H14813" s="128"/>
      <c r="I14813" s="128"/>
    </row>
    <row r="14814" spans="1:9" ht="13.5">
      <c r="A14814" s="128"/>
      <c r="B14814" s="128"/>
      <c r="C14814" s="128"/>
      <c r="D14814" s="128"/>
      <c r="E14814" s="128"/>
      <c r="F14814" s="128"/>
      <c r="G14814" s="128"/>
      <c r="H14814" s="128"/>
      <c r="I14814" s="128"/>
    </row>
    <row r="14815" spans="1:9" ht="13.5">
      <c r="A14815" s="128"/>
      <c r="B14815" s="128"/>
      <c r="C14815" s="128"/>
      <c r="D14815" s="128"/>
      <c r="E14815" s="128"/>
      <c r="F14815" s="128"/>
      <c r="G14815" s="128"/>
      <c r="H14815" s="128"/>
      <c r="I14815" s="128"/>
    </row>
    <row r="14816" spans="1:9" ht="13.5">
      <c r="A14816" s="128"/>
      <c r="B14816" s="128"/>
      <c r="C14816" s="128"/>
      <c r="D14816" s="128"/>
      <c r="E14816" s="128"/>
      <c r="F14816" s="128"/>
      <c r="G14816" s="128"/>
      <c r="H14816" s="128"/>
      <c r="I14816" s="128"/>
    </row>
    <row r="14817" spans="1:9" ht="13.5">
      <c r="A14817" s="128"/>
      <c r="B14817" s="128"/>
      <c r="C14817" s="128"/>
      <c r="D14817" s="128"/>
      <c r="E14817" s="128"/>
      <c r="F14817" s="128"/>
      <c r="G14817" s="128"/>
      <c r="H14817" s="128"/>
      <c r="I14817" s="128"/>
    </row>
    <row r="14818" spans="1:9" ht="13.5">
      <c r="A14818" s="128"/>
      <c r="B14818" s="128"/>
      <c r="C14818" s="128"/>
      <c r="D14818" s="128"/>
      <c r="E14818" s="128"/>
      <c r="F14818" s="128"/>
      <c r="G14818" s="128"/>
      <c r="H14818" s="128"/>
      <c r="I14818" s="128"/>
    </row>
    <row r="14819" spans="1:9" ht="13.5">
      <c r="A14819" s="128"/>
      <c r="B14819" s="128"/>
      <c r="C14819" s="128"/>
      <c r="D14819" s="128"/>
      <c r="E14819" s="128"/>
      <c r="F14819" s="128"/>
      <c r="G14819" s="128"/>
      <c r="H14819" s="128"/>
      <c r="I14819" s="128"/>
    </row>
    <row r="14820" spans="1:9" ht="13.5">
      <c r="A14820" s="128"/>
      <c r="B14820" s="128"/>
      <c r="C14820" s="128"/>
      <c r="D14820" s="128"/>
      <c r="E14820" s="128"/>
      <c r="F14820" s="128"/>
      <c r="G14820" s="128"/>
      <c r="H14820" s="128"/>
      <c r="I14820" s="128"/>
    </row>
    <row r="14821" spans="1:9" ht="13.5">
      <c r="A14821" s="128"/>
      <c r="B14821" s="128"/>
      <c r="C14821" s="128"/>
      <c r="D14821" s="128"/>
      <c r="E14821" s="128"/>
      <c r="F14821" s="128"/>
      <c r="G14821" s="128"/>
      <c r="H14821" s="128"/>
      <c r="I14821" s="128"/>
    </row>
    <row r="14822" spans="1:9" ht="13.5">
      <c r="A14822" s="128"/>
      <c r="B14822" s="128"/>
      <c r="C14822" s="128"/>
      <c r="D14822" s="128"/>
      <c r="E14822" s="128"/>
      <c r="F14822" s="128"/>
      <c r="G14822" s="128"/>
      <c r="H14822" s="128"/>
      <c r="I14822" s="128"/>
    </row>
    <row r="14823" spans="1:9" ht="13.5">
      <c r="A14823" s="128"/>
      <c r="B14823" s="128"/>
      <c r="C14823" s="128"/>
      <c r="D14823" s="128"/>
      <c r="E14823" s="128"/>
      <c r="F14823" s="128"/>
      <c r="G14823" s="128"/>
      <c r="H14823" s="128"/>
      <c r="I14823" s="128"/>
    </row>
    <row r="14824" spans="1:9" ht="13.5">
      <c r="A14824" s="128"/>
      <c r="B14824" s="128"/>
      <c r="C14824" s="128"/>
      <c r="D14824" s="128"/>
      <c r="E14824" s="128"/>
      <c r="F14824" s="128"/>
      <c r="G14824" s="128"/>
      <c r="H14824" s="128"/>
      <c r="I14824" s="128"/>
    </row>
    <row r="14825" spans="1:9" ht="13.5">
      <c r="A14825" s="128"/>
      <c r="B14825" s="128"/>
      <c r="C14825" s="128"/>
      <c r="D14825" s="128"/>
      <c r="E14825" s="128"/>
      <c r="F14825" s="128"/>
      <c r="G14825" s="128"/>
      <c r="H14825" s="128"/>
      <c r="I14825" s="128"/>
    </row>
    <row r="14826" spans="1:9" ht="13.5">
      <c r="A14826" s="128"/>
      <c r="B14826" s="128"/>
      <c r="C14826" s="128"/>
      <c r="D14826" s="128"/>
      <c r="E14826" s="128"/>
      <c r="F14826" s="128"/>
      <c r="G14826" s="128"/>
      <c r="H14826" s="128"/>
      <c r="I14826" s="128"/>
    </row>
    <row r="14827" spans="1:9" ht="13.5">
      <c r="A14827" s="128"/>
      <c r="B14827" s="128"/>
      <c r="C14827" s="128"/>
      <c r="D14827" s="128"/>
      <c r="E14827" s="128"/>
      <c r="F14827" s="128"/>
      <c r="G14827" s="128"/>
      <c r="H14827" s="128"/>
      <c r="I14827" s="128"/>
    </row>
    <row r="14828" spans="1:9" ht="13.5">
      <c r="A14828" s="128"/>
      <c r="B14828" s="128"/>
      <c r="C14828" s="128"/>
      <c r="D14828" s="128"/>
      <c r="E14828" s="128"/>
      <c r="F14828" s="128"/>
      <c r="G14828" s="128"/>
      <c r="H14828" s="128"/>
      <c r="I14828" s="128"/>
    </row>
    <row r="14829" spans="1:9" ht="13.5">
      <c r="A14829" s="128"/>
      <c r="B14829" s="128"/>
      <c r="C14829" s="128"/>
      <c r="D14829" s="128"/>
      <c r="E14829" s="128"/>
      <c r="F14829" s="128"/>
      <c r="G14829" s="128"/>
      <c r="H14829" s="128"/>
      <c r="I14829" s="128"/>
    </row>
    <row r="14830" spans="1:9" ht="13.5">
      <c r="A14830" s="128"/>
      <c r="B14830" s="128"/>
      <c r="C14830" s="128"/>
      <c r="D14830" s="128"/>
      <c r="E14830" s="128"/>
      <c r="F14830" s="128"/>
      <c r="G14830" s="128"/>
      <c r="H14830" s="128"/>
      <c r="I14830" s="128"/>
    </row>
    <row r="14831" spans="1:9" ht="13.5">
      <c r="A14831" s="128"/>
      <c r="B14831" s="128"/>
      <c r="C14831" s="128"/>
      <c r="D14831" s="128"/>
      <c r="E14831" s="128"/>
      <c r="F14831" s="128"/>
      <c r="G14831" s="128"/>
      <c r="H14831" s="128"/>
      <c r="I14831" s="128"/>
    </row>
    <row r="14832" spans="1:9" ht="13.5">
      <c r="A14832" s="128"/>
      <c r="B14832" s="128"/>
      <c r="C14832" s="128"/>
      <c r="D14832" s="128"/>
      <c r="E14832" s="128"/>
      <c r="F14832" s="128"/>
      <c r="G14832" s="128"/>
      <c r="H14832" s="128"/>
      <c r="I14832" s="128"/>
    </row>
    <row r="14833" spans="1:9" ht="13.5">
      <c r="A14833" s="128"/>
      <c r="B14833" s="128"/>
      <c r="C14833" s="128"/>
      <c r="D14833" s="128"/>
      <c r="E14833" s="128"/>
      <c r="F14833" s="128"/>
      <c r="G14833" s="128"/>
      <c r="H14833" s="128"/>
      <c r="I14833" s="128"/>
    </row>
    <row r="14834" spans="1:9" ht="13.5">
      <c r="A14834" s="128"/>
      <c r="B14834" s="128"/>
      <c r="C14834" s="128"/>
      <c r="D14834" s="128"/>
      <c r="E14834" s="128"/>
      <c r="F14834" s="128"/>
      <c r="G14834" s="128"/>
      <c r="H14834" s="128"/>
      <c r="I14834" s="128"/>
    </row>
    <row r="14835" spans="1:9" ht="13.5">
      <c r="A14835" s="128"/>
      <c r="B14835" s="128"/>
      <c r="C14835" s="128"/>
      <c r="D14835" s="128"/>
      <c r="E14835" s="128"/>
      <c r="F14835" s="128"/>
      <c r="G14835" s="128"/>
      <c r="H14835" s="128"/>
      <c r="I14835" s="128"/>
    </row>
    <row r="14836" spans="1:9" ht="13.5">
      <c r="A14836" s="128"/>
      <c r="B14836" s="128"/>
      <c r="C14836" s="128"/>
      <c r="D14836" s="128"/>
      <c r="E14836" s="128"/>
      <c r="F14836" s="128"/>
      <c r="G14836" s="128"/>
      <c r="H14836" s="128"/>
      <c r="I14836" s="128"/>
    </row>
    <row r="14837" spans="1:9" ht="13.5">
      <c r="A14837" s="128"/>
      <c r="B14837" s="128"/>
      <c r="C14837" s="128"/>
      <c r="D14837" s="128"/>
      <c r="E14837" s="128"/>
      <c r="F14837" s="128"/>
      <c r="G14837" s="128"/>
      <c r="H14837" s="128"/>
      <c r="I14837" s="128"/>
    </row>
    <row r="14838" spans="1:9" ht="13.5">
      <c r="A14838" s="128"/>
      <c r="B14838" s="128"/>
      <c r="C14838" s="128"/>
      <c r="D14838" s="128"/>
      <c r="E14838" s="128"/>
      <c r="F14838" s="128"/>
      <c r="G14838" s="128"/>
      <c r="H14838" s="128"/>
      <c r="I14838" s="128"/>
    </row>
    <row r="14839" spans="1:9" ht="13.5">
      <c r="A14839" s="128"/>
      <c r="B14839" s="128"/>
      <c r="C14839" s="128"/>
      <c r="D14839" s="128"/>
      <c r="E14839" s="128"/>
      <c r="F14839" s="128"/>
      <c r="G14839" s="128"/>
      <c r="H14839" s="128"/>
      <c r="I14839" s="128"/>
    </row>
    <row r="14840" spans="1:9" ht="13.5">
      <c r="A14840" s="128"/>
      <c r="B14840" s="128"/>
      <c r="C14840" s="128"/>
      <c r="D14840" s="128"/>
      <c r="E14840" s="128"/>
      <c r="F14840" s="128"/>
      <c r="G14840" s="128"/>
      <c r="H14840" s="128"/>
      <c r="I14840" s="128"/>
    </row>
    <row r="14841" spans="1:9" ht="13.5">
      <c r="A14841" s="128"/>
      <c r="B14841" s="128"/>
      <c r="C14841" s="128"/>
      <c r="D14841" s="128"/>
      <c r="E14841" s="128"/>
      <c r="F14841" s="128"/>
      <c r="G14841" s="128"/>
      <c r="H14841" s="128"/>
      <c r="I14841" s="128"/>
    </row>
    <row r="14842" spans="1:9" ht="13.5">
      <c r="A14842" s="128"/>
      <c r="B14842" s="128"/>
      <c r="C14842" s="128"/>
      <c r="D14842" s="128"/>
      <c r="E14842" s="128"/>
      <c r="F14842" s="128"/>
      <c r="G14842" s="128"/>
      <c r="H14842" s="128"/>
      <c r="I14842" s="128"/>
    </row>
    <row r="14843" spans="1:9" ht="13.5">
      <c r="A14843" s="128"/>
      <c r="B14843" s="128"/>
      <c r="C14843" s="128"/>
      <c r="D14843" s="128"/>
      <c r="E14843" s="128"/>
      <c r="F14843" s="128"/>
      <c r="G14843" s="128"/>
      <c r="H14843" s="128"/>
      <c r="I14843" s="128"/>
    </row>
    <row r="14844" spans="1:9" ht="13.5">
      <c r="A14844" s="128"/>
      <c r="B14844" s="128"/>
      <c r="C14844" s="128"/>
      <c r="D14844" s="128"/>
      <c r="E14844" s="128"/>
      <c r="F14844" s="128"/>
      <c r="G14844" s="128"/>
      <c r="H14844" s="128"/>
      <c r="I14844" s="128"/>
    </row>
    <row r="14845" spans="1:9" ht="13.5">
      <c r="A14845" s="128"/>
      <c r="B14845" s="128"/>
      <c r="C14845" s="128"/>
      <c r="D14845" s="128"/>
      <c r="E14845" s="128"/>
      <c r="F14845" s="128"/>
      <c r="G14845" s="128"/>
      <c r="H14845" s="128"/>
      <c r="I14845" s="128"/>
    </row>
    <row r="14846" spans="1:9" ht="13.5">
      <c r="A14846" s="128"/>
      <c r="B14846" s="128"/>
      <c r="C14846" s="128"/>
      <c r="D14846" s="128"/>
      <c r="E14846" s="128"/>
      <c r="F14846" s="128"/>
      <c r="G14846" s="128"/>
      <c r="H14846" s="128"/>
      <c r="I14846" s="128"/>
    </row>
    <row r="14847" spans="1:9" ht="13.5">
      <c r="A14847" s="128"/>
      <c r="B14847" s="128"/>
      <c r="C14847" s="128"/>
      <c r="D14847" s="128"/>
      <c r="E14847" s="128"/>
      <c r="F14847" s="128"/>
      <c r="G14847" s="128"/>
      <c r="H14847" s="128"/>
      <c r="I14847" s="128"/>
    </row>
    <row r="14848" spans="1:9" ht="13.5">
      <c r="A14848" s="128"/>
      <c r="B14848" s="128"/>
      <c r="C14848" s="128"/>
      <c r="D14848" s="128"/>
      <c r="E14848" s="128"/>
      <c r="F14848" s="128"/>
      <c r="G14848" s="128"/>
      <c r="H14848" s="128"/>
      <c r="I14848" s="128"/>
    </row>
    <row r="14849" spans="1:9" ht="13.5">
      <c r="A14849" s="128"/>
      <c r="B14849" s="128"/>
      <c r="C14849" s="128"/>
      <c r="D14849" s="128"/>
      <c r="E14849" s="128"/>
      <c r="F14849" s="128"/>
      <c r="G14849" s="128"/>
      <c r="H14849" s="128"/>
      <c r="I14849" s="128"/>
    </row>
    <row r="14850" spans="1:9" ht="13.5">
      <c r="A14850" s="128"/>
      <c r="B14850" s="128"/>
      <c r="C14850" s="128"/>
      <c r="D14850" s="128"/>
      <c r="E14850" s="128"/>
      <c r="F14850" s="128"/>
      <c r="G14850" s="128"/>
      <c r="H14850" s="128"/>
      <c r="I14850" s="128"/>
    </row>
    <row r="14851" spans="1:9" ht="13.5">
      <c r="A14851" s="128"/>
      <c r="B14851" s="128"/>
      <c r="C14851" s="128"/>
      <c r="D14851" s="128"/>
      <c r="E14851" s="128"/>
      <c r="F14851" s="128"/>
      <c r="G14851" s="128"/>
      <c r="H14851" s="128"/>
      <c r="I14851" s="128"/>
    </row>
    <row r="14852" spans="1:9" ht="13.5">
      <c r="A14852" s="128"/>
      <c r="B14852" s="128"/>
      <c r="C14852" s="128"/>
      <c r="D14852" s="128"/>
      <c r="E14852" s="128"/>
      <c r="F14852" s="128"/>
      <c r="G14852" s="128"/>
      <c r="H14852" s="128"/>
      <c r="I14852" s="128"/>
    </row>
    <row r="14853" spans="1:9" ht="13.5">
      <c r="A14853" s="128"/>
      <c r="B14853" s="128"/>
      <c r="C14853" s="128"/>
      <c r="D14853" s="128"/>
      <c r="E14853" s="128"/>
      <c r="F14853" s="128"/>
      <c r="G14853" s="128"/>
      <c r="H14853" s="128"/>
      <c r="I14853" s="128"/>
    </row>
    <row r="14854" spans="1:9" ht="13.5">
      <c r="A14854" s="128"/>
      <c r="B14854" s="128"/>
      <c r="C14854" s="128"/>
      <c r="D14854" s="128"/>
      <c r="E14854" s="128"/>
      <c r="F14854" s="128"/>
      <c r="G14854" s="128"/>
      <c r="H14854" s="128"/>
      <c r="I14854" s="128"/>
    </row>
    <row r="14855" spans="1:9" ht="13.5">
      <c r="A14855" s="128"/>
      <c r="B14855" s="128"/>
      <c r="C14855" s="128"/>
      <c r="D14855" s="128"/>
      <c r="E14855" s="128"/>
      <c r="F14855" s="128"/>
      <c r="G14855" s="128"/>
      <c r="H14855" s="128"/>
      <c r="I14855" s="128"/>
    </row>
    <row r="14856" spans="1:9" ht="13.5">
      <c r="A14856" s="128"/>
      <c r="B14856" s="128"/>
      <c r="C14856" s="128"/>
      <c r="D14856" s="128"/>
      <c r="E14856" s="128"/>
      <c r="F14856" s="128"/>
      <c r="G14856" s="128"/>
      <c r="H14856" s="128"/>
      <c r="I14856" s="128"/>
    </row>
    <row r="14857" spans="1:9" ht="13.5">
      <c r="A14857" s="128"/>
      <c r="B14857" s="128"/>
      <c r="C14857" s="128"/>
      <c r="D14857" s="128"/>
      <c r="E14857" s="128"/>
      <c r="F14857" s="128"/>
      <c r="G14857" s="128"/>
      <c r="H14857" s="128"/>
      <c r="I14857" s="128"/>
    </row>
    <row r="14858" spans="1:9" ht="13.5">
      <c r="A14858" s="128"/>
      <c r="B14858" s="128"/>
      <c r="C14858" s="128"/>
      <c r="D14858" s="128"/>
      <c r="E14858" s="128"/>
      <c r="F14858" s="128"/>
      <c r="G14858" s="128"/>
      <c r="H14858" s="128"/>
      <c r="I14858" s="128"/>
    </row>
    <row r="14859" spans="1:9" ht="13.5">
      <c r="A14859" s="128"/>
      <c r="B14859" s="128"/>
      <c r="C14859" s="128"/>
      <c r="D14859" s="128"/>
      <c r="E14859" s="128"/>
      <c r="F14859" s="128"/>
      <c r="G14859" s="128"/>
      <c r="H14859" s="128"/>
      <c r="I14859" s="128"/>
    </row>
    <row r="14860" spans="1:9" ht="13.5">
      <c r="A14860" s="128"/>
      <c r="B14860" s="128"/>
      <c r="C14860" s="128"/>
      <c r="D14860" s="128"/>
      <c r="E14860" s="128"/>
      <c r="F14860" s="128"/>
      <c r="G14860" s="128"/>
      <c r="H14860" s="128"/>
      <c r="I14860" s="128"/>
    </row>
    <row r="14861" spans="1:9" ht="13.5">
      <c r="A14861" s="128"/>
      <c r="B14861" s="128"/>
      <c r="C14861" s="128"/>
      <c r="D14861" s="128"/>
      <c r="E14861" s="128"/>
      <c r="F14861" s="128"/>
      <c r="G14861" s="128"/>
      <c r="H14861" s="128"/>
      <c r="I14861" s="128"/>
    </row>
    <row r="14862" spans="1:9" ht="13.5">
      <c r="A14862" s="128"/>
      <c r="B14862" s="128"/>
      <c r="C14862" s="128"/>
      <c r="D14862" s="128"/>
      <c r="E14862" s="128"/>
      <c r="F14862" s="128"/>
      <c r="G14862" s="128"/>
      <c r="H14862" s="128"/>
      <c r="I14862" s="128"/>
    </row>
    <row r="14863" spans="1:9" ht="13.5">
      <c r="A14863" s="128"/>
      <c r="B14863" s="128"/>
      <c r="C14863" s="128"/>
      <c r="D14863" s="128"/>
      <c r="E14863" s="128"/>
      <c r="F14863" s="128"/>
      <c r="G14863" s="128"/>
      <c r="H14863" s="128"/>
      <c r="I14863" s="128"/>
    </row>
    <row r="14864" spans="1:9" ht="13.5">
      <c r="A14864" s="128"/>
      <c r="B14864" s="128"/>
      <c r="C14864" s="128"/>
      <c r="D14864" s="128"/>
      <c r="E14864" s="128"/>
      <c r="F14864" s="128"/>
      <c r="G14864" s="128"/>
      <c r="H14864" s="128"/>
      <c r="I14864" s="128"/>
    </row>
    <row r="14865" spans="1:9" ht="13.5">
      <c r="A14865" s="128"/>
      <c r="B14865" s="128"/>
      <c r="C14865" s="128"/>
      <c r="D14865" s="128"/>
      <c r="E14865" s="128"/>
      <c r="F14865" s="128"/>
      <c r="G14865" s="128"/>
      <c r="H14865" s="128"/>
      <c r="I14865" s="128"/>
    </row>
    <row r="14866" spans="1:9" ht="13.5">
      <c r="A14866" s="128"/>
      <c r="B14866" s="128"/>
      <c r="C14866" s="128"/>
      <c r="D14866" s="128"/>
      <c r="E14866" s="128"/>
      <c r="F14866" s="128"/>
      <c r="G14866" s="128"/>
      <c r="H14866" s="128"/>
      <c r="I14866" s="128"/>
    </row>
    <row r="14867" spans="1:9" ht="13.5">
      <c r="A14867" s="128"/>
      <c r="B14867" s="128"/>
      <c r="C14867" s="128"/>
      <c r="D14867" s="128"/>
      <c r="E14867" s="128"/>
      <c r="F14867" s="128"/>
      <c r="G14867" s="128"/>
      <c r="H14867" s="128"/>
      <c r="I14867" s="128"/>
    </row>
    <row r="14868" spans="1:9" ht="13.5">
      <c r="A14868" s="128"/>
      <c r="B14868" s="128"/>
      <c r="C14868" s="128"/>
      <c r="D14868" s="128"/>
      <c r="E14868" s="128"/>
      <c r="F14868" s="128"/>
      <c r="G14868" s="128"/>
      <c r="H14868" s="128"/>
      <c r="I14868" s="128"/>
    </row>
    <row r="14869" spans="1:9" ht="13.5">
      <c r="A14869" s="128"/>
      <c r="B14869" s="128"/>
      <c r="C14869" s="128"/>
      <c r="D14869" s="128"/>
      <c r="E14869" s="128"/>
      <c r="F14869" s="128"/>
      <c r="G14869" s="128"/>
      <c r="H14869" s="128"/>
      <c r="I14869" s="128"/>
    </row>
    <row r="14870" spans="1:9" ht="13.5">
      <c r="A14870" s="128"/>
      <c r="B14870" s="128"/>
      <c r="C14870" s="128"/>
      <c r="D14870" s="128"/>
      <c r="E14870" s="128"/>
      <c r="F14870" s="128"/>
      <c r="G14870" s="128"/>
      <c r="H14870" s="128"/>
      <c r="I14870" s="128"/>
    </row>
    <row r="14871" spans="1:9" ht="13.5">
      <c r="A14871" s="128"/>
      <c r="B14871" s="128"/>
      <c r="C14871" s="128"/>
      <c r="D14871" s="128"/>
      <c r="E14871" s="128"/>
      <c r="F14871" s="128"/>
      <c r="G14871" s="128"/>
      <c r="H14871" s="128"/>
      <c r="I14871" s="128"/>
    </row>
    <row r="14872" spans="1:9" ht="13.5">
      <c r="A14872" s="128"/>
      <c r="B14872" s="128"/>
      <c r="C14872" s="128"/>
      <c r="D14872" s="128"/>
      <c r="E14872" s="128"/>
      <c r="F14872" s="128"/>
      <c r="G14872" s="128"/>
      <c r="H14872" s="128"/>
      <c r="I14872" s="128"/>
    </row>
    <row r="14873" spans="1:9" ht="13.5">
      <c r="A14873" s="128"/>
      <c r="B14873" s="128"/>
      <c r="C14873" s="128"/>
      <c r="D14873" s="128"/>
      <c r="E14873" s="128"/>
      <c r="F14873" s="128"/>
      <c r="G14873" s="128"/>
      <c r="H14873" s="128"/>
      <c r="I14873" s="128"/>
    </row>
    <row r="14874" spans="1:9" ht="13.5">
      <c r="A14874" s="128"/>
      <c r="B14874" s="128"/>
      <c r="C14874" s="128"/>
      <c r="D14874" s="128"/>
      <c r="E14874" s="128"/>
      <c r="F14874" s="128"/>
      <c r="G14874" s="128"/>
      <c r="H14874" s="128"/>
      <c r="I14874" s="128"/>
    </row>
    <row r="14875" spans="1:9" ht="13.5">
      <c r="A14875" s="128"/>
      <c r="B14875" s="128"/>
      <c r="C14875" s="128"/>
      <c r="D14875" s="128"/>
      <c r="E14875" s="128"/>
      <c r="F14875" s="128"/>
      <c r="G14875" s="128"/>
      <c r="H14875" s="128"/>
      <c r="I14875" s="128"/>
    </row>
    <row r="14876" spans="1:9" ht="13.5">
      <c r="A14876" s="128"/>
      <c r="B14876" s="128"/>
      <c r="C14876" s="128"/>
      <c r="D14876" s="128"/>
      <c r="E14876" s="128"/>
      <c r="F14876" s="128"/>
      <c r="G14876" s="128"/>
      <c r="H14876" s="128"/>
      <c r="I14876" s="128"/>
    </row>
    <row r="14877" spans="1:9" ht="13.5">
      <c r="A14877" s="128"/>
      <c r="B14877" s="128"/>
      <c r="C14877" s="128"/>
      <c r="D14877" s="128"/>
      <c r="E14877" s="128"/>
      <c r="F14877" s="128"/>
      <c r="G14877" s="128"/>
      <c r="H14877" s="128"/>
      <c r="I14877" s="128"/>
    </row>
    <row r="14878" spans="1:9" ht="13.5">
      <c r="A14878" s="128"/>
      <c r="B14878" s="128"/>
      <c r="C14878" s="128"/>
      <c r="D14878" s="128"/>
      <c r="E14878" s="128"/>
      <c r="F14878" s="128"/>
      <c r="G14878" s="128"/>
      <c r="H14878" s="128"/>
      <c r="I14878" s="128"/>
    </row>
    <row r="14879" spans="1:9" ht="13.5">
      <c r="A14879" s="128"/>
      <c r="B14879" s="128"/>
      <c r="C14879" s="128"/>
      <c r="D14879" s="128"/>
      <c r="E14879" s="128"/>
      <c r="F14879" s="128"/>
      <c r="G14879" s="128"/>
      <c r="H14879" s="128"/>
      <c r="I14879" s="128"/>
    </row>
    <row r="14880" spans="1:9" ht="13.5">
      <c r="A14880" s="128"/>
      <c r="B14880" s="128"/>
      <c r="C14880" s="128"/>
      <c r="D14880" s="128"/>
      <c r="E14880" s="128"/>
      <c r="F14880" s="128"/>
      <c r="G14880" s="128"/>
      <c r="H14880" s="128"/>
      <c r="I14880" s="128"/>
    </row>
    <row r="14881" spans="1:9" ht="13.5">
      <c r="A14881" s="128"/>
      <c r="B14881" s="128"/>
      <c r="C14881" s="128"/>
      <c r="D14881" s="128"/>
      <c r="E14881" s="128"/>
      <c r="F14881" s="128"/>
      <c r="G14881" s="128"/>
      <c r="H14881" s="128"/>
      <c r="I14881" s="128"/>
    </row>
    <row r="14882" spans="1:9" ht="13.5">
      <c r="A14882" s="128"/>
      <c r="B14882" s="128"/>
      <c r="C14882" s="128"/>
      <c r="D14882" s="128"/>
      <c r="E14882" s="128"/>
      <c r="F14882" s="128"/>
      <c r="G14882" s="128"/>
      <c r="H14882" s="128"/>
      <c r="I14882" s="128"/>
    </row>
    <row r="14883" spans="1:9" ht="13.5">
      <c r="A14883" s="128"/>
      <c r="B14883" s="128"/>
      <c r="C14883" s="128"/>
      <c r="D14883" s="128"/>
      <c r="E14883" s="128"/>
      <c r="F14883" s="128"/>
      <c r="G14883" s="128"/>
      <c r="H14883" s="128"/>
      <c r="I14883" s="128"/>
    </row>
    <row r="14884" spans="1:9" ht="13.5">
      <c r="A14884" s="128"/>
      <c r="B14884" s="128"/>
      <c r="C14884" s="128"/>
      <c r="D14884" s="128"/>
      <c r="E14884" s="128"/>
      <c r="F14884" s="128"/>
      <c r="G14884" s="128"/>
      <c r="H14884" s="128"/>
      <c r="I14884" s="128"/>
    </row>
    <row r="14885" spans="1:9" ht="13.5">
      <c r="A14885" s="128"/>
      <c r="B14885" s="128"/>
      <c r="C14885" s="128"/>
      <c r="D14885" s="128"/>
      <c r="E14885" s="128"/>
      <c r="F14885" s="128"/>
      <c r="G14885" s="128"/>
      <c r="H14885" s="128"/>
      <c r="I14885" s="128"/>
    </row>
    <row r="14886" spans="1:9" ht="13.5">
      <c r="A14886" s="128"/>
      <c r="B14886" s="128"/>
      <c r="C14886" s="128"/>
      <c r="D14886" s="128"/>
      <c r="E14886" s="128"/>
      <c r="F14886" s="128"/>
      <c r="G14886" s="128"/>
      <c r="H14886" s="128"/>
      <c r="I14886" s="128"/>
    </row>
    <row r="14887" spans="1:9" ht="13.5">
      <c r="A14887" s="128"/>
      <c r="B14887" s="128"/>
      <c r="C14887" s="128"/>
      <c r="D14887" s="128"/>
      <c r="E14887" s="128"/>
      <c r="F14887" s="128"/>
      <c r="G14887" s="128"/>
      <c r="H14887" s="128"/>
      <c r="I14887" s="128"/>
    </row>
    <row r="14888" spans="1:9" ht="13.5">
      <c r="A14888" s="128"/>
      <c r="B14888" s="128"/>
      <c r="C14888" s="128"/>
      <c r="D14888" s="128"/>
      <c r="E14888" s="128"/>
      <c r="F14888" s="128"/>
      <c r="G14888" s="128"/>
      <c r="H14888" s="128"/>
      <c r="I14888" s="128"/>
    </row>
    <row r="14889" spans="1:9" ht="13.5">
      <c r="A14889" s="128"/>
      <c r="B14889" s="128"/>
      <c r="C14889" s="128"/>
      <c r="D14889" s="128"/>
      <c r="E14889" s="128"/>
      <c r="F14889" s="128"/>
      <c r="G14889" s="128"/>
      <c r="H14889" s="128"/>
      <c r="I14889" s="128"/>
    </row>
    <row r="14890" spans="1:9" ht="13.5">
      <c r="A14890" s="128"/>
      <c r="B14890" s="128"/>
      <c r="C14890" s="128"/>
      <c r="D14890" s="128"/>
      <c r="E14890" s="128"/>
      <c r="F14890" s="128"/>
      <c r="G14890" s="128"/>
      <c r="H14890" s="128"/>
      <c r="I14890" s="128"/>
    </row>
    <row r="14891" spans="1:9" ht="13.5">
      <c r="A14891" s="128"/>
      <c r="B14891" s="128"/>
      <c r="C14891" s="128"/>
      <c r="D14891" s="128"/>
      <c r="E14891" s="128"/>
      <c r="F14891" s="128"/>
      <c r="G14891" s="128"/>
      <c r="H14891" s="128"/>
      <c r="I14891" s="128"/>
    </row>
    <row r="14892" spans="1:9" ht="13.5">
      <c r="A14892" s="128"/>
      <c r="B14892" s="128"/>
      <c r="C14892" s="128"/>
      <c r="D14892" s="128"/>
      <c r="E14892" s="128"/>
      <c r="F14892" s="128"/>
      <c r="G14892" s="128"/>
      <c r="H14892" s="128"/>
      <c r="I14892" s="128"/>
    </row>
    <row r="14893" spans="1:9" ht="13.5">
      <c r="A14893" s="128"/>
      <c r="B14893" s="128"/>
      <c r="C14893" s="128"/>
      <c r="D14893" s="128"/>
      <c r="E14893" s="128"/>
      <c r="F14893" s="128"/>
      <c r="G14893" s="128"/>
      <c r="H14893" s="128"/>
      <c r="I14893" s="128"/>
    </row>
    <row r="14894" spans="1:9" ht="13.5">
      <c r="A14894" s="128"/>
      <c r="B14894" s="128"/>
      <c r="C14894" s="128"/>
      <c r="D14894" s="128"/>
      <c r="E14894" s="128"/>
      <c r="F14894" s="128"/>
      <c r="G14894" s="128"/>
      <c r="H14894" s="128"/>
      <c r="I14894" s="128"/>
    </row>
    <row r="14895" spans="1:9" ht="13.5">
      <c r="A14895" s="128"/>
      <c r="B14895" s="128"/>
      <c r="C14895" s="128"/>
      <c r="D14895" s="128"/>
      <c r="E14895" s="128"/>
      <c r="F14895" s="128"/>
      <c r="G14895" s="128"/>
      <c r="H14895" s="128"/>
      <c r="I14895" s="128"/>
    </row>
    <row r="14896" spans="1:9" ht="13.5">
      <c r="A14896" s="128"/>
      <c r="B14896" s="128"/>
      <c r="C14896" s="128"/>
      <c r="D14896" s="128"/>
      <c r="E14896" s="128"/>
      <c r="F14896" s="128"/>
      <c r="G14896" s="128"/>
      <c r="H14896" s="128"/>
      <c r="I14896" s="128"/>
    </row>
    <row r="14897" spans="1:9" ht="13.5">
      <c r="A14897" s="128"/>
      <c r="B14897" s="128"/>
      <c r="C14897" s="128"/>
      <c r="D14897" s="128"/>
      <c r="E14897" s="128"/>
      <c r="F14897" s="128"/>
      <c r="G14897" s="128"/>
      <c r="H14897" s="128"/>
      <c r="I14897" s="128"/>
    </row>
    <row r="14898" spans="1:9" ht="13.5">
      <c r="A14898" s="128"/>
      <c r="B14898" s="128"/>
      <c r="C14898" s="128"/>
      <c r="D14898" s="128"/>
      <c r="E14898" s="128"/>
      <c r="F14898" s="128"/>
      <c r="G14898" s="128"/>
      <c r="H14898" s="128"/>
      <c r="I14898" s="128"/>
    </row>
    <row r="14899" spans="1:9" ht="13.5">
      <c r="A14899" s="128"/>
      <c r="B14899" s="128"/>
      <c r="C14899" s="128"/>
      <c r="D14899" s="128"/>
      <c r="E14899" s="128"/>
      <c r="F14899" s="128"/>
      <c r="G14899" s="128"/>
      <c r="H14899" s="128"/>
      <c r="I14899" s="128"/>
    </row>
    <row r="14900" spans="1:9" ht="13.5">
      <c r="A14900" s="128"/>
      <c r="B14900" s="128"/>
      <c r="C14900" s="128"/>
      <c r="D14900" s="128"/>
      <c r="E14900" s="128"/>
      <c r="F14900" s="128"/>
      <c r="G14900" s="128"/>
      <c r="H14900" s="128"/>
      <c r="I14900" s="128"/>
    </row>
    <row r="14901" spans="1:9" ht="13.5">
      <c r="A14901" s="128"/>
      <c r="B14901" s="128"/>
      <c r="C14901" s="128"/>
      <c r="D14901" s="128"/>
      <c r="E14901" s="128"/>
      <c r="F14901" s="128"/>
      <c r="G14901" s="128"/>
      <c r="H14901" s="128"/>
      <c r="I14901" s="128"/>
    </row>
    <row r="14902" spans="1:9" ht="13.5">
      <c r="A14902" s="128"/>
      <c r="B14902" s="128"/>
      <c r="C14902" s="128"/>
      <c r="D14902" s="128"/>
      <c r="E14902" s="128"/>
      <c r="F14902" s="128"/>
      <c r="G14902" s="128"/>
      <c r="H14902" s="128"/>
      <c r="I14902" s="128"/>
    </row>
    <row r="14903" spans="1:9" ht="13.5">
      <c r="A14903" s="128"/>
      <c r="B14903" s="128"/>
      <c r="C14903" s="128"/>
      <c r="D14903" s="128"/>
      <c r="E14903" s="128"/>
      <c r="F14903" s="128"/>
      <c r="G14903" s="128"/>
      <c r="H14903" s="128"/>
      <c r="I14903" s="128"/>
    </row>
    <row r="14904" spans="1:9" ht="13.5">
      <c r="A14904" s="128"/>
      <c r="B14904" s="128"/>
      <c r="C14904" s="128"/>
      <c r="D14904" s="128"/>
      <c r="E14904" s="128"/>
      <c r="F14904" s="128"/>
      <c r="G14904" s="128"/>
      <c r="H14904" s="128"/>
      <c r="I14904" s="128"/>
    </row>
    <row r="14905" spans="1:9" ht="13.5">
      <c r="A14905" s="128"/>
      <c r="B14905" s="128"/>
      <c r="C14905" s="128"/>
      <c r="D14905" s="128"/>
      <c r="E14905" s="128"/>
      <c r="F14905" s="128"/>
      <c r="G14905" s="128"/>
      <c r="H14905" s="128"/>
      <c r="I14905" s="128"/>
    </row>
    <row r="14906" spans="1:9" ht="13.5">
      <c r="A14906" s="128"/>
      <c r="B14906" s="128"/>
      <c r="C14906" s="128"/>
      <c r="D14906" s="128"/>
      <c r="E14906" s="128"/>
      <c r="F14906" s="128"/>
      <c r="G14906" s="128"/>
      <c r="H14906" s="128"/>
      <c r="I14906" s="128"/>
    </row>
    <row r="14907" spans="1:9" ht="13.5">
      <c r="A14907" s="128"/>
      <c r="B14907" s="128"/>
      <c r="C14907" s="128"/>
      <c r="D14907" s="128"/>
      <c r="E14907" s="128"/>
      <c r="F14907" s="128"/>
      <c r="G14907" s="128"/>
      <c r="H14907" s="128"/>
      <c r="I14907" s="128"/>
    </row>
    <row r="14908" spans="1:9" ht="13.5">
      <c r="A14908" s="128"/>
      <c r="B14908" s="128"/>
      <c r="C14908" s="128"/>
      <c r="D14908" s="128"/>
      <c r="E14908" s="128"/>
      <c r="F14908" s="128"/>
      <c r="G14908" s="128"/>
      <c r="H14908" s="128"/>
      <c r="I14908" s="128"/>
    </row>
    <row r="14909" spans="1:9" ht="13.5">
      <c r="A14909" s="128"/>
      <c r="B14909" s="128"/>
      <c r="C14909" s="128"/>
      <c r="D14909" s="128"/>
      <c r="E14909" s="128"/>
      <c r="F14909" s="128"/>
      <c r="G14909" s="128"/>
      <c r="H14909" s="128"/>
      <c r="I14909" s="128"/>
    </row>
    <row r="14910" spans="1:9" ht="13.5">
      <c r="A14910" s="128"/>
      <c r="B14910" s="128"/>
      <c r="C14910" s="128"/>
      <c r="D14910" s="128"/>
      <c r="E14910" s="128"/>
      <c r="F14910" s="128"/>
      <c r="G14910" s="128"/>
      <c r="H14910" s="128"/>
      <c r="I14910" s="128"/>
    </row>
    <row r="14911" spans="1:9" ht="13.5">
      <c r="A14911" s="128"/>
      <c r="B14911" s="128"/>
      <c r="C14911" s="128"/>
      <c r="D14911" s="128"/>
      <c r="E14911" s="128"/>
      <c r="F14911" s="128"/>
      <c r="G14911" s="128"/>
      <c r="H14911" s="128"/>
      <c r="I14911" s="128"/>
    </row>
    <row r="14912" spans="1:9" ht="13.5">
      <c r="A14912" s="128"/>
      <c r="B14912" s="128"/>
      <c r="C14912" s="128"/>
      <c r="D14912" s="128"/>
      <c r="E14912" s="128"/>
      <c r="F14912" s="128"/>
      <c r="G14912" s="128"/>
      <c r="H14912" s="128"/>
      <c r="I14912" s="128"/>
    </row>
    <row r="14913" spans="1:9" ht="13.5">
      <c r="A14913" s="128"/>
      <c r="B14913" s="128"/>
      <c r="C14913" s="128"/>
      <c r="D14913" s="128"/>
      <c r="E14913" s="128"/>
      <c r="F14913" s="128"/>
      <c r="G14913" s="128"/>
      <c r="H14913" s="128"/>
      <c r="I14913" s="128"/>
    </row>
    <row r="14914" spans="1:9" ht="13.5">
      <c r="A14914" s="128"/>
      <c r="B14914" s="128"/>
      <c r="C14914" s="128"/>
      <c r="D14914" s="128"/>
      <c r="E14914" s="128"/>
      <c r="F14914" s="128"/>
      <c r="G14914" s="128"/>
      <c r="H14914" s="128"/>
      <c r="I14914" s="128"/>
    </row>
    <row r="14915" spans="1:9" ht="13.5">
      <c r="A14915" s="128"/>
      <c r="B14915" s="128"/>
      <c r="C14915" s="128"/>
      <c r="D14915" s="128"/>
      <c r="E14915" s="128"/>
      <c r="F14915" s="128"/>
      <c r="G14915" s="128"/>
      <c r="H14915" s="128"/>
      <c r="I14915" s="128"/>
    </row>
    <row r="14916" spans="1:9" ht="13.5">
      <c r="A14916" s="128"/>
      <c r="B14916" s="128"/>
      <c r="C14916" s="128"/>
      <c r="D14916" s="128"/>
      <c r="E14916" s="128"/>
      <c r="F14916" s="128"/>
      <c r="G14916" s="128"/>
      <c r="H14916" s="128"/>
      <c r="I14916" s="128"/>
    </row>
    <row r="14917" spans="1:9" ht="13.5">
      <c r="A14917" s="128"/>
      <c r="B14917" s="128"/>
      <c r="C14917" s="128"/>
      <c r="D14917" s="128"/>
      <c r="E14917" s="128"/>
      <c r="F14917" s="128"/>
      <c r="G14917" s="128"/>
      <c r="H14917" s="128"/>
      <c r="I14917" s="128"/>
    </row>
    <row r="14918" spans="1:9" ht="13.5">
      <c r="A14918" s="128"/>
      <c r="B14918" s="128"/>
      <c r="C14918" s="128"/>
      <c r="D14918" s="128"/>
      <c r="E14918" s="128"/>
      <c r="F14918" s="128"/>
      <c r="G14918" s="128"/>
      <c r="H14918" s="128"/>
      <c r="I14918" s="128"/>
    </row>
    <row r="14919" spans="1:9" ht="13.5">
      <c r="A14919" s="128"/>
      <c r="B14919" s="128"/>
      <c r="C14919" s="128"/>
      <c r="D14919" s="128"/>
      <c r="E14919" s="128"/>
      <c r="F14919" s="128"/>
      <c r="G14919" s="128"/>
      <c r="H14919" s="128"/>
      <c r="I14919" s="128"/>
    </row>
    <row r="14920" spans="1:9" ht="13.5">
      <c r="A14920" s="128"/>
      <c r="B14920" s="128"/>
      <c r="C14920" s="128"/>
      <c r="D14920" s="128"/>
      <c r="E14920" s="128"/>
      <c r="F14920" s="128"/>
      <c r="G14920" s="128"/>
      <c r="H14920" s="128"/>
      <c r="I14920" s="128"/>
    </row>
    <row r="14921" spans="1:9" ht="13.5">
      <c r="A14921" s="128"/>
      <c r="B14921" s="128"/>
      <c r="C14921" s="128"/>
      <c r="D14921" s="128"/>
      <c r="E14921" s="128"/>
      <c r="F14921" s="128"/>
      <c r="G14921" s="128"/>
      <c r="H14921" s="128"/>
      <c r="I14921" s="128"/>
    </row>
    <row r="14922" spans="1:9" ht="13.5">
      <c r="A14922" s="128"/>
      <c r="B14922" s="128"/>
      <c r="C14922" s="128"/>
      <c r="D14922" s="128"/>
      <c r="E14922" s="128"/>
      <c r="F14922" s="128"/>
      <c r="G14922" s="128"/>
      <c r="H14922" s="128"/>
      <c r="I14922" s="128"/>
    </row>
    <row r="14923" spans="1:9" ht="13.5">
      <c r="A14923" s="128"/>
      <c r="B14923" s="128"/>
      <c r="C14923" s="128"/>
      <c r="D14923" s="128"/>
      <c r="E14923" s="128"/>
      <c r="F14923" s="128"/>
      <c r="G14923" s="128"/>
      <c r="H14923" s="128"/>
      <c r="I14923" s="128"/>
    </row>
    <row r="14924" spans="1:9" ht="13.5">
      <c r="A14924" s="128"/>
      <c r="B14924" s="128"/>
      <c r="C14924" s="128"/>
      <c r="D14924" s="128"/>
      <c r="E14924" s="128"/>
      <c r="F14924" s="128"/>
      <c r="G14924" s="128"/>
      <c r="H14924" s="128"/>
      <c r="I14924" s="128"/>
    </row>
    <row r="14925" spans="1:9" ht="13.5">
      <c r="A14925" s="128"/>
      <c r="B14925" s="128"/>
      <c r="C14925" s="128"/>
      <c r="D14925" s="128"/>
      <c r="E14925" s="128"/>
      <c r="F14925" s="128"/>
      <c r="G14925" s="128"/>
      <c r="H14925" s="128"/>
      <c r="I14925" s="128"/>
    </row>
    <row r="14926" spans="1:9" ht="13.5">
      <c r="A14926" s="128"/>
      <c r="B14926" s="128"/>
      <c r="C14926" s="128"/>
      <c r="D14926" s="128"/>
      <c r="E14926" s="128"/>
      <c r="F14926" s="128"/>
      <c r="G14926" s="128"/>
      <c r="H14926" s="128"/>
      <c r="I14926" s="128"/>
    </row>
    <row r="14927" spans="1:9" ht="13.5">
      <c r="A14927" s="128"/>
      <c r="B14927" s="128"/>
      <c r="C14927" s="128"/>
      <c r="D14927" s="128"/>
      <c r="E14927" s="128"/>
      <c r="F14927" s="128"/>
      <c r="G14927" s="128"/>
      <c r="H14927" s="128"/>
      <c r="I14927" s="128"/>
    </row>
    <row r="14928" spans="1:9" ht="13.5">
      <c r="A14928" s="128"/>
      <c r="B14928" s="128"/>
      <c r="C14928" s="128"/>
      <c r="D14928" s="128"/>
      <c r="E14928" s="128"/>
      <c r="F14928" s="128"/>
      <c r="G14928" s="128"/>
      <c r="H14928" s="128"/>
      <c r="I14928" s="128"/>
    </row>
    <row r="14929" spans="1:9" ht="13.5">
      <c r="A14929" s="128"/>
      <c r="B14929" s="128"/>
      <c r="C14929" s="128"/>
      <c r="D14929" s="128"/>
      <c r="E14929" s="128"/>
      <c r="F14929" s="128"/>
      <c r="G14929" s="128"/>
      <c r="H14929" s="128"/>
      <c r="I14929" s="128"/>
    </row>
    <row r="14930" spans="1:9" ht="13.5">
      <c r="A14930" s="128"/>
      <c r="B14930" s="128"/>
      <c r="C14930" s="128"/>
      <c r="D14930" s="128"/>
      <c r="E14930" s="128"/>
      <c r="F14930" s="128"/>
      <c r="G14930" s="128"/>
      <c r="H14930" s="128"/>
      <c r="I14930" s="128"/>
    </row>
    <row r="14931" spans="1:9" ht="13.5">
      <c r="A14931" s="128"/>
      <c r="B14931" s="128"/>
      <c r="C14931" s="128"/>
      <c r="D14931" s="128"/>
      <c r="E14931" s="128"/>
      <c r="F14931" s="128"/>
      <c r="G14931" s="128"/>
      <c r="H14931" s="128"/>
      <c r="I14931" s="128"/>
    </row>
    <row r="14932" spans="1:9" ht="13.5">
      <c r="A14932" s="128"/>
      <c r="B14932" s="128"/>
      <c r="C14932" s="128"/>
      <c r="D14932" s="128"/>
      <c r="E14932" s="128"/>
      <c r="F14932" s="128"/>
      <c r="G14932" s="128"/>
      <c r="H14932" s="128"/>
      <c r="I14932" s="128"/>
    </row>
    <row r="14933" spans="1:9" ht="13.5">
      <c r="A14933" s="128"/>
      <c r="B14933" s="128"/>
      <c r="C14933" s="128"/>
      <c r="D14933" s="128"/>
      <c r="E14933" s="128"/>
      <c r="F14933" s="128"/>
      <c r="G14933" s="128"/>
      <c r="H14933" s="128"/>
      <c r="I14933" s="128"/>
    </row>
    <row r="14934" spans="1:9" ht="13.5">
      <c r="A14934" s="128"/>
      <c r="B14934" s="128"/>
      <c r="C14934" s="128"/>
      <c r="D14934" s="128"/>
      <c r="E14934" s="128"/>
      <c r="F14934" s="128"/>
      <c r="G14934" s="128"/>
      <c r="H14934" s="128"/>
      <c r="I14934" s="128"/>
    </row>
    <row r="14935" spans="1:9" ht="13.5">
      <c r="A14935" s="128"/>
      <c r="B14935" s="128"/>
      <c r="C14935" s="128"/>
      <c r="D14935" s="128"/>
      <c r="E14935" s="128"/>
      <c r="F14935" s="128"/>
      <c r="G14935" s="128"/>
      <c r="H14935" s="128"/>
      <c r="I14935" s="128"/>
    </row>
    <row r="14936" spans="1:9" ht="13.5">
      <c r="A14936" s="128"/>
      <c r="B14936" s="128"/>
      <c r="C14936" s="128"/>
      <c r="D14936" s="128"/>
      <c r="E14936" s="128"/>
      <c r="F14936" s="128"/>
      <c r="G14936" s="128"/>
      <c r="H14936" s="128"/>
      <c r="I14936" s="128"/>
    </row>
    <row r="14937" spans="1:9" ht="13.5">
      <c r="A14937" s="128"/>
      <c r="B14937" s="128"/>
      <c r="C14937" s="128"/>
      <c r="D14937" s="128"/>
      <c r="E14937" s="128"/>
      <c r="F14937" s="128"/>
      <c r="G14937" s="128"/>
      <c r="H14937" s="128"/>
      <c r="I14937" s="128"/>
    </row>
    <row r="14938" spans="1:9" ht="13.5">
      <c r="A14938" s="128"/>
      <c r="B14938" s="128"/>
      <c r="C14938" s="128"/>
      <c r="D14938" s="128"/>
      <c r="E14938" s="128"/>
      <c r="F14938" s="128"/>
      <c r="G14938" s="128"/>
      <c r="H14938" s="128"/>
      <c r="I14938" s="128"/>
    </row>
    <row r="14939" spans="1:9" ht="13.5">
      <c r="A14939" s="128"/>
      <c r="B14939" s="128"/>
      <c r="C14939" s="128"/>
      <c r="D14939" s="128"/>
      <c r="E14939" s="128"/>
      <c r="F14939" s="128"/>
      <c r="G14939" s="128"/>
      <c r="H14939" s="128"/>
      <c r="I14939" s="128"/>
    </row>
    <row r="14940" spans="1:9" ht="13.5">
      <c r="A14940" s="128"/>
      <c r="B14940" s="128"/>
      <c r="C14940" s="128"/>
      <c r="D14940" s="128"/>
      <c r="E14940" s="128"/>
      <c r="F14940" s="128"/>
      <c r="G14940" s="128"/>
      <c r="H14940" s="128"/>
      <c r="I14940" s="128"/>
    </row>
    <row r="14941" spans="1:9">
      <c r="A14941" s="126"/>
      <c r="B14941" s="126"/>
      <c r="C14941" s="126"/>
      <c r="D14941" s="126"/>
      <c r="E14941" s="126"/>
      <c r="F14941" s="126"/>
      <c r="G14941" s="126"/>
      <c r="H14941" s="126"/>
      <c r="I14941" s="126"/>
    </row>
    <row r="14942" spans="1:9">
      <c r="A14942" s="126"/>
      <c r="B14942" s="126"/>
      <c r="C14942" s="126"/>
      <c r="D14942" s="126"/>
      <c r="E14942" s="126"/>
      <c r="F14942" s="126"/>
      <c r="G14942" s="126"/>
      <c r="H14942" s="126"/>
      <c r="I14942" s="126"/>
    </row>
    <row r="14943" spans="1:9">
      <c r="A14943" s="126"/>
      <c r="B14943" s="126"/>
      <c r="C14943" s="126"/>
      <c r="D14943" s="126"/>
      <c r="E14943" s="126"/>
      <c r="F14943" s="126"/>
      <c r="G14943" s="126"/>
      <c r="H14943" s="126"/>
      <c r="I14943" s="126"/>
    </row>
    <row r="14944" spans="1:9">
      <c r="A14944" s="126"/>
      <c r="B14944" s="126"/>
      <c r="C14944" s="126"/>
      <c r="D14944" s="126"/>
      <c r="E14944" s="126"/>
      <c r="F14944" s="126"/>
      <c r="G14944" s="126"/>
      <c r="H14944" s="126"/>
      <c r="I14944" s="126"/>
    </row>
    <row r="14945" spans="1:9">
      <c r="A14945" s="126"/>
      <c r="B14945" s="126"/>
      <c r="C14945" s="126"/>
      <c r="D14945" s="126"/>
      <c r="E14945" s="126"/>
      <c r="F14945" s="126"/>
      <c r="G14945" s="126"/>
      <c r="H14945" s="126"/>
      <c r="I14945" s="126"/>
    </row>
    <row r="14946" spans="1:9">
      <c r="A14946" s="126"/>
      <c r="B14946" s="126"/>
      <c r="C14946" s="126"/>
      <c r="D14946" s="126"/>
      <c r="E14946" s="126"/>
      <c r="F14946" s="126"/>
      <c r="G14946" s="126"/>
      <c r="H14946" s="126"/>
      <c r="I14946" s="126"/>
    </row>
    <row r="14947" spans="1:9">
      <c r="A14947" s="126"/>
      <c r="B14947" s="126"/>
      <c r="C14947" s="126"/>
      <c r="D14947" s="126"/>
      <c r="E14947" s="126"/>
      <c r="F14947" s="126"/>
      <c r="G14947" s="126"/>
      <c r="H14947" s="126"/>
      <c r="I14947" s="126"/>
    </row>
    <row r="14948" spans="1:9">
      <c r="A14948" s="126"/>
      <c r="B14948" s="126"/>
      <c r="C14948" s="126"/>
      <c r="D14948" s="126"/>
      <c r="E14948" s="126"/>
      <c r="F14948" s="126"/>
      <c r="G14948" s="126"/>
      <c r="H14948" s="126"/>
      <c r="I14948" s="126"/>
    </row>
    <row r="14949" spans="1:9">
      <c r="A14949" s="126"/>
      <c r="B14949" s="126"/>
      <c r="C14949" s="126"/>
      <c r="D14949" s="126"/>
      <c r="E14949" s="126"/>
      <c r="F14949" s="126"/>
      <c r="G14949" s="126"/>
      <c r="H14949" s="126"/>
      <c r="I14949" s="126"/>
    </row>
    <row r="14950" spans="1:9">
      <c r="A14950" s="126"/>
      <c r="B14950" s="126"/>
      <c r="C14950" s="126"/>
      <c r="D14950" s="126"/>
      <c r="E14950" s="126"/>
      <c r="F14950" s="126"/>
      <c r="G14950" s="126"/>
      <c r="H14950" s="126"/>
      <c r="I14950" s="126"/>
    </row>
    <row r="14951" spans="1:9">
      <c r="A14951" s="126"/>
      <c r="B14951" s="126"/>
      <c r="C14951" s="126"/>
      <c r="D14951" s="126"/>
      <c r="E14951" s="126"/>
      <c r="F14951" s="126"/>
      <c r="G14951" s="126"/>
      <c r="H14951" s="126"/>
      <c r="I14951" s="126"/>
    </row>
    <row r="14952" spans="1:9">
      <c r="A14952" s="126"/>
      <c r="B14952" s="126"/>
      <c r="C14952" s="126"/>
      <c r="D14952" s="126"/>
      <c r="E14952" s="126"/>
      <c r="F14952" s="126"/>
      <c r="G14952" s="126"/>
      <c r="H14952" s="126"/>
      <c r="I14952" s="126"/>
    </row>
    <row r="14953" spans="1:9">
      <c r="A14953" s="126"/>
      <c r="B14953" s="126"/>
      <c r="C14953" s="126"/>
      <c r="D14953" s="126"/>
      <c r="E14953" s="126"/>
      <c r="F14953" s="126"/>
      <c r="G14953" s="126"/>
      <c r="H14953" s="126"/>
      <c r="I14953" s="126"/>
    </row>
    <row r="14954" spans="1:9">
      <c r="A14954" s="126"/>
      <c r="B14954" s="126"/>
      <c r="C14954" s="126"/>
      <c r="D14954" s="126"/>
      <c r="E14954" s="126"/>
      <c r="F14954" s="126"/>
      <c r="G14954" s="126"/>
      <c r="H14954" s="126"/>
      <c r="I14954" s="126"/>
    </row>
    <row r="14955" spans="1:9">
      <c r="A14955" s="126"/>
      <c r="B14955" s="126"/>
      <c r="C14955" s="126"/>
      <c r="D14955" s="126"/>
      <c r="E14955" s="126"/>
      <c r="F14955" s="126"/>
      <c r="G14955" s="126"/>
      <c r="H14955" s="126"/>
      <c r="I14955" s="126"/>
    </row>
    <row r="14956" spans="1:9">
      <c r="A14956" s="126"/>
      <c r="B14956" s="126"/>
      <c r="C14956" s="126"/>
      <c r="D14956" s="126"/>
      <c r="E14956" s="126"/>
      <c r="F14956" s="126"/>
      <c r="G14956" s="126"/>
      <c r="H14956" s="126"/>
      <c r="I14956" s="126"/>
    </row>
    <row r="14957" spans="1:9">
      <c r="A14957" s="126"/>
      <c r="B14957" s="126"/>
      <c r="C14957" s="126"/>
      <c r="D14957" s="126"/>
      <c r="E14957" s="126"/>
      <c r="F14957" s="126"/>
      <c r="G14957" s="126"/>
      <c r="H14957" s="126"/>
      <c r="I14957" s="126"/>
    </row>
    <row r="14958" spans="1:9">
      <c r="A14958" s="126"/>
      <c r="B14958" s="126"/>
      <c r="C14958" s="126"/>
      <c r="D14958" s="126"/>
      <c r="E14958" s="126"/>
      <c r="F14958" s="126"/>
      <c r="G14958" s="126"/>
      <c r="H14958" s="126"/>
      <c r="I14958" s="126"/>
    </row>
    <row r="14959" spans="1:9">
      <c r="A14959" s="126"/>
      <c r="B14959" s="126"/>
      <c r="C14959" s="126"/>
      <c r="D14959" s="126"/>
      <c r="E14959" s="126"/>
      <c r="F14959" s="126"/>
      <c r="G14959" s="126"/>
      <c r="H14959" s="126"/>
      <c r="I14959" s="126"/>
    </row>
    <row r="14960" spans="1:9">
      <c r="A14960" s="126"/>
      <c r="B14960" s="126"/>
      <c r="C14960" s="126"/>
      <c r="D14960" s="126"/>
      <c r="E14960" s="126"/>
      <c r="F14960" s="126"/>
      <c r="G14960" s="126"/>
      <c r="H14960" s="126"/>
      <c r="I14960" s="126"/>
    </row>
    <row r="14961" spans="1:9">
      <c r="A14961" s="126"/>
      <c r="B14961" s="126"/>
      <c r="C14961" s="126"/>
      <c r="D14961" s="126"/>
      <c r="E14961" s="126"/>
      <c r="F14961" s="126"/>
      <c r="G14961" s="126"/>
      <c r="H14961" s="126"/>
      <c r="I14961" s="126"/>
    </row>
    <row r="14962" spans="1:9">
      <c r="A14962" s="126"/>
      <c r="B14962" s="126"/>
      <c r="C14962" s="126"/>
      <c r="D14962" s="126"/>
      <c r="E14962" s="126"/>
      <c r="F14962" s="126"/>
      <c r="G14962" s="126"/>
      <c r="H14962" s="126"/>
      <c r="I14962" s="126"/>
    </row>
    <row r="14963" spans="1:9">
      <c r="A14963" s="126"/>
      <c r="B14963" s="126"/>
      <c r="C14963" s="126"/>
      <c r="D14963" s="126"/>
      <c r="E14963" s="126"/>
      <c r="F14963" s="126"/>
      <c r="G14963" s="126"/>
      <c r="H14963" s="126"/>
      <c r="I14963" s="126"/>
    </row>
    <row r="14964" spans="1:9">
      <c r="A14964" s="126"/>
      <c r="B14964" s="126"/>
      <c r="C14964" s="126"/>
      <c r="D14964" s="126"/>
      <c r="E14964" s="126"/>
      <c r="F14964" s="126"/>
      <c r="G14964" s="126"/>
      <c r="H14964" s="126"/>
      <c r="I14964" s="126"/>
    </row>
    <row r="14965" spans="1:9">
      <c r="A14965" s="126"/>
      <c r="B14965" s="126"/>
      <c r="C14965" s="126"/>
      <c r="D14965" s="126"/>
      <c r="E14965" s="126"/>
      <c r="F14965" s="126"/>
      <c r="G14965" s="126"/>
      <c r="H14965" s="126"/>
      <c r="I14965" s="126"/>
    </row>
    <row r="14966" spans="1:9">
      <c r="A14966" s="126"/>
      <c r="B14966" s="126"/>
      <c r="C14966" s="126"/>
      <c r="D14966" s="126"/>
      <c r="E14966" s="126"/>
      <c r="F14966" s="126"/>
      <c r="G14966" s="126"/>
      <c r="H14966" s="126"/>
      <c r="I14966" s="126"/>
    </row>
    <row r="14967" spans="1:9">
      <c r="A14967" s="126"/>
      <c r="B14967" s="126"/>
      <c r="C14967" s="126"/>
      <c r="D14967" s="126"/>
      <c r="E14967" s="126"/>
      <c r="F14967" s="126"/>
      <c r="G14967" s="126"/>
      <c r="H14967" s="126"/>
      <c r="I14967" s="126"/>
    </row>
    <row r="14968" spans="1:9">
      <c r="A14968" s="126"/>
      <c r="B14968" s="126"/>
      <c r="C14968" s="126"/>
      <c r="D14968" s="126"/>
      <c r="E14968" s="126"/>
      <c r="F14968" s="126"/>
      <c r="G14968" s="126"/>
      <c r="H14968" s="126"/>
      <c r="I14968" s="126"/>
    </row>
    <row r="14969" spans="1:9">
      <c r="A14969" s="126"/>
      <c r="B14969" s="126"/>
      <c r="C14969" s="126"/>
      <c r="D14969" s="126"/>
      <c r="E14969" s="126"/>
      <c r="F14969" s="126"/>
      <c r="G14969" s="126"/>
      <c r="H14969" s="126"/>
      <c r="I14969" s="126"/>
    </row>
    <row r="14970" spans="1:9">
      <c r="A14970" s="126"/>
      <c r="B14970" s="126"/>
      <c r="C14970" s="126"/>
      <c r="D14970" s="126"/>
      <c r="E14970" s="126"/>
      <c r="F14970" s="126"/>
      <c r="G14970" s="126"/>
      <c r="H14970" s="126"/>
      <c r="I14970" s="126"/>
    </row>
    <row r="14971" spans="1:9">
      <c r="A14971" s="126"/>
      <c r="B14971" s="126"/>
      <c r="C14971" s="126"/>
      <c r="D14971" s="126"/>
      <c r="E14971" s="126"/>
      <c r="F14971" s="126"/>
      <c r="G14971" s="126"/>
      <c r="H14971" s="126"/>
      <c r="I14971" s="126"/>
    </row>
    <row r="14972" spans="1:9">
      <c r="A14972" s="126"/>
      <c r="B14972" s="126"/>
      <c r="C14972" s="126"/>
      <c r="D14972" s="126"/>
      <c r="E14972" s="126"/>
      <c r="F14972" s="126"/>
      <c r="G14972" s="126"/>
      <c r="H14972" s="126"/>
      <c r="I14972" s="126"/>
    </row>
    <row r="14973" spans="1:9">
      <c r="A14973" s="126"/>
      <c r="B14973" s="126"/>
      <c r="C14973" s="126"/>
      <c r="D14973" s="126"/>
      <c r="E14973" s="126"/>
      <c r="F14973" s="126"/>
      <c r="G14973" s="126"/>
      <c r="H14973" s="126"/>
      <c r="I14973" s="126"/>
    </row>
    <row r="14974" spans="1:9">
      <c r="A14974" s="126"/>
      <c r="B14974" s="126"/>
      <c r="C14974" s="126"/>
      <c r="D14974" s="126"/>
      <c r="E14974" s="126"/>
      <c r="F14974" s="126"/>
      <c r="G14974" s="126"/>
      <c r="H14974" s="126"/>
      <c r="I14974" s="126"/>
    </row>
    <row r="14975" spans="1:9">
      <c r="A14975" s="126"/>
      <c r="B14975" s="126"/>
      <c r="C14975" s="126"/>
      <c r="D14975" s="126"/>
      <c r="E14975" s="126"/>
      <c r="F14975" s="126"/>
      <c r="G14975" s="126"/>
      <c r="H14975" s="126"/>
      <c r="I14975" s="126"/>
    </row>
    <row r="14976" spans="1:9">
      <c r="A14976" s="126"/>
      <c r="B14976" s="126"/>
      <c r="C14976" s="126"/>
      <c r="D14976" s="126"/>
      <c r="E14976" s="126"/>
      <c r="F14976" s="126"/>
      <c r="G14976" s="126"/>
      <c r="H14976" s="126"/>
      <c r="I14976" s="126"/>
    </row>
    <row r="14977" spans="1:9">
      <c r="A14977" s="126"/>
      <c r="B14977" s="126"/>
      <c r="C14977" s="126"/>
      <c r="D14977" s="126"/>
      <c r="E14977" s="126"/>
      <c r="F14977" s="126"/>
      <c r="G14977" s="126"/>
      <c r="H14977" s="126"/>
      <c r="I14977" s="126"/>
    </row>
    <row r="14978" spans="1:9">
      <c r="A14978" s="126"/>
      <c r="B14978" s="126"/>
      <c r="C14978" s="126"/>
      <c r="D14978" s="126"/>
      <c r="E14978" s="126"/>
      <c r="F14978" s="126"/>
      <c r="G14978" s="126"/>
      <c r="H14978" s="126"/>
      <c r="I14978" s="126"/>
    </row>
    <row r="14979" spans="1:9">
      <c r="A14979" s="126"/>
      <c r="B14979" s="126"/>
      <c r="C14979" s="126"/>
      <c r="D14979" s="126"/>
      <c r="E14979" s="126"/>
      <c r="F14979" s="126"/>
      <c r="G14979" s="126"/>
      <c r="H14979" s="126"/>
      <c r="I14979" s="126"/>
    </row>
    <row r="14980" spans="1:9">
      <c r="A14980" s="126"/>
      <c r="B14980" s="126"/>
      <c r="C14980" s="126"/>
      <c r="D14980" s="126"/>
      <c r="E14980" s="126"/>
      <c r="F14980" s="126"/>
      <c r="G14980" s="126"/>
      <c r="H14980" s="126"/>
      <c r="I14980" s="126"/>
    </row>
    <row r="14981" spans="1:9">
      <c r="A14981" s="126"/>
      <c r="B14981" s="126"/>
      <c r="C14981" s="126"/>
      <c r="D14981" s="126"/>
      <c r="E14981" s="126"/>
      <c r="F14981" s="126"/>
      <c r="G14981" s="126"/>
      <c r="H14981" s="126"/>
      <c r="I14981" s="126"/>
    </row>
    <row r="14982" spans="1:9">
      <c r="A14982" s="126"/>
      <c r="B14982" s="126"/>
      <c r="C14982" s="126"/>
      <c r="D14982" s="126"/>
      <c r="E14982" s="126"/>
      <c r="F14982" s="126"/>
      <c r="G14982" s="126"/>
      <c r="H14982" s="126"/>
      <c r="I14982" s="126"/>
    </row>
    <row r="14983" spans="1:9">
      <c r="A14983" s="126"/>
      <c r="B14983" s="126"/>
      <c r="C14983" s="126"/>
      <c r="D14983" s="126"/>
      <c r="E14983" s="126"/>
      <c r="F14983" s="126"/>
      <c r="G14983" s="126"/>
      <c r="H14983" s="126"/>
      <c r="I14983" s="126"/>
    </row>
    <row r="14984" spans="1:9">
      <c r="A14984" s="126"/>
      <c r="B14984" s="126"/>
      <c r="C14984" s="126"/>
      <c r="D14984" s="126"/>
      <c r="E14984" s="126"/>
      <c r="F14984" s="126"/>
      <c r="G14984" s="126"/>
      <c r="H14984" s="126"/>
      <c r="I14984" s="126"/>
    </row>
    <row r="14985" spans="1:9">
      <c r="A14985" s="126"/>
      <c r="B14985" s="126"/>
      <c r="C14985" s="126"/>
      <c r="D14985" s="126"/>
      <c r="E14985" s="126"/>
      <c r="F14985" s="126"/>
      <c r="G14985" s="126"/>
      <c r="H14985" s="126"/>
      <c r="I14985" s="126"/>
    </row>
    <row r="14986" spans="1:9">
      <c r="A14986" s="126"/>
      <c r="B14986" s="126"/>
      <c r="C14986" s="126"/>
      <c r="D14986" s="126"/>
      <c r="E14986" s="126"/>
      <c r="F14986" s="126"/>
      <c r="G14986" s="126"/>
      <c r="H14986" s="126"/>
      <c r="I14986" s="126"/>
    </row>
    <row r="14987" spans="1:9">
      <c r="A14987" s="126"/>
      <c r="B14987" s="126"/>
      <c r="C14987" s="126"/>
      <c r="D14987" s="126"/>
      <c r="E14987" s="126"/>
      <c r="F14987" s="126"/>
      <c r="G14987" s="126"/>
      <c r="H14987" s="126"/>
      <c r="I14987" s="126"/>
    </row>
    <row r="14988" spans="1:9">
      <c r="A14988" s="126"/>
      <c r="B14988" s="126"/>
      <c r="C14988" s="126"/>
      <c r="D14988" s="126"/>
      <c r="E14988" s="126"/>
      <c r="F14988" s="126"/>
      <c r="G14988" s="126"/>
      <c r="H14988" s="126"/>
      <c r="I14988" s="126"/>
    </row>
    <row r="14989" spans="1:9">
      <c r="A14989" s="126"/>
      <c r="B14989" s="126"/>
      <c r="C14989" s="126"/>
      <c r="D14989" s="126"/>
      <c r="E14989" s="126"/>
      <c r="F14989" s="126"/>
      <c r="G14989" s="126"/>
      <c r="H14989" s="126"/>
      <c r="I14989" s="126"/>
    </row>
    <row r="14990" spans="1:9">
      <c r="A14990" s="126"/>
      <c r="B14990" s="126"/>
      <c r="C14990" s="126"/>
      <c r="D14990" s="126"/>
      <c r="E14990" s="126"/>
      <c r="F14990" s="126"/>
      <c r="G14990" s="126"/>
      <c r="H14990" s="126"/>
      <c r="I14990" s="126"/>
    </row>
    <row r="14991" spans="1:9">
      <c r="A14991" s="126"/>
      <c r="B14991" s="126"/>
      <c r="C14991" s="126"/>
      <c r="D14991" s="126"/>
      <c r="E14991" s="126"/>
      <c r="F14991" s="126"/>
      <c r="G14991" s="126"/>
      <c r="H14991" s="126"/>
      <c r="I14991" s="126"/>
    </row>
    <row r="14992" spans="1:9">
      <c r="A14992" s="126"/>
      <c r="B14992" s="126"/>
      <c r="C14992" s="126"/>
      <c r="D14992" s="126"/>
      <c r="E14992" s="126"/>
      <c r="F14992" s="126"/>
      <c r="G14992" s="126"/>
      <c r="H14992" s="126"/>
      <c r="I14992" s="126"/>
    </row>
    <row r="14993" spans="1:9">
      <c r="A14993" s="126"/>
      <c r="B14993" s="126"/>
      <c r="C14993" s="126"/>
      <c r="D14993" s="126"/>
      <c r="E14993" s="126"/>
      <c r="F14993" s="126"/>
      <c r="G14993" s="126"/>
      <c r="H14993" s="126"/>
      <c r="I14993" s="126"/>
    </row>
    <row r="14994" spans="1:9">
      <c r="A14994" s="126"/>
      <c r="B14994" s="126"/>
      <c r="C14994" s="126"/>
      <c r="D14994" s="126"/>
      <c r="E14994" s="126"/>
      <c r="F14994" s="126"/>
      <c r="G14994" s="126"/>
      <c r="H14994" s="126"/>
      <c r="I14994" s="126"/>
    </row>
    <row r="14995" spans="1:9">
      <c r="A14995" s="126"/>
      <c r="B14995" s="126"/>
      <c r="C14995" s="126"/>
      <c r="D14995" s="126"/>
      <c r="E14995" s="126"/>
      <c r="F14995" s="126"/>
      <c r="G14995" s="126"/>
      <c r="H14995" s="126"/>
      <c r="I14995" s="126"/>
    </row>
    <row r="14996" spans="1:9">
      <c r="A14996" s="126"/>
      <c r="B14996" s="126"/>
      <c r="C14996" s="126"/>
      <c r="D14996" s="126"/>
      <c r="E14996" s="126"/>
      <c r="F14996" s="126"/>
      <c r="G14996" s="126"/>
      <c r="H14996" s="126"/>
      <c r="I14996" s="126"/>
    </row>
    <row r="14997" spans="1:9">
      <c r="A14997" s="126"/>
      <c r="B14997" s="126"/>
      <c r="C14997" s="126"/>
      <c r="D14997" s="126"/>
      <c r="E14997" s="126"/>
      <c r="F14997" s="126"/>
      <c r="G14997" s="126"/>
      <c r="H14997" s="126"/>
      <c r="I14997" s="126"/>
    </row>
    <row r="14998" spans="1:9">
      <c r="A14998" s="126"/>
      <c r="B14998" s="126"/>
      <c r="C14998" s="126"/>
      <c r="D14998" s="126"/>
      <c r="E14998" s="126"/>
      <c r="F14998" s="126"/>
      <c r="G14998" s="126"/>
      <c r="H14998" s="126"/>
      <c r="I14998" s="126"/>
    </row>
    <row r="14999" spans="1:9">
      <c r="A14999" s="126"/>
      <c r="B14999" s="126"/>
      <c r="C14999" s="126"/>
      <c r="D14999" s="126"/>
      <c r="E14999" s="126"/>
      <c r="F14999" s="126"/>
      <c r="G14999" s="126"/>
      <c r="H14999" s="126"/>
      <c r="I14999" s="126"/>
    </row>
    <row r="15000" spans="1:9">
      <c r="A15000" s="126"/>
      <c r="B15000" s="126"/>
      <c r="C15000" s="126"/>
      <c r="D15000" s="126"/>
      <c r="E15000" s="126"/>
      <c r="F15000" s="126"/>
      <c r="G15000" s="126"/>
      <c r="H15000" s="126"/>
      <c r="I15000" s="126"/>
    </row>
    <row r="15001" spans="1:9">
      <c r="A15001" s="126"/>
      <c r="B15001" s="126"/>
      <c r="C15001" s="126"/>
      <c r="D15001" s="126"/>
      <c r="E15001" s="126"/>
      <c r="F15001" s="126"/>
      <c r="G15001" s="126"/>
      <c r="H15001" s="126"/>
      <c r="I15001" s="126"/>
    </row>
    <row r="15002" spans="1:9">
      <c r="A15002" s="126"/>
      <c r="B15002" s="126"/>
      <c r="C15002" s="126"/>
      <c r="D15002" s="126"/>
      <c r="E15002" s="126"/>
      <c r="F15002" s="126"/>
      <c r="G15002" s="126"/>
      <c r="H15002" s="126"/>
      <c r="I15002" s="126"/>
    </row>
    <row r="15003" spans="1:9">
      <c r="A15003" s="126"/>
      <c r="B15003" s="126"/>
      <c r="C15003" s="126"/>
      <c r="D15003" s="126"/>
      <c r="E15003" s="126"/>
      <c r="F15003" s="126"/>
      <c r="G15003" s="126"/>
      <c r="H15003" s="126"/>
      <c r="I15003" s="126"/>
    </row>
    <row r="15004" spans="1:9">
      <c r="A15004" s="126"/>
      <c r="B15004" s="126"/>
      <c r="C15004" s="126"/>
      <c r="D15004" s="126"/>
      <c r="E15004" s="126"/>
      <c r="F15004" s="126"/>
      <c r="G15004" s="126"/>
      <c r="H15004" s="126"/>
      <c r="I15004" s="126"/>
    </row>
    <row r="15005" spans="1:9">
      <c r="A15005" s="126"/>
      <c r="B15005" s="126"/>
      <c r="C15005" s="126"/>
      <c r="D15005" s="126"/>
      <c r="E15005" s="126"/>
      <c r="F15005" s="126"/>
      <c r="G15005" s="126"/>
      <c r="H15005" s="126"/>
      <c r="I15005" s="126"/>
    </row>
    <row r="15006" spans="1:9">
      <c r="A15006" s="126"/>
      <c r="B15006" s="126"/>
      <c r="C15006" s="126"/>
      <c r="D15006" s="126"/>
      <c r="E15006" s="126"/>
      <c r="F15006" s="126"/>
      <c r="G15006" s="126"/>
      <c r="H15006" s="126"/>
      <c r="I15006" s="126"/>
    </row>
    <row r="15007" spans="1:9">
      <c r="A15007" s="126"/>
      <c r="B15007" s="126"/>
      <c r="C15007" s="126"/>
      <c r="D15007" s="126"/>
      <c r="E15007" s="126"/>
      <c r="F15007" s="126"/>
      <c r="G15007" s="126"/>
      <c r="H15007" s="126"/>
      <c r="I15007" s="126"/>
    </row>
    <row r="15008" spans="1:9">
      <c r="A15008" s="126"/>
      <c r="B15008" s="126"/>
      <c r="C15008" s="126"/>
      <c r="D15008" s="126"/>
      <c r="E15008" s="126"/>
      <c r="F15008" s="126"/>
      <c r="G15008" s="126"/>
      <c r="H15008" s="126"/>
      <c r="I15008" s="126"/>
    </row>
    <row r="15009" spans="1:9">
      <c r="A15009" s="126"/>
      <c r="B15009" s="126"/>
      <c r="C15009" s="126"/>
      <c r="D15009" s="126"/>
      <c r="E15009" s="126"/>
      <c r="F15009" s="126"/>
      <c r="G15009" s="126"/>
      <c r="H15009" s="126"/>
      <c r="I15009" s="126"/>
    </row>
    <row r="15010" spans="1:9">
      <c r="A15010" s="126"/>
      <c r="B15010" s="126"/>
      <c r="C15010" s="126"/>
      <c r="D15010" s="126"/>
      <c r="E15010" s="126"/>
      <c r="F15010" s="126"/>
      <c r="G15010" s="126"/>
      <c r="H15010" s="126"/>
      <c r="I15010" s="126"/>
    </row>
    <row r="15011" spans="1:9">
      <c r="A15011" s="126"/>
      <c r="B15011" s="126"/>
      <c r="C15011" s="126"/>
      <c r="D15011" s="126"/>
      <c r="E15011" s="126"/>
      <c r="F15011" s="126"/>
      <c r="G15011" s="126"/>
      <c r="H15011" s="126"/>
      <c r="I15011" s="126"/>
    </row>
    <row r="15012" spans="1:9">
      <c r="A15012" s="126"/>
      <c r="B15012" s="126"/>
      <c r="C15012" s="126"/>
      <c r="D15012" s="126"/>
      <c r="E15012" s="126"/>
      <c r="F15012" s="126"/>
      <c r="G15012" s="126"/>
      <c r="H15012" s="126"/>
      <c r="I15012" s="126"/>
    </row>
    <row r="15013" spans="1:9">
      <c r="A15013" s="126"/>
      <c r="B15013" s="126"/>
      <c r="C15013" s="126"/>
      <c r="D15013" s="126"/>
      <c r="E15013" s="126"/>
      <c r="F15013" s="126"/>
      <c r="G15013" s="126"/>
      <c r="H15013" s="126"/>
      <c r="I15013" s="126"/>
    </row>
    <row r="15014" spans="1:9">
      <c r="A15014" s="126"/>
      <c r="B15014" s="126"/>
      <c r="C15014" s="126"/>
      <c r="D15014" s="126"/>
      <c r="E15014" s="126"/>
      <c r="F15014" s="126"/>
      <c r="G15014" s="126"/>
      <c r="H15014" s="126"/>
      <c r="I15014" s="126"/>
    </row>
    <row r="15015" spans="1:9">
      <c r="A15015" s="126"/>
      <c r="B15015" s="126"/>
      <c r="C15015" s="126"/>
      <c r="D15015" s="126"/>
      <c r="E15015" s="126"/>
      <c r="F15015" s="126"/>
      <c r="G15015" s="126"/>
      <c r="H15015" s="126"/>
      <c r="I15015" s="126"/>
    </row>
    <row r="15016" spans="1:9">
      <c r="A15016" s="126"/>
      <c r="B15016" s="126"/>
      <c r="C15016" s="126"/>
      <c r="D15016" s="126"/>
      <c r="E15016" s="126"/>
      <c r="F15016" s="126"/>
      <c r="G15016" s="126"/>
      <c r="H15016" s="126"/>
      <c r="I15016" s="126"/>
    </row>
    <row r="15017" spans="1:9">
      <c r="A15017" s="126"/>
      <c r="B15017" s="126"/>
      <c r="C15017" s="126"/>
      <c r="D15017" s="126"/>
      <c r="E15017" s="126"/>
      <c r="F15017" s="126"/>
      <c r="G15017" s="126"/>
      <c r="H15017" s="126"/>
      <c r="I15017" s="126"/>
    </row>
    <row r="15018" spans="1:9">
      <c r="A15018" s="126"/>
      <c r="B15018" s="126"/>
      <c r="C15018" s="126"/>
      <c r="D15018" s="126"/>
      <c r="E15018" s="126"/>
      <c r="F15018" s="126"/>
      <c r="G15018" s="126"/>
      <c r="H15018" s="126"/>
      <c r="I15018" s="126"/>
    </row>
    <row r="15019" spans="1:9">
      <c r="A15019" s="126"/>
      <c r="B15019" s="126"/>
      <c r="C15019" s="126"/>
      <c r="D15019" s="126"/>
      <c r="E15019" s="126"/>
      <c r="F15019" s="126"/>
      <c r="G15019" s="126"/>
      <c r="H15019" s="126"/>
      <c r="I15019" s="126"/>
    </row>
    <row r="15020" spans="1:9">
      <c r="A15020" s="126"/>
      <c r="B15020" s="126"/>
      <c r="C15020" s="126"/>
      <c r="D15020" s="126"/>
      <c r="E15020" s="126"/>
      <c r="F15020" s="126"/>
      <c r="G15020" s="126"/>
      <c r="H15020" s="126"/>
      <c r="I15020" s="126"/>
    </row>
    <row r="15021" spans="1:9">
      <c r="A15021" s="126"/>
      <c r="B15021" s="126"/>
      <c r="C15021" s="126"/>
      <c r="D15021" s="126"/>
      <c r="E15021" s="126"/>
      <c r="F15021" s="126"/>
      <c r="G15021" s="126"/>
      <c r="H15021" s="126"/>
      <c r="I15021" s="126"/>
    </row>
    <row r="15022" spans="1:9">
      <c r="A15022" s="126"/>
      <c r="B15022" s="126"/>
      <c r="C15022" s="126"/>
      <c r="D15022" s="126"/>
      <c r="E15022" s="126"/>
      <c r="F15022" s="126"/>
      <c r="G15022" s="126"/>
      <c r="H15022" s="126"/>
      <c r="I15022" s="126"/>
    </row>
    <row r="15023" spans="1:9">
      <c r="A15023" s="126"/>
      <c r="B15023" s="126"/>
      <c r="C15023" s="126"/>
      <c r="D15023" s="126"/>
      <c r="E15023" s="126"/>
      <c r="F15023" s="126"/>
      <c r="G15023" s="126"/>
      <c r="H15023" s="126"/>
      <c r="I15023" s="126"/>
    </row>
    <row r="15024" spans="1:9">
      <c r="A15024" s="126"/>
      <c r="B15024" s="126"/>
      <c r="C15024" s="126"/>
      <c r="D15024" s="126"/>
      <c r="E15024" s="126"/>
      <c r="F15024" s="126"/>
      <c r="G15024" s="126"/>
      <c r="H15024" s="126"/>
      <c r="I15024" s="126"/>
    </row>
    <row r="15025" spans="1:9">
      <c r="A15025" s="126"/>
      <c r="B15025" s="126"/>
      <c r="C15025" s="126"/>
      <c r="D15025" s="126"/>
      <c r="E15025" s="126"/>
      <c r="F15025" s="126"/>
      <c r="G15025" s="126"/>
      <c r="H15025" s="126"/>
      <c r="I15025" s="126"/>
    </row>
    <row r="15026" spans="1:9">
      <c r="A15026" s="126"/>
      <c r="B15026" s="126"/>
      <c r="C15026" s="126"/>
      <c r="D15026" s="126"/>
      <c r="E15026" s="126"/>
      <c r="F15026" s="126"/>
      <c r="G15026" s="126"/>
      <c r="H15026" s="126"/>
      <c r="I15026" s="126"/>
    </row>
    <row r="15027" spans="1:9">
      <c r="A15027" s="126"/>
      <c r="B15027" s="126"/>
      <c r="C15027" s="126"/>
      <c r="D15027" s="126"/>
      <c r="E15027" s="126"/>
      <c r="F15027" s="126"/>
      <c r="G15027" s="126"/>
      <c r="H15027" s="126"/>
      <c r="I15027" s="126"/>
    </row>
    <row r="15028" spans="1:9">
      <c r="A15028" s="126"/>
      <c r="B15028" s="126"/>
      <c r="C15028" s="126"/>
      <c r="D15028" s="126"/>
      <c r="E15028" s="126"/>
      <c r="F15028" s="126"/>
      <c r="G15028" s="126"/>
      <c r="H15028" s="126"/>
      <c r="I15028" s="126"/>
    </row>
    <row r="15029" spans="1:9">
      <c r="A15029" s="126"/>
      <c r="B15029" s="126"/>
      <c r="C15029" s="126"/>
      <c r="D15029" s="126"/>
      <c r="E15029" s="126"/>
      <c r="F15029" s="126"/>
      <c r="G15029" s="126"/>
      <c r="H15029" s="126"/>
      <c r="I15029" s="126"/>
    </row>
    <row r="15030" spans="1:9">
      <c r="A15030" s="126"/>
      <c r="B15030" s="126"/>
      <c r="C15030" s="126"/>
      <c r="D15030" s="126"/>
      <c r="E15030" s="126"/>
      <c r="F15030" s="126"/>
      <c r="G15030" s="126"/>
      <c r="H15030" s="126"/>
      <c r="I15030" s="126"/>
    </row>
    <row r="15031" spans="1:9">
      <c r="A15031" s="126"/>
      <c r="B15031" s="126"/>
      <c r="C15031" s="126"/>
      <c r="D15031" s="126"/>
      <c r="E15031" s="126"/>
      <c r="F15031" s="126"/>
      <c r="G15031" s="126"/>
      <c r="H15031" s="126"/>
      <c r="I15031" s="126"/>
    </row>
    <row r="15032" spans="1:9">
      <c r="A15032" s="126"/>
      <c r="B15032" s="126"/>
      <c r="C15032" s="126"/>
      <c r="D15032" s="126"/>
      <c r="E15032" s="126"/>
      <c r="F15032" s="126"/>
      <c r="G15032" s="126"/>
      <c r="H15032" s="126"/>
      <c r="I15032" s="126"/>
    </row>
    <row r="15033" spans="1:9">
      <c r="A15033" s="126"/>
      <c r="B15033" s="126"/>
      <c r="C15033" s="126"/>
      <c r="D15033" s="126"/>
      <c r="E15033" s="126"/>
      <c r="F15033" s="126"/>
      <c r="G15033" s="126"/>
      <c r="H15033" s="126"/>
      <c r="I15033" s="126"/>
    </row>
    <row r="15034" spans="1:9">
      <c r="A15034" s="126"/>
      <c r="B15034" s="126"/>
      <c r="C15034" s="126"/>
      <c r="D15034" s="126"/>
      <c r="E15034" s="126"/>
      <c r="F15034" s="126"/>
      <c r="G15034" s="126"/>
      <c r="H15034" s="126"/>
      <c r="I15034" s="126"/>
    </row>
    <row r="15035" spans="1:9">
      <c r="A15035" s="126"/>
      <c r="B15035" s="126"/>
      <c r="C15035" s="126"/>
      <c r="D15035" s="126"/>
      <c r="E15035" s="126"/>
      <c r="F15035" s="126"/>
      <c r="G15035" s="126"/>
      <c r="H15035" s="126"/>
      <c r="I15035" s="126"/>
    </row>
    <row r="15036" spans="1:9">
      <c r="A15036" s="126"/>
      <c r="B15036" s="126"/>
      <c r="C15036" s="126"/>
      <c r="D15036" s="126"/>
      <c r="E15036" s="126"/>
      <c r="F15036" s="126"/>
      <c r="G15036" s="126"/>
      <c r="H15036" s="126"/>
      <c r="I15036" s="126"/>
    </row>
    <row r="15037" spans="1:9">
      <c r="A15037" s="126"/>
      <c r="B15037" s="126"/>
      <c r="C15037" s="126"/>
      <c r="D15037" s="126"/>
      <c r="E15037" s="126"/>
      <c r="F15037" s="126"/>
      <c r="G15037" s="126"/>
      <c r="H15037" s="126"/>
      <c r="I15037" s="126"/>
    </row>
    <row r="15038" spans="1:9">
      <c r="A15038" s="126"/>
      <c r="B15038" s="126"/>
      <c r="C15038" s="126"/>
      <c r="D15038" s="126"/>
      <c r="E15038" s="126"/>
      <c r="F15038" s="126"/>
      <c r="G15038" s="126"/>
      <c r="H15038" s="126"/>
      <c r="I15038" s="126"/>
    </row>
    <row r="15039" spans="1:9">
      <c r="A15039" s="126"/>
      <c r="B15039" s="126"/>
      <c r="C15039" s="126"/>
      <c r="D15039" s="126"/>
      <c r="E15039" s="126"/>
      <c r="F15039" s="126"/>
      <c r="G15039" s="126"/>
      <c r="H15039" s="126"/>
      <c r="I15039" s="126"/>
    </row>
    <row r="15040" spans="1:9">
      <c r="A15040" s="126"/>
      <c r="B15040" s="126"/>
      <c r="C15040" s="126"/>
      <c r="D15040" s="126"/>
      <c r="E15040" s="126"/>
      <c r="F15040" s="126"/>
      <c r="G15040" s="126"/>
      <c r="H15040" s="126"/>
      <c r="I15040" s="126"/>
    </row>
    <row r="15041" spans="1:9">
      <c r="A15041" s="126"/>
      <c r="B15041" s="126"/>
      <c r="C15041" s="126"/>
      <c r="D15041" s="126"/>
      <c r="E15041" s="126"/>
      <c r="F15041" s="126"/>
      <c r="G15041" s="126"/>
      <c r="H15041" s="126"/>
      <c r="I15041" s="126"/>
    </row>
    <row r="15042" spans="1:9">
      <c r="A15042" s="126"/>
      <c r="B15042" s="126"/>
      <c r="C15042" s="126"/>
      <c r="D15042" s="126"/>
      <c r="E15042" s="126"/>
      <c r="F15042" s="126"/>
      <c r="G15042" s="126"/>
      <c r="H15042" s="126"/>
      <c r="I15042" s="126"/>
    </row>
    <row r="15043" spans="1:9">
      <c r="A15043" s="126"/>
      <c r="B15043" s="126"/>
      <c r="C15043" s="126"/>
      <c r="D15043" s="126"/>
      <c r="E15043" s="126"/>
      <c r="F15043" s="126"/>
      <c r="G15043" s="126"/>
      <c r="H15043" s="126"/>
      <c r="I15043" s="126"/>
    </row>
    <row r="15044" spans="1:9">
      <c r="A15044" s="126"/>
      <c r="B15044" s="126"/>
      <c r="C15044" s="126"/>
      <c r="D15044" s="126"/>
      <c r="E15044" s="126"/>
      <c r="F15044" s="126"/>
      <c r="G15044" s="126"/>
      <c r="H15044" s="126"/>
      <c r="I15044" s="126"/>
    </row>
    <row r="15045" spans="1:9">
      <c r="A15045" s="126"/>
      <c r="B15045" s="126"/>
      <c r="C15045" s="126"/>
      <c r="D15045" s="126"/>
      <c r="E15045" s="126"/>
      <c r="F15045" s="126"/>
      <c r="G15045" s="126"/>
      <c r="H15045" s="126"/>
      <c r="I15045" s="126"/>
    </row>
    <row r="15046" spans="1:9">
      <c r="A15046" s="126"/>
      <c r="B15046" s="126"/>
      <c r="C15046" s="126"/>
      <c r="D15046" s="126"/>
      <c r="E15046" s="126"/>
      <c r="F15046" s="126"/>
      <c r="G15046" s="126"/>
      <c r="H15046" s="126"/>
      <c r="I15046" s="126"/>
    </row>
    <row r="15047" spans="1:9">
      <c r="A15047" s="126"/>
      <c r="B15047" s="126"/>
      <c r="C15047" s="126"/>
      <c r="D15047" s="126"/>
      <c r="E15047" s="126"/>
      <c r="F15047" s="126"/>
      <c r="G15047" s="126"/>
      <c r="H15047" s="126"/>
      <c r="I15047" s="126"/>
    </row>
    <row r="15048" spans="1:9">
      <c r="A15048" s="126"/>
      <c r="B15048" s="126"/>
      <c r="C15048" s="126"/>
      <c r="D15048" s="126"/>
      <c r="E15048" s="126"/>
      <c r="F15048" s="126"/>
      <c r="G15048" s="126"/>
      <c r="H15048" s="126"/>
      <c r="I15048" s="126"/>
    </row>
    <row r="15049" spans="1:9">
      <c r="A15049" s="126"/>
      <c r="B15049" s="126"/>
      <c r="C15049" s="126"/>
      <c r="D15049" s="126"/>
      <c r="E15049" s="126"/>
      <c r="F15049" s="126"/>
      <c r="G15049" s="126"/>
      <c r="H15049" s="126"/>
      <c r="I15049" s="126"/>
    </row>
    <row r="15050" spans="1:9">
      <c r="A15050" s="126"/>
      <c r="B15050" s="126"/>
      <c r="C15050" s="126"/>
      <c r="D15050" s="126"/>
      <c r="E15050" s="126"/>
      <c r="F15050" s="126"/>
      <c r="G15050" s="126"/>
      <c r="H15050" s="126"/>
      <c r="I15050" s="126"/>
    </row>
    <row r="15051" spans="1:9">
      <c r="A15051" s="126"/>
      <c r="B15051" s="126"/>
      <c r="C15051" s="126"/>
      <c r="D15051" s="126"/>
      <c r="E15051" s="126"/>
      <c r="F15051" s="126"/>
      <c r="G15051" s="126"/>
      <c r="H15051" s="126"/>
      <c r="I15051" s="126"/>
    </row>
    <row r="15052" spans="1:9">
      <c r="A15052" s="126"/>
      <c r="B15052" s="126"/>
      <c r="C15052" s="126"/>
      <c r="D15052" s="126"/>
      <c r="E15052" s="126"/>
      <c r="F15052" s="126"/>
      <c r="G15052" s="126"/>
      <c r="H15052" s="126"/>
      <c r="I15052" s="126"/>
    </row>
    <row r="15053" spans="1:9">
      <c r="A15053" s="126"/>
      <c r="B15053" s="126"/>
      <c r="C15053" s="126"/>
      <c r="D15053" s="126"/>
      <c r="E15053" s="126"/>
      <c r="F15053" s="126"/>
      <c r="G15053" s="126"/>
      <c r="H15053" s="126"/>
      <c r="I15053" s="126"/>
    </row>
    <row r="15054" spans="1:9">
      <c r="A15054" s="126"/>
      <c r="B15054" s="126"/>
      <c r="C15054" s="126"/>
      <c r="D15054" s="126"/>
      <c r="E15054" s="126"/>
      <c r="F15054" s="126"/>
      <c r="G15054" s="126"/>
      <c r="H15054" s="126"/>
      <c r="I15054" s="126"/>
    </row>
    <row r="15055" spans="1:9">
      <c r="A15055" s="126"/>
      <c r="B15055" s="126"/>
      <c r="C15055" s="126"/>
      <c r="D15055" s="126"/>
      <c r="E15055" s="126"/>
      <c r="F15055" s="126"/>
      <c r="G15055" s="126"/>
      <c r="H15055" s="126"/>
      <c r="I15055" s="126"/>
    </row>
    <row r="15056" spans="1:9">
      <c r="A15056" s="126"/>
      <c r="B15056" s="126"/>
      <c r="C15056" s="126"/>
      <c r="D15056" s="126"/>
      <c r="E15056" s="126"/>
      <c r="F15056" s="126"/>
      <c r="G15056" s="126"/>
      <c r="H15056" s="126"/>
      <c r="I15056" s="126"/>
    </row>
    <row r="15057" spans="1:9">
      <c r="A15057" s="126"/>
      <c r="B15057" s="126"/>
      <c r="C15057" s="126"/>
      <c r="D15057" s="126"/>
      <c r="E15057" s="126"/>
      <c r="F15057" s="126"/>
      <c r="G15057" s="126"/>
      <c r="H15057" s="126"/>
      <c r="I15057" s="126"/>
    </row>
    <row r="15058" spans="1:9">
      <c r="A15058" s="126"/>
      <c r="B15058" s="126"/>
      <c r="C15058" s="126"/>
      <c r="D15058" s="126"/>
      <c r="E15058" s="126"/>
      <c r="F15058" s="126"/>
      <c r="G15058" s="126"/>
      <c r="H15058" s="126"/>
      <c r="I15058" s="126"/>
    </row>
    <row r="15059" spans="1:9">
      <c r="A15059" s="126"/>
      <c r="B15059" s="126"/>
      <c r="C15059" s="126"/>
      <c r="D15059" s="126"/>
      <c r="E15059" s="126"/>
      <c r="F15059" s="126"/>
      <c r="G15059" s="126"/>
      <c r="H15059" s="126"/>
      <c r="I15059" s="126"/>
    </row>
    <row r="15060" spans="1:9">
      <c r="A15060" s="126"/>
      <c r="B15060" s="126"/>
      <c r="C15060" s="126"/>
      <c r="D15060" s="126"/>
      <c r="E15060" s="126"/>
      <c r="F15060" s="126"/>
      <c r="G15060" s="126"/>
      <c r="H15060" s="126"/>
      <c r="I15060" s="126"/>
    </row>
    <row r="15061" spans="1:9">
      <c r="A15061" s="126"/>
      <c r="B15061" s="126"/>
      <c r="C15061" s="126"/>
      <c r="D15061" s="126"/>
      <c r="E15061" s="126"/>
      <c r="F15061" s="126"/>
      <c r="G15061" s="126"/>
      <c r="H15061" s="126"/>
      <c r="I15061" s="126"/>
    </row>
    <row r="15062" spans="1:9">
      <c r="A15062" s="126"/>
      <c r="B15062" s="126"/>
      <c r="C15062" s="126"/>
      <c r="D15062" s="126"/>
      <c r="E15062" s="126"/>
      <c r="F15062" s="126"/>
      <c r="G15062" s="126"/>
      <c r="H15062" s="126"/>
      <c r="I15062" s="126"/>
    </row>
    <row r="15063" spans="1:9">
      <c r="A15063" s="126"/>
      <c r="B15063" s="126"/>
      <c r="C15063" s="126"/>
      <c r="D15063" s="126"/>
      <c r="E15063" s="126"/>
      <c r="F15063" s="126"/>
      <c r="G15063" s="126"/>
      <c r="H15063" s="126"/>
      <c r="I15063" s="126"/>
    </row>
    <row r="15064" spans="1:9">
      <c r="A15064" s="126"/>
      <c r="B15064" s="126"/>
      <c r="C15064" s="126"/>
      <c r="D15064" s="126"/>
      <c r="E15064" s="126"/>
      <c r="F15064" s="126"/>
      <c r="G15064" s="126"/>
      <c r="H15064" s="126"/>
      <c r="I15064" s="126"/>
    </row>
    <row r="15065" spans="1:9">
      <c r="A15065" s="126"/>
      <c r="B15065" s="126"/>
      <c r="C15065" s="126"/>
      <c r="D15065" s="126"/>
      <c r="E15065" s="126"/>
      <c r="F15065" s="126"/>
      <c r="G15065" s="126"/>
      <c r="H15065" s="126"/>
      <c r="I15065" s="126"/>
    </row>
    <row r="15066" spans="1:9">
      <c r="A15066" s="126"/>
      <c r="B15066" s="126"/>
      <c r="C15066" s="126"/>
      <c r="D15066" s="126"/>
      <c r="E15066" s="126"/>
      <c r="F15066" s="126"/>
      <c r="G15066" s="126"/>
      <c r="H15066" s="126"/>
      <c r="I15066" s="126"/>
    </row>
    <row r="15067" spans="1:9">
      <c r="A15067" s="126"/>
      <c r="B15067" s="126"/>
      <c r="C15067" s="126"/>
      <c r="D15067" s="126"/>
      <c r="E15067" s="126"/>
      <c r="F15067" s="126"/>
      <c r="G15067" s="126"/>
      <c r="H15067" s="126"/>
      <c r="I15067" s="126"/>
    </row>
    <row r="15068" spans="1:9">
      <c r="A15068" s="126"/>
      <c r="B15068" s="126"/>
      <c r="C15068" s="126"/>
      <c r="D15068" s="126"/>
      <c r="E15068" s="126"/>
      <c r="F15068" s="126"/>
      <c r="G15068" s="126"/>
      <c r="H15068" s="126"/>
      <c r="I15068" s="126"/>
    </row>
    <row r="15069" spans="1:9">
      <c r="A15069" s="126"/>
      <c r="B15069" s="126"/>
      <c r="C15069" s="126"/>
      <c r="D15069" s="126"/>
      <c r="E15069" s="126"/>
      <c r="F15069" s="126"/>
      <c r="G15069" s="126"/>
      <c r="H15069" s="126"/>
      <c r="I15069" s="126"/>
    </row>
    <row r="15070" spans="1:9">
      <c r="A15070" s="126"/>
      <c r="B15070" s="126"/>
      <c r="C15070" s="126"/>
      <c r="D15070" s="126"/>
      <c r="E15070" s="126"/>
      <c r="F15070" s="126"/>
      <c r="G15070" s="126"/>
      <c r="H15070" s="126"/>
      <c r="I15070" s="126"/>
    </row>
    <row r="15071" spans="1:9">
      <c r="A15071" s="126"/>
      <c r="B15071" s="126"/>
      <c r="C15071" s="126"/>
      <c r="D15071" s="126"/>
      <c r="E15071" s="126"/>
      <c r="F15071" s="126"/>
      <c r="G15071" s="126"/>
      <c r="H15071" s="126"/>
      <c r="I15071" s="126"/>
    </row>
    <row r="15072" spans="1:9">
      <c r="A15072" s="126"/>
      <c r="B15072" s="126"/>
      <c r="C15072" s="126"/>
      <c r="D15072" s="126"/>
      <c r="E15072" s="126"/>
      <c r="F15072" s="126"/>
      <c r="G15072" s="126"/>
      <c r="H15072" s="126"/>
      <c r="I15072" s="126"/>
    </row>
    <row r="15073" spans="1:9">
      <c r="A15073" s="126"/>
      <c r="B15073" s="126"/>
      <c r="C15073" s="126"/>
      <c r="D15073" s="126"/>
      <c r="E15073" s="126"/>
      <c r="F15073" s="126"/>
      <c r="G15073" s="126"/>
      <c r="H15073" s="126"/>
      <c r="I15073" s="126"/>
    </row>
    <row r="15074" spans="1:9">
      <c r="A15074" s="126"/>
      <c r="B15074" s="126"/>
      <c r="C15074" s="126"/>
      <c r="D15074" s="126"/>
      <c r="E15074" s="126"/>
      <c r="F15074" s="126"/>
      <c r="G15074" s="126"/>
      <c r="H15074" s="126"/>
      <c r="I15074" s="126"/>
    </row>
    <row r="15075" spans="1:9">
      <c r="A15075" s="126"/>
      <c r="B15075" s="126"/>
      <c r="C15075" s="126"/>
      <c r="D15075" s="126"/>
      <c r="E15075" s="126"/>
      <c r="F15075" s="126"/>
      <c r="G15075" s="126"/>
      <c r="H15075" s="126"/>
      <c r="I15075" s="126"/>
    </row>
    <row r="15076" spans="1:9">
      <c r="A15076" s="126"/>
      <c r="B15076" s="126"/>
      <c r="C15076" s="126"/>
      <c r="D15076" s="126"/>
      <c r="E15076" s="126"/>
      <c r="F15076" s="126"/>
      <c r="G15076" s="126"/>
      <c r="H15076" s="126"/>
      <c r="I15076" s="126"/>
    </row>
    <row r="15077" spans="1:9">
      <c r="A15077" s="126"/>
      <c r="B15077" s="126"/>
      <c r="C15077" s="126"/>
      <c r="D15077" s="126"/>
      <c r="E15077" s="126"/>
      <c r="F15077" s="126"/>
      <c r="G15077" s="126"/>
      <c r="H15077" s="126"/>
      <c r="I15077" s="126"/>
    </row>
    <row r="15078" spans="1:9">
      <c r="A15078" s="126"/>
      <c r="B15078" s="126"/>
      <c r="C15078" s="126"/>
      <c r="D15078" s="126"/>
      <c r="E15078" s="126"/>
      <c r="F15078" s="126"/>
      <c r="G15078" s="126"/>
      <c r="H15078" s="126"/>
      <c r="I15078" s="126"/>
    </row>
    <row r="15079" spans="1:9">
      <c r="A15079" s="126"/>
      <c r="B15079" s="126"/>
      <c r="C15079" s="126"/>
      <c r="D15079" s="126"/>
      <c r="E15079" s="126"/>
      <c r="F15079" s="126"/>
      <c r="G15079" s="126"/>
      <c r="H15079" s="126"/>
      <c r="I15079" s="126"/>
    </row>
    <row r="15080" spans="1:9">
      <c r="A15080" s="126"/>
      <c r="B15080" s="126"/>
      <c r="C15080" s="126"/>
      <c r="D15080" s="126"/>
      <c r="E15080" s="126"/>
      <c r="F15080" s="126"/>
      <c r="G15080" s="126"/>
      <c r="H15080" s="126"/>
      <c r="I15080" s="126"/>
    </row>
    <row r="15081" spans="1:9">
      <c r="A15081" s="126"/>
      <c r="B15081" s="126"/>
      <c r="C15081" s="126"/>
      <c r="D15081" s="126"/>
      <c r="E15081" s="126"/>
      <c r="F15081" s="126"/>
      <c r="G15081" s="126"/>
      <c r="H15081" s="126"/>
      <c r="I15081" s="126"/>
    </row>
    <row r="15082" spans="1:9">
      <c r="A15082" s="126"/>
      <c r="B15082" s="126"/>
      <c r="C15082" s="126"/>
      <c r="D15082" s="126"/>
      <c r="E15082" s="126"/>
      <c r="F15082" s="126"/>
      <c r="G15082" s="126"/>
      <c r="H15082" s="126"/>
      <c r="I15082" s="126"/>
    </row>
    <row r="15083" spans="1:9">
      <c r="A15083" s="126"/>
      <c r="B15083" s="126"/>
      <c r="C15083" s="126"/>
      <c r="D15083" s="126"/>
      <c r="E15083" s="126"/>
      <c r="F15083" s="126"/>
      <c r="G15083" s="126"/>
      <c r="H15083" s="126"/>
      <c r="I15083" s="126"/>
    </row>
    <row r="15084" spans="1:9">
      <c r="A15084" s="126"/>
      <c r="B15084" s="126"/>
      <c r="C15084" s="126"/>
      <c r="D15084" s="126"/>
      <c r="E15084" s="126"/>
      <c r="F15084" s="126"/>
      <c r="G15084" s="126"/>
      <c r="H15084" s="126"/>
      <c r="I15084" s="126"/>
    </row>
    <row r="15085" spans="1:9">
      <c r="A15085" s="126"/>
      <c r="B15085" s="126"/>
      <c r="C15085" s="126"/>
      <c r="D15085" s="126"/>
      <c r="E15085" s="126"/>
      <c r="F15085" s="126"/>
      <c r="G15085" s="126"/>
      <c r="H15085" s="126"/>
      <c r="I15085" s="126"/>
    </row>
    <row r="15086" spans="1:9">
      <c r="A15086" s="126"/>
      <c r="B15086" s="126"/>
      <c r="C15086" s="126"/>
      <c r="D15086" s="126"/>
      <c r="E15086" s="126"/>
      <c r="F15086" s="126"/>
      <c r="G15086" s="126"/>
      <c r="H15086" s="126"/>
      <c r="I15086" s="126"/>
    </row>
    <row r="15087" spans="1:9">
      <c r="A15087" s="126"/>
      <c r="B15087" s="126"/>
      <c r="C15087" s="126"/>
      <c r="D15087" s="126"/>
      <c r="E15087" s="126"/>
      <c r="F15087" s="126"/>
      <c r="G15087" s="126"/>
      <c r="H15087" s="126"/>
      <c r="I15087" s="126"/>
    </row>
    <row r="15088" spans="1:9">
      <c r="A15088" s="126"/>
      <c r="B15088" s="126"/>
      <c r="C15088" s="126"/>
      <c r="D15088" s="126"/>
      <c r="E15088" s="126"/>
      <c r="F15088" s="126"/>
      <c r="G15088" s="126"/>
      <c r="H15088" s="126"/>
      <c r="I15088" s="126"/>
    </row>
    <row r="15089" spans="1:9">
      <c r="A15089" s="126"/>
      <c r="B15089" s="126"/>
      <c r="C15089" s="126"/>
      <c r="D15089" s="126"/>
      <c r="E15089" s="126"/>
      <c r="F15089" s="126"/>
      <c r="G15089" s="126"/>
      <c r="H15089" s="126"/>
      <c r="I15089" s="126"/>
    </row>
    <row r="15090" spans="1:9">
      <c r="A15090" s="126"/>
      <c r="B15090" s="126"/>
      <c r="C15090" s="126"/>
      <c r="D15090" s="126"/>
      <c r="E15090" s="126"/>
      <c r="F15090" s="126"/>
      <c r="G15090" s="126"/>
      <c r="H15090" s="126"/>
      <c r="I15090" s="126"/>
    </row>
    <row r="15091" spans="1:9">
      <c r="A15091" s="126"/>
      <c r="B15091" s="126"/>
      <c r="C15091" s="126"/>
      <c r="D15091" s="126"/>
      <c r="E15091" s="126"/>
      <c r="F15091" s="126"/>
      <c r="G15091" s="126"/>
      <c r="H15091" s="126"/>
      <c r="I15091" s="126"/>
    </row>
    <row r="15092" spans="1:9">
      <c r="A15092" s="126"/>
      <c r="B15092" s="126"/>
      <c r="C15092" s="126"/>
      <c r="D15092" s="126"/>
      <c r="E15092" s="126"/>
      <c r="F15092" s="126"/>
      <c r="G15092" s="126"/>
      <c r="H15092" s="126"/>
      <c r="I15092" s="126"/>
    </row>
    <row r="15093" spans="1:9">
      <c r="A15093" s="126"/>
      <c r="B15093" s="126"/>
      <c r="C15093" s="126"/>
      <c r="D15093" s="126"/>
      <c r="E15093" s="126"/>
      <c r="F15093" s="126"/>
      <c r="G15093" s="126"/>
      <c r="H15093" s="126"/>
      <c r="I15093" s="126"/>
    </row>
    <row r="15094" spans="1:9">
      <c r="A15094" s="126"/>
      <c r="B15094" s="126"/>
      <c r="C15094" s="126"/>
      <c r="D15094" s="126"/>
      <c r="E15094" s="126"/>
      <c r="F15094" s="126"/>
      <c r="G15094" s="126"/>
      <c r="H15094" s="126"/>
      <c r="I15094" s="126"/>
    </row>
    <row r="15095" spans="1:9">
      <c r="A15095" s="126"/>
      <c r="B15095" s="126"/>
      <c r="C15095" s="126"/>
      <c r="D15095" s="126"/>
      <c r="E15095" s="126"/>
      <c r="F15095" s="126"/>
      <c r="G15095" s="126"/>
      <c r="H15095" s="126"/>
      <c r="I15095" s="126"/>
    </row>
    <row r="15096" spans="1:9">
      <c r="A15096" s="126"/>
      <c r="B15096" s="126"/>
      <c r="C15096" s="126"/>
      <c r="D15096" s="126"/>
      <c r="E15096" s="126"/>
      <c r="F15096" s="126"/>
      <c r="G15096" s="126"/>
      <c r="H15096" s="126"/>
      <c r="I15096" s="126"/>
    </row>
    <row r="15097" spans="1:9">
      <c r="A15097" s="126"/>
      <c r="B15097" s="126"/>
      <c r="C15097" s="126"/>
      <c r="D15097" s="126"/>
      <c r="E15097" s="126"/>
      <c r="F15097" s="126"/>
      <c r="G15097" s="126"/>
      <c r="H15097" s="126"/>
      <c r="I15097" s="126"/>
    </row>
    <row r="15098" spans="1:9">
      <c r="A15098" s="126"/>
      <c r="B15098" s="126"/>
      <c r="C15098" s="126"/>
      <c r="D15098" s="126"/>
      <c r="E15098" s="126"/>
      <c r="F15098" s="126"/>
      <c r="G15098" s="126"/>
      <c r="H15098" s="126"/>
      <c r="I15098" s="126"/>
    </row>
    <row r="15099" spans="1:9">
      <c r="A15099" s="126"/>
      <c r="B15099" s="126"/>
      <c r="C15099" s="126"/>
      <c r="D15099" s="126"/>
      <c r="E15099" s="126"/>
      <c r="F15099" s="126"/>
      <c r="G15099" s="126"/>
      <c r="H15099" s="126"/>
      <c r="I15099" s="126"/>
    </row>
    <row r="15100" spans="1:9">
      <c r="A15100" s="126"/>
      <c r="B15100" s="126"/>
      <c r="C15100" s="126"/>
      <c r="D15100" s="126"/>
      <c r="E15100" s="126"/>
      <c r="F15100" s="126"/>
      <c r="G15100" s="126"/>
      <c r="H15100" s="126"/>
      <c r="I15100" s="126"/>
    </row>
    <row r="15101" spans="1:9">
      <c r="A15101" s="126"/>
      <c r="B15101" s="126"/>
      <c r="C15101" s="126"/>
      <c r="D15101" s="126"/>
      <c r="E15101" s="126"/>
      <c r="F15101" s="126"/>
      <c r="G15101" s="126"/>
      <c r="H15101" s="126"/>
      <c r="I15101" s="126"/>
    </row>
    <row r="15102" spans="1:9">
      <c r="A15102" s="126"/>
      <c r="B15102" s="126"/>
      <c r="C15102" s="126"/>
      <c r="D15102" s="126"/>
      <c r="E15102" s="126"/>
      <c r="F15102" s="126"/>
      <c r="G15102" s="126"/>
      <c r="H15102" s="126"/>
      <c r="I15102" s="126"/>
    </row>
    <row r="15103" spans="1:9">
      <c r="A15103" s="126"/>
      <c r="B15103" s="126"/>
      <c r="C15103" s="126"/>
      <c r="D15103" s="126"/>
      <c r="E15103" s="126"/>
      <c r="F15103" s="126"/>
      <c r="G15103" s="126"/>
      <c r="H15103" s="126"/>
      <c r="I15103" s="126"/>
    </row>
    <row r="15104" spans="1:9">
      <c r="A15104" s="126"/>
      <c r="B15104" s="126"/>
      <c r="C15104" s="126"/>
      <c r="D15104" s="126"/>
      <c r="E15104" s="126"/>
      <c r="F15104" s="126"/>
      <c r="G15104" s="126"/>
      <c r="H15104" s="126"/>
      <c r="I15104" s="126"/>
    </row>
    <row r="15105" spans="1:9">
      <c r="A15105" s="126"/>
      <c r="B15105" s="126"/>
      <c r="C15105" s="126"/>
      <c r="D15105" s="126"/>
      <c r="E15105" s="126"/>
      <c r="F15105" s="126"/>
      <c r="G15105" s="126"/>
      <c r="H15105" s="126"/>
      <c r="I15105" s="126"/>
    </row>
    <row r="15106" spans="1:9">
      <c r="A15106" s="126"/>
      <c r="B15106" s="126"/>
      <c r="C15106" s="126"/>
      <c r="D15106" s="126"/>
      <c r="E15106" s="126"/>
      <c r="F15106" s="126"/>
      <c r="G15106" s="126"/>
      <c r="H15106" s="126"/>
      <c r="I15106" s="126"/>
    </row>
    <row r="15107" spans="1:9">
      <c r="A15107" s="126"/>
      <c r="B15107" s="126"/>
      <c r="C15107" s="126"/>
      <c r="D15107" s="126"/>
      <c r="E15107" s="126"/>
      <c r="F15107" s="126"/>
      <c r="G15107" s="126"/>
      <c r="H15107" s="126"/>
      <c r="I15107" s="126"/>
    </row>
    <row r="15108" spans="1:9">
      <c r="A15108" s="126"/>
      <c r="B15108" s="126"/>
      <c r="C15108" s="126"/>
      <c r="D15108" s="126"/>
      <c r="E15108" s="126"/>
      <c r="F15108" s="126"/>
      <c r="G15108" s="126"/>
      <c r="H15108" s="126"/>
      <c r="I15108" s="126"/>
    </row>
    <row r="15109" spans="1:9">
      <c r="A15109" s="126"/>
      <c r="B15109" s="126"/>
      <c r="C15109" s="126"/>
      <c r="D15109" s="126"/>
      <c r="E15109" s="126"/>
      <c r="F15109" s="126"/>
      <c r="G15109" s="126"/>
      <c r="H15109" s="126"/>
      <c r="I15109" s="126"/>
    </row>
    <row r="15110" spans="1:9">
      <c r="A15110" s="126"/>
      <c r="B15110" s="126"/>
      <c r="C15110" s="126"/>
      <c r="D15110" s="126"/>
      <c r="E15110" s="126"/>
      <c r="F15110" s="126"/>
      <c r="G15110" s="126"/>
      <c r="H15110" s="126"/>
      <c r="I15110" s="126"/>
    </row>
    <row r="15111" spans="1:9">
      <c r="A15111" s="126"/>
      <c r="B15111" s="126"/>
      <c r="C15111" s="126"/>
      <c r="D15111" s="126"/>
      <c r="E15111" s="126"/>
      <c r="F15111" s="126"/>
      <c r="G15111" s="126"/>
      <c r="H15111" s="126"/>
      <c r="I15111" s="126"/>
    </row>
    <row r="15112" spans="1:9">
      <c r="A15112" s="126"/>
      <c r="B15112" s="126"/>
      <c r="C15112" s="126"/>
      <c r="D15112" s="126"/>
      <c r="E15112" s="126"/>
      <c r="F15112" s="126"/>
      <c r="G15112" s="126"/>
      <c r="H15112" s="126"/>
      <c r="I15112" s="126"/>
    </row>
    <row r="15113" spans="1:9">
      <c r="A15113" s="126"/>
      <c r="B15113" s="126"/>
      <c r="C15113" s="126"/>
      <c r="D15113" s="126"/>
      <c r="E15113" s="126"/>
      <c r="F15113" s="126"/>
      <c r="G15113" s="126"/>
      <c r="H15113" s="126"/>
      <c r="I15113" s="126"/>
    </row>
    <row r="15114" spans="1:9">
      <c r="A15114" s="126"/>
      <c r="B15114" s="126"/>
      <c r="C15114" s="126"/>
      <c r="D15114" s="126"/>
      <c r="E15114" s="126"/>
      <c r="F15114" s="126"/>
      <c r="G15114" s="126"/>
      <c r="H15114" s="126"/>
      <c r="I15114" s="126"/>
    </row>
    <row r="15115" spans="1:9">
      <c r="A15115" s="126"/>
      <c r="B15115" s="126"/>
      <c r="C15115" s="126"/>
      <c r="D15115" s="126"/>
      <c r="E15115" s="126"/>
      <c r="F15115" s="126"/>
      <c r="G15115" s="126"/>
      <c r="H15115" s="126"/>
      <c r="I15115" s="126"/>
    </row>
    <row r="15116" spans="1:9">
      <c r="A15116" s="126"/>
      <c r="B15116" s="126"/>
      <c r="C15116" s="126"/>
      <c r="D15116" s="126"/>
      <c r="E15116" s="126"/>
      <c r="F15116" s="126"/>
      <c r="G15116" s="126"/>
      <c r="H15116" s="126"/>
      <c r="I15116" s="126"/>
    </row>
    <row r="15117" spans="1:9">
      <c r="A15117" s="126"/>
      <c r="B15117" s="126"/>
      <c r="C15117" s="126"/>
      <c r="D15117" s="126"/>
      <c r="E15117" s="126"/>
      <c r="F15117" s="126"/>
      <c r="G15117" s="126"/>
      <c r="H15117" s="126"/>
      <c r="I15117" s="126"/>
    </row>
    <row r="15118" spans="1:9">
      <c r="A15118" s="126"/>
      <c r="B15118" s="126"/>
      <c r="C15118" s="126"/>
      <c r="D15118" s="126"/>
      <c r="E15118" s="126"/>
      <c r="F15118" s="126"/>
      <c r="G15118" s="126"/>
      <c r="H15118" s="126"/>
      <c r="I15118" s="126"/>
    </row>
    <row r="15119" spans="1:9">
      <c r="A15119" s="126"/>
      <c r="B15119" s="126"/>
      <c r="C15119" s="126"/>
      <c r="D15119" s="126"/>
      <c r="E15119" s="126"/>
      <c r="F15119" s="126"/>
      <c r="G15119" s="126"/>
      <c r="H15119" s="126"/>
      <c r="I15119" s="126"/>
    </row>
    <row r="15120" spans="1:9">
      <c r="A15120" s="126"/>
      <c r="B15120" s="126"/>
      <c r="C15120" s="126"/>
      <c r="D15120" s="126"/>
      <c r="E15120" s="126"/>
      <c r="F15120" s="126"/>
      <c r="G15120" s="126"/>
      <c r="H15120" s="126"/>
      <c r="I15120" s="126"/>
    </row>
    <row r="15121" spans="1:9">
      <c r="A15121" s="126"/>
      <c r="B15121" s="126"/>
      <c r="C15121" s="126"/>
      <c r="D15121" s="126"/>
      <c r="E15121" s="126"/>
      <c r="F15121" s="126"/>
      <c r="G15121" s="126"/>
      <c r="H15121" s="126"/>
      <c r="I15121" s="126"/>
    </row>
    <row r="15122" spans="1:9">
      <c r="A15122" s="126"/>
      <c r="B15122" s="126"/>
      <c r="C15122" s="126"/>
      <c r="D15122" s="126"/>
      <c r="E15122" s="126"/>
      <c r="F15122" s="126"/>
      <c r="G15122" s="126"/>
      <c r="H15122" s="126"/>
      <c r="I15122" s="126"/>
    </row>
    <row r="15123" spans="1:9">
      <c r="A15123" s="126"/>
      <c r="B15123" s="126"/>
      <c r="C15123" s="126"/>
      <c r="D15123" s="126"/>
      <c r="E15123" s="126"/>
      <c r="F15123" s="126"/>
      <c r="G15123" s="126"/>
      <c r="H15123" s="126"/>
      <c r="I15123" s="126"/>
    </row>
    <row r="15124" spans="1:9">
      <c r="A15124" s="126"/>
      <c r="B15124" s="126"/>
      <c r="C15124" s="126"/>
      <c r="D15124" s="126"/>
      <c r="E15124" s="126"/>
      <c r="F15124" s="126"/>
      <c r="G15124" s="126"/>
      <c r="H15124" s="126"/>
      <c r="I15124" s="126"/>
    </row>
    <row r="15125" spans="1:9">
      <c r="A15125" s="126"/>
      <c r="B15125" s="126"/>
      <c r="C15125" s="126"/>
      <c r="D15125" s="126"/>
      <c r="E15125" s="126"/>
      <c r="F15125" s="126"/>
      <c r="G15125" s="126"/>
      <c r="H15125" s="126"/>
      <c r="I15125" s="126"/>
    </row>
    <row r="15126" spans="1:9">
      <c r="A15126" s="126"/>
      <c r="B15126" s="126"/>
      <c r="C15126" s="126"/>
      <c r="D15126" s="126"/>
      <c r="E15126" s="126"/>
      <c r="F15126" s="126"/>
      <c r="G15126" s="126"/>
      <c r="H15126" s="126"/>
      <c r="I15126" s="126"/>
    </row>
    <row r="15127" spans="1:9">
      <c r="A15127" s="126"/>
      <c r="B15127" s="126"/>
      <c r="C15127" s="126"/>
      <c r="D15127" s="126"/>
      <c r="E15127" s="126"/>
      <c r="F15127" s="126"/>
      <c r="G15127" s="126"/>
      <c r="H15127" s="126"/>
      <c r="I15127" s="126"/>
    </row>
    <row r="15128" spans="1:9">
      <c r="A15128" s="126"/>
      <c r="B15128" s="126"/>
      <c r="C15128" s="126"/>
      <c r="D15128" s="126"/>
      <c r="E15128" s="126"/>
      <c r="F15128" s="126"/>
      <c r="G15128" s="126"/>
      <c r="H15128" s="126"/>
      <c r="I15128" s="126"/>
    </row>
    <row r="15129" spans="1:9">
      <c r="A15129" s="126"/>
      <c r="B15129" s="126"/>
      <c r="C15129" s="126"/>
      <c r="D15129" s="126"/>
      <c r="E15129" s="126"/>
      <c r="F15129" s="126"/>
      <c r="G15129" s="126"/>
      <c r="H15129" s="126"/>
      <c r="I15129" s="126"/>
    </row>
    <row r="15130" spans="1:9">
      <c r="A15130" s="126"/>
      <c r="B15130" s="126"/>
      <c r="C15130" s="126"/>
      <c r="D15130" s="126"/>
      <c r="E15130" s="126"/>
      <c r="F15130" s="126"/>
      <c r="G15130" s="126"/>
      <c r="H15130" s="126"/>
      <c r="I15130" s="126"/>
    </row>
    <row r="15131" spans="1:9">
      <c r="A15131" s="126"/>
      <c r="B15131" s="126"/>
      <c r="C15131" s="126"/>
      <c r="D15131" s="126"/>
      <c r="E15131" s="126"/>
      <c r="F15131" s="126"/>
      <c r="G15131" s="126"/>
      <c r="H15131" s="126"/>
      <c r="I15131" s="126"/>
    </row>
    <row r="15132" spans="1:9">
      <c r="A15132" s="126"/>
      <c r="B15132" s="126"/>
      <c r="C15132" s="126"/>
      <c r="D15132" s="126"/>
      <c r="E15132" s="126"/>
      <c r="F15132" s="126"/>
      <c r="G15132" s="126"/>
      <c r="H15132" s="126"/>
      <c r="I15132" s="126"/>
    </row>
    <row r="15133" spans="1:9">
      <c r="A15133" s="126"/>
      <c r="B15133" s="126"/>
      <c r="C15133" s="126"/>
      <c r="D15133" s="126"/>
      <c r="E15133" s="126"/>
      <c r="F15133" s="126"/>
      <c r="G15133" s="126"/>
      <c r="H15133" s="126"/>
      <c r="I15133" s="126"/>
    </row>
    <row r="15134" spans="1:9">
      <c r="A15134" s="126"/>
      <c r="B15134" s="126"/>
      <c r="C15134" s="126"/>
      <c r="D15134" s="126"/>
      <c r="E15134" s="126"/>
      <c r="F15134" s="126"/>
      <c r="G15134" s="126"/>
      <c r="H15134" s="126"/>
      <c r="I15134" s="126"/>
    </row>
    <row r="15135" spans="1:9">
      <c r="A15135" s="126"/>
      <c r="B15135" s="126"/>
      <c r="C15135" s="126"/>
      <c r="D15135" s="126"/>
      <c r="E15135" s="126"/>
      <c r="F15135" s="126"/>
      <c r="G15135" s="126"/>
      <c r="H15135" s="126"/>
      <c r="I15135" s="126"/>
    </row>
    <row r="15136" spans="1:9">
      <c r="A15136" s="126"/>
      <c r="B15136" s="126"/>
      <c r="C15136" s="126"/>
      <c r="D15136" s="126"/>
      <c r="E15136" s="126"/>
      <c r="F15136" s="126"/>
      <c r="G15136" s="126"/>
      <c r="H15136" s="126"/>
      <c r="I15136" s="126"/>
    </row>
    <row r="15137" spans="1:9">
      <c r="A15137" s="126"/>
      <c r="B15137" s="126"/>
      <c r="C15137" s="126"/>
      <c r="D15137" s="126"/>
      <c r="E15137" s="126"/>
      <c r="F15137" s="126"/>
      <c r="G15137" s="126"/>
      <c r="H15137" s="126"/>
      <c r="I15137" s="126"/>
    </row>
    <row r="15138" spans="1:9">
      <c r="A15138" s="126"/>
      <c r="B15138" s="126"/>
      <c r="C15138" s="126"/>
      <c r="D15138" s="126"/>
      <c r="E15138" s="126"/>
      <c r="F15138" s="126"/>
      <c r="G15138" s="126"/>
      <c r="H15138" s="126"/>
      <c r="I15138" s="126"/>
    </row>
    <row r="15139" spans="1:9">
      <c r="A15139" s="126"/>
      <c r="B15139" s="126"/>
      <c r="C15139" s="126"/>
      <c r="D15139" s="126"/>
      <c r="E15139" s="126"/>
      <c r="F15139" s="126"/>
      <c r="G15139" s="126"/>
      <c r="H15139" s="126"/>
      <c r="I15139" s="126"/>
    </row>
    <row r="15140" spans="1:9">
      <c r="A15140" s="126"/>
      <c r="B15140" s="126"/>
      <c r="C15140" s="126"/>
      <c r="D15140" s="126"/>
      <c r="E15140" s="126"/>
      <c r="F15140" s="126"/>
      <c r="G15140" s="126"/>
      <c r="H15140" s="126"/>
      <c r="I15140" s="126"/>
    </row>
    <row r="15141" spans="1:9">
      <c r="A15141" s="126"/>
      <c r="B15141" s="126"/>
      <c r="C15141" s="126"/>
      <c r="D15141" s="126"/>
      <c r="E15141" s="126"/>
      <c r="F15141" s="126"/>
      <c r="G15141" s="126"/>
      <c r="H15141" s="126"/>
      <c r="I15141" s="126"/>
    </row>
    <row r="15142" spans="1:9">
      <c r="A15142" s="126"/>
      <c r="B15142" s="126"/>
      <c r="C15142" s="126"/>
      <c r="D15142" s="126"/>
      <c r="E15142" s="126"/>
      <c r="F15142" s="126"/>
      <c r="G15142" s="126"/>
      <c r="H15142" s="126"/>
      <c r="I15142" s="126"/>
    </row>
    <row r="15143" spans="1:9">
      <c r="A15143" s="126"/>
      <c r="B15143" s="126"/>
      <c r="C15143" s="126"/>
      <c r="D15143" s="126"/>
      <c r="E15143" s="126"/>
      <c r="F15143" s="126"/>
      <c r="G15143" s="126"/>
      <c r="H15143" s="126"/>
      <c r="I15143" s="126"/>
    </row>
    <row r="15144" spans="1:9">
      <c r="A15144" s="126"/>
      <c r="B15144" s="126"/>
      <c r="C15144" s="126"/>
      <c r="D15144" s="126"/>
      <c r="E15144" s="126"/>
      <c r="F15144" s="126"/>
      <c r="G15144" s="126"/>
      <c r="H15144" s="126"/>
      <c r="I15144" s="126"/>
    </row>
    <row r="15145" spans="1:9">
      <c r="A15145" s="126"/>
      <c r="B15145" s="126"/>
      <c r="C15145" s="126"/>
      <c r="D15145" s="126"/>
      <c r="E15145" s="126"/>
      <c r="F15145" s="126"/>
      <c r="G15145" s="126"/>
      <c r="H15145" s="126"/>
      <c r="I15145" s="126"/>
    </row>
    <row r="15146" spans="1:9">
      <c r="A15146" s="126"/>
      <c r="B15146" s="126"/>
      <c r="C15146" s="126"/>
      <c r="D15146" s="126"/>
      <c r="E15146" s="126"/>
      <c r="F15146" s="126"/>
      <c r="G15146" s="126"/>
      <c r="H15146" s="126"/>
      <c r="I15146" s="126"/>
    </row>
    <row r="15147" spans="1:9">
      <c r="A15147" s="126"/>
      <c r="B15147" s="126"/>
      <c r="C15147" s="126"/>
      <c r="D15147" s="126"/>
      <c r="E15147" s="126"/>
      <c r="F15147" s="126"/>
      <c r="G15147" s="126"/>
      <c r="H15147" s="126"/>
      <c r="I15147" s="126"/>
    </row>
    <row r="15148" spans="1:9">
      <c r="A15148" s="126"/>
      <c r="B15148" s="126"/>
      <c r="C15148" s="126"/>
      <c r="D15148" s="126"/>
      <c r="E15148" s="126"/>
      <c r="F15148" s="126"/>
      <c r="G15148" s="126"/>
      <c r="H15148" s="126"/>
      <c r="I15148" s="126"/>
    </row>
    <row r="15149" spans="1:9">
      <c r="A15149" s="126"/>
      <c r="B15149" s="126"/>
      <c r="C15149" s="126"/>
      <c r="D15149" s="126"/>
      <c r="E15149" s="126"/>
      <c r="F15149" s="126"/>
      <c r="G15149" s="126"/>
      <c r="H15149" s="126"/>
      <c r="I15149" s="126"/>
    </row>
    <row r="15150" spans="1:9">
      <c r="A15150" s="126"/>
      <c r="B15150" s="126"/>
      <c r="C15150" s="126"/>
      <c r="D15150" s="126"/>
      <c r="E15150" s="126"/>
      <c r="F15150" s="126"/>
      <c r="G15150" s="126"/>
      <c r="H15150" s="126"/>
      <c r="I15150" s="126"/>
    </row>
    <row r="15151" spans="1:9">
      <c r="A15151" s="126"/>
      <c r="B15151" s="126"/>
      <c r="C15151" s="126"/>
      <c r="D15151" s="126"/>
      <c r="E15151" s="126"/>
      <c r="F15151" s="126"/>
      <c r="G15151" s="126"/>
      <c r="H15151" s="126"/>
      <c r="I15151" s="126"/>
    </row>
    <row r="15152" spans="1:9">
      <c r="A15152" s="126"/>
      <c r="B15152" s="126"/>
      <c r="C15152" s="126"/>
      <c r="D15152" s="126"/>
      <c r="E15152" s="126"/>
      <c r="F15152" s="126"/>
      <c r="G15152" s="126"/>
      <c r="H15152" s="126"/>
      <c r="I15152" s="126"/>
    </row>
    <row r="15153" spans="1:9">
      <c r="A15153" s="126"/>
      <c r="B15153" s="126"/>
      <c r="C15153" s="126"/>
      <c r="D15153" s="126"/>
      <c r="E15153" s="126"/>
      <c r="F15153" s="126"/>
      <c r="G15153" s="126"/>
      <c r="H15153" s="126"/>
      <c r="I15153" s="126"/>
    </row>
    <row r="15154" spans="1:9">
      <c r="A15154" s="126"/>
      <c r="B15154" s="126"/>
      <c r="C15154" s="126"/>
      <c r="D15154" s="126"/>
      <c r="E15154" s="126"/>
      <c r="F15154" s="126"/>
      <c r="G15154" s="126"/>
      <c r="H15154" s="126"/>
      <c r="I15154" s="126"/>
    </row>
    <row r="15155" spans="1:9">
      <c r="A15155" s="126"/>
      <c r="B15155" s="126"/>
      <c r="C15155" s="126"/>
      <c r="D15155" s="126"/>
      <c r="E15155" s="126"/>
      <c r="F15155" s="126"/>
      <c r="G15155" s="126"/>
      <c r="H15155" s="126"/>
      <c r="I15155" s="126"/>
    </row>
    <row r="15156" spans="1:9">
      <c r="A15156" s="126"/>
      <c r="B15156" s="126"/>
      <c r="C15156" s="126"/>
      <c r="D15156" s="126"/>
      <c r="E15156" s="126"/>
      <c r="F15156" s="126"/>
      <c r="G15156" s="126"/>
      <c r="H15156" s="126"/>
      <c r="I15156" s="126"/>
    </row>
    <row r="15157" spans="1:9">
      <c r="A15157" s="126"/>
      <c r="B15157" s="126"/>
      <c r="C15157" s="126"/>
      <c r="D15157" s="126"/>
      <c r="E15157" s="126"/>
      <c r="F15157" s="126"/>
      <c r="G15157" s="126"/>
      <c r="H15157" s="126"/>
      <c r="I15157" s="126"/>
    </row>
    <row r="15158" spans="1:9">
      <c r="A15158" s="126"/>
      <c r="B15158" s="126"/>
      <c r="C15158" s="126"/>
      <c r="D15158" s="126"/>
      <c r="E15158" s="126"/>
      <c r="F15158" s="126"/>
      <c r="G15158" s="126"/>
      <c r="H15158" s="126"/>
      <c r="I15158" s="126"/>
    </row>
    <row r="15159" spans="1:9">
      <c r="A15159" s="126"/>
      <c r="B15159" s="126"/>
      <c r="C15159" s="126"/>
      <c r="D15159" s="126"/>
      <c r="E15159" s="126"/>
      <c r="F15159" s="126"/>
      <c r="G15159" s="126"/>
      <c r="H15159" s="126"/>
      <c r="I15159" s="126"/>
    </row>
    <row r="15160" spans="1:9">
      <c r="A15160" s="126"/>
      <c r="B15160" s="126"/>
      <c r="C15160" s="126"/>
      <c r="D15160" s="126"/>
      <c r="E15160" s="126"/>
      <c r="F15160" s="126"/>
      <c r="G15160" s="126"/>
      <c r="H15160" s="126"/>
      <c r="I15160" s="126"/>
    </row>
    <row r="15161" spans="1:9">
      <c r="A15161" s="126"/>
      <c r="B15161" s="126"/>
      <c r="C15161" s="126"/>
      <c r="D15161" s="126"/>
      <c r="E15161" s="126"/>
      <c r="F15161" s="126"/>
      <c r="G15161" s="126"/>
      <c r="H15161" s="126"/>
      <c r="I15161" s="126"/>
    </row>
    <row r="15162" spans="1:9">
      <c r="A15162" s="126"/>
      <c r="B15162" s="126"/>
      <c r="C15162" s="126"/>
      <c r="D15162" s="126"/>
      <c r="E15162" s="126"/>
      <c r="F15162" s="126"/>
      <c r="G15162" s="126"/>
      <c r="H15162" s="126"/>
      <c r="I15162" s="126"/>
    </row>
    <row r="15163" spans="1:9">
      <c r="A15163" s="126"/>
      <c r="B15163" s="126"/>
      <c r="C15163" s="126"/>
      <c r="D15163" s="126"/>
      <c r="E15163" s="126"/>
      <c r="F15163" s="126"/>
      <c r="G15163" s="126"/>
      <c r="H15163" s="126"/>
      <c r="I15163" s="126"/>
    </row>
    <row r="15164" spans="1:9">
      <c r="A15164" s="126"/>
      <c r="B15164" s="126"/>
      <c r="C15164" s="126"/>
      <c r="D15164" s="126"/>
      <c r="E15164" s="126"/>
      <c r="F15164" s="126"/>
      <c r="G15164" s="126"/>
      <c r="H15164" s="126"/>
      <c r="I15164" s="126"/>
    </row>
    <row r="15165" spans="1:9">
      <c r="A15165" s="126"/>
      <c r="B15165" s="126"/>
      <c r="C15165" s="126"/>
      <c r="D15165" s="126"/>
      <c r="E15165" s="126"/>
      <c r="F15165" s="126"/>
      <c r="G15165" s="126"/>
      <c r="H15165" s="126"/>
      <c r="I15165" s="126"/>
    </row>
    <row r="15166" spans="1:9">
      <c r="A15166" s="126"/>
      <c r="B15166" s="126"/>
      <c r="C15166" s="126"/>
      <c r="D15166" s="126"/>
      <c r="E15166" s="126"/>
      <c r="F15166" s="126"/>
      <c r="G15166" s="126"/>
      <c r="H15166" s="126"/>
      <c r="I15166" s="126"/>
    </row>
    <row r="15167" spans="1:9">
      <c r="A15167" s="126"/>
      <c r="B15167" s="126"/>
      <c r="C15167" s="126"/>
      <c r="D15167" s="126"/>
      <c r="E15167" s="126"/>
      <c r="F15167" s="126"/>
      <c r="G15167" s="126"/>
      <c r="H15167" s="126"/>
      <c r="I15167" s="126"/>
    </row>
    <row r="15168" spans="1:9">
      <c r="A15168" s="126"/>
      <c r="B15168" s="126"/>
      <c r="C15168" s="126"/>
      <c r="D15168" s="126"/>
      <c r="E15168" s="126"/>
      <c r="F15168" s="126"/>
      <c r="G15168" s="126"/>
      <c r="H15168" s="126"/>
      <c r="I15168" s="126"/>
    </row>
    <row r="15169" spans="1:9">
      <c r="A15169" s="126"/>
      <c r="B15169" s="126"/>
      <c r="C15169" s="126"/>
      <c r="D15169" s="126"/>
      <c r="E15169" s="126"/>
      <c r="F15169" s="126"/>
      <c r="G15169" s="126"/>
      <c r="H15169" s="126"/>
      <c r="I15169" s="126"/>
    </row>
    <row r="15170" spans="1:9">
      <c r="A15170" s="126"/>
      <c r="B15170" s="126"/>
      <c r="C15170" s="126"/>
      <c r="D15170" s="126"/>
      <c r="E15170" s="126"/>
      <c r="F15170" s="126"/>
      <c r="G15170" s="126"/>
      <c r="H15170" s="126"/>
      <c r="I15170" s="126"/>
    </row>
    <row r="15171" spans="1:9">
      <c r="A15171" s="126"/>
      <c r="B15171" s="126"/>
      <c r="C15171" s="126"/>
      <c r="D15171" s="126"/>
      <c r="E15171" s="126"/>
      <c r="F15171" s="126"/>
      <c r="G15171" s="126"/>
      <c r="H15171" s="126"/>
      <c r="I15171" s="126"/>
    </row>
    <row r="15172" spans="1:9">
      <c r="A15172" s="126"/>
      <c r="B15172" s="126"/>
      <c r="C15172" s="126"/>
      <c r="D15172" s="126"/>
      <c r="E15172" s="126"/>
      <c r="F15172" s="126"/>
      <c r="G15172" s="126"/>
      <c r="H15172" s="126"/>
      <c r="I15172" s="126"/>
    </row>
    <row r="15173" spans="1:9">
      <c r="A15173" s="126"/>
      <c r="B15173" s="126"/>
      <c r="C15173" s="126"/>
      <c r="D15173" s="126"/>
      <c r="E15173" s="126"/>
      <c r="F15173" s="126"/>
      <c r="G15173" s="126"/>
      <c r="H15173" s="126"/>
      <c r="I15173" s="126"/>
    </row>
    <row r="15174" spans="1:9">
      <c r="A15174" s="126"/>
      <c r="B15174" s="126"/>
      <c r="C15174" s="126"/>
      <c r="D15174" s="126"/>
      <c r="E15174" s="126"/>
      <c r="F15174" s="126"/>
      <c r="G15174" s="126"/>
      <c r="H15174" s="126"/>
      <c r="I15174" s="126"/>
    </row>
    <row r="15175" spans="1:9">
      <c r="A15175" s="126"/>
      <c r="B15175" s="126"/>
      <c r="C15175" s="126"/>
      <c r="D15175" s="126"/>
      <c r="E15175" s="126"/>
      <c r="F15175" s="126"/>
      <c r="G15175" s="126"/>
      <c r="H15175" s="126"/>
      <c r="I15175" s="126"/>
    </row>
    <row r="15176" spans="1:9">
      <c r="A15176" s="126"/>
      <c r="B15176" s="126"/>
      <c r="C15176" s="126"/>
      <c r="D15176" s="126"/>
      <c r="E15176" s="126"/>
      <c r="F15176" s="126"/>
      <c r="G15176" s="126"/>
      <c r="H15176" s="126"/>
      <c r="I15176" s="126"/>
    </row>
    <row r="15177" spans="1:9">
      <c r="A15177" s="126"/>
      <c r="B15177" s="126"/>
      <c r="C15177" s="126"/>
      <c r="D15177" s="126"/>
      <c r="E15177" s="126"/>
      <c r="F15177" s="126"/>
      <c r="G15177" s="126"/>
      <c r="H15177" s="126"/>
      <c r="I15177" s="126"/>
    </row>
    <row r="15178" spans="1:9">
      <c r="A15178" s="126"/>
      <c r="B15178" s="126"/>
      <c r="C15178" s="126"/>
      <c r="D15178" s="126"/>
      <c r="E15178" s="126"/>
      <c r="F15178" s="126"/>
      <c r="G15178" s="126"/>
      <c r="H15178" s="126"/>
      <c r="I15178" s="126"/>
    </row>
    <row r="15179" spans="1:9">
      <c r="A15179" s="126"/>
      <c r="B15179" s="126"/>
      <c r="C15179" s="126"/>
      <c r="D15179" s="126"/>
      <c r="E15179" s="126"/>
      <c r="F15179" s="126"/>
      <c r="G15179" s="126"/>
      <c r="H15179" s="126"/>
      <c r="I15179" s="126"/>
    </row>
    <row r="15180" spans="1:9">
      <c r="A15180" s="126"/>
      <c r="B15180" s="126"/>
      <c r="C15180" s="126"/>
      <c r="D15180" s="126"/>
      <c r="E15180" s="126"/>
      <c r="F15180" s="126"/>
      <c r="G15180" s="126"/>
      <c r="H15180" s="126"/>
      <c r="I15180" s="126"/>
    </row>
    <row r="15181" spans="1:9">
      <c r="A15181" s="126"/>
      <c r="B15181" s="126"/>
      <c r="C15181" s="126"/>
      <c r="D15181" s="126"/>
      <c r="E15181" s="126"/>
      <c r="F15181" s="126"/>
      <c r="G15181" s="126"/>
      <c r="H15181" s="126"/>
      <c r="I15181" s="126"/>
    </row>
    <row r="15182" spans="1:9">
      <c r="A15182" s="126"/>
      <c r="B15182" s="126"/>
      <c r="C15182" s="126"/>
      <c r="D15182" s="126"/>
      <c r="E15182" s="126"/>
      <c r="F15182" s="126"/>
      <c r="G15182" s="126"/>
      <c r="H15182" s="126"/>
      <c r="I15182" s="126"/>
    </row>
    <row r="15183" spans="1:9">
      <c r="A15183" s="126"/>
      <c r="B15183" s="126"/>
      <c r="C15183" s="126"/>
      <c r="D15183" s="126"/>
      <c r="E15183" s="126"/>
      <c r="F15183" s="126"/>
      <c r="G15183" s="126"/>
      <c r="H15183" s="126"/>
      <c r="I15183" s="126"/>
    </row>
    <row r="15184" spans="1:9">
      <c r="A15184" s="126"/>
      <c r="B15184" s="126"/>
      <c r="C15184" s="126"/>
      <c r="D15184" s="126"/>
      <c r="E15184" s="126"/>
      <c r="F15184" s="126"/>
      <c r="G15184" s="126"/>
      <c r="H15184" s="126"/>
      <c r="I15184" s="126"/>
    </row>
    <row r="15185" spans="1:9">
      <c r="A15185" s="126"/>
      <c r="B15185" s="126"/>
      <c r="C15185" s="126"/>
      <c r="D15185" s="126"/>
      <c r="E15185" s="126"/>
      <c r="F15185" s="126"/>
      <c r="G15185" s="126"/>
      <c r="H15185" s="126"/>
      <c r="I15185" s="126"/>
    </row>
    <row r="15186" spans="1:9">
      <c r="A15186" s="126"/>
      <c r="B15186" s="126"/>
      <c r="C15186" s="126"/>
      <c r="D15186" s="126"/>
      <c r="E15186" s="126"/>
      <c r="F15186" s="126"/>
      <c r="G15186" s="126"/>
      <c r="H15186" s="126"/>
      <c r="I15186" s="126"/>
    </row>
    <row r="15187" spans="1:9">
      <c r="A15187" s="126"/>
      <c r="B15187" s="126"/>
      <c r="C15187" s="126"/>
      <c r="D15187" s="126"/>
      <c r="E15187" s="126"/>
      <c r="F15187" s="126"/>
      <c r="G15187" s="126"/>
      <c r="H15187" s="126"/>
      <c r="I15187" s="126"/>
    </row>
    <row r="15188" spans="1:9">
      <c r="A15188" s="126"/>
      <c r="B15188" s="126"/>
      <c r="C15188" s="126"/>
      <c r="D15188" s="126"/>
      <c r="E15188" s="126"/>
      <c r="F15188" s="126"/>
      <c r="G15188" s="126"/>
      <c r="H15188" s="126"/>
      <c r="I15188" s="126"/>
    </row>
    <row r="15189" spans="1:9">
      <c r="A15189" s="126"/>
      <c r="B15189" s="126"/>
      <c r="C15189" s="126"/>
      <c r="D15189" s="126"/>
      <c r="E15189" s="126"/>
      <c r="F15189" s="126"/>
      <c r="G15189" s="126"/>
      <c r="H15189" s="126"/>
      <c r="I15189" s="126"/>
    </row>
    <row r="15190" spans="1:9">
      <c r="A15190" s="126"/>
      <c r="B15190" s="126"/>
      <c r="C15190" s="126"/>
      <c r="D15190" s="126"/>
      <c r="E15190" s="126"/>
      <c r="F15190" s="126"/>
      <c r="G15190" s="126"/>
      <c r="H15190" s="126"/>
      <c r="I15190" s="126"/>
    </row>
    <row r="15191" spans="1:9">
      <c r="A15191" s="126"/>
      <c r="B15191" s="126"/>
      <c r="C15191" s="126"/>
      <c r="D15191" s="126"/>
      <c r="E15191" s="126"/>
      <c r="F15191" s="126"/>
      <c r="G15191" s="126"/>
      <c r="H15191" s="126"/>
      <c r="I15191" s="126"/>
    </row>
    <row r="15192" spans="1:9">
      <c r="A15192" s="126"/>
      <c r="B15192" s="126"/>
      <c r="C15192" s="126"/>
      <c r="D15192" s="126"/>
      <c r="E15192" s="126"/>
      <c r="F15192" s="126"/>
      <c r="G15192" s="126"/>
      <c r="H15192" s="126"/>
      <c r="I15192" s="126"/>
    </row>
    <row r="15193" spans="1:9">
      <c r="A15193" s="126"/>
      <c r="B15193" s="126"/>
      <c r="C15193" s="126"/>
      <c r="D15193" s="126"/>
      <c r="E15193" s="126"/>
      <c r="F15193" s="126"/>
      <c r="G15193" s="126"/>
      <c r="H15193" s="126"/>
      <c r="I15193" s="126"/>
    </row>
    <row r="15194" spans="1:9">
      <c r="A15194" s="126"/>
      <c r="B15194" s="126"/>
      <c r="C15194" s="126"/>
      <c r="D15194" s="126"/>
      <c r="E15194" s="126"/>
      <c r="F15194" s="126"/>
      <c r="G15194" s="126"/>
      <c r="H15194" s="126"/>
      <c r="I15194" s="126"/>
    </row>
    <row r="15195" spans="1:9">
      <c r="A15195" s="126"/>
      <c r="B15195" s="126"/>
      <c r="C15195" s="126"/>
      <c r="D15195" s="126"/>
      <c r="E15195" s="126"/>
      <c r="F15195" s="126"/>
      <c r="G15195" s="126"/>
      <c r="H15195" s="126"/>
      <c r="I15195" s="126"/>
    </row>
    <row r="15196" spans="1:9">
      <c r="A15196" s="126"/>
      <c r="B15196" s="126"/>
      <c r="C15196" s="126"/>
      <c r="D15196" s="126"/>
      <c r="E15196" s="126"/>
      <c r="F15196" s="126"/>
      <c r="G15196" s="126"/>
      <c r="H15196" s="126"/>
      <c r="I15196" s="126"/>
    </row>
    <row r="15197" spans="1:9">
      <c r="A15197" s="126"/>
      <c r="B15197" s="126"/>
      <c r="C15197" s="126"/>
      <c r="D15197" s="126"/>
      <c r="E15197" s="126"/>
      <c r="F15197" s="126"/>
      <c r="G15197" s="126"/>
      <c r="H15197" s="126"/>
      <c r="I15197" s="126"/>
    </row>
    <row r="15198" spans="1:9">
      <c r="A15198" s="126"/>
      <c r="B15198" s="126"/>
      <c r="C15198" s="126"/>
      <c r="D15198" s="126"/>
      <c r="E15198" s="126"/>
      <c r="F15198" s="126"/>
      <c r="G15198" s="126"/>
      <c r="H15198" s="126"/>
      <c r="I15198" s="126"/>
    </row>
    <row r="15199" spans="1:9">
      <c r="A15199" s="126"/>
      <c r="B15199" s="126"/>
      <c r="C15199" s="126"/>
      <c r="D15199" s="126"/>
      <c r="E15199" s="126"/>
      <c r="F15199" s="126"/>
      <c r="G15199" s="126"/>
      <c r="H15199" s="126"/>
      <c r="I15199" s="126"/>
    </row>
    <row r="15200" spans="1:9">
      <c r="A15200" s="126"/>
      <c r="B15200" s="126"/>
      <c r="C15200" s="126"/>
      <c r="D15200" s="126"/>
      <c r="E15200" s="126"/>
      <c r="F15200" s="126"/>
      <c r="G15200" s="126"/>
      <c r="H15200" s="126"/>
      <c r="I15200" s="126"/>
    </row>
    <row r="15201" spans="1:9">
      <c r="A15201" s="126"/>
      <c r="B15201" s="126"/>
      <c r="C15201" s="126"/>
      <c r="D15201" s="126"/>
      <c r="E15201" s="126"/>
      <c r="F15201" s="126"/>
      <c r="G15201" s="126"/>
      <c r="H15201" s="126"/>
      <c r="I15201" s="126"/>
    </row>
    <row r="15202" spans="1:9">
      <c r="A15202" s="126"/>
      <c r="B15202" s="126"/>
      <c r="C15202" s="126"/>
      <c r="D15202" s="126"/>
      <c r="E15202" s="126"/>
      <c r="F15202" s="126"/>
      <c r="G15202" s="126"/>
      <c r="H15202" s="126"/>
      <c r="I15202" s="126"/>
    </row>
    <row r="15203" spans="1:9">
      <c r="A15203" s="126"/>
      <c r="B15203" s="126"/>
      <c r="C15203" s="126"/>
      <c r="D15203" s="126"/>
      <c r="E15203" s="126"/>
      <c r="F15203" s="126"/>
      <c r="G15203" s="126"/>
      <c r="H15203" s="126"/>
      <c r="I15203" s="126"/>
    </row>
    <row r="15204" spans="1:9">
      <c r="A15204" s="126"/>
      <c r="B15204" s="126"/>
      <c r="C15204" s="126"/>
      <c r="D15204" s="126"/>
      <c r="E15204" s="126"/>
      <c r="F15204" s="126"/>
      <c r="G15204" s="126"/>
      <c r="H15204" s="126"/>
      <c r="I15204" s="126"/>
    </row>
    <row r="15205" spans="1:9">
      <c r="A15205" s="126"/>
      <c r="B15205" s="126"/>
      <c r="C15205" s="126"/>
      <c r="D15205" s="126"/>
      <c r="E15205" s="126"/>
      <c r="F15205" s="126"/>
      <c r="G15205" s="126"/>
      <c r="H15205" s="126"/>
      <c r="I15205" s="126"/>
    </row>
    <row r="15206" spans="1:9">
      <c r="A15206" s="126"/>
      <c r="B15206" s="126"/>
      <c r="C15206" s="126"/>
      <c r="D15206" s="126"/>
      <c r="E15206" s="126"/>
      <c r="F15206" s="126"/>
      <c r="G15206" s="126"/>
      <c r="H15206" s="126"/>
      <c r="I15206" s="126"/>
    </row>
    <row r="15207" spans="1:9">
      <c r="A15207" s="126"/>
      <c r="B15207" s="126"/>
      <c r="C15207" s="126"/>
      <c r="D15207" s="126"/>
      <c r="E15207" s="126"/>
      <c r="F15207" s="126"/>
      <c r="G15207" s="126"/>
      <c r="H15207" s="126"/>
      <c r="I15207" s="126"/>
    </row>
    <row r="15208" spans="1:9">
      <c r="A15208" s="126"/>
      <c r="B15208" s="126"/>
      <c r="C15208" s="126"/>
      <c r="D15208" s="126"/>
      <c r="E15208" s="126"/>
      <c r="F15208" s="126"/>
      <c r="G15208" s="126"/>
      <c r="H15208" s="126"/>
      <c r="I15208" s="126"/>
    </row>
    <row r="15209" spans="1:9">
      <c r="A15209" s="126"/>
      <c r="B15209" s="126"/>
      <c r="C15209" s="126"/>
      <c r="D15209" s="126"/>
      <c r="E15209" s="126"/>
      <c r="F15209" s="126"/>
      <c r="G15209" s="126"/>
      <c r="H15209" s="126"/>
      <c r="I15209" s="126"/>
    </row>
    <row r="15210" spans="1:9">
      <c r="A15210" s="126"/>
      <c r="B15210" s="126"/>
      <c r="C15210" s="126"/>
      <c r="D15210" s="126"/>
      <c r="E15210" s="126"/>
      <c r="F15210" s="126"/>
      <c r="G15210" s="126"/>
      <c r="H15210" s="126"/>
      <c r="I15210" s="126"/>
    </row>
    <row r="15211" spans="1:9">
      <c r="A15211" s="126"/>
      <c r="B15211" s="126"/>
      <c r="C15211" s="126"/>
      <c r="D15211" s="126"/>
      <c r="E15211" s="126"/>
      <c r="F15211" s="126"/>
      <c r="G15211" s="126"/>
      <c r="H15211" s="126"/>
      <c r="I15211" s="126"/>
    </row>
    <row r="15212" spans="1:9">
      <c r="A15212" s="126"/>
      <c r="B15212" s="126"/>
      <c r="C15212" s="126"/>
      <c r="D15212" s="126"/>
      <c r="E15212" s="126"/>
      <c r="F15212" s="126"/>
      <c r="G15212" s="126"/>
      <c r="H15212" s="126"/>
      <c r="I15212" s="126"/>
    </row>
    <row r="15213" spans="1:9">
      <c r="A15213" s="126"/>
      <c r="B15213" s="126"/>
      <c r="C15213" s="126"/>
      <c r="D15213" s="126"/>
      <c r="E15213" s="126"/>
      <c r="F15213" s="126"/>
      <c r="G15213" s="126"/>
      <c r="H15213" s="126"/>
      <c r="I15213" s="126"/>
    </row>
    <row r="15214" spans="1:9">
      <c r="A15214" s="126"/>
      <c r="B15214" s="126"/>
      <c r="C15214" s="126"/>
      <c r="D15214" s="126"/>
      <c r="E15214" s="126"/>
      <c r="F15214" s="126"/>
      <c r="G15214" s="126"/>
      <c r="H15214" s="126"/>
      <c r="I15214" s="126"/>
    </row>
    <row r="15215" spans="1:9">
      <c r="A15215" s="126"/>
      <c r="B15215" s="126"/>
      <c r="C15215" s="126"/>
      <c r="D15215" s="126"/>
      <c r="E15215" s="126"/>
      <c r="F15215" s="126"/>
      <c r="G15215" s="126"/>
      <c r="H15215" s="126"/>
      <c r="I15215" s="126"/>
    </row>
    <row r="15216" spans="1:9">
      <c r="A15216" s="126"/>
      <c r="B15216" s="126"/>
      <c r="C15216" s="126"/>
      <c r="D15216" s="126"/>
      <c r="E15216" s="126"/>
      <c r="F15216" s="126"/>
      <c r="G15216" s="126"/>
      <c r="H15216" s="126"/>
      <c r="I15216" s="126"/>
    </row>
    <row r="15217" spans="1:9">
      <c r="A15217" s="126"/>
      <c r="B15217" s="126"/>
      <c r="C15217" s="126"/>
      <c r="D15217" s="126"/>
      <c r="E15217" s="126"/>
      <c r="F15217" s="126"/>
      <c r="G15217" s="126"/>
      <c r="H15217" s="126"/>
      <c r="I15217" s="126"/>
    </row>
    <row r="15218" spans="1:9">
      <c r="A15218" s="126"/>
      <c r="B15218" s="126"/>
      <c r="C15218" s="126"/>
      <c r="D15218" s="126"/>
      <c r="E15218" s="126"/>
      <c r="F15218" s="126"/>
      <c r="G15218" s="126"/>
      <c r="H15218" s="126"/>
      <c r="I15218" s="126"/>
    </row>
    <row r="15219" spans="1:9">
      <c r="A15219" s="126"/>
      <c r="B15219" s="126"/>
      <c r="C15219" s="126"/>
      <c r="D15219" s="126"/>
      <c r="E15219" s="126"/>
      <c r="F15219" s="126"/>
      <c r="G15219" s="126"/>
      <c r="H15219" s="126"/>
      <c r="I15219" s="126"/>
    </row>
    <row r="15220" spans="1:9">
      <c r="A15220" s="126"/>
      <c r="B15220" s="126"/>
      <c r="C15220" s="126"/>
      <c r="D15220" s="126"/>
      <c r="E15220" s="126"/>
      <c r="F15220" s="126"/>
      <c r="G15220" s="126"/>
      <c r="H15220" s="126"/>
      <c r="I15220" s="126"/>
    </row>
    <row r="15221" spans="1:9">
      <c r="A15221" s="126"/>
      <c r="B15221" s="126"/>
      <c r="C15221" s="126"/>
      <c r="D15221" s="126"/>
      <c r="E15221" s="126"/>
      <c r="F15221" s="126"/>
      <c r="G15221" s="126"/>
      <c r="H15221" s="126"/>
      <c r="I15221" s="126"/>
    </row>
    <row r="15222" spans="1:9">
      <c r="A15222" s="126"/>
      <c r="B15222" s="126"/>
      <c r="C15222" s="126"/>
      <c r="D15222" s="126"/>
      <c r="E15222" s="126"/>
      <c r="F15222" s="126"/>
      <c r="G15222" s="126"/>
      <c r="H15222" s="126"/>
      <c r="I15222" s="126"/>
    </row>
    <row r="15223" spans="1:9">
      <c r="A15223" s="126"/>
      <c r="B15223" s="126"/>
      <c r="C15223" s="126"/>
      <c r="D15223" s="126"/>
      <c r="E15223" s="126"/>
      <c r="F15223" s="126"/>
      <c r="G15223" s="126"/>
      <c r="H15223" s="126"/>
      <c r="I15223" s="126"/>
    </row>
    <row r="15224" spans="1:9">
      <c r="A15224" s="126"/>
      <c r="B15224" s="126"/>
      <c r="C15224" s="126"/>
      <c r="D15224" s="126"/>
      <c r="E15224" s="126"/>
      <c r="F15224" s="126"/>
      <c r="G15224" s="126"/>
      <c r="H15224" s="126"/>
      <c r="I15224" s="126"/>
    </row>
    <row r="15225" spans="1:9">
      <c r="A15225" s="126"/>
      <c r="B15225" s="126"/>
      <c r="C15225" s="126"/>
      <c r="D15225" s="126"/>
      <c r="E15225" s="126"/>
      <c r="F15225" s="126"/>
      <c r="G15225" s="126"/>
      <c r="H15225" s="126"/>
      <c r="I15225" s="126"/>
    </row>
    <row r="15226" spans="1:9">
      <c r="A15226" s="126"/>
      <c r="B15226" s="126"/>
      <c r="C15226" s="126"/>
      <c r="D15226" s="126"/>
      <c r="E15226" s="126"/>
      <c r="F15226" s="126"/>
      <c r="G15226" s="126"/>
      <c r="H15226" s="126"/>
      <c r="I15226" s="126"/>
    </row>
    <row r="15227" spans="1:9">
      <c r="A15227" s="126"/>
      <c r="B15227" s="126"/>
      <c r="C15227" s="126"/>
      <c r="D15227" s="126"/>
      <c r="E15227" s="126"/>
      <c r="F15227" s="126"/>
      <c r="G15227" s="126"/>
      <c r="H15227" s="126"/>
      <c r="I15227" s="126"/>
    </row>
    <row r="15228" spans="1:9">
      <c r="A15228" s="126"/>
      <c r="B15228" s="126"/>
      <c r="C15228" s="126"/>
      <c r="D15228" s="126"/>
      <c r="E15228" s="126"/>
      <c r="F15228" s="126"/>
      <c r="G15228" s="126"/>
      <c r="H15228" s="126"/>
      <c r="I15228" s="126"/>
    </row>
    <row r="15229" spans="1:9">
      <c r="A15229" s="126"/>
      <c r="B15229" s="126"/>
      <c r="C15229" s="126"/>
      <c r="D15229" s="126"/>
      <c r="E15229" s="126"/>
      <c r="F15229" s="126"/>
      <c r="G15229" s="126"/>
      <c r="H15229" s="126"/>
      <c r="I15229" s="126"/>
    </row>
    <row r="15230" spans="1:9">
      <c r="A15230" s="126"/>
      <c r="B15230" s="126"/>
      <c r="C15230" s="126"/>
      <c r="D15230" s="126"/>
      <c r="E15230" s="126"/>
      <c r="F15230" s="126"/>
      <c r="G15230" s="126"/>
      <c r="H15230" s="126"/>
      <c r="I15230" s="126"/>
    </row>
    <row r="15231" spans="1:9">
      <c r="A15231" s="126"/>
      <c r="B15231" s="126"/>
      <c r="C15231" s="126"/>
      <c r="D15231" s="126"/>
      <c r="E15231" s="126"/>
      <c r="F15231" s="126"/>
      <c r="G15231" s="126"/>
      <c r="H15231" s="126"/>
      <c r="I15231" s="126"/>
    </row>
    <row r="15232" spans="1:9">
      <c r="A15232" s="126"/>
      <c r="B15232" s="126"/>
      <c r="C15232" s="126"/>
      <c r="D15232" s="126"/>
      <c r="E15232" s="126"/>
      <c r="F15232" s="126"/>
      <c r="G15232" s="126"/>
      <c r="H15232" s="126"/>
      <c r="I15232" s="126"/>
    </row>
    <row r="15233" spans="1:9">
      <c r="A15233" s="126"/>
      <c r="B15233" s="126"/>
      <c r="C15233" s="126"/>
      <c r="D15233" s="126"/>
      <c r="E15233" s="126"/>
      <c r="F15233" s="126"/>
      <c r="G15233" s="126"/>
      <c r="H15233" s="126"/>
      <c r="I15233" s="126"/>
    </row>
    <row r="15234" spans="1:9">
      <c r="A15234" s="126"/>
      <c r="B15234" s="126"/>
      <c r="C15234" s="126"/>
      <c r="D15234" s="126"/>
      <c r="E15234" s="126"/>
      <c r="F15234" s="126"/>
      <c r="G15234" s="126"/>
      <c r="H15234" s="126"/>
      <c r="I15234" s="126"/>
    </row>
    <row r="15235" spans="1:9">
      <c r="A15235" s="126"/>
      <c r="B15235" s="126"/>
      <c r="C15235" s="126"/>
      <c r="D15235" s="126"/>
      <c r="E15235" s="126"/>
      <c r="F15235" s="126"/>
      <c r="G15235" s="126"/>
      <c r="H15235" s="126"/>
      <c r="I15235" s="126"/>
    </row>
    <row r="15236" spans="1:9">
      <c r="A15236" s="126"/>
      <c r="B15236" s="126"/>
      <c r="C15236" s="126"/>
      <c r="D15236" s="126"/>
      <c r="E15236" s="126"/>
      <c r="F15236" s="126"/>
      <c r="G15236" s="126"/>
      <c r="H15236" s="126"/>
      <c r="I15236" s="126"/>
    </row>
    <row r="15237" spans="1:9">
      <c r="A15237" s="126"/>
      <c r="B15237" s="126"/>
      <c r="C15237" s="126"/>
      <c r="D15237" s="126"/>
      <c r="E15237" s="126"/>
      <c r="F15237" s="126"/>
      <c r="G15237" s="126"/>
      <c r="H15237" s="126"/>
      <c r="I15237" s="126"/>
    </row>
    <row r="15238" spans="1:9">
      <c r="A15238" s="126"/>
      <c r="B15238" s="126"/>
      <c r="C15238" s="126"/>
      <c r="D15238" s="126"/>
      <c r="E15238" s="126"/>
      <c r="F15238" s="126"/>
      <c r="G15238" s="126"/>
      <c r="H15238" s="126"/>
      <c r="I15238" s="126"/>
    </row>
    <row r="15239" spans="1:9">
      <c r="A15239" s="126"/>
      <c r="B15239" s="126"/>
      <c r="C15239" s="126"/>
      <c r="D15239" s="126"/>
      <c r="E15239" s="126"/>
      <c r="F15239" s="126"/>
      <c r="G15239" s="126"/>
      <c r="H15239" s="126"/>
      <c r="I15239" s="126"/>
    </row>
    <row r="15240" spans="1:9">
      <c r="A15240" s="126"/>
      <c r="B15240" s="126"/>
      <c r="C15240" s="126"/>
      <c r="D15240" s="126"/>
      <c r="E15240" s="126"/>
      <c r="F15240" s="126"/>
      <c r="G15240" s="126"/>
      <c r="H15240" s="126"/>
      <c r="I15240" s="126"/>
    </row>
    <row r="15241" spans="1:9">
      <c r="A15241" s="126"/>
      <c r="B15241" s="126"/>
      <c r="C15241" s="126"/>
      <c r="D15241" s="126"/>
      <c r="E15241" s="126"/>
      <c r="F15241" s="126"/>
      <c r="G15241" s="126"/>
      <c r="H15241" s="126"/>
      <c r="I15241" s="126"/>
    </row>
    <row r="15242" spans="1:9">
      <c r="A15242" s="126"/>
      <c r="B15242" s="126"/>
      <c r="C15242" s="126"/>
      <c r="D15242" s="126"/>
      <c r="E15242" s="126"/>
      <c r="F15242" s="126"/>
      <c r="G15242" s="126"/>
      <c r="H15242" s="126"/>
      <c r="I15242" s="126"/>
    </row>
    <row r="15243" spans="1:9">
      <c r="A15243" s="126"/>
      <c r="B15243" s="126"/>
      <c r="C15243" s="126"/>
      <c r="D15243" s="126"/>
      <c r="E15243" s="126"/>
      <c r="F15243" s="126"/>
      <c r="G15243" s="126"/>
      <c r="H15243" s="126"/>
      <c r="I15243" s="126"/>
    </row>
    <row r="15244" spans="1:9">
      <c r="A15244" s="126"/>
      <c r="B15244" s="126"/>
      <c r="C15244" s="126"/>
      <c r="D15244" s="126"/>
      <c r="E15244" s="126"/>
      <c r="F15244" s="126"/>
      <c r="G15244" s="126"/>
      <c r="H15244" s="126"/>
      <c r="I15244" s="126"/>
    </row>
    <row r="15245" spans="1:9">
      <c r="A15245" s="126"/>
      <c r="B15245" s="126"/>
      <c r="C15245" s="126"/>
      <c r="D15245" s="126"/>
      <c r="E15245" s="126"/>
      <c r="F15245" s="126"/>
      <c r="G15245" s="126"/>
      <c r="H15245" s="126"/>
      <c r="I15245" s="126"/>
    </row>
    <row r="15246" spans="1:9">
      <c r="A15246" s="126"/>
      <c r="B15246" s="126"/>
      <c r="C15246" s="126"/>
      <c r="D15246" s="126"/>
      <c r="E15246" s="126"/>
      <c r="F15246" s="126"/>
      <c r="G15246" s="126"/>
      <c r="H15246" s="126"/>
      <c r="I15246" s="126"/>
    </row>
    <row r="15247" spans="1:9">
      <c r="A15247" s="126"/>
      <c r="B15247" s="126"/>
      <c r="C15247" s="126"/>
      <c r="D15247" s="126"/>
      <c r="E15247" s="126"/>
      <c r="F15247" s="126"/>
      <c r="G15247" s="126"/>
      <c r="H15247" s="126"/>
      <c r="I15247" s="126"/>
    </row>
    <row r="15248" spans="1:9">
      <c r="A15248" s="126"/>
      <c r="B15248" s="126"/>
      <c r="C15248" s="126"/>
      <c r="D15248" s="126"/>
      <c r="E15248" s="126"/>
      <c r="F15248" s="126"/>
      <c r="G15248" s="126"/>
      <c r="H15248" s="126"/>
      <c r="I15248" s="126"/>
    </row>
    <row r="15249" spans="1:9">
      <c r="A15249" s="126"/>
      <c r="B15249" s="126"/>
      <c r="C15249" s="126"/>
      <c r="D15249" s="126"/>
      <c r="E15249" s="126"/>
      <c r="F15249" s="126"/>
      <c r="G15249" s="126"/>
      <c r="H15249" s="126"/>
      <c r="I15249" s="126"/>
    </row>
    <row r="15250" spans="1:9">
      <c r="A15250" s="126"/>
      <c r="B15250" s="126"/>
      <c r="C15250" s="126"/>
      <c r="D15250" s="126"/>
      <c r="E15250" s="126"/>
      <c r="F15250" s="126"/>
      <c r="G15250" s="126"/>
      <c r="H15250" s="126"/>
      <c r="I15250" s="126"/>
    </row>
    <row r="15251" spans="1:9">
      <c r="A15251" s="126"/>
      <c r="B15251" s="126"/>
      <c r="C15251" s="126"/>
      <c r="D15251" s="126"/>
      <c r="E15251" s="126"/>
      <c r="F15251" s="126"/>
      <c r="G15251" s="126"/>
      <c r="H15251" s="126"/>
      <c r="I15251" s="126"/>
    </row>
    <row r="15252" spans="1:9">
      <c r="A15252" s="126"/>
      <c r="B15252" s="126"/>
      <c r="C15252" s="126"/>
      <c r="D15252" s="126"/>
      <c r="E15252" s="126"/>
      <c r="F15252" s="126"/>
      <c r="G15252" s="126"/>
      <c r="H15252" s="126"/>
      <c r="I15252" s="126"/>
    </row>
    <row r="15253" spans="1:9">
      <c r="A15253" s="126"/>
      <c r="B15253" s="126"/>
      <c r="C15253" s="126"/>
      <c r="D15253" s="126"/>
      <c r="E15253" s="126"/>
      <c r="F15253" s="126"/>
      <c r="G15253" s="126"/>
      <c r="H15253" s="126"/>
      <c r="I15253" s="126"/>
    </row>
    <row r="15254" spans="1:9">
      <c r="A15254" s="126"/>
      <c r="B15254" s="126"/>
      <c r="C15254" s="126"/>
      <c r="D15254" s="126"/>
      <c r="E15254" s="126"/>
      <c r="F15254" s="126"/>
      <c r="G15254" s="126"/>
      <c r="H15254" s="126"/>
      <c r="I15254" s="126"/>
    </row>
    <row r="15255" spans="1:9">
      <c r="A15255" s="126"/>
      <c r="B15255" s="126"/>
      <c r="C15255" s="126"/>
      <c r="D15255" s="126"/>
      <c r="E15255" s="126"/>
      <c r="F15255" s="126"/>
      <c r="G15255" s="126"/>
      <c r="H15255" s="126"/>
      <c r="I15255" s="126"/>
    </row>
    <row r="15256" spans="1:9">
      <c r="A15256" s="126"/>
      <c r="B15256" s="126"/>
      <c r="C15256" s="126"/>
      <c r="D15256" s="126"/>
      <c r="E15256" s="126"/>
      <c r="F15256" s="126"/>
      <c r="G15256" s="126"/>
      <c r="H15256" s="126"/>
      <c r="I15256" s="126"/>
    </row>
    <row r="15257" spans="1:9">
      <c r="A15257" s="126"/>
      <c r="B15257" s="126"/>
      <c r="C15257" s="126"/>
      <c r="D15257" s="126"/>
      <c r="E15257" s="126"/>
      <c r="F15257" s="126"/>
      <c r="G15257" s="126"/>
      <c r="H15257" s="126"/>
      <c r="I15257" s="126"/>
    </row>
    <row r="15258" spans="1:9">
      <c r="A15258" s="126"/>
      <c r="B15258" s="126"/>
      <c r="C15258" s="126"/>
      <c r="D15258" s="126"/>
      <c r="E15258" s="126"/>
      <c r="F15258" s="126"/>
      <c r="G15258" s="126"/>
      <c r="H15258" s="126"/>
      <c r="I15258" s="126"/>
    </row>
    <row r="15259" spans="1:9">
      <c r="A15259" s="126"/>
      <c r="B15259" s="126"/>
      <c r="C15259" s="126"/>
      <c r="D15259" s="126"/>
      <c r="E15259" s="126"/>
      <c r="F15259" s="126"/>
      <c r="G15259" s="126"/>
      <c r="H15259" s="126"/>
      <c r="I15259" s="126"/>
    </row>
    <row r="15260" spans="1:9">
      <c r="A15260" s="126"/>
      <c r="B15260" s="126"/>
      <c r="C15260" s="126"/>
      <c r="D15260" s="126"/>
      <c r="E15260" s="126"/>
      <c r="F15260" s="126"/>
      <c r="G15260" s="126"/>
      <c r="H15260" s="126"/>
      <c r="I15260" s="126"/>
    </row>
    <row r="15261" spans="1:9">
      <c r="A15261" s="126"/>
      <c r="B15261" s="126"/>
      <c r="C15261" s="126"/>
      <c r="D15261" s="126"/>
      <c r="E15261" s="126"/>
      <c r="F15261" s="126"/>
      <c r="G15261" s="126"/>
      <c r="H15261" s="126"/>
      <c r="I15261" s="126"/>
    </row>
    <row r="15262" spans="1:9">
      <c r="A15262" s="126"/>
      <c r="B15262" s="126"/>
      <c r="C15262" s="126"/>
      <c r="D15262" s="126"/>
      <c r="E15262" s="126"/>
      <c r="F15262" s="126"/>
      <c r="G15262" s="126"/>
      <c r="H15262" s="126"/>
      <c r="I15262" s="126"/>
    </row>
    <row r="15263" spans="1:9">
      <c r="A15263" s="126"/>
      <c r="B15263" s="126"/>
      <c r="C15263" s="126"/>
      <c r="D15263" s="126"/>
      <c r="E15263" s="126"/>
      <c r="F15263" s="126"/>
      <c r="G15263" s="126"/>
      <c r="H15263" s="126"/>
      <c r="I15263" s="126"/>
    </row>
    <row r="15264" spans="1:9">
      <c r="A15264" s="126"/>
      <c r="B15264" s="126"/>
      <c r="C15264" s="126"/>
      <c r="D15264" s="126"/>
      <c r="E15264" s="126"/>
      <c r="F15264" s="126"/>
      <c r="G15264" s="126"/>
      <c r="H15264" s="126"/>
      <c r="I15264" s="126"/>
    </row>
    <row r="15265" spans="1:9">
      <c r="A15265" s="126"/>
      <c r="B15265" s="126"/>
      <c r="C15265" s="126"/>
      <c r="D15265" s="126"/>
      <c r="E15265" s="126"/>
      <c r="F15265" s="126"/>
      <c r="G15265" s="126"/>
      <c r="H15265" s="126"/>
      <c r="I15265" s="126"/>
    </row>
    <row r="15266" spans="1:9">
      <c r="A15266" s="126"/>
      <c r="B15266" s="126"/>
      <c r="C15266" s="126"/>
      <c r="D15266" s="126"/>
      <c r="E15266" s="126"/>
      <c r="F15266" s="126"/>
      <c r="G15266" s="126"/>
      <c r="H15266" s="126"/>
      <c r="I15266" s="126"/>
    </row>
    <row r="15267" spans="1:9">
      <c r="A15267" s="126"/>
      <c r="B15267" s="126"/>
      <c r="C15267" s="126"/>
      <c r="D15267" s="126"/>
      <c r="E15267" s="126"/>
      <c r="F15267" s="126"/>
      <c r="G15267" s="126"/>
      <c r="H15267" s="126"/>
      <c r="I15267" s="126"/>
    </row>
    <row r="15268" spans="1:9">
      <c r="A15268" s="126"/>
      <c r="B15268" s="126"/>
      <c r="C15268" s="126"/>
      <c r="D15268" s="126"/>
      <c r="E15268" s="126"/>
      <c r="F15268" s="126"/>
      <c r="G15268" s="126"/>
      <c r="H15268" s="126"/>
      <c r="I15268" s="126"/>
    </row>
    <row r="15269" spans="1:9">
      <c r="A15269" s="126"/>
      <c r="B15269" s="126"/>
      <c r="C15269" s="126"/>
      <c r="D15269" s="126"/>
      <c r="E15269" s="126"/>
      <c r="F15269" s="126"/>
      <c r="G15269" s="126"/>
      <c r="H15269" s="126"/>
      <c r="I15269" s="126"/>
    </row>
    <row r="15270" spans="1:9">
      <c r="A15270" s="126"/>
      <c r="B15270" s="126"/>
      <c r="C15270" s="126"/>
      <c r="D15270" s="126"/>
      <c r="E15270" s="126"/>
      <c r="F15270" s="126"/>
      <c r="G15270" s="126"/>
      <c r="H15270" s="126"/>
      <c r="I15270" s="126"/>
    </row>
    <row r="15271" spans="1:9">
      <c r="A15271" s="126"/>
      <c r="B15271" s="126"/>
      <c r="C15271" s="126"/>
      <c r="D15271" s="126"/>
      <c r="E15271" s="126"/>
      <c r="F15271" s="126"/>
      <c r="G15271" s="126"/>
      <c r="H15271" s="126"/>
      <c r="I15271" s="126"/>
    </row>
    <row r="15272" spans="1:9">
      <c r="A15272" s="126"/>
      <c r="B15272" s="126"/>
      <c r="C15272" s="126"/>
      <c r="D15272" s="126"/>
      <c r="E15272" s="126"/>
      <c r="F15272" s="126"/>
      <c r="G15272" s="126"/>
      <c r="H15272" s="126"/>
      <c r="I15272" s="126"/>
    </row>
    <row r="15273" spans="1:9">
      <c r="A15273" s="126"/>
      <c r="B15273" s="126"/>
      <c r="C15273" s="126"/>
      <c r="D15273" s="126"/>
      <c r="E15273" s="126"/>
      <c r="F15273" s="126"/>
      <c r="G15273" s="126"/>
      <c r="H15273" s="126"/>
      <c r="I15273" s="126"/>
    </row>
    <row r="15274" spans="1:9">
      <c r="A15274" s="126"/>
      <c r="B15274" s="126"/>
      <c r="C15274" s="126"/>
      <c r="D15274" s="126"/>
      <c r="E15274" s="126"/>
      <c r="F15274" s="126"/>
      <c r="G15274" s="126"/>
      <c r="H15274" s="126"/>
      <c r="I15274" s="126"/>
    </row>
    <row r="15275" spans="1:9">
      <c r="A15275" s="126"/>
      <c r="B15275" s="126"/>
      <c r="C15275" s="126"/>
      <c r="D15275" s="126"/>
      <c r="E15275" s="126"/>
      <c r="F15275" s="126"/>
      <c r="G15275" s="126"/>
      <c r="H15275" s="126"/>
      <c r="I15275" s="126"/>
    </row>
    <row r="15276" spans="1:9">
      <c r="A15276" s="126"/>
      <c r="B15276" s="126"/>
      <c r="C15276" s="126"/>
      <c r="D15276" s="126"/>
      <c r="E15276" s="126"/>
      <c r="F15276" s="126"/>
      <c r="G15276" s="126"/>
      <c r="H15276" s="126"/>
      <c r="I15276" s="126"/>
    </row>
    <row r="15277" spans="1:9">
      <c r="A15277" s="126"/>
      <c r="B15277" s="126"/>
      <c r="C15277" s="126"/>
      <c r="D15277" s="126"/>
      <c r="E15277" s="126"/>
      <c r="F15277" s="126"/>
      <c r="G15277" s="126"/>
      <c r="H15277" s="126"/>
      <c r="I15277" s="126"/>
    </row>
    <row r="15278" spans="1:9">
      <c r="A15278" s="126"/>
      <c r="B15278" s="126"/>
      <c r="C15278" s="126"/>
      <c r="D15278" s="126"/>
      <c r="E15278" s="126"/>
      <c r="F15278" s="126"/>
      <c r="G15278" s="126"/>
      <c r="H15278" s="126"/>
      <c r="I15278" s="126"/>
    </row>
    <row r="15279" spans="1:9">
      <c r="A15279" s="126"/>
      <c r="B15279" s="126"/>
      <c r="C15279" s="126"/>
      <c r="D15279" s="126"/>
      <c r="E15279" s="126"/>
      <c r="F15279" s="126"/>
      <c r="G15279" s="126"/>
      <c r="H15279" s="126"/>
      <c r="I15279" s="126"/>
    </row>
    <row r="15280" spans="1:9">
      <c r="A15280" s="126"/>
      <c r="B15280" s="126"/>
      <c r="C15280" s="126"/>
      <c r="D15280" s="126"/>
      <c r="E15280" s="126"/>
      <c r="F15280" s="126"/>
      <c r="G15280" s="126"/>
      <c r="H15280" s="126"/>
      <c r="I15280" s="126"/>
    </row>
    <row r="15281" spans="1:9">
      <c r="A15281" s="126"/>
      <c r="B15281" s="126"/>
      <c r="C15281" s="126"/>
      <c r="D15281" s="126"/>
      <c r="E15281" s="126"/>
      <c r="F15281" s="126"/>
      <c r="G15281" s="126"/>
      <c r="H15281" s="126"/>
      <c r="I15281" s="126"/>
    </row>
    <row r="15282" spans="1:9">
      <c r="A15282" s="126"/>
      <c r="B15282" s="126"/>
      <c r="C15282" s="126"/>
      <c r="D15282" s="126"/>
      <c r="E15282" s="126"/>
      <c r="F15282" s="126"/>
      <c r="G15282" s="126"/>
      <c r="H15282" s="126"/>
      <c r="I15282" s="126"/>
    </row>
    <row r="15283" spans="1:9">
      <c r="A15283" s="126"/>
      <c r="B15283" s="126"/>
      <c r="C15283" s="126"/>
      <c r="D15283" s="126"/>
      <c r="E15283" s="126"/>
      <c r="F15283" s="126"/>
      <c r="G15283" s="126"/>
      <c r="H15283" s="126"/>
      <c r="I15283" s="126"/>
    </row>
    <row r="15284" spans="1:9">
      <c r="A15284" s="126"/>
      <c r="B15284" s="126"/>
      <c r="C15284" s="126"/>
      <c r="D15284" s="126"/>
      <c r="E15284" s="126"/>
      <c r="F15284" s="126"/>
      <c r="G15284" s="126"/>
      <c r="H15284" s="126"/>
      <c r="I15284" s="126"/>
    </row>
    <row r="15285" spans="1:9">
      <c r="A15285" s="126"/>
      <c r="B15285" s="126"/>
      <c r="C15285" s="126"/>
      <c r="D15285" s="126"/>
      <c r="E15285" s="126"/>
      <c r="F15285" s="126"/>
      <c r="G15285" s="126"/>
      <c r="H15285" s="126"/>
      <c r="I15285" s="126"/>
    </row>
    <row r="15286" spans="1:9">
      <c r="A15286" s="126"/>
      <c r="B15286" s="126"/>
      <c r="C15286" s="126"/>
      <c r="D15286" s="126"/>
      <c r="E15286" s="126"/>
      <c r="F15286" s="126"/>
      <c r="G15286" s="126"/>
      <c r="H15286" s="126"/>
      <c r="I15286" s="126"/>
    </row>
    <row r="15287" spans="1:9">
      <c r="A15287" s="126"/>
      <c r="B15287" s="126"/>
      <c r="C15287" s="126"/>
      <c r="D15287" s="126"/>
      <c r="E15287" s="126"/>
      <c r="F15287" s="126"/>
      <c r="G15287" s="126"/>
      <c r="H15287" s="126"/>
      <c r="I15287" s="126"/>
    </row>
    <row r="15288" spans="1:9">
      <c r="A15288" s="126"/>
      <c r="B15288" s="126"/>
      <c r="C15288" s="126"/>
      <c r="D15288" s="126"/>
      <c r="E15288" s="126"/>
      <c r="F15288" s="126"/>
      <c r="G15288" s="126"/>
      <c r="H15288" s="126"/>
      <c r="I15288" s="126"/>
    </row>
    <row r="15289" spans="1:9">
      <c r="A15289" s="126"/>
      <c r="B15289" s="126"/>
      <c r="C15289" s="126"/>
      <c r="D15289" s="126"/>
      <c r="E15289" s="126"/>
      <c r="F15289" s="126"/>
      <c r="G15289" s="126"/>
      <c r="H15289" s="126"/>
      <c r="I15289" s="126"/>
    </row>
    <row r="15290" spans="1:9">
      <c r="A15290" s="126"/>
      <c r="B15290" s="126"/>
      <c r="C15290" s="126"/>
      <c r="D15290" s="126"/>
      <c r="E15290" s="126"/>
      <c r="F15290" s="126"/>
      <c r="G15290" s="126"/>
      <c r="H15290" s="126"/>
      <c r="I15290" s="126"/>
    </row>
    <row r="15291" spans="1:9">
      <c r="A15291" s="126"/>
      <c r="B15291" s="126"/>
      <c r="C15291" s="126"/>
      <c r="D15291" s="126"/>
      <c r="E15291" s="126"/>
      <c r="F15291" s="126"/>
      <c r="G15291" s="126"/>
      <c r="H15291" s="126"/>
      <c r="I15291" s="126"/>
    </row>
    <row r="15292" spans="1:9">
      <c r="A15292" s="126"/>
      <c r="B15292" s="126"/>
      <c r="C15292" s="126"/>
      <c r="D15292" s="126"/>
      <c r="E15292" s="126"/>
      <c r="F15292" s="126"/>
      <c r="G15292" s="126"/>
      <c r="H15292" s="126"/>
      <c r="I15292" s="126"/>
    </row>
    <row r="15293" spans="1:9">
      <c r="A15293" s="126"/>
      <c r="B15293" s="126"/>
      <c r="C15293" s="126"/>
      <c r="D15293" s="126"/>
      <c r="E15293" s="126"/>
      <c r="F15293" s="126"/>
      <c r="G15293" s="126"/>
      <c r="H15293" s="126"/>
      <c r="I15293" s="126"/>
    </row>
    <row r="15294" spans="1:9">
      <c r="A15294" s="126"/>
      <c r="B15294" s="126"/>
      <c r="C15294" s="126"/>
      <c r="D15294" s="126"/>
      <c r="E15294" s="126"/>
      <c r="F15294" s="126"/>
      <c r="G15294" s="126"/>
      <c r="H15294" s="126"/>
      <c r="I15294" s="126"/>
    </row>
    <row r="15295" spans="1:9">
      <c r="A15295" s="126"/>
      <c r="B15295" s="126"/>
      <c r="C15295" s="126"/>
      <c r="D15295" s="126"/>
      <c r="E15295" s="126"/>
      <c r="F15295" s="126"/>
      <c r="G15295" s="126"/>
      <c r="H15295" s="126"/>
      <c r="I15295" s="126"/>
    </row>
    <row r="15296" spans="1:9">
      <c r="A15296" s="126"/>
      <c r="B15296" s="126"/>
      <c r="C15296" s="126"/>
      <c r="D15296" s="126"/>
      <c r="E15296" s="126"/>
      <c r="F15296" s="126"/>
      <c r="G15296" s="126"/>
      <c r="H15296" s="126"/>
      <c r="I15296" s="126"/>
    </row>
    <row r="15297" spans="1:9">
      <c r="A15297" s="126"/>
      <c r="B15297" s="126"/>
      <c r="C15297" s="126"/>
      <c r="D15297" s="126"/>
      <c r="E15297" s="126"/>
      <c r="F15297" s="126"/>
      <c r="G15297" s="126"/>
      <c r="H15297" s="126"/>
      <c r="I15297" s="126"/>
    </row>
    <row r="15298" spans="1:9">
      <c r="A15298" s="126"/>
      <c r="B15298" s="126"/>
      <c r="C15298" s="126"/>
      <c r="D15298" s="126"/>
      <c r="E15298" s="126"/>
      <c r="F15298" s="126"/>
      <c r="G15298" s="126"/>
      <c r="H15298" s="126"/>
      <c r="I15298" s="126"/>
    </row>
    <row r="15299" spans="1:9">
      <c r="A15299" s="126"/>
      <c r="B15299" s="126"/>
      <c r="C15299" s="126"/>
      <c r="D15299" s="126"/>
      <c r="E15299" s="126"/>
      <c r="F15299" s="126"/>
      <c r="G15299" s="126"/>
      <c r="H15299" s="126"/>
      <c r="I15299" s="126"/>
    </row>
    <row r="15300" spans="1:9">
      <c r="A15300" s="126"/>
      <c r="B15300" s="126"/>
      <c r="C15300" s="126"/>
      <c r="D15300" s="126"/>
      <c r="E15300" s="126"/>
      <c r="F15300" s="126"/>
      <c r="G15300" s="126"/>
      <c r="H15300" s="126"/>
      <c r="I15300" s="126"/>
    </row>
    <row r="15301" spans="1:9">
      <c r="A15301" s="126"/>
      <c r="B15301" s="126"/>
      <c r="C15301" s="126"/>
      <c r="D15301" s="126"/>
      <c r="E15301" s="126"/>
      <c r="F15301" s="126"/>
      <c r="G15301" s="126"/>
      <c r="H15301" s="126"/>
      <c r="I15301" s="126"/>
    </row>
    <row r="15302" spans="1:9">
      <c r="A15302" s="126"/>
      <c r="B15302" s="126"/>
      <c r="C15302" s="126"/>
      <c r="D15302" s="126"/>
      <c r="E15302" s="126"/>
      <c r="F15302" s="126"/>
      <c r="G15302" s="126"/>
      <c r="H15302" s="126"/>
      <c r="I15302" s="126"/>
    </row>
    <row r="15303" spans="1:9">
      <c r="A15303" s="126"/>
      <c r="B15303" s="126"/>
      <c r="C15303" s="126"/>
      <c r="D15303" s="126"/>
      <c r="E15303" s="126"/>
      <c r="F15303" s="126"/>
      <c r="G15303" s="126"/>
      <c r="H15303" s="126"/>
      <c r="I15303" s="126"/>
    </row>
    <row r="15304" spans="1:9">
      <c r="A15304" s="126"/>
      <c r="B15304" s="126"/>
      <c r="C15304" s="126"/>
      <c r="D15304" s="126"/>
      <c r="E15304" s="126"/>
      <c r="F15304" s="126"/>
      <c r="G15304" s="126"/>
      <c r="H15304" s="126"/>
      <c r="I15304" s="126"/>
    </row>
    <row r="15305" spans="1:9">
      <c r="A15305" s="126"/>
      <c r="B15305" s="126"/>
      <c r="C15305" s="126"/>
      <c r="D15305" s="126"/>
      <c r="E15305" s="126"/>
      <c r="F15305" s="126"/>
      <c r="G15305" s="126"/>
      <c r="H15305" s="126"/>
      <c r="I15305" s="126"/>
    </row>
    <row r="15306" spans="1:9">
      <c r="A15306" s="126"/>
      <c r="B15306" s="126"/>
      <c r="C15306" s="126"/>
      <c r="D15306" s="126"/>
      <c r="E15306" s="126"/>
      <c r="F15306" s="126"/>
      <c r="G15306" s="126"/>
      <c r="H15306" s="126"/>
      <c r="I15306" s="126"/>
    </row>
    <row r="15307" spans="1:9">
      <c r="A15307" s="126"/>
      <c r="B15307" s="126"/>
      <c r="C15307" s="126"/>
      <c r="D15307" s="126"/>
      <c r="E15307" s="126"/>
      <c r="F15307" s="126"/>
      <c r="G15307" s="126"/>
      <c r="H15307" s="126"/>
      <c r="I15307" s="126"/>
    </row>
    <row r="15308" spans="1:9">
      <c r="A15308" s="126"/>
      <c r="B15308" s="126"/>
      <c r="C15308" s="126"/>
      <c r="D15308" s="126"/>
      <c r="E15308" s="126"/>
      <c r="F15308" s="126"/>
      <c r="G15308" s="126"/>
      <c r="H15308" s="126"/>
      <c r="I15308" s="126"/>
    </row>
    <row r="15309" spans="1:9">
      <c r="A15309" s="126"/>
      <c r="B15309" s="126"/>
      <c r="C15309" s="126"/>
      <c r="D15309" s="126"/>
      <c r="E15309" s="126"/>
      <c r="F15309" s="126"/>
      <c r="G15309" s="126"/>
      <c r="H15309" s="126"/>
      <c r="I15309" s="126"/>
    </row>
    <row r="15310" spans="1:9">
      <c r="A15310" s="126"/>
      <c r="B15310" s="126"/>
      <c r="C15310" s="126"/>
      <c r="D15310" s="126"/>
      <c r="E15310" s="126"/>
      <c r="F15310" s="126"/>
      <c r="G15310" s="126"/>
      <c r="H15310" s="126"/>
      <c r="I15310" s="126"/>
    </row>
    <row r="15311" spans="1:9">
      <c r="A15311" s="126"/>
      <c r="B15311" s="126"/>
      <c r="C15311" s="126"/>
      <c r="D15311" s="126"/>
      <c r="E15311" s="126"/>
      <c r="F15311" s="126"/>
      <c r="G15311" s="126"/>
      <c r="H15311" s="126"/>
      <c r="I15311" s="126"/>
    </row>
    <row r="15312" spans="1:9">
      <c r="A15312" s="126"/>
      <c r="B15312" s="126"/>
      <c r="C15312" s="126"/>
      <c r="D15312" s="126"/>
      <c r="E15312" s="126"/>
      <c r="F15312" s="126"/>
      <c r="G15312" s="126"/>
      <c r="H15312" s="126"/>
      <c r="I15312" s="126"/>
    </row>
    <row r="15313" spans="1:9">
      <c r="A15313" s="126"/>
      <c r="B15313" s="126"/>
      <c r="C15313" s="126"/>
      <c r="D15313" s="126"/>
      <c r="E15313" s="126"/>
      <c r="F15313" s="126"/>
      <c r="G15313" s="126"/>
      <c r="H15313" s="126"/>
      <c r="I15313" s="126"/>
    </row>
    <row r="15314" spans="1:9">
      <c r="A15314" s="126"/>
      <c r="B15314" s="126"/>
      <c r="C15314" s="126"/>
      <c r="D15314" s="126"/>
      <c r="E15314" s="126"/>
      <c r="F15314" s="126"/>
      <c r="G15314" s="126"/>
      <c r="H15314" s="126"/>
      <c r="I15314" s="126"/>
    </row>
    <row r="15315" spans="1:9">
      <c r="A15315" s="126"/>
      <c r="B15315" s="126"/>
      <c r="C15315" s="126"/>
      <c r="D15315" s="126"/>
      <c r="E15315" s="126"/>
      <c r="F15315" s="126"/>
      <c r="G15315" s="126"/>
      <c r="H15315" s="126"/>
      <c r="I15315" s="126"/>
    </row>
    <row r="15316" spans="1:9">
      <c r="A15316" s="126"/>
      <c r="B15316" s="126"/>
      <c r="C15316" s="126"/>
      <c r="D15316" s="126"/>
      <c r="E15316" s="126"/>
      <c r="F15316" s="126"/>
      <c r="G15316" s="126"/>
      <c r="H15316" s="126"/>
      <c r="I15316" s="126"/>
    </row>
    <row r="15317" spans="1:9">
      <c r="A15317" s="126"/>
      <c r="B15317" s="126"/>
      <c r="C15317" s="126"/>
      <c r="D15317" s="126"/>
      <c r="E15317" s="126"/>
      <c r="F15317" s="126"/>
      <c r="G15317" s="126"/>
      <c r="H15317" s="126"/>
      <c r="I15317" s="126"/>
    </row>
    <row r="15318" spans="1:9">
      <c r="A15318" s="126"/>
      <c r="B15318" s="126"/>
      <c r="C15318" s="126"/>
      <c r="D15318" s="126"/>
      <c r="E15318" s="126"/>
      <c r="F15318" s="126"/>
      <c r="G15318" s="126"/>
      <c r="H15318" s="126"/>
      <c r="I15318" s="126"/>
    </row>
    <row r="15319" spans="1:9">
      <c r="A15319" s="126"/>
      <c r="B15319" s="126"/>
      <c r="C15319" s="126"/>
      <c r="D15319" s="126"/>
      <c r="E15319" s="126"/>
      <c r="F15319" s="126"/>
      <c r="G15319" s="126"/>
      <c r="H15319" s="126"/>
      <c r="I15319" s="126"/>
    </row>
    <row r="15320" spans="1:9">
      <c r="A15320" s="126"/>
      <c r="B15320" s="126"/>
      <c r="C15320" s="126"/>
      <c r="D15320" s="126"/>
      <c r="E15320" s="126"/>
      <c r="F15320" s="126"/>
      <c r="G15320" s="126"/>
      <c r="H15320" s="126"/>
      <c r="I15320" s="126"/>
    </row>
    <row r="15321" spans="1:9">
      <c r="A15321" s="126"/>
      <c r="B15321" s="126"/>
      <c r="C15321" s="126"/>
      <c r="D15321" s="126"/>
      <c r="E15321" s="126"/>
      <c r="F15321" s="126"/>
      <c r="G15321" s="126"/>
      <c r="H15321" s="126"/>
      <c r="I15321" s="126"/>
    </row>
    <row r="15322" spans="1:9">
      <c r="A15322" s="126"/>
      <c r="B15322" s="126"/>
      <c r="C15322" s="126"/>
      <c r="D15322" s="126"/>
      <c r="E15322" s="126"/>
      <c r="F15322" s="126"/>
      <c r="G15322" s="126"/>
      <c r="H15322" s="126"/>
      <c r="I15322" s="126"/>
    </row>
    <row r="15323" spans="1:9">
      <c r="A15323" s="126"/>
      <c r="B15323" s="126"/>
      <c r="C15323" s="126"/>
      <c r="D15323" s="126"/>
      <c r="E15323" s="126"/>
      <c r="F15323" s="126"/>
      <c r="G15323" s="126"/>
      <c r="H15323" s="126"/>
      <c r="I15323" s="126"/>
    </row>
    <row r="15324" spans="1:9">
      <c r="A15324" s="126"/>
      <c r="B15324" s="126"/>
      <c r="C15324" s="126"/>
      <c r="D15324" s="126"/>
      <c r="E15324" s="126"/>
      <c r="F15324" s="126"/>
      <c r="G15324" s="126"/>
      <c r="H15324" s="126"/>
      <c r="I15324" s="126"/>
    </row>
    <row r="15325" spans="1:9">
      <c r="A15325" s="126"/>
      <c r="B15325" s="126"/>
      <c r="C15325" s="126"/>
      <c r="D15325" s="126"/>
      <c r="E15325" s="126"/>
      <c r="F15325" s="126"/>
      <c r="G15325" s="126"/>
      <c r="H15325" s="126"/>
      <c r="I15325" s="126"/>
    </row>
    <row r="15326" spans="1:9">
      <c r="A15326" s="126"/>
      <c r="B15326" s="126"/>
      <c r="C15326" s="126"/>
      <c r="D15326" s="126"/>
      <c r="E15326" s="126"/>
      <c r="F15326" s="126"/>
      <c r="G15326" s="126"/>
      <c r="H15326" s="126"/>
      <c r="I15326" s="126"/>
    </row>
    <row r="15327" spans="1:9">
      <c r="A15327" s="126"/>
      <c r="B15327" s="126"/>
      <c r="C15327" s="126"/>
      <c r="D15327" s="126"/>
      <c r="E15327" s="126"/>
      <c r="F15327" s="126"/>
      <c r="G15327" s="126"/>
      <c r="H15327" s="126"/>
      <c r="I15327" s="126"/>
    </row>
    <row r="15328" spans="1:9">
      <c r="A15328" s="126"/>
      <c r="B15328" s="126"/>
      <c r="C15328" s="126"/>
      <c r="D15328" s="126"/>
      <c r="E15328" s="126"/>
      <c r="F15328" s="126"/>
      <c r="G15328" s="126"/>
      <c r="H15328" s="126"/>
      <c r="I15328" s="126"/>
    </row>
    <row r="15329" spans="1:9">
      <c r="A15329" s="126"/>
      <c r="B15329" s="126"/>
      <c r="C15329" s="126"/>
      <c r="D15329" s="126"/>
      <c r="E15329" s="126"/>
      <c r="F15329" s="126"/>
      <c r="G15329" s="126"/>
      <c r="H15329" s="126"/>
      <c r="I15329" s="126"/>
    </row>
    <row r="15330" spans="1:9">
      <c r="A15330" s="126"/>
      <c r="B15330" s="126"/>
      <c r="C15330" s="126"/>
      <c r="D15330" s="126"/>
      <c r="E15330" s="126"/>
      <c r="F15330" s="126"/>
      <c r="G15330" s="126"/>
      <c r="H15330" s="126"/>
      <c r="I15330" s="126"/>
    </row>
    <row r="15331" spans="1:9">
      <c r="A15331" s="126"/>
      <c r="B15331" s="126"/>
      <c r="C15331" s="126"/>
      <c r="D15331" s="126"/>
      <c r="E15331" s="126"/>
      <c r="F15331" s="126"/>
      <c r="G15331" s="126"/>
      <c r="H15331" s="126"/>
      <c r="I15331" s="126"/>
    </row>
    <row r="15332" spans="1:9">
      <c r="A15332" s="126"/>
      <c r="B15332" s="126"/>
      <c r="C15332" s="126"/>
      <c r="D15332" s="126"/>
      <c r="E15332" s="126"/>
      <c r="F15332" s="126"/>
      <c r="G15332" s="126"/>
      <c r="H15332" s="126"/>
      <c r="I15332" s="126"/>
    </row>
    <row r="15333" spans="1:9">
      <c r="A15333" s="126"/>
      <c r="B15333" s="126"/>
      <c r="C15333" s="126"/>
      <c r="D15333" s="126"/>
      <c r="E15333" s="126"/>
      <c r="F15333" s="126"/>
      <c r="G15333" s="126"/>
      <c r="H15333" s="126"/>
      <c r="I15333" s="126"/>
    </row>
    <row r="15334" spans="1:9">
      <c r="A15334" s="126"/>
      <c r="B15334" s="126"/>
      <c r="C15334" s="126"/>
      <c r="D15334" s="126"/>
      <c r="E15334" s="126"/>
      <c r="F15334" s="126"/>
      <c r="G15334" s="126"/>
      <c r="H15334" s="126"/>
      <c r="I15334" s="126"/>
    </row>
    <row r="15335" spans="1:9">
      <c r="A15335" s="126"/>
      <c r="B15335" s="126"/>
      <c r="C15335" s="126"/>
      <c r="D15335" s="126"/>
      <c r="E15335" s="126"/>
      <c r="F15335" s="126"/>
      <c r="G15335" s="126"/>
      <c r="H15335" s="126"/>
      <c r="I15335" s="126"/>
    </row>
    <row r="15336" spans="1:9">
      <c r="A15336" s="126"/>
      <c r="B15336" s="126"/>
      <c r="C15336" s="126"/>
      <c r="D15336" s="126"/>
      <c r="E15336" s="126"/>
      <c r="F15336" s="126"/>
      <c r="G15336" s="126"/>
      <c r="H15336" s="126"/>
      <c r="I15336" s="126"/>
    </row>
    <row r="15337" spans="1:9">
      <c r="A15337" s="126"/>
      <c r="B15337" s="126"/>
      <c r="C15337" s="126"/>
      <c r="D15337" s="126"/>
      <c r="E15337" s="126"/>
      <c r="F15337" s="126"/>
      <c r="G15337" s="126"/>
      <c r="H15337" s="126"/>
      <c r="I15337" s="126"/>
    </row>
    <row r="15338" spans="1:9">
      <c r="A15338" s="126"/>
      <c r="B15338" s="126"/>
      <c r="C15338" s="126"/>
      <c r="D15338" s="126"/>
      <c r="E15338" s="126"/>
      <c r="F15338" s="126"/>
      <c r="G15338" s="126"/>
      <c r="H15338" s="126"/>
      <c r="I15338" s="126"/>
    </row>
    <row r="15339" spans="1:9">
      <c r="A15339" s="126"/>
      <c r="B15339" s="126"/>
      <c r="C15339" s="126"/>
      <c r="D15339" s="126"/>
      <c r="E15339" s="126"/>
      <c r="F15339" s="126"/>
      <c r="G15339" s="126"/>
      <c r="H15339" s="126"/>
      <c r="I15339" s="126"/>
    </row>
    <row r="15340" spans="1:9">
      <c r="A15340" s="126"/>
      <c r="B15340" s="126"/>
      <c r="C15340" s="126"/>
      <c r="D15340" s="126"/>
      <c r="E15340" s="126"/>
      <c r="F15340" s="126"/>
      <c r="G15340" s="126"/>
      <c r="H15340" s="126"/>
      <c r="I15340" s="126"/>
    </row>
    <row r="15341" spans="1:9">
      <c r="A15341" s="126"/>
      <c r="B15341" s="126"/>
      <c r="C15341" s="126"/>
      <c r="D15341" s="126"/>
      <c r="E15341" s="126"/>
      <c r="F15341" s="126"/>
      <c r="G15341" s="126"/>
      <c r="H15341" s="126"/>
      <c r="I15341" s="126"/>
    </row>
    <row r="15342" spans="1:9">
      <c r="A15342" s="126"/>
      <c r="B15342" s="126"/>
      <c r="C15342" s="126"/>
      <c r="D15342" s="126"/>
      <c r="E15342" s="126"/>
      <c r="F15342" s="126"/>
      <c r="G15342" s="126"/>
      <c r="H15342" s="126"/>
      <c r="I15342" s="126"/>
    </row>
    <row r="15343" spans="1:9">
      <c r="A15343" s="126"/>
      <c r="B15343" s="126"/>
      <c r="C15343" s="126"/>
      <c r="D15343" s="126"/>
      <c r="E15343" s="126"/>
      <c r="F15343" s="126"/>
      <c r="G15343" s="126"/>
      <c r="H15343" s="126"/>
      <c r="I15343" s="126"/>
    </row>
    <row r="15344" spans="1:9">
      <c r="A15344" s="126"/>
      <c r="B15344" s="126"/>
      <c r="C15344" s="126"/>
      <c r="D15344" s="126"/>
      <c r="E15344" s="126"/>
      <c r="F15344" s="126"/>
      <c r="G15344" s="126"/>
      <c r="H15344" s="126"/>
      <c r="I15344" s="126"/>
    </row>
    <row r="15345" spans="1:9">
      <c r="A15345" s="126"/>
      <c r="B15345" s="126"/>
      <c r="C15345" s="126"/>
      <c r="D15345" s="126"/>
      <c r="E15345" s="126"/>
      <c r="F15345" s="126"/>
      <c r="G15345" s="126"/>
      <c r="H15345" s="126"/>
      <c r="I15345" s="126"/>
    </row>
    <row r="15346" spans="1:9">
      <c r="A15346" s="126"/>
      <c r="B15346" s="126"/>
      <c r="C15346" s="126"/>
      <c r="D15346" s="126"/>
      <c r="E15346" s="126"/>
      <c r="F15346" s="126"/>
      <c r="G15346" s="126"/>
      <c r="H15346" s="126"/>
      <c r="I15346" s="126"/>
    </row>
    <row r="15347" spans="1:9">
      <c r="A15347" s="126"/>
      <c r="B15347" s="126"/>
      <c r="C15347" s="126"/>
      <c r="D15347" s="126"/>
      <c r="E15347" s="126"/>
      <c r="F15347" s="126"/>
      <c r="G15347" s="126"/>
      <c r="H15347" s="126"/>
      <c r="I15347" s="126"/>
    </row>
    <row r="15348" spans="1:9">
      <c r="A15348" s="126"/>
      <c r="B15348" s="126"/>
      <c r="C15348" s="126"/>
      <c r="D15348" s="126"/>
      <c r="E15348" s="126"/>
      <c r="F15348" s="126"/>
      <c r="G15348" s="126"/>
      <c r="H15348" s="126"/>
      <c r="I15348" s="126"/>
    </row>
    <row r="15349" spans="1:9">
      <c r="A15349" s="126"/>
      <c r="B15349" s="126"/>
      <c r="C15349" s="126"/>
      <c r="D15349" s="126"/>
      <c r="E15349" s="126"/>
      <c r="F15349" s="126"/>
      <c r="G15349" s="126"/>
      <c r="H15349" s="126"/>
      <c r="I15349" s="126"/>
    </row>
    <row r="15350" spans="1:9">
      <c r="A15350" s="126"/>
      <c r="B15350" s="126"/>
      <c r="C15350" s="126"/>
      <c r="D15350" s="126"/>
      <c r="E15350" s="126"/>
      <c r="F15350" s="126"/>
      <c r="G15350" s="126"/>
      <c r="H15350" s="126"/>
      <c r="I15350" s="126"/>
    </row>
    <row r="15351" spans="1:9">
      <c r="A15351" s="126"/>
      <c r="B15351" s="126"/>
      <c r="C15351" s="126"/>
      <c r="D15351" s="126"/>
      <c r="E15351" s="126"/>
      <c r="F15351" s="126"/>
      <c r="G15351" s="126"/>
      <c r="H15351" s="126"/>
      <c r="I15351" s="126"/>
    </row>
    <row r="15352" spans="1:9">
      <c r="A15352" s="126"/>
      <c r="B15352" s="126"/>
      <c r="C15352" s="126"/>
      <c r="D15352" s="126"/>
      <c r="E15352" s="126"/>
      <c r="F15352" s="126"/>
      <c r="G15352" s="126"/>
      <c r="H15352" s="126"/>
      <c r="I15352" s="126"/>
    </row>
    <row r="15353" spans="1:9">
      <c r="A15353" s="126"/>
      <c r="B15353" s="126"/>
      <c r="C15353" s="126"/>
      <c r="D15353" s="126"/>
      <c r="E15353" s="126"/>
      <c r="F15353" s="126"/>
      <c r="G15353" s="126"/>
      <c r="H15353" s="126"/>
      <c r="I15353" s="126"/>
    </row>
    <row r="15354" spans="1:9">
      <c r="A15354" s="126"/>
      <c r="B15354" s="126"/>
      <c r="C15354" s="126"/>
      <c r="D15354" s="126"/>
      <c r="E15354" s="126"/>
      <c r="F15354" s="126"/>
      <c r="G15354" s="126"/>
      <c r="H15354" s="126"/>
      <c r="I15354" s="126"/>
    </row>
    <row r="15355" spans="1:9">
      <c r="A15355" s="126"/>
      <c r="B15355" s="126"/>
      <c r="C15355" s="126"/>
      <c r="D15355" s="126"/>
      <c r="E15355" s="126"/>
      <c r="F15355" s="126"/>
      <c r="G15355" s="126"/>
      <c r="H15355" s="126"/>
      <c r="I15355" s="126"/>
    </row>
    <row r="15356" spans="1:9">
      <c r="A15356" s="126"/>
      <c r="B15356" s="126"/>
      <c r="C15356" s="126"/>
      <c r="D15356" s="126"/>
      <c r="E15356" s="126"/>
      <c r="F15356" s="126"/>
      <c r="G15356" s="126"/>
      <c r="H15356" s="126"/>
      <c r="I15356" s="126"/>
    </row>
    <row r="15357" spans="1:9">
      <c r="A15357" s="126"/>
      <c r="B15357" s="126"/>
      <c r="C15357" s="126"/>
      <c r="D15357" s="126"/>
      <c r="E15357" s="126"/>
      <c r="F15357" s="126"/>
      <c r="G15357" s="126"/>
      <c r="H15357" s="126"/>
      <c r="I15357" s="126"/>
    </row>
    <row r="15358" spans="1:9">
      <c r="A15358" s="126"/>
      <c r="B15358" s="126"/>
      <c r="C15358" s="126"/>
      <c r="D15358" s="126"/>
      <c r="E15358" s="126"/>
      <c r="F15358" s="126"/>
      <c r="G15358" s="126"/>
      <c r="H15358" s="126"/>
      <c r="I15358" s="126"/>
    </row>
    <row r="15359" spans="1:9">
      <c r="A15359" s="126"/>
      <c r="B15359" s="126"/>
      <c r="C15359" s="126"/>
      <c r="D15359" s="126"/>
      <c r="E15359" s="126"/>
      <c r="F15359" s="126"/>
      <c r="G15359" s="126"/>
      <c r="H15359" s="126"/>
      <c r="I15359" s="126"/>
    </row>
    <row r="15360" spans="1:9">
      <c r="A15360" s="126"/>
      <c r="B15360" s="126"/>
      <c r="C15360" s="126"/>
      <c r="D15360" s="126"/>
      <c r="E15360" s="126"/>
      <c r="F15360" s="126"/>
      <c r="G15360" s="126"/>
      <c r="H15360" s="126"/>
      <c r="I15360" s="126"/>
    </row>
    <row r="15361" spans="1:9">
      <c r="A15361" s="126"/>
      <c r="B15361" s="126"/>
      <c r="C15361" s="126"/>
      <c r="D15361" s="126"/>
      <c r="E15361" s="126"/>
      <c r="F15361" s="126"/>
      <c r="G15361" s="126"/>
      <c r="H15361" s="126"/>
      <c r="I15361" s="126"/>
    </row>
    <row r="15362" spans="1:9">
      <c r="A15362" s="126"/>
      <c r="B15362" s="126"/>
      <c r="C15362" s="126"/>
      <c r="D15362" s="126"/>
      <c r="E15362" s="126"/>
      <c r="F15362" s="126"/>
      <c r="G15362" s="126"/>
      <c r="H15362" s="126"/>
      <c r="I15362" s="126"/>
    </row>
    <row r="15363" spans="1:9">
      <c r="A15363" s="126"/>
      <c r="B15363" s="126"/>
      <c r="C15363" s="126"/>
      <c r="D15363" s="126"/>
      <c r="E15363" s="126"/>
      <c r="F15363" s="126"/>
      <c r="G15363" s="126"/>
      <c r="H15363" s="126"/>
      <c r="I15363" s="126"/>
    </row>
    <row r="15364" spans="1:9">
      <c r="A15364" s="126"/>
      <c r="B15364" s="126"/>
      <c r="C15364" s="126"/>
      <c r="D15364" s="126"/>
      <c r="E15364" s="126"/>
      <c r="F15364" s="126"/>
      <c r="G15364" s="126"/>
      <c r="H15364" s="126"/>
      <c r="I15364" s="126"/>
    </row>
    <row r="15365" spans="1:9">
      <c r="A15365" s="126"/>
      <c r="B15365" s="126"/>
      <c r="C15365" s="126"/>
      <c r="D15365" s="126"/>
      <c r="E15365" s="126"/>
      <c r="F15365" s="126"/>
      <c r="G15365" s="126"/>
      <c r="H15365" s="126"/>
      <c r="I15365" s="126"/>
    </row>
    <row r="15366" spans="1:9">
      <c r="A15366" s="126"/>
      <c r="B15366" s="126"/>
      <c r="C15366" s="126"/>
      <c r="D15366" s="126"/>
      <c r="E15366" s="126"/>
      <c r="F15366" s="126"/>
      <c r="G15366" s="126"/>
      <c r="H15366" s="126"/>
      <c r="I15366" s="126"/>
    </row>
    <row r="15367" spans="1:9">
      <c r="A15367" s="126"/>
      <c r="B15367" s="126"/>
      <c r="C15367" s="126"/>
      <c r="D15367" s="126"/>
      <c r="E15367" s="126"/>
      <c r="F15367" s="126"/>
      <c r="G15367" s="126"/>
      <c r="H15367" s="126"/>
      <c r="I15367" s="126"/>
    </row>
    <row r="15368" spans="1:9">
      <c r="A15368" s="126"/>
      <c r="B15368" s="126"/>
      <c r="C15368" s="126"/>
      <c r="D15368" s="126"/>
      <c r="E15368" s="126"/>
      <c r="F15368" s="126"/>
      <c r="G15368" s="126"/>
      <c r="H15368" s="126"/>
      <c r="I15368" s="126"/>
    </row>
    <row r="15369" spans="1:9">
      <c r="A15369" s="126"/>
      <c r="B15369" s="126"/>
      <c r="C15369" s="126"/>
      <c r="D15369" s="126"/>
      <c r="E15369" s="126"/>
      <c r="F15369" s="126"/>
      <c r="G15369" s="126"/>
      <c r="H15369" s="126"/>
      <c r="I15369" s="126"/>
    </row>
    <row r="15370" spans="1:9">
      <c r="A15370" s="126"/>
      <c r="B15370" s="126"/>
      <c r="C15370" s="126"/>
      <c r="D15370" s="126"/>
      <c r="E15370" s="126"/>
      <c r="F15370" s="126"/>
      <c r="G15370" s="126"/>
      <c r="H15370" s="126"/>
      <c r="I15370" s="126"/>
    </row>
    <row r="15371" spans="1:9">
      <c r="A15371" s="126"/>
      <c r="B15371" s="126"/>
      <c r="C15371" s="126"/>
      <c r="D15371" s="126"/>
      <c r="E15371" s="126"/>
      <c r="F15371" s="126"/>
      <c r="G15371" s="126"/>
      <c r="H15371" s="126"/>
      <c r="I15371" s="126"/>
    </row>
    <row r="15372" spans="1:9">
      <c r="A15372" s="126"/>
      <c r="B15372" s="126"/>
      <c r="C15372" s="126"/>
      <c r="D15372" s="126"/>
      <c r="E15372" s="126"/>
      <c r="F15372" s="126"/>
      <c r="G15372" s="126"/>
      <c r="H15372" s="126"/>
      <c r="I15372" s="126"/>
    </row>
    <row r="15373" spans="1:9">
      <c r="A15373" s="126"/>
      <c r="B15373" s="126"/>
      <c r="C15373" s="126"/>
      <c r="D15373" s="126"/>
      <c r="E15373" s="126"/>
      <c r="F15373" s="126"/>
      <c r="G15373" s="126"/>
      <c r="H15373" s="126"/>
      <c r="I15373" s="126"/>
    </row>
    <row r="15374" spans="1:9">
      <c r="A15374" s="126"/>
      <c r="B15374" s="126"/>
      <c r="C15374" s="126"/>
      <c r="D15374" s="126"/>
      <c r="E15374" s="126"/>
      <c r="F15374" s="126"/>
      <c r="G15374" s="126"/>
      <c r="H15374" s="126"/>
      <c r="I15374" s="126"/>
    </row>
    <row r="15375" spans="1:9">
      <c r="A15375" s="126"/>
      <c r="B15375" s="126"/>
      <c r="C15375" s="126"/>
      <c r="D15375" s="126"/>
      <c r="E15375" s="126"/>
      <c r="F15375" s="126"/>
      <c r="G15375" s="126"/>
      <c r="H15375" s="126"/>
      <c r="I15375" s="126"/>
    </row>
    <row r="15376" spans="1:9">
      <c r="A15376" s="126"/>
      <c r="B15376" s="126"/>
      <c r="C15376" s="126"/>
      <c r="D15376" s="126"/>
      <c r="E15376" s="126"/>
      <c r="F15376" s="126"/>
      <c r="G15376" s="126"/>
      <c r="H15376" s="126"/>
      <c r="I15376" s="126"/>
    </row>
    <row r="15377" spans="1:9">
      <c r="A15377" s="126"/>
      <c r="B15377" s="126"/>
      <c r="C15377" s="126"/>
      <c r="D15377" s="126"/>
      <c r="E15377" s="126"/>
      <c r="F15377" s="126"/>
      <c r="G15377" s="126"/>
      <c r="H15377" s="126"/>
      <c r="I15377" s="126"/>
    </row>
    <row r="15378" spans="1:9">
      <c r="A15378" s="126"/>
      <c r="B15378" s="126"/>
      <c r="C15378" s="126"/>
      <c r="D15378" s="126"/>
      <c r="E15378" s="126"/>
      <c r="F15378" s="126"/>
      <c r="G15378" s="126"/>
      <c r="H15378" s="126"/>
      <c r="I15378" s="126"/>
    </row>
    <row r="15379" spans="1:9">
      <c r="A15379" s="126"/>
      <c r="B15379" s="126"/>
      <c r="C15379" s="126"/>
      <c r="D15379" s="126"/>
      <c r="E15379" s="126"/>
      <c r="F15379" s="126"/>
      <c r="G15379" s="126"/>
      <c r="H15379" s="126"/>
      <c r="I15379" s="126"/>
    </row>
    <row r="15380" spans="1:9">
      <c r="A15380" s="126"/>
      <c r="B15380" s="126"/>
      <c r="C15380" s="126"/>
      <c r="D15380" s="126"/>
      <c r="E15380" s="126"/>
      <c r="F15380" s="126"/>
      <c r="G15380" s="126"/>
      <c r="H15380" s="126"/>
      <c r="I15380" s="126"/>
    </row>
    <row r="15381" spans="1:9">
      <c r="A15381" s="126"/>
      <c r="B15381" s="126"/>
      <c r="C15381" s="126"/>
      <c r="D15381" s="126"/>
      <c r="E15381" s="126"/>
      <c r="F15381" s="126"/>
      <c r="G15381" s="126"/>
      <c r="H15381" s="126"/>
      <c r="I15381" s="126"/>
    </row>
    <row r="15382" spans="1:9">
      <c r="A15382" s="126"/>
      <c r="B15382" s="126"/>
      <c r="C15382" s="126"/>
      <c r="D15382" s="126"/>
      <c r="E15382" s="126"/>
      <c r="F15382" s="126"/>
      <c r="G15382" s="126"/>
      <c r="H15382" s="126"/>
      <c r="I15382" s="126"/>
    </row>
    <row r="15383" spans="1:9">
      <c r="A15383" s="126"/>
      <c r="B15383" s="126"/>
      <c r="C15383" s="126"/>
      <c r="D15383" s="126"/>
      <c r="E15383" s="126"/>
      <c r="F15383" s="126"/>
      <c r="G15383" s="126"/>
      <c r="H15383" s="126"/>
      <c r="I15383" s="126"/>
    </row>
    <row r="15384" spans="1:9">
      <c r="A15384" s="126"/>
      <c r="B15384" s="126"/>
      <c r="C15384" s="126"/>
      <c r="D15384" s="126"/>
      <c r="E15384" s="126"/>
      <c r="F15384" s="126"/>
      <c r="G15384" s="126"/>
      <c r="H15384" s="126"/>
      <c r="I15384" s="126"/>
    </row>
    <row r="15385" spans="1:9">
      <c r="A15385" s="126"/>
      <c r="B15385" s="126"/>
      <c r="C15385" s="126"/>
      <c r="D15385" s="126"/>
      <c r="E15385" s="126"/>
      <c r="F15385" s="126"/>
      <c r="G15385" s="126"/>
      <c r="H15385" s="126"/>
      <c r="I15385" s="126"/>
    </row>
    <row r="15386" spans="1:9">
      <c r="A15386" s="126"/>
      <c r="B15386" s="126"/>
      <c r="C15386" s="126"/>
      <c r="D15386" s="126"/>
      <c r="E15386" s="126"/>
      <c r="F15386" s="126"/>
      <c r="G15386" s="126"/>
      <c r="H15386" s="126"/>
      <c r="I15386" s="126"/>
    </row>
    <row r="15387" spans="1:9">
      <c r="A15387" s="126"/>
      <c r="B15387" s="126"/>
      <c r="C15387" s="126"/>
      <c r="D15387" s="126"/>
      <c r="E15387" s="126"/>
      <c r="F15387" s="126"/>
      <c r="G15387" s="126"/>
      <c r="H15387" s="126"/>
      <c r="I15387" s="126"/>
    </row>
    <row r="15388" spans="1:9">
      <c r="A15388" s="126"/>
      <c r="B15388" s="126"/>
      <c r="C15388" s="126"/>
      <c r="D15388" s="126"/>
      <c r="E15388" s="126"/>
      <c r="F15388" s="126"/>
      <c r="G15388" s="126"/>
      <c r="H15388" s="126"/>
      <c r="I15388" s="126"/>
    </row>
    <row r="15389" spans="1:9">
      <c r="A15389" s="126"/>
      <c r="B15389" s="126"/>
      <c r="C15389" s="126"/>
      <c r="D15389" s="126"/>
      <c r="E15389" s="126"/>
      <c r="F15389" s="126"/>
      <c r="G15389" s="126"/>
      <c r="H15389" s="126"/>
      <c r="I15389" s="126"/>
    </row>
    <row r="15390" spans="1:9">
      <c r="A15390" s="126"/>
      <c r="B15390" s="126"/>
      <c r="C15390" s="126"/>
      <c r="D15390" s="126"/>
      <c r="E15390" s="126"/>
      <c r="F15390" s="126"/>
      <c r="G15390" s="126"/>
      <c r="H15390" s="126"/>
      <c r="I15390" s="126"/>
    </row>
    <row r="15391" spans="1:9">
      <c r="A15391" s="126"/>
      <c r="B15391" s="126"/>
      <c r="C15391" s="126"/>
      <c r="D15391" s="126"/>
      <c r="E15391" s="126"/>
      <c r="F15391" s="126"/>
      <c r="G15391" s="126"/>
      <c r="H15391" s="126"/>
      <c r="I15391" s="126"/>
    </row>
    <row r="15392" spans="1:9">
      <c r="A15392" s="126"/>
      <c r="B15392" s="126"/>
      <c r="C15392" s="126"/>
      <c r="D15392" s="126"/>
      <c r="E15392" s="126"/>
      <c r="F15392" s="126"/>
      <c r="G15392" s="126"/>
      <c r="H15392" s="126"/>
      <c r="I15392" s="126"/>
    </row>
    <row r="15393" spans="1:9">
      <c r="A15393" s="126"/>
      <c r="B15393" s="126"/>
      <c r="C15393" s="126"/>
      <c r="D15393" s="126"/>
      <c r="E15393" s="126"/>
      <c r="F15393" s="126"/>
      <c r="G15393" s="126"/>
      <c r="H15393" s="126"/>
      <c r="I15393" s="126"/>
    </row>
    <row r="15394" spans="1:9">
      <c r="A15394" s="126"/>
      <c r="B15394" s="126"/>
      <c r="C15394" s="126"/>
      <c r="D15394" s="126"/>
      <c r="E15394" s="126"/>
      <c r="F15394" s="126"/>
      <c r="G15394" s="126"/>
      <c r="H15394" s="126"/>
      <c r="I15394" s="126"/>
    </row>
    <row r="15395" spans="1:9">
      <c r="A15395" s="126"/>
      <c r="B15395" s="126"/>
      <c r="C15395" s="126"/>
      <c r="D15395" s="126"/>
      <c r="E15395" s="126"/>
      <c r="F15395" s="126"/>
      <c r="G15395" s="126"/>
      <c r="H15395" s="126"/>
      <c r="I15395" s="126"/>
    </row>
    <row r="15396" spans="1:9">
      <c r="A15396" s="126"/>
      <c r="B15396" s="126"/>
      <c r="C15396" s="126"/>
      <c r="D15396" s="126"/>
      <c r="E15396" s="126"/>
      <c r="F15396" s="126"/>
      <c r="G15396" s="126"/>
      <c r="H15396" s="126"/>
      <c r="I15396" s="126"/>
    </row>
    <row r="15397" spans="1:9">
      <c r="A15397" s="126"/>
      <c r="B15397" s="126"/>
      <c r="C15397" s="126"/>
      <c r="D15397" s="126"/>
      <c r="E15397" s="126"/>
      <c r="F15397" s="126"/>
      <c r="G15397" s="126"/>
      <c r="H15397" s="126"/>
      <c r="I15397" s="126"/>
    </row>
    <row r="15398" spans="1:9">
      <c r="A15398" s="126"/>
      <c r="B15398" s="126"/>
      <c r="C15398" s="126"/>
      <c r="D15398" s="126"/>
      <c r="E15398" s="126"/>
      <c r="F15398" s="126"/>
      <c r="G15398" s="126"/>
      <c r="H15398" s="126"/>
      <c r="I15398" s="126"/>
    </row>
    <row r="15399" spans="1:9">
      <c r="A15399" s="126"/>
      <c r="B15399" s="126"/>
      <c r="C15399" s="126"/>
      <c r="D15399" s="126"/>
      <c r="E15399" s="126"/>
      <c r="F15399" s="126"/>
      <c r="G15399" s="126"/>
      <c r="H15399" s="126"/>
      <c r="I15399" s="126"/>
    </row>
    <row r="15400" spans="1:9">
      <c r="A15400" s="126"/>
      <c r="B15400" s="126"/>
      <c r="C15400" s="126"/>
      <c r="D15400" s="126"/>
      <c r="E15400" s="126"/>
      <c r="F15400" s="126"/>
      <c r="G15400" s="126"/>
      <c r="H15400" s="126"/>
      <c r="I15400" s="126"/>
    </row>
    <row r="15401" spans="1:9">
      <c r="A15401" s="126"/>
      <c r="B15401" s="126"/>
      <c r="C15401" s="126"/>
      <c r="D15401" s="126"/>
      <c r="E15401" s="126"/>
      <c r="F15401" s="126"/>
      <c r="G15401" s="126"/>
      <c r="H15401" s="126"/>
      <c r="I15401" s="126"/>
    </row>
    <row r="15402" spans="1:9">
      <c r="A15402" s="126"/>
      <c r="B15402" s="126"/>
      <c r="C15402" s="126"/>
      <c r="D15402" s="126"/>
      <c r="E15402" s="126"/>
      <c r="F15402" s="126"/>
      <c r="G15402" s="126"/>
      <c r="H15402" s="126"/>
      <c r="I15402" s="126"/>
    </row>
    <row r="15403" spans="1:9">
      <c r="A15403" s="126"/>
      <c r="B15403" s="126"/>
      <c r="C15403" s="126"/>
      <c r="D15403" s="126"/>
      <c r="E15403" s="126"/>
      <c r="F15403" s="126"/>
      <c r="G15403" s="126"/>
      <c r="H15403" s="126"/>
      <c r="I15403" s="126"/>
    </row>
    <row r="15404" spans="1:9">
      <c r="A15404" s="126"/>
      <c r="B15404" s="126"/>
      <c r="C15404" s="126"/>
      <c r="D15404" s="126"/>
      <c r="E15404" s="126"/>
      <c r="F15404" s="126"/>
      <c r="G15404" s="126"/>
      <c r="H15404" s="126"/>
      <c r="I15404" s="126"/>
    </row>
    <row r="15405" spans="1:9">
      <c r="A15405" s="126"/>
      <c r="B15405" s="126"/>
      <c r="C15405" s="126"/>
      <c r="D15405" s="126"/>
      <c r="E15405" s="126"/>
      <c r="F15405" s="126"/>
      <c r="G15405" s="126"/>
      <c r="H15405" s="126"/>
      <c r="I15405" s="126"/>
    </row>
    <row r="15406" spans="1:9">
      <c r="A15406" s="126"/>
      <c r="B15406" s="126"/>
      <c r="C15406" s="126"/>
      <c r="D15406" s="126"/>
      <c r="E15406" s="126"/>
      <c r="F15406" s="126"/>
      <c r="G15406" s="126"/>
      <c r="H15406" s="126"/>
      <c r="I15406" s="126"/>
    </row>
    <row r="15407" spans="1:9">
      <c r="A15407" s="126"/>
      <c r="B15407" s="126"/>
      <c r="C15407" s="126"/>
      <c r="D15407" s="126"/>
      <c r="E15407" s="126"/>
      <c r="F15407" s="126"/>
      <c r="G15407" s="126"/>
      <c r="H15407" s="126"/>
      <c r="I15407" s="126"/>
    </row>
    <row r="15408" spans="1:9">
      <c r="A15408" s="126"/>
      <c r="B15408" s="126"/>
      <c r="C15408" s="126"/>
      <c r="D15408" s="126"/>
      <c r="E15408" s="126"/>
      <c r="F15408" s="126"/>
      <c r="G15408" s="126"/>
      <c r="H15408" s="126"/>
      <c r="I15408" s="126"/>
    </row>
    <row r="15409" spans="1:9">
      <c r="A15409" s="126"/>
      <c r="B15409" s="126"/>
      <c r="C15409" s="126"/>
      <c r="D15409" s="126"/>
      <c r="E15409" s="126"/>
      <c r="F15409" s="126"/>
      <c r="G15409" s="126"/>
      <c r="H15409" s="126"/>
      <c r="I15409" s="126"/>
    </row>
    <row r="15410" spans="1:9">
      <c r="A15410" s="126"/>
      <c r="B15410" s="126"/>
      <c r="C15410" s="126"/>
      <c r="D15410" s="126"/>
      <c r="E15410" s="126"/>
      <c r="F15410" s="126"/>
      <c r="G15410" s="126"/>
      <c r="H15410" s="126"/>
      <c r="I15410" s="126"/>
    </row>
    <row r="15411" spans="1:9">
      <c r="A15411" s="126"/>
      <c r="B15411" s="126"/>
      <c r="C15411" s="126"/>
      <c r="D15411" s="126"/>
      <c r="E15411" s="126"/>
      <c r="F15411" s="126"/>
      <c r="G15411" s="126"/>
      <c r="H15411" s="126"/>
      <c r="I15411" s="126"/>
    </row>
    <row r="15412" spans="1:9">
      <c r="A15412" s="126"/>
      <c r="B15412" s="126"/>
      <c r="C15412" s="126"/>
      <c r="D15412" s="126"/>
      <c r="E15412" s="126"/>
      <c r="F15412" s="126"/>
      <c r="G15412" s="126"/>
      <c r="H15412" s="126"/>
      <c r="I15412" s="126"/>
    </row>
    <row r="15413" spans="1:9">
      <c r="A15413" s="126"/>
      <c r="B15413" s="126"/>
      <c r="C15413" s="126"/>
      <c r="D15413" s="126"/>
      <c r="E15413" s="126"/>
      <c r="F15413" s="126"/>
      <c r="G15413" s="126"/>
      <c r="H15413" s="126"/>
      <c r="I15413" s="126"/>
    </row>
    <row r="15414" spans="1:9">
      <c r="A15414" s="126"/>
      <c r="B15414" s="126"/>
      <c r="C15414" s="126"/>
      <c r="D15414" s="126"/>
      <c r="E15414" s="126"/>
      <c r="F15414" s="126"/>
      <c r="G15414" s="126"/>
      <c r="H15414" s="126"/>
      <c r="I15414" s="126"/>
    </row>
    <row r="15415" spans="1:9">
      <c r="A15415" s="126"/>
      <c r="B15415" s="126"/>
      <c r="C15415" s="126"/>
      <c r="D15415" s="126"/>
      <c r="E15415" s="126"/>
      <c r="F15415" s="126"/>
      <c r="G15415" s="126"/>
      <c r="H15415" s="126"/>
      <c r="I15415" s="126"/>
    </row>
    <row r="15416" spans="1:9">
      <c r="A15416" s="126"/>
      <c r="B15416" s="126"/>
      <c r="C15416" s="126"/>
      <c r="D15416" s="126"/>
      <c r="E15416" s="126"/>
      <c r="F15416" s="126"/>
      <c r="G15416" s="126"/>
      <c r="H15416" s="126"/>
      <c r="I15416" s="126"/>
    </row>
    <row r="15417" spans="1:9">
      <c r="A15417" s="126"/>
      <c r="B15417" s="126"/>
      <c r="C15417" s="126"/>
      <c r="D15417" s="126"/>
      <c r="E15417" s="126"/>
      <c r="F15417" s="126"/>
      <c r="G15417" s="126"/>
      <c r="H15417" s="126"/>
      <c r="I15417" s="126"/>
    </row>
    <row r="15418" spans="1:9">
      <c r="A15418" s="126"/>
      <c r="B15418" s="126"/>
      <c r="C15418" s="126"/>
      <c r="D15418" s="126"/>
      <c r="E15418" s="126"/>
      <c r="F15418" s="126"/>
      <c r="G15418" s="126"/>
      <c r="H15418" s="126"/>
      <c r="I15418" s="126"/>
    </row>
    <row r="15419" spans="1:9">
      <c r="A15419" s="126"/>
      <c r="B15419" s="126"/>
      <c r="C15419" s="126"/>
      <c r="D15419" s="126"/>
      <c r="E15419" s="126"/>
      <c r="F15419" s="126"/>
      <c r="G15419" s="126"/>
      <c r="H15419" s="126"/>
      <c r="I15419" s="126"/>
    </row>
    <row r="15420" spans="1:9">
      <c r="A15420" s="126"/>
      <c r="B15420" s="126"/>
      <c r="C15420" s="126"/>
      <c r="D15420" s="126"/>
      <c r="E15420" s="126"/>
      <c r="F15420" s="126"/>
      <c r="G15420" s="126"/>
      <c r="H15420" s="126"/>
      <c r="I15420" s="126"/>
    </row>
    <row r="15421" spans="1:9">
      <c r="A15421" s="126"/>
      <c r="B15421" s="126"/>
      <c r="C15421" s="126"/>
      <c r="D15421" s="126"/>
      <c r="E15421" s="126"/>
      <c r="F15421" s="126"/>
      <c r="G15421" s="126"/>
      <c r="H15421" s="126"/>
      <c r="I15421" s="126"/>
    </row>
    <row r="15422" spans="1:9">
      <c r="A15422" s="126"/>
      <c r="B15422" s="126"/>
      <c r="C15422" s="126"/>
      <c r="D15422" s="126"/>
      <c r="E15422" s="126"/>
      <c r="F15422" s="126"/>
      <c r="G15422" s="126"/>
      <c r="H15422" s="126"/>
      <c r="I15422" s="126"/>
    </row>
    <row r="15423" spans="1:9">
      <c r="A15423" s="126"/>
      <c r="B15423" s="126"/>
      <c r="C15423" s="126"/>
      <c r="D15423" s="126"/>
      <c r="E15423" s="126"/>
      <c r="F15423" s="126"/>
      <c r="G15423" s="126"/>
      <c r="H15423" s="126"/>
      <c r="I15423" s="126"/>
    </row>
    <row r="15424" spans="1:9">
      <c r="A15424" s="126"/>
      <c r="B15424" s="126"/>
      <c r="C15424" s="126"/>
      <c r="D15424" s="126"/>
      <c r="E15424" s="126"/>
      <c r="F15424" s="126"/>
      <c r="G15424" s="126"/>
      <c r="H15424" s="126"/>
      <c r="I15424" s="126"/>
    </row>
    <row r="15425" spans="1:9">
      <c r="A15425" s="126"/>
      <c r="B15425" s="126"/>
      <c r="C15425" s="126"/>
      <c r="D15425" s="126"/>
      <c r="E15425" s="126"/>
      <c r="F15425" s="126"/>
      <c r="G15425" s="126"/>
      <c r="H15425" s="126"/>
      <c r="I15425" s="126"/>
    </row>
    <row r="15426" spans="1:9">
      <c r="A15426" s="126"/>
      <c r="B15426" s="126"/>
      <c r="C15426" s="126"/>
      <c r="D15426" s="126"/>
      <c r="E15426" s="126"/>
      <c r="F15426" s="126"/>
      <c r="G15426" s="126"/>
      <c r="H15426" s="126"/>
      <c r="I15426" s="126"/>
    </row>
    <row r="15427" spans="1:9">
      <c r="A15427" s="126"/>
      <c r="B15427" s="126"/>
      <c r="C15427" s="126"/>
      <c r="D15427" s="126"/>
      <c r="E15427" s="126"/>
      <c r="F15427" s="126"/>
      <c r="G15427" s="126"/>
      <c r="H15427" s="126"/>
      <c r="I15427" s="126"/>
    </row>
    <row r="15428" spans="1:9">
      <c r="A15428" s="126"/>
      <c r="B15428" s="126"/>
      <c r="C15428" s="126"/>
      <c r="D15428" s="126"/>
      <c r="E15428" s="126"/>
      <c r="F15428" s="126"/>
      <c r="G15428" s="126"/>
      <c r="H15428" s="126"/>
      <c r="I15428" s="126"/>
    </row>
    <row r="15429" spans="1:9">
      <c r="A15429" s="126"/>
      <c r="B15429" s="126"/>
      <c r="C15429" s="126"/>
      <c r="D15429" s="126"/>
      <c r="E15429" s="126"/>
      <c r="F15429" s="126"/>
      <c r="G15429" s="126"/>
      <c r="H15429" s="126"/>
      <c r="I15429" s="126"/>
    </row>
    <row r="15430" spans="1:9">
      <c r="A15430" s="126"/>
      <c r="B15430" s="126"/>
      <c r="C15430" s="126"/>
      <c r="D15430" s="126"/>
      <c r="E15430" s="126"/>
      <c r="F15430" s="126"/>
      <c r="G15430" s="126"/>
      <c r="H15430" s="126"/>
      <c r="I15430" s="126"/>
    </row>
    <row r="15431" spans="1:9">
      <c r="A15431" s="126"/>
      <c r="B15431" s="126"/>
      <c r="C15431" s="126"/>
      <c r="D15431" s="126"/>
      <c r="E15431" s="126"/>
      <c r="F15431" s="126"/>
      <c r="G15431" s="126"/>
      <c r="H15431" s="126"/>
      <c r="I15431" s="126"/>
    </row>
    <row r="15432" spans="1:9">
      <c r="A15432" s="126"/>
      <c r="B15432" s="126"/>
      <c r="C15432" s="126"/>
      <c r="D15432" s="126"/>
      <c r="E15432" s="126"/>
      <c r="F15432" s="126"/>
      <c r="G15432" s="126"/>
      <c r="H15432" s="126"/>
      <c r="I15432" s="126"/>
    </row>
    <row r="15433" spans="1:9">
      <c r="A15433" s="126"/>
      <c r="B15433" s="126"/>
      <c r="C15433" s="126"/>
      <c r="D15433" s="126"/>
      <c r="E15433" s="126"/>
      <c r="F15433" s="126"/>
      <c r="G15433" s="126"/>
      <c r="H15433" s="126"/>
      <c r="I15433" s="126"/>
    </row>
    <row r="15434" spans="1:9">
      <c r="A15434" s="126"/>
      <c r="B15434" s="126"/>
      <c r="C15434" s="126"/>
      <c r="D15434" s="126"/>
      <c r="E15434" s="126"/>
      <c r="F15434" s="126"/>
      <c r="G15434" s="126"/>
      <c r="H15434" s="126"/>
      <c r="I15434" s="126"/>
    </row>
    <row r="15435" spans="1:9">
      <c r="A15435" s="126"/>
      <c r="B15435" s="126"/>
      <c r="C15435" s="126"/>
      <c r="D15435" s="126"/>
      <c r="E15435" s="126"/>
      <c r="F15435" s="126"/>
      <c r="G15435" s="126"/>
      <c r="H15435" s="126"/>
      <c r="I15435" s="126"/>
    </row>
    <row r="15436" spans="1:9">
      <c r="A15436" s="126"/>
      <c r="B15436" s="126"/>
      <c r="C15436" s="126"/>
      <c r="D15436" s="126"/>
      <c r="E15436" s="126"/>
      <c r="F15436" s="126"/>
      <c r="G15436" s="126"/>
      <c r="H15436" s="126"/>
      <c r="I15436" s="126"/>
    </row>
    <row r="15437" spans="1:9">
      <c r="A15437" s="126"/>
      <c r="B15437" s="126"/>
      <c r="C15437" s="126"/>
      <c r="D15437" s="126"/>
      <c r="E15437" s="126"/>
      <c r="F15437" s="126"/>
      <c r="G15437" s="126"/>
      <c r="H15437" s="126"/>
      <c r="I15437" s="126"/>
    </row>
    <row r="15438" spans="1:9">
      <c r="A15438" s="126"/>
      <c r="B15438" s="126"/>
      <c r="C15438" s="126"/>
      <c r="D15438" s="126"/>
      <c r="E15438" s="126"/>
      <c r="F15438" s="126"/>
      <c r="G15438" s="126"/>
      <c r="H15438" s="126"/>
      <c r="I15438" s="126"/>
    </row>
    <row r="15439" spans="1:9">
      <c r="A15439" s="126"/>
      <c r="B15439" s="126"/>
      <c r="C15439" s="126"/>
      <c r="D15439" s="126"/>
      <c r="E15439" s="126"/>
      <c r="F15439" s="126"/>
      <c r="G15439" s="126"/>
      <c r="H15439" s="126"/>
      <c r="I15439" s="126"/>
    </row>
    <row r="15440" spans="1:9">
      <c r="A15440" s="126"/>
      <c r="B15440" s="126"/>
      <c r="C15440" s="126"/>
      <c r="D15440" s="126"/>
      <c r="E15440" s="126"/>
      <c r="F15440" s="126"/>
      <c r="G15440" s="126"/>
      <c r="H15440" s="126"/>
      <c r="I15440" s="126"/>
    </row>
    <row r="15441" spans="1:9">
      <c r="A15441" s="126"/>
      <c r="B15441" s="126"/>
      <c r="C15441" s="126"/>
      <c r="D15441" s="126"/>
      <c r="E15441" s="126"/>
      <c r="F15441" s="126"/>
      <c r="G15441" s="126"/>
      <c r="H15441" s="126"/>
      <c r="I15441" s="126"/>
    </row>
    <row r="15442" spans="1:9">
      <c r="A15442" s="126"/>
      <c r="B15442" s="126"/>
      <c r="C15442" s="126"/>
      <c r="D15442" s="126"/>
      <c r="E15442" s="126"/>
      <c r="F15442" s="126"/>
      <c r="G15442" s="126"/>
      <c r="H15442" s="126"/>
      <c r="I15442" s="126"/>
    </row>
    <row r="15443" spans="1:9">
      <c r="A15443" s="126"/>
      <c r="B15443" s="126"/>
      <c r="C15443" s="126"/>
      <c r="D15443" s="126"/>
      <c r="E15443" s="126"/>
      <c r="F15443" s="126"/>
      <c r="G15443" s="126"/>
      <c r="H15443" s="126"/>
      <c r="I15443" s="126"/>
    </row>
    <row r="15444" spans="1:9">
      <c r="A15444" s="126"/>
      <c r="B15444" s="126"/>
      <c r="C15444" s="126"/>
      <c r="D15444" s="126"/>
      <c r="E15444" s="126"/>
      <c r="F15444" s="126"/>
      <c r="G15444" s="126"/>
      <c r="H15444" s="126"/>
      <c r="I15444" s="126"/>
    </row>
    <row r="15445" spans="1:9">
      <c r="A15445" s="126"/>
      <c r="B15445" s="126"/>
      <c r="C15445" s="126"/>
      <c r="D15445" s="126"/>
      <c r="E15445" s="126"/>
      <c r="F15445" s="126"/>
      <c r="G15445" s="126"/>
      <c r="H15445" s="126"/>
      <c r="I15445" s="126"/>
    </row>
    <row r="15446" spans="1:9">
      <c r="A15446" s="126"/>
      <c r="B15446" s="126"/>
      <c r="C15446" s="126"/>
      <c r="D15446" s="126"/>
      <c r="E15446" s="126"/>
      <c r="F15446" s="126"/>
      <c r="G15446" s="126"/>
      <c r="H15446" s="126"/>
      <c r="I15446" s="126"/>
    </row>
    <row r="15447" spans="1:9">
      <c r="A15447" s="126"/>
      <c r="B15447" s="126"/>
      <c r="C15447" s="126"/>
      <c r="D15447" s="126"/>
      <c r="E15447" s="126"/>
      <c r="F15447" s="126"/>
      <c r="G15447" s="126"/>
      <c r="H15447" s="126"/>
      <c r="I15447" s="126"/>
    </row>
    <row r="15448" spans="1:9">
      <c r="A15448" s="126"/>
      <c r="B15448" s="126"/>
      <c r="C15448" s="126"/>
      <c r="D15448" s="126"/>
      <c r="E15448" s="126"/>
      <c r="F15448" s="126"/>
      <c r="G15448" s="126"/>
      <c r="H15448" s="126"/>
      <c r="I15448" s="126"/>
    </row>
    <row r="15449" spans="1:9">
      <c r="A15449" s="126"/>
      <c r="B15449" s="126"/>
      <c r="C15449" s="126"/>
      <c r="D15449" s="126"/>
      <c r="E15449" s="126"/>
      <c r="F15449" s="126"/>
      <c r="G15449" s="126"/>
      <c r="H15449" s="126"/>
      <c r="I15449" s="126"/>
    </row>
    <row r="15450" spans="1:9">
      <c r="A15450" s="126"/>
      <c r="B15450" s="126"/>
      <c r="C15450" s="126"/>
      <c r="D15450" s="126"/>
      <c r="E15450" s="126"/>
      <c r="F15450" s="126"/>
      <c r="G15450" s="126"/>
      <c r="H15450" s="126"/>
      <c r="I15450" s="126"/>
    </row>
    <row r="15451" spans="1:9">
      <c r="A15451" s="126"/>
      <c r="B15451" s="126"/>
      <c r="C15451" s="126"/>
      <c r="D15451" s="126"/>
      <c r="E15451" s="126"/>
      <c r="F15451" s="126"/>
      <c r="G15451" s="126"/>
      <c r="H15451" s="126"/>
      <c r="I15451" s="126"/>
    </row>
    <row r="15452" spans="1:9">
      <c r="A15452" s="126"/>
      <c r="B15452" s="126"/>
      <c r="C15452" s="126"/>
      <c r="D15452" s="126"/>
      <c r="E15452" s="126"/>
      <c r="F15452" s="126"/>
      <c r="G15452" s="126"/>
      <c r="H15452" s="126"/>
      <c r="I15452" s="126"/>
    </row>
    <row r="15453" spans="1:9">
      <c r="A15453" s="126"/>
      <c r="B15453" s="126"/>
      <c r="C15453" s="126"/>
      <c r="D15453" s="126"/>
      <c r="E15453" s="126"/>
      <c r="F15453" s="126"/>
      <c r="G15453" s="126"/>
      <c r="H15453" s="126"/>
      <c r="I15453" s="126"/>
    </row>
    <row r="15454" spans="1:9">
      <c r="A15454" s="126"/>
      <c r="B15454" s="126"/>
      <c r="C15454" s="126"/>
      <c r="D15454" s="126"/>
      <c r="E15454" s="126"/>
      <c r="F15454" s="126"/>
      <c r="G15454" s="126"/>
      <c r="H15454" s="126"/>
      <c r="I15454" s="126"/>
    </row>
    <row r="15455" spans="1:9">
      <c r="A15455" s="126"/>
      <c r="B15455" s="126"/>
      <c r="C15455" s="126"/>
      <c r="D15455" s="126"/>
      <c r="E15455" s="126"/>
      <c r="F15455" s="126"/>
      <c r="G15455" s="126"/>
      <c r="H15455" s="126"/>
      <c r="I15455" s="126"/>
    </row>
    <row r="15456" spans="1:9">
      <c r="A15456" s="126"/>
      <c r="B15456" s="126"/>
      <c r="C15456" s="126"/>
      <c r="D15456" s="126"/>
      <c r="E15456" s="126"/>
      <c r="F15456" s="126"/>
      <c r="G15456" s="126"/>
      <c r="H15456" s="126"/>
      <c r="I15456" s="126"/>
    </row>
    <row r="15457" spans="1:9">
      <c r="A15457" s="126"/>
      <c r="B15457" s="126"/>
      <c r="C15457" s="126"/>
      <c r="D15457" s="126"/>
      <c r="E15457" s="126"/>
      <c r="F15457" s="126"/>
      <c r="G15457" s="126"/>
      <c r="H15457" s="126"/>
      <c r="I15457" s="126"/>
    </row>
    <row r="15458" spans="1:9">
      <c r="A15458" s="126"/>
      <c r="B15458" s="126"/>
      <c r="C15458" s="126"/>
      <c r="D15458" s="126"/>
      <c r="E15458" s="126"/>
      <c r="F15458" s="126"/>
      <c r="G15458" s="126"/>
      <c r="H15458" s="126"/>
      <c r="I15458" s="126"/>
    </row>
    <row r="15459" spans="1:9">
      <c r="A15459" s="126"/>
      <c r="B15459" s="126"/>
      <c r="C15459" s="126"/>
      <c r="D15459" s="126"/>
      <c r="E15459" s="126"/>
      <c r="F15459" s="126"/>
      <c r="G15459" s="126"/>
      <c r="H15459" s="126"/>
      <c r="I15459" s="126"/>
    </row>
    <row r="15460" spans="1:9">
      <c r="A15460" s="126"/>
      <c r="B15460" s="126"/>
      <c r="C15460" s="126"/>
      <c r="D15460" s="126"/>
      <c r="E15460" s="126"/>
      <c r="F15460" s="126"/>
      <c r="G15460" s="126"/>
      <c r="H15460" s="126"/>
      <c r="I15460" s="126"/>
    </row>
    <row r="15461" spans="1:9">
      <c r="A15461" s="126"/>
      <c r="B15461" s="126"/>
      <c r="C15461" s="126"/>
      <c r="D15461" s="126"/>
      <c r="E15461" s="126"/>
      <c r="F15461" s="126"/>
      <c r="G15461" s="126"/>
      <c r="H15461" s="126"/>
      <c r="I15461" s="126"/>
    </row>
    <row r="15462" spans="1:9">
      <c r="A15462" s="126"/>
      <c r="B15462" s="126"/>
      <c r="C15462" s="126"/>
      <c r="D15462" s="126"/>
      <c r="E15462" s="126"/>
      <c r="F15462" s="126"/>
      <c r="G15462" s="126"/>
      <c r="H15462" s="126"/>
      <c r="I15462" s="126"/>
    </row>
    <row r="15463" spans="1:9">
      <c r="A15463" s="126"/>
      <c r="B15463" s="126"/>
      <c r="C15463" s="126"/>
      <c r="D15463" s="126"/>
      <c r="E15463" s="126"/>
      <c r="F15463" s="126"/>
      <c r="G15463" s="126"/>
      <c r="H15463" s="126"/>
      <c r="I15463" s="126"/>
    </row>
    <row r="15464" spans="1:9">
      <c r="A15464" s="126"/>
      <c r="B15464" s="126"/>
      <c r="C15464" s="126"/>
      <c r="D15464" s="126"/>
      <c r="E15464" s="126"/>
      <c r="F15464" s="126"/>
      <c r="G15464" s="126"/>
      <c r="H15464" s="126"/>
      <c r="I15464" s="126"/>
    </row>
    <row r="15465" spans="1:9">
      <c r="A15465" s="126"/>
      <c r="B15465" s="126"/>
      <c r="C15465" s="126"/>
      <c r="D15465" s="126"/>
      <c r="E15465" s="126"/>
      <c r="F15465" s="126"/>
      <c r="G15465" s="126"/>
      <c r="H15465" s="126"/>
      <c r="I15465" s="126"/>
    </row>
    <row r="15466" spans="1:9">
      <c r="A15466" s="126"/>
      <c r="B15466" s="126"/>
      <c r="C15466" s="126"/>
      <c r="D15466" s="126"/>
      <c r="E15466" s="126"/>
      <c r="F15466" s="126"/>
      <c r="G15466" s="126"/>
      <c r="H15466" s="126"/>
      <c r="I15466" s="126"/>
    </row>
    <row r="15467" spans="1:9">
      <c r="A15467" s="126"/>
      <c r="B15467" s="126"/>
      <c r="C15467" s="126"/>
      <c r="D15467" s="126"/>
      <c r="E15467" s="126"/>
      <c r="F15467" s="126"/>
      <c r="G15467" s="126"/>
      <c r="H15467" s="126"/>
      <c r="I15467" s="126"/>
    </row>
    <row r="15468" spans="1:9">
      <c r="A15468" s="126"/>
      <c r="B15468" s="126"/>
      <c r="C15468" s="126"/>
      <c r="D15468" s="126"/>
      <c r="E15468" s="126"/>
      <c r="F15468" s="126"/>
      <c r="G15468" s="126"/>
      <c r="H15468" s="126"/>
      <c r="I15468" s="126"/>
    </row>
    <row r="15469" spans="1:9">
      <c r="A15469" s="126"/>
      <c r="B15469" s="126"/>
      <c r="C15469" s="126"/>
      <c r="D15469" s="126"/>
      <c r="E15469" s="126"/>
      <c r="F15469" s="126"/>
      <c r="G15469" s="126"/>
      <c r="H15469" s="126"/>
      <c r="I15469" s="126"/>
    </row>
    <row r="15470" spans="1:9">
      <c r="A15470" s="126"/>
      <c r="B15470" s="126"/>
      <c r="C15470" s="126"/>
      <c r="D15470" s="126"/>
      <c r="E15470" s="126"/>
      <c r="F15470" s="126"/>
      <c r="G15470" s="126"/>
      <c r="H15470" s="126"/>
      <c r="I15470" s="126"/>
    </row>
    <row r="15471" spans="1:9">
      <c r="A15471" s="126"/>
      <c r="B15471" s="126"/>
      <c r="C15471" s="126"/>
      <c r="D15471" s="126"/>
      <c r="E15471" s="126"/>
      <c r="F15471" s="126"/>
      <c r="G15471" s="126"/>
      <c r="H15471" s="126"/>
      <c r="I15471" s="126"/>
    </row>
    <row r="15472" spans="1:9">
      <c r="A15472" s="126"/>
      <c r="B15472" s="126"/>
      <c r="C15472" s="126"/>
      <c r="D15472" s="126"/>
      <c r="E15472" s="126"/>
      <c r="F15472" s="126"/>
      <c r="G15472" s="126"/>
      <c r="H15472" s="126"/>
      <c r="I15472" s="126"/>
    </row>
    <row r="15473" spans="1:9">
      <c r="A15473" s="126"/>
      <c r="B15473" s="126"/>
      <c r="C15473" s="126"/>
      <c r="D15473" s="126"/>
      <c r="E15473" s="126"/>
      <c r="F15473" s="126"/>
      <c r="G15473" s="126"/>
      <c r="H15473" s="126"/>
      <c r="I15473" s="126"/>
    </row>
    <row r="15474" spans="1:9">
      <c r="A15474" s="126"/>
      <c r="B15474" s="126"/>
      <c r="C15474" s="126"/>
      <c r="D15474" s="126"/>
      <c r="E15474" s="126"/>
      <c r="F15474" s="126"/>
      <c r="G15474" s="126"/>
      <c r="H15474" s="126"/>
      <c r="I15474" s="126"/>
    </row>
    <row r="15475" spans="1:9">
      <c r="A15475" s="126"/>
      <c r="B15475" s="126"/>
      <c r="C15475" s="126"/>
      <c r="D15475" s="126"/>
      <c r="E15475" s="126"/>
      <c r="F15475" s="126"/>
      <c r="G15475" s="126"/>
      <c r="H15475" s="126"/>
      <c r="I15475" s="126"/>
    </row>
    <row r="15476" spans="1:9">
      <c r="A15476" s="126"/>
      <c r="B15476" s="126"/>
      <c r="C15476" s="126"/>
      <c r="D15476" s="126"/>
      <c r="E15476" s="126"/>
      <c r="F15476" s="126"/>
      <c r="G15476" s="126"/>
      <c r="H15476" s="126"/>
      <c r="I15476" s="126"/>
    </row>
    <row r="15477" spans="1:9">
      <c r="A15477" s="126"/>
      <c r="B15477" s="126"/>
      <c r="C15477" s="126"/>
      <c r="D15477" s="126"/>
      <c r="E15477" s="126"/>
      <c r="F15477" s="126"/>
      <c r="G15477" s="126"/>
      <c r="H15477" s="126"/>
      <c r="I15477" s="126"/>
    </row>
    <row r="15478" spans="1:9">
      <c r="A15478" s="126"/>
      <c r="B15478" s="126"/>
      <c r="C15478" s="126"/>
      <c r="D15478" s="126"/>
      <c r="E15478" s="126"/>
      <c r="F15478" s="126"/>
      <c r="G15478" s="126"/>
      <c r="H15478" s="126"/>
      <c r="I15478" s="126"/>
    </row>
    <row r="15479" spans="1:9">
      <c r="A15479" s="126"/>
      <c r="B15479" s="126"/>
      <c r="C15479" s="126"/>
      <c r="D15479" s="126"/>
      <c r="E15479" s="126"/>
      <c r="F15479" s="126"/>
      <c r="G15479" s="126"/>
      <c r="H15479" s="126"/>
      <c r="I15479" s="126"/>
    </row>
    <row r="15480" spans="1:9">
      <c r="A15480" s="126"/>
      <c r="B15480" s="126"/>
      <c r="C15480" s="126"/>
      <c r="D15480" s="126"/>
      <c r="E15480" s="126"/>
      <c r="F15480" s="126"/>
      <c r="G15480" s="126"/>
      <c r="H15480" s="126"/>
      <c r="I15480" s="126"/>
    </row>
    <row r="15481" spans="1:9">
      <c r="A15481" s="126"/>
      <c r="B15481" s="126"/>
      <c r="C15481" s="126"/>
      <c r="D15481" s="126"/>
      <c r="E15481" s="126"/>
      <c r="F15481" s="126"/>
      <c r="G15481" s="126"/>
      <c r="H15481" s="126"/>
      <c r="I15481" s="126"/>
    </row>
    <row r="15482" spans="1:9">
      <c r="A15482" s="126"/>
      <c r="B15482" s="126"/>
      <c r="C15482" s="126"/>
      <c r="D15482" s="126"/>
      <c r="E15482" s="126"/>
      <c r="F15482" s="126"/>
      <c r="G15482" s="126"/>
      <c r="H15482" s="126"/>
      <c r="I15482" s="126"/>
    </row>
    <row r="15483" spans="1:9">
      <c r="A15483" s="126"/>
      <c r="B15483" s="126"/>
      <c r="C15483" s="126"/>
      <c r="D15483" s="126"/>
      <c r="E15483" s="126"/>
      <c r="F15483" s="126"/>
      <c r="G15483" s="126"/>
      <c r="H15483" s="126"/>
      <c r="I15483" s="126"/>
    </row>
    <row r="15484" spans="1:9">
      <c r="A15484" s="126"/>
      <c r="B15484" s="126"/>
      <c r="C15484" s="126"/>
      <c r="D15484" s="126"/>
      <c r="E15484" s="126"/>
      <c r="F15484" s="126"/>
      <c r="G15484" s="126"/>
      <c r="H15484" s="126"/>
      <c r="I15484" s="126"/>
    </row>
    <row r="15485" spans="1:9">
      <c r="A15485" s="126"/>
      <c r="B15485" s="126"/>
      <c r="C15485" s="126"/>
      <c r="D15485" s="126"/>
      <c r="E15485" s="126"/>
      <c r="F15485" s="126"/>
      <c r="G15485" s="126"/>
      <c r="H15485" s="126"/>
      <c r="I15485" s="126"/>
    </row>
    <row r="15486" spans="1:9">
      <c r="A15486" s="126"/>
      <c r="B15486" s="126"/>
      <c r="C15486" s="126"/>
      <c r="D15486" s="126"/>
      <c r="E15486" s="126"/>
      <c r="F15486" s="126"/>
      <c r="G15486" s="126"/>
      <c r="H15486" s="126"/>
      <c r="I15486" s="126"/>
    </row>
    <row r="15487" spans="1:9">
      <c r="A15487" s="126"/>
      <c r="B15487" s="126"/>
      <c r="C15487" s="126"/>
      <c r="D15487" s="126"/>
      <c r="E15487" s="126"/>
      <c r="F15487" s="126"/>
      <c r="G15487" s="126"/>
      <c r="H15487" s="126"/>
      <c r="I15487" s="126"/>
    </row>
    <row r="15488" spans="1:9">
      <c r="A15488" s="126"/>
      <c r="B15488" s="126"/>
      <c r="C15488" s="126"/>
      <c r="D15488" s="126"/>
      <c r="E15488" s="126"/>
      <c r="F15488" s="126"/>
      <c r="G15488" s="126"/>
      <c r="H15488" s="126"/>
      <c r="I15488" s="126"/>
    </row>
    <row r="15489" spans="1:9">
      <c r="A15489" s="126"/>
      <c r="B15489" s="126"/>
      <c r="C15489" s="126"/>
      <c r="D15489" s="126"/>
      <c r="E15489" s="126"/>
      <c r="F15489" s="126"/>
      <c r="G15489" s="126"/>
      <c r="H15489" s="126"/>
      <c r="I15489" s="126"/>
    </row>
    <row r="15490" spans="1:9">
      <c r="A15490" s="126"/>
      <c r="B15490" s="126"/>
      <c r="C15490" s="126"/>
      <c r="D15490" s="126"/>
      <c r="E15490" s="126"/>
      <c r="F15490" s="126"/>
      <c r="G15490" s="126"/>
      <c r="H15490" s="126"/>
      <c r="I15490" s="126"/>
    </row>
    <row r="15491" spans="1:9">
      <c r="A15491" s="126"/>
      <c r="B15491" s="126"/>
      <c r="C15491" s="126"/>
      <c r="D15491" s="126"/>
      <c r="E15491" s="126"/>
      <c r="F15491" s="126"/>
      <c r="G15491" s="126"/>
      <c r="H15491" s="126"/>
      <c r="I15491" s="126"/>
    </row>
    <row r="15492" spans="1:9">
      <c r="A15492" s="126"/>
      <c r="B15492" s="126"/>
      <c r="C15492" s="126"/>
      <c r="D15492" s="126"/>
      <c r="E15492" s="126"/>
      <c r="F15492" s="126"/>
      <c r="G15492" s="126"/>
      <c r="H15492" s="126"/>
      <c r="I15492" s="126"/>
    </row>
    <row r="15493" spans="1:9">
      <c r="A15493" s="126"/>
      <c r="B15493" s="126"/>
      <c r="C15493" s="126"/>
      <c r="D15493" s="126"/>
      <c r="E15493" s="126"/>
      <c r="F15493" s="126"/>
      <c r="G15493" s="126"/>
      <c r="H15493" s="126"/>
      <c r="I15493" s="126"/>
    </row>
    <row r="15494" spans="1:9">
      <c r="A15494" s="126"/>
      <c r="B15494" s="126"/>
      <c r="C15494" s="126"/>
      <c r="D15494" s="126"/>
      <c r="E15494" s="126"/>
      <c r="F15494" s="126"/>
      <c r="G15494" s="126"/>
      <c r="H15494" s="126"/>
      <c r="I15494" s="126"/>
    </row>
    <row r="15495" spans="1:9">
      <c r="A15495" s="126"/>
      <c r="B15495" s="126"/>
      <c r="C15495" s="126"/>
      <c r="D15495" s="126"/>
      <c r="E15495" s="126"/>
      <c r="F15495" s="126"/>
      <c r="G15495" s="126"/>
      <c r="H15495" s="126"/>
      <c r="I15495" s="126"/>
    </row>
    <row r="15496" spans="1:9">
      <c r="A15496" s="126"/>
      <c r="B15496" s="126"/>
      <c r="C15496" s="126"/>
      <c r="D15496" s="126"/>
      <c r="E15496" s="126"/>
      <c r="F15496" s="126"/>
      <c r="G15496" s="126"/>
      <c r="H15496" s="126"/>
      <c r="I15496" s="126"/>
    </row>
    <row r="15497" spans="1:9">
      <c r="A15497" s="126"/>
      <c r="B15497" s="126"/>
      <c r="C15497" s="126"/>
      <c r="D15497" s="126"/>
      <c r="E15497" s="126"/>
      <c r="F15497" s="126"/>
      <c r="G15497" s="126"/>
      <c r="H15497" s="126"/>
      <c r="I15497" s="126"/>
    </row>
    <row r="15498" spans="1:9">
      <c r="A15498" s="126"/>
      <c r="B15498" s="126"/>
      <c r="C15498" s="126"/>
      <c r="D15498" s="126"/>
      <c r="E15498" s="126"/>
      <c r="F15498" s="126"/>
      <c r="G15498" s="126"/>
      <c r="H15498" s="126"/>
      <c r="I15498" s="126"/>
    </row>
    <row r="15499" spans="1:9">
      <c r="A15499" s="126"/>
      <c r="B15499" s="126"/>
      <c r="C15499" s="126"/>
      <c r="D15499" s="126"/>
      <c r="E15499" s="126"/>
      <c r="F15499" s="126"/>
      <c r="G15499" s="126"/>
      <c r="H15499" s="126"/>
      <c r="I15499" s="126"/>
    </row>
    <row r="15500" spans="1:9">
      <c r="A15500" s="126"/>
      <c r="B15500" s="126"/>
      <c r="C15500" s="126"/>
      <c r="D15500" s="126"/>
      <c r="E15500" s="126"/>
      <c r="F15500" s="126"/>
      <c r="G15500" s="126"/>
      <c r="H15500" s="126"/>
      <c r="I15500" s="126"/>
    </row>
    <row r="15501" spans="1:9">
      <c r="A15501" s="126"/>
      <c r="B15501" s="126"/>
      <c r="C15501" s="126"/>
      <c r="D15501" s="126"/>
      <c r="E15501" s="126"/>
      <c r="F15501" s="126"/>
      <c r="G15501" s="126"/>
      <c r="H15501" s="126"/>
      <c r="I15501" s="126"/>
    </row>
    <row r="15502" spans="1:9">
      <c r="A15502" s="126"/>
      <c r="B15502" s="126"/>
      <c r="C15502" s="126"/>
      <c r="D15502" s="126"/>
      <c r="E15502" s="126"/>
      <c r="F15502" s="126"/>
      <c r="G15502" s="126"/>
      <c r="H15502" s="126"/>
      <c r="I15502" s="126"/>
    </row>
    <row r="15503" spans="1:9">
      <c r="A15503" s="126"/>
      <c r="B15503" s="126"/>
      <c r="C15503" s="126"/>
      <c r="D15503" s="126"/>
      <c r="E15503" s="126"/>
      <c r="F15503" s="126"/>
      <c r="G15503" s="126"/>
      <c r="H15503" s="126"/>
      <c r="I15503" s="126"/>
    </row>
    <row r="15504" spans="1:9">
      <c r="A15504" s="126"/>
      <c r="B15504" s="126"/>
      <c r="C15504" s="126"/>
      <c r="D15504" s="126"/>
      <c r="E15504" s="126"/>
      <c r="F15504" s="126"/>
      <c r="G15504" s="126"/>
      <c r="H15504" s="126"/>
      <c r="I15504" s="126"/>
    </row>
    <row r="15505" spans="1:9">
      <c r="A15505" s="126"/>
      <c r="B15505" s="126"/>
      <c r="C15505" s="126"/>
      <c r="D15505" s="126"/>
      <c r="E15505" s="126"/>
      <c r="F15505" s="126"/>
      <c r="G15505" s="126"/>
      <c r="H15505" s="126"/>
      <c r="I15505" s="126"/>
    </row>
    <row r="15506" spans="1:9">
      <c r="A15506" s="126"/>
      <c r="B15506" s="126"/>
      <c r="C15506" s="126"/>
      <c r="D15506" s="126"/>
      <c r="E15506" s="126"/>
      <c r="F15506" s="126"/>
      <c r="G15506" s="126"/>
      <c r="H15506" s="126"/>
      <c r="I15506" s="126"/>
    </row>
    <row r="15507" spans="1:9">
      <c r="A15507" s="126"/>
      <c r="B15507" s="126"/>
      <c r="C15507" s="126"/>
      <c r="D15507" s="126"/>
      <c r="E15507" s="126"/>
      <c r="F15507" s="126"/>
      <c r="G15507" s="126"/>
      <c r="H15507" s="126"/>
      <c r="I15507" s="126"/>
    </row>
    <row r="15508" spans="1:9">
      <c r="A15508" s="126"/>
      <c r="B15508" s="126"/>
      <c r="C15508" s="126"/>
      <c r="D15508" s="126"/>
      <c r="E15508" s="126"/>
      <c r="F15508" s="126"/>
      <c r="G15508" s="126"/>
      <c r="H15508" s="126"/>
      <c r="I15508" s="126"/>
    </row>
    <row r="15509" spans="1:9">
      <c r="A15509" s="126"/>
      <c r="B15509" s="126"/>
      <c r="C15509" s="126"/>
      <c r="D15509" s="126"/>
      <c r="E15509" s="126"/>
      <c r="F15509" s="126"/>
      <c r="G15509" s="126"/>
      <c r="H15509" s="126"/>
      <c r="I15509" s="126"/>
    </row>
    <row r="15510" spans="1:9">
      <c r="A15510" s="126"/>
      <c r="B15510" s="126"/>
      <c r="C15510" s="126"/>
      <c r="D15510" s="126"/>
      <c r="E15510" s="126"/>
      <c r="F15510" s="126"/>
      <c r="G15510" s="126"/>
      <c r="H15510" s="126"/>
      <c r="I15510" s="126"/>
    </row>
    <row r="15511" spans="1:9">
      <c r="A15511" s="126"/>
      <c r="B15511" s="126"/>
      <c r="C15511" s="126"/>
      <c r="D15511" s="126"/>
      <c r="E15511" s="126"/>
      <c r="F15511" s="126"/>
      <c r="G15511" s="126"/>
      <c r="H15511" s="126"/>
      <c r="I15511" s="126"/>
    </row>
    <row r="15512" spans="1:9">
      <c r="A15512" s="126"/>
      <c r="B15512" s="126"/>
      <c r="C15512" s="126"/>
      <c r="D15512" s="126"/>
      <c r="E15512" s="126"/>
      <c r="F15512" s="126"/>
      <c r="G15512" s="126"/>
      <c r="H15512" s="126"/>
      <c r="I15512" s="126"/>
    </row>
    <row r="15513" spans="1:9">
      <c r="A15513" s="126"/>
      <c r="B15513" s="126"/>
      <c r="C15513" s="126"/>
      <c r="D15513" s="126"/>
      <c r="E15513" s="126"/>
      <c r="F15513" s="126"/>
      <c r="G15513" s="126"/>
      <c r="H15513" s="126"/>
      <c r="I15513" s="126"/>
    </row>
    <row r="15514" spans="1:9">
      <c r="A15514" s="126"/>
      <c r="B15514" s="126"/>
      <c r="C15514" s="126"/>
      <c r="D15514" s="126"/>
      <c r="E15514" s="126"/>
      <c r="F15514" s="126"/>
      <c r="G15514" s="126"/>
      <c r="H15514" s="126"/>
      <c r="I15514" s="126"/>
    </row>
    <row r="15515" spans="1:9">
      <c r="A15515" s="126"/>
      <c r="B15515" s="126"/>
      <c r="C15515" s="126"/>
      <c r="D15515" s="126"/>
      <c r="E15515" s="126"/>
      <c r="F15515" s="126"/>
      <c r="G15515" s="126"/>
      <c r="H15515" s="126"/>
      <c r="I15515" s="126"/>
    </row>
    <row r="15516" spans="1:9">
      <c r="A15516" s="126"/>
      <c r="B15516" s="126"/>
      <c r="C15516" s="126"/>
      <c r="D15516" s="126"/>
      <c r="E15516" s="126"/>
      <c r="F15516" s="126"/>
      <c r="G15516" s="126"/>
      <c r="H15516" s="126"/>
      <c r="I15516" s="126"/>
    </row>
    <row r="15517" spans="1:9">
      <c r="A15517" s="126"/>
      <c r="B15517" s="126"/>
      <c r="C15517" s="126"/>
      <c r="D15517" s="126"/>
      <c r="E15517" s="126"/>
      <c r="F15517" s="126"/>
      <c r="G15517" s="126"/>
      <c r="H15517" s="126"/>
      <c r="I15517" s="126"/>
    </row>
    <row r="15518" spans="1:9">
      <c r="A15518" s="126"/>
      <c r="B15518" s="126"/>
      <c r="C15518" s="126"/>
      <c r="D15518" s="126"/>
      <c r="E15518" s="126"/>
      <c r="F15518" s="126"/>
      <c r="G15518" s="126"/>
      <c r="H15518" s="126"/>
      <c r="I15518" s="126"/>
    </row>
    <row r="15519" spans="1:9">
      <c r="A15519" s="126"/>
      <c r="B15519" s="126"/>
      <c r="C15519" s="126"/>
      <c r="D15519" s="126"/>
      <c r="E15519" s="126"/>
      <c r="F15519" s="126"/>
      <c r="G15519" s="126"/>
      <c r="H15519" s="126"/>
      <c r="I15519" s="126"/>
    </row>
    <row r="15520" spans="1:9">
      <c r="A15520" s="126"/>
      <c r="B15520" s="126"/>
      <c r="C15520" s="126"/>
      <c r="D15520" s="126"/>
      <c r="E15520" s="126"/>
      <c r="F15520" s="126"/>
      <c r="G15520" s="126"/>
      <c r="H15520" s="126"/>
      <c r="I15520" s="126"/>
    </row>
    <row r="15521" spans="1:9">
      <c r="A15521" s="126"/>
      <c r="B15521" s="126"/>
      <c r="C15521" s="126"/>
      <c r="D15521" s="126"/>
      <c r="E15521" s="126"/>
      <c r="F15521" s="126"/>
      <c r="G15521" s="126"/>
      <c r="H15521" s="126"/>
      <c r="I15521" s="126"/>
    </row>
    <row r="15522" spans="1:9">
      <c r="A15522" s="126"/>
      <c r="B15522" s="126"/>
      <c r="C15522" s="126"/>
      <c r="D15522" s="126"/>
      <c r="E15522" s="126"/>
      <c r="F15522" s="126"/>
      <c r="G15522" s="126"/>
      <c r="H15522" s="126"/>
      <c r="I15522" s="126"/>
    </row>
    <row r="15523" spans="1:9">
      <c r="A15523" s="126"/>
      <c r="B15523" s="126"/>
      <c r="C15523" s="126"/>
      <c r="D15523" s="126"/>
      <c r="E15523" s="126"/>
      <c r="F15523" s="126"/>
      <c r="G15523" s="126"/>
      <c r="H15523" s="126"/>
      <c r="I15523" s="126"/>
    </row>
    <row r="15524" spans="1:9">
      <c r="A15524" s="126"/>
      <c r="B15524" s="126"/>
      <c r="C15524" s="126"/>
      <c r="D15524" s="126"/>
      <c r="E15524" s="126"/>
      <c r="F15524" s="126"/>
      <c r="G15524" s="126"/>
      <c r="H15524" s="126"/>
      <c r="I15524" s="126"/>
    </row>
    <row r="15525" spans="1:9">
      <c r="A15525" s="126"/>
      <c r="B15525" s="126"/>
      <c r="C15525" s="126"/>
      <c r="D15525" s="126"/>
      <c r="E15525" s="126"/>
      <c r="F15525" s="126"/>
      <c r="G15525" s="126"/>
      <c r="H15525" s="126"/>
      <c r="I15525" s="126"/>
    </row>
    <row r="15526" spans="1:9">
      <c r="A15526" s="126"/>
      <c r="B15526" s="126"/>
      <c r="C15526" s="126"/>
      <c r="D15526" s="126"/>
      <c r="E15526" s="126"/>
      <c r="F15526" s="126"/>
      <c r="G15526" s="126"/>
      <c r="H15526" s="126"/>
      <c r="I15526" s="126"/>
    </row>
    <row r="15527" spans="1:9">
      <c r="A15527" s="126"/>
      <c r="B15527" s="126"/>
      <c r="C15527" s="126"/>
      <c r="D15527" s="126"/>
      <c r="E15527" s="126"/>
      <c r="F15527" s="126"/>
      <c r="G15527" s="126"/>
      <c r="H15527" s="126"/>
      <c r="I15527" s="126"/>
    </row>
    <row r="15528" spans="1:9">
      <c r="A15528" s="126"/>
      <c r="B15528" s="126"/>
      <c r="C15528" s="126"/>
      <c r="D15528" s="126"/>
      <c r="E15528" s="126"/>
      <c r="F15528" s="126"/>
      <c r="G15528" s="126"/>
      <c r="H15528" s="126"/>
      <c r="I15528" s="126"/>
    </row>
    <row r="15529" spans="1:9">
      <c r="A15529" s="126"/>
      <c r="B15529" s="126"/>
      <c r="C15529" s="126"/>
      <c r="D15529" s="126"/>
      <c r="E15529" s="126"/>
      <c r="F15529" s="126"/>
      <c r="G15529" s="126"/>
      <c r="H15529" s="126"/>
      <c r="I15529" s="126"/>
    </row>
    <row r="15530" spans="1:9">
      <c r="A15530" s="126"/>
      <c r="B15530" s="126"/>
      <c r="C15530" s="126"/>
      <c r="D15530" s="126"/>
      <c r="E15530" s="126"/>
      <c r="F15530" s="126"/>
      <c r="G15530" s="126"/>
      <c r="H15530" s="126"/>
      <c r="I15530" s="126"/>
    </row>
    <row r="15531" spans="1:9">
      <c r="A15531" s="126"/>
      <c r="B15531" s="126"/>
      <c r="C15531" s="126"/>
      <c r="D15531" s="126"/>
      <c r="E15531" s="126"/>
      <c r="F15531" s="126"/>
      <c r="G15531" s="126"/>
      <c r="H15531" s="126"/>
      <c r="I15531" s="126"/>
    </row>
    <row r="15532" spans="1:9">
      <c r="A15532" s="126"/>
      <c r="B15532" s="126"/>
      <c r="C15532" s="126"/>
      <c r="D15532" s="126"/>
      <c r="E15532" s="126"/>
      <c r="F15532" s="126"/>
      <c r="G15532" s="126"/>
      <c r="H15532" s="126"/>
      <c r="I15532" s="126"/>
    </row>
    <row r="15533" spans="1:9">
      <c r="A15533" s="126"/>
      <c r="B15533" s="126"/>
      <c r="C15533" s="126"/>
      <c r="D15533" s="126"/>
      <c r="E15533" s="126"/>
      <c r="F15533" s="126"/>
      <c r="G15533" s="126"/>
      <c r="H15533" s="126"/>
      <c r="I15533" s="126"/>
    </row>
    <row r="15534" spans="1:9">
      <c r="A15534" s="126"/>
      <c r="B15534" s="126"/>
      <c r="C15534" s="126"/>
      <c r="D15534" s="126"/>
      <c r="E15534" s="126"/>
      <c r="F15534" s="126"/>
      <c r="G15534" s="126"/>
      <c r="H15534" s="126"/>
      <c r="I15534" s="126"/>
    </row>
    <row r="15535" spans="1:9">
      <c r="A15535" s="126"/>
      <c r="B15535" s="126"/>
      <c r="C15535" s="126"/>
      <c r="D15535" s="126"/>
      <c r="E15535" s="126"/>
      <c r="F15535" s="126"/>
      <c r="G15535" s="126"/>
      <c r="H15535" s="126"/>
      <c r="I15535" s="126"/>
    </row>
    <row r="15536" spans="1:9">
      <c r="A15536" s="126"/>
      <c r="B15536" s="126"/>
      <c r="C15536" s="126"/>
      <c r="D15536" s="126"/>
      <c r="E15536" s="126"/>
      <c r="F15536" s="126"/>
      <c r="G15536" s="126"/>
      <c r="H15536" s="126"/>
      <c r="I15536" s="126"/>
    </row>
    <row r="15537" spans="1:9">
      <c r="A15537" s="126"/>
      <c r="B15537" s="126"/>
      <c r="C15537" s="126"/>
      <c r="D15537" s="126"/>
      <c r="E15537" s="126"/>
      <c r="F15537" s="126"/>
      <c r="G15537" s="126"/>
      <c r="H15537" s="126"/>
      <c r="I15537" s="126"/>
    </row>
    <row r="15538" spans="1:9">
      <c r="A15538" s="126"/>
      <c r="B15538" s="126"/>
      <c r="C15538" s="126"/>
      <c r="D15538" s="126"/>
      <c r="E15538" s="126"/>
      <c r="F15538" s="126"/>
      <c r="G15538" s="126"/>
      <c r="H15538" s="126"/>
      <c r="I15538" s="126"/>
    </row>
    <row r="15539" spans="1:9">
      <c r="A15539" s="126"/>
      <c r="B15539" s="126"/>
      <c r="C15539" s="126"/>
      <c r="D15539" s="126"/>
      <c r="E15539" s="126"/>
      <c r="F15539" s="126"/>
      <c r="G15539" s="126"/>
      <c r="H15539" s="126"/>
      <c r="I15539" s="126"/>
    </row>
    <row r="15540" spans="1:9">
      <c r="A15540" s="126"/>
      <c r="B15540" s="126"/>
      <c r="C15540" s="126"/>
      <c r="D15540" s="126"/>
      <c r="E15540" s="126"/>
      <c r="F15540" s="126"/>
      <c r="G15540" s="126"/>
      <c r="H15540" s="126"/>
      <c r="I15540" s="126"/>
    </row>
    <row r="15541" spans="1:9">
      <c r="A15541" s="126"/>
      <c r="B15541" s="126"/>
      <c r="C15541" s="126"/>
      <c r="D15541" s="126"/>
      <c r="E15541" s="126"/>
      <c r="F15541" s="126"/>
      <c r="G15541" s="126"/>
      <c r="H15541" s="126"/>
      <c r="I15541" s="126"/>
    </row>
    <row r="15542" spans="1:9">
      <c r="A15542" s="126"/>
      <c r="B15542" s="126"/>
      <c r="C15542" s="126"/>
      <c r="D15542" s="126"/>
      <c r="E15542" s="126"/>
      <c r="F15542" s="126"/>
      <c r="G15542" s="126"/>
      <c r="H15542" s="126"/>
      <c r="I15542" s="126"/>
    </row>
    <row r="15543" spans="1:9">
      <c r="A15543" s="126"/>
      <c r="B15543" s="126"/>
      <c r="C15543" s="126"/>
      <c r="D15543" s="126"/>
      <c r="E15543" s="126"/>
      <c r="F15543" s="126"/>
      <c r="G15543" s="126"/>
      <c r="H15543" s="126"/>
      <c r="I15543" s="126"/>
    </row>
    <row r="15544" spans="1:9">
      <c r="A15544" s="126"/>
      <c r="B15544" s="126"/>
      <c r="C15544" s="126"/>
      <c r="D15544" s="126"/>
      <c r="E15544" s="126"/>
      <c r="F15544" s="126"/>
      <c r="G15544" s="126"/>
      <c r="H15544" s="126"/>
      <c r="I15544" s="126"/>
    </row>
    <row r="15545" spans="1:9">
      <c r="A15545" s="126"/>
      <c r="B15545" s="126"/>
      <c r="C15545" s="126"/>
      <c r="D15545" s="126"/>
      <c r="E15545" s="126"/>
      <c r="F15545" s="126"/>
      <c r="G15545" s="126"/>
      <c r="H15545" s="126"/>
      <c r="I15545" s="126"/>
    </row>
    <row r="15546" spans="1:9">
      <c r="A15546" s="126"/>
      <c r="B15546" s="126"/>
      <c r="C15546" s="126"/>
      <c r="D15546" s="126"/>
      <c r="E15546" s="126"/>
      <c r="F15546" s="126"/>
      <c r="G15546" s="126"/>
      <c r="H15546" s="126"/>
      <c r="I15546" s="126"/>
    </row>
    <row r="15547" spans="1:9">
      <c r="A15547" s="126"/>
      <c r="B15547" s="126"/>
      <c r="C15547" s="126"/>
      <c r="D15547" s="126"/>
      <c r="E15547" s="126"/>
      <c r="F15547" s="126"/>
      <c r="G15547" s="126"/>
      <c r="H15547" s="126"/>
      <c r="I15547" s="126"/>
    </row>
    <row r="15548" spans="1:9">
      <c r="A15548" s="126"/>
      <c r="B15548" s="126"/>
      <c r="C15548" s="126"/>
      <c r="D15548" s="126"/>
      <c r="E15548" s="126"/>
      <c r="F15548" s="126"/>
      <c r="G15548" s="126"/>
      <c r="H15548" s="126"/>
      <c r="I15548" s="126"/>
    </row>
    <row r="15549" spans="1:9">
      <c r="A15549" s="126"/>
      <c r="B15549" s="126"/>
      <c r="C15549" s="126"/>
      <c r="D15549" s="126"/>
      <c r="E15549" s="126"/>
      <c r="F15549" s="126"/>
      <c r="G15549" s="126"/>
      <c r="H15549" s="126"/>
      <c r="I15549" s="126"/>
    </row>
    <row r="15550" spans="1:9">
      <c r="A15550" s="126"/>
      <c r="B15550" s="126"/>
      <c r="C15550" s="126"/>
      <c r="D15550" s="126"/>
      <c r="E15550" s="126"/>
      <c r="F15550" s="126"/>
      <c r="G15550" s="126"/>
      <c r="H15550" s="126"/>
      <c r="I15550" s="126"/>
    </row>
    <row r="15551" spans="1:9">
      <c r="A15551" s="126"/>
      <c r="B15551" s="126"/>
      <c r="C15551" s="126"/>
      <c r="D15551" s="126"/>
      <c r="E15551" s="126"/>
      <c r="F15551" s="126"/>
      <c r="G15551" s="126"/>
      <c r="H15551" s="126"/>
      <c r="I15551" s="126"/>
    </row>
    <row r="15552" spans="1:9">
      <c r="A15552" s="126"/>
      <c r="B15552" s="126"/>
      <c r="C15552" s="126"/>
      <c r="D15552" s="126"/>
      <c r="E15552" s="126"/>
      <c r="F15552" s="126"/>
      <c r="G15552" s="126"/>
      <c r="H15552" s="126"/>
      <c r="I15552" s="126"/>
    </row>
    <row r="15553" spans="1:9">
      <c r="A15553" s="126"/>
      <c r="B15553" s="126"/>
      <c r="C15553" s="126"/>
      <c r="D15553" s="126"/>
      <c r="E15553" s="126"/>
      <c r="F15553" s="126"/>
      <c r="G15553" s="126"/>
      <c r="H15553" s="126"/>
      <c r="I15553" s="126"/>
    </row>
    <row r="15554" spans="1:9">
      <c r="A15554" s="126"/>
      <c r="B15554" s="126"/>
      <c r="C15554" s="126"/>
      <c r="D15554" s="126"/>
      <c r="E15554" s="126"/>
      <c r="F15554" s="126"/>
      <c r="G15554" s="126"/>
      <c r="H15554" s="126"/>
      <c r="I15554" s="126"/>
    </row>
    <row r="15555" spans="1:9">
      <c r="A15555" s="126"/>
      <c r="B15555" s="126"/>
      <c r="C15555" s="126"/>
      <c r="D15555" s="126"/>
      <c r="E15555" s="126"/>
      <c r="F15555" s="126"/>
      <c r="G15555" s="126"/>
      <c r="H15555" s="126"/>
      <c r="I15555" s="126"/>
    </row>
    <row r="15556" spans="1:9">
      <c r="A15556" s="126"/>
      <c r="B15556" s="126"/>
      <c r="C15556" s="126"/>
      <c r="D15556" s="126"/>
      <c r="E15556" s="126"/>
      <c r="F15556" s="126"/>
      <c r="G15556" s="126"/>
      <c r="H15556" s="126"/>
      <c r="I15556" s="126"/>
    </row>
    <row r="15557" spans="1:9">
      <c r="A15557" s="126"/>
      <c r="B15557" s="126"/>
      <c r="C15557" s="126"/>
      <c r="D15557" s="126"/>
      <c r="E15557" s="126"/>
      <c r="F15557" s="126"/>
      <c r="G15557" s="126"/>
      <c r="H15557" s="126"/>
      <c r="I15557" s="126"/>
    </row>
    <row r="15558" spans="1:9">
      <c r="A15558" s="126"/>
      <c r="B15558" s="126"/>
      <c r="C15558" s="126"/>
      <c r="D15558" s="126"/>
      <c r="E15558" s="126"/>
      <c r="F15558" s="126"/>
      <c r="G15558" s="126"/>
      <c r="H15558" s="126"/>
      <c r="I15558" s="126"/>
    </row>
    <row r="15559" spans="1:9">
      <c r="A15559" s="126"/>
      <c r="B15559" s="126"/>
      <c r="C15559" s="126"/>
      <c r="D15559" s="126"/>
      <c r="E15559" s="126"/>
      <c r="F15559" s="126"/>
      <c r="G15559" s="126"/>
      <c r="H15559" s="126"/>
      <c r="I15559" s="126"/>
    </row>
    <row r="15560" spans="1:9">
      <c r="A15560" s="126"/>
      <c r="B15560" s="126"/>
      <c r="C15560" s="126"/>
      <c r="D15560" s="126"/>
      <c r="E15560" s="126"/>
      <c r="F15560" s="126"/>
      <c r="G15560" s="126"/>
      <c r="H15560" s="126"/>
      <c r="I15560" s="126"/>
    </row>
    <row r="15561" spans="1:9">
      <c r="A15561" s="126"/>
      <c r="B15561" s="126"/>
      <c r="C15561" s="126"/>
      <c r="D15561" s="126"/>
      <c r="E15561" s="126"/>
      <c r="F15561" s="126"/>
      <c r="G15561" s="126"/>
      <c r="H15561" s="126"/>
      <c r="I15561" s="126"/>
    </row>
    <row r="15562" spans="1:9">
      <c r="A15562" s="126"/>
      <c r="B15562" s="126"/>
      <c r="C15562" s="126"/>
      <c r="D15562" s="126"/>
      <c r="E15562" s="126"/>
      <c r="F15562" s="126"/>
      <c r="G15562" s="126"/>
      <c r="H15562" s="126"/>
      <c r="I15562" s="126"/>
    </row>
    <row r="15563" spans="1:9">
      <c r="A15563" s="126"/>
      <c r="B15563" s="126"/>
      <c r="C15563" s="126"/>
      <c r="D15563" s="126"/>
      <c r="E15563" s="126"/>
      <c r="F15563" s="126"/>
      <c r="G15563" s="126"/>
      <c r="H15563" s="126"/>
      <c r="I15563" s="126"/>
    </row>
    <row r="15564" spans="1:9">
      <c r="A15564" s="126"/>
      <c r="B15564" s="126"/>
      <c r="C15564" s="126"/>
      <c r="D15564" s="126"/>
      <c r="E15564" s="126"/>
      <c r="F15564" s="126"/>
      <c r="G15564" s="126"/>
      <c r="H15564" s="126"/>
      <c r="I15564" s="126"/>
    </row>
    <row r="15565" spans="1:9">
      <c r="A15565" s="126"/>
      <c r="B15565" s="126"/>
      <c r="C15565" s="126"/>
      <c r="D15565" s="126"/>
      <c r="E15565" s="126"/>
      <c r="F15565" s="126"/>
      <c r="G15565" s="126"/>
      <c r="H15565" s="126"/>
      <c r="I15565" s="126"/>
    </row>
    <row r="15566" spans="1:9">
      <c r="A15566" s="126"/>
      <c r="B15566" s="126"/>
      <c r="C15566" s="126"/>
      <c r="D15566" s="126"/>
      <c r="E15566" s="126"/>
      <c r="F15566" s="126"/>
      <c r="G15566" s="126"/>
      <c r="H15566" s="126"/>
      <c r="I15566" s="126"/>
    </row>
    <row r="15567" spans="1:9">
      <c r="A15567" s="126"/>
      <c r="B15567" s="126"/>
      <c r="C15567" s="126"/>
      <c r="D15567" s="126"/>
      <c r="E15567" s="126"/>
      <c r="F15567" s="126"/>
      <c r="G15567" s="126"/>
      <c r="H15567" s="126"/>
      <c r="I15567" s="126"/>
    </row>
    <row r="15568" spans="1:9">
      <c r="A15568" s="126"/>
      <c r="B15568" s="126"/>
      <c r="C15568" s="126"/>
      <c r="D15568" s="126"/>
      <c r="E15568" s="126"/>
      <c r="F15568" s="126"/>
      <c r="G15568" s="126"/>
      <c r="H15568" s="126"/>
      <c r="I15568" s="126"/>
    </row>
    <row r="15569" spans="1:9">
      <c r="A15569" s="126"/>
      <c r="B15569" s="126"/>
      <c r="C15569" s="126"/>
      <c r="D15569" s="126"/>
      <c r="E15569" s="126"/>
      <c r="F15569" s="126"/>
      <c r="G15569" s="126"/>
      <c r="H15569" s="126"/>
      <c r="I15569" s="126"/>
    </row>
    <row r="15570" spans="1:9">
      <c r="A15570" s="126"/>
      <c r="B15570" s="126"/>
      <c r="C15570" s="126"/>
      <c r="D15570" s="126"/>
      <c r="E15570" s="126"/>
      <c r="F15570" s="126"/>
      <c r="G15570" s="126"/>
      <c r="H15570" s="126"/>
      <c r="I15570" s="126"/>
    </row>
    <row r="15571" spans="1:9">
      <c r="A15571" s="126"/>
      <c r="B15571" s="126"/>
      <c r="C15571" s="126"/>
      <c r="D15571" s="126"/>
      <c r="E15571" s="126"/>
      <c r="F15571" s="126"/>
      <c r="G15571" s="126"/>
      <c r="H15571" s="126"/>
      <c r="I15571" s="126"/>
    </row>
    <row r="15572" spans="1:9">
      <c r="A15572" s="126"/>
      <c r="B15572" s="126"/>
      <c r="C15572" s="126"/>
      <c r="D15572" s="126"/>
      <c r="E15572" s="126"/>
      <c r="F15572" s="126"/>
      <c r="G15572" s="126"/>
      <c r="H15572" s="126"/>
      <c r="I15572" s="126"/>
    </row>
    <row r="15573" spans="1:9">
      <c r="A15573" s="126"/>
      <c r="B15573" s="126"/>
      <c r="C15573" s="126"/>
      <c r="D15573" s="126"/>
      <c r="E15573" s="126"/>
      <c r="F15573" s="126"/>
      <c r="G15573" s="126"/>
      <c r="H15573" s="126"/>
      <c r="I15573" s="126"/>
    </row>
    <row r="15574" spans="1:9">
      <c r="A15574" s="126"/>
      <c r="B15574" s="126"/>
      <c r="C15574" s="126"/>
      <c r="D15574" s="126"/>
      <c r="E15574" s="126"/>
      <c r="F15574" s="126"/>
      <c r="G15574" s="126"/>
      <c r="H15574" s="126"/>
      <c r="I15574" s="126"/>
    </row>
    <row r="15575" spans="1:9">
      <c r="A15575" s="126"/>
      <c r="B15575" s="126"/>
      <c r="C15575" s="126"/>
      <c r="D15575" s="126"/>
      <c r="E15575" s="126"/>
      <c r="F15575" s="126"/>
      <c r="G15575" s="126"/>
      <c r="H15575" s="126"/>
      <c r="I15575" s="126"/>
    </row>
    <row r="15576" spans="1:9">
      <c r="A15576" s="126"/>
      <c r="B15576" s="126"/>
      <c r="C15576" s="126"/>
      <c r="D15576" s="126"/>
      <c r="E15576" s="126"/>
      <c r="F15576" s="126"/>
      <c r="G15576" s="126"/>
      <c r="H15576" s="126"/>
      <c r="I15576" s="126"/>
    </row>
    <row r="15577" spans="1:9">
      <c r="A15577" s="126"/>
      <c r="B15577" s="126"/>
      <c r="C15577" s="126"/>
      <c r="D15577" s="126"/>
      <c r="E15577" s="126"/>
      <c r="F15577" s="126"/>
      <c r="G15577" s="126"/>
      <c r="H15577" s="126"/>
      <c r="I15577" s="126"/>
    </row>
    <row r="15578" spans="1:9">
      <c r="A15578" s="126"/>
      <c r="B15578" s="126"/>
      <c r="C15578" s="126"/>
      <c r="D15578" s="126"/>
      <c r="E15578" s="126"/>
      <c r="F15578" s="126"/>
      <c r="G15578" s="126"/>
      <c r="H15578" s="126"/>
      <c r="I15578" s="126"/>
    </row>
    <row r="15579" spans="1:9">
      <c r="A15579" s="126"/>
      <c r="B15579" s="126"/>
      <c r="C15579" s="126"/>
      <c r="D15579" s="126"/>
      <c r="E15579" s="126"/>
      <c r="F15579" s="126"/>
      <c r="G15579" s="126"/>
      <c r="H15579" s="126"/>
      <c r="I15579" s="126"/>
    </row>
    <row r="15580" spans="1:9">
      <c r="A15580" s="126"/>
      <c r="B15580" s="126"/>
      <c r="C15580" s="126"/>
      <c r="D15580" s="126"/>
      <c r="E15580" s="126"/>
      <c r="F15580" s="126"/>
      <c r="G15580" s="126"/>
      <c r="H15580" s="126"/>
      <c r="I15580" s="126"/>
    </row>
    <row r="15581" spans="1:9">
      <c r="A15581" s="126"/>
      <c r="B15581" s="126"/>
      <c r="C15581" s="126"/>
      <c r="D15581" s="126"/>
      <c r="E15581" s="126"/>
      <c r="F15581" s="126"/>
      <c r="G15581" s="126"/>
      <c r="H15581" s="126"/>
      <c r="I15581" s="126"/>
    </row>
    <row r="15582" spans="1:9">
      <c r="A15582" s="126"/>
      <c r="B15582" s="126"/>
      <c r="C15582" s="126"/>
      <c r="D15582" s="126"/>
      <c r="E15582" s="126"/>
      <c r="F15582" s="126"/>
      <c r="G15582" s="126"/>
      <c r="H15582" s="126"/>
      <c r="I15582" s="126"/>
    </row>
    <row r="15583" spans="1:9">
      <c r="A15583" s="126"/>
      <c r="B15583" s="126"/>
      <c r="C15583" s="126"/>
      <c r="D15583" s="126"/>
      <c r="E15583" s="126"/>
      <c r="F15583" s="126"/>
      <c r="G15583" s="126"/>
      <c r="H15583" s="126"/>
      <c r="I15583" s="126"/>
    </row>
    <row r="15584" spans="1:9">
      <c r="A15584" s="126"/>
      <c r="B15584" s="126"/>
      <c r="C15584" s="126"/>
      <c r="D15584" s="126"/>
      <c r="E15584" s="126"/>
      <c r="F15584" s="126"/>
      <c r="G15584" s="126"/>
      <c r="H15584" s="126"/>
      <c r="I15584" s="126"/>
    </row>
    <row r="15585" spans="1:9">
      <c r="A15585" s="126"/>
      <c r="B15585" s="126"/>
      <c r="C15585" s="126"/>
      <c r="D15585" s="126"/>
      <c r="E15585" s="126"/>
      <c r="F15585" s="126"/>
      <c r="G15585" s="126"/>
      <c r="H15585" s="126"/>
      <c r="I15585" s="126"/>
    </row>
    <row r="15586" spans="1:9">
      <c r="A15586" s="126"/>
      <c r="B15586" s="126"/>
      <c r="C15586" s="126"/>
      <c r="D15586" s="126"/>
      <c r="E15586" s="126"/>
      <c r="F15586" s="126"/>
      <c r="G15586" s="126"/>
      <c r="H15586" s="126"/>
      <c r="I15586" s="126"/>
    </row>
    <row r="15587" spans="1:9">
      <c r="A15587" s="126"/>
      <c r="B15587" s="126"/>
      <c r="C15587" s="126"/>
      <c r="D15587" s="126"/>
      <c r="E15587" s="126"/>
      <c r="F15587" s="126"/>
      <c r="G15587" s="126"/>
      <c r="H15587" s="126"/>
      <c r="I15587" s="126"/>
    </row>
    <row r="15588" spans="1:9">
      <c r="A15588" s="126"/>
      <c r="B15588" s="126"/>
      <c r="C15588" s="126"/>
      <c r="D15588" s="126"/>
      <c r="E15588" s="126"/>
      <c r="F15588" s="126"/>
      <c r="G15588" s="126"/>
      <c r="H15588" s="126"/>
      <c r="I15588" s="126"/>
    </row>
    <row r="15589" spans="1:9">
      <c r="A15589" s="126"/>
      <c r="B15589" s="126"/>
      <c r="C15589" s="126"/>
      <c r="D15589" s="126"/>
      <c r="E15589" s="126"/>
      <c r="F15589" s="126"/>
      <c r="G15589" s="126"/>
      <c r="H15589" s="126"/>
      <c r="I15589" s="126"/>
    </row>
    <row r="15590" spans="1:9">
      <c r="A15590" s="126"/>
      <c r="B15590" s="126"/>
      <c r="C15590" s="126"/>
      <c r="D15590" s="126"/>
      <c r="E15590" s="126"/>
      <c r="F15590" s="126"/>
      <c r="G15590" s="126"/>
      <c r="H15590" s="126"/>
      <c r="I15590" s="126"/>
    </row>
    <row r="15591" spans="1:9">
      <c r="A15591" s="126"/>
      <c r="B15591" s="126"/>
      <c r="C15591" s="126"/>
      <c r="D15591" s="126"/>
      <c r="E15591" s="126"/>
      <c r="F15591" s="126"/>
      <c r="G15591" s="126"/>
      <c r="H15591" s="126"/>
      <c r="I15591" s="126"/>
    </row>
    <row r="15592" spans="1:9">
      <c r="A15592" s="126"/>
      <c r="B15592" s="126"/>
      <c r="C15592" s="126"/>
      <c r="D15592" s="126"/>
      <c r="E15592" s="126"/>
      <c r="F15592" s="126"/>
      <c r="G15592" s="126"/>
      <c r="H15592" s="126"/>
      <c r="I15592" s="126"/>
    </row>
    <row r="15593" spans="1:9">
      <c r="A15593" s="126"/>
      <c r="B15593" s="126"/>
      <c r="C15593" s="126"/>
      <c r="D15593" s="126"/>
      <c r="E15593" s="126"/>
      <c r="F15593" s="126"/>
      <c r="G15593" s="126"/>
      <c r="H15593" s="126"/>
      <c r="I15593" s="126"/>
    </row>
    <row r="15594" spans="1:9">
      <c r="A15594" s="126"/>
      <c r="B15594" s="126"/>
      <c r="C15594" s="126"/>
      <c r="D15594" s="126"/>
      <c r="E15594" s="126"/>
      <c r="F15594" s="126"/>
      <c r="G15594" s="126"/>
      <c r="H15594" s="126"/>
      <c r="I15594" s="126"/>
    </row>
    <row r="15595" spans="1:9">
      <c r="A15595" s="126"/>
      <c r="B15595" s="126"/>
      <c r="C15595" s="126"/>
      <c r="D15595" s="126"/>
      <c r="E15595" s="126"/>
      <c r="F15595" s="126"/>
      <c r="G15595" s="126"/>
      <c r="H15595" s="126"/>
      <c r="I15595" s="126"/>
    </row>
    <row r="15596" spans="1:9">
      <c r="A15596" s="126"/>
      <c r="B15596" s="126"/>
      <c r="C15596" s="126"/>
      <c r="D15596" s="126"/>
      <c r="E15596" s="126"/>
      <c r="F15596" s="126"/>
      <c r="G15596" s="126"/>
      <c r="H15596" s="126"/>
      <c r="I15596" s="126"/>
    </row>
    <row r="15597" spans="1:9">
      <c r="A15597" s="126"/>
      <c r="B15597" s="126"/>
      <c r="C15597" s="126"/>
      <c r="D15597" s="126"/>
      <c r="E15597" s="126"/>
      <c r="F15597" s="126"/>
      <c r="G15597" s="126"/>
      <c r="H15597" s="126"/>
      <c r="I15597" s="126"/>
    </row>
    <row r="15598" spans="1:9">
      <c r="A15598" s="126"/>
      <c r="B15598" s="126"/>
      <c r="C15598" s="126"/>
      <c r="D15598" s="126"/>
      <c r="E15598" s="126"/>
      <c r="F15598" s="126"/>
      <c r="G15598" s="126"/>
      <c r="H15598" s="126"/>
      <c r="I15598" s="126"/>
    </row>
    <row r="15599" spans="1:9">
      <c r="A15599" s="126"/>
      <c r="B15599" s="126"/>
      <c r="C15599" s="126"/>
      <c r="D15599" s="126"/>
      <c r="E15599" s="126"/>
      <c r="F15599" s="126"/>
      <c r="G15599" s="126"/>
      <c r="H15599" s="126"/>
      <c r="I15599" s="126"/>
    </row>
    <row r="15600" spans="1:9">
      <c r="A15600" s="126"/>
      <c r="B15600" s="126"/>
      <c r="C15600" s="126"/>
      <c r="D15600" s="126"/>
      <c r="E15600" s="126"/>
      <c r="F15600" s="126"/>
      <c r="G15600" s="126"/>
      <c r="H15600" s="126"/>
      <c r="I15600" s="126"/>
    </row>
    <row r="15601" spans="1:9">
      <c r="A15601" s="126"/>
      <c r="B15601" s="126"/>
      <c r="C15601" s="126"/>
      <c r="D15601" s="126"/>
      <c r="E15601" s="126"/>
      <c r="F15601" s="126"/>
      <c r="G15601" s="126"/>
      <c r="H15601" s="126"/>
      <c r="I15601" s="126"/>
    </row>
    <row r="15602" spans="1:9">
      <c r="A15602" s="126"/>
      <c r="B15602" s="126"/>
      <c r="C15602" s="126"/>
      <c r="D15602" s="126"/>
      <c r="E15602" s="126"/>
      <c r="F15602" s="126"/>
      <c r="G15602" s="126"/>
      <c r="H15602" s="126"/>
      <c r="I15602" s="126"/>
    </row>
    <row r="15603" spans="1:9">
      <c r="A15603" s="126"/>
      <c r="B15603" s="126"/>
      <c r="C15603" s="126"/>
      <c r="D15603" s="126"/>
      <c r="E15603" s="126"/>
      <c r="F15603" s="126"/>
      <c r="G15603" s="126"/>
      <c r="H15603" s="126"/>
      <c r="I15603" s="126"/>
    </row>
    <row r="15604" spans="1:9">
      <c r="A15604" s="126"/>
      <c r="B15604" s="126"/>
      <c r="C15604" s="126"/>
      <c r="D15604" s="126"/>
      <c r="E15604" s="126"/>
      <c r="F15604" s="126"/>
      <c r="G15604" s="126"/>
      <c r="H15604" s="126"/>
      <c r="I15604" s="126"/>
    </row>
    <row r="15605" spans="1:9">
      <c r="A15605" s="126"/>
      <c r="B15605" s="126"/>
      <c r="C15605" s="126"/>
      <c r="D15605" s="126"/>
      <c r="E15605" s="126"/>
      <c r="F15605" s="126"/>
      <c r="G15605" s="126"/>
      <c r="H15605" s="126"/>
      <c r="I15605" s="126"/>
    </row>
    <row r="15606" spans="1:9">
      <c r="A15606" s="126"/>
      <c r="B15606" s="126"/>
      <c r="C15606" s="126"/>
      <c r="D15606" s="126"/>
      <c r="E15606" s="126"/>
      <c r="F15606" s="126"/>
      <c r="G15606" s="126"/>
      <c r="H15606" s="126"/>
      <c r="I15606" s="126"/>
    </row>
    <row r="15607" spans="1:9">
      <c r="A15607" s="126"/>
      <c r="B15607" s="126"/>
      <c r="C15607" s="126"/>
      <c r="D15607" s="126"/>
      <c r="E15607" s="126"/>
      <c r="F15607" s="126"/>
      <c r="G15607" s="126"/>
      <c r="H15607" s="126"/>
      <c r="I15607" s="126"/>
    </row>
    <row r="15608" spans="1:9">
      <c r="A15608" s="126"/>
      <c r="B15608" s="126"/>
      <c r="C15608" s="126"/>
      <c r="D15608" s="126"/>
      <c r="E15608" s="126"/>
      <c r="F15608" s="126"/>
      <c r="G15608" s="126"/>
      <c r="H15608" s="126"/>
      <c r="I15608" s="126"/>
    </row>
    <row r="15609" spans="1:9">
      <c r="A15609" s="126"/>
      <c r="B15609" s="126"/>
      <c r="C15609" s="126"/>
      <c r="D15609" s="126"/>
      <c r="E15609" s="126"/>
      <c r="F15609" s="126"/>
      <c r="G15609" s="126"/>
      <c r="H15609" s="126"/>
      <c r="I15609" s="126"/>
    </row>
    <row r="15610" spans="1:9">
      <c r="A15610" s="126"/>
      <c r="B15610" s="126"/>
      <c r="C15610" s="126"/>
      <c r="D15610" s="126"/>
      <c r="E15610" s="126"/>
      <c r="F15610" s="126"/>
      <c r="G15610" s="126"/>
      <c r="H15610" s="126"/>
      <c r="I15610" s="126"/>
    </row>
    <row r="15611" spans="1:9">
      <c r="A15611" s="126"/>
      <c r="B15611" s="126"/>
      <c r="C15611" s="126"/>
      <c r="D15611" s="126"/>
      <c r="E15611" s="126"/>
      <c r="F15611" s="126"/>
      <c r="G15611" s="126"/>
      <c r="H15611" s="126"/>
      <c r="I15611" s="126"/>
    </row>
    <row r="15612" spans="1:9">
      <c r="A15612" s="126"/>
      <c r="B15612" s="126"/>
      <c r="C15612" s="126"/>
      <c r="D15612" s="126"/>
      <c r="E15612" s="126"/>
      <c r="F15612" s="126"/>
      <c r="G15612" s="126"/>
      <c r="H15612" s="126"/>
      <c r="I15612" s="126"/>
    </row>
    <row r="15613" spans="1:9">
      <c r="A15613" s="126"/>
      <c r="B15613" s="126"/>
      <c r="C15613" s="126"/>
      <c r="D15613" s="126"/>
      <c r="E15613" s="126"/>
      <c r="F15613" s="126"/>
      <c r="G15613" s="126"/>
      <c r="H15613" s="126"/>
      <c r="I15613" s="126"/>
    </row>
    <row r="15614" spans="1:9">
      <c r="A15614" s="126"/>
      <c r="B15614" s="126"/>
      <c r="C15614" s="126"/>
      <c r="D15614" s="126"/>
      <c r="E15614" s="126"/>
      <c r="F15614" s="126"/>
      <c r="G15614" s="126"/>
      <c r="H15614" s="126"/>
      <c r="I15614" s="126"/>
    </row>
    <row r="15615" spans="1:9">
      <c r="A15615" s="126"/>
      <c r="B15615" s="126"/>
      <c r="C15615" s="126"/>
      <c r="D15615" s="126"/>
      <c r="E15615" s="126"/>
      <c r="F15615" s="126"/>
      <c r="G15615" s="126"/>
      <c r="H15615" s="126"/>
      <c r="I15615" s="126"/>
    </row>
    <row r="15616" spans="1:9">
      <c r="A15616" s="126"/>
      <c r="B15616" s="126"/>
      <c r="C15616" s="126"/>
      <c r="D15616" s="126"/>
      <c r="E15616" s="126"/>
      <c r="F15616" s="126"/>
      <c r="G15616" s="126"/>
      <c r="H15616" s="126"/>
      <c r="I15616" s="126"/>
    </row>
    <row r="15617" spans="1:9">
      <c r="A15617" s="126"/>
      <c r="B15617" s="126"/>
      <c r="C15617" s="126"/>
      <c r="D15617" s="126"/>
      <c r="E15617" s="126"/>
      <c r="F15617" s="126"/>
      <c r="G15617" s="126"/>
      <c r="H15617" s="126"/>
      <c r="I15617" s="126"/>
    </row>
    <row r="15618" spans="1:9">
      <c r="A15618" s="126"/>
      <c r="B15618" s="126"/>
      <c r="C15618" s="126"/>
      <c r="D15618" s="126"/>
      <c r="E15618" s="126"/>
      <c r="F15618" s="126"/>
      <c r="G15618" s="126"/>
      <c r="H15618" s="126"/>
      <c r="I15618" s="126"/>
    </row>
    <row r="15619" spans="1:9">
      <c r="A15619" s="126"/>
      <c r="B15619" s="126"/>
      <c r="C15619" s="126"/>
      <c r="D15619" s="126"/>
      <c r="E15619" s="126"/>
      <c r="F15619" s="126"/>
      <c r="G15619" s="126"/>
      <c r="H15619" s="126"/>
      <c r="I15619" s="126"/>
    </row>
    <row r="15620" spans="1:9">
      <c r="A15620" s="126"/>
      <c r="B15620" s="126"/>
      <c r="C15620" s="126"/>
      <c r="D15620" s="126"/>
      <c r="E15620" s="126"/>
      <c r="F15620" s="126"/>
      <c r="G15620" s="126"/>
      <c r="H15620" s="126"/>
      <c r="I15620" s="126"/>
    </row>
    <row r="15621" spans="1:9">
      <c r="A15621" s="126"/>
      <c r="B15621" s="126"/>
      <c r="C15621" s="126"/>
      <c r="D15621" s="126"/>
      <c r="E15621" s="126"/>
      <c r="F15621" s="126"/>
      <c r="G15621" s="126"/>
      <c r="H15621" s="126"/>
      <c r="I15621" s="126"/>
    </row>
    <row r="15622" spans="1:9">
      <c r="A15622" s="126"/>
      <c r="B15622" s="126"/>
      <c r="C15622" s="126"/>
      <c r="D15622" s="126"/>
      <c r="E15622" s="126"/>
      <c r="F15622" s="126"/>
      <c r="G15622" s="126"/>
      <c r="H15622" s="126"/>
      <c r="I15622" s="126"/>
    </row>
    <row r="15623" spans="1:9">
      <c r="A15623" s="126"/>
      <c r="B15623" s="126"/>
      <c r="C15623" s="126"/>
      <c r="D15623" s="126"/>
      <c r="E15623" s="126"/>
      <c r="F15623" s="126"/>
      <c r="G15623" s="126"/>
      <c r="H15623" s="126"/>
      <c r="I15623" s="126"/>
    </row>
    <row r="15624" spans="1:9">
      <c r="A15624" s="126"/>
      <c r="B15624" s="126"/>
      <c r="C15624" s="126"/>
      <c r="D15624" s="126"/>
      <c r="E15624" s="126"/>
      <c r="F15624" s="126"/>
      <c r="G15624" s="126"/>
      <c r="H15624" s="126"/>
      <c r="I15624" s="126"/>
    </row>
    <row r="15625" spans="1:9">
      <c r="A15625" s="126"/>
      <c r="B15625" s="126"/>
      <c r="C15625" s="126"/>
      <c r="D15625" s="126"/>
      <c r="E15625" s="126"/>
      <c r="F15625" s="126"/>
      <c r="G15625" s="126"/>
      <c r="H15625" s="126"/>
      <c r="I15625" s="126"/>
    </row>
    <row r="15626" spans="1:9">
      <c r="A15626" s="126"/>
      <c r="B15626" s="126"/>
      <c r="C15626" s="126"/>
      <c r="D15626" s="126"/>
      <c r="E15626" s="126"/>
      <c r="F15626" s="126"/>
      <c r="G15626" s="126"/>
      <c r="H15626" s="126"/>
      <c r="I15626" s="126"/>
    </row>
    <row r="15627" spans="1:9">
      <c r="A15627" s="126"/>
      <c r="B15627" s="126"/>
      <c r="C15627" s="126"/>
      <c r="D15627" s="126"/>
      <c r="E15627" s="126"/>
      <c r="F15627" s="126"/>
      <c r="G15627" s="126"/>
      <c r="H15627" s="126"/>
      <c r="I15627" s="126"/>
    </row>
    <row r="15628" spans="1:9">
      <c r="A15628" s="126"/>
      <c r="B15628" s="126"/>
      <c r="C15628" s="126"/>
      <c r="D15628" s="126"/>
      <c r="E15628" s="126"/>
      <c r="F15628" s="126"/>
      <c r="G15628" s="126"/>
      <c r="H15628" s="126"/>
      <c r="I15628" s="126"/>
    </row>
    <row r="15629" spans="1:9">
      <c r="A15629" s="126"/>
      <c r="B15629" s="126"/>
      <c r="C15629" s="126"/>
      <c r="D15629" s="126"/>
      <c r="E15629" s="126"/>
      <c r="F15629" s="126"/>
      <c r="G15629" s="126"/>
      <c r="H15629" s="126"/>
      <c r="I15629" s="126"/>
    </row>
    <row r="15630" spans="1:9">
      <c r="A15630" s="126"/>
      <c r="B15630" s="126"/>
      <c r="C15630" s="126"/>
      <c r="D15630" s="126"/>
      <c r="E15630" s="126"/>
      <c r="F15630" s="126"/>
      <c r="G15630" s="126"/>
      <c r="H15630" s="126"/>
      <c r="I15630" s="126"/>
    </row>
    <row r="15631" spans="1:9">
      <c r="A15631" s="126"/>
      <c r="B15631" s="126"/>
      <c r="C15631" s="126"/>
      <c r="D15631" s="126"/>
      <c r="E15631" s="126"/>
      <c r="F15631" s="126"/>
      <c r="G15631" s="126"/>
      <c r="H15631" s="126"/>
      <c r="I15631" s="126"/>
    </row>
    <row r="15632" spans="1:9">
      <c r="A15632" s="126"/>
      <c r="B15632" s="126"/>
      <c r="C15632" s="126"/>
      <c r="D15632" s="126"/>
      <c r="E15632" s="126"/>
      <c r="F15632" s="126"/>
      <c r="G15632" s="126"/>
      <c r="H15632" s="126"/>
      <c r="I15632" s="126"/>
    </row>
    <row r="15633" spans="1:9">
      <c r="A15633" s="126"/>
      <c r="B15633" s="126"/>
      <c r="C15633" s="126"/>
      <c r="D15633" s="126"/>
      <c r="E15633" s="126"/>
      <c r="F15633" s="126"/>
      <c r="G15633" s="126"/>
      <c r="H15633" s="126"/>
      <c r="I15633" s="126"/>
    </row>
    <row r="15634" spans="1:9">
      <c r="A15634" s="126"/>
      <c r="B15634" s="126"/>
      <c r="C15634" s="126"/>
      <c r="D15634" s="126"/>
      <c r="E15634" s="126"/>
      <c r="F15634" s="126"/>
      <c r="G15634" s="126"/>
      <c r="H15634" s="126"/>
      <c r="I15634" s="126"/>
    </row>
    <row r="15635" spans="1:9">
      <c r="A15635" s="126"/>
      <c r="B15635" s="126"/>
      <c r="C15635" s="126"/>
      <c r="D15635" s="126"/>
      <c r="E15635" s="126"/>
      <c r="F15635" s="126"/>
      <c r="G15635" s="126"/>
      <c r="H15635" s="126"/>
      <c r="I15635" s="126"/>
    </row>
    <row r="15636" spans="1:9">
      <c r="A15636" s="126"/>
      <c r="B15636" s="126"/>
      <c r="C15636" s="126"/>
      <c r="D15636" s="126"/>
      <c r="E15636" s="126"/>
      <c r="F15636" s="126"/>
      <c r="G15636" s="126"/>
      <c r="H15636" s="126"/>
      <c r="I15636" s="126"/>
    </row>
    <row r="15637" spans="1:9">
      <c r="A15637" s="126"/>
      <c r="B15637" s="126"/>
      <c r="C15637" s="126"/>
      <c r="D15637" s="126"/>
      <c r="E15637" s="126"/>
      <c r="F15637" s="126"/>
      <c r="G15637" s="126"/>
      <c r="H15637" s="126"/>
      <c r="I15637" s="126"/>
    </row>
    <row r="15638" spans="1:9">
      <c r="A15638" s="126"/>
      <c r="B15638" s="126"/>
      <c r="C15638" s="126"/>
      <c r="D15638" s="126"/>
      <c r="E15638" s="126"/>
      <c r="F15638" s="126"/>
      <c r="G15638" s="126"/>
      <c r="H15638" s="126"/>
      <c r="I15638" s="126"/>
    </row>
    <row r="15639" spans="1:9">
      <c r="A15639" s="126"/>
      <c r="B15639" s="126"/>
      <c r="C15639" s="126"/>
      <c r="D15639" s="126"/>
      <c r="E15639" s="126"/>
      <c r="F15639" s="126"/>
      <c r="G15639" s="126"/>
      <c r="H15639" s="126"/>
      <c r="I15639" s="126"/>
    </row>
    <row r="15640" spans="1:9">
      <c r="A15640" s="126"/>
      <c r="B15640" s="126"/>
      <c r="C15640" s="126"/>
      <c r="D15640" s="126"/>
      <c r="E15640" s="126"/>
      <c r="F15640" s="126"/>
      <c r="G15640" s="126"/>
      <c r="H15640" s="126"/>
      <c r="I15640" s="126"/>
    </row>
    <row r="15641" spans="1:9">
      <c r="A15641" s="126"/>
      <c r="B15641" s="126"/>
      <c r="C15641" s="126"/>
      <c r="D15641" s="126"/>
      <c r="E15641" s="126"/>
      <c r="F15641" s="126"/>
      <c r="G15641" s="126"/>
      <c r="H15641" s="126"/>
      <c r="I15641" s="126"/>
    </row>
    <row r="15642" spans="1:9">
      <c r="A15642" s="126"/>
      <c r="B15642" s="126"/>
      <c r="C15642" s="126"/>
      <c r="D15642" s="126"/>
      <c r="E15642" s="126"/>
      <c r="F15642" s="126"/>
      <c r="G15642" s="126"/>
      <c r="H15642" s="126"/>
      <c r="I15642" s="126"/>
    </row>
    <row r="15643" spans="1:9">
      <c r="A15643" s="126"/>
      <c r="B15643" s="126"/>
      <c r="C15643" s="126"/>
      <c r="D15643" s="126"/>
      <c r="E15643" s="126"/>
      <c r="F15643" s="126"/>
      <c r="G15643" s="126"/>
      <c r="H15643" s="126"/>
      <c r="I15643" s="126"/>
    </row>
    <row r="15644" spans="1:9">
      <c r="A15644" s="126"/>
      <c r="B15644" s="126"/>
      <c r="C15644" s="126"/>
      <c r="D15644" s="126"/>
      <c r="E15644" s="126"/>
      <c r="F15644" s="126"/>
      <c r="G15644" s="126"/>
      <c r="H15644" s="126"/>
      <c r="I15644" s="126"/>
    </row>
    <row r="15645" spans="1:9">
      <c r="A15645" s="126"/>
      <c r="B15645" s="126"/>
      <c r="C15645" s="126"/>
      <c r="D15645" s="126"/>
      <c r="E15645" s="126"/>
      <c r="F15645" s="126"/>
      <c r="G15645" s="126"/>
      <c r="H15645" s="126"/>
      <c r="I15645" s="126"/>
    </row>
    <row r="15646" spans="1:9">
      <c r="A15646" s="126"/>
      <c r="B15646" s="126"/>
      <c r="C15646" s="126"/>
      <c r="D15646" s="126"/>
      <c r="E15646" s="126"/>
      <c r="F15646" s="126"/>
      <c r="G15646" s="126"/>
      <c r="H15646" s="126"/>
      <c r="I15646" s="126"/>
    </row>
    <row r="15647" spans="1:9">
      <c r="A15647" s="126"/>
      <c r="B15647" s="126"/>
      <c r="C15647" s="126"/>
      <c r="D15647" s="126"/>
      <c r="E15647" s="126"/>
      <c r="F15647" s="126"/>
      <c r="G15647" s="126"/>
      <c r="H15647" s="126"/>
      <c r="I15647" s="126"/>
    </row>
    <row r="15648" spans="1:9">
      <c r="A15648" s="126"/>
      <c r="B15648" s="126"/>
      <c r="C15648" s="126"/>
      <c r="D15648" s="126"/>
      <c r="E15648" s="126"/>
      <c r="F15648" s="126"/>
      <c r="G15648" s="126"/>
      <c r="H15648" s="126"/>
      <c r="I15648" s="126"/>
    </row>
    <row r="15649" spans="1:9">
      <c r="A15649" s="126"/>
      <c r="B15649" s="126"/>
      <c r="C15649" s="126"/>
      <c r="D15649" s="126"/>
      <c r="E15649" s="126"/>
      <c r="F15649" s="126"/>
      <c r="G15649" s="126"/>
      <c r="H15649" s="126"/>
      <c r="I15649" s="126"/>
    </row>
    <row r="15650" spans="1:9">
      <c r="A15650" s="126"/>
      <c r="B15650" s="126"/>
      <c r="C15650" s="126"/>
      <c r="D15650" s="126"/>
      <c r="E15650" s="126"/>
      <c r="F15650" s="126"/>
      <c r="G15650" s="126"/>
      <c r="H15650" s="126"/>
      <c r="I15650" s="126"/>
    </row>
    <row r="15651" spans="1:9">
      <c r="A15651" s="126"/>
      <c r="B15651" s="126"/>
      <c r="C15651" s="126"/>
      <c r="D15651" s="126"/>
      <c r="E15651" s="126"/>
      <c r="F15651" s="126"/>
      <c r="G15651" s="126"/>
      <c r="H15651" s="126"/>
      <c r="I15651" s="126"/>
    </row>
    <row r="15652" spans="1:9">
      <c r="A15652" s="126"/>
      <c r="B15652" s="126"/>
      <c r="C15652" s="126"/>
      <c r="D15652" s="126"/>
      <c r="E15652" s="126"/>
      <c r="F15652" s="126"/>
      <c r="G15652" s="126"/>
      <c r="H15652" s="126"/>
      <c r="I15652" s="126"/>
    </row>
    <row r="15653" spans="1:9">
      <c r="A15653" s="126"/>
      <c r="B15653" s="126"/>
      <c r="C15653" s="126"/>
      <c r="D15653" s="126"/>
      <c r="E15653" s="126"/>
      <c r="F15653" s="126"/>
      <c r="G15653" s="126"/>
      <c r="H15653" s="126"/>
      <c r="I15653" s="126"/>
    </row>
    <row r="15654" spans="1:9">
      <c r="A15654" s="126"/>
      <c r="B15654" s="126"/>
      <c r="C15654" s="126"/>
      <c r="D15654" s="126"/>
      <c r="E15654" s="126"/>
      <c r="F15654" s="126"/>
      <c r="G15654" s="126"/>
      <c r="H15654" s="126"/>
      <c r="I15654" s="126"/>
    </row>
    <row r="15655" spans="1:9">
      <c r="A15655" s="126"/>
      <c r="B15655" s="126"/>
      <c r="C15655" s="126"/>
      <c r="D15655" s="126"/>
      <c r="E15655" s="126"/>
      <c r="F15655" s="126"/>
      <c r="G15655" s="126"/>
      <c r="H15655" s="126"/>
      <c r="I15655" s="126"/>
    </row>
    <row r="15656" spans="1:9">
      <c r="A15656" s="126"/>
      <c r="B15656" s="126"/>
      <c r="C15656" s="126"/>
      <c r="D15656" s="126"/>
      <c r="E15656" s="126"/>
      <c r="F15656" s="126"/>
      <c r="G15656" s="126"/>
      <c r="H15656" s="126"/>
      <c r="I15656" s="126"/>
    </row>
    <row r="15657" spans="1:9">
      <c r="A15657" s="126"/>
      <c r="B15657" s="126"/>
      <c r="C15657" s="126"/>
      <c r="D15657" s="126"/>
      <c r="E15657" s="126"/>
      <c r="F15657" s="126"/>
      <c r="G15657" s="126"/>
      <c r="H15657" s="126"/>
      <c r="I15657" s="126"/>
    </row>
    <row r="15658" spans="1:9">
      <c r="A15658" s="126"/>
      <c r="B15658" s="126"/>
      <c r="C15658" s="126"/>
      <c r="D15658" s="126"/>
      <c r="E15658" s="126"/>
      <c r="F15658" s="126"/>
      <c r="G15658" s="126"/>
      <c r="H15658" s="126"/>
      <c r="I15658" s="126"/>
    </row>
    <row r="15659" spans="1:9">
      <c r="A15659" s="126"/>
      <c r="B15659" s="126"/>
      <c r="C15659" s="126"/>
      <c r="D15659" s="126"/>
      <c r="E15659" s="126"/>
      <c r="F15659" s="126"/>
      <c r="G15659" s="126"/>
      <c r="H15659" s="126"/>
      <c r="I15659" s="126"/>
    </row>
    <row r="15660" spans="1:9">
      <c r="A15660" s="126"/>
      <c r="B15660" s="126"/>
      <c r="C15660" s="126"/>
      <c r="D15660" s="126"/>
      <c r="E15660" s="126"/>
      <c r="F15660" s="126"/>
      <c r="G15660" s="126"/>
      <c r="H15660" s="126"/>
      <c r="I15660" s="126"/>
    </row>
    <row r="15661" spans="1:9">
      <c r="A15661" s="126"/>
      <c r="B15661" s="126"/>
      <c r="C15661" s="126"/>
      <c r="D15661" s="126"/>
      <c r="E15661" s="126"/>
      <c r="F15661" s="126"/>
      <c r="G15661" s="126"/>
      <c r="H15661" s="126"/>
      <c r="I15661" s="126"/>
    </row>
    <row r="15662" spans="1:9">
      <c r="A15662" s="126"/>
      <c r="B15662" s="126"/>
      <c r="C15662" s="126"/>
      <c r="D15662" s="126"/>
      <c r="E15662" s="126"/>
      <c r="F15662" s="126"/>
      <c r="G15662" s="126"/>
      <c r="H15662" s="126"/>
      <c r="I15662" s="126"/>
    </row>
    <row r="15663" spans="1:9">
      <c r="A15663" s="126"/>
      <c r="B15663" s="126"/>
      <c r="C15663" s="126"/>
      <c r="D15663" s="126"/>
      <c r="E15663" s="126"/>
      <c r="F15663" s="126"/>
      <c r="G15663" s="126"/>
      <c r="H15663" s="126"/>
      <c r="I15663" s="126"/>
    </row>
    <row r="15664" spans="1:9">
      <c r="A15664" s="126"/>
      <c r="B15664" s="126"/>
      <c r="C15664" s="126"/>
      <c r="D15664" s="126"/>
      <c r="E15664" s="126"/>
      <c r="F15664" s="126"/>
      <c r="G15664" s="126"/>
      <c r="H15664" s="126"/>
      <c r="I15664" s="126"/>
    </row>
    <row r="15665" spans="1:9">
      <c r="A15665" s="126"/>
      <c r="B15665" s="126"/>
      <c r="C15665" s="126"/>
      <c r="D15665" s="126"/>
      <c r="E15665" s="126"/>
      <c r="F15665" s="126"/>
      <c r="G15665" s="126"/>
      <c r="H15665" s="126"/>
      <c r="I15665" s="126"/>
    </row>
    <row r="15666" spans="1:9">
      <c r="A15666" s="126"/>
      <c r="B15666" s="126"/>
      <c r="C15666" s="126"/>
      <c r="D15666" s="126"/>
      <c r="E15666" s="126"/>
      <c r="F15666" s="126"/>
      <c r="G15666" s="126"/>
      <c r="H15666" s="126"/>
      <c r="I15666" s="126"/>
    </row>
    <row r="15667" spans="1:9">
      <c r="A15667" s="126"/>
      <c r="B15667" s="126"/>
      <c r="C15667" s="126"/>
      <c r="D15667" s="126"/>
      <c r="E15667" s="126"/>
      <c r="F15667" s="126"/>
      <c r="G15667" s="126"/>
      <c r="H15667" s="126"/>
      <c r="I15667" s="126"/>
    </row>
    <row r="15668" spans="1:9">
      <c r="A15668" s="126"/>
      <c r="B15668" s="126"/>
      <c r="C15668" s="126"/>
      <c r="D15668" s="126"/>
      <c r="E15668" s="126"/>
      <c r="F15668" s="126"/>
      <c r="G15668" s="126"/>
      <c r="H15668" s="126"/>
      <c r="I15668" s="126"/>
    </row>
    <row r="15669" spans="1:9">
      <c r="A15669" s="126"/>
      <c r="B15669" s="126"/>
      <c r="C15669" s="126"/>
      <c r="D15669" s="126"/>
      <c r="E15669" s="126"/>
      <c r="F15669" s="126"/>
      <c r="G15669" s="126"/>
      <c r="H15669" s="126"/>
      <c r="I15669" s="126"/>
    </row>
    <row r="15670" spans="1:9">
      <c r="A15670" s="126"/>
      <c r="B15670" s="126"/>
      <c r="C15670" s="126"/>
      <c r="D15670" s="126"/>
      <c r="E15670" s="126"/>
      <c r="F15670" s="126"/>
      <c r="G15670" s="126"/>
      <c r="H15670" s="126"/>
      <c r="I15670" s="126"/>
    </row>
    <row r="15671" spans="1:9">
      <c r="A15671" s="126"/>
      <c r="B15671" s="126"/>
      <c r="C15671" s="126"/>
      <c r="D15671" s="126"/>
      <c r="E15671" s="126"/>
      <c r="F15671" s="126"/>
      <c r="G15671" s="126"/>
      <c r="H15671" s="126"/>
      <c r="I15671" s="126"/>
    </row>
    <row r="15672" spans="1:9">
      <c r="A15672" s="126"/>
      <c r="B15672" s="126"/>
      <c r="C15672" s="126"/>
      <c r="D15672" s="126"/>
      <c r="E15672" s="126"/>
      <c r="F15672" s="126"/>
      <c r="G15672" s="126"/>
      <c r="H15672" s="126"/>
      <c r="I15672" s="126"/>
    </row>
    <row r="15673" spans="1:9">
      <c r="A15673" s="126"/>
      <c r="B15673" s="126"/>
      <c r="C15673" s="126"/>
      <c r="D15673" s="126"/>
      <c r="E15673" s="126"/>
      <c r="F15673" s="126"/>
      <c r="G15673" s="126"/>
      <c r="H15673" s="126"/>
      <c r="I15673" s="126"/>
    </row>
    <row r="15674" spans="1:9">
      <c r="A15674" s="126"/>
      <c r="B15674" s="126"/>
      <c r="C15674" s="126"/>
      <c r="D15674" s="126"/>
      <c r="E15674" s="126"/>
      <c r="F15674" s="126"/>
      <c r="G15674" s="126"/>
      <c r="H15674" s="126"/>
      <c r="I15674" s="126"/>
    </row>
    <row r="15675" spans="1:9">
      <c r="A15675" s="126"/>
      <c r="B15675" s="126"/>
      <c r="C15675" s="126"/>
      <c r="D15675" s="126"/>
      <c r="E15675" s="126"/>
      <c r="F15675" s="126"/>
      <c r="G15675" s="126"/>
      <c r="H15675" s="126"/>
      <c r="I15675" s="126"/>
    </row>
    <row r="15676" spans="1:9">
      <c r="A15676" s="126"/>
      <c r="B15676" s="126"/>
      <c r="C15676" s="126"/>
      <c r="D15676" s="126"/>
      <c r="E15676" s="126"/>
      <c r="F15676" s="126"/>
      <c r="G15676" s="126"/>
      <c r="H15676" s="126"/>
      <c r="I15676" s="126"/>
    </row>
    <row r="15677" spans="1:9">
      <c r="A15677" s="126"/>
      <c r="B15677" s="126"/>
      <c r="C15677" s="126"/>
      <c r="D15677" s="126"/>
      <c r="E15677" s="126"/>
      <c r="F15677" s="126"/>
      <c r="G15677" s="126"/>
      <c r="H15677" s="126"/>
      <c r="I15677" s="126"/>
    </row>
    <row r="15678" spans="1:9">
      <c r="A15678" s="126"/>
      <c r="B15678" s="126"/>
      <c r="C15678" s="126"/>
      <c r="D15678" s="126"/>
      <c r="E15678" s="126"/>
      <c r="F15678" s="126"/>
      <c r="G15678" s="126"/>
      <c r="H15678" s="126"/>
      <c r="I15678" s="126"/>
    </row>
    <row r="15679" spans="1:9">
      <c r="A15679" s="126"/>
      <c r="B15679" s="126"/>
      <c r="C15679" s="126"/>
      <c r="D15679" s="126"/>
      <c r="E15679" s="126"/>
      <c r="F15679" s="126"/>
      <c r="G15679" s="126"/>
      <c r="H15679" s="126"/>
      <c r="I15679" s="126"/>
    </row>
    <row r="15680" spans="1:9">
      <c r="A15680" s="126"/>
      <c r="B15680" s="126"/>
      <c r="C15680" s="126"/>
      <c r="D15680" s="126"/>
      <c r="E15680" s="126"/>
      <c r="F15680" s="126"/>
      <c r="G15680" s="126"/>
      <c r="H15680" s="126"/>
      <c r="I15680" s="126"/>
    </row>
    <row r="15681" spans="1:9">
      <c r="A15681" s="126"/>
      <c r="B15681" s="126"/>
      <c r="C15681" s="126"/>
      <c r="D15681" s="126"/>
      <c r="E15681" s="126"/>
      <c r="F15681" s="126"/>
      <c r="G15681" s="126"/>
      <c r="H15681" s="126"/>
      <c r="I15681" s="126"/>
    </row>
    <row r="15682" spans="1:9">
      <c r="A15682" s="126"/>
      <c r="B15682" s="126"/>
      <c r="C15682" s="126"/>
      <c r="D15682" s="126"/>
      <c r="E15682" s="126"/>
      <c r="F15682" s="126"/>
      <c r="G15682" s="126"/>
      <c r="H15682" s="126"/>
      <c r="I15682" s="126"/>
    </row>
    <row r="15683" spans="1:9">
      <c r="A15683" s="126"/>
      <c r="B15683" s="126"/>
      <c r="C15683" s="126"/>
      <c r="D15683" s="126"/>
      <c r="E15683" s="126"/>
      <c r="F15683" s="126"/>
      <c r="G15683" s="126"/>
      <c r="H15683" s="126"/>
      <c r="I15683" s="126"/>
    </row>
    <row r="15684" spans="1:9">
      <c r="A15684" s="126"/>
      <c r="B15684" s="126"/>
      <c r="C15684" s="126"/>
      <c r="D15684" s="126"/>
      <c r="E15684" s="126"/>
      <c r="F15684" s="126"/>
      <c r="G15684" s="126"/>
      <c r="H15684" s="126"/>
      <c r="I15684" s="126"/>
    </row>
    <row r="15685" spans="1:9">
      <c r="A15685" s="126"/>
      <c r="B15685" s="126"/>
      <c r="C15685" s="126"/>
      <c r="D15685" s="126"/>
      <c r="E15685" s="126"/>
      <c r="F15685" s="126"/>
      <c r="G15685" s="126"/>
      <c r="H15685" s="126"/>
      <c r="I15685" s="126"/>
    </row>
    <row r="15686" spans="1:9">
      <c r="A15686" s="126"/>
      <c r="B15686" s="126"/>
      <c r="C15686" s="126"/>
      <c r="D15686" s="126"/>
      <c r="E15686" s="126"/>
      <c r="F15686" s="126"/>
      <c r="G15686" s="126"/>
      <c r="H15686" s="126"/>
      <c r="I15686" s="126"/>
    </row>
    <row r="15687" spans="1:9">
      <c r="A15687" s="126"/>
      <c r="B15687" s="126"/>
      <c r="C15687" s="126"/>
      <c r="D15687" s="126"/>
      <c r="E15687" s="126"/>
      <c r="F15687" s="126"/>
      <c r="G15687" s="126"/>
      <c r="H15687" s="126"/>
      <c r="I15687" s="126"/>
    </row>
    <row r="15688" spans="1:9">
      <c r="A15688" s="126"/>
      <c r="B15688" s="126"/>
      <c r="C15688" s="126"/>
      <c r="D15688" s="126"/>
      <c r="E15688" s="126"/>
      <c r="F15688" s="126"/>
      <c r="G15688" s="126"/>
      <c r="H15688" s="126"/>
      <c r="I15688" s="126"/>
    </row>
    <row r="15689" spans="1:9">
      <c r="A15689" s="126"/>
      <c r="B15689" s="126"/>
      <c r="C15689" s="126"/>
      <c r="D15689" s="126"/>
      <c r="E15689" s="126"/>
      <c r="F15689" s="126"/>
      <c r="G15689" s="126"/>
      <c r="H15689" s="126"/>
      <c r="I15689" s="126"/>
    </row>
    <row r="15690" spans="1:9">
      <c r="A15690" s="126"/>
      <c r="B15690" s="126"/>
      <c r="C15690" s="126"/>
      <c r="D15690" s="126"/>
      <c r="E15690" s="126"/>
      <c r="F15690" s="126"/>
      <c r="G15690" s="126"/>
      <c r="H15690" s="126"/>
      <c r="I15690" s="126"/>
    </row>
    <row r="15691" spans="1:9">
      <c r="A15691" s="126"/>
      <c r="B15691" s="126"/>
      <c r="C15691" s="126"/>
      <c r="D15691" s="126"/>
      <c r="E15691" s="126"/>
      <c r="F15691" s="126"/>
      <c r="G15691" s="126"/>
      <c r="H15691" s="126"/>
      <c r="I15691" s="126"/>
    </row>
    <row r="15692" spans="1:9">
      <c r="A15692" s="126"/>
      <c r="B15692" s="126"/>
      <c r="C15692" s="126"/>
      <c r="D15692" s="126"/>
      <c r="E15692" s="126"/>
      <c r="F15692" s="126"/>
      <c r="G15692" s="126"/>
      <c r="H15692" s="126"/>
      <c r="I15692" s="126"/>
    </row>
    <row r="15693" spans="1:9">
      <c r="A15693" s="126"/>
      <c r="B15693" s="126"/>
      <c r="C15693" s="126"/>
      <c r="D15693" s="126"/>
      <c r="E15693" s="126"/>
      <c r="F15693" s="126"/>
      <c r="G15693" s="126"/>
      <c r="H15693" s="126"/>
      <c r="I15693" s="126"/>
    </row>
    <row r="15694" spans="1:9">
      <c r="A15694" s="126"/>
      <c r="B15694" s="126"/>
      <c r="C15694" s="126"/>
      <c r="D15694" s="126"/>
      <c r="E15694" s="126"/>
      <c r="F15694" s="126"/>
      <c r="G15694" s="126"/>
      <c r="H15694" s="126"/>
      <c r="I15694" s="126"/>
    </row>
    <row r="15695" spans="1:9">
      <c r="A15695" s="126"/>
      <c r="B15695" s="126"/>
      <c r="C15695" s="126"/>
      <c r="D15695" s="126"/>
      <c r="E15695" s="126"/>
      <c r="F15695" s="126"/>
      <c r="G15695" s="126"/>
      <c r="H15695" s="126"/>
      <c r="I15695" s="126"/>
    </row>
    <row r="15696" spans="1:9">
      <c r="A15696" s="126"/>
      <c r="B15696" s="126"/>
      <c r="C15696" s="126"/>
      <c r="D15696" s="126"/>
      <c r="E15696" s="126"/>
      <c r="F15696" s="126"/>
      <c r="G15696" s="126"/>
      <c r="H15696" s="126"/>
      <c r="I15696" s="126"/>
    </row>
    <row r="15697" spans="1:9">
      <c r="A15697" s="126"/>
      <c r="B15697" s="126"/>
      <c r="C15697" s="126"/>
      <c r="D15697" s="126"/>
      <c r="E15697" s="126"/>
      <c r="F15697" s="126"/>
      <c r="G15697" s="126"/>
      <c r="H15697" s="126"/>
      <c r="I15697" s="126"/>
    </row>
    <row r="15698" spans="1:9">
      <c r="A15698" s="126"/>
      <c r="B15698" s="126"/>
      <c r="C15698" s="126"/>
      <c r="D15698" s="126"/>
      <c r="E15698" s="126"/>
      <c r="F15698" s="126"/>
      <c r="G15698" s="126"/>
      <c r="H15698" s="126"/>
      <c r="I15698" s="126"/>
    </row>
    <row r="15699" spans="1:9">
      <c r="A15699" s="126"/>
      <c r="B15699" s="126"/>
      <c r="C15699" s="126"/>
      <c r="D15699" s="126"/>
      <c r="E15699" s="126"/>
      <c r="F15699" s="126"/>
      <c r="G15699" s="126"/>
      <c r="H15699" s="126"/>
      <c r="I15699" s="126"/>
    </row>
    <row r="15700" spans="1:9">
      <c r="A15700" s="126"/>
      <c r="B15700" s="126"/>
      <c r="C15700" s="126"/>
      <c r="D15700" s="126"/>
      <c r="E15700" s="126"/>
      <c r="F15700" s="126"/>
      <c r="G15700" s="126"/>
      <c r="H15700" s="126"/>
      <c r="I15700" s="126"/>
    </row>
    <row r="15701" spans="1:9">
      <c r="A15701" s="126"/>
      <c r="B15701" s="126"/>
      <c r="C15701" s="126"/>
      <c r="D15701" s="126"/>
      <c r="E15701" s="126"/>
      <c r="F15701" s="126"/>
      <c r="G15701" s="126"/>
      <c r="H15701" s="126"/>
      <c r="I15701" s="126"/>
    </row>
    <row r="15702" spans="1:9">
      <c r="A15702" s="126"/>
      <c r="B15702" s="126"/>
      <c r="C15702" s="126"/>
      <c r="D15702" s="126"/>
      <c r="E15702" s="126"/>
      <c r="F15702" s="126"/>
      <c r="G15702" s="126"/>
      <c r="H15702" s="126"/>
      <c r="I15702" s="126"/>
    </row>
    <row r="15703" spans="1:9">
      <c r="A15703" s="126"/>
      <c r="B15703" s="126"/>
      <c r="C15703" s="126"/>
      <c r="D15703" s="126"/>
      <c r="E15703" s="126"/>
      <c r="F15703" s="126"/>
      <c r="G15703" s="126"/>
      <c r="H15703" s="126"/>
      <c r="I15703" s="126"/>
    </row>
    <row r="15704" spans="1:9">
      <c r="A15704" s="126"/>
      <c r="B15704" s="126"/>
      <c r="C15704" s="126"/>
      <c r="D15704" s="126"/>
      <c r="E15704" s="126"/>
      <c r="F15704" s="126"/>
      <c r="G15704" s="126"/>
      <c r="H15704" s="126"/>
      <c r="I15704" s="126"/>
    </row>
    <row r="15705" spans="1:9">
      <c r="A15705" s="126"/>
      <c r="B15705" s="126"/>
      <c r="C15705" s="126"/>
      <c r="D15705" s="126"/>
      <c r="E15705" s="126"/>
      <c r="F15705" s="126"/>
      <c r="G15705" s="126"/>
      <c r="H15705" s="126"/>
      <c r="I15705" s="126"/>
    </row>
    <row r="15706" spans="1:9">
      <c r="A15706" s="126"/>
      <c r="B15706" s="126"/>
      <c r="C15706" s="126"/>
      <c r="D15706" s="126"/>
      <c r="E15706" s="126"/>
      <c r="F15706" s="126"/>
      <c r="G15706" s="126"/>
      <c r="H15706" s="126"/>
      <c r="I15706" s="126"/>
    </row>
    <row r="15707" spans="1:9">
      <c r="A15707" s="126"/>
      <c r="B15707" s="126"/>
      <c r="C15707" s="126"/>
      <c r="D15707" s="126"/>
      <c r="E15707" s="126"/>
      <c r="F15707" s="126"/>
      <c r="G15707" s="126"/>
      <c r="H15707" s="126"/>
      <c r="I15707" s="126"/>
    </row>
    <row r="15708" spans="1:9">
      <c r="A15708" s="126"/>
      <c r="B15708" s="126"/>
      <c r="C15708" s="126"/>
      <c r="D15708" s="126"/>
      <c r="E15708" s="126"/>
      <c r="F15708" s="126"/>
      <c r="G15708" s="126"/>
      <c r="H15708" s="126"/>
      <c r="I15708" s="126"/>
    </row>
    <row r="15709" spans="1:9">
      <c r="A15709" s="126"/>
      <c r="B15709" s="126"/>
      <c r="C15709" s="126"/>
      <c r="D15709" s="126"/>
      <c r="E15709" s="126"/>
      <c r="F15709" s="126"/>
      <c r="G15709" s="126"/>
      <c r="H15709" s="126"/>
      <c r="I15709" s="126"/>
    </row>
    <row r="15710" spans="1:9">
      <c r="A15710" s="126"/>
      <c r="B15710" s="126"/>
      <c r="C15710" s="126"/>
      <c r="D15710" s="126"/>
      <c r="E15710" s="126"/>
      <c r="F15710" s="126"/>
      <c r="G15710" s="126"/>
      <c r="H15710" s="126"/>
      <c r="I15710" s="126"/>
    </row>
    <row r="15711" spans="1:9">
      <c r="A15711" s="126"/>
      <c r="B15711" s="126"/>
      <c r="C15711" s="126"/>
      <c r="D15711" s="126"/>
      <c r="E15711" s="126"/>
      <c r="F15711" s="126"/>
      <c r="G15711" s="126"/>
      <c r="H15711" s="126"/>
      <c r="I15711" s="126"/>
    </row>
    <row r="15712" spans="1:9">
      <c r="A15712" s="126"/>
      <c r="B15712" s="126"/>
      <c r="C15712" s="126"/>
      <c r="D15712" s="126"/>
      <c r="E15712" s="126"/>
      <c r="F15712" s="126"/>
      <c r="G15712" s="126"/>
      <c r="H15712" s="126"/>
      <c r="I15712" s="126"/>
    </row>
    <row r="15713" spans="1:9">
      <c r="A15713" s="126"/>
      <c r="B15713" s="126"/>
      <c r="C15713" s="126"/>
      <c r="D15713" s="126"/>
      <c r="E15713" s="126"/>
      <c r="F15713" s="126"/>
      <c r="G15713" s="126"/>
      <c r="H15713" s="126"/>
      <c r="I15713" s="126"/>
    </row>
    <row r="15714" spans="1:9">
      <c r="A15714" s="126"/>
      <c r="B15714" s="126"/>
      <c r="C15714" s="126"/>
      <c r="D15714" s="126"/>
      <c r="E15714" s="126"/>
      <c r="F15714" s="126"/>
      <c r="G15714" s="126"/>
      <c r="H15714" s="126"/>
      <c r="I15714" s="126"/>
    </row>
    <row r="15715" spans="1:9">
      <c r="A15715" s="126"/>
      <c r="B15715" s="126"/>
      <c r="C15715" s="126"/>
      <c r="D15715" s="126"/>
      <c r="E15715" s="126"/>
      <c r="F15715" s="126"/>
      <c r="G15715" s="126"/>
      <c r="H15715" s="126"/>
      <c r="I15715" s="126"/>
    </row>
    <row r="15716" spans="1:9">
      <c r="A15716" s="126"/>
      <c r="B15716" s="126"/>
      <c r="C15716" s="126"/>
      <c r="D15716" s="126"/>
      <c r="E15716" s="126"/>
      <c r="F15716" s="126"/>
      <c r="G15716" s="126"/>
      <c r="H15716" s="126"/>
      <c r="I15716" s="126"/>
    </row>
    <row r="15717" spans="1:9">
      <c r="A15717" s="126"/>
      <c r="B15717" s="126"/>
      <c r="C15717" s="126"/>
      <c r="D15717" s="126"/>
      <c r="E15717" s="126"/>
      <c r="F15717" s="126"/>
      <c r="G15717" s="126"/>
      <c r="H15717" s="126"/>
      <c r="I15717" s="126"/>
    </row>
    <row r="15718" spans="1:9">
      <c r="A15718" s="126"/>
      <c r="B15718" s="126"/>
      <c r="C15718" s="126"/>
      <c r="D15718" s="126"/>
      <c r="E15718" s="126"/>
      <c r="F15718" s="126"/>
      <c r="G15718" s="126"/>
      <c r="H15718" s="126"/>
      <c r="I15718" s="126"/>
    </row>
    <row r="15719" spans="1:9">
      <c r="A15719" s="126"/>
      <c r="B15719" s="126"/>
      <c r="C15719" s="126"/>
      <c r="D15719" s="126"/>
      <c r="E15719" s="126"/>
      <c r="F15719" s="126"/>
      <c r="G15719" s="126"/>
      <c r="H15719" s="126"/>
      <c r="I15719" s="126"/>
    </row>
    <row r="15720" spans="1:9">
      <c r="A15720" s="126"/>
      <c r="B15720" s="126"/>
      <c r="C15720" s="126"/>
      <c r="D15720" s="126"/>
      <c r="E15720" s="126"/>
      <c r="F15720" s="126"/>
      <c r="G15720" s="126"/>
      <c r="H15720" s="126"/>
      <c r="I15720" s="126"/>
    </row>
    <row r="15721" spans="1:9">
      <c r="A15721" s="126"/>
      <c r="B15721" s="126"/>
      <c r="C15721" s="126"/>
      <c r="D15721" s="126"/>
      <c r="E15721" s="126"/>
      <c r="F15721" s="126"/>
      <c r="G15721" s="126"/>
      <c r="H15721" s="126"/>
      <c r="I15721" s="126"/>
    </row>
    <row r="15722" spans="1:9">
      <c r="A15722" s="126"/>
      <c r="B15722" s="126"/>
      <c r="C15722" s="126"/>
      <c r="D15722" s="126"/>
      <c r="E15722" s="126"/>
      <c r="F15722" s="126"/>
      <c r="G15722" s="126"/>
      <c r="H15722" s="126"/>
      <c r="I15722" s="126"/>
    </row>
    <row r="15723" spans="1:9">
      <c r="A15723" s="126"/>
      <c r="B15723" s="126"/>
      <c r="C15723" s="126"/>
      <c r="D15723" s="126"/>
      <c r="E15723" s="126"/>
      <c r="F15723" s="126"/>
      <c r="G15723" s="126"/>
      <c r="H15723" s="126"/>
      <c r="I15723" s="126"/>
    </row>
    <row r="15724" spans="1:9">
      <c r="A15724" s="126"/>
      <c r="B15724" s="126"/>
      <c r="C15724" s="126"/>
      <c r="D15724" s="126"/>
      <c r="E15724" s="126"/>
      <c r="F15724" s="126"/>
      <c r="G15724" s="126"/>
      <c r="H15724" s="126"/>
      <c r="I15724" s="126"/>
    </row>
    <row r="15725" spans="1:9">
      <c r="A15725" s="126"/>
      <c r="B15725" s="126"/>
      <c r="C15725" s="126"/>
      <c r="D15725" s="126"/>
      <c r="E15725" s="126"/>
      <c r="F15725" s="126"/>
      <c r="G15725" s="126"/>
      <c r="H15725" s="126"/>
      <c r="I15725" s="126"/>
    </row>
    <row r="15726" spans="1:9">
      <c r="A15726" s="126"/>
      <c r="B15726" s="126"/>
      <c r="C15726" s="126"/>
      <c r="D15726" s="126"/>
      <c r="E15726" s="126"/>
      <c r="F15726" s="126"/>
      <c r="G15726" s="126"/>
      <c r="H15726" s="126"/>
      <c r="I15726" s="126"/>
    </row>
    <row r="15727" spans="1:9">
      <c r="A15727" s="126"/>
      <c r="B15727" s="126"/>
      <c r="C15727" s="126"/>
      <c r="D15727" s="126"/>
      <c r="E15727" s="126"/>
      <c r="F15727" s="126"/>
      <c r="G15727" s="126"/>
      <c r="H15727" s="126"/>
      <c r="I15727" s="126"/>
    </row>
    <row r="15728" spans="1:9">
      <c r="A15728" s="126"/>
      <c r="B15728" s="126"/>
      <c r="C15728" s="126"/>
      <c r="D15728" s="126"/>
      <c r="E15728" s="126"/>
      <c r="F15728" s="126"/>
      <c r="G15728" s="126"/>
      <c r="H15728" s="126"/>
      <c r="I15728" s="126"/>
    </row>
    <row r="15729" spans="1:9">
      <c r="A15729" s="126"/>
      <c r="B15729" s="126"/>
      <c r="C15729" s="126"/>
      <c r="D15729" s="126"/>
      <c r="E15729" s="126"/>
      <c r="F15729" s="126"/>
      <c r="G15729" s="126"/>
      <c r="H15729" s="126"/>
      <c r="I15729" s="126"/>
    </row>
    <row r="15730" spans="1:9">
      <c r="A15730" s="126"/>
      <c r="B15730" s="126"/>
      <c r="C15730" s="126"/>
      <c r="D15730" s="126"/>
      <c r="E15730" s="126"/>
      <c r="F15730" s="126"/>
      <c r="G15730" s="126"/>
      <c r="H15730" s="126"/>
      <c r="I15730" s="126"/>
    </row>
    <row r="15731" spans="1:9">
      <c r="A15731" s="126"/>
      <c r="B15731" s="126"/>
      <c r="C15731" s="126"/>
      <c r="D15731" s="126"/>
      <c r="E15731" s="126"/>
      <c r="F15731" s="126"/>
      <c r="G15731" s="126"/>
      <c r="H15731" s="126"/>
      <c r="I15731" s="126"/>
    </row>
    <row r="15732" spans="1:9">
      <c r="A15732" s="126"/>
      <c r="B15732" s="126"/>
      <c r="C15732" s="126"/>
      <c r="D15732" s="126"/>
      <c r="E15732" s="126"/>
      <c r="F15732" s="126"/>
      <c r="G15732" s="126"/>
      <c r="H15732" s="126"/>
      <c r="I15732" s="126"/>
    </row>
    <row r="15733" spans="1:9">
      <c r="A15733" s="126"/>
      <c r="B15733" s="126"/>
      <c r="C15733" s="126"/>
      <c r="D15733" s="126"/>
      <c r="E15733" s="126"/>
      <c r="F15733" s="126"/>
      <c r="G15733" s="126"/>
      <c r="H15733" s="126"/>
      <c r="I15733" s="126"/>
    </row>
    <row r="15734" spans="1:9">
      <c r="A15734" s="126"/>
      <c r="B15734" s="126"/>
      <c r="C15734" s="126"/>
      <c r="D15734" s="126"/>
      <c r="E15734" s="126"/>
      <c r="F15734" s="126"/>
      <c r="G15734" s="126"/>
      <c r="H15734" s="126"/>
      <c r="I15734" s="126"/>
    </row>
    <row r="15735" spans="1:9">
      <c r="A15735" s="126"/>
      <c r="B15735" s="126"/>
      <c r="C15735" s="126"/>
      <c r="D15735" s="126"/>
      <c r="E15735" s="126"/>
      <c r="F15735" s="126"/>
      <c r="G15735" s="126"/>
      <c r="H15735" s="126"/>
      <c r="I15735" s="126"/>
    </row>
    <row r="15736" spans="1:9">
      <c r="A15736" s="126"/>
      <c r="B15736" s="126"/>
      <c r="C15736" s="126"/>
      <c r="D15736" s="126"/>
      <c r="E15736" s="126"/>
      <c r="F15736" s="126"/>
      <c r="G15736" s="126"/>
      <c r="H15736" s="126"/>
      <c r="I15736" s="126"/>
    </row>
    <row r="15737" spans="1:9">
      <c r="A15737" s="126"/>
      <c r="B15737" s="126"/>
      <c r="C15737" s="126"/>
      <c r="D15737" s="126"/>
      <c r="E15737" s="126"/>
      <c r="F15737" s="126"/>
      <c r="G15737" s="126"/>
      <c r="H15737" s="126"/>
      <c r="I15737" s="126"/>
    </row>
    <row r="15738" spans="1:9">
      <c r="A15738" s="126"/>
      <c r="B15738" s="126"/>
      <c r="C15738" s="126"/>
      <c r="D15738" s="126"/>
      <c r="E15738" s="126"/>
      <c r="F15738" s="126"/>
      <c r="G15738" s="126"/>
      <c r="H15738" s="126"/>
      <c r="I15738" s="126"/>
    </row>
    <row r="15739" spans="1:9">
      <c r="A15739" s="126"/>
      <c r="B15739" s="126"/>
      <c r="C15739" s="126"/>
      <c r="D15739" s="126"/>
      <c r="E15739" s="126"/>
      <c r="F15739" s="126"/>
      <c r="G15739" s="126"/>
      <c r="H15739" s="126"/>
      <c r="I15739" s="126"/>
    </row>
    <row r="15740" spans="1:9">
      <c r="A15740" s="126"/>
      <c r="B15740" s="126"/>
      <c r="C15740" s="126"/>
      <c r="D15740" s="126"/>
      <c r="E15740" s="126"/>
      <c r="F15740" s="126"/>
      <c r="G15740" s="126"/>
      <c r="H15740" s="126"/>
      <c r="I15740" s="126"/>
    </row>
    <row r="15741" spans="1:9">
      <c r="A15741" s="126"/>
      <c r="B15741" s="126"/>
      <c r="C15741" s="126"/>
      <c r="D15741" s="126"/>
      <c r="E15741" s="126"/>
      <c r="F15741" s="126"/>
      <c r="G15741" s="126"/>
      <c r="H15741" s="126"/>
      <c r="I15741" s="126"/>
    </row>
    <row r="15742" spans="1:9">
      <c r="A15742" s="126"/>
      <c r="B15742" s="126"/>
      <c r="C15742" s="126"/>
      <c r="D15742" s="126"/>
      <c r="E15742" s="126"/>
      <c r="F15742" s="126"/>
      <c r="G15742" s="126"/>
      <c r="H15742" s="126"/>
      <c r="I15742" s="126"/>
    </row>
    <row r="15743" spans="1:9">
      <c r="A15743" s="126"/>
      <c r="B15743" s="126"/>
      <c r="C15743" s="126"/>
      <c r="D15743" s="126"/>
      <c r="E15743" s="126"/>
      <c r="F15743" s="126"/>
      <c r="G15743" s="126"/>
      <c r="H15743" s="126"/>
      <c r="I15743" s="126"/>
    </row>
    <row r="15744" spans="1:9">
      <c r="A15744" s="126"/>
      <c r="B15744" s="126"/>
      <c r="C15744" s="126"/>
      <c r="D15744" s="126"/>
      <c r="E15744" s="126"/>
      <c r="F15744" s="126"/>
      <c r="G15744" s="126"/>
      <c r="H15744" s="126"/>
      <c r="I15744" s="126"/>
    </row>
    <row r="15745" spans="1:9">
      <c r="A15745" s="126"/>
      <c r="B15745" s="126"/>
      <c r="C15745" s="126"/>
      <c r="D15745" s="126"/>
      <c r="E15745" s="126"/>
      <c r="F15745" s="126"/>
      <c r="G15745" s="126"/>
      <c r="H15745" s="126"/>
      <c r="I15745" s="126"/>
    </row>
    <row r="15746" spans="1:9">
      <c r="A15746" s="126"/>
      <c r="B15746" s="126"/>
      <c r="C15746" s="126"/>
      <c r="D15746" s="126"/>
      <c r="E15746" s="126"/>
      <c r="F15746" s="126"/>
      <c r="G15746" s="126"/>
      <c r="H15746" s="126"/>
      <c r="I15746" s="126"/>
    </row>
    <row r="15747" spans="1:9">
      <c r="A15747" s="126"/>
      <c r="B15747" s="126"/>
      <c r="C15747" s="126"/>
      <c r="D15747" s="126"/>
      <c r="E15747" s="126"/>
      <c r="F15747" s="126"/>
      <c r="G15747" s="126"/>
      <c r="H15747" s="126"/>
      <c r="I15747" s="126"/>
    </row>
    <row r="15748" spans="1:9">
      <c r="A15748" s="126"/>
      <c r="B15748" s="126"/>
      <c r="C15748" s="126"/>
      <c r="D15748" s="126"/>
      <c r="E15748" s="126"/>
      <c r="F15748" s="126"/>
      <c r="G15748" s="126"/>
      <c r="H15748" s="126"/>
      <c r="I15748" s="126"/>
    </row>
    <row r="15749" spans="1:9">
      <c r="A15749" s="126"/>
      <c r="B15749" s="126"/>
      <c r="C15749" s="126"/>
      <c r="D15749" s="126"/>
      <c r="E15749" s="126"/>
      <c r="F15749" s="126"/>
      <c r="G15749" s="126"/>
      <c r="H15749" s="126"/>
      <c r="I15749" s="126"/>
    </row>
    <row r="15750" spans="1:9">
      <c r="A15750" s="126"/>
      <c r="B15750" s="126"/>
      <c r="C15750" s="126"/>
      <c r="D15750" s="126"/>
      <c r="E15750" s="126"/>
      <c r="F15750" s="126"/>
      <c r="G15750" s="126"/>
      <c r="H15750" s="126"/>
      <c r="I15750" s="126"/>
    </row>
    <row r="15751" spans="1:9">
      <c r="A15751" s="126"/>
      <c r="B15751" s="126"/>
      <c r="C15751" s="126"/>
      <c r="D15751" s="126"/>
      <c r="E15751" s="126"/>
      <c r="F15751" s="126"/>
      <c r="G15751" s="126"/>
      <c r="H15751" s="126"/>
      <c r="I15751" s="126"/>
    </row>
    <row r="15752" spans="1:9">
      <c r="A15752" s="126"/>
      <c r="B15752" s="126"/>
      <c r="C15752" s="126"/>
      <c r="D15752" s="126"/>
      <c r="E15752" s="126"/>
      <c r="F15752" s="126"/>
      <c r="G15752" s="126"/>
      <c r="H15752" s="126"/>
      <c r="I15752" s="126"/>
    </row>
    <row r="15753" spans="1:9">
      <c r="A15753" s="126"/>
      <c r="B15753" s="126"/>
      <c r="C15753" s="126"/>
      <c r="D15753" s="126"/>
      <c r="E15753" s="126"/>
      <c r="F15753" s="126"/>
      <c r="G15753" s="126"/>
      <c r="H15753" s="126"/>
      <c r="I15753" s="126"/>
    </row>
    <row r="15754" spans="1:9">
      <c r="A15754" s="126"/>
      <c r="B15754" s="126"/>
      <c r="C15754" s="126"/>
      <c r="D15754" s="126"/>
      <c r="E15754" s="126"/>
      <c r="F15754" s="126"/>
      <c r="G15754" s="126"/>
      <c r="H15754" s="126"/>
      <c r="I15754" s="126"/>
    </row>
    <row r="15755" spans="1:9">
      <c r="A15755" s="126"/>
      <c r="B15755" s="126"/>
      <c r="C15755" s="126"/>
      <c r="D15755" s="126"/>
      <c r="E15755" s="126"/>
      <c r="F15755" s="126"/>
      <c r="G15755" s="126"/>
      <c r="H15755" s="126"/>
      <c r="I15755" s="126"/>
    </row>
    <row r="15756" spans="1:9">
      <c r="A15756" s="126"/>
      <c r="B15756" s="126"/>
      <c r="C15756" s="126"/>
      <c r="D15756" s="126"/>
      <c r="E15756" s="126"/>
      <c r="F15756" s="126"/>
      <c r="G15756" s="126"/>
      <c r="H15756" s="126"/>
      <c r="I15756" s="126"/>
    </row>
    <row r="15757" spans="1:9">
      <c r="A15757" s="126"/>
      <c r="B15757" s="126"/>
      <c r="C15757" s="126"/>
      <c r="D15757" s="126"/>
      <c r="E15757" s="126"/>
      <c r="F15757" s="126"/>
      <c r="G15757" s="126"/>
      <c r="H15757" s="126"/>
      <c r="I15757" s="126"/>
    </row>
    <row r="15758" spans="1:9">
      <c r="A15758" s="126"/>
      <c r="B15758" s="126"/>
      <c r="C15758" s="126"/>
      <c r="D15758" s="126"/>
      <c r="E15758" s="126"/>
      <c r="F15758" s="126"/>
      <c r="G15758" s="126"/>
      <c r="H15758" s="126"/>
      <c r="I15758" s="126"/>
    </row>
    <row r="15759" spans="1:9">
      <c r="A15759" s="126"/>
      <c r="B15759" s="126"/>
      <c r="C15759" s="126"/>
      <c r="D15759" s="126"/>
      <c r="E15759" s="126"/>
      <c r="F15759" s="126"/>
      <c r="G15759" s="126"/>
      <c r="H15759" s="126"/>
      <c r="I15759" s="126"/>
    </row>
    <row r="15760" spans="1:9">
      <c r="A15760" s="126"/>
      <c r="B15760" s="126"/>
      <c r="C15760" s="126"/>
      <c r="D15760" s="126"/>
      <c r="E15760" s="126"/>
      <c r="F15760" s="126"/>
      <c r="G15760" s="126"/>
      <c r="H15760" s="126"/>
      <c r="I15760" s="126"/>
    </row>
    <row r="15761" spans="1:9">
      <c r="A15761" s="126"/>
      <c r="B15761" s="126"/>
      <c r="C15761" s="126"/>
      <c r="D15761" s="126"/>
      <c r="E15761" s="126"/>
      <c r="F15761" s="126"/>
      <c r="G15761" s="126"/>
      <c r="H15761" s="126"/>
      <c r="I15761" s="126"/>
    </row>
    <row r="15762" spans="1:9">
      <c r="A15762" s="126"/>
      <c r="B15762" s="126"/>
      <c r="C15762" s="126"/>
      <c r="D15762" s="126"/>
      <c r="E15762" s="126"/>
      <c r="F15762" s="126"/>
      <c r="G15762" s="126"/>
      <c r="H15762" s="126"/>
      <c r="I15762" s="126"/>
    </row>
    <row r="15763" spans="1:9">
      <c r="A15763" s="126"/>
      <c r="B15763" s="126"/>
      <c r="C15763" s="126"/>
      <c r="D15763" s="126"/>
      <c r="E15763" s="126"/>
      <c r="F15763" s="126"/>
      <c r="G15763" s="126"/>
      <c r="H15763" s="126"/>
      <c r="I15763" s="126"/>
    </row>
    <row r="15764" spans="1:9">
      <c r="A15764" s="126"/>
      <c r="B15764" s="126"/>
      <c r="C15764" s="126"/>
      <c r="D15764" s="126"/>
      <c r="E15764" s="126"/>
      <c r="F15764" s="126"/>
      <c r="G15764" s="126"/>
      <c r="H15764" s="126"/>
      <c r="I15764" s="126"/>
    </row>
    <row r="15765" spans="1:9">
      <c r="A15765" s="126"/>
      <c r="B15765" s="126"/>
      <c r="C15765" s="126"/>
      <c r="D15765" s="126"/>
      <c r="E15765" s="126"/>
      <c r="F15765" s="126"/>
      <c r="G15765" s="126"/>
      <c r="H15765" s="126"/>
      <c r="I15765" s="126"/>
    </row>
    <row r="15766" spans="1:9">
      <c r="A15766" s="126"/>
      <c r="B15766" s="126"/>
      <c r="C15766" s="126"/>
      <c r="D15766" s="126"/>
      <c r="E15766" s="126"/>
      <c r="F15766" s="126"/>
      <c r="G15766" s="126"/>
      <c r="H15766" s="126"/>
      <c r="I15766" s="126"/>
    </row>
    <row r="15767" spans="1:9">
      <c r="A15767" s="126"/>
      <c r="B15767" s="126"/>
      <c r="C15767" s="126"/>
      <c r="D15767" s="126"/>
      <c r="E15767" s="126"/>
      <c r="F15767" s="126"/>
      <c r="G15767" s="126"/>
      <c r="H15767" s="126"/>
      <c r="I15767" s="126"/>
    </row>
    <row r="15768" spans="1:9">
      <c r="A15768" s="126"/>
      <c r="B15768" s="126"/>
      <c r="C15768" s="126"/>
      <c r="D15768" s="126"/>
      <c r="E15768" s="126"/>
      <c r="F15768" s="126"/>
      <c r="G15768" s="126"/>
      <c r="H15768" s="126"/>
      <c r="I15768" s="126"/>
    </row>
    <row r="15769" spans="1:9">
      <c r="A15769" s="126"/>
      <c r="B15769" s="126"/>
      <c r="C15769" s="126"/>
      <c r="D15769" s="126"/>
      <c r="E15769" s="126"/>
      <c r="F15769" s="126"/>
      <c r="G15769" s="126"/>
      <c r="H15769" s="126"/>
      <c r="I15769" s="126"/>
    </row>
    <row r="15770" spans="1:9">
      <c r="A15770" s="126"/>
      <c r="B15770" s="126"/>
      <c r="C15770" s="126"/>
      <c r="D15770" s="126"/>
      <c r="E15770" s="126"/>
      <c r="F15770" s="126"/>
      <c r="G15770" s="126"/>
      <c r="H15770" s="126"/>
      <c r="I15770" s="126"/>
    </row>
    <row r="15771" spans="1:9">
      <c r="A15771" s="126"/>
      <c r="B15771" s="126"/>
      <c r="C15771" s="126"/>
      <c r="D15771" s="126"/>
      <c r="E15771" s="126"/>
      <c r="F15771" s="126"/>
      <c r="G15771" s="126"/>
      <c r="H15771" s="126"/>
      <c r="I15771" s="126"/>
    </row>
    <row r="15772" spans="1:9">
      <c r="A15772" s="126"/>
      <c r="B15772" s="126"/>
      <c r="C15772" s="126"/>
      <c r="D15772" s="126"/>
      <c r="E15772" s="126"/>
      <c r="F15772" s="126"/>
      <c r="G15772" s="126"/>
      <c r="H15772" s="126"/>
      <c r="I15772" s="126"/>
    </row>
    <row r="15773" spans="1:9">
      <c r="A15773" s="126"/>
      <c r="B15773" s="126"/>
      <c r="C15773" s="126"/>
      <c r="D15773" s="126"/>
      <c r="E15773" s="126"/>
      <c r="F15773" s="126"/>
      <c r="G15773" s="126"/>
      <c r="H15773" s="126"/>
      <c r="I15773" s="126"/>
    </row>
    <row r="15774" spans="1:9">
      <c r="A15774" s="126"/>
      <c r="B15774" s="126"/>
      <c r="C15774" s="126"/>
      <c r="D15774" s="126"/>
      <c r="E15774" s="126"/>
      <c r="F15774" s="126"/>
      <c r="G15774" s="126"/>
      <c r="H15774" s="126"/>
      <c r="I15774" s="126"/>
    </row>
    <row r="15775" spans="1:9">
      <c r="A15775" s="126"/>
      <c r="B15775" s="126"/>
      <c r="C15775" s="126"/>
      <c r="D15775" s="126"/>
      <c r="E15775" s="126"/>
      <c r="F15775" s="126"/>
      <c r="G15775" s="126"/>
      <c r="H15775" s="126"/>
      <c r="I15775" s="126"/>
    </row>
    <row r="15776" spans="1:9">
      <c r="A15776" s="126"/>
      <c r="B15776" s="126"/>
      <c r="C15776" s="126"/>
      <c r="D15776" s="126"/>
      <c r="E15776" s="126"/>
      <c r="F15776" s="126"/>
      <c r="G15776" s="126"/>
      <c r="H15776" s="126"/>
      <c r="I15776" s="126"/>
    </row>
    <row r="15777" spans="1:9">
      <c r="A15777" s="126"/>
      <c r="B15777" s="126"/>
      <c r="C15777" s="126"/>
      <c r="D15777" s="126"/>
      <c r="E15777" s="126"/>
      <c r="F15777" s="126"/>
      <c r="G15777" s="126"/>
      <c r="H15777" s="126"/>
      <c r="I15777" s="126"/>
    </row>
    <row r="15778" spans="1:9">
      <c r="A15778" s="126"/>
      <c r="B15778" s="126"/>
      <c r="C15778" s="126"/>
      <c r="D15778" s="126"/>
      <c r="E15778" s="126"/>
      <c r="F15778" s="126"/>
      <c r="G15778" s="126"/>
      <c r="H15778" s="126"/>
      <c r="I15778" s="126"/>
    </row>
    <row r="15779" spans="1:9">
      <c r="A15779" s="126"/>
      <c r="B15779" s="126"/>
      <c r="C15779" s="126"/>
      <c r="D15779" s="126"/>
      <c r="E15779" s="126"/>
      <c r="F15779" s="126"/>
      <c r="G15779" s="126"/>
      <c r="H15779" s="126"/>
      <c r="I15779" s="126"/>
    </row>
    <row r="15780" spans="1:9">
      <c r="A15780" s="126"/>
      <c r="B15780" s="126"/>
      <c r="C15780" s="126"/>
      <c r="D15780" s="126"/>
      <c r="E15780" s="126"/>
      <c r="F15780" s="126"/>
      <c r="G15780" s="126"/>
      <c r="H15780" s="126"/>
      <c r="I15780" s="126"/>
    </row>
    <row r="15781" spans="1:9">
      <c r="A15781" s="126"/>
      <c r="B15781" s="126"/>
      <c r="C15781" s="126"/>
      <c r="D15781" s="126"/>
      <c r="E15781" s="126"/>
      <c r="F15781" s="126"/>
      <c r="G15781" s="126"/>
      <c r="H15781" s="126"/>
      <c r="I15781" s="126"/>
    </row>
    <row r="15782" spans="1:9">
      <c r="A15782" s="126"/>
      <c r="B15782" s="126"/>
      <c r="C15782" s="126"/>
      <c r="D15782" s="126"/>
      <c r="E15782" s="126"/>
      <c r="F15782" s="126"/>
      <c r="G15782" s="126"/>
      <c r="H15782" s="126"/>
      <c r="I15782" s="126"/>
    </row>
    <row r="15783" spans="1:9">
      <c r="A15783" s="126"/>
      <c r="B15783" s="126"/>
      <c r="C15783" s="126"/>
      <c r="D15783" s="126"/>
      <c r="E15783" s="126"/>
      <c r="F15783" s="126"/>
      <c r="G15783" s="126"/>
      <c r="H15783" s="126"/>
      <c r="I15783" s="126"/>
    </row>
    <row r="15784" spans="1:9">
      <c r="A15784" s="126"/>
      <c r="B15784" s="126"/>
      <c r="C15784" s="126"/>
      <c r="D15784" s="126"/>
      <c r="E15784" s="126"/>
      <c r="F15784" s="126"/>
      <c r="G15784" s="126"/>
      <c r="H15784" s="126"/>
      <c r="I15784" s="126"/>
    </row>
    <row r="15785" spans="1:9">
      <c r="A15785" s="126"/>
      <c r="B15785" s="126"/>
      <c r="C15785" s="126"/>
      <c r="D15785" s="126"/>
      <c r="E15785" s="126"/>
      <c r="F15785" s="126"/>
      <c r="G15785" s="126"/>
      <c r="H15785" s="126"/>
      <c r="I15785" s="126"/>
    </row>
    <row r="15786" spans="1:9">
      <c r="A15786" s="126"/>
      <c r="B15786" s="126"/>
      <c r="C15786" s="126"/>
      <c r="D15786" s="126"/>
      <c r="E15786" s="126"/>
      <c r="F15786" s="126"/>
      <c r="G15786" s="126"/>
      <c r="H15786" s="126"/>
      <c r="I15786" s="126"/>
    </row>
    <row r="15787" spans="1:9">
      <c r="A15787" s="126"/>
      <c r="B15787" s="126"/>
      <c r="C15787" s="126"/>
      <c r="D15787" s="126"/>
      <c r="E15787" s="126"/>
      <c r="F15787" s="126"/>
      <c r="G15787" s="126"/>
      <c r="H15787" s="126"/>
      <c r="I15787" s="126"/>
    </row>
    <row r="15788" spans="1:9">
      <c r="A15788" s="126"/>
      <c r="B15788" s="126"/>
      <c r="C15788" s="126"/>
      <c r="D15788" s="126"/>
      <c r="E15788" s="126"/>
      <c r="F15788" s="126"/>
      <c r="G15788" s="126"/>
      <c r="H15788" s="126"/>
      <c r="I15788" s="126"/>
    </row>
    <row r="15789" spans="1:9">
      <c r="A15789" s="126"/>
      <c r="B15789" s="126"/>
      <c r="C15789" s="126"/>
      <c r="D15789" s="126"/>
      <c r="E15789" s="126"/>
      <c r="F15789" s="126"/>
      <c r="G15789" s="126"/>
      <c r="H15789" s="126"/>
      <c r="I15789" s="126"/>
    </row>
    <row r="15790" spans="1:9">
      <c r="A15790" s="126"/>
      <c r="B15790" s="126"/>
      <c r="C15790" s="126"/>
      <c r="D15790" s="126"/>
      <c r="E15790" s="126"/>
      <c r="F15790" s="126"/>
      <c r="G15790" s="126"/>
      <c r="H15790" s="126"/>
      <c r="I15790" s="126"/>
    </row>
    <row r="15791" spans="1:9">
      <c r="A15791" s="126"/>
      <c r="B15791" s="126"/>
      <c r="C15791" s="126"/>
      <c r="D15791" s="126"/>
      <c r="E15791" s="126"/>
      <c r="F15791" s="126"/>
      <c r="G15791" s="126"/>
      <c r="H15791" s="126"/>
      <c r="I15791" s="126"/>
    </row>
    <row r="15792" spans="1:9">
      <c r="A15792" s="126"/>
      <c r="B15792" s="126"/>
      <c r="C15792" s="126"/>
      <c r="D15792" s="126"/>
      <c r="E15792" s="126"/>
      <c r="F15792" s="126"/>
      <c r="G15792" s="126"/>
      <c r="H15792" s="126"/>
      <c r="I15792" s="126"/>
    </row>
    <row r="15793" spans="1:9">
      <c r="A15793" s="126"/>
      <c r="B15793" s="126"/>
      <c r="C15793" s="126"/>
      <c r="D15793" s="126"/>
      <c r="E15793" s="126"/>
      <c r="F15793" s="126"/>
      <c r="G15793" s="126"/>
      <c r="H15793" s="126"/>
      <c r="I15793" s="126"/>
    </row>
    <row r="15794" spans="1:9">
      <c r="A15794" s="126"/>
      <c r="B15794" s="126"/>
      <c r="C15794" s="126"/>
      <c r="D15794" s="126"/>
      <c r="E15794" s="126"/>
      <c r="F15794" s="126"/>
      <c r="G15794" s="126"/>
      <c r="H15794" s="126"/>
      <c r="I15794" s="126"/>
    </row>
    <row r="15795" spans="1:9">
      <c r="A15795" s="126"/>
      <c r="B15795" s="126"/>
      <c r="C15795" s="126"/>
      <c r="D15795" s="126"/>
      <c r="E15795" s="126"/>
      <c r="F15795" s="126"/>
      <c r="G15795" s="126"/>
      <c r="H15795" s="126"/>
      <c r="I15795" s="126"/>
    </row>
    <row r="15796" spans="1:9">
      <c r="A15796" s="126"/>
      <c r="B15796" s="126"/>
      <c r="C15796" s="126"/>
      <c r="D15796" s="126"/>
      <c r="E15796" s="126"/>
      <c r="F15796" s="126"/>
      <c r="G15796" s="126"/>
      <c r="H15796" s="126"/>
      <c r="I15796" s="126"/>
    </row>
    <row r="15797" spans="1:9">
      <c r="A15797" s="126"/>
      <c r="B15797" s="126"/>
      <c r="C15797" s="126"/>
      <c r="D15797" s="126"/>
      <c r="E15797" s="126"/>
      <c r="F15797" s="126"/>
      <c r="G15797" s="126"/>
      <c r="H15797" s="126"/>
      <c r="I15797" s="126"/>
    </row>
    <row r="15798" spans="1:9">
      <c r="A15798" s="126"/>
      <c r="B15798" s="126"/>
      <c r="C15798" s="126"/>
      <c r="D15798" s="126"/>
      <c r="E15798" s="126"/>
      <c r="F15798" s="126"/>
      <c r="G15798" s="126"/>
      <c r="H15798" s="126"/>
      <c r="I15798" s="126"/>
    </row>
    <row r="15799" spans="1:9">
      <c r="A15799" s="126"/>
      <c r="B15799" s="126"/>
      <c r="C15799" s="126"/>
      <c r="D15799" s="126"/>
      <c r="E15799" s="126"/>
      <c r="F15799" s="126"/>
      <c r="G15799" s="126"/>
      <c r="H15799" s="126"/>
      <c r="I15799" s="126"/>
    </row>
    <row r="15800" spans="1:9">
      <c r="A15800" s="126"/>
      <c r="B15800" s="126"/>
      <c r="C15800" s="126"/>
      <c r="D15800" s="126"/>
      <c r="E15800" s="126"/>
      <c r="F15800" s="126"/>
      <c r="G15800" s="126"/>
      <c r="H15800" s="126"/>
      <c r="I15800" s="126"/>
    </row>
    <row r="15801" spans="1:9">
      <c r="A15801" s="126"/>
      <c r="B15801" s="126"/>
      <c r="C15801" s="126"/>
      <c r="D15801" s="126"/>
      <c r="E15801" s="126"/>
      <c r="F15801" s="126"/>
      <c r="G15801" s="126"/>
      <c r="H15801" s="126"/>
      <c r="I15801" s="126"/>
    </row>
    <row r="15802" spans="1:9">
      <c r="A15802" s="126"/>
      <c r="B15802" s="126"/>
      <c r="C15802" s="126"/>
      <c r="D15802" s="126"/>
      <c r="E15802" s="126"/>
      <c r="F15802" s="126"/>
      <c r="G15802" s="126"/>
      <c r="H15802" s="126"/>
      <c r="I15802" s="126"/>
    </row>
    <row r="15803" spans="1:9">
      <c r="A15803" s="126"/>
      <c r="B15803" s="126"/>
      <c r="C15803" s="126"/>
      <c r="D15803" s="126"/>
      <c r="E15803" s="126"/>
      <c r="F15803" s="126"/>
      <c r="G15803" s="126"/>
      <c r="H15803" s="126"/>
      <c r="I15803" s="126"/>
    </row>
    <row r="15804" spans="1:9">
      <c r="A15804" s="126"/>
      <c r="B15804" s="126"/>
      <c r="C15804" s="126"/>
      <c r="D15804" s="126"/>
      <c r="E15804" s="126"/>
      <c r="F15804" s="126"/>
      <c r="G15804" s="126"/>
      <c r="H15804" s="126"/>
      <c r="I15804" s="126"/>
    </row>
    <row r="15805" spans="1:9">
      <c r="A15805" s="126"/>
      <c r="B15805" s="126"/>
      <c r="C15805" s="126"/>
      <c r="D15805" s="126"/>
      <c r="E15805" s="126"/>
      <c r="F15805" s="126"/>
      <c r="G15805" s="126"/>
      <c r="H15805" s="126"/>
      <c r="I15805" s="126"/>
    </row>
    <row r="15806" spans="1:9">
      <c r="A15806" s="126"/>
      <c r="B15806" s="126"/>
      <c r="C15806" s="126"/>
      <c r="D15806" s="126"/>
      <c r="E15806" s="126"/>
      <c r="F15806" s="126"/>
      <c r="G15806" s="126"/>
      <c r="H15806" s="126"/>
      <c r="I15806" s="126"/>
    </row>
    <row r="15807" spans="1:9">
      <c r="A15807" s="126"/>
      <c r="B15807" s="126"/>
      <c r="C15807" s="126"/>
      <c r="D15807" s="126"/>
      <c r="E15807" s="126"/>
      <c r="F15807" s="126"/>
      <c r="G15807" s="126"/>
      <c r="H15807" s="126"/>
      <c r="I15807" s="126"/>
    </row>
    <row r="15808" spans="1:9">
      <c r="A15808" s="126"/>
      <c r="B15808" s="126"/>
      <c r="C15808" s="126"/>
      <c r="D15808" s="126"/>
      <c r="E15808" s="126"/>
      <c r="F15808" s="126"/>
      <c r="G15808" s="126"/>
      <c r="H15808" s="126"/>
      <c r="I15808" s="126"/>
    </row>
    <row r="15809" spans="1:9">
      <c r="A15809" s="126"/>
      <c r="B15809" s="126"/>
      <c r="C15809" s="126"/>
      <c r="D15809" s="126"/>
      <c r="E15809" s="126"/>
      <c r="F15809" s="126"/>
      <c r="G15809" s="126"/>
      <c r="H15809" s="126"/>
      <c r="I15809" s="126"/>
    </row>
    <row r="15810" spans="1:9">
      <c r="A15810" s="126"/>
      <c r="B15810" s="126"/>
      <c r="C15810" s="126"/>
      <c r="D15810" s="126"/>
      <c r="E15810" s="126"/>
      <c r="F15810" s="126"/>
      <c r="G15810" s="126"/>
      <c r="H15810" s="126"/>
      <c r="I15810" s="126"/>
    </row>
    <row r="15811" spans="1:9">
      <c r="A15811" s="126"/>
      <c r="B15811" s="126"/>
      <c r="C15811" s="126"/>
      <c r="D15811" s="126"/>
      <c r="E15811" s="126"/>
      <c r="F15811" s="126"/>
      <c r="G15811" s="126"/>
      <c r="H15811" s="126"/>
      <c r="I15811" s="126"/>
    </row>
    <row r="15812" spans="1:9">
      <c r="A15812" s="126"/>
      <c r="B15812" s="126"/>
      <c r="C15812" s="126"/>
      <c r="D15812" s="126"/>
      <c r="E15812" s="126"/>
      <c r="F15812" s="126"/>
      <c r="G15812" s="126"/>
      <c r="H15812" s="126"/>
      <c r="I15812" s="126"/>
    </row>
    <row r="15813" spans="1:9">
      <c r="A15813" s="126"/>
      <c r="B15813" s="126"/>
      <c r="C15813" s="126"/>
      <c r="D15813" s="126"/>
      <c r="E15813" s="126"/>
      <c r="F15813" s="126"/>
      <c r="G15813" s="126"/>
      <c r="H15813" s="126"/>
      <c r="I15813" s="126"/>
    </row>
    <row r="15814" spans="1:9">
      <c r="A15814" s="126"/>
      <c r="B15814" s="126"/>
      <c r="C15814" s="126"/>
      <c r="D15814" s="126"/>
      <c r="E15814" s="126"/>
      <c r="F15814" s="126"/>
      <c r="G15814" s="126"/>
      <c r="H15814" s="126"/>
      <c r="I15814" s="126"/>
    </row>
    <row r="15815" spans="1:9">
      <c r="A15815" s="126"/>
      <c r="B15815" s="126"/>
      <c r="C15815" s="126"/>
      <c r="D15815" s="126"/>
      <c r="E15815" s="126"/>
      <c r="F15815" s="126"/>
      <c r="G15815" s="126"/>
      <c r="H15815" s="126"/>
      <c r="I15815" s="126"/>
    </row>
    <row r="15816" spans="1:9">
      <c r="A15816" s="126"/>
      <c r="B15816" s="126"/>
      <c r="C15816" s="126"/>
      <c r="D15816" s="126"/>
      <c r="E15816" s="126"/>
      <c r="F15816" s="126"/>
      <c r="G15816" s="126"/>
      <c r="H15816" s="126"/>
      <c r="I15816" s="126"/>
    </row>
    <row r="15817" spans="1:9">
      <c r="A15817" s="126"/>
      <c r="B15817" s="126"/>
      <c r="C15817" s="126"/>
      <c r="D15817" s="126"/>
      <c r="E15817" s="126"/>
      <c r="F15817" s="126"/>
      <c r="G15817" s="126"/>
      <c r="H15817" s="126"/>
      <c r="I15817" s="126"/>
    </row>
    <row r="15818" spans="1:9">
      <c r="A15818" s="126"/>
      <c r="B15818" s="126"/>
      <c r="C15818" s="126"/>
      <c r="D15818" s="126"/>
      <c r="E15818" s="126"/>
      <c r="F15818" s="126"/>
      <c r="G15818" s="126"/>
      <c r="H15818" s="126"/>
      <c r="I15818" s="126"/>
    </row>
    <row r="15819" spans="1:9">
      <c r="A15819" s="126"/>
      <c r="B15819" s="126"/>
      <c r="C15819" s="126"/>
      <c r="D15819" s="126"/>
      <c r="E15819" s="126"/>
      <c r="F15819" s="126"/>
      <c r="G15819" s="126"/>
      <c r="H15819" s="126"/>
      <c r="I15819" s="126"/>
    </row>
    <row r="15820" spans="1:9">
      <c r="A15820" s="126"/>
      <c r="B15820" s="126"/>
      <c r="C15820" s="126"/>
      <c r="D15820" s="126"/>
      <c r="E15820" s="126"/>
      <c r="F15820" s="126"/>
      <c r="G15820" s="126"/>
      <c r="H15820" s="126"/>
      <c r="I15820" s="126"/>
    </row>
    <row r="15821" spans="1:9">
      <c r="A15821" s="126"/>
      <c r="B15821" s="126"/>
      <c r="C15821" s="126"/>
      <c r="D15821" s="126"/>
      <c r="E15821" s="126"/>
      <c r="F15821" s="126"/>
      <c r="G15821" s="126"/>
      <c r="H15821" s="126"/>
      <c r="I15821" s="126"/>
    </row>
    <row r="15822" spans="1:9">
      <c r="A15822" s="126"/>
      <c r="B15822" s="126"/>
      <c r="C15822" s="126"/>
      <c r="D15822" s="126"/>
      <c r="E15822" s="126"/>
      <c r="F15822" s="126"/>
      <c r="G15822" s="126"/>
      <c r="H15822" s="126"/>
      <c r="I15822" s="126"/>
    </row>
    <row r="15823" spans="1:9">
      <c r="A15823" s="126"/>
      <c r="B15823" s="126"/>
      <c r="C15823" s="126"/>
      <c r="D15823" s="126"/>
      <c r="E15823" s="126"/>
      <c r="F15823" s="126"/>
      <c r="G15823" s="126"/>
      <c r="H15823" s="126"/>
      <c r="I15823" s="126"/>
    </row>
    <row r="15824" spans="1:9">
      <c r="A15824" s="126"/>
      <c r="B15824" s="126"/>
      <c r="C15824" s="126"/>
      <c r="D15824" s="126"/>
      <c r="E15824" s="126"/>
      <c r="F15824" s="126"/>
      <c r="G15824" s="126"/>
      <c r="H15824" s="126"/>
      <c r="I15824" s="126"/>
    </row>
    <row r="15825" spans="1:9">
      <c r="A15825" s="126"/>
      <c r="B15825" s="126"/>
      <c r="C15825" s="126"/>
      <c r="D15825" s="126"/>
      <c r="E15825" s="126"/>
      <c r="F15825" s="126"/>
      <c r="G15825" s="126"/>
      <c r="H15825" s="126"/>
      <c r="I15825" s="126"/>
    </row>
    <row r="15826" spans="1:9">
      <c r="A15826" s="126"/>
      <c r="B15826" s="126"/>
      <c r="C15826" s="126"/>
      <c r="D15826" s="126"/>
      <c r="E15826" s="126"/>
      <c r="F15826" s="126"/>
      <c r="G15826" s="126"/>
      <c r="H15826" s="126"/>
      <c r="I15826" s="126"/>
    </row>
    <row r="15827" spans="1:9">
      <c r="A15827" s="126"/>
      <c r="B15827" s="126"/>
      <c r="C15827" s="126"/>
      <c r="D15827" s="126"/>
      <c r="E15827" s="126"/>
      <c r="F15827" s="126"/>
      <c r="G15827" s="126"/>
      <c r="H15827" s="126"/>
      <c r="I15827" s="126"/>
    </row>
    <row r="15828" spans="1:9">
      <c r="A15828" s="126"/>
      <c r="B15828" s="126"/>
      <c r="C15828" s="126"/>
      <c r="D15828" s="126"/>
      <c r="E15828" s="126"/>
      <c r="F15828" s="126"/>
      <c r="G15828" s="126"/>
      <c r="H15828" s="126"/>
      <c r="I15828" s="126"/>
    </row>
    <row r="15829" spans="1:9">
      <c r="A15829" s="126"/>
      <c r="B15829" s="126"/>
      <c r="C15829" s="126"/>
      <c r="D15829" s="126"/>
      <c r="E15829" s="126"/>
      <c r="F15829" s="126"/>
      <c r="G15829" s="126"/>
      <c r="H15829" s="126"/>
      <c r="I15829" s="126"/>
    </row>
    <row r="15830" spans="1:9">
      <c r="A15830" s="126"/>
      <c r="B15830" s="126"/>
      <c r="C15830" s="126"/>
      <c r="D15830" s="126"/>
      <c r="E15830" s="126"/>
      <c r="F15830" s="126"/>
      <c r="G15830" s="126"/>
      <c r="H15830" s="126"/>
      <c r="I15830" s="126"/>
    </row>
    <row r="15831" spans="1:9">
      <c r="A15831" s="126"/>
      <c r="B15831" s="126"/>
      <c r="C15831" s="126"/>
      <c r="D15831" s="126"/>
      <c r="E15831" s="126"/>
      <c r="F15831" s="126"/>
      <c r="G15831" s="126"/>
      <c r="H15831" s="126"/>
      <c r="I15831" s="126"/>
    </row>
    <row r="15832" spans="1:9">
      <c r="A15832" s="126"/>
      <c r="B15832" s="126"/>
      <c r="C15832" s="126"/>
      <c r="D15832" s="126"/>
      <c r="E15832" s="126"/>
      <c r="F15832" s="126"/>
      <c r="G15832" s="126"/>
      <c r="H15832" s="126"/>
      <c r="I15832" s="126"/>
    </row>
    <row r="15833" spans="1:9">
      <c r="A15833" s="126"/>
      <c r="B15833" s="126"/>
      <c r="C15833" s="126"/>
      <c r="D15833" s="126"/>
      <c r="E15833" s="126"/>
      <c r="F15833" s="126"/>
      <c r="G15833" s="126"/>
      <c r="H15833" s="126"/>
      <c r="I15833" s="126"/>
    </row>
    <row r="15834" spans="1:9">
      <c r="A15834" s="126"/>
      <c r="B15834" s="126"/>
      <c r="C15834" s="126"/>
      <c r="D15834" s="126"/>
      <c r="E15834" s="126"/>
      <c r="F15834" s="126"/>
      <c r="G15834" s="126"/>
      <c r="H15834" s="126"/>
      <c r="I15834" s="126"/>
    </row>
    <row r="15835" spans="1:9">
      <c r="A15835" s="126"/>
      <c r="B15835" s="126"/>
      <c r="C15835" s="126"/>
      <c r="D15835" s="126"/>
      <c r="E15835" s="126"/>
      <c r="F15835" s="126"/>
      <c r="G15835" s="126"/>
      <c r="H15835" s="126"/>
      <c r="I15835" s="126"/>
    </row>
    <row r="15836" spans="1:9">
      <c r="A15836" s="126"/>
      <c r="B15836" s="126"/>
      <c r="C15836" s="126"/>
      <c r="D15836" s="126"/>
      <c r="E15836" s="126"/>
      <c r="F15836" s="126"/>
      <c r="G15836" s="126"/>
      <c r="H15836" s="126"/>
      <c r="I15836" s="126"/>
    </row>
    <row r="15837" spans="1:9">
      <c r="A15837" s="126"/>
      <c r="B15837" s="126"/>
      <c r="C15837" s="126"/>
      <c r="D15837" s="126"/>
      <c r="E15837" s="126"/>
      <c r="F15837" s="126"/>
      <c r="G15837" s="126"/>
      <c r="H15837" s="126"/>
      <c r="I15837" s="126"/>
    </row>
    <row r="15838" spans="1:9">
      <c r="A15838" s="126"/>
      <c r="B15838" s="126"/>
      <c r="C15838" s="126"/>
      <c r="D15838" s="126"/>
      <c r="E15838" s="126"/>
      <c r="F15838" s="126"/>
      <c r="G15838" s="126"/>
      <c r="H15838" s="126"/>
      <c r="I15838" s="126"/>
    </row>
    <row r="15839" spans="1:9">
      <c r="A15839" s="126"/>
      <c r="B15839" s="126"/>
      <c r="C15839" s="126"/>
      <c r="D15839" s="126"/>
      <c r="E15839" s="126"/>
      <c r="F15839" s="126"/>
      <c r="G15839" s="126"/>
      <c r="H15839" s="126"/>
      <c r="I15839" s="126"/>
    </row>
    <row r="15840" spans="1:9">
      <c r="A15840" s="126"/>
      <c r="B15840" s="126"/>
      <c r="C15840" s="126"/>
      <c r="D15840" s="126"/>
      <c r="E15840" s="126"/>
      <c r="F15840" s="126"/>
      <c r="G15840" s="126"/>
      <c r="H15840" s="126"/>
      <c r="I15840" s="126"/>
    </row>
    <row r="15841" spans="1:9">
      <c r="A15841" s="126"/>
      <c r="B15841" s="126"/>
      <c r="C15841" s="126"/>
      <c r="D15841" s="126"/>
      <c r="E15841" s="126"/>
      <c r="F15841" s="126"/>
      <c r="G15841" s="126"/>
      <c r="H15841" s="126"/>
      <c r="I15841" s="126"/>
    </row>
    <row r="15842" spans="1:9">
      <c r="A15842" s="126"/>
      <c r="B15842" s="126"/>
      <c r="C15842" s="126"/>
      <c r="D15842" s="126"/>
      <c r="E15842" s="126"/>
      <c r="F15842" s="126"/>
      <c r="G15842" s="126"/>
      <c r="H15842" s="126"/>
      <c r="I15842" s="126"/>
    </row>
    <row r="15843" spans="1:9">
      <c r="A15843" s="126"/>
      <c r="B15843" s="126"/>
      <c r="C15843" s="126"/>
      <c r="D15843" s="126"/>
      <c r="E15843" s="126"/>
      <c r="F15843" s="126"/>
      <c r="G15843" s="126"/>
      <c r="H15843" s="126"/>
      <c r="I15843" s="126"/>
    </row>
    <row r="15844" spans="1:9">
      <c r="A15844" s="126"/>
      <c r="B15844" s="126"/>
      <c r="C15844" s="126"/>
      <c r="D15844" s="126"/>
      <c r="E15844" s="126"/>
      <c r="F15844" s="126"/>
      <c r="G15844" s="126"/>
      <c r="H15844" s="126"/>
      <c r="I15844" s="126"/>
    </row>
    <row r="15845" spans="1:9">
      <c r="A15845" s="126"/>
      <c r="B15845" s="126"/>
      <c r="C15845" s="126"/>
      <c r="D15845" s="126"/>
      <c r="E15845" s="126"/>
      <c r="F15845" s="126"/>
      <c r="G15845" s="126"/>
      <c r="H15845" s="126"/>
      <c r="I15845" s="126"/>
    </row>
    <row r="15846" spans="1:9">
      <c r="A15846" s="126"/>
      <c r="B15846" s="126"/>
      <c r="C15846" s="126"/>
      <c r="D15846" s="126"/>
      <c r="E15846" s="126"/>
      <c r="F15846" s="126"/>
      <c r="G15846" s="126"/>
      <c r="H15846" s="126"/>
      <c r="I15846" s="126"/>
    </row>
    <row r="15847" spans="1:9">
      <c r="A15847" s="126"/>
      <c r="B15847" s="126"/>
      <c r="C15847" s="126"/>
      <c r="D15847" s="126"/>
      <c r="E15847" s="126"/>
      <c r="F15847" s="126"/>
      <c r="G15847" s="126"/>
      <c r="H15847" s="126"/>
      <c r="I15847" s="126"/>
    </row>
    <row r="15848" spans="1:9">
      <c r="A15848" s="126"/>
      <c r="B15848" s="126"/>
      <c r="C15848" s="126"/>
      <c r="D15848" s="126"/>
      <c r="E15848" s="126"/>
      <c r="F15848" s="126"/>
      <c r="G15848" s="126"/>
      <c r="H15848" s="126"/>
      <c r="I15848" s="126"/>
    </row>
    <row r="15849" spans="1:9">
      <c r="A15849" s="126"/>
      <c r="B15849" s="126"/>
      <c r="C15849" s="126"/>
      <c r="D15849" s="126"/>
      <c r="E15849" s="126"/>
      <c r="F15849" s="126"/>
      <c r="G15849" s="126"/>
      <c r="H15849" s="126"/>
      <c r="I15849" s="126"/>
    </row>
    <row r="15850" spans="1:9">
      <c r="A15850" s="126"/>
      <c r="B15850" s="126"/>
      <c r="C15850" s="126"/>
      <c r="D15850" s="126"/>
      <c r="E15850" s="126"/>
      <c r="F15850" s="126"/>
      <c r="G15850" s="126"/>
      <c r="H15850" s="126"/>
      <c r="I15850" s="126"/>
    </row>
    <row r="15851" spans="1:9">
      <c r="A15851" s="126"/>
      <c r="B15851" s="126"/>
      <c r="C15851" s="126"/>
      <c r="D15851" s="126"/>
      <c r="E15851" s="126"/>
      <c r="F15851" s="126"/>
      <c r="G15851" s="126"/>
      <c r="H15851" s="126"/>
      <c r="I15851" s="126"/>
    </row>
    <row r="15852" spans="1:9">
      <c r="A15852" s="126"/>
      <c r="B15852" s="126"/>
      <c r="C15852" s="126"/>
      <c r="D15852" s="126"/>
      <c r="E15852" s="126"/>
      <c r="F15852" s="126"/>
      <c r="G15852" s="126"/>
      <c r="H15852" s="126"/>
      <c r="I15852" s="126"/>
    </row>
    <row r="15853" spans="1:9">
      <c r="A15853" s="126"/>
      <c r="B15853" s="126"/>
      <c r="C15853" s="126"/>
      <c r="D15853" s="126"/>
      <c r="E15853" s="126"/>
      <c r="F15853" s="126"/>
      <c r="G15853" s="126"/>
      <c r="H15853" s="126"/>
      <c r="I15853" s="126"/>
    </row>
    <row r="15854" spans="1:9">
      <c r="A15854" s="126"/>
      <c r="B15854" s="126"/>
      <c r="C15854" s="126"/>
      <c r="D15854" s="126"/>
      <c r="E15854" s="126"/>
      <c r="F15854" s="126"/>
      <c r="G15854" s="126"/>
      <c r="H15854" s="126"/>
      <c r="I15854" s="126"/>
    </row>
    <row r="15855" spans="1:9">
      <c r="A15855" s="126"/>
      <c r="B15855" s="126"/>
      <c r="C15855" s="126"/>
      <c r="D15855" s="126"/>
      <c r="E15855" s="126"/>
      <c r="F15855" s="126"/>
      <c r="G15855" s="126"/>
      <c r="H15855" s="126"/>
      <c r="I15855" s="126"/>
    </row>
    <row r="15856" spans="1:9">
      <c r="A15856" s="126"/>
      <c r="B15856" s="126"/>
      <c r="C15856" s="126"/>
      <c r="D15856" s="126"/>
      <c r="E15856" s="126"/>
      <c r="F15856" s="126"/>
      <c r="G15856" s="126"/>
      <c r="H15856" s="126"/>
      <c r="I15856" s="126"/>
    </row>
    <row r="15857" spans="1:9">
      <c r="A15857" s="126"/>
      <c r="B15857" s="126"/>
      <c r="C15857" s="126"/>
      <c r="D15857" s="126"/>
      <c r="E15857" s="126"/>
      <c r="F15857" s="126"/>
      <c r="G15857" s="126"/>
      <c r="H15857" s="126"/>
      <c r="I15857" s="126"/>
    </row>
    <row r="15858" spans="1:9">
      <c r="A15858" s="126"/>
      <c r="B15858" s="126"/>
      <c r="C15858" s="126"/>
      <c r="D15858" s="126"/>
      <c r="E15858" s="126"/>
      <c r="F15858" s="126"/>
      <c r="G15858" s="126"/>
      <c r="H15858" s="126"/>
      <c r="I15858" s="126"/>
    </row>
    <row r="15859" spans="1:9">
      <c r="A15859" s="126"/>
      <c r="B15859" s="126"/>
      <c r="C15859" s="126"/>
      <c r="D15859" s="126"/>
      <c r="E15859" s="126"/>
      <c r="F15859" s="126"/>
      <c r="G15859" s="126"/>
      <c r="H15859" s="126"/>
      <c r="I15859" s="126"/>
    </row>
    <row r="15860" spans="1:9">
      <c r="A15860" s="126"/>
      <c r="B15860" s="126"/>
      <c r="C15860" s="126"/>
      <c r="D15860" s="126"/>
      <c r="E15860" s="126"/>
      <c r="F15860" s="126"/>
      <c r="G15860" s="126"/>
      <c r="H15860" s="126"/>
      <c r="I15860" s="126"/>
    </row>
    <row r="15861" spans="1:9">
      <c r="A15861" s="126"/>
      <c r="B15861" s="126"/>
      <c r="C15861" s="126"/>
      <c r="D15861" s="126"/>
      <c r="E15861" s="126"/>
      <c r="F15861" s="126"/>
      <c r="G15861" s="126"/>
      <c r="H15861" s="126"/>
      <c r="I15861" s="126"/>
    </row>
    <row r="15862" spans="1:9">
      <c r="A15862" s="126"/>
      <c r="B15862" s="126"/>
      <c r="C15862" s="126"/>
      <c r="D15862" s="126"/>
      <c r="E15862" s="126"/>
      <c r="F15862" s="126"/>
      <c r="G15862" s="126"/>
      <c r="H15862" s="126"/>
      <c r="I15862" s="126"/>
    </row>
    <row r="15863" spans="1:9">
      <c r="A15863" s="126"/>
      <c r="B15863" s="126"/>
      <c r="C15863" s="126"/>
      <c r="D15863" s="126"/>
      <c r="E15863" s="126"/>
      <c r="F15863" s="126"/>
      <c r="G15863" s="126"/>
      <c r="H15863" s="126"/>
      <c r="I15863" s="126"/>
    </row>
    <row r="15864" spans="1:9">
      <c r="A15864" s="126"/>
      <c r="B15864" s="126"/>
      <c r="C15864" s="126"/>
      <c r="D15864" s="126"/>
      <c r="E15864" s="126"/>
      <c r="F15864" s="126"/>
      <c r="G15864" s="126"/>
      <c r="H15864" s="126"/>
      <c r="I15864" s="126"/>
    </row>
    <row r="15865" spans="1:9">
      <c r="A15865" s="126"/>
      <c r="B15865" s="126"/>
      <c r="C15865" s="126"/>
      <c r="D15865" s="126"/>
      <c r="E15865" s="126"/>
      <c r="F15865" s="126"/>
      <c r="G15865" s="126"/>
      <c r="H15865" s="126"/>
      <c r="I15865" s="126"/>
    </row>
    <row r="15866" spans="1:9">
      <c r="A15866" s="126"/>
      <c r="B15866" s="126"/>
      <c r="C15866" s="126"/>
      <c r="D15866" s="126"/>
      <c r="E15866" s="126"/>
      <c r="F15866" s="126"/>
      <c r="G15866" s="126"/>
      <c r="H15866" s="126"/>
      <c r="I15866" s="126"/>
    </row>
    <row r="15867" spans="1:9">
      <c r="A15867" s="126"/>
      <c r="B15867" s="126"/>
      <c r="C15867" s="126"/>
      <c r="D15867" s="126"/>
      <c r="E15867" s="126"/>
      <c r="F15867" s="126"/>
      <c r="G15867" s="126"/>
      <c r="H15867" s="126"/>
      <c r="I15867" s="126"/>
    </row>
    <row r="15868" spans="1:9">
      <c r="A15868" s="126"/>
      <c r="B15868" s="126"/>
      <c r="C15868" s="126"/>
      <c r="D15868" s="126"/>
      <c r="E15868" s="126"/>
      <c r="F15868" s="126"/>
      <c r="G15868" s="126"/>
      <c r="H15868" s="126"/>
      <c r="I15868" s="126"/>
    </row>
    <row r="15869" spans="1:9">
      <c r="A15869" s="126"/>
      <c r="B15869" s="126"/>
      <c r="C15869" s="126"/>
      <c r="D15869" s="126"/>
      <c r="E15869" s="126"/>
      <c r="F15869" s="126"/>
      <c r="G15869" s="126"/>
      <c r="H15869" s="126"/>
      <c r="I15869" s="126"/>
    </row>
    <row r="15870" spans="1:9">
      <c r="A15870" s="126"/>
      <c r="B15870" s="126"/>
      <c r="C15870" s="126"/>
      <c r="D15870" s="126"/>
      <c r="E15870" s="126"/>
      <c r="F15870" s="126"/>
      <c r="G15870" s="126"/>
      <c r="H15870" s="126"/>
      <c r="I15870" s="126"/>
    </row>
    <row r="15871" spans="1:9">
      <c r="A15871" s="126"/>
      <c r="B15871" s="126"/>
      <c r="C15871" s="126"/>
      <c r="D15871" s="126"/>
      <c r="E15871" s="126"/>
      <c r="F15871" s="126"/>
      <c r="G15871" s="126"/>
      <c r="H15871" s="126"/>
      <c r="I15871" s="126"/>
    </row>
    <row r="15872" spans="1:9">
      <c r="A15872" s="126"/>
      <c r="B15872" s="126"/>
      <c r="C15872" s="126"/>
      <c r="D15872" s="126"/>
      <c r="E15872" s="126"/>
      <c r="F15872" s="126"/>
      <c r="G15872" s="126"/>
      <c r="H15872" s="126"/>
      <c r="I15872" s="126"/>
    </row>
    <row r="15873" spans="1:9">
      <c r="A15873" s="126"/>
      <c r="B15873" s="126"/>
      <c r="C15873" s="126"/>
      <c r="D15873" s="126"/>
      <c r="E15873" s="126"/>
      <c r="F15873" s="126"/>
      <c r="G15873" s="126"/>
      <c r="H15873" s="126"/>
      <c r="I15873" s="126"/>
    </row>
    <row r="15874" spans="1:9">
      <c r="A15874" s="126"/>
      <c r="B15874" s="126"/>
      <c r="C15874" s="126"/>
      <c r="D15874" s="126"/>
      <c r="E15874" s="126"/>
      <c r="F15874" s="126"/>
      <c r="G15874" s="126"/>
      <c r="H15874" s="126"/>
      <c r="I15874" s="126"/>
    </row>
    <row r="15875" spans="1:9">
      <c r="A15875" s="126"/>
      <c r="B15875" s="126"/>
      <c r="C15875" s="126"/>
      <c r="D15875" s="126"/>
      <c r="E15875" s="126"/>
      <c r="F15875" s="126"/>
      <c r="G15875" s="126"/>
      <c r="H15875" s="126"/>
      <c r="I15875" s="126"/>
    </row>
    <row r="15876" spans="1:9">
      <c r="A15876" s="126"/>
      <c r="B15876" s="126"/>
      <c r="C15876" s="126"/>
      <c r="D15876" s="126"/>
      <c r="E15876" s="126"/>
      <c r="F15876" s="126"/>
      <c r="G15876" s="126"/>
      <c r="H15876" s="126"/>
      <c r="I15876" s="126"/>
    </row>
    <row r="15877" spans="1:9">
      <c r="A15877" s="126"/>
      <c r="B15877" s="126"/>
      <c r="C15877" s="126"/>
      <c r="D15877" s="126"/>
      <c r="E15877" s="126"/>
      <c r="F15877" s="126"/>
      <c r="G15877" s="126"/>
      <c r="H15877" s="126"/>
      <c r="I15877" s="126"/>
    </row>
    <row r="15878" spans="1:9">
      <c r="A15878" s="126"/>
      <c r="B15878" s="126"/>
      <c r="C15878" s="126"/>
      <c r="D15878" s="126"/>
      <c r="E15878" s="126"/>
      <c r="F15878" s="126"/>
      <c r="G15878" s="126"/>
      <c r="H15878" s="126"/>
      <c r="I15878" s="126"/>
    </row>
    <row r="15879" spans="1:9">
      <c r="A15879" s="126"/>
      <c r="B15879" s="126"/>
      <c r="C15879" s="126"/>
      <c r="D15879" s="126"/>
      <c r="E15879" s="126"/>
      <c r="F15879" s="126"/>
      <c r="G15879" s="126"/>
      <c r="H15879" s="126"/>
      <c r="I15879" s="126"/>
    </row>
    <row r="15880" spans="1:9">
      <c r="A15880" s="126"/>
      <c r="B15880" s="126"/>
      <c r="C15880" s="126"/>
      <c r="D15880" s="126"/>
      <c r="E15880" s="126"/>
      <c r="F15880" s="126"/>
      <c r="G15880" s="126"/>
      <c r="H15880" s="126"/>
      <c r="I15880" s="126"/>
    </row>
    <row r="15881" spans="1:9">
      <c r="A15881" s="126"/>
      <c r="B15881" s="126"/>
      <c r="C15881" s="126"/>
      <c r="D15881" s="126"/>
      <c r="E15881" s="126"/>
      <c r="F15881" s="126"/>
      <c r="G15881" s="126"/>
      <c r="H15881" s="126"/>
      <c r="I15881" s="126"/>
    </row>
    <row r="15882" spans="1:9">
      <c r="A15882" s="126"/>
      <c r="B15882" s="126"/>
      <c r="C15882" s="126"/>
      <c r="D15882" s="126"/>
      <c r="E15882" s="126"/>
      <c r="F15882" s="126"/>
      <c r="G15882" s="126"/>
      <c r="H15882" s="126"/>
      <c r="I15882" s="126"/>
    </row>
    <row r="15883" spans="1:9">
      <c r="A15883" s="126"/>
      <c r="B15883" s="126"/>
      <c r="C15883" s="126"/>
      <c r="D15883" s="126"/>
      <c r="E15883" s="126"/>
      <c r="F15883" s="126"/>
      <c r="G15883" s="126"/>
      <c r="H15883" s="126"/>
      <c r="I15883" s="126"/>
    </row>
    <row r="15884" spans="1:9">
      <c r="A15884" s="126"/>
      <c r="B15884" s="126"/>
      <c r="C15884" s="126"/>
      <c r="D15884" s="126"/>
      <c r="E15884" s="126"/>
      <c r="F15884" s="126"/>
      <c r="G15884" s="126"/>
      <c r="H15884" s="126"/>
      <c r="I15884" s="126"/>
    </row>
    <row r="15885" spans="1:9">
      <c r="A15885" s="126"/>
      <c r="B15885" s="126"/>
      <c r="C15885" s="126"/>
      <c r="D15885" s="126"/>
      <c r="E15885" s="126"/>
      <c r="F15885" s="126"/>
      <c r="G15885" s="126"/>
      <c r="H15885" s="126"/>
      <c r="I15885" s="126"/>
    </row>
    <row r="15886" spans="1:9">
      <c r="A15886" s="126"/>
      <c r="B15886" s="126"/>
      <c r="C15886" s="126"/>
      <c r="D15886" s="126"/>
      <c r="E15886" s="126"/>
      <c r="F15886" s="126"/>
      <c r="G15886" s="126"/>
      <c r="H15886" s="126"/>
      <c r="I15886" s="126"/>
    </row>
    <row r="15887" spans="1:9">
      <c r="A15887" s="126"/>
      <c r="B15887" s="126"/>
      <c r="C15887" s="126"/>
      <c r="D15887" s="126"/>
      <c r="E15887" s="126"/>
      <c r="F15887" s="126"/>
      <c r="G15887" s="126"/>
      <c r="H15887" s="126"/>
      <c r="I15887" s="126"/>
    </row>
    <row r="15888" spans="1:9">
      <c r="A15888" s="126"/>
      <c r="B15888" s="126"/>
      <c r="C15888" s="126"/>
      <c r="D15888" s="126"/>
      <c r="E15888" s="126"/>
      <c r="F15888" s="126"/>
      <c r="G15888" s="126"/>
      <c r="H15888" s="126"/>
      <c r="I15888" s="126"/>
    </row>
    <row r="15889" spans="1:9">
      <c r="A15889" s="126"/>
      <c r="B15889" s="126"/>
      <c r="C15889" s="126"/>
      <c r="D15889" s="126"/>
      <c r="E15889" s="126"/>
      <c r="F15889" s="126"/>
      <c r="G15889" s="126"/>
      <c r="H15889" s="126"/>
      <c r="I15889" s="126"/>
    </row>
    <row r="15890" spans="1:9">
      <c r="A15890" s="126"/>
      <c r="B15890" s="126"/>
      <c r="C15890" s="126"/>
      <c r="D15890" s="126"/>
      <c r="E15890" s="126"/>
      <c r="F15890" s="126"/>
      <c r="G15890" s="126"/>
      <c r="H15890" s="126"/>
      <c r="I15890" s="126"/>
    </row>
    <row r="15891" spans="1:9">
      <c r="A15891" s="126"/>
      <c r="B15891" s="126"/>
      <c r="C15891" s="126"/>
      <c r="D15891" s="126"/>
      <c r="E15891" s="126"/>
      <c r="F15891" s="126"/>
      <c r="G15891" s="126"/>
      <c r="H15891" s="126"/>
      <c r="I15891" s="126"/>
    </row>
    <row r="15892" spans="1:9">
      <c r="A15892" s="126"/>
      <c r="B15892" s="126"/>
      <c r="C15892" s="126"/>
      <c r="D15892" s="126"/>
      <c r="E15892" s="126"/>
      <c r="F15892" s="126"/>
      <c r="G15892" s="126"/>
      <c r="H15892" s="126"/>
      <c r="I15892" s="126"/>
    </row>
    <row r="15893" spans="1:9">
      <c r="A15893" s="126"/>
      <c r="B15893" s="126"/>
      <c r="C15893" s="126"/>
      <c r="D15893" s="126"/>
      <c r="E15893" s="126"/>
      <c r="F15893" s="126"/>
      <c r="G15893" s="126"/>
      <c r="H15893" s="126"/>
      <c r="I15893" s="126"/>
    </row>
    <row r="15894" spans="1:9">
      <c r="A15894" s="126"/>
      <c r="B15894" s="126"/>
      <c r="C15894" s="126"/>
      <c r="D15894" s="126"/>
      <c r="E15894" s="126"/>
      <c r="F15894" s="126"/>
      <c r="G15894" s="126"/>
      <c r="H15894" s="126"/>
      <c r="I15894" s="126"/>
    </row>
    <row r="15895" spans="1:9">
      <c r="A15895" s="126"/>
      <c r="B15895" s="126"/>
      <c r="C15895" s="126"/>
      <c r="D15895" s="126"/>
      <c r="E15895" s="126"/>
      <c r="F15895" s="126"/>
      <c r="G15895" s="126"/>
      <c r="H15895" s="126"/>
      <c r="I15895" s="126"/>
    </row>
    <row r="15896" spans="1:9">
      <c r="A15896" s="126"/>
      <c r="B15896" s="126"/>
      <c r="C15896" s="126"/>
      <c r="D15896" s="126"/>
      <c r="E15896" s="126"/>
      <c r="F15896" s="126"/>
      <c r="G15896" s="126"/>
      <c r="H15896" s="126"/>
      <c r="I15896" s="126"/>
    </row>
    <row r="15897" spans="1:9">
      <c r="A15897" s="126"/>
      <c r="B15897" s="126"/>
      <c r="C15897" s="126"/>
      <c r="D15897" s="126"/>
      <c r="E15897" s="126"/>
      <c r="F15897" s="126"/>
      <c r="G15897" s="126"/>
      <c r="H15897" s="126"/>
      <c r="I15897" s="126"/>
    </row>
    <row r="15898" spans="1:9">
      <c r="A15898" s="126"/>
      <c r="B15898" s="126"/>
      <c r="C15898" s="126"/>
      <c r="D15898" s="126"/>
      <c r="E15898" s="126"/>
      <c r="F15898" s="126"/>
      <c r="G15898" s="126"/>
      <c r="H15898" s="126"/>
      <c r="I15898" s="126"/>
    </row>
    <row r="15899" spans="1:9">
      <c r="A15899" s="126"/>
      <c r="B15899" s="126"/>
      <c r="C15899" s="126"/>
      <c r="D15899" s="126"/>
      <c r="E15899" s="126"/>
      <c r="F15899" s="126"/>
      <c r="G15899" s="126"/>
      <c r="H15899" s="126"/>
      <c r="I15899" s="126"/>
    </row>
    <row r="15900" spans="1:9">
      <c r="A15900" s="126"/>
      <c r="B15900" s="126"/>
      <c r="C15900" s="126"/>
      <c r="D15900" s="126"/>
      <c r="E15900" s="126"/>
      <c r="F15900" s="126"/>
      <c r="G15900" s="126"/>
      <c r="H15900" s="126"/>
      <c r="I15900" s="126"/>
    </row>
    <row r="15901" spans="1:9">
      <c r="A15901" s="126"/>
      <c r="B15901" s="126"/>
      <c r="C15901" s="126"/>
      <c r="D15901" s="126"/>
      <c r="E15901" s="126"/>
      <c r="F15901" s="126"/>
      <c r="G15901" s="126"/>
      <c r="H15901" s="126"/>
      <c r="I15901" s="126"/>
    </row>
    <row r="15902" spans="1:9">
      <c r="A15902" s="126"/>
      <c r="B15902" s="126"/>
      <c r="C15902" s="126"/>
      <c r="D15902" s="126"/>
      <c r="E15902" s="126"/>
      <c r="F15902" s="126"/>
      <c r="G15902" s="126"/>
      <c r="H15902" s="126"/>
      <c r="I15902" s="126"/>
    </row>
    <row r="15903" spans="1:9">
      <c r="A15903" s="126"/>
      <c r="B15903" s="126"/>
      <c r="C15903" s="126"/>
      <c r="D15903" s="126"/>
      <c r="E15903" s="126"/>
      <c r="F15903" s="126"/>
      <c r="G15903" s="126"/>
      <c r="H15903" s="126"/>
      <c r="I15903" s="126"/>
    </row>
    <row r="15904" spans="1:9">
      <c r="A15904" s="126"/>
      <c r="B15904" s="126"/>
      <c r="C15904" s="126"/>
      <c r="D15904" s="126"/>
      <c r="E15904" s="126"/>
      <c r="F15904" s="126"/>
      <c r="G15904" s="126"/>
      <c r="H15904" s="126"/>
      <c r="I15904" s="126"/>
    </row>
    <row r="15905" spans="1:9">
      <c r="A15905" s="126"/>
      <c r="B15905" s="126"/>
      <c r="C15905" s="126"/>
      <c r="D15905" s="126"/>
      <c r="E15905" s="126"/>
      <c r="F15905" s="126"/>
      <c r="G15905" s="126"/>
      <c r="H15905" s="126"/>
      <c r="I15905" s="126"/>
    </row>
    <row r="15906" spans="1:9">
      <c r="A15906" s="126"/>
      <c r="B15906" s="126"/>
      <c r="C15906" s="126"/>
      <c r="D15906" s="126"/>
      <c r="E15906" s="126"/>
      <c r="F15906" s="126"/>
      <c r="G15906" s="126"/>
      <c r="H15906" s="126"/>
      <c r="I15906" s="126"/>
    </row>
    <row r="15907" spans="1:9">
      <c r="A15907" s="126"/>
      <c r="B15907" s="126"/>
      <c r="C15907" s="126"/>
      <c r="D15907" s="126"/>
      <c r="E15907" s="126"/>
      <c r="F15907" s="126"/>
      <c r="G15907" s="126"/>
      <c r="H15907" s="126"/>
      <c r="I15907" s="126"/>
    </row>
    <row r="15908" spans="1:9">
      <c r="A15908" s="126"/>
      <c r="B15908" s="126"/>
      <c r="C15908" s="126"/>
      <c r="D15908" s="126"/>
      <c r="E15908" s="126"/>
      <c r="F15908" s="126"/>
      <c r="G15908" s="126"/>
      <c r="H15908" s="126"/>
      <c r="I15908" s="126"/>
    </row>
    <row r="15909" spans="1:9">
      <c r="A15909" s="126"/>
      <c r="B15909" s="126"/>
      <c r="C15909" s="126"/>
      <c r="D15909" s="126"/>
      <c r="E15909" s="126"/>
      <c r="F15909" s="126"/>
      <c r="G15909" s="126"/>
      <c r="H15909" s="126"/>
      <c r="I15909" s="126"/>
    </row>
    <row r="15910" spans="1:9">
      <c r="A15910" s="126"/>
      <c r="B15910" s="126"/>
      <c r="C15910" s="126"/>
      <c r="D15910" s="126"/>
      <c r="E15910" s="126"/>
      <c r="F15910" s="126"/>
      <c r="G15910" s="126"/>
      <c r="H15910" s="126"/>
      <c r="I15910" s="126"/>
    </row>
    <row r="15911" spans="1:9">
      <c r="A15911" s="126"/>
      <c r="B15911" s="126"/>
      <c r="C15911" s="126"/>
      <c r="D15911" s="126"/>
      <c r="E15911" s="126"/>
      <c r="F15911" s="126"/>
      <c r="G15911" s="126"/>
      <c r="H15911" s="126"/>
      <c r="I15911" s="126"/>
    </row>
    <row r="15912" spans="1:9">
      <c r="A15912" s="126"/>
      <c r="B15912" s="126"/>
      <c r="C15912" s="126"/>
      <c r="D15912" s="126"/>
      <c r="E15912" s="126"/>
      <c r="F15912" s="126"/>
      <c r="G15912" s="126"/>
      <c r="H15912" s="126"/>
      <c r="I15912" s="126"/>
    </row>
    <row r="15913" spans="1:9">
      <c r="A15913" s="126"/>
      <c r="B15913" s="126"/>
      <c r="C15913" s="126"/>
      <c r="D15913" s="126"/>
      <c r="E15913" s="126"/>
      <c r="F15913" s="126"/>
      <c r="G15913" s="126"/>
      <c r="H15913" s="126"/>
      <c r="I15913" s="126"/>
    </row>
    <row r="15914" spans="1:9">
      <c r="A15914" s="126"/>
      <c r="B15914" s="126"/>
      <c r="C15914" s="126"/>
      <c r="D15914" s="126"/>
      <c r="E15914" s="126"/>
      <c r="F15914" s="126"/>
      <c r="G15914" s="126"/>
      <c r="H15914" s="126"/>
      <c r="I15914" s="126"/>
    </row>
    <row r="15915" spans="1:9">
      <c r="A15915" s="126"/>
      <c r="B15915" s="126"/>
      <c r="C15915" s="126"/>
      <c r="D15915" s="126"/>
      <c r="E15915" s="126"/>
      <c r="F15915" s="126"/>
      <c r="G15915" s="126"/>
      <c r="H15915" s="126"/>
      <c r="I15915" s="126"/>
    </row>
    <row r="15916" spans="1:9">
      <c r="A15916" s="126"/>
      <c r="B15916" s="126"/>
      <c r="C15916" s="126"/>
      <c r="D15916" s="126"/>
      <c r="E15916" s="126"/>
      <c r="F15916" s="126"/>
      <c r="G15916" s="126"/>
      <c r="H15916" s="126"/>
      <c r="I15916" s="126"/>
    </row>
    <row r="15917" spans="1:9">
      <c r="A15917" s="126"/>
      <c r="B15917" s="126"/>
      <c r="C15917" s="126"/>
      <c r="D15917" s="126"/>
      <c r="E15917" s="126"/>
      <c r="F15917" s="126"/>
      <c r="G15917" s="126"/>
      <c r="H15917" s="126"/>
      <c r="I15917" s="126"/>
    </row>
    <row r="15918" spans="1:9">
      <c r="A15918" s="126"/>
      <c r="B15918" s="126"/>
      <c r="C15918" s="126"/>
      <c r="D15918" s="126"/>
      <c r="E15918" s="126"/>
      <c r="F15918" s="126"/>
      <c r="G15918" s="126"/>
      <c r="H15918" s="126"/>
      <c r="I15918" s="126"/>
    </row>
    <row r="15919" spans="1:9">
      <c r="A15919" s="126"/>
      <c r="B15919" s="126"/>
      <c r="C15919" s="126"/>
      <c r="D15919" s="126"/>
      <c r="E15919" s="126"/>
      <c r="F15919" s="126"/>
      <c r="G15919" s="126"/>
      <c r="H15919" s="126"/>
      <c r="I15919" s="126"/>
    </row>
    <row r="15920" spans="1:9">
      <c r="A15920" s="126"/>
      <c r="B15920" s="126"/>
      <c r="C15920" s="126"/>
      <c r="D15920" s="126"/>
      <c r="E15920" s="126"/>
      <c r="F15920" s="126"/>
      <c r="G15920" s="126"/>
      <c r="H15920" s="126"/>
      <c r="I15920" s="126"/>
    </row>
    <row r="15921" spans="1:9">
      <c r="A15921" s="126"/>
      <c r="B15921" s="126"/>
      <c r="C15921" s="126"/>
      <c r="D15921" s="126"/>
      <c r="E15921" s="126"/>
      <c r="F15921" s="126"/>
      <c r="G15921" s="126"/>
      <c r="H15921" s="126"/>
      <c r="I15921" s="126"/>
    </row>
    <row r="15922" spans="1:9">
      <c r="A15922" s="126"/>
      <c r="B15922" s="126"/>
      <c r="C15922" s="126"/>
      <c r="D15922" s="126"/>
      <c r="E15922" s="126"/>
      <c r="F15922" s="126"/>
      <c r="G15922" s="126"/>
      <c r="H15922" s="126"/>
      <c r="I15922" s="126"/>
    </row>
    <row r="15923" spans="1:9">
      <c r="A15923" s="126"/>
      <c r="B15923" s="126"/>
      <c r="C15923" s="126"/>
      <c r="D15923" s="126"/>
      <c r="E15923" s="126"/>
      <c r="F15923" s="126"/>
      <c r="G15923" s="126"/>
      <c r="H15923" s="126"/>
      <c r="I15923" s="126"/>
    </row>
    <row r="15924" spans="1:9">
      <c r="A15924" s="126"/>
      <c r="B15924" s="126"/>
      <c r="C15924" s="126"/>
      <c r="D15924" s="126"/>
      <c r="E15924" s="126"/>
      <c r="F15924" s="126"/>
      <c r="G15924" s="126"/>
      <c r="H15924" s="126"/>
      <c r="I15924" s="126"/>
    </row>
    <row r="15925" spans="1:9">
      <c r="A15925" s="126"/>
      <c r="B15925" s="126"/>
      <c r="C15925" s="126"/>
      <c r="D15925" s="126"/>
      <c r="E15925" s="126"/>
      <c r="F15925" s="126"/>
      <c r="G15925" s="126"/>
      <c r="H15925" s="126"/>
      <c r="I15925" s="126"/>
    </row>
    <row r="15926" spans="1:9">
      <c r="A15926" s="126"/>
      <c r="B15926" s="126"/>
      <c r="C15926" s="126"/>
      <c r="D15926" s="126"/>
      <c r="E15926" s="126"/>
      <c r="F15926" s="126"/>
      <c r="G15926" s="126"/>
      <c r="H15926" s="126"/>
      <c r="I15926" s="126"/>
    </row>
    <row r="15927" spans="1:9">
      <c r="A15927" s="126"/>
      <c r="B15927" s="126"/>
      <c r="C15927" s="126"/>
      <c r="D15927" s="126"/>
      <c r="E15927" s="126"/>
      <c r="F15927" s="126"/>
      <c r="G15927" s="126"/>
      <c r="H15927" s="126"/>
      <c r="I15927" s="126"/>
    </row>
    <row r="15928" spans="1:9">
      <c r="A15928" s="126"/>
      <c r="B15928" s="126"/>
      <c r="C15928" s="126"/>
      <c r="D15928" s="126"/>
      <c r="E15928" s="126"/>
      <c r="F15928" s="126"/>
      <c r="G15928" s="126"/>
      <c r="H15928" s="126"/>
      <c r="I15928" s="126"/>
    </row>
    <row r="15929" spans="1:9">
      <c r="A15929" s="126"/>
      <c r="B15929" s="126"/>
      <c r="C15929" s="126"/>
      <c r="D15929" s="126"/>
      <c r="E15929" s="126"/>
      <c r="F15929" s="126"/>
      <c r="G15929" s="126"/>
      <c r="H15929" s="126"/>
      <c r="I15929" s="126"/>
    </row>
    <row r="15930" spans="1:9">
      <c r="A15930" s="126"/>
      <c r="B15930" s="126"/>
      <c r="C15930" s="126"/>
      <c r="D15930" s="126"/>
      <c r="E15930" s="126"/>
      <c r="F15930" s="126"/>
      <c r="G15930" s="126"/>
      <c r="H15930" s="126"/>
      <c r="I15930" s="126"/>
    </row>
    <row r="15931" spans="1:9">
      <c r="A15931" s="126"/>
      <c r="B15931" s="126"/>
      <c r="C15931" s="126"/>
      <c r="D15931" s="126"/>
      <c r="E15931" s="126"/>
      <c r="F15931" s="126"/>
      <c r="G15931" s="126"/>
      <c r="H15931" s="126"/>
      <c r="I15931" s="126"/>
    </row>
    <row r="15932" spans="1:9">
      <c r="A15932" s="126"/>
      <c r="B15932" s="126"/>
      <c r="C15932" s="126"/>
      <c r="D15932" s="126"/>
      <c r="E15932" s="126"/>
      <c r="F15932" s="126"/>
      <c r="G15932" s="126"/>
      <c r="H15932" s="126"/>
      <c r="I15932" s="126"/>
    </row>
    <row r="15933" spans="1:9">
      <c r="A15933" s="126"/>
      <c r="B15933" s="126"/>
      <c r="C15933" s="126"/>
      <c r="D15933" s="126"/>
      <c r="E15933" s="126"/>
      <c r="F15933" s="126"/>
      <c r="G15933" s="126"/>
      <c r="H15933" s="126"/>
      <c r="I15933" s="126"/>
    </row>
    <row r="15934" spans="1:9">
      <c r="A15934" s="126"/>
      <c r="B15934" s="126"/>
      <c r="C15934" s="126"/>
      <c r="D15934" s="126"/>
      <c r="E15934" s="126"/>
      <c r="F15934" s="126"/>
      <c r="G15934" s="126"/>
      <c r="H15934" s="126"/>
      <c r="I15934" s="126"/>
    </row>
    <row r="15935" spans="1:9">
      <c r="A15935" s="126"/>
      <c r="B15935" s="126"/>
      <c r="C15935" s="126"/>
      <c r="D15935" s="126"/>
      <c r="E15935" s="126"/>
      <c r="F15935" s="126"/>
      <c r="G15935" s="126"/>
      <c r="H15935" s="126"/>
      <c r="I15935" s="126"/>
    </row>
    <row r="15936" spans="1:9">
      <c r="A15936" s="126"/>
      <c r="B15936" s="126"/>
      <c r="C15936" s="126"/>
      <c r="D15936" s="126"/>
      <c r="E15936" s="126"/>
      <c r="F15936" s="126"/>
      <c r="G15936" s="126"/>
      <c r="H15936" s="126"/>
      <c r="I15936" s="126"/>
    </row>
    <row r="15937" spans="1:9">
      <c r="A15937" s="126"/>
      <c r="B15937" s="126"/>
      <c r="C15937" s="126"/>
      <c r="D15937" s="126"/>
      <c r="E15937" s="126"/>
      <c r="F15937" s="126"/>
      <c r="G15937" s="126"/>
      <c r="H15937" s="126"/>
      <c r="I15937" s="126"/>
    </row>
    <row r="15938" spans="1:9">
      <c r="A15938" s="126"/>
      <c r="B15938" s="126"/>
      <c r="C15938" s="126"/>
      <c r="D15938" s="126"/>
      <c r="E15938" s="126"/>
      <c r="F15938" s="126"/>
      <c r="G15938" s="126"/>
      <c r="H15938" s="126"/>
      <c r="I15938" s="126"/>
    </row>
    <row r="15939" spans="1:9">
      <c r="A15939" s="126"/>
      <c r="B15939" s="126"/>
      <c r="C15939" s="126"/>
      <c r="D15939" s="126"/>
      <c r="E15939" s="126"/>
      <c r="F15939" s="126"/>
      <c r="G15939" s="126"/>
      <c r="H15939" s="126"/>
      <c r="I15939" s="126"/>
    </row>
    <row r="15940" spans="1:9">
      <c r="A15940" s="126"/>
      <c r="B15940" s="126"/>
      <c r="C15940" s="126"/>
      <c r="D15940" s="126"/>
      <c r="E15940" s="126"/>
      <c r="F15940" s="126"/>
      <c r="G15940" s="126"/>
      <c r="H15940" s="126"/>
      <c r="I15940" s="126"/>
    </row>
    <row r="15941" spans="1:9">
      <c r="A15941" s="126"/>
      <c r="B15941" s="126"/>
      <c r="C15941" s="126"/>
      <c r="D15941" s="126"/>
      <c r="E15941" s="126"/>
      <c r="F15941" s="126"/>
      <c r="G15941" s="126"/>
      <c r="H15941" s="126"/>
      <c r="I15941" s="126"/>
    </row>
    <row r="15942" spans="1:9">
      <c r="A15942" s="126"/>
      <c r="B15942" s="126"/>
      <c r="C15942" s="126"/>
      <c r="D15942" s="126"/>
      <c r="E15942" s="126"/>
      <c r="F15942" s="126"/>
      <c r="G15942" s="126"/>
      <c r="H15942" s="126"/>
      <c r="I15942" s="126"/>
    </row>
    <row r="15943" spans="1:9">
      <c r="A15943" s="126"/>
      <c r="B15943" s="126"/>
      <c r="C15943" s="126"/>
      <c r="D15943" s="126"/>
      <c r="E15943" s="126"/>
      <c r="F15943" s="126"/>
      <c r="G15943" s="126"/>
      <c r="H15943" s="126"/>
      <c r="I15943" s="126"/>
    </row>
    <row r="15944" spans="1:9">
      <c r="A15944" s="126"/>
      <c r="B15944" s="126"/>
      <c r="C15944" s="126"/>
      <c r="D15944" s="126"/>
      <c r="E15944" s="126"/>
      <c r="F15944" s="126"/>
      <c r="G15944" s="126"/>
      <c r="H15944" s="126"/>
      <c r="I15944" s="126"/>
    </row>
    <row r="15945" spans="1:9">
      <c r="A15945" s="126"/>
      <c r="B15945" s="126"/>
      <c r="C15945" s="126"/>
      <c r="D15945" s="126"/>
      <c r="E15945" s="126"/>
      <c r="F15945" s="126"/>
      <c r="G15945" s="126"/>
      <c r="H15945" s="126"/>
      <c r="I15945" s="126"/>
    </row>
    <row r="15946" spans="1:9">
      <c r="A15946" s="126"/>
      <c r="B15946" s="126"/>
      <c r="C15946" s="126"/>
      <c r="D15946" s="126"/>
      <c r="E15946" s="126"/>
      <c r="F15946" s="126"/>
      <c r="G15946" s="126"/>
      <c r="H15946" s="126"/>
      <c r="I15946" s="126"/>
    </row>
    <row r="15947" spans="1:9">
      <c r="A15947" s="126"/>
      <c r="B15947" s="126"/>
      <c r="C15947" s="126"/>
      <c r="D15947" s="126"/>
      <c r="E15947" s="126"/>
      <c r="F15947" s="126"/>
      <c r="G15947" s="126"/>
      <c r="H15947" s="126"/>
      <c r="I15947" s="126"/>
    </row>
    <row r="15948" spans="1:9">
      <c r="A15948" s="126"/>
      <c r="B15948" s="126"/>
      <c r="C15948" s="126"/>
      <c r="D15948" s="126"/>
      <c r="E15948" s="126"/>
      <c r="F15948" s="126"/>
      <c r="G15948" s="126"/>
      <c r="H15948" s="126"/>
      <c r="I15948" s="126"/>
    </row>
    <row r="15949" spans="1:9">
      <c r="A15949" s="126"/>
      <c r="B15949" s="126"/>
      <c r="C15949" s="126"/>
      <c r="D15949" s="126"/>
      <c r="E15949" s="126"/>
      <c r="F15949" s="126"/>
      <c r="G15949" s="126"/>
      <c r="H15949" s="126"/>
      <c r="I15949" s="126"/>
    </row>
    <row r="15950" spans="1:9">
      <c r="A15950" s="126"/>
      <c r="B15950" s="126"/>
      <c r="C15950" s="126"/>
      <c r="D15950" s="126"/>
      <c r="E15950" s="126"/>
      <c r="F15950" s="126"/>
      <c r="G15950" s="126"/>
      <c r="H15950" s="126"/>
      <c r="I15950" s="126"/>
    </row>
    <row r="15951" spans="1:9">
      <c r="A15951" s="126"/>
      <c r="B15951" s="126"/>
      <c r="C15951" s="126"/>
      <c r="D15951" s="126"/>
      <c r="E15951" s="126"/>
      <c r="F15951" s="126"/>
      <c r="G15951" s="126"/>
      <c r="H15951" s="126"/>
      <c r="I15951" s="126"/>
    </row>
    <row r="15952" spans="1:9">
      <c r="A15952" s="126"/>
      <c r="B15952" s="126"/>
      <c r="C15952" s="126"/>
      <c r="D15952" s="126"/>
      <c r="E15952" s="126"/>
      <c r="F15952" s="126"/>
      <c r="G15952" s="126"/>
      <c r="H15952" s="126"/>
      <c r="I15952" s="126"/>
    </row>
    <row r="15953" spans="1:9">
      <c r="A15953" s="126"/>
      <c r="B15953" s="126"/>
      <c r="C15953" s="126"/>
      <c r="D15953" s="126"/>
      <c r="E15953" s="126"/>
      <c r="F15953" s="126"/>
      <c r="G15953" s="126"/>
      <c r="H15953" s="126"/>
      <c r="I15953" s="126"/>
    </row>
    <row r="15954" spans="1:9">
      <c r="A15954" s="126"/>
      <c r="B15954" s="126"/>
      <c r="C15954" s="126"/>
      <c r="D15954" s="126"/>
      <c r="E15954" s="126"/>
      <c r="F15954" s="126"/>
      <c r="G15954" s="126"/>
      <c r="H15954" s="126"/>
      <c r="I15954" s="126"/>
    </row>
    <row r="15955" spans="1:9">
      <c r="A15955" s="126"/>
      <c r="B15955" s="126"/>
      <c r="C15955" s="126"/>
      <c r="D15955" s="126"/>
      <c r="E15955" s="126"/>
      <c r="F15955" s="126"/>
      <c r="G15955" s="126"/>
      <c r="H15955" s="126"/>
      <c r="I15955" s="126"/>
    </row>
    <row r="15956" spans="1:9">
      <c r="A15956" s="126"/>
      <c r="B15956" s="126"/>
      <c r="C15956" s="126"/>
      <c r="D15956" s="126"/>
      <c r="E15956" s="126"/>
      <c r="F15956" s="126"/>
      <c r="G15956" s="126"/>
      <c r="H15956" s="126"/>
      <c r="I15956" s="126"/>
    </row>
    <row r="15957" spans="1:9">
      <c r="A15957" s="126"/>
      <c r="B15957" s="126"/>
      <c r="C15957" s="126"/>
      <c r="D15957" s="126"/>
      <c r="E15957" s="126"/>
      <c r="F15957" s="126"/>
      <c r="G15957" s="126"/>
      <c r="H15957" s="126"/>
      <c r="I15957" s="126"/>
    </row>
    <row r="15958" spans="1:9">
      <c r="A15958" s="126"/>
      <c r="B15958" s="126"/>
      <c r="C15958" s="126"/>
      <c r="D15958" s="126"/>
      <c r="E15958" s="126"/>
      <c r="F15958" s="126"/>
      <c r="G15958" s="126"/>
      <c r="H15958" s="126"/>
      <c r="I15958" s="126"/>
    </row>
    <row r="15959" spans="1:9">
      <c r="A15959" s="126"/>
      <c r="B15959" s="126"/>
      <c r="C15959" s="126"/>
      <c r="D15959" s="126"/>
      <c r="E15959" s="126"/>
      <c r="F15959" s="126"/>
      <c r="G15959" s="126"/>
      <c r="H15959" s="126"/>
      <c r="I15959" s="126"/>
    </row>
    <row r="15960" spans="1:9">
      <c r="A15960" s="126"/>
      <c r="B15960" s="126"/>
      <c r="C15960" s="126"/>
      <c r="D15960" s="126"/>
      <c r="E15960" s="126"/>
      <c r="F15960" s="126"/>
      <c r="G15960" s="126"/>
      <c r="H15960" s="126"/>
      <c r="I15960" s="126"/>
    </row>
    <row r="15961" spans="1:9">
      <c r="A15961" s="126"/>
      <c r="B15961" s="126"/>
      <c r="C15961" s="126"/>
      <c r="D15961" s="126"/>
      <c r="E15961" s="126"/>
      <c r="F15961" s="126"/>
      <c r="G15961" s="126"/>
      <c r="H15961" s="126"/>
      <c r="I15961" s="126"/>
    </row>
    <row r="15962" spans="1:9">
      <c r="A15962" s="126"/>
      <c r="B15962" s="126"/>
      <c r="C15962" s="126"/>
      <c r="D15962" s="126"/>
      <c r="E15962" s="126"/>
      <c r="F15962" s="126"/>
      <c r="G15962" s="126"/>
      <c r="H15962" s="126"/>
      <c r="I15962" s="126"/>
    </row>
    <row r="15963" spans="1:9">
      <c r="A15963" s="126"/>
      <c r="B15963" s="126"/>
      <c r="C15963" s="126"/>
      <c r="D15963" s="126"/>
      <c r="E15963" s="126"/>
      <c r="F15963" s="126"/>
      <c r="G15963" s="126"/>
      <c r="H15963" s="126"/>
      <c r="I15963" s="126"/>
    </row>
    <row r="15964" spans="1:9">
      <c r="A15964" s="126"/>
      <c r="B15964" s="126"/>
      <c r="C15964" s="126"/>
      <c r="D15964" s="126"/>
      <c r="E15964" s="126"/>
      <c r="F15964" s="126"/>
      <c r="G15964" s="126"/>
      <c r="H15964" s="126"/>
      <c r="I15964" s="126"/>
    </row>
    <row r="15965" spans="1:9">
      <c r="A15965" s="126"/>
      <c r="B15965" s="126"/>
      <c r="C15965" s="126"/>
      <c r="D15965" s="126"/>
      <c r="E15965" s="126"/>
      <c r="F15965" s="126"/>
      <c r="G15965" s="126"/>
      <c r="H15965" s="126"/>
      <c r="I15965" s="126"/>
    </row>
    <row r="15966" spans="1:9">
      <c r="A15966" s="126"/>
      <c r="B15966" s="126"/>
      <c r="C15966" s="126"/>
      <c r="D15966" s="126"/>
      <c r="E15966" s="126"/>
      <c r="F15966" s="126"/>
      <c r="G15966" s="126"/>
      <c r="H15966" s="126"/>
      <c r="I15966" s="126"/>
    </row>
    <row r="15967" spans="1:9">
      <c r="A15967" s="126"/>
      <c r="B15967" s="126"/>
      <c r="C15967" s="126"/>
      <c r="D15967" s="126"/>
      <c r="E15967" s="126"/>
      <c r="F15967" s="126"/>
      <c r="G15967" s="126"/>
      <c r="H15967" s="126"/>
      <c r="I15967" s="126"/>
    </row>
    <row r="15968" spans="1:9">
      <c r="A15968" s="126"/>
      <c r="B15968" s="126"/>
      <c r="C15968" s="126"/>
      <c r="D15968" s="126"/>
      <c r="E15968" s="126"/>
      <c r="F15968" s="126"/>
      <c r="G15968" s="126"/>
      <c r="H15968" s="126"/>
      <c r="I15968" s="126"/>
    </row>
    <row r="15969" spans="1:9">
      <c r="A15969" s="126"/>
      <c r="B15969" s="126"/>
      <c r="C15969" s="126"/>
      <c r="D15969" s="126"/>
      <c r="E15969" s="126"/>
      <c r="F15969" s="126"/>
      <c r="G15969" s="126"/>
      <c r="H15969" s="126"/>
      <c r="I15969" s="126"/>
    </row>
    <row r="15970" spans="1:9">
      <c r="A15970" s="126"/>
      <c r="B15970" s="126"/>
      <c r="C15970" s="126"/>
      <c r="D15970" s="126"/>
      <c r="E15970" s="126"/>
      <c r="F15970" s="126"/>
      <c r="G15970" s="126"/>
      <c r="H15970" s="126"/>
      <c r="I15970" s="126"/>
    </row>
    <row r="15971" spans="1:9">
      <c r="A15971" s="126"/>
      <c r="B15971" s="126"/>
      <c r="C15971" s="126"/>
      <c r="D15971" s="126"/>
      <c r="E15971" s="126"/>
      <c r="F15971" s="126"/>
      <c r="G15971" s="126"/>
      <c r="H15971" s="126"/>
      <c r="I15971" s="126"/>
    </row>
    <row r="15972" spans="1:9">
      <c r="A15972" s="126"/>
      <c r="B15972" s="126"/>
      <c r="C15972" s="126"/>
      <c r="D15972" s="126"/>
      <c r="E15972" s="126"/>
      <c r="F15972" s="126"/>
      <c r="G15972" s="126"/>
      <c r="H15972" s="126"/>
      <c r="I15972" s="126"/>
    </row>
    <row r="15973" spans="1:9">
      <c r="A15973" s="126"/>
      <c r="B15973" s="126"/>
      <c r="C15973" s="126"/>
      <c r="D15973" s="126"/>
      <c r="E15973" s="126"/>
      <c r="F15973" s="126"/>
      <c r="G15973" s="126"/>
      <c r="H15973" s="126"/>
      <c r="I15973" s="126"/>
    </row>
    <row r="15974" spans="1:9">
      <c r="A15974" s="126"/>
      <c r="B15974" s="126"/>
      <c r="C15974" s="126"/>
      <c r="D15974" s="126"/>
      <c r="E15974" s="126"/>
      <c r="F15974" s="126"/>
      <c r="G15974" s="126"/>
      <c r="H15974" s="126"/>
      <c r="I15974" s="126"/>
    </row>
    <row r="15975" spans="1:9">
      <c r="A15975" s="126"/>
      <c r="B15975" s="126"/>
      <c r="C15975" s="126"/>
      <c r="D15975" s="126"/>
      <c r="E15975" s="126"/>
      <c r="F15975" s="126"/>
      <c r="G15975" s="126"/>
      <c r="H15975" s="126"/>
      <c r="I15975" s="126"/>
    </row>
    <row r="15976" spans="1:9">
      <c r="A15976" s="126"/>
      <c r="B15976" s="126"/>
      <c r="C15976" s="126"/>
      <c r="D15976" s="126"/>
      <c r="E15976" s="126"/>
      <c r="F15976" s="126"/>
      <c r="G15976" s="126"/>
      <c r="H15976" s="126"/>
      <c r="I15976" s="126"/>
    </row>
    <row r="15977" spans="1:9">
      <c r="A15977" s="126"/>
      <c r="B15977" s="126"/>
      <c r="C15977" s="126"/>
      <c r="D15977" s="126"/>
      <c r="E15977" s="126"/>
      <c r="F15977" s="126"/>
      <c r="G15977" s="126"/>
      <c r="H15977" s="126"/>
      <c r="I15977" s="126"/>
    </row>
    <row r="15978" spans="1:9">
      <c r="A15978" s="126"/>
      <c r="B15978" s="126"/>
      <c r="C15978" s="126"/>
      <c r="D15978" s="126"/>
      <c r="E15978" s="126"/>
      <c r="F15978" s="126"/>
      <c r="G15978" s="126"/>
      <c r="H15978" s="126"/>
      <c r="I15978" s="126"/>
    </row>
    <row r="15979" spans="1:9">
      <c r="A15979" s="126"/>
      <c r="B15979" s="126"/>
      <c r="C15979" s="126"/>
      <c r="D15979" s="126"/>
      <c r="E15979" s="126"/>
      <c r="F15979" s="126"/>
      <c r="G15979" s="126"/>
      <c r="H15979" s="126"/>
      <c r="I15979" s="126"/>
    </row>
    <row r="15980" spans="1:9">
      <c r="A15980" s="126"/>
      <c r="B15980" s="126"/>
      <c r="C15980" s="126"/>
      <c r="D15980" s="126"/>
      <c r="E15980" s="126"/>
      <c r="F15980" s="126"/>
      <c r="G15980" s="126"/>
      <c r="H15980" s="126"/>
      <c r="I15980" s="126"/>
    </row>
    <row r="15981" spans="1:9">
      <c r="A15981" s="126"/>
      <c r="B15981" s="126"/>
      <c r="C15981" s="126"/>
      <c r="D15981" s="126"/>
      <c r="E15981" s="126"/>
      <c r="F15981" s="126"/>
      <c r="G15981" s="126"/>
      <c r="H15981" s="126"/>
      <c r="I15981" s="126"/>
    </row>
    <row r="15982" spans="1:9">
      <c r="A15982" s="126"/>
      <c r="B15982" s="126"/>
      <c r="C15982" s="126"/>
      <c r="D15982" s="126"/>
      <c r="E15982" s="126"/>
      <c r="F15982" s="126"/>
      <c r="G15982" s="126"/>
      <c r="H15982" s="126"/>
      <c r="I15982" s="126"/>
    </row>
    <row r="15983" spans="1:9">
      <c r="A15983" s="126"/>
      <c r="B15983" s="126"/>
      <c r="C15983" s="126"/>
      <c r="D15983" s="126"/>
      <c r="E15983" s="126"/>
      <c r="F15983" s="126"/>
      <c r="G15983" s="126"/>
      <c r="H15983" s="126"/>
      <c r="I15983" s="126"/>
    </row>
    <row r="15984" spans="1:9">
      <c r="A15984" s="126"/>
      <c r="B15984" s="126"/>
      <c r="C15984" s="126"/>
      <c r="D15984" s="126"/>
      <c r="E15984" s="126"/>
      <c r="F15984" s="126"/>
      <c r="G15984" s="126"/>
      <c r="H15984" s="126"/>
      <c r="I15984" s="126"/>
    </row>
    <row r="15985" spans="1:9">
      <c r="A15985" s="126"/>
      <c r="B15985" s="126"/>
      <c r="C15985" s="126"/>
      <c r="D15985" s="126"/>
      <c r="E15985" s="126"/>
      <c r="F15985" s="126"/>
      <c r="G15985" s="126"/>
      <c r="H15985" s="126"/>
      <c r="I15985" s="126"/>
    </row>
    <row r="15986" spans="1:9">
      <c r="A15986" s="126"/>
      <c r="B15986" s="126"/>
      <c r="C15986" s="126"/>
      <c r="D15986" s="126"/>
      <c r="E15986" s="126"/>
      <c r="F15986" s="126"/>
      <c r="G15986" s="126"/>
      <c r="H15986" s="126"/>
      <c r="I15986" s="126"/>
    </row>
    <row r="15987" spans="1:9">
      <c r="A15987" s="126"/>
      <c r="B15987" s="126"/>
      <c r="C15987" s="126"/>
      <c r="D15987" s="126"/>
      <c r="E15987" s="126"/>
      <c r="F15987" s="126"/>
      <c r="G15987" s="126"/>
      <c r="H15987" s="126"/>
      <c r="I15987" s="126"/>
    </row>
    <row r="15988" spans="1:9">
      <c r="A15988" s="126"/>
      <c r="B15988" s="126"/>
      <c r="C15988" s="126"/>
      <c r="D15988" s="126"/>
      <c r="E15988" s="126"/>
      <c r="F15988" s="126"/>
      <c r="G15988" s="126"/>
      <c r="H15988" s="126"/>
      <c r="I15988" s="126"/>
    </row>
    <row r="15989" spans="1:9">
      <c r="A15989" s="126"/>
      <c r="B15989" s="126"/>
      <c r="C15989" s="126"/>
      <c r="D15989" s="126"/>
      <c r="E15989" s="126"/>
      <c r="F15989" s="126"/>
      <c r="G15989" s="126"/>
      <c r="H15989" s="126"/>
      <c r="I15989" s="126"/>
    </row>
    <row r="15990" spans="1:9">
      <c r="A15990" s="126"/>
      <c r="B15990" s="126"/>
      <c r="C15990" s="126"/>
      <c r="D15990" s="126"/>
      <c r="E15990" s="126"/>
      <c r="F15990" s="126"/>
      <c r="G15990" s="126"/>
      <c r="H15990" s="126"/>
      <c r="I15990" s="126"/>
    </row>
    <row r="15991" spans="1:9">
      <c r="A15991" s="126"/>
      <c r="B15991" s="126"/>
      <c r="C15991" s="126"/>
      <c r="D15991" s="126"/>
      <c r="E15991" s="126"/>
      <c r="F15991" s="126"/>
      <c r="G15991" s="126"/>
      <c r="H15991" s="126"/>
      <c r="I15991" s="126"/>
    </row>
    <row r="15992" spans="1:9">
      <c r="A15992" s="126"/>
      <c r="B15992" s="126"/>
      <c r="C15992" s="126"/>
      <c r="D15992" s="126"/>
      <c r="E15992" s="126"/>
      <c r="F15992" s="126"/>
      <c r="G15992" s="126"/>
      <c r="H15992" s="126"/>
      <c r="I15992" s="126"/>
    </row>
    <row r="15993" spans="1:9">
      <c r="A15993" s="126"/>
      <c r="B15993" s="126"/>
      <c r="C15993" s="126"/>
      <c r="D15993" s="126"/>
      <c r="E15993" s="126"/>
      <c r="F15993" s="126"/>
      <c r="G15993" s="126"/>
      <c r="H15993" s="126"/>
      <c r="I15993" s="126"/>
    </row>
    <row r="15994" spans="1:9">
      <c r="A15994" s="126"/>
      <c r="B15994" s="126"/>
      <c r="C15994" s="126"/>
      <c r="D15994" s="126"/>
      <c r="E15994" s="126"/>
      <c r="F15994" s="126"/>
      <c r="G15994" s="126"/>
      <c r="H15994" s="126"/>
      <c r="I15994" s="126"/>
    </row>
    <row r="15995" spans="1:9">
      <c r="A15995" s="126"/>
      <c r="B15995" s="126"/>
      <c r="C15995" s="126"/>
      <c r="D15995" s="126"/>
      <c r="E15995" s="126"/>
      <c r="F15995" s="126"/>
      <c r="G15995" s="126"/>
      <c r="H15995" s="126"/>
      <c r="I15995" s="126"/>
    </row>
    <row r="15996" spans="1:9">
      <c r="A15996" s="126"/>
      <c r="B15996" s="126"/>
      <c r="C15996" s="126"/>
      <c r="D15996" s="126"/>
      <c r="E15996" s="126"/>
      <c r="F15996" s="126"/>
      <c r="G15996" s="126"/>
      <c r="H15996" s="126"/>
      <c r="I15996" s="126"/>
    </row>
    <row r="15997" spans="1:9">
      <c r="A15997" s="126"/>
      <c r="B15997" s="126"/>
      <c r="C15997" s="126"/>
      <c r="D15997" s="126"/>
      <c r="E15997" s="126"/>
      <c r="F15997" s="126"/>
      <c r="G15997" s="126"/>
      <c r="H15997" s="126"/>
      <c r="I15997" s="126"/>
    </row>
    <row r="15998" spans="1:9">
      <c r="A15998" s="126"/>
      <c r="B15998" s="126"/>
      <c r="C15998" s="126"/>
      <c r="D15998" s="126"/>
      <c r="E15998" s="126"/>
      <c r="F15998" s="126"/>
      <c r="G15998" s="126"/>
      <c r="H15998" s="126"/>
      <c r="I15998" s="126"/>
    </row>
    <row r="15999" spans="1:9">
      <c r="A15999" s="126"/>
      <c r="B15999" s="126"/>
      <c r="C15999" s="126"/>
      <c r="D15999" s="126"/>
      <c r="E15999" s="126"/>
      <c r="F15999" s="126"/>
      <c r="G15999" s="126"/>
      <c r="H15999" s="126"/>
      <c r="I15999" s="126"/>
    </row>
    <row r="16000" spans="1:9">
      <c r="A16000" s="126"/>
      <c r="B16000" s="126"/>
      <c r="C16000" s="126"/>
      <c r="D16000" s="126"/>
      <c r="E16000" s="126"/>
      <c r="F16000" s="126"/>
      <c r="G16000" s="126"/>
      <c r="H16000" s="126"/>
      <c r="I16000" s="126"/>
    </row>
    <row r="16001" spans="1:9">
      <c r="A16001" s="126"/>
      <c r="B16001" s="126"/>
      <c r="C16001" s="126"/>
      <c r="D16001" s="126"/>
      <c r="E16001" s="126"/>
      <c r="F16001" s="126"/>
      <c r="G16001" s="126"/>
      <c r="H16001" s="126"/>
      <c r="I16001" s="126"/>
    </row>
    <row r="16002" spans="1:9">
      <c r="A16002" s="126"/>
      <c r="B16002" s="126"/>
      <c r="C16002" s="126"/>
      <c r="D16002" s="126"/>
      <c r="E16002" s="126"/>
      <c r="F16002" s="126"/>
      <c r="G16002" s="126"/>
      <c r="H16002" s="126"/>
      <c r="I16002" s="126"/>
    </row>
    <row r="16003" spans="1:9">
      <c r="A16003" s="126"/>
      <c r="B16003" s="126"/>
      <c r="C16003" s="126"/>
      <c r="D16003" s="126"/>
      <c r="E16003" s="126"/>
      <c r="F16003" s="126"/>
      <c r="G16003" s="126"/>
      <c r="H16003" s="126"/>
      <c r="I16003" s="126"/>
    </row>
    <row r="16004" spans="1:9">
      <c r="A16004" s="126"/>
      <c r="B16004" s="126"/>
      <c r="C16004" s="126"/>
      <c r="D16004" s="126"/>
      <c r="E16004" s="126"/>
      <c r="F16004" s="126"/>
      <c r="G16004" s="126"/>
      <c r="H16004" s="126"/>
      <c r="I16004" s="126"/>
    </row>
    <row r="16005" spans="1:9">
      <c r="A16005" s="126"/>
      <c r="B16005" s="126"/>
      <c r="C16005" s="126"/>
      <c r="D16005" s="126"/>
      <c r="E16005" s="126"/>
      <c r="F16005" s="126"/>
      <c r="G16005" s="126"/>
      <c r="H16005" s="126"/>
      <c r="I16005" s="126"/>
    </row>
    <row r="16006" spans="1:9">
      <c r="A16006" s="126"/>
      <c r="B16006" s="126"/>
      <c r="C16006" s="126"/>
      <c r="D16006" s="126"/>
      <c r="E16006" s="126"/>
      <c r="F16006" s="126"/>
      <c r="G16006" s="126"/>
      <c r="H16006" s="126"/>
      <c r="I16006" s="126"/>
    </row>
    <row r="16007" spans="1:9">
      <c r="A16007" s="126"/>
      <c r="B16007" s="126"/>
      <c r="C16007" s="126"/>
      <c r="D16007" s="126"/>
      <c r="E16007" s="126"/>
      <c r="F16007" s="126"/>
      <c r="G16007" s="126"/>
      <c r="H16007" s="126"/>
      <c r="I16007" s="126"/>
    </row>
    <row r="16008" spans="1:9">
      <c r="A16008" s="126"/>
      <c r="B16008" s="126"/>
      <c r="C16008" s="126"/>
      <c r="D16008" s="126"/>
      <c r="E16008" s="126"/>
      <c r="F16008" s="126"/>
      <c r="G16008" s="126"/>
      <c r="H16008" s="126"/>
      <c r="I16008" s="126"/>
    </row>
    <row r="16009" spans="1:9">
      <c r="A16009" s="126"/>
      <c r="B16009" s="126"/>
      <c r="C16009" s="126"/>
      <c r="D16009" s="126"/>
      <c r="E16009" s="126"/>
      <c r="F16009" s="126"/>
      <c r="G16009" s="126"/>
      <c r="H16009" s="126"/>
      <c r="I16009" s="126"/>
    </row>
    <row r="16010" spans="1:9">
      <c r="A16010" s="126"/>
      <c r="B16010" s="126"/>
      <c r="C16010" s="126"/>
      <c r="D16010" s="126"/>
      <c r="E16010" s="126"/>
      <c r="F16010" s="126"/>
      <c r="G16010" s="126"/>
      <c r="H16010" s="126"/>
      <c r="I16010" s="126"/>
    </row>
    <row r="16011" spans="1:9">
      <c r="A16011" s="126"/>
      <c r="B16011" s="126"/>
      <c r="C16011" s="126"/>
      <c r="D16011" s="126"/>
      <c r="E16011" s="126"/>
      <c r="F16011" s="126"/>
      <c r="G16011" s="126"/>
      <c r="H16011" s="126"/>
      <c r="I16011" s="126"/>
    </row>
    <row r="16012" spans="1:9">
      <c r="A16012" s="126"/>
      <c r="B16012" s="126"/>
      <c r="C16012" s="126"/>
      <c r="D16012" s="126"/>
      <c r="E16012" s="126"/>
      <c r="F16012" s="126"/>
      <c r="G16012" s="126"/>
      <c r="H16012" s="126"/>
      <c r="I16012" s="126"/>
    </row>
    <row r="16013" spans="1:9">
      <c r="A16013" s="126"/>
      <c r="B16013" s="126"/>
      <c r="C16013" s="126"/>
      <c r="D16013" s="126"/>
      <c r="E16013" s="126"/>
      <c r="F16013" s="126"/>
      <c r="G16013" s="126"/>
      <c r="H16013" s="126"/>
      <c r="I16013" s="126"/>
    </row>
    <row r="16014" spans="1:9">
      <c r="A16014" s="126"/>
      <c r="B16014" s="126"/>
      <c r="C16014" s="126"/>
      <c r="D16014" s="126"/>
      <c r="E16014" s="126"/>
      <c r="F16014" s="126"/>
      <c r="G16014" s="126"/>
      <c r="H16014" s="126"/>
      <c r="I16014" s="126"/>
    </row>
    <row r="16015" spans="1:9">
      <c r="A16015" s="126"/>
      <c r="B16015" s="126"/>
      <c r="C16015" s="126"/>
      <c r="D16015" s="126"/>
      <c r="E16015" s="126"/>
      <c r="F16015" s="126"/>
      <c r="G16015" s="126"/>
      <c r="H16015" s="126"/>
      <c r="I16015" s="126"/>
    </row>
    <row r="16016" spans="1:9">
      <c r="A16016" s="126"/>
      <c r="B16016" s="126"/>
      <c r="C16016" s="126"/>
      <c r="D16016" s="126"/>
      <c r="E16016" s="126"/>
      <c r="F16016" s="126"/>
      <c r="G16016" s="126"/>
      <c r="H16016" s="126"/>
      <c r="I16016" s="126"/>
    </row>
    <row r="16017" spans="1:9">
      <c r="A16017" s="126"/>
      <c r="B16017" s="126"/>
      <c r="C16017" s="126"/>
      <c r="D16017" s="126"/>
      <c r="E16017" s="126"/>
      <c r="F16017" s="126"/>
      <c r="G16017" s="126"/>
      <c r="H16017" s="126"/>
      <c r="I16017" s="126"/>
    </row>
    <row r="16018" spans="1:9">
      <c r="A16018" s="126"/>
      <c r="B16018" s="126"/>
      <c r="C16018" s="126"/>
      <c r="D16018" s="126"/>
      <c r="E16018" s="126"/>
      <c r="F16018" s="126"/>
      <c r="G16018" s="126"/>
      <c r="H16018" s="126"/>
      <c r="I16018" s="126"/>
    </row>
    <row r="16019" spans="1:9">
      <c r="A16019" s="126"/>
      <c r="B16019" s="126"/>
      <c r="C16019" s="126"/>
      <c r="D16019" s="126"/>
      <c r="E16019" s="126"/>
      <c r="F16019" s="126"/>
      <c r="G16019" s="126"/>
      <c r="H16019" s="126"/>
      <c r="I16019" s="126"/>
    </row>
    <row r="16020" spans="1:9">
      <c r="A16020" s="126"/>
      <c r="B16020" s="126"/>
      <c r="C16020" s="126"/>
      <c r="D16020" s="126"/>
      <c r="E16020" s="126"/>
      <c r="F16020" s="126"/>
      <c r="G16020" s="126"/>
      <c r="H16020" s="126"/>
      <c r="I16020" s="126"/>
    </row>
    <row r="16021" spans="1:9">
      <c r="A16021" s="126"/>
      <c r="B16021" s="126"/>
      <c r="C16021" s="126"/>
      <c r="D16021" s="126"/>
      <c r="E16021" s="126"/>
      <c r="F16021" s="126"/>
      <c r="G16021" s="126"/>
      <c r="H16021" s="126"/>
      <c r="I16021" s="126"/>
    </row>
    <row r="16022" spans="1:9">
      <c r="A16022" s="126"/>
      <c r="B16022" s="126"/>
      <c r="C16022" s="126"/>
      <c r="D16022" s="126"/>
      <c r="E16022" s="126"/>
      <c r="F16022" s="126"/>
      <c r="G16022" s="126"/>
      <c r="H16022" s="126"/>
      <c r="I16022" s="126"/>
    </row>
    <row r="16023" spans="1:9">
      <c r="A16023" s="126"/>
      <c r="B16023" s="126"/>
      <c r="C16023" s="126"/>
      <c r="D16023" s="126"/>
      <c r="E16023" s="126"/>
      <c r="F16023" s="126"/>
      <c r="G16023" s="126"/>
      <c r="H16023" s="126"/>
      <c r="I16023" s="126"/>
    </row>
    <row r="16024" spans="1:9">
      <c r="A16024" s="126"/>
      <c r="B16024" s="126"/>
      <c r="C16024" s="126"/>
      <c r="D16024" s="126"/>
      <c r="E16024" s="126"/>
      <c r="F16024" s="126"/>
      <c r="G16024" s="126"/>
      <c r="H16024" s="126"/>
      <c r="I16024" s="126"/>
    </row>
    <row r="16025" spans="1:9">
      <c r="A16025" s="126"/>
      <c r="B16025" s="126"/>
      <c r="C16025" s="126"/>
      <c r="D16025" s="126"/>
      <c r="E16025" s="126"/>
      <c r="F16025" s="126"/>
      <c r="G16025" s="126"/>
      <c r="H16025" s="126"/>
      <c r="I16025" s="126"/>
    </row>
    <row r="16026" spans="1:9">
      <c r="A16026" s="126"/>
      <c r="B16026" s="126"/>
      <c r="C16026" s="126"/>
      <c r="D16026" s="126"/>
      <c r="E16026" s="126"/>
      <c r="F16026" s="126"/>
      <c r="G16026" s="126"/>
      <c r="H16026" s="126"/>
      <c r="I16026" s="126"/>
    </row>
    <row r="16027" spans="1:9">
      <c r="A16027" s="126"/>
      <c r="B16027" s="126"/>
      <c r="C16027" s="126"/>
      <c r="D16027" s="126"/>
      <c r="E16027" s="126"/>
      <c r="F16027" s="126"/>
      <c r="G16027" s="126"/>
      <c r="H16027" s="126"/>
      <c r="I16027" s="126"/>
    </row>
    <row r="16028" spans="1:9">
      <c r="A16028" s="126"/>
      <c r="B16028" s="126"/>
      <c r="C16028" s="126"/>
      <c r="D16028" s="126"/>
      <c r="E16028" s="126"/>
      <c r="F16028" s="126"/>
      <c r="G16028" s="126"/>
      <c r="H16028" s="126"/>
      <c r="I16028" s="126"/>
    </row>
    <row r="16029" spans="1:9">
      <c r="A16029" s="126"/>
      <c r="B16029" s="126"/>
      <c r="C16029" s="126"/>
      <c r="D16029" s="126"/>
      <c r="E16029" s="126"/>
      <c r="F16029" s="126"/>
      <c r="G16029" s="126"/>
      <c r="H16029" s="126"/>
      <c r="I16029" s="126"/>
    </row>
    <row r="16030" spans="1:9">
      <c r="A16030" s="126"/>
      <c r="B16030" s="126"/>
      <c r="C16030" s="126"/>
      <c r="D16030" s="126"/>
      <c r="E16030" s="126"/>
      <c r="F16030" s="126"/>
      <c r="G16030" s="126"/>
      <c r="H16030" s="126"/>
      <c r="I16030" s="126"/>
    </row>
    <row r="16031" spans="1:9">
      <c r="A16031" s="126"/>
      <c r="B16031" s="126"/>
      <c r="C16031" s="126"/>
      <c r="D16031" s="126"/>
      <c r="E16031" s="126"/>
      <c r="F16031" s="126"/>
      <c r="G16031" s="126"/>
      <c r="H16031" s="126"/>
      <c r="I16031" s="126"/>
    </row>
    <row r="16032" spans="1:9">
      <c r="A16032" s="126"/>
      <c r="B16032" s="126"/>
      <c r="C16032" s="126"/>
      <c r="D16032" s="126"/>
      <c r="E16032" s="126"/>
      <c r="F16032" s="126"/>
      <c r="G16032" s="126"/>
      <c r="H16032" s="126"/>
      <c r="I16032" s="126"/>
    </row>
    <row r="16033" spans="1:9">
      <c r="A16033" s="126"/>
      <c r="B16033" s="126"/>
      <c r="C16033" s="126"/>
      <c r="D16033" s="126"/>
      <c r="E16033" s="126"/>
      <c r="F16033" s="126"/>
      <c r="G16033" s="126"/>
      <c r="H16033" s="126"/>
      <c r="I16033" s="126"/>
    </row>
    <row r="16034" spans="1:9">
      <c r="A16034" s="126"/>
      <c r="B16034" s="126"/>
      <c r="C16034" s="126"/>
      <c r="D16034" s="126"/>
      <c r="E16034" s="126"/>
      <c r="F16034" s="126"/>
      <c r="G16034" s="126"/>
      <c r="H16034" s="126"/>
      <c r="I16034" s="126"/>
    </row>
    <row r="16035" spans="1:9">
      <c r="A16035" s="126"/>
      <c r="B16035" s="126"/>
      <c r="C16035" s="126"/>
      <c r="D16035" s="126"/>
      <c r="E16035" s="126"/>
      <c r="F16035" s="126"/>
      <c r="G16035" s="126"/>
      <c r="H16035" s="126"/>
      <c r="I16035" s="126"/>
    </row>
    <row r="16036" spans="1:9">
      <c r="A16036" s="126"/>
      <c r="B16036" s="126"/>
      <c r="C16036" s="126"/>
      <c r="D16036" s="126"/>
      <c r="E16036" s="126"/>
      <c r="F16036" s="126"/>
      <c r="G16036" s="126"/>
      <c r="H16036" s="126"/>
      <c r="I16036" s="126"/>
    </row>
    <row r="16037" spans="1:9">
      <c r="A16037" s="126"/>
      <c r="B16037" s="126"/>
      <c r="C16037" s="126"/>
      <c r="D16037" s="126"/>
      <c r="E16037" s="126"/>
      <c r="F16037" s="126"/>
      <c r="G16037" s="126"/>
      <c r="H16037" s="126"/>
      <c r="I16037" s="126"/>
    </row>
    <row r="16038" spans="1:9">
      <c r="A16038" s="126"/>
      <c r="B16038" s="126"/>
      <c r="C16038" s="126"/>
      <c r="D16038" s="126"/>
      <c r="E16038" s="126"/>
      <c r="F16038" s="126"/>
      <c r="G16038" s="126"/>
      <c r="H16038" s="126"/>
      <c r="I16038" s="126"/>
    </row>
    <row r="16039" spans="1:9">
      <c r="A16039" s="126"/>
      <c r="B16039" s="126"/>
      <c r="C16039" s="126"/>
      <c r="D16039" s="126"/>
      <c r="E16039" s="126"/>
      <c r="F16039" s="126"/>
      <c r="G16039" s="126"/>
      <c r="H16039" s="126"/>
      <c r="I16039" s="126"/>
    </row>
    <row r="16040" spans="1:9">
      <c r="A16040" s="126"/>
      <c r="B16040" s="126"/>
      <c r="C16040" s="126"/>
      <c r="D16040" s="126"/>
      <c r="E16040" s="126"/>
      <c r="F16040" s="126"/>
      <c r="G16040" s="126"/>
      <c r="H16040" s="126"/>
      <c r="I16040" s="126"/>
    </row>
    <row r="16041" spans="1:9">
      <c r="A16041" s="126"/>
      <c r="B16041" s="126"/>
      <c r="C16041" s="126"/>
      <c r="D16041" s="126"/>
      <c r="E16041" s="126"/>
      <c r="F16041" s="126"/>
      <c r="G16041" s="126"/>
      <c r="H16041" s="126"/>
      <c r="I16041" s="126"/>
    </row>
    <row r="16042" spans="1:9">
      <c r="A16042" s="126"/>
      <c r="B16042" s="126"/>
      <c r="C16042" s="126"/>
      <c r="D16042" s="126"/>
      <c r="E16042" s="126"/>
      <c r="F16042" s="126"/>
      <c r="G16042" s="126"/>
      <c r="H16042" s="126"/>
      <c r="I16042" s="126"/>
    </row>
    <row r="16043" spans="1:9">
      <c r="A16043" s="126"/>
      <c r="B16043" s="126"/>
      <c r="C16043" s="126"/>
      <c r="D16043" s="126"/>
      <c r="E16043" s="126"/>
      <c r="F16043" s="126"/>
      <c r="G16043" s="126"/>
      <c r="H16043" s="126"/>
      <c r="I16043" s="126"/>
    </row>
    <row r="16044" spans="1:9">
      <c r="A16044" s="126"/>
      <c r="B16044" s="126"/>
      <c r="C16044" s="126"/>
      <c r="D16044" s="126"/>
      <c r="E16044" s="126"/>
      <c r="F16044" s="126"/>
      <c r="G16044" s="126"/>
      <c r="H16044" s="126"/>
      <c r="I16044" s="126"/>
    </row>
    <row r="16045" spans="1:9">
      <c r="A16045" s="126"/>
      <c r="B16045" s="126"/>
      <c r="C16045" s="126"/>
      <c r="D16045" s="126"/>
      <c r="E16045" s="126"/>
      <c r="F16045" s="126"/>
      <c r="G16045" s="126"/>
      <c r="H16045" s="126"/>
      <c r="I16045" s="126"/>
    </row>
    <row r="16046" spans="1:9">
      <c r="A16046" s="126"/>
      <c r="B16046" s="126"/>
      <c r="C16046" s="126"/>
      <c r="D16046" s="126"/>
      <c r="E16046" s="126"/>
      <c r="F16046" s="126"/>
      <c r="G16046" s="126"/>
      <c r="H16046" s="126"/>
      <c r="I16046" s="126"/>
    </row>
    <row r="16047" spans="1:9">
      <c r="A16047" s="126"/>
      <c r="B16047" s="126"/>
      <c r="C16047" s="126"/>
      <c r="D16047" s="126"/>
      <c r="E16047" s="126"/>
      <c r="F16047" s="126"/>
      <c r="G16047" s="126"/>
      <c r="H16047" s="126"/>
      <c r="I16047" s="126"/>
    </row>
    <row r="16048" spans="1:9">
      <c r="A16048" s="126"/>
      <c r="B16048" s="126"/>
      <c r="C16048" s="126"/>
      <c r="D16048" s="126"/>
      <c r="E16048" s="126"/>
      <c r="F16048" s="126"/>
      <c r="G16048" s="126"/>
      <c r="H16048" s="126"/>
      <c r="I16048" s="126"/>
    </row>
    <row r="16049" spans="1:9">
      <c r="A16049" s="126"/>
      <c r="B16049" s="126"/>
      <c r="C16049" s="126"/>
      <c r="D16049" s="126"/>
      <c r="E16049" s="126"/>
      <c r="F16049" s="126"/>
      <c r="G16049" s="126"/>
      <c r="H16049" s="126"/>
      <c r="I16049" s="126"/>
    </row>
    <row r="16050" spans="1:9">
      <c r="A16050" s="126"/>
      <c r="B16050" s="126"/>
      <c r="C16050" s="126"/>
      <c r="D16050" s="126"/>
      <c r="E16050" s="126"/>
      <c r="F16050" s="126"/>
      <c r="G16050" s="126"/>
      <c r="H16050" s="126"/>
      <c r="I16050" s="126"/>
    </row>
    <row r="16051" spans="1:9">
      <c r="A16051" s="126"/>
      <c r="B16051" s="126"/>
      <c r="C16051" s="126"/>
      <c r="D16051" s="126"/>
      <c r="E16051" s="126"/>
      <c r="F16051" s="126"/>
      <c r="G16051" s="126"/>
      <c r="H16051" s="126"/>
      <c r="I16051" s="126"/>
    </row>
    <row r="16052" spans="1:9">
      <c r="A16052" s="126"/>
      <c r="B16052" s="126"/>
      <c r="C16052" s="126"/>
      <c r="D16052" s="126"/>
      <c r="E16052" s="126"/>
      <c r="F16052" s="126"/>
      <c r="G16052" s="126"/>
      <c r="H16052" s="126"/>
      <c r="I16052" s="126"/>
    </row>
    <row r="16053" spans="1:9">
      <c r="A16053" s="126"/>
      <c r="B16053" s="126"/>
      <c r="C16053" s="126"/>
      <c r="D16053" s="126"/>
      <c r="E16053" s="126"/>
      <c r="F16053" s="126"/>
      <c r="G16053" s="126"/>
      <c r="H16053" s="126"/>
      <c r="I16053" s="126"/>
    </row>
    <row r="16054" spans="1:9">
      <c r="A16054" s="126"/>
      <c r="B16054" s="126"/>
      <c r="C16054" s="126"/>
      <c r="D16054" s="126"/>
      <c r="E16054" s="126"/>
      <c r="F16054" s="126"/>
      <c r="G16054" s="126"/>
      <c r="H16054" s="126"/>
      <c r="I16054" s="126"/>
    </row>
    <row r="16055" spans="1:9">
      <c r="A16055" s="126"/>
      <c r="B16055" s="126"/>
      <c r="C16055" s="126"/>
      <c r="D16055" s="126"/>
      <c r="E16055" s="126"/>
      <c r="F16055" s="126"/>
      <c r="G16055" s="126"/>
      <c r="H16055" s="126"/>
      <c r="I16055" s="126"/>
    </row>
    <row r="16056" spans="1:9">
      <c r="A16056" s="126"/>
      <c r="B16056" s="126"/>
      <c r="C16056" s="126"/>
      <c r="D16056" s="126"/>
      <c r="E16056" s="126"/>
      <c r="F16056" s="126"/>
      <c r="G16056" s="126"/>
      <c r="H16056" s="126"/>
      <c r="I16056" s="126"/>
    </row>
    <row r="16057" spans="1:9">
      <c r="A16057" s="126"/>
      <c r="B16057" s="126"/>
      <c r="C16057" s="126"/>
      <c r="D16057" s="126"/>
      <c r="E16057" s="126"/>
      <c r="F16057" s="126"/>
      <c r="G16057" s="126"/>
      <c r="H16057" s="126"/>
      <c r="I16057" s="126"/>
    </row>
    <row r="16058" spans="1:9">
      <c r="A16058" s="126"/>
      <c r="B16058" s="126"/>
      <c r="C16058" s="126"/>
      <c r="D16058" s="126"/>
      <c r="E16058" s="126"/>
      <c r="F16058" s="126"/>
      <c r="G16058" s="126"/>
      <c r="H16058" s="126"/>
      <c r="I16058" s="126"/>
    </row>
    <row r="16059" spans="1:9">
      <c r="A16059" s="126"/>
      <c r="B16059" s="126"/>
      <c r="C16059" s="126"/>
      <c r="D16059" s="126"/>
      <c r="E16059" s="126"/>
      <c r="F16059" s="126"/>
      <c r="G16059" s="126"/>
      <c r="H16059" s="126"/>
      <c r="I16059" s="126"/>
    </row>
    <row r="16060" spans="1:9">
      <c r="A16060" s="126"/>
      <c r="B16060" s="126"/>
      <c r="C16060" s="126"/>
      <c r="D16060" s="126"/>
      <c r="E16060" s="126"/>
      <c r="F16060" s="126"/>
      <c r="G16060" s="126"/>
      <c r="H16060" s="126"/>
      <c r="I16060" s="126"/>
    </row>
    <row r="16061" spans="1:9">
      <c r="A16061" s="126"/>
      <c r="B16061" s="126"/>
      <c r="C16061" s="126"/>
      <c r="D16061" s="126"/>
      <c r="E16061" s="126"/>
      <c r="F16061" s="126"/>
      <c r="G16061" s="126"/>
      <c r="H16061" s="126"/>
      <c r="I16061" s="126"/>
    </row>
    <row r="16062" spans="1:9">
      <c r="A16062" s="126"/>
      <c r="B16062" s="126"/>
      <c r="C16062" s="126"/>
      <c r="D16062" s="126"/>
      <c r="E16062" s="126"/>
      <c r="F16062" s="126"/>
      <c r="G16062" s="126"/>
      <c r="H16062" s="126"/>
      <c r="I16062" s="126"/>
    </row>
    <row r="16063" spans="1:9">
      <c r="A16063" s="126"/>
      <c r="B16063" s="126"/>
      <c r="C16063" s="126"/>
      <c r="D16063" s="126"/>
      <c r="E16063" s="126"/>
      <c r="F16063" s="126"/>
      <c r="G16063" s="126"/>
      <c r="H16063" s="126"/>
      <c r="I16063" s="126"/>
    </row>
    <row r="16064" spans="1:9">
      <c r="A16064" s="126"/>
      <c r="B16064" s="126"/>
      <c r="C16064" s="126"/>
      <c r="D16064" s="126"/>
      <c r="E16064" s="126"/>
      <c r="F16064" s="126"/>
      <c r="G16064" s="126"/>
      <c r="H16064" s="126"/>
      <c r="I16064" s="126"/>
    </row>
    <row r="16065" spans="1:9">
      <c r="A16065" s="126"/>
      <c r="B16065" s="126"/>
      <c r="C16065" s="126"/>
      <c r="D16065" s="126"/>
      <c r="E16065" s="126"/>
      <c r="F16065" s="126"/>
      <c r="G16065" s="126"/>
      <c r="H16065" s="126"/>
      <c r="I16065" s="126"/>
    </row>
    <row r="16066" spans="1:9">
      <c r="A16066" s="126"/>
      <c r="B16066" s="126"/>
      <c r="C16066" s="126"/>
      <c r="D16066" s="126"/>
      <c r="E16066" s="126"/>
      <c r="F16066" s="126"/>
      <c r="G16066" s="126"/>
      <c r="H16066" s="126"/>
      <c r="I16066" s="126"/>
    </row>
    <row r="16067" spans="1:9">
      <c r="A16067" s="126"/>
      <c r="B16067" s="126"/>
      <c r="C16067" s="126"/>
      <c r="D16067" s="126"/>
      <c r="E16067" s="126"/>
      <c r="F16067" s="126"/>
      <c r="G16067" s="126"/>
      <c r="H16067" s="126"/>
      <c r="I16067" s="126"/>
    </row>
    <row r="16068" spans="1:9">
      <c r="A16068" s="126"/>
      <c r="B16068" s="126"/>
      <c r="C16068" s="126"/>
      <c r="D16068" s="126"/>
      <c r="E16068" s="126"/>
      <c r="F16068" s="126"/>
      <c r="G16068" s="126"/>
      <c r="H16068" s="126"/>
      <c r="I16068" s="126"/>
    </row>
    <row r="16069" spans="1:9">
      <c r="A16069" s="126"/>
      <c r="B16069" s="126"/>
      <c r="C16069" s="126"/>
      <c r="D16069" s="126"/>
      <c r="E16069" s="126"/>
      <c r="F16069" s="126"/>
      <c r="G16069" s="126"/>
      <c r="H16069" s="126"/>
      <c r="I16069" s="126"/>
    </row>
    <row r="16070" spans="1:9">
      <c r="A16070" s="126"/>
      <c r="B16070" s="126"/>
      <c r="C16070" s="126"/>
      <c r="D16070" s="126"/>
      <c r="E16070" s="126"/>
      <c r="F16070" s="126"/>
      <c r="G16070" s="126"/>
      <c r="H16070" s="126"/>
      <c r="I16070" s="126"/>
    </row>
    <row r="16071" spans="1:9">
      <c r="A16071" s="126"/>
      <c r="B16071" s="126"/>
      <c r="C16071" s="126"/>
      <c r="D16071" s="126"/>
      <c r="E16071" s="126"/>
      <c r="F16071" s="126"/>
      <c r="G16071" s="126"/>
      <c r="H16071" s="126"/>
      <c r="I16071" s="126"/>
    </row>
    <row r="16072" spans="1:9">
      <c r="A16072" s="126"/>
      <c r="B16072" s="126"/>
      <c r="C16072" s="126"/>
      <c r="D16072" s="126"/>
      <c r="E16072" s="126"/>
      <c r="F16072" s="126"/>
      <c r="G16072" s="126"/>
      <c r="H16072" s="126"/>
      <c r="I16072" s="126"/>
    </row>
    <row r="16073" spans="1:9">
      <c r="A16073" s="126"/>
      <c r="B16073" s="126"/>
      <c r="C16073" s="126"/>
      <c r="D16073" s="126"/>
      <c r="E16073" s="126"/>
      <c r="F16073" s="126"/>
      <c r="G16073" s="126"/>
      <c r="H16073" s="126"/>
      <c r="I16073" s="126"/>
    </row>
    <row r="16074" spans="1:9">
      <c r="A16074" s="126"/>
      <c r="B16074" s="126"/>
      <c r="C16074" s="126"/>
      <c r="D16074" s="126"/>
      <c r="E16074" s="126"/>
      <c r="F16074" s="126"/>
      <c r="G16074" s="126"/>
      <c r="H16074" s="126"/>
      <c r="I16074" s="126"/>
    </row>
    <row r="16075" spans="1:9">
      <c r="A16075" s="126"/>
      <c r="B16075" s="126"/>
      <c r="C16075" s="126"/>
      <c r="D16075" s="126"/>
      <c r="E16075" s="126"/>
      <c r="F16075" s="126"/>
      <c r="G16075" s="126"/>
      <c r="H16075" s="126"/>
      <c r="I16075" s="126"/>
    </row>
    <row r="16076" spans="1:9">
      <c r="A16076" s="126"/>
      <c r="B16076" s="126"/>
      <c r="C16076" s="126"/>
      <c r="D16076" s="126"/>
      <c r="E16076" s="126"/>
      <c r="F16076" s="126"/>
      <c r="G16076" s="126"/>
      <c r="H16076" s="126"/>
      <c r="I16076" s="126"/>
    </row>
    <row r="16077" spans="1:9">
      <c r="A16077" s="126"/>
      <c r="B16077" s="126"/>
      <c r="C16077" s="126"/>
      <c r="D16077" s="126"/>
      <c r="E16077" s="126"/>
      <c r="F16077" s="126"/>
      <c r="G16077" s="126"/>
      <c r="H16077" s="126"/>
      <c r="I16077" s="126"/>
    </row>
    <row r="16078" spans="1:9">
      <c r="A16078" s="126"/>
      <c r="B16078" s="126"/>
      <c r="C16078" s="126"/>
      <c r="D16078" s="126"/>
      <c r="E16078" s="126"/>
      <c r="F16078" s="126"/>
      <c r="G16078" s="126"/>
      <c r="H16078" s="126"/>
      <c r="I16078" s="126"/>
    </row>
    <row r="16079" spans="1:9">
      <c r="A16079" s="126"/>
      <c r="B16079" s="126"/>
      <c r="C16079" s="126"/>
      <c r="D16079" s="126"/>
      <c r="E16079" s="126"/>
      <c r="F16079" s="126"/>
      <c r="G16079" s="126"/>
      <c r="H16079" s="126"/>
      <c r="I16079" s="126"/>
    </row>
    <row r="16080" spans="1:9">
      <c r="A16080" s="126"/>
      <c r="B16080" s="126"/>
      <c r="C16080" s="126"/>
      <c r="D16080" s="126"/>
      <c r="E16080" s="126"/>
      <c r="F16080" s="126"/>
      <c r="G16080" s="126"/>
      <c r="H16080" s="126"/>
      <c r="I16080" s="126"/>
    </row>
    <row r="16081" spans="1:9">
      <c r="A16081" s="126"/>
      <c r="B16081" s="126"/>
      <c r="C16081" s="126"/>
      <c r="D16081" s="126"/>
      <c r="E16081" s="126"/>
      <c r="F16081" s="126"/>
      <c r="G16081" s="126"/>
      <c r="H16081" s="126"/>
      <c r="I16081" s="126"/>
    </row>
    <row r="16082" spans="1:9">
      <c r="A16082" s="126"/>
      <c r="B16082" s="126"/>
      <c r="C16082" s="126"/>
      <c r="D16082" s="126"/>
      <c r="E16082" s="126"/>
      <c r="F16082" s="126"/>
      <c r="G16082" s="126"/>
      <c r="H16082" s="126"/>
      <c r="I16082" s="126"/>
    </row>
    <row r="16083" spans="1:9">
      <c r="A16083" s="126"/>
      <c r="B16083" s="126"/>
      <c r="C16083" s="126"/>
      <c r="D16083" s="126"/>
      <c r="E16083" s="126"/>
      <c r="F16083" s="126"/>
      <c r="G16083" s="126"/>
      <c r="H16083" s="126"/>
      <c r="I16083" s="126"/>
    </row>
    <row r="16084" spans="1:9">
      <c r="A16084" s="126"/>
      <c r="B16084" s="126"/>
      <c r="C16084" s="126"/>
      <c r="D16084" s="126"/>
      <c r="E16084" s="126"/>
      <c r="F16084" s="126"/>
      <c r="G16084" s="126"/>
      <c r="H16084" s="126"/>
      <c r="I16084" s="126"/>
    </row>
    <row r="16085" spans="1:9">
      <c r="A16085" s="126"/>
      <c r="B16085" s="126"/>
      <c r="C16085" s="126"/>
      <c r="D16085" s="126"/>
      <c r="E16085" s="126"/>
      <c r="F16085" s="126"/>
      <c r="G16085" s="126"/>
      <c r="H16085" s="126"/>
      <c r="I16085" s="126"/>
    </row>
    <row r="16086" spans="1:9">
      <c r="A16086" s="126"/>
      <c r="B16086" s="126"/>
      <c r="C16086" s="126"/>
      <c r="D16086" s="126"/>
      <c r="E16086" s="126"/>
      <c r="F16086" s="126"/>
      <c r="G16086" s="126"/>
      <c r="H16086" s="126"/>
      <c r="I16086" s="126"/>
    </row>
    <row r="16087" spans="1:9">
      <c r="A16087" s="126"/>
      <c r="B16087" s="126"/>
      <c r="C16087" s="126"/>
      <c r="D16087" s="126"/>
      <c r="E16087" s="126"/>
      <c r="F16087" s="126"/>
      <c r="G16087" s="126"/>
      <c r="H16087" s="126"/>
      <c r="I16087" s="126"/>
    </row>
    <row r="16088" spans="1:9">
      <c r="A16088" s="126"/>
      <c r="B16088" s="126"/>
      <c r="C16088" s="126"/>
      <c r="D16088" s="126"/>
      <c r="E16088" s="126"/>
      <c r="F16088" s="126"/>
      <c r="G16088" s="126"/>
      <c r="H16088" s="126"/>
      <c r="I16088" s="126"/>
    </row>
    <row r="16089" spans="1:9">
      <c r="A16089" s="126"/>
      <c r="B16089" s="126"/>
      <c r="C16089" s="126"/>
      <c r="D16089" s="126"/>
      <c r="E16089" s="126"/>
      <c r="F16089" s="126"/>
      <c r="G16089" s="126"/>
      <c r="H16089" s="126"/>
      <c r="I16089" s="126"/>
    </row>
    <row r="16090" spans="1:9">
      <c r="A16090" s="126"/>
      <c r="B16090" s="126"/>
      <c r="C16090" s="126"/>
      <c r="D16090" s="126"/>
      <c r="E16090" s="126"/>
      <c r="F16090" s="126"/>
      <c r="G16090" s="126"/>
      <c r="H16090" s="126"/>
      <c r="I16090" s="126"/>
    </row>
    <row r="16091" spans="1:9">
      <c r="A16091" s="126"/>
      <c r="B16091" s="126"/>
      <c r="C16091" s="126"/>
      <c r="D16091" s="126"/>
      <c r="E16091" s="126"/>
      <c r="F16091" s="126"/>
      <c r="G16091" s="126"/>
      <c r="H16091" s="126"/>
      <c r="I16091" s="126"/>
    </row>
    <row r="16092" spans="1:9">
      <c r="A16092" s="126"/>
      <c r="B16092" s="126"/>
      <c r="C16092" s="126"/>
      <c r="D16092" s="126"/>
      <c r="E16092" s="126"/>
      <c r="F16092" s="126"/>
      <c r="G16092" s="126"/>
      <c r="H16092" s="126"/>
      <c r="I16092" s="126"/>
    </row>
    <row r="16093" spans="1:9">
      <c r="A16093" s="126"/>
      <c r="B16093" s="126"/>
      <c r="C16093" s="126"/>
      <c r="D16093" s="126"/>
      <c r="E16093" s="126"/>
      <c r="F16093" s="126"/>
      <c r="G16093" s="126"/>
      <c r="H16093" s="126"/>
      <c r="I16093" s="126"/>
    </row>
    <row r="16094" spans="1:9">
      <c r="A16094" s="126"/>
      <c r="B16094" s="126"/>
      <c r="C16094" s="126"/>
      <c r="D16094" s="126"/>
      <c r="E16094" s="126"/>
      <c r="F16094" s="126"/>
      <c r="G16094" s="126"/>
      <c r="H16094" s="126"/>
      <c r="I16094" s="126"/>
    </row>
    <row r="16095" spans="1:9">
      <c r="A16095" s="126"/>
      <c r="B16095" s="126"/>
      <c r="C16095" s="126"/>
      <c r="D16095" s="126"/>
      <c r="E16095" s="126"/>
      <c r="F16095" s="126"/>
      <c r="G16095" s="126"/>
      <c r="H16095" s="126"/>
      <c r="I16095" s="126"/>
    </row>
    <row r="16096" spans="1:9">
      <c r="A16096" s="126"/>
      <c r="B16096" s="126"/>
      <c r="C16096" s="126"/>
      <c r="D16096" s="126"/>
      <c r="E16096" s="126"/>
      <c r="F16096" s="126"/>
      <c r="G16096" s="126"/>
      <c r="H16096" s="126"/>
      <c r="I16096" s="126"/>
    </row>
    <row r="16097" spans="1:9">
      <c r="A16097" s="126"/>
      <c r="B16097" s="126"/>
      <c r="C16097" s="126"/>
      <c r="D16097" s="126"/>
      <c r="E16097" s="126"/>
      <c r="F16097" s="126"/>
      <c r="G16097" s="126"/>
      <c r="H16097" s="126"/>
      <c r="I16097" s="126"/>
    </row>
    <row r="16098" spans="1:9">
      <c r="A16098" s="126"/>
      <c r="B16098" s="126"/>
      <c r="C16098" s="126"/>
      <c r="D16098" s="126"/>
      <c r="E16098" s="126"/>
      <c r="F16098" s="126"/>
      <c r="G16098" s="126"/>
      <c r="H16098" s="126"/>
      <c r="I16098" s="126"/>
    </row>
    <row r="16099" spans="1:9">
      <c r="A16099" s="126"/>
      <c r="B16099" s="126"/>
      <c r="C16099" s="126"/>
      <c r="D16099" s="126"/>
      <c r="E16099" s="126"/>
      <c r="F16099" s="126"/>
      <c r="G16099" s="126"/>
      <c r="H16099" s="126"/>
      <c r="I16099" s="126"/>
    </row>
    <row r="16100" spans="1:9">
      <c r="A16100" s="126"/>
      <c r="B16100" s="126"/>
      <c r="C16100" s="126"/>
      <c r="D16100" s="126"/>
      <c r="E16100" s="126"/>
      <c r="F16100" s="126"/>
      <c r="G16100" s="126"/>
      <c r="H16100" s="126"/>
      <c r="I16100" s="126"/>
    </row>
    <row r="16101" spans="1:9">
      <c r="A16101" s="126"/>
      <c r="B16101" s="126"/>
      <c r="C16101" s="126"/>
      <c r="D16101" s="126"/>
      <c r="E16101" s="126"/>
      <c r="F16101" s="126"/>
      <c r="G16101" s="126"/>
      <c r="H16101" s="126"/>
      <c r="I16101" s="126"/>
    </row>
    <row r="16102" spans="1:9">
      <c r="A16102" s="126"/>
      <c r="B16102" s="126"/>
      <c r="C16102" s="126"/>
      <c r="D16102" s="126"/>
      <c r="E16102" s="126"/>
      <c r="F16102" s="126"/>
      <c r="G16102" s="126"/>
      <c r="H16102" s="126"/>
      <c r="I16102" s="126"/>
    </row>
    <row r="16103" spans="1:9">
      <c r="A16103" s="126"/>
      <c r="B16103" s="126"/>
      <c r="C16103" s="126"/>
      <c r="D16103" s="126"/>
      <c r="E16103" s="126"/>
      <c r="F16103" s="126"/>
      <c r="G16103" s="126"/>
      <c r="H16103" s="126"/>
      <c r="I16103" s="126"/>
    </row>
    <row r="16104" spans="1:9">
      <c r="A16104" s="126"/>
      <c r="B16104" s="126"/>
      <c r="C16104" s="126"/>
      <c r="D16104" s="126"/>
      <c r="E16104" s="126"/>
      <c r="F16104" s="126"/>
      <c r="G16104" s="126"/>
      <c r="H16104" s="126"/>
      <c r="I16104" s="126"/>
    </row>
    <row r="16105" spans="1:9">
      <c r="A16105" s="126"/>
      <c r="B16105" s="126"/>
      <c r="C16105" s="126"/>
      <c r="D16105" s="126"/>
      <c r="E16105" s="126"/>
      <c r="F16105" s="126"/>
      <c r="G16105" s="126"/>
      <c r="H16105" s="126"/>
      <c r="I16105" s="126"/>
    </row>
    <row r="16106" spans="1:9">
      <c r="A16106" s="126"/>
      <c r="B16106" s="126"/>
      <c r="C16106" s="126"/>
      <c r="D16106" s="126"/>
      <c r="E16106" s="126"/>
      <c r="F16106" s="126"/>
      <c r="G16106" s="126"/>
      <c r="H16106" s="126"/>
      <c r="I16106" s="126"/>
    </row>
    <row r="16107" spans="1:9">
      <c r="A16107" s="126"/>
      <c r="B16107" s="126"/>
      <c r="C16107" s="126"/>
      <c r="D16107" s="126"/>
      <c r="E16107" s="126"/>
      <c r="F16107" s="126"/>
      <c r="G16107" s="126"/>
      <c r="H16107" s="126"/>
      <c r="I16107" s="126"/>
    </row>
    <row r="16108" spans="1:9">
      <c r="A16108" s="126"/>
      <c r="B16108" s="126"/>
      <c r="C16108" s="126"/>
      <c r="D16108" s="126"/>
      <c r="E16108" s="126"/>
      <c r="F16108" s="126"/>
      <c r="G16108" s="126"/>
      <c r="H16108" s="126"/>
      <c r="I16108" s="126"/>
    </row>
    <row r="16109" spans="1:9">
      <c r="A16109" s="126"/>
      <c r="B16109" s="126"/>
      <c r="C16109" s="126"/>
      <c r="D16109" s="126"/>
      <c r="E16109" s="126"/>
      <c r="F16109" s="126"/>
      <c r="G16109" s="126"/>
      <c r="H16109" s="126"/>
      <c r="I16109" s="126"/>
    </row>
    <row r="16110" spans="1:9">
      <c r="A16110" s="126"/>
      <c r="B16110" s="126"/>
      <c r="C16110" s="126"/>
      <c r="D16110" s="126"/>
      <c r="E16110" s="126"/>
      <c r="F16110" s="126"/>
      <c r="G16110" s="126"/>
      <c r="H16110" s="126"/>
      <c r="I16110" s="126"/>
    </row>
    <row r="16111" spans="1:9">
      <c r="A16111" s="126"/>
      <c r="B16111" s="126"/>
      <c r="C16111" s="126"/>
      <c r="D16111" s="126"/>
      <c r="E16111" s="126"/>
      <c r="F16111" s="126"/>
      <c r="G16111" s="126"/>
      <c r="H16111" s="126"/>
      <c r="I16111" s="126"/>
    </row>
    <row r="16112" spans="1:9">
      <c r="A16112" s="126"/>
      <c r="B16112" s="126"/>
      <c r="C16112" s="126"/>
      <c r="D16112" s="126"/>
      <c r="E16112" s="126"/>
      <c r="F16112" s="126"/>
      <c r="G16112" s="126"/>
      <c r="H16112" s="126"/>
      <c r="I16112" s="126"/>
    </row>
    <row r="16113" spans="1:9">
      <c r="A16113" s="126"/>
      <c r="B16113" s="126"/>
      <c r="C16113" s="126"/>
      <c r="D16113" s="126"/>
      <c r="E16113" s="126"/>
      <c r="F16113" s="126"/>
      <c r="G16113" s="126"/>
      <c r="H16113" s="126"/>
      <c r="I16113" s="126"/>
    </row>
    <row r="16114" spans="1:9">
      <c r="A16114" s="126"/>
      <c r="B16114" s="126"/>
      <c r="C16114" s="126"/>
      <c r="D16114" s="126"/>
      <c r="E16114" s="126"/>
      <c r="F16114" s="126"/>
      <c r="G16114" s="126"/>
      <c r="H16114" s="126"/>
      <c r="I16114" s="126"/>
    </row>
    <row r="16115" spans="1:9">
      <c r="A16115" s="126"/>
      <c r="B16115" s="126"/>
      <c r="C16115" s="126"/>
      <c r="D16115" s="126"/>
      <c r="E16115" s="126"/>
      <c r="F16115" s="126"/>
      <c r="G16115" s="126"/>
      <c r="H16115" s="126"/>
      <c r="I16115" s="126"/>
    </row>
    <row r="16116" spans="1:9">
      <c r="A16116" s="126"/>
      <c r="B16116" s="126"/>
      <c r="C16116" s="126"/>
      <c r="D16116" s="126"/>
      <c r="E16116" s="126"/>
      <c r="F16116" s="126"/>
      <c r="G16116" s="126"/>
      <c r="H16116" s="126"/>
      <c r="I16116" s="126"/>
    </row>
    <row r="16117" spans="1:9">
      <c r="A16117" s="126"/>
      <c r="B16117" s="126"/>
      <c r="C16117" s="126"/>
      <c r="D16117" s="126"/>
      <c r="E16117" s="126"/>
      <c r="F16117" s="126"/>
      <c r="G16117" s="126"/>
      <c r="H16117" s="126"/>
      <c r="I16117" s="126"/>
    </row>
    <row r="16118" spans="1:9">
      <c r="A16118" s="126"/>
      <c r="B16118" s="126"/>
      <c r="C16118" s="126"/>
      <c r="D16118" s="126"/>
      <c r="E16118" s="126"/>
      <c r="F16118" s="126"/>
      <c r="G16118" s="126"/>
      <c r="H16118" s="126"/>
      <c r="I16118" s="126"/>
    </row>
    <row r="16119" spans="1:9">
      <c r="A16119" s="126"/>
      <c r="B16119" s="126"/>
      <c r="C16119" s="126"/>
      <c r="D16119" s="126"/>
      <c r="E16119" s="126"/>
      <c r="F16119" s="126"/>
      <c r="G16119" s="126"/>
      <c r="H16119" s="126"/>
      <c r="I16119" s="126"/>
    </row>
    <row r="16120" spans="1:9">
      <c r="A16120" s="126"/>
      <c r="B16120" s="126"/>
      <c r="C16120" s="126"/>
      <c r="D16120" s="126"/>
      <c r="E16120" s="126"/>
      <c r="F16120" s="126"/>
      <c r="G16120" s="126"/>
      <c r="H16120" s="126"/>
      <c r="I16120" s="126"/>
    </row>
    <row r="16121" spans="1:9">
      <c r="A16121" s="126"/>
      <c r="B16121" s="126"/>
      <c r="C16121" s="126"/>
      <c r="D16121" s="126"/>
      <c r="E16121" s="126"/>
      <c r="F16121" s="126"/>
      <c r="G16121" s="126"/>
      <c r="H16121" s="126"/>
      <c r="I16121" s="126"/>
    </row>
    <row r="16122" spans="1:9">
      <c r="A16122" s="126"/>
      <c r="B16122" s="126"/>
      <c r="C16122" s="126"/>
      <c r="D16122" s="126"/>
      <c r="E16122" s="126"/>
      <c r="F16122" s="126"/>
      <c r="G16122" s="126"/>
      <c r="H16122" s="126"/>
      <c r="I16122" s="126"/>
    </row>
    <row r="16123" spans="1:9">
      <c r="A16123" s="126"/>
      <c r="B16123" s="126"/>
      <c r="C16123" s="126"/>
      <c r="D16123" s="126"/>
      <c r="E16123" s="126"/>
      <c r="F16123" s="126"/>
      <c r="G16123" s="126"/>
      <c r="H16123" s="126"/>
      <c r="I16123" s="126"/>
    </row>
    <row r="16124" spans="1:9">
      <c r="A16124" s="126"/>
      <c r="B16124" s="126"/>
      <c r="C16124" s="126"/>
      <c r="D16124" s="126"/>
      <c r="E16124" s="126"/>
      <c r="F16124" s="126"/>
      <c r="G16124" s="126"/>
      <c r="H16124" s="126"/>
      <c r="I16124" s="126"/>
    </row>
    <row r="16125" spans="1:9">
      <c r="A16125" s="126"/>
      <c r="B16125" s="126"/>
      <c r="C16125" s="126"/>
      <c r="D16125" s="126"/>
      <c r="E16125" s="126"/>
      <c r="F16125" s="126"/>
      <c r="G16125" s="126"/>
      <c r="H16125" s="126"/>
      <c r="I16125" s="126"/>
    </row>
    <row r="16126" spans="1:9">
      <c r="A16126" s="126"/>
      <c r="B16126" s="126"/>
      <c r="C16126" s="126"/>
      <c r="D16126" s="126"/>
      <c r="E16126" s="126"/>
      <c r="F16126" s="126"/>
      <c r="G16126" s="126"/>
      <c r="H16126" s="126"/>
      <c r="I16126" s="126"/>
    </row>
    <row r="16127" spans="1:9">
      <c r="A16127" s="126"/>
      <c r="B16127" s="126"/>
      <c r="C16127" s="126"/>
      <c r="D16127" s="126"/>
      <c r="E16127" s="126"/>
      <c r="F16127" s="126"/>
      <c r="G16127" s="126"/>
      <c r="H16127" s="126"/>
      <c r="I16127" s="126"/>
    </row>
    <row r="16128" spans="1:9">
      <c r="A16128" s="126"/>
      <c r="B16128" s="126"/>
      <c r="C16128" s="126"/>
      <c r="D16128" s="126"/>
      <c r="E16128" s="126"/>
      <c r="F16128" s="126"/>
      <c r="G16128" s="126"/>
      <c r="H16128" s="126"/>
      <c r="I16128" s="126"/>
    </row>
    <row r="16129" spans="1:9">
      <c r="A16129" s="126"/>
      <c r="B16129" s="126"/>
      <c r="C16129" s="126"/>
      <c r="D16129" s="126"/>
      <c r="E16129" s="126"/>
      <c r="F16129" s="126"/>
      <c r="G16129" s="126"/>
      <c r="H16129" s="126"/>
      <c r="I16129" s="126"/>
    </row>
    <row r="16130" spans="1:9">
      <c r="A16130" s="126"/>
      <c r="B16130" s="126"/>
      <c r="C16130" s="126"/>
      <c r="D16130" s="126"/>
      <c r="E16130" s="126"/>
      <c r="F16130" s="126"/>
      <c r="G16130" s="126"/>
      <c r="H16130" s="126"/>
      <c r="I16130" s="126"/>
    </row>
    <row r="16131" spans="1:9">
      <c r="A16131" s="126"/>
      <c r="B16131" s="126"/>
      <c r="C16131" s="126"/>
      <c r="D16131" s="126"/>
      <c r="E16131" s="126"/>
      <c r="F16131" s="126"/>
      <c r="G16131" s="126"/>
      <c r="H16131" s="126"/>
      <c r="I16131" s="126"/>
    </row>
    <row r="16132" spans="1:9">
      <c r="A16132" s="126"/>
      <c r="B16132" s="126"/>
      <c r="C16132" s="126"/>
      <c r="D16132" s="126"/>
      <c r="E16132" s="126"/>
      <c r="F16132" s="126"/>
      <c r="G16132" s="126"/>
      <c r="H16132" s="126"/>
      <c r="I16132" s="126"/>
    </row>
    <row r="16133" spans="1:9">
      <c r="A16133" s="126"/>
      <c r="B16133" s="126"/>
      <c r="C16133" s="126"/>
      <c r="D16133" s="126"/>
      <c r="E16133" s="126"/>
      <c r="F16133" s="126"/>
      <c r="G16133" s="126"/>
      <c r="H16133" s="126"/>
      <c r="I16133" s="126"/>
    </row>
    <row r="16134" spans="1:9">
      <c r="A16134" s="126"/>
      <c r="B16134" s="126"/>
      <c r="C16134" s="126"/>
      <c r="D16134" s="126"/>
      <c r="E16134" s="126"/>
      <c r="F16134" s="126"/>
      <c r="G16134" s="126"/>
      <c r="H16134" s="126"/>
      <c r="I16134" s="126"/>
    </row>
    <row r="16135" spans="1:9">
      <c r="A16135" s="126"/>
      <c r="B16135" s="126"/>
      <c r="C16135" s="126"/>
      <c r="D16135" s="126"/>
      <c r="E16135" s="126"/>
      <c r="F16135" s="126"/>
      <c r="G16135" s="126"/>
      <c r="H16135" s="126"/>
      <c r="I16135" s="126"/>
    </row>
    <row r="16136" spans="1:9">
      <c r="A16136" s="126"/>
      <c r="B16136" s="126"/>
      <c r="C16136" s="126"/>
      <c r="D16136" s="126"/>
      <c r="E16136" s="126"/>
      <c r="F16136" s="126"/>
      <c r="G16136" s="126"/>
      <c r="H16136" s="126"/>
      <c r="I16136" s="126"/>
    </row>
    <row r="16137" spans="1:9">
      <c r="A16137" s="126"/>
      <c r="B16137" s="126"/>
      <c r="C16137" s="126"/>
      <c r="D16137" s="126"/>
      <c r="E16137" s="126"/>
      <c r="F16137" s="126"/>
      <c r="G16137" s="126"/>
      <c r="H16137" s="126"/>
      <c r="I16137" s="126"/>
    </row>
    <row r="16138" spans="1:9">
      <c r="A16138" s="126"/>
      <c r="B16138" s="126"/>
      <c r="C16138" s="126"/>
      <c r="D16138" s="126"/>
      <c r="E16138" s="126"/>
      <c r="F16138" s="126"/>
      <c r="G16138" s="126"/>
      <c r="H16138" s="126"/>
      <c r="I16138" s="126"/>
    </row>
    <row r="16139" spans="1:9">
      <c r="A16139" s="126"/>
      <c r="B16139" s="126"/>
      <c r="C16139" s="126"/>
      <c r="D16139" s="126"/>
      <c r="E16139" s="126"/>
      <c r="F16139" s="126"/>
      <c r="G16139" s="126"/>
      <c r="H16139" s="126"/>
      <c r="I16139" s="126"/>
    </row>
    <row r="16140" spans="1:9">
      <c r="A16140" s="126"/>
      <c r="B16140" s="126"/>
      <c r="C16140" s="126"/>
      <c r="D16140" s="126"/>
      <c r="E16140" s="126"/>
      <c r="F16140" s="126"/>
      <c r="G16140" s="126"/>
      <c r="H16140" s="126"/>
      <c r="I16140" s="126"/>
    </row>
    <row r="16141" spans="1:9">
      <c r="A16141" s="126"/>
      <c r="B16141" s="126"/>
      <c r="C16141" s="126"/>
      <c r="D16141" s="126"/>
      <c r="E16141" s="126"/>
      <c r="F16141" s="126"/>
      <c r="G16141" s="126"/>
      <c r="H16141" s="126"/>
      <c r="I16141" s="126"/>
    </row>
    <row r="16142" spans="1:9">
      <c r="A16142" s="126"/>
      <c r="B16142" s="126"/>
      <c r="C16142" s="126"/>
      <c r="D16142" s="126"/>
      <c r="E16142" s="126"/>
      <c r="F16142" s="126"/>
      <c r="G16142" s="126"/>
      <c r="H16142" s="126"/>
      <c r="I16142" s="126"/>
    </row>
    <row r="16143" spans="1:9">
      <c r="A16143" s="126"/>
      <c r="B16143" s="126"/>
      <c r="C16143" s="126"/>
      <c r="D16143" s="126"/>
      <c r="E16143" s="126"/>
      <c r="F16143" s="126"/>
      <c r="G16143" s="126"/>
      <c r="H16143" s="126"/>
      <c r="I16143" s="126"/>
    </row>
    <row r="16144" spans="1:9">
      <c r="A16144" s="126"/>
      <c r="B16144" s="126"/>
      <c r="C16144" s="126"/>
      <c r="D16144" s="126"/>
      <c r="E16144" s="126"/>
      <c r="F16144" s="126"/>
      <c r="G16144" s="126"/>
      <c r="H16144" s="126"/>
      <c r="I16144" s="126"/>
    </row>
    <row r="16145" spans="1:9">
      <c r="A16145" s="126"/>
      <c r="B16145" s="126"/>
      <c r="C16145" s="126"/>
      <c r="D16145" s="126"/>
      <c r="E16145" s="126"/>
      <c r="F16145" s="126"/>
      <c r="G16145" s="126"/>
      <c r="H16145" s="126"/>
      <c r="I16145" s="126"/>
    </row>
    <row r="16146" spans="1:9">
      <c r="A16146" s="126"/>
      <c r="B16146" s="126"/>
      <c r="C16146" s="126"/>
      <c r="D16146" s="126"/>
      <c r="E16146" s="126"/>
      <c r="F16146" s="126"/>
      <c r="G16146" s="126"/>
      <c r="H16146" s="126"/>
      <c r="I16146" s="126"/>
    </row>
    <row r="16147" spans="1:9">
      <c r="A16147" s="126"/>
      <c r="B16147" s="126"/>
      <c r="C16147" s="126"/>
      <c r="D16147" s="126"/>
      <c r="E16147" s="126"/>
      <c r="F16147" s="126"/>
      <c r="G16147" s="126"/>
      <c r="H16147" s="126"/>
      <c r="I16147" s="126"/>
    </row>
    <row r="16148" spans="1:9">
      <c r="A16148" s="126"/>
      <c r="B16148" s="126"/>
      <c r="C16148" s="126"/>
      <c r="D16148" s="126"/>
      <c r="E16148" s="126"/>
      <c r="F16148" s="126"/>
      <c r="G16148" s="126"/>
      <c r="H16148" s="126"/>
      <c r="I16148" s="126"/>
    </row>
    <row r="16149" spans="1:9">
      <c r="A16149" s="126"/>
      <c r="B16149" s="126"/>
      <c r="C16149" s="126"/>
      <c r="D16149" s="126"/>
      <c r="E16149" s="126"/>
      <c r="F16149" s="126"/>
      <c r="G16149" s="126"/>
      <c r="H16149" s="126"/>
      <c r="I16149" s="126"/>
    </row>
    <row r="16150" spans="1:9">
      <c r="A16150" s="126"/>
      <c r="B16150" s="126"/>
      <c r="C16150" s="126"/>
      <c r="D16150" s="126"/>
      <c r="E16150" s="126"/>
      <c r="F16150" s="126"/>
      <c r="G16150" s="126"/>
      <c r="H16150" s="126"/>
      <c r="I16150" s="126"/>
    </row>
    <row r="16151" spans="1:9">
      <c r="A16151" s="126"/>
      <c r="B16151" s="126"/>
      <c r="C16151" s="126"/>
      <c r="D16151" s="126"/>
      <c r="E16151" s="126"/>
      <c r="F16151" s="126"/>
      <c r="G16151" s="126"/>
      <c r="H16151" s="126"/>
      <c r="I16151" s="126"/>
    </row>
    <row r="16152" spans="1:9">
      <c r="A16152" s="126"/>
      <c r="B16152" s="126"/>
      <c r="C16152" s="126"/>
      <c r="D16152" s="126"/>
      <c r="E16152" s="126"/>
      <c r="F16152" s="126"/>
      <c r="G16152" s="126"/>
      <c r="H16152" s="126"/>
      <c r="I16152" s="126"/>
    </row>
    <row r="16153" spans="1:9">
      <c r="A16153" s="126"/>
      <c r="B16153" s="126"/>
      <c r="C16153" s="126"/>
      <c r="D16153" s="126"/>
      <c r="E16153" s="126"/>
      <c r="F16153" s="126"/>
      <c r="G16153" s="126"/>
      <c r="H16153" s="126"/>
      <c r="I16153" s="126"/>
    </row>
    <row r="16154" spans="1:9">
      <c r="A16154" s="126"/>
      <c r="B16154" s="126"/>
      <c r="C16154" s="126"/>
      <c r="D16154" s="126"/>
      <c r="E16154" s="126"/>
      <c r="F16154" s="126"/>
      <c r="G16154" s="126"/>
      <c r="H16154" s="126"/>
      <c r="I16154" s="126"/>
    </row>
    <row r="16155" spans="1:9">
      <c r="A16155" s="126"/>
      <c r="B16155" s="126"/>
      <c r="C16155" s="126"/>
      <c r="D16155" s="126"/>
      <c r="E16155" s="126"/>
      <c r="F16155" s="126"/>
      <c r="G16155" s="126"/>
      <c r="H16155" s="126"/>
      <c r="I16155" s="126"/>
    </row>
    <row r="16156" spans="1:9">
      <c r="A16156" s="126"/>
      <c r="B16156" s="126"/>
      <c r="C16156" s="126"/>
      <c r="D16156" s="126"/>
      <c r="E16156" s="126"/>
      <c r="F16156" s="126"/>
      <c r="G16156" s="126"/>
      <c r="H16156" s="126"/>
      <c r="I16156" s="126"/>
    </row>
    <row r="16157" spans="1:9">
      <c r="A16157" s="126"/>
      <c r="B16157" s="126"/>
      <c r="C16157" s="126"/>
      <c r="D16157" s="126"/>
      <c r="E16157" s="126"/>
      <c r="F16157" s="126"/>
      <c r="G16157" s="126"/>
      <c r="H16157" s="126"/>
      <c r="I16157" s="126"/>
    </row>
    <row r="16158" spans="1:9">
      <c r="A16158" s="126"/>
      <c r="B16158" s="126"/>
      <c r="C16158" s="126"/>
      <c r="D16158" s="126"/>
      <c r="E16158" s="126"/>
      <c r="F16158" s="126"/>
      <c r="G16158" s="126"/>
      <c r="H16158" s="126"/>
      <c r="I16158" s="126"/>
    </row>
    <row r="16159" spans="1:9">
      <c r="A16159" s="126"/>
      <c r="B16159" s="126"/>
      <c r="C16159" s="126"/>
      <c r="D16159" s="126"/>
      <c r="E16159" s="126"/>
      <c r="F16159" s="126"/>
      <c r="G16159" s="126"/>
      <c r="H16159" s="126"/>
      <c r="I16159" s="126"/>
    </row>
    <row r="16160" spans="1:9">
      <c r="A16160" s="126"/>
      <c r="B16160" s="126"/>
      <c r="C16160" s="126"/>
      <c r="D16160" s="126"/>
      <c r="E16160" s="126"/>
      <c r="F16160" s="126"/>
      <c r="G16160" s="126"/>
      <c r="H16160" s="126"/>
      <c r="I16160" s="126"/>
    </row>
    <row r="16161" spans="1:9">
      <c r="A16161" s="126"/>
      <c r="B16161" s="126"/>
      <c r="C16161" s="126"/>
      <c r="D16161" s="126"/>
      <c r="E16161" s="126"/>
      <c r="F16161" s="126"/>
      <c r="G16161" s="126"/>
      <c r="H16161" s="126"/>
      <c r="I16161" s="126"/>
    </row>
    <row r="16162" spans="1:9">
      <c r="A16162" s="126"/>
      <c r="B16162" s="126"/>
      <c r="C16162" s="126"/>
      <c r="D16162" s="126"/>
      <c r="E16162" s="126"/>
      <c r="F16162" s="126"/>
      <c r="G16162" s="126"/>
      <c r="H16162" s="126"/>
      <c r="I16162" s="126"/>
    </row>
    <row r="16163" spans="1:9">
      <c r="A16163" s="126"/>
      <c r="B16163" s="126"/>
      <c r="C16163" s="126"/>
      <c r="D16163" s="126"/>
      <c r="E16163" s="126"/>
      <c r="F16163" s="126"/>
      <c r="G16163" s="126"/>
      <c r="H16163" s="126"/>
      <c r="I16163" s="126"/>
    </row>
    <row r="16164" spans="1:9">
      <c r="A16164" s="126"/>
      <c r="B16164" s="126"/>
      <c r="C16164" s="126"/>
      <c r="D16164" s="126"/>
      <c r="E16164" s="126"/>
      <c r="F16164" s="126"/>
      <c r="G16164" s="126"/>
      <c r="H16164" s="126"/>
      <c r="I16164" s="126"/>
    </row>
    <row r="16165" spans="1:9">
      <c r="A16165" s="126"/>
      <c r="B16165" s="126"/>
      <c r="C16165" s="126"/>
      <c r="D16165" s="126"/>
      <c r="E16165" s="126"/>
      <c r="F16165" s="126"/>
      <c r="G16165" s="126"/>
      <c r="H16165" s="126"/>
      <c r="I16165" s="126"/>
    </row>
    <row r="16166" spans="1:9">
      <c r="A16166" s="126"/>
      <c r="B16166" s="126"/>
      <c r="C16166" s="126"/>
      <c r="D16166" s="126"/>
      <c r="E16166" s="126"/>
      <c r="F16166" s="126"/>
      <c r="G16166" s="126"/>
      <c r="H16166" s="126"/>
      <c r="I16166" s="126"/>
    </row>
    <row r="16167" spans="1:9">
      <c r="A16167" s="126"/>
      <c r="B16167" s="126"/>
      <c r="C16167" s="126"/>
      <c r="D16167" s="126"/>
      <c r="E16167" s="126"/>
      <c r="F16167" s="126"/>
      <c r="G16167" s="126"/>
      <c r="H16167" s="126"/>
      <c r="I16167" s="126"/>
    </row>
    <row r="16168" spans="1:9">
      <c r="A16168" s="126"/>
      <c r="B16168" s="126"/>
      <c r="C16168" s="126"/>
      <c r="D16168" s="126"/>
      <c r="E16168" s="126"/>
      <c r="F16168" s="126"/>
      <c r="G16168" s="126"/>
      <c r="H16168" s="126"/>
      <c r="I16168" s="126"/>
    </row>
    <row r="16169" spans="1:9">
      <c r="A16169" s="126"/>
      <c r="B16169" s="126"/>
      <c r="C16169" s="126"/>
      <c r="D16169" s="126"/>
      <c r="E16169" s="126"/>
      <c r="F16169" s="126"/>
      <c r="G16169" s="126"/>
      <c r="H16169" s="126"/>
      <c r="I16169" s="126"/>
    </row>
    <row r="16170" spans="1:9">
      <c r="A16170" s="126"/>
      <c r="B16170" s="126"/>
      <c r="C16170" s="126"/>
      <c r="D16170" s="126"/>
      <c r="E16170" s="126"/>
      <c r="F16170" s="126"/>
      <c r="G16170" s="126"/>
      <c r="H16170" s="126"/>
      <c r="I16170" s="126"/>
    </row>
    <row r="16171" spans="1:9">
      <c r="A16171" s="126"/>
      <c r="B16171" s="126"/>
      <c r="C16171" s="126"/>
      <c r="D16171" s="126"/>
      <c r="E16171" s="126"/>
      <c r="F16171" s="126"/>
      <c r="G16171" s="126"/>
      <c r="H16171" s="126"/>
      <c r="I16171" s="126"/>
    </row>
    <row r="16172" spans="1:9">
      <c r="A16172" s="126"/>
      <c r="B16172" s="126"/>
      <c r="C16172" s="126"/>
      <c r="D16172" s="126"/>
      <c r="E16172" s="126"/>
      <c r="F16172" s="126"/>
      <c r="G16172" s="126"/>
      <c r="H16172" s="126"/>
      <c r="I16172" s="126"/>
    </row>
    <row r="16173" spans="1:9">
      <c r="A16173" s="126"/>
      <c r="B16173" s="126"/>
      <c r="C16173" s="126"/>
      <c r="D16173" s="126"/>
      <c r="E16173" s="126"/>
      <c r="F16173" s="126"/>
      <c r="G16173" s="126"/>
      <c r="H16173" s="126"/>
      <c r="I16173" s="126"/>
    </row>
    <row r="16174" spans="1:9">
      <c r="A16174" s="126"/>
      <c r="B16174" s="126"/>
      <c r="C16174" s="126"/>
      <c r="D16174" s="126"/>
      <c r="E16174" s="126"/>
      <c r="F16174" s="126"/>
      <c r="G16174" s="126"/>
      <c r="H16174" s="126"/>
      <c r="I16174" s="126"/>
    </row>
    <row r="16175" spans="1:9">
      <c r="A16175" s="126"/>
      <c r="B16175" s="126"/>
      <c r="C16175" s="126"/>
      <c r="D16175" s="126"/>
      <c r="E16175" s="126"/>
      <c r="F16175" s="126"/>
      <c r="G16175" s="126"/>
      <c r="H16175" s="126"/>
      <c r="I16175" s="126"/>
    </row>
    <row r="16176" spans="1:9">
      <c r="A16176" s="126"/>
      <c r="B16176" s="126"/>
      <c r="C16176" s="126"/>
      <c r="D16176" s="126"/>
      <c r="E16176" s="126"/>
      <c r="F16176" s="126"/>
      <c r="G16176" s="126"/>
      <c r="H16176" s="126"/>
      <c r="I16176" s="126"/>
    </row>
    <row r="16177" spans="1:9">
      <c r="A16177" s="126"/>
      <c r="B16177" s="126"/>
      <c r="C16177" s="126"/>
      <c r="D16177" s="126"/>
      <c r="E16177" s="126"/>
      <c r="F16177" s="126"/>
      <c r="G16177" s="126"/>
      <c r="H16177" s="126"/>
      <c r="I16177" s="126"/>
    </row>
    <row r="16178" spans="1:9">
      <c r="A16178" s="126"/>
      <c r="B16178" s="126"/>
      <c r="C16178" s="126"/>
      <c r="D16178" s="126"/>
      <c r="E16178" s="126"/>
      <c r="F16178" s="126"/>
      <c r="G16178" s="126"/>
      <c r="H16178" s="126"/>
      <c r="I16178" s="126"/>
    </row>
    <row r="16179" spans="1:9">
      <c r="A16179" s="126"/>
      <c r="B16179" s="126"/>
      <c r="C16179" s="126"/>
      <c r="D16179" s="126"/>
      <c r="E16179" s="126"/>
      <c r="F16179" s="126"/>
      <c r="G16179" s="126"/>
      <c r="H16179" s="126"/>
      <c r="I16179" s="126"/>
    </row>
    <row r="16180" spans="1:9">
      <c r="A16180" s="126"/>
      <c r="B16180" s="126"/>
      <c r="C16180" s="126"/>
      <c r="D16180" s="126"/>
      <c r="E16180" s="126"/>
      <c r="F16180" s="126"/>
      <c r="G16180" s="126"/>
      <c r="H16180" s="126"/>
      <c r="I16180" s="126"/>
    </row>
    <row r="16181" spans="1:9">
      <c r="A16181" s="126"/>
      <c r="B16181" s="126"/>
      <c r="C16181" s="126"/>
      <c r="D16181" s="126"/>
      <c r="E16181" s="126"/>
      <c r="F16181" s="126"/>
      <c r="G16181" s="126"/>
      <c r="H16181" s="126"/>
      <c r="I16181" s="126"/>
    </row>
    <row r="16182" spans="1:9">
      <c r="A16182" s="126"/>
      <c r="B16182" s="126"/>
      <c r="C16182" s="126"/>
      <c r="D16182" s="126"/>
      <c r="E16182" s="126"/>
      <c r="F16182" s="126"/>
      <c r="G16182" s="126"/>
      <c r="H16182" s="126"/>
      <c r="I16182" s="126"/>
    </row>
    <row r="16183" spans="1:9">
      <c r="A16183" s="126"/>
      <c r="B16183" s="126"/>
      <c r="C16183" s="126"/>
      <c r="D16183" s="126"/>
      <c r="E16183" s="126"/>
      <c r="F16183" s="126"/>
      <c r="G16183" s="126"/>
      <c r="H16183" s="126"/>
      <c r="I16183" s="126"/>
    </row>
    <row r="16184" spans="1:9">
      <c r="A16184" s="126"/>
      <c r="B16184" s="126"/>
      <c r="C16184" s="126"/>
      <c r="D16184" s="126"/>
      <c r="E16184" s="126"/>
      <c r="F16184" s="126"/>
      <c r="G16184" s="126"/>
      <c r="H16184" s="126"/>
      <c r="I16184" s="126"/>
    </row>
    <row r="16185" spans="1:9">
      <c r="A16185" s="126"/>
      <c r="B16185" s="126"/>
      <c r="C16185" s="126"/>
      <c r="D16185" s="126"/>
      <c r="E16185" s="126"/>
      <c r="F16185" s="126"/>
      <c r="G16185" s="126"/>
      <c r="H16185" s="126"/>
      <c r="I16185" s="126"/>
    </row>
    <row r="16186" spans="1:9">
      <c r="A16186" s="126"/>
      <c r="B16186" s="126"/>
      <c r="C16186" s="126"/>
      <c r="D16186" s="126"/>
      <c r="E16186" s="126"/>
      <c r="F16186" s="126"/>
      <c r="G16186" s="126"/>
      <c r="H16186" s="126"/>
      <c r="I16186" s="126"/>
    </row>
    <row r="16187" spans="1:9">
      <c r="A16187" s="126"/>
      <c r="B16187" s="126"/>
      <c r="C16187" s="126"/>
      <c r="D16187" s="126"/>
      <c r="E16187" s="126"/>
      <c r="F16187" s="126"/>
      <c r="G16187" s="126"/>
      <c r="H16187" s="126"/>
      <c r="I16187" s="126"/>
    </row>
    <row r="16188" spans="1:9">
      <c r="A16188" s="126"/>
      <c r="B16188" s="126"/>
      <c r="C16188" s="126"/>
      <c r="D16188" s="126"/>
      <c r="E16188" s="126"/>
      <c r="F16188" s="126"/>
      <c r="G16188" s="126"/>
      <c r="H16188" s="126"/>
      <c r="I16188" s="126"/>
    </row>
    <row r="16189" spans="1:9">
      <c r="A16189" s="126"/>
      <c r="B16189" s="126"/>
      <c r="C16189" s="126"/>
      <c r="D16189" s="126"/>
      <c r="E16189" s="126"/>
      <c r="F16189" s="126"/>
      <c r="G16189" s="126"/>
      <c r="H16189" s="126"/>
      <c r="I16189" s="126"/>
    </row>
    <row r="16190" spans="1:9">
      <c r="A16190" s="126"/>
      <c r="B16190" s="126"/>
      <c r="C16190" s="126"/>
      <c r="D16190" s="126"/>
      <c r="E16190" s="126"/>
      <c r="F16190" s="126"/>
      <c r="G16190" s="126"/>
      <c r="H16190" s="126"/>
      <c r="I16190" s="126"/>
    </row>
    <row r="16191" spans="1:9">
      <c r="A16191" s="126"/>
      <c r="B16191" s="126"/>
      <c r="C16191" s="126"/>
      <c r="D16191" s="126"/>
      <c r="E16191" s="126"/>
      <c r="F16191" s="126"/>
      <c r="G16191" s="126"/>
      <c r="H16191" s="126"/>
      <c r="I16191" s="126"/>
    </row>
    <row r="16192" spans="1:9">
      <c r="A16192" s="126"/>
      <c r="B16192" s="126"/>
      <c r="C16192" s="126"/>
      <c r="D16192" s="126"/>
      <c r="E16192" s="126"/>
      <c r="F16192" s="126"/>
      <c r="G16192" s="126"/>
      <c r="H16192" s="126"/>
      <c r="I16192" s="126"/>
    </row>
    <row r="16193" spans="1:9">
      <c r="A16193" s="126"/>
      <c r="B16193" s="126"/>
      <c r="C16193" s="126"/>
      <c r="D16193" s="126"/>
      <c r="E16193" s="126"/>
      <c r="F16193" s="126"/>
      <c r="G16193" s="126"/>
      <c r="H16193" s="126"/>
      <c r="I16193" s="126"/>
    </row>
    <row r="16194" spans="1:9">
      <c r="A16194" s="126"/>
      <c r="B16194" s="126"/>
      <c r="C16194" s="126"/>
      <c r="D16194" s="126"/>
      <c r="E16194" s="126"/>
      <c r="F16194" s="126"/>
      <c r="G16194" s="126"/>
      <c r="H16194" s="126"/>
      <c r="I16194" s="126"/>
    </row>
    <row r="16195" spans="1:9">
      <c r="A16195" s="126"/>
      <c r="B16195" s="126"/>
      <c r="C16195" s="126"/>
      <c r="D16195" s="126"/>
      <c r="E16195" s="126"/>
      <c r="F16195" s="126"/>
      <c r="G16195" s="126"/>
      <c r="H16195" s="126"/>
      <c r="I16195" s="126"/>
    </row>
    <row r="16196" spans="1:9">
      <c r="A16196" s="126"/>
      <c r="B16196" s="126"/>
      <c r="C16196" s="126"/>
      <c r="D16196" s="126"/>
      <c r="E16196" s="126"/>
      <c r="F16196" s="126"/>
      <c r="G16196" s="126"/>
      <c r="H16196" s="126"/>
      <c r="I16196" s="126"/>
    </row>
    <row r="16197" spans="1:9">
      <c r="A16197" s="126"/>
      <c r="B16197" s="126"/>
      <c r="C16197" s="126"/>
      <c r="D16197" s="126"/>
      <c r="E16197" s="126"/>
      <c r="F16197" s="126"/>
      <c r="G16197" s="126"/>
      <c r="H16197" s="126"/>
      <c r="I16197" s="126"/>
    </row>
    <row r="16198" spans="1:9">
      <c r="A16198" s="126"/>
      <c r="B16198" s="126"/>
      <c r="C16198" s="126"/>
      <c r="D16198" s="126"/>
      <c r="E16198" s="126"/>
      <c r="F16198" s="126"/>
      <c r="G16198" s="126"/>
      <c r="H16198" s="126"/>
      <c r="I16198" s="126"/>
    </row>
    <row r="16199" spans="1:9">
      <c r="A16199" s="126"/>
      <c r="B16199" s="126"/>
      <c r="C16199" s="126"/>
      <c r="D16199" s="126"/>
      <c r="E16199" s="126"/>
      <c r="F16199" s="126"/>
      <c r="G16199" s="126"/>
      <c r="H16199" s="126"/>
      <c r="I16199" s="126"/>
    </row>
    <row r="16200" spans="1:9">
      <c r="A16200" s="126"/>
      <c r="B16200" s="126"/>
      <c r="C16200" s="126"/>
      <c r="D16200" s="126"/>
      <c r="E16200" s="126"/>
      <c r="F16200" s="126"/>
      <c r="G16200" s="126"/>
      <c r="H16200" s="126"/>
      <c r="I16200" s="126"/>
    </row>
    <row r="16201" spans="1:9">
      <c r="A16201" s="126"/>
      <c r="B16201" s="126"/>
      <c r="C16201" s="126"/>
      <c r="D16201" s="126"/>
      <c r="E16201" s="126"/>
      <c r="F16201" s="126"/>
      <c r="G16201" s="126"/>
      <c r="H16201" s="126"/>
      <c r="I16201" s="126"/>
    </row>
    <row r="16202" spans="1:9">
      <c r="A16202" s="126"/>
      <c r="B16202" s="126"/>
      <c r="C16202" s="126"/>
      <c r="D16202" s="126"/>
      <c r="E16202" s="126"/>
      <c r="F16202" s="126"/>
      <c r="G16202" s="126"/>
      <c r="H16202" s="126"/>
      <c r="I16202" s="126"/>
    </row>
    <row r="16203" spans="1:9">
      <c r="A16203" s="126"/>
      <c r="B16203" s="126"/>
      <c r="C16203" s="126"/>
      <c r="D16203" s="126"/>
      <c r="E16203" s="126"/>
      <c r="F16203" s="126"/>
      <c r="G16203" s="126"/>
      <c r="H16203" s="126"/>
      <c r="I16203" s="126"/>
    </row>
    <row r="16204" spans="1:9">
      <c r="A16204" s="126"/>
      <c r="B16204" s="126"/>
      <c r="C16204" s="126"/>
      <c r="D16204" s="126"/>
      <c r="E16204" s="126"/>
      <c r="F16204" s="126"/>
      <c r="G16204" s="126"/>
      <c r="H16204" s="126"/>
      <c r="I16204" s="126"/>
    </row>
    <row r="16205" spans="1:9">
      <c r="A16205" s="126"/>
      <c r="B16205" s="126"/>
      <c r="C16205" s="126"/>
      <c r="D16205" s="126"/>
      <c r="E16205" s="126"/>
      <c r="F16205" s="126"/>
      <c r="G16205" s="126"/>
      <c r="H16205" s="126"/>
      <c r="I16205" s="126"/>
    </row>
    <row r="16206" spans="1:9">
      <c r="A16206" s="126"/>
      <c r="B16206" s="126"/>
      <c r="C16206" s="126"/>
      <c r="D16206" s="126"/>
      <c r="E16206" s="126"/>
      <c r="F16206" s="126"/>
      <c r="G16206" s="126"/>
      <c r="H16206" s="126"/>
      <c r="I16206" s="126"/>
    </row>
    <row r="16207" spans="1:9">
      <c r="A16207" s="126"/>
      <c r="B16207" s="126"/>
      <c r="C16207" s="126"/>
      <c r="D16207" s="126"/>
      <c r="E16207" s="126"/>
      <c r="F16207" s="126"/>
      <c r="G16207" s="126"/>
      <c r="H16207" s="126"/>
      <c r="I16207" s="126"/>
    </row>
    <row r="16208" spans="1:9">
      <c r="A16208" s="126"/>
      <c r="B16208" s="126"/>
      <c r="C16208" s="126"/>
      <c r="D16208" s="126"/>
      <c r="E16208" s="126"/>
      <c r="F16208" s="126"/>
      <c r="G16208" s="126"/>
      <c r="H16208" s="126"/>
      <c r="I16208" s="126"/>
    </row>
    <row r="16209" spans="1:9">
      <c r="A16209" s="126"/>
      <c r="B16209" s="126"/>
      <c r="C16209" s="126"/>
      <c r="D16209" s="126"/>
      <c r="E16209" s="126"/>
      <c r="F16209" s="126"/>
      <c r="G16209" s="126"/>
      <c r="H16209" s="126"/>
      <c r="I16209" s="126"/>
    </row>
    <row r="16210" spans="1:9">
      <c r="A16210" s="126"/>
      <c r="B16210" s="126"/>
      <c r="C16210" s="126"/>
      <c r="D16210" s="126"/>
      <c r="E16210" s="126"/>
      <c r="F16210" s="126"/>
      <c r="G16210" s="126"/>
      <c r="H16210" s="126"/>
      <c r="I16210" s="126"/>
    </row>
    <row r="16211" spans="1:9">
      <c r="A16211" s="126"/>
      <c r="B16211" s="126"/>
      <c r="C16211" s="126"/>
      <c r="D16211" s="126"/>
      <c r="E16211" s="126"/>
      <c r="F16211" s="126"/>
      <c r="G16211" s="126"/>
      <c r="H16211" s="126"/>
      <c r="I16211" s="126"/>
    </row>
    <row r="16212" spans="1:9">
      <c r="A16212" s="126"/>
      <c r="B16212" s="126"/>
      <c r="C16212" s="126"/>
      <c r="D16212" s="126"/>
      <c r="E16212" s="126"/>
      <c r="F16212" s="126"/>
      <c r="G16212" s="126"/>
      <c r="H16212" s="126"/>
      <c r="I16212" s="126"/>
    </row>
    <row r="16213" spans="1:9">
      <c r="A16213" s="126"/>
      <c r="B16213" s="126"/>
      <c r="C16213" s="126"/>
      <c r="D16213" s="126"/>
      <c r="E16213" s="126"/>
      <c r="F16213" s="126"/>
      <c r="G16213" s="126"/>
      <c r="H16213" s="126"/>
      <c r="I16213" s="126"/>
    </row>
    <row r="16214" spans="1:9">
      <c r="A16214" s="126"/>
      <c r="B16214" s="126"/>
      <c r="C16214" s="126"/>
      <c r="D16214" s="126"/>
      <c r="E16214" s="126"/>
      <c r="F16214" s="126"/>
      <c r="G16214" s="126"/>
      <c r="H16214" s="126"/>
      <c r="I16214" s="126"/>
    </row>
    <row r="16215" spans="1:9">
      <c r="A16215" s="126"/>
      <c r="B16215" s="126"/>
      <c r="C16215" s="126"/>
      <c r="D16215" s="126"/>
      <c r="E16215" s="126"/>
      <c r="F16215" s="126"/>
      <c r="G16215" s="126"/>
      <c r="H16215" s="126"/>
      <c r="I16215" s="126"/>
    </row>
    <row r="16216" spans="1:9">
      <c r="A16216" s="126"/>
      <c r="B16216" s="126"/>
      <c r="C16216" s="126"/>
      <c r="D16216" s="126"/>
      <c r="E16216" s="126"/>
      <c r="F16216" s="126"/>
      <c r="G16216" s="126"/>
      <c r="H16216" s="126"/>
      <c r="I16216" s="126"/>
    </row>
    <row r="16217" spans="1:9">
      <c r="A16217" s="126"/>
      <c r="B16217" s="126"/>
      <c r="C16217" s="126"/>
      <c r="D16217" s="126"/>
      <c r="E16217" s="126"/>
      <c r="F16217" s="126"/>
      <c r="G16217" s="126"/>
      <c r="H16217" s="126"/>
      <c r="I16217" s="126"/>
    </row>
    <row r="16218" spans="1:9">
      <c r="A16218" s="126"/>
      <c r="B16218" s="126"/>
      <c r="C16218" s="126"/>
      <c r="D16218" s="126"/>
      <c r="E16218" s="126"/>
      <c r="F16218" s="126"/>
      <c r="G16218" s="126"/>
      <c r="H16218" s="126"/>
      <c r="I16218" s="126"/>
    </row>
    <row r="16219" spans="1:9">
      <c r="A16219" s="126"/>
      <c r="B16219" s="126"/>
      <c r="C16219" s="126"/>
      <c r="D16219" s="126"/>
      <c r="E16219" s="126"/>
      <c r="F16219" s="126"/>
      <c r="G16219" s="126"/>
      <c r="H16219" s="126"/>
      <c r="I16219" s="126"/>
    </row>
    <row r="16220" spans="1:9">
      <c r="A16220" s="126"/>
      <c r="B16220" s="126"/>
      <c r="C16220" s="126"/>
      <c r="D16220" s="126"/>
      <c r="E16220" s="126"/>
      <c r="F16220" s="126"/>
      <c r="G16220" s="126"/>
      <c r="H16220" s="126"/>
      <c r="I16220" s="126"/>
    </row>
    <row r="16221" spans="1:9">
      <c r="A16221" s="126"/>
      <c r="B16221" s="126"/>
      <c r="C16221" s="126"/>
      <c r="D16221" s="126"/>
      <c r="E16221" s="126"/>
      <c r="F16221" s="126"/>
      <c r="G16221" s="126"/>
      <c r="H16221" s="126"/>
      <c r="I16221" s="126"/>
    </row>
    <row r="16222" spans="1:9">
      <c r="A16222" s="126"/>
      <c r="B16222" s="126"/>
      <c r="C16222" s="126"/>
      <c r="D16222" s="126"/>
      <c r="E16222" s="126"/>
      <c r="F16222" s="126"/>
      <c r="G16222" s="126"/>
      <c r="H16222" s="126"/>
      <c r="I16222" s="126"/>
    </row>
    <row r="16223" spans="1:9">
      <c r="A16223" s="126"/>
      <c r="B16223" s="126"/>
      <c r="C16223" s="126"/>
      <c r="D16223" s="126"/>
      <c r="E16223" s="126"/>
      <c r="F16223" s="126"/>
      <c r="G16223" s="126"/>
      <c r="H16223" s="126"/>
      <c r="I16223" s="126"/>
    </row>
    <row r="16224" spans="1:9">
      <c r="A16224" s="126"/>
      <c r="B16224" s="126"/>
      <c r="C16224" s="126"/>
      <c r="D16224" s="126"/>
      <c r="E16224" s="126"/>
      <c r="F16224" s="126"/>
      <c r="G16224" s="126"/>
      <c r="H16224" s="126"/>
      <c r="I16224" s="126"/>
    </row>
    <row r="16225" spans="1:9">
      <c r="A16225" s="126"/>
      <c r="B16225" s="126"/>
      <c r="C16225" s="126"/>
      <c r="D16225" s="126"/>
      <c r="E16225" s="126"/>
      <c r="F16225" s="126"/>
      <c r="G16225" s="126"/>
      <c r="H16225" s="126"/>
      <c r="I16225" s="126"/>
    </row>
    <row r="16226" spans="1:9">
      <c r="A16226" s="126"/>
      <c r="B16226" s="126"/>
      <c r="C16226" s="126"/>
      <c r="D16226" s="126"/>
      <c r="E16226" s="126"/>
      <c r="F16226" s="126"/>
      <c r="G16226" s="126"/>
      <c r="H16226" s="126"/>
      <c r="I16226" s="126"/>
    </row>
    <row r="16227" spans="1:9">
      <c r="A16227" s="126"/>
      <c r="B16227" s="126"/>
      <c r="C16227" s="126"/>
      <c r="D16227" s="126"/>
      <c r="E16227" s="126"/>
      <c r="F16227" s="126"/>
      <c r="G16227" s="126"/>
      <c r="H16227" s="126"/>
      <c r="I16227" s="126"/>
    </row>
    <row r="16228" spans="1:9">
      <c r="A16228" s="126"/>
      <c r="B16228" s="126"/>
      <c r="C16228" s="126"/>
      <c r="D16228" s="126"/>
      <c r="E16228" s="126"/>
      <c r="F16228" s="126"/>
      <c r="G16228" s="126"/>
      <c r="H16228" s="126"/>
      <c r="I16228" s="126"/>
    </row>
    <row r="16229" spans="1:9">
      <c r="A16229" s="126"/>
      <c r="B16229" s="126"/>
      <c r="C16229" s="126"/>
      <c r="D16229" s="126"/>
      <c r="E16229" s="126"/>
      <c r="F16229" s="126"/>
      <c r="G16229" s="126"/>
      <c r="H16229" s="126"/>
      <c r="I16229" s="126"/>
    </row>
    <row r="16230" spans="1:9">
      <c r="A16230" s="126"/>
      <c r="B16230" s="126"/>
      <c r="C16230" s="126"/>
      <c r="D16230" s="126"/>
      <c r="E16230" s="126"/>
      <c r="F16230" s="126"/>
      <c r="G16230" s="126"/>
      <c r="H16230" s="126"/>
      <c r="I16230" s="126"/>
    </row>
    <row r="16231" spans="1:9">
      <c r="A16231" s="126"/>
      <c r="B16231" s="126"/>
      <c r="C16231" s="126"/>
      <c r="D16231" s="126"/>
      <c r="E16231" s="126"/>
      <c r="F16231" s="126"/>
      <c r="G16231" s="126"/>
      <c r="H16231" s="126"/>
      <c r="I16231" s="126"/>
    </row>
    <row r="16232" spans="1:9">
      <c r="A16232" s="126"/>
      <c r="B16232" s="126"/>
      <c r="C16232" s="126"/>
      <c r="D16232" s="126"/>
      <c r="E16232" s="126"/>
      <c r="F16232" s="126"/>
      <c r="G16232" s="126"/>
      <c r="H16232" s="126"/>
      <c r="I16232" s="126"/>
    </row>
    <row r="16233" spans="1:9">
      <c r="A16233" s="126"/>
      <c r="B16233" s="126"/>
      <c r="C16233" s="126"/>
      <c r="D16233" s="126"/>
      <c r="E16233" s="126"/>
      <c r="F16233" s="126"/>
      <c r="G16233" s="126"/>
      <c r="H16233" s="126"/>
      <c r="I16233" s="126"/>
    </row>
    <row r="16234" spans="1:9">
      <c r="A16234" s="126"/>
      <c r="B16234" s="126"/>
      <c r="C16234" s="126"/>
      <c r="D16234" s="126"/>
      <c r="E16234" s="126"/>
      <c r="F16234" s="126"/>
      <c r="G16234" s="126"/>
      <c r="H16234" s="126"/>
      <c r="I16234" s="126"/>
    </row>
    <row r="16235" spans="1:9">
      <c r="A16235" s="126"/>
      <c r="B16235" s="126"/>
      <c r="C16235" s="126"/>
      <c r="D16235" s="126"/>
      <c r="E16235" s="126"/>
      <c r="F16235" s="126"/>
      <c r="G16235" s="126"/>
      <c r="H16235" s="126"/>
      <c r="I16235" s="126"/>
    </row>
    <row r="16236" spans="1:9">
      <c r="A16236" s="126"/>
      <c r="B16236" s="126"/>
      <c r="C16236" s="126"/>
      <c r="D16236" s="126"/>
      <c r="E16236" s="126"/>
      <c r="F16236" s="126"/>
      <c r="G16236" s="126"/>
      <c r="H16236" s="126"/>
      <c r="I16236" s="126"/>
    </row>
    <row r="16237" spans="1:9">
      <c r="A16237" s="126"/>
      <c r="B16237" s="126"/>
      <c r="C16237" s="126"/>
      <c r="D16237" s="126"/>
      <c r="E16237" s="126"/>
      <c r="F16237" s="126"/>
      <c r="G16237" s="126"/>
      <c r="H16237" s="126"/>
      <c r="I16237" s="126"/>
    </row>
    <row r="16238" spans="1:9">
      <c r="A16238" s="126"/>
      <c r="B16238" s="126"/>
      <c r="C16238" s="126"/>
      <c r="D16238" s="126"/>
      <c r="E16238" s="126"/>
      <c r="F16238" s="126"/>
      <c r="G16238" s="126"/>
      <c r="H16238" s="126"/>
      <c r="I16238" s="126"/>
    </row>
    <row r="16239" spans="1:9">
      <c r="A16239" s="126"/>
      <c r="B16239" s="126"/>
      <c r="C16239" s="126"/>
      <c r="D16239" s="126"/>
      <c r="E16239" s="126"/>
      <c r="F16239" s="126"/>
      <c r="G16239" s="126"/>
      <c r="H16239" s="126"/>
      <c r="I16239" s="126"/>
    </row>
    <row r="16240" spans="1:9">
      <c r="A16240" s="126"/>
      <c r="B16240" s="126"/>
      <c r="C16240" s="126"/>
      <c r="D16240" s="126"/>
      <c r="E16240" s="126"/>
      <c r="F16240" s="126"/>
      <c r="G16240" s="126"/>
      <c r="H16240" s="126"/>
      <c r="I16240" s="126"/>
    </row>
    <row r="16241" spans="1:9">
      <c r="A16241" s="126"/>
      <c r="B16241" s="126"/>
      <c r="C16241" s="126"/>
      <c r="D16241" s="126"/>
      <c r="E16241" s="126"/>
      <c r="F16241" s="126"/>
      <c r="G16241" s="126"/>
      <c r="H16241" s="126"/>
      <c r="I16241" s="126"/>
    </row>
    <row r="16242" spans="1:9">
      <c r="A16242" s="126"/>
      <c r="B16242" s="126"/>
      <c r="C16242" s="126"/>
      <c r="D16242" s="126"/>
      <c r="E16242" s="126"/>
      <c r="F16242" s="126"/>
      <c r="G16242" s="126"/>
      <c r="H16242" s="126"/>
      <c r="I16242" s="126"/>
    </row>
    <row r="16243" spans="1:9">
      <c r="A16243" s="126"/>
      <c r="B16243" s="126"/>
      <c r="C16243" s="126"/>
      <c r="D16243" s="126"/>
      <c r="E16243" s="126"/>
      <c r="F16243" s="126"/>
      <c r="G16243" s="126"/>
      <c r="H16243" s="126"/>
      <c r="I16243" s="126"/>
    </row>
    <row r="16244" spans="1:9">
      <c r="A16244" s="126"/>
      <c r="B16244" s="126"/>
      <c r="C16244" s="126"/>
      <c r="D16244" s="126"/>
      <c r="E16244" s="126"/>
      <c r="F16244" s="126"/>
      <c r="G16244" s="126"/>
      <c r="H16244" s="126"/>
      <c r="I16244" s="126"/>
    </row>
    <row r="16245" spans="1:9">
      <c r="A16245" s="126"/>
      <c r="B16245" s="126"/>
      <c r="C16245" s="126"/>
      <c r="D16245" s="126"/>
      <c r="E16245" s="126"/>
      <c r="F16245" s="126"/>
      <c r="G16245" s="126"/>
      <c r="H16245" s="126"/>
      <c r="I16245" s="126"/>
    </row>
    <row r="16246" spans="1:9">
      <c r="A16246" s="126"/>
      <c r="B16246" s="126"/>
      <c r="C16246" s="126"/>
      <c r="D16246" s="126"/>
      <c r="E16246" s="126"/>
      <c r="F16246" s="126"/>
      <c r="G16246" s="126"/>
      <c r="H16246" s="126"/>
      <c r="I16246" s="126"/>
    </row>
    <row r="16247" spans="1:9">
      <c r="A16247" s="126"/>
      <c r="B16247" s="126"/>
      <c r="C16247" s="126"/>
      <c r="D16247" s="126"/>
      <c r="E16247" s="126"/>
      <c r="F16247" s="126"/>
      <c r="G16247" s="126"/>
      <c r="H16247" s="126"/>
      <c r="I16247" s="126"/>
    </row>
    <row r="16248" spans="1:9">
      <c r="A16248" s="126"/>
      <c r="B16248" s="126"/>
      <c r="C16248" s="126"/>
      <c r="D16248" s="126"/>
      <c r="E16248" s="126"/>
      <c r="F16248" s="126"/>
      <c r="G16248" s="126"/>
      <c r="H16248" s="126"/>
      <c r="I16248" s="126"/>
    </row>
    <row r="16249" spans="1:9">
      <c r="A16249" s="126"/>
      <c r="B16249" s="126"/>
      <c r="C16249" s="126"/>
      <c r="D16249" s="126"/>
      <c r="E16249" s="126"/>
      <c r="F16249" s="126"/>
      <c r="G16249" s="126"/>
      <c r="H16249" s="126"/>
      <c r="I16249" s="126"/>
    </row>
    <row r="16250" spans="1:9">
      <c r="A16250" s="126"/>
      <c r="B16250" s="126"/>
      <c r="C16250" s="126"/>
      <c r="D16250" s="126"/>
      <c r="E16250" s="126"/>
      <c r="F16250" s="126"/>
      <c r="G16250" s="126"/>
      <c r="H16250" s="126"/>
      <c r="I16250" s="126"/>
    </row>
    <row r="16251" spans="1:9">
      <c r="A16251" s="126"/>
      <c r="B16251" s="126"/>
      <c r="C16251" s="126"/>
      <c r="D16251" s="126"/>
      <c r="E16251" s="126"/>
      <c r="F16251" s="126"/>
      <c r="G16251" s="126"/>
      <c r="H16251" s="126"/>
      <c r="I16251" s="126"/>
    </row>
    <row r="16252" spans="1:9">
      <c r="A16252" s="126"/>
      <c r="B16252" s="126"/>
      <c r="C16252" s="126"/>
      <c r="D16252" s="126"/>
      <c r="E16252" s="126"/>
      <c r="F16252" s="126"/>
      <c r="G16252" s="126"/>
      <c r="H16252" s="126"/>
      <c r="I16252" s="126"/>
    </row>
    <row r="16253" spans="1:9">
      <c r="A16253" s="126"/>
      <c r="B16253" s="126"/>
      <c r="C16253" s="126"/>
      <c r="D16253" s="126"/>
      <c r="E16253" s="126"/>
      <c r="F16253" s="126"/>
      <c r="G16253" s="126"/>
      <c r="H16253" s="126"/>
      <c r="I16253" s="126"/>
    </row>
    <row r="16254" spans="1:9">
      <c r="A16254" s="126"/>
      <c r="B16254" s="126"/>
      <c r="C16254" s="126"/>
      <c r="D16254" s="126"/>
      <c r="E16254" s="126"/>
      <c r="F16254" s="126"/>
      <c r="G16254" s="126"/>
      <c r="H16254" s="126"/>
      <c r="I16254" s="126"/>
    </row>
    <row r="16255" spans="1:9">
      <c r="A16255" s="126"/>
      <c r="B16255" s="126"/>
      <c r="C16255" s="126"/>
      <c r="D16255" s="126"/>
      <c r="E16255" s="126"/>
      <c r="F16255" s="126"/>
      <c r="G16255" s="126"/>
      <c r="H16255" s="126"/>
      <c r="I16255" s="126"/>
    </row>
    <row r="16256" spans="1:9">
      <c r="A16256" s="126"/>
      <c r="B16256" s="126"/>
      <c r="C16256" s="126"/>
      <c r="D16256" s="126"/>
      <c r="E16256" s="126"/>
      <c r="F16256" s="126"/>
      <c r="G16256" s="126"/>
      <c r="H16256" s="126"/>
      <c r="I16256" s="126"/>
    </row>
    <row r="16257" spans="1:9">
      <c r="A16257" s="126"/>
      <c r="B16257" s="126"/>
      <c r="C16257" s="126"/>
      <c r="D16257" s="126"/>
      <c r="E16257" s="126"/>
      <c r="F16257" s="126"/>
      <c r="G16257" s="126"/>
      <c r="H16257" s="126"/>
      <c r="I16257" s="126"/>
    </row>
    <row r="16258" spans="1:9">
      <c r="A16258" s="126"/>
      <c r="B16258" s="126"/>
      <c r="C16258" s="126"/>
      <c r="D16258" s="126"/>
      <c r="E16258" s="126"/>
      <c r="F16258" s="126"/>
      <c r="G16258" s="126"/>
      <c r="H16258" s="126"/>
      <c r="I16258" s="126"/>
    </row>
    <row r="16259" spans="1:9">
      <c r="A16259" s="126"/>
      <c r="B16259" s="126"/>
      <c r="C16259" s="126"/>
      <c r="D16259" s="126"/>
      <c r="E16259" s="126"/>
      <c r="F16259" s="126"/>
      <c r="G16259" s="126"/>
      <c r="H16259" s="126"/>
      <c r="I16259" s="126"/>
    </row>
    <row r="16260" spans="1:9">
      <c r="A16260" s="126"/>
      <c r="B16260" s="126"/>
      <c r="C16260" s="126"/>
      <c r="D16260" s="126"/>
      <c r="E16260" s="126"/>
      <c r="F16260" s="126"/>
      <c r="G16260" s="126"/>
      <c r="H16260" s="126"/>
      <c r="I16260" s="126"/>
    </row>
    <row r="16261" spans="1:9">
      <c r="A16261" s="126"/>
      <c r="B16261" s="126"/>
      <c r="C16261" s="126"/>
      <c r="D16261" s="126"/>
      <c r="E16261" s="126"/>
      <c r="F16261" s="126"/>
      <c r="G16261" s="126"/>
      <c r="H16261" s="126"/>
      <c r="I16261" s="126"/>
    </row>
    <row r="16262" spans="1:9">
      <c r="A16262" s="126"/>
      <c r="B16262" s="126"/>
      <c r="C16262" s="126"/>
      <c r="D16262" s="126"/>
      <c r="E16262" s="126"/>
      <c r="F16262" s="126"/>
      <c r="G16262" s="126"/>
      <c r="H16262" s="126"/>
      <c r="I16262" s="126"/>
    </row>
    <row r="16263" spans="1:9">
      <c r="A16263" s="126"/>
      <c r="B16263" s="126"/>
      <c r="C16263" s="126"/>
      <c r="D16263" s="126"/>
      <c r="E16263" s="126"/>
      <c r="F16263" s="126"/>
      <c r="G16263" s="126"/>
      <c r="H16263" s="126"/>
      <c r="I16263" s="126"/>
    </row>
    <row r="16264" spans="1:9">
      <c r="A16264" s="126"/>
      <c r="B16264" s="126"/>
      <c r="C16264" s="126"/>
      <c r="D16264" s="126"/>
      <c r="E16264" s="126"/>
      <c r="F16264" s="126"/>
      <c r="G16264" s="126"/>
      <c r="H16264" s="126"/>
      <c r="I16264" s="126"/>
    </row>
    <row r="16265" spans="1:9">
      <c r="A16265" s="126"/>
      <c r="B16265" s="126"/>
      <c r="C16265" s="126"/>
      <c r="D16265" s="126"/>
      <c r="E16265" s="126"/>
      <c r="F16265" s="126"/>
      <c r="G16265" s="126"/>
      <c r="H16265" s="126"/>
      <c r="I16265" s="126"/>
    </row>
    <row r="16266" spans="1:9">
      <c r="A16266" s="126"/>
      <c r="B16266" s="126"/>
      <c r="C16266" s="126"/>
      <c r="D16266" s="126"/>
      <c r="E16266" s="126"/>
      <c r="F16266" s="126"/>
      <c r="G16266" s="126"/>
      <c r="H16266" s="126"/>
      <c r="I16266" s="126"/>
    </row>
    <row r="16267" spans="1:9">
      <c r="A16267" s="126"/>
      <c r="B16267" s="126"/>
      <c r="C16267" s="126"/>
      <c r="D16267" s="126"/>
      <c r="E16267" s="126"/>
      <c r="F16267" s="126"/>
      <c r="G16267" s="126"/>
      <c r="H16267" s="126"/>
      <c r="I16267" s="126"/>
    </row>
    <row r="16268" spans="1:9">
      <c r="A16268" s="126"/>
      <c r="B16268" s="126"/>
      <c r="C16268" s="126"/>
      <c r="D16268" s="126"/>
      <c r="E16268" s="126"/>
      <c r="F16268" s="126"/>
      <c r="G16268" s="126"/>
      <c r="H16268" s="126"/>
      <c r="I16268" s="126"/>
    </row>
    <row r="16269" spans="1:9">
      <c r="A16269" s="126"/>
      <c r="B16269" s="126"/>
      <c r="C16269" s="126"/>
      <c r="D16269" s="126"/>
      <c r="E16269" s="126"/>
      <c r="F16269" s="126"/>
      <c r="G16269" s="126"/>
      <c r="H16269" s="126"/>
      <c r="I16269" s="126"/>
    </row>
    <row r="16270" spans="1:9">
      <c r="A16270" s="126"/>
      <c r="B16270" s="126"/>
      <c r="C16270" s="126"/>
      <c r="D16270" s="126"/>
      <c r="E16270" s="126"/>
      <c r="F16270" s="126"/>
      <c r="G16270" s="126"/>
      <c r="H16270" s="126"/>
      <c r="I16270" s="126"/>
    </row>
    <row r="16271" spans="1:9">
      <c r="A16271" s="126"/>
      <c r="B16271" s="126"/>
      <c r="C16271" s="126"/>
      <c r="D16271" s="126"/>
      <c r="E16271" s="126"/>
      <c r="F16271" s="126"/>
      <c r="G16271" s="126"/>
      <c r="H16271" s="126"/>
      <c r="I16271" s="126"/>
    </row>
    <row r="16272" spans="1:9">
      <c r="A16272" s="126"/>
      <c r="B16272" s="126"/>
      <c r="C16272" s="126"/>
      <c r="D16272" s="126"/>
      <c r="E16272" s="126"/>
      <c r="F16272" s="126"/>
      <c r="G16272" s="126"/>
      <c r="H16272" s="126"/>
      <c r="I16272" s="126"/>
    </row>
    <row r="16273" spans="1:9">
      <c r="A16273" s="126"/>
      <c r="B16273" s="126"/>
      <c r="C16273" s="126"/>
      <c r="D16273" s="126"/>
      <c r="E16273" s="126"/>
      <c r="F16273" s="126"/>
      <c r="G16273" s="126"/>
      <c r="H16273" s="126"/>
      <c r="I16273" s="126"/>
    </row>
    <row r="16274" spans="1:9">
      <c r="A16274" s="126"/>
      <c r="B16274" s="126"/>
      <c r="C16274" s="126"/>
      <c r="D16274" s="126"/>
      <c r="E16274" s="126"/>
      <c r="F16274" s="126"/>
      <c r="G16274" s="126"/>
      <c r="H16274" s="126"/>
      <c r="I16274" s="126"/>
    </row>
    <row r="16275" spans="1:9">
      <c r="A16275" s="126"/>
      <c r="B16275" s="126"/>
      <c r="C16275" s="126"/>
      <c r="D16275" s="126"/>
      <c r="E16275" s="126"/>
      <c r="F16275" s="126"/>
      <c r="G16275" s="126"/>
      <c r="H16275" s="126"/>
      <c r="I16275" s="126"/>
    </row>
    <row r="16276" spans="1:9">
      <c r="A16276" s="126"/>
      <c r="B16276" s="126"/>
      <c r="C16276" s="126"/>
      <c r="D16276" s="126"/>
      <c r="E16276" s="126"/>
      <c r="F16276" s="126"/>
      <c r="G16276" s="126"/>
      <c r="H16276" s="126"/>
      <c r="I16276" s="126"/>
    </row>
    <row r="16277" spans="1:9">
      <c r="A16277" s="126"/>
      <c r="B16277" s="126"/>
      <c r="C16277" s="126"/>
      <c r="D16277" s="126"/>
      <c r="E16277" s="126"/>
      <c r="F16277" s="126"/>
      <c r="G16277" s="126"/>
      <c r="H16277" s="126"/>
      <c r="I16277" s="126"/>
    </row>
    <row r="16278" spans="1:9">
      <c r="A16278" s="126"/>
      <c r="B16278" s="126"/>
      <c r="C16278" s="126"/>
      <c r="D16278" s="126"/>
      <c r="E16278" s="126"/>
      <c r="F16278" s="126"/>
      <c r="G16278" s="126"/>
      <c r="H16278" s="126"/>
      <c r="I16278" s="126"/>
    </row>
    <row r="16279" spans="1:9">
      <c r="A16279" s="126"/>
      <c r="B16279" s="126"/>
      <c r="C16279" s="126"/>
      <c r="D16279" s="126"/>
      <c r="E16279" s="126"/>
      <c r="F16279" s="126"/>
      <c r="G16279" s="126"/>
      <c r="H16279" s="126"/>
      <c r="I16279" s="126"/>
    </row>
    <row r="16280" spans="1:9">
      <c r="A16280" s="126"/>
      <c r="B16280" s="126"/>
      <c r="C16280" s="126"/>
      <c r="D16280" s="126"/>
      <c r="E16280" s="126"/>
      <c r="F16280" s="126"/>
      <c r="G16280" s="126"/>
      <c r="H16280" s="126"/>
      <c r="I16280" s="126"/>
    </row>
    <row r="16281" spans="1:9">
      <c r="A16281" s="126"/>
      <c r="B16281" s="126"/>
      <c r="C16281" s="126"/>
      <c r="D16281" s="126"/>
      <c r="E16281" s="126"/>
      <c r="F16281" s="126"/>
      <c r="G16281" s="126"/>
      <c r="H16281" s="126"/>
      <c r="I16281" s="126"/>
    </row>
    <row r="16282" spans="1:9">
      <c r="A16282" s="126"/>
      <c r="B16282" s="126"/>
      <c r="C16282" s="126"/>
      <c r="D16282" s="126"/>
      <c r="E16282" s="126"/>
      <c r="F16282" s="126"/>
      <c r="G16282" s="126"/>
      <c r="H16282" s="126"/>
      <c r="I16282" s="126"/>
    </row>
    <row r="16283" spans="1:9">
      <c r="A16283" s="126"/>
      <c r="B16283" s="126"/>
      <c r="C16283" s="126"/>
      <c r="D16283" s="126"/>
      <c r="E16283" s="126"/>
      <c r="F16283" s="126"/>
      <c r="G16283" s="126"/>
      <c r="H16283" s="126"/>
      <c r="I16283" s="126"/>
    </row>
    <row r="16284" spans="1:9">
      <c r="A16284" s="126"/>
      <c r="B16284" s="126"/>
      <c r="C16284" s="126"/>
      <c r="D16284" s="126"/>
      <c r="E16284" s="126"/>
      <c r="F16284" s="126"/>
      <c r="G16284" s="126"/>
      <c r="H16284" s="126"/>
      <c r="I16284" s="126"/>
    </row>
    <row r="16285" spans="1:9">
      <c r="A16285" s="126"/>
      <c r="B16285" s="126"/>
      <c r="C16285" s="126"/>
      <c r="D16285" s="126"/>
      <c r="E16285" s="126"/>
      <c r="F16285" s="126"/>
      <c r="G16285" s="126"/>
      <c r="H16285" s="126"/>
      <c r="I16285" s="126"/>
    </row>
    <row r="16286" spans="1:9">
      <c r="A16286" s="126"/>
      <c r="B16286" s="126"/>
      <c r="C16286" s="126"/>
      <c r="D16286" s="126"/>
      <c r="E16286" s="126"/>
      <c r="F16286" s="126"/>
      <c r="G16286" s="126"/>
      <c r="H16286" s="126"/>
      <c r="I16286" s="126"/>
    </row>
    <row r="16287" spans="1:9">
      <c r="A16287" s="126"/>
      <c r="B16287" s="126"/>
      <c r="C16287" s="126"/>
      <c r="D16287" s="126"/>
      <c r="E16287" s="126"/>
      <c r="F16287" s="126"/>
      <c r="G16287" s="126"/>
      <c r="H16287" s="126"/>
      <c r="I16287" s="126"/>
    </row>
    <row r="16288" spans="1:9">
      <c r="A16288" s="126"/>
      <c r="B16288" s="126"/>
      <c r="C16288" s="126"/>
      <c r="D16288" s="126"/>
      <c r="E16288" s="126"/>
      <c r="F16288" s="126"/>
      <c r="G16288" s="126"/>
      <c r="H16288" s="126"/>
      <c r="I16288" s="126"/>
    </row>
    <row r="16289" spans="1:9">
      <c r="A16289" s="126"/>
      <c r="B16289" s="126"/>
      <c r="C16289" s="126"/>
      <c r="D16289" s="126"/>
      <c r="E16289" s="126"/>
      <c r="F16289" s="126"/>
      <c r="G16289" s="126"/>
      <c r="H16289" s="126"/>
      <c r="I16289" s="126"/>
    </row>
    <row r="16290" spans="1:9">
      <c r="A16290" s="126"/>
      <c r="B16290" s="126"/>
      <c r="C16290" s="126"/>
      <c r="D16290" s="126"/>
      <c r="E16290" s="126"/>
      <c r="F16290" s="126"/>
      <c r="G16290" s="126"/>
      <c r="H16290" s="126"/>
      <c r="I16290" s="126"/>
    </row>
    <row r="16291" spans="1:9">
      <c r="A16291" s="126"/>
      <c r="B16291" s="126"/>
      <c r="C16291" s="126"/>
      <c r="D16291" s="126"/>
      <c r="E16291" s="126"/>
      <c r="F16291" s="126"/>
      <c r="G16291" s="126"/>
      <c r="H16291" s="126"/>
      <c r="I16291" s="126"/>
    </row>
    <row r="16292" spans="1:9">
      <c r="A16292" s="126"/>
      <c r="B16292" s="126"/>
      <c r="C16292" s="126"/>
      <c r="D16292" s="126"/>
      <c r="E16292" s="126"/>
      <c r="F16292" s="126"/>
      <c r="G16292" s="126"/>
      <c r="H16292" s="126"/>
      <c r="I16292" s="126"/>
    </row>
    <row r="16293" spans="1:9">
      <c r="A16293" s="126"/>
      <c r="B16293" s="126"/>
      <c r="C16293" s="126"/>
      <c r="D16293" s="126"/>
      <c r="E16293" s="126"/>
      <c r="F16293" s="126"/>
      <c r="G16293" s="126"/>
      <c r="H16293" s="126"/>
      <c r="I16293" s="126"/>
    </row>
    <row r="16294" spans="1:9">
      <c r="A16294" s="126"/>
      <c r="B16294" s="126"/>
      <c r="C16294" s="126"/>
      <c r="D16294" s="126"/>
      <c r="E16294" s="126"/>
      <c r="F16294" s="126"/>
      <c r="G16294" s="126"/>
      <c r="H16294" s="126"/>
      <c r="I16294" s="126"/>
    </row>
    <row r="16295" spans="1:9">
      <c r="A16295" s="126"/>
      <c r="B16295" s="126"/>
      <c r="C16295" s="126"/>
      <c r="D16295" s="126"/>
      <c r="E16295" s="126"/>
      <c r="F16295" s="126"/>
      <c r="G16295" s="126"/>
      <c r="H16295" s="126"/>
      <c r="I16295" s="126"/>
    </row>
    <row r="16296" spans="1:9">
      <c r="A16296" s="126"/>
      <c r="B16296" s="126"/>
      <c r="C16296" s="126"/>
      <c r="D16296" s="126"/>
      <c r="E16296" s="126"/>
      <c r="F16296" s="126"/>
      <c r="G16296" s="126"/>
      <c r="H16296" s="126"/>
      <c r="I16296" s="126"/>
    </row>
    <row r="16297" spans="1:9">
      <c r="A16297" s="126"/>
      <c r="B16297" s="126"/>
      <c r="C16297" s="126"/>
      <c r="D16297" s="126"/>
      <c r="E16297" s="126"/>
      <c r="F16297" s="126"/>
      <c r="G16297" s="126"/>
      <c r="H16297" s="126"/>
      <c r="I16297" s="126"/>
    </row>
    <row r="16298" spans="1:9">
      <c r="A16298" s="126"/>
      <c r="B16298" s="126"/>
      <c r="C16298" s="126"/>
      <c r="D16298" s="126"/>
      <c r="E16298" s="126"/>
      <c r="F16298" s="126"/>
      <c r="G16298" s="126"/>
      <c r="H16298" s="126"/>
      <c r="I16298" s="126"/>
    </row>
    <row r="16299" spans="1:9">
      <c r="A16299" s="126"/>
      <c r="B16299" s="126"/>
      <c r="C16299" s="126"/>
      <c r="D16299" s="126"/>
      <c r="E16299" s="126"/>
      <c r="F16299" s="126"/>
      <c r="G16299" s="126"/>
      <c r="H16299" s="126"/>
      <c r="I16299" s="126"/>
    </row>
    <row r="16300" spans="1:9">
      <c r="A16300" s="126"/>
      <c r="B16300" s="126"/>
      <c r="C16300" s="126"/>
      <c r="D16300" s="126"/>
      <c r="E16300" s="126"/>
      <c r="F16300" s="126"/>
      <c r="G16300" s="126"/>
      <c r="H16300" s="126"/>
      <c r="I16300" s="126"/>
    </row>
    <row r="16301" spans="1:9">
      <c r="A16301" s="126"/>
      <c r="B16301" s="126"/>
      <c r="C16301" s="126"/>
      <c r="D16301" s="126"/>
      <c r="E16301" s="126"/>
      <c r="F16301" s="126"/>
      <c r="G16301" s="126"/>
      <c r="H16301" s="126"/>
      <c r="I16301" s="126"/>
    </row>
    <row r="16302" spans="1:9">
      <c r="A16302" s="126"/>
      <c r="B16302" s="126"/>
      <c r="C16302" s="126"/>
      <c r="D16302" s="126"/>
      <c r="E16302" s="126"/>
      <c r="F16302" s="126"/>
      <c r="G16302" s="126"/>
      <c r="H16302" s="126"/>
      <c r="I16302" s="126"/>
    </row>
    <row r="16303" spans="1:9">
      <c r="A16303" s="126"/>
      <c r="B16303" s="126"/>
      <c r="C16303" s="126"/>
      <c r="D16303" s="126"/>
      <c r="E16303" s="126"/>
      <c r="F16303" s="126"/>
      <c r="G16303" s="126"/>
      <c r="H16303" s="126"/>
      <c r="I16303" s="126"/>
    </row>
    <row r="16304" spans="1:9">
      <c r="A16304" s="126"/>
      <c r="B16304" s="126"/>
      <c r="C16304" s="126"/>
      <c r="D16304" s="126"/>
      <c r="E16304" s="126"/>
      <c r="F16304" s="126"/>
      <c r="G16304" s="126"/>
      <c r="H16304" s="126"/>
      <c r="I16304" s="126"/>
    </row>
    <row r="16305" spans="1:9">
      <c r="A16305" s="126"/>
      <c r="B16305" s="126"/>
      <c r="C16305" s="126"/>
      <c r="D16305" s="126"/>
      <c r="E16305" s="126"/>
      <c r="F16305" s="126"/>
      <c r="G16305" s="126"/>
      <c r="H16305" s="126"/>
      <c r="I16305" s="126"/>
    </row>
    <row r="16306" spans="1:9">
      <c r="A16306" s="126"/>
      <c r="B16306" s="126"/>
      <c r="C16306" s="126"/>
      <c r="D16306" s="126"/>
      <c r="E16306" s="126"/>
      <c r="F16306" s="126"/>
      <c r="G16306" s="126"/>
      <c r="H16306" s="126"/>
      <c r="I16306" s="126"/>
    </row>
    <row r="16307" spans="1:9">
      <c r="A16307" s="126"/>
      <c r="B16307" s="126"/>
      <c r="C16307" s="126"/>
      <c r="D16307" s="126"/>
      <c r="E16307" s="126"/>
      <c r="F16307" s="126"/>
      <c r="G16307" s="126"/>
      <c r="H16307" s="126"/>
      <c r="I16307" s="126"/>
    </row>
    <row r="16308" spans="1:9">
      <c r="A16308" s="126"/>
      <c r="B16308" s="126"/>
      <c r="C16308" s="126"/>
      <c r="D16308" s="126"/>
      <c r="E16308" s="126"/>
      <c r="F16308" s="126"/>
      <c r="G16308" s="126"/>
      <c r="H16308" s="126"/>
      <c r="I16308" s="126"/>
    </row>
    <row r="16309" spans="1:9">
      <c r="A16309" s="126"/>
      <c r="B16309" s="126"/>
      <c r="C16309" s="126"/>
      <c r="D16309" s="126"/>
      <c r="E16309" s="126"/>
      <c r="F16309" s="126"/>
      <c r="G16309" s="126"/>
      <c r="H16309" s="126"/>
      <c r="I16309" s="126"/>
    </row>
    <row r="16310" spans="1:9">
      <c r="A16310" s="126"/>
      <c r="B16310" s="126"/>
      <c r="C16310" s="126"/>
      <c r="D16310" s="126"/>
      <c r="E16310" s="126"/>
      <c r="F16310" s="126"/>
      <c r="G16310" s="126"/>
      <c r="H16310" s="126"/>
      <c r="I16310" s="126"/>
    </row>
    <row r="16311" spans="1:9">
      <c r="A16311" s="126"/>
      <c r="B16311" s="126"/>
      <c r="C16311" s="126"/>
      <c r="D16311" s="126"/>
      <c r="E16311" s="126"/>
      <c r="F16311" s="126"/>
      <c r="G16311" s="126"/>
      <c r="H16311" s="126"/>
      <c r="I16311" s="126"/>
    </row>
    <row r="16312" spans="1:9">
      <c r="A16312" s="126"/>
      <c r="B16312" s="126"/>
      <c r="C16312" s="126"/>
      <c r="D16312" s="126"/>
      <c r="E16312" s="126"/>
      <c r="F16312" s="126"/>
      <c r="G16312" s="126"/>
      <c r="H16312" s="126"/>
      <c r="I16312" s="126"/>
    </row>
    <row r="16313" spans="1:9">
      <c r="A16313" s="126"/>
      <c r="B16313" s="126"/>
      <c r="C16313" s="126"/>
      <c r="D16313" s="126"/>
      <c r="E16313" s="126"/>
      <c r="F16313" s="126"/>
      <c r="G16313" s="126"/>
      <c r="H16313" s="126"/>
      <c r="I16313" s="126"/>
    </row>
    <row r="16314" spans="1:9">
      <c r="A16314" s="126"/>
      <c r="B16314" s="126"/>
      <c r="C16314" s="126"/>
      <c r="D16314" s="126"/>
      <c r="E16314" s="126"/>
      <c r="F16314" s="126"/>
      <c r="G16314" s="126"/>
      <c r="H16314" s="126"/>
      <c r="I16314" s="126"/>
    </row>
    <row r="16315" spans="1:9">
      <c r="A16315" s="126"/>
      <c r="B16315" s="126"/>
      <c r="C16315" s="126"/>
      <c r="D16315" s="126"/>
      <c r="E16315" s="126"/>
      <c r="F16315" s="126"/>
      <c r="G16315" s="126"/>
      <c r="H16315" s="126"/>
      <c r="I16315" s="126"/>
    </row>
    <row r="16316" spans="1:9">
      <c r="A16316" s="126"/>
      <c r="B16316" s="126"/>
      <c r="C16316" s="126"/>
      <c r="D16316" s="126"/>
      <c r="E16316" s="126"/>
      <c r="F16316" s="126"/>
      <c r="G16316" s="126"/>
      <c r="H16316" s="126"/>
      <c r="I16316" s="126"/>
    </row>
    <row r="16317" spans="1:9">
      <c r="A16317" s="126"/>
      <c r="B16317" s="126"/>
      <c r="C16317" s="126"/>
      <c r="D16317" s="126"/>
      <c r="E16317" s="126"/>
      <c r="F16317" s="126"/>
      <c r="G16317" s="126"/>
      <c r="H16317" s="126"/>
      <c r="I16317" s="126"/>
    </row>
    <row r="16318" spans="1:9">
      <c r="A16318" s="126"/>
      <c r="B16318" s="126"/>
      <c r="C16318" s="126"/>
      <c r="D16318" s="126"/>
      <c r="E16318" s="126"/>
      <c r="F16318" s="126"/>
      <c r="G16318" s="126"/>
      <c r="H16318" s="126"/>
      <c r="I16318" s="126"/>
    </row>
    <row r="16319" spans="1:9">
      <c r="A16319" s="126"/>
      <c r="B16319" s="126"/>
      <c r="C16319" s="126"/>
      <c r="D16319" s="126"/>
      <c r="E16319" s="126"/>
      <c r="F16319" s="126"/>
      <c r="G16319" s="126"/>
      <c r="H16319" s="126"/>
      <c r="I16319" s="126"/>
    </row>
    <row r="16320" spans="1:9">
      <c r="A16320" s="126"/>
      <c r="B16320" s="126"/>
      <c r="C16320" s="126"/>
      <c r="D16320" s="126"/>
      <c r="E16320" s="126"/>
      <c r="F16320" s="126"/>
      <c r="G16320" s="126"/>
      <c r="H16320" s="126"/>
      <c r="I16320" s="126"/>
    </row>
    <row r="16321" spans="1:9">
      <c r="A16321" s="126"/>
      <c r="B16321" s="126"/>
      <c r="C16321" s="126"/>
      <c r="D16321" s="126"/>
      <c r="E16321" s="126"/>
      <c r="F16321" s="126"/>
      <c r="G16321" s="126"/>
      <c r="H16321" s="126"/>
      <c r="I16321" s="126"/>
    </row>
    <row r="16322" spans="1:9">
      <c r="A16322" s="126"/>
      <c r="B16322" s="126"/>
      <c r="C16322" s="126"/>
      <c r="D16322" s="126"/>
      <c r="E16322" s="126"/>
      <c r="F16322" s="126"/>
      <c r="G16322" s="126"/>
      <c r="H16322" s="126"/>
      <c r="I16322" s="126"/>
    </row>
    <row r="16323" spans="1:9">
      <c r="A16323" s="126"/>
      <c r="B16323" s="126"/>
      <c r="C16323" s="126"/>
      <c r="D16323" s="126"/>
      <c r="E16323" s="126"/>
      <c r="F16323" s="126"/>
      <c r="G16323" s="126"/>
      <c r="H16323" s="126"/>
      <c r="I16323" s="126"/>
    </row>
    <row r="16324" spans="1:9">
      <c r="A16324" s="126"/>
      <c r="B16324" s="126"/>
      <c r="C16324" s="126"/>
      <c r="D16324" s="126"/>
      <c r="E16324" s="126"/>
      <c r="F16324" s="126"/>
      <c r="G16324" s="126"/>
      <c r="H16324" s="126"/>
      <c r="I16324" s="126"/>
    </row>
    <row r="16325" spans="1:9">
      <c r="A16325" s="126"/>
      <c r="B16325" s="126"/>
      <c r="C16325" s="126"/>
      <c r="D16325" s="126"/>
      <c r="E16325" s="126"/>
      <c r="F16325" s="126"/>
      <c r="G16325" s="126"/>
      <c r="H16325" s="126"/>
      <c r="I16325" s="126"/>
    </row>
    <row r="16326" spans="1:9">
      <c r="A16326" s="126"/>
      <c r="B16326" s="126"/>
      <c r="C16326" s="126"/>
      <c r="D16326" s="126"/>
      <c r="E16326" s="126"/>
      <c r="F16326" s="126"/>
      <c r="G16326" s="126"/>
      <c r="H16326" s="126"/>
      <c r="I16326" s="126"/>
    </row>
    <row r="16327" spans="1:9">
      <c r="A16327" s="126"/>
      <c r="B16327" s="126"/>
      <c r="C16327" s="126"/>
      <c r="D16327" s="126"/>
      <c r="E16327" s="126"/>
      <c r="F16327" s="126"/>
      <c r="G16327" s="126"/>
      <c r="H16327" s="126"/>
      <c r="I16327" s="126"/>
    </row>
    <row r="16328" spans="1:9">
      <c r="A16328" s="126"/>
      <c r="B16328" s="126"/>
      <c r="C16328" s="126"/>
      <c r="D16328" s="126"/>
      <c r="E16328" s="126"/>
      <c r="F16328" s="126"/>
      <c r="G16328" s="126"/>
      <c r="H16328" s="126"/>
      <c r="I16328" s="126"/>
    </row>
    <row r="16329" spans="1:9">
      <c r="A16329" s="126"/>
      <c r="B16329" s="126"/>
      <c r="C16329" s="126"/>
      <c r="D16329" s="126"/>
      <c r="E16329" s="126"/>
      <c r="F16329" s="126"/>
      <c r="G16329" s="126"/>
      <c r="H16329" s="126"/>
      <c r="I16329" s="126"/>
    </row>
    <row r="16330" spans="1:9">
      <c r="A16330" s="126"/>
      <c r="B16330" s="126"/>
      <c r="C16330" s="126"/>
      <c r="D16330" s="126"/>
      <c r="E16330" s="126"/>
      <c r="F16330" s="126"/>
      <c r="G16330" s="126"/>
      <c r="H16330" s="126"/>
      <c r="I16330" s="126"/>
    </row>
    <row r="16331" spans="1:9">
      <c r="A16331" s="126"/>
      <c r="B16331" s="126"/>
      <c r="C16331" s="126"/>
      <c r="D16331" s="126"/>
      <c r="E16331" s="126"/>
      <c r="F16331" s="126"/>
      <c r="G16331" s="126"/>
      <c r="H16331" s="126"/>
      <c r="I16331" s="126"/>
    </row>
    <row r="16332" spans="1:9">
      <c r="A16332" s="126"/>
      <c r="B16332" s="126"/>
      <c r="C16332" s="126"/>
      <c r="D16332" s="126"/>
      <c r="E16332" s="126"/>
      <c r="F16332" s="126"/>
      <c r="G16332" s="126"/>
      <c r="H16332" s="126"/>
      <c r="I16332" s="126"/>
    </row>
    <row r="16333" spans="1:9">
      <c r="A16333" s="126"/>
      <c r="B16333" s="126"/>
      <c r="C16333" s="126"/>
      <c r="D16333" s="126"/>
      <c r="E16333" s="126"/>
      <c r="F16333" s="126"/>
      <c r="G16333" s="126"/>
      <c r="H16333" s="126"/>
      <c r="I16333" s="126"/>
    </row>
    <row r="16334" spans="1:9">
      <c r="A16334" s="126"/>
      <c r="B16334" s="126"/>
      <c r="C16334" s="126"/>
      <c r="D16334" s="126"/>
      <c r="E16334" s="126"/>
      <c r="F16334" s="126"/>
      <c r="G16334" s="126"/>
      <c r="H16334" s="126"/>
      <c r="I16334" s="126"/>
    </row>
    <row r="16335" spans="1:9">
      <c r="A16335" s="126"/>
      <c r="B16335" s="126"/>
      <c r="C16335" s="126"/>
      <c r="D16335" s="126"/>
      <c r="E16335" s="126"/>
      <c r="F16335" s="126"/>
      <c r="G16335" s="126"/>
      <c r="H16335" s="126"/>
      <c r="I16335" s="126"/>
    </row>
    <row r="16336" spans="1:9">
      <c r="A16336" s="126"/>
      <c r="B16336" s="126"/>
      <c r="C16336" s="126"/>
      <c r="D16336" s="126"/>
      <c r="E16336" s="126"/>
      <c r="F16336" s="126"/>
      <c r="G16336" s="126"/>
      <c r="H16336" s="126"/>
      <c r="I16336" s="126"/>
    </row>
    <row r="16337" spans="1:9">
      <c r="A16337" s="126"/>
      <c r="B16337" s="126"/>
      <c r="C16337" s="126"/>
      <c r="D16337" s="126"/>
      <c r="E16337" s="126"/>
      <c r="F16337" s="126"/>
      <c r="G16337" s="126"/>
      <c r="H16337" s="126"/>
      <c r="I16337" s="126"/>
    </row>
    <row r="16338" spans="1:9">
      <c r="A16338" s="126"/>
      <c r="B16338" s="126"/>
      <c r="C16338" s="126"/>
      <c r="D16338" s="126"/>
      <c r="E16338" s="126"/>
      <c r="F16338" s="126"/>
      <c r="G16338" s="126"/>
      <c r="H16338" s="126"/>
      <c r="I16338" s="126"/>
    </row>
    <row r="16339" spans="1:9">
      <c r="A16339" s="126"/>
      <c r="B16339" s="126"/>
      <c r="C16339" s="126"/>
      <c r="D16339" s="126"/>
      <c r="E16339" s="126"/>
      <c r="F16339" s="126"/>
      <c r="G16339" s="126"/>
      <c r="H16339" s="126"/>
      <c r="I16339" s="126"/>
    </row>
    <row r="16340" spans="1:9">
      <c r="A16340" s="126"/>
      <c r="B16340" s="126"/>
      <c r="C16340" s="126"/>
      <c r="D16340" s="126"/>
      <c r="E16340" s="126"/>
      <c r="F16340" s="126"/>
      <c r="G16340" s="126"/>
      <c r="H16340" s="126"/>
      <c r="I16340" s="126"/>
    </row>
    <row r="16341" spans="1:9">
      <c r="A16341" s="126"/>
      <c r="B16341" s="126"/>
      <c r="C16341" s="126"/>
      <c r="D16341" s="126"/>
      <c r="E16341" s="126"/>
      <c r="F16341" s="126"/>
      <c r="G16341" s="126"/>
      <c r="H16341" s="126"/>
      <c r="I16341" s="126"/>
    </row>
    <row r="16342" spans="1:9">
      <c r="A16342" s="126"/>
      <c r="B16342" s="126"/>
      <c r="C16342" s="126"/>
      <c r="D16342" s="126"/>
      <c r="E16342" s="126"/>
      <c r="F16342" s="126"/>
      <c r="G16342" s="126"/>
      <c r="H16342" s="126"/>
      <c r="I16342" s="126"/>
    </row>
    <row r="16343" spans="1:9">
      <c r="A16343" s="126"/>
      <c r="B16343" s="126"/>
      <c r="C16343" s="126"/>
      <c r="D16343" s="126"/>
      <c r="E16343" s="126"/>
      <c r="F16343" s="126"/>
      <c r="G16343" s="126"/>
      <c r="H16343" s="126"/>
      <c r="I16343" s="126"/>
    </row>
    <row r="16344" spans="1:9">
      <c r="A16344" s="126"/>
      <c r="B16344" s="126"/>
      <c r="C16344" s="126"/>
      <c r="D16344" s="126"/>
      <c r="E16344" s="126"/>
      <c r="F16344" s="126"/>
      <c r="G16344" s="126"/>
      <c r="H16344" s="126"/>
      <c r="I16344" s="126"/>
    </row>
    <row r="16345" spans="1:9">
      <c r="A16345" s="126"/>
      <c r="B16345" s="126"/>
      <c r="C16345" s="126"/>
      <c r="D16345" s="126"/>
      <c r="E16345" s="126"/>
      <c r="F16345" s="126"/>
      <c r="G16345" s="126"/>
      <c r="H16345" s="126"/>
      <c r="I16345" s="126"/>
    </row>
    <row r="16346" spans="1:9">
      <c r="A16346" s="126"/>
      <c r="B16346" s="126"/>
      <c r="C16346" s="126"/>
      <c r="D16346" s="126"/>
      <c r="E16346" s="126"/>
      <c r="F16346" s="126"/>
      <c r="G16346" s="126"/>
      <c r="H16346" s="126"/>
      <c r="I16346" s="126"/>
    </row>
    <row r="16347" spans="1:9">
      <c r="A16347" s="126"/>
      <c r="B16347" s="126"/>
      <c r="C16347" s="126"/>
      <c r="D16347" s="126"/>
      <c r="E16347" s="126"/>
      <c r="F16347" s="126"/>
      <c r="G16347" s="126"/>
      <c r="H16347" s="126"/>
      <c r="I16347" s="126"/>
    </row>
    <row r="16348" spans="1:9">
      <c r="A16348" s="126"/>
      <c r="B16348" s="126"/>
      <c r="C16348" s="126"/>
      <c r="D16348" s="126"/>
      <c r="E16348" s="126"/>
      <c r="F16348" s="126"/>
      <c r="G16348" s="126"/>
      <c r="H16348" s="126"/>
      <c r="I16348" s="126"/>
    </row>
    <row r="16349" spans="1:9">
      <c r="A16349" s="126"/>
      <c r="B16349" s="126"/>
      <c r="C16349" s="126"/>
      <c r="D16349" s="126"/>
      <c r="E16349" s="126"/>
      <c r="F16349" s="126"/>
      <c r="G16349" s="126"/>
      <c r="H16349" s="126"/>
      <c r="I16349" s="126"/>
    </row>
    <row r="16350" spans="1:9">
      <c r="A16350" s="126"/>
      <c r="B16350" s="126"/>
      <c r="C16350" s="126"/>
      <c r="D16350" s="126"/>
      <c r="E16350" s="126"/>
      <c r="F16350" s="126"/>
      <c r="G16350" s="126"/>
      <c r="H16350" s="126"/>
      <c r="I16350" s="126"/>
    </row>
    <row r="16351" spans="1:9">
      <c r="A16351" s="126"/>
      <c r="B16351" s="126"/>
      <c r="C16351" s="126"/>
      <c r="D16351" s="126"/>
      <c r="E16351" s="126"/>
      <c r="F16351" s="126"/>
      <c r="G16351" s="126"/>
      <c r="H16351" s="126"/>
      <c r="I16351" s="126"/>
    </row>
    <row r="16352" spans="1:9">
      <c r="A16352" s="126"/>
      <c r="B16352" s="126"/>
      <c r="C16352" s="126"/>
      <c r="D16352" s="126"/>
      <c r="E16352" s="126"/>
      <c r="F16352" s="126"/>
      <c r="G16352" s="126"/>
      <c r="H16352" s="126"/>
      <c r="I16352" s="126"/>
    </row>
    <row r="16353" spans="1:9">
      <c r="A16353" s="126"/>
      <c r="B16353" s="126"/>
      <c r="C16353" s="126"/>
      <c r="D16353" s="126"/>
      <c r="E16353" s="126"/>
      <c r="F16353" s="126"/>
      <c r="G16353" s="126"/>
      <c r="H16353" s="126"/>
      <c r="I16353" s="126"/>
    </row>
    <row r="16354" spans="1:9">
      <c r="A16354" s="126"/>
      <c r="B16354" s="126"/>
      <c r="C16354" s="126"/>
      <c r="D16354" s="126"/>
      <c r="E16354" s="126"/>
      <c r="F16354" s="126"/>
      <c r="G16354" s="126"/>
      <c r="H16354" s="126"/>
      <c r="I16354" s="126"/>
    </row>
    <row r="16355" spans="1:9">
      <c r="A16355" s="126"/>
      <c r="B16355" s="126"/>
      <c r="C16355" s="126"/>
      <c r="D16355" s="126"/>
      <c r="E16355" s="126"/>
      <c r="F16355" s="126"/>
      <c r="G16355" s="126"/>
      <c r="H16355" s="126"/>
      <c r="I16355" s="126"/>
    </row>
    <row r="16356" spans="1:9">
      <c r="A16356" s="126"/>
      <c r="B16356" s="126"/>
      <c r="C16356" s="126"/>
      <c r="D16356" s="126"/>
      <c r="E16356" s="126"/>
      <c r="F16356" s="126"/>
      <c r="G16356" s="126"/>
      <c r="H16356" s="126"/>
      <c r="I16356" s="126"/>
    </row>
    <row r="16357" spans="1:9">
      <c r="A16357" s="126"/>
      <c r="B16357" s="126"/>
      <c r="C16357" s="126"/>
      <c r="D16357" s="126"/>
      <c r="E16357" s="126"/>
      <c r="F16357" s="126"/>
      <c r="G16357" s="126"/>
      <c r="H16357" s="126"/>
      <c r="I16357" s="126"/>
    </row>
    <row r="16358" spans="1:9">
      <c r="A16358" s="126"/>
      <c r="B16358" s="126"/>
      <c r="C16358" s="126"/>
      <c r="D16358" s="126"/>
      <c r="E16358" s="126"/>
      <c r="F16358" s="126"/>
      <c r="G16358" s="126"/>
      <c r="H16358" s="126"/>
      <c r="I16358" s="126"/>
    </row>
    <row r="16359" spans="1:9">
      <c r="A16359" s="126"/>
      <c r="B16359" s="126"/>
      <c r="C16359" s="126"/>
      <c r="D16359" s="126"/>
      <c r="E16359" s="126"/>
      <c r="F16359" s="126"/>
      <c r="G16359" s="126"/>
      <c r="H16359" s="126"/>
      <c r="I16359" s="126"/>
    </row>
    <row r="16360" spans="1:9">
      <c r="A16360" s="126"/>
      <c r="B16360" s="126"/>
      <c r="C16360" s="126"/>
      <c r="D16360" s="126"/>
      <c r="E16360" s="126"/>
      <c r="F16360" s="126"/>
      <c r="G16360" s="126"/>
      <c r="H16360" s="126"/>
      <c r="I16360" s="126"/>
    </row>
    <row r="16361" spans="1:9">
      <c r="A16361" s="126"/>
      <c r="B16361" s="126"/>
      <c r="C16361" s="126"/>
      <c r="D16361" s="126"/>
      <c r="E16361" s="126"/>
      <c r="F16361" s="126"/>
      <c r="G16361" s="126"/>
      <c r="H16361" s="126"/>
      <c r="I16361" s="126"/>
    </row>
    <row r="16362" spans="1:9">
      <c r="A16362" s="126"/>
      <c r="B16362" s="126"/>
      <c r="C16362" s="126"/>
      <c r="D16362" s="126"/>
      <c r="E16362" s="126"/>
      <c r="F16362" s="126"/>
      <c r="G16362" s="126"/>
      <c r="H16362" s="126"/>
      <c r="I16362" s="126"/>
    </row>
    <row r="16363" spans="1:9">
      <c r="A16363" s="126"/>
      <c r="B16363" s="126"/>
      <c r="C16363" s="126"/>
      <c r="D16363" s="126"/>
      <c r="E16363" s="126"/>
      <c r="F16363" s="126"/>
      <c r="G16363" s="126"/>
      <c r="H16363" s="126"/>
      <c r="I16363" s="126"/>
    </row>
    <row r="16364" spans="1:9">
      <c r="A16364" s="126"/>
      <c r="B16364" s="126"/>
      <c r="C16364" s="126"/>
      <c r="D16364" s="126"/>
      <c r="E16364" s="126"/>
      <c r="F16364" s="126"/>
      <c r="G16364" s="126"/>
      <c r="H16364" s="126"/>
      <c r="I16364" s="126"/>
    </row>
    <row r="16365" spans="1:9">
      <c r="A16365" s="126"/>
      <c r="B16365" s="126"/>
      <c r="C16365" s="126"/>
      <c r="D16365" s="126"/>
      <c r="E16365" s="126"/>
      <c r="F16365" s="126"/>
      <c r="G16365" s="126"/>
      <c r="H16365" s="126"/>
      <c r="I16365" s="126"/>
    </row>
    <row r="16366" spans="1:9">
      <c r="A16366" s="126"/>
      <c r="B16366" s="126"/>
      <c r="C16366" s="126"/>
      <c r="D16366" s="126"/>
      <c r="E16366" s="126"/>
      <c r="F16366" s="126"/>
      <c r="G16366" s="126"/>
      <c r="H16366" s="126"/>
      <c r="I16366" s="126"/>
    </row>
    <row r="16367" spans="1:9">
      <c r="A16367" s="126"/>
      <c r="B16367" s="126"/>
      <c r="C16367" s="126"/>
      <c r="D16367" s="126"/>
      <c r="E16367" s="126"/>
      <c r="F16367" s="126"/>
      <c r="G16367" s="126"/>
      <c r="H16367" s="126"/>
      <c r="I16367" s="126"/>
    </row>
    <row r="16368" spans="1:9">
      <c r="A16368" s="126"/>
      <c r="B16368" s="126"/>
      <c r="C16368" s="126"/>
      <c r="D16368" s="126"/>
      <c r="E16368" s="126"/>
      <c r="F16368" s="126"/>
      <c r="G16368" s="126"/>
      <c r="H16368" s="126"/>
      <c r="I16368" s="126"/>
    </row>
    <row r="16369" spans="1:9">
      <c r="A16369" s="126"/>
      <c r="B16369" s="126"/>
      <c r="C16369" s="126"/>
      <c r="D16369" s="126"/>
      <c r="E16369" s="126"/>
      <c r="F16369" s="126"/>
      <c r="G16369" s="126"/>
      <c r="H16369" s="126"/>
      <c r="I16369" s="126"/>
    </row>
    <row r="16370" spans="1:9">
      <c r="A16370" s="126"/>
      <c r="B16370" s="126"/>
      <c r="C16370" s="126"/>
      <c r="D16370" s="126"/>
      <c r="E16370" s="126"/>
      <c r="F16370" s="126"/>
      <c r="G16370" s="126"/>
      <c r="H16370" s="126"/>
      <c r="I16370" s="126"/>
    </row>
    <row r="16371" spans="1:9">
      <c r="A16371" s="126"/>
      <c r="B16371" s="126"/>
      <c r="C16371" s="126"/>
      <c r="D16371" s="126"/>
      <c r="E16371" s="126"/>
      <c r="F16371" s="126"/>
      <c r="G16371" s="126"/>
      <c r="H16371" s="126"/>
      <c r="I16371" s="126"/>
    </row>
    <row r="16372" spans="1:9">
      <c r="A16372" s="126"/>
      <c r="B16372" s="126"/>
      <c r="C16372" s="126"/>
      <c r="D16372" s="126"/>
      <c r="E16372" s="126"/>
      <c r="F16372" s="126"/>
      <c r="G16372" s="126"/>
      <c r="H16372" s="126"/>
      <c r="I16372" s="126"/>
    </row>
    <row r="16373" spans="1:9">
      <c r="A16373" s="126"/>
      <c r="B16373" s="126"/>
      <c r="C16373" s="126"/>
      <c r="D16373" s="126"/>
      <c r="E16373" s="126"/>
      <c r="F16373" s="126"/>
      <c r="G16373" s="126"/>
      <c r="H16373" s="126"/>
      <c r="I16373" s="126"/>
    </row>
    <row r="16374" spans="1:9">
      <c r="A16374" s="126"/>
      <c r="B16374" s="126"/>
      <c r="C16374" s="126"/>
      <c r="D16374" s="126"/>
      <c r="E16374" s="126"/>
      <c r="F16374" s="126"/>
      <c r="G16374" s="126"/>
      <c r="H16374" s="126"/>
      <c r="I16374" s="126"/>
    </row>
    <row r="16375" spans="1:9">
      <c r="A16375" s="126"/>
      <c r="B16375" s="126"/>
      <c r="C16375" s="126"/>
      <c r="D16375" s="126"/>
      <c r="E16375" s="126"/>
      <c r="F16375" s="126"/>
      <c r="G16375" s="126"/>
      <c r="H16375" s="126"/>
      <c r="I16375" s="126"/>
    </row>
    <row r="16376" spans="1:9">
      <c r="A16376" s="126"/>
      <c r="B16376" s="126"/>
      <c r="C16376" s="126"/>
      <c r="D16376" s="126"/>
      <c r="E16376" s="126"/>
      <c r="F16376" s="126"/>
      <c r="G16376" s="126"/>
      <c r="H16376" s="126"/>
      <c r="I16376" s="126"/>
    </row>
    <row r="16377" spans="1:9">
      <c r="A16377" s="126"/>
      <c r="B16377" s="126"/>
      <c r="C16377" s="126"/>
      <c r="D16377" s="126"/>
      <c r="E16377" s="126"/>
      <c r="F16377" s="126"/>
      <c r="G16377" s="126"/>
      <c r="H16377" s="126"/>
      <c r="I16377" s="126"/>
    </row>
    <row r="16378" spans="1:9">
      <c r="A16378" s="126"/>
      <c r="B16378" s="126"/>
      <c r="C16378" s="126"/>
      <c r="D16378" s="126"/>
      <c r="E16378" s="126"/>
      <c r="F16378" s="126"/>
      <c r="G16378" s="126"/>
      <c r="H16378" s="126"/>
      <c r="I16378" s="126"/>
    </row>
    <row r="16379" spans="1:9">
      <c r="A16379" s="126"/>
      <c r="B16379" s="126"/>
      <c r="C16379" s="126"/>
      <c r="D16379" s="126"/>
      <c r="E16379" s="126"/>
      <c r="F16379" s="126"/>
      <c r="G16379" s="126"/>
      <c r="H16379" s="126"/>
      <c r="I16379" s="126"/>
    </row>
    <row r="16380" spans="1:9">
      <c r="A16380" s="126"/>
      <c r="B16380" s="126"/>
      <c r="C16380" s="126"/>
      <c r="D16380" s="126"/>
      <c r="E16380" s="126"/>
      <c r="F16380" s="126"/>
      <c r="G16380" s="126"/>
      <c r="H16380" s="126"/>
      <c r="I16380" s="126"/>
    </row>
    <row r="16381" spans="1:9">
      <c r="A16381" s="126"/>
      <c r="B16381" s="126"/>
      <c r="C16381" s="126"/>
      <c r="D16381" s="126"/>
      <c r="E16381" s="126"/>
      <c r="F16381" s="126"/>
      <c r="G16381" s="126"/>
      <c r="H16381" s="126"/>
      <c r="I16381" s="126"/>
    </row>
    <row r="16382" spans="1:9">
      <c r="A16382" s="126"/>
      <c r="B16382" s="126"/>
      <c r="C16382" s="126"/>
      <c r="D16382" s="126"/>
      <c r="E16382" s="126"/>
      <c r="F16382" s="126"/>
      <c r="G16382" s="126"/>
      <c r="H16382" s="126"/>
      <c r="I16382" s="126"/>
    </row>
    <row r="16383" spans="1:9">
      <c r="A16383" s="126"/>
      <c r="B16383" s="126"/>
      <c r="C16383" s="126"/>
      <c r="D16383" s="126"/>
      <c r="E16383" s="126"/>
      <c r="F16383" s="126"/>
      <c r="G16383" s="126"/>
      <c r="H16383" s="126"/>
      <c r="I16383" s="126"/>
    </row>
    <row r="16384" spans="1:9">
      <c r="A16384" s="126"/>
      <c r="B16384" s="126"/>
      <c r="C16384" s="126"/>
      <c r="D16384" s="126"/>
      <c r="E16384" s="126"/>
      <c r="F16384" s="126"/>
      <c r="G16384" s="126"/>
      <c r="H16384" s="126"/>
      <c r="I16384" s="126"/>
    </row>
    <row r="16385" spans="1:9">
      <c r="A16385" s="126"/>
      <c r="B16385" s="126"/>
      <c r="C16385" s="126"/>
      <c r="D16385" s="126"/>
      <c r="E16385" s="126"/>
      <c r="F16385" s="126"/>
      <c r="G16385" s="126"/>
      <c r="H16385" s="126"/>
      <c r="I16385" s="126"/>
    </row>
    <row r="16386" spans="1:9">
      <c r="A16386" s="126"/>
      <c r="B16386" s="126"/>
      <c r="C16386" s="126"/>
      <c r="D16386" s="126"/>
      <c r="E16386" s="126"/>
      <c r="F16386" s="126"/>
      <c r="G16386" s="126"/>
      <c r="H16386" s="126"/>
      <c r="I16386" s="126"/>
    </row>
    <row r="16387" spans="1:9">
      <c r="A16387" s="126"/>
      <c r="B16387" s="126"/>
      <c r="C16387" s="126"/>
      <c r="D16387" s="126"/>
      <c r="E16387" s="126"/>
      <c r="F16387" s="126"/>
      <c r="G16387" s="126"/>
      <c r="H16387" s="126"/>
      <c r="I16387" s="126"/>
    </row>
    <row r="16388" spans="1:9">
      <c r="A16388" s="126"/>
      <c r="B16388" s="126"/>
      <c r="C16388" s="126"/>
      <c r="D16388" s="126"/>
      <c r="E16388" s="126"/>
      <c r="F16388" s="126"/>
      <c r="G16388" s="126"/>
      <c r="H16388" s="126"/>
      <c r="I16388" s="126"/>
    </row>
    <row r="16389" spans="1:9">
      <c r="A16389" s="126"/>
      <c r="B16389" s="126"/>
      <c r="C16389" s="126"/>
      <c r="D16389" s="126"/>
      <c r="E16389" s="126"/>
      <c r="F16389" s="126"/>
      <c r="G16389" s="126"/>
      <c r="H16389" s="126"/>
      <c r="I16389" s="126"/>
    </row>
    <row r="16390" spans="1:9">
      <c r="A16390" s="126"/>
      <c r="B16390" s="126"/>
      <c r="C16390" s="126"/>
      <c r="D16390" s="126"/>
      <c r="E16390" s="126"/>
      <c r="F16390" s="126"/>
      <c r="G16390" s="126"/>
      <c r="H16390" s="126"/>
      <c r="I16390" s="126"/>
    </row>
    <row r="16391" spans="1:9">
      <c r="A16391" s="126"/>
      <c r="B16391" s="126"/>
      <c r="C16391" s="126"/>
      <c r="D16391" s="126"/>
      <c r="E16391" s="126"/>
      <c r="F16391" s="126"/>
      <c r="G16391" s="126"/>
      <c r="H16391" s="126"/>
      <c r="I16391" s="126"/>
    </row>
    <row r="16392" spans="1:9">
      <c r="A16392" s="126"/>
      <c r="B16392" s="126"/>
      <c r="C16392" s="126"/>
      <c r="D16392" s="126"/>
      <c r="E16392" s="126"/>
      <c r="F16392" s="126"/>
      <c r="G16392" s="126"/>
      <c r="H16392" s="126"/>
      <c r="I16392" s="126"/>
    </row>
    <row r="16393" spans="1:9">
      <c r="A16393" s="126"/>
      <c r="B16393" s="126"/>
      <c r="C16393" s="126"/>
      <c r="D16393" s="126"/>
      <c r="E16393" s="126"/>
      <c r="F16393" s="126"/>
      <c r="G16393" s="126"/>
      <c r="H16393" s="126"/>
      <c r="I16393" s="126"/>
    </row>
    <row r="16394" spans="1:9">
      <c r="A16394" s="126"/>
      <c r="B16394" s="126"/>
      <c r="C16394" s="126"/>
      <c r="D16394" s="126"/>
      <c r="E16394" s="126"/>
      <c r="F16394" s="126"/>
      <c r="G16394" s="126"/>
      <c r="H16394" s="126"/>
      <c r="I16394" s="126"/>
    </row>
    <row r="16395" spans="1:9">
      <c r="A16395" s="126"/>
      <c r="B16395" s="126"/>
      <c r="C16395" s="126"/>
      <c r="D16395" s="126"/>
      <c r="E16395" s="126"/>
      <c r="F16395" s="126"/>
      <c r="G16395" s="126"/>
      <c r="H16395" s="126"/>
      <c r="I16395" s="126"/>
    </row>
    <row r="16396" spans="1:9">
      <c r="A16396" s="126"/>
      <c r="B16396" s="126"/>
      <c r="C16396" s="126"/>
      <c r="D16396" s="126"/>
      <c r="E16396" s="126"/>
      <c r="F16396" s="126"/>
      <c r="G16396" s="126"/>
      <c r="H16396" s="126"/>
      <c r="I16396" s="126"/>
    </row>
    <row r="16397" spans="1:9">
      <c r="A16397" s="126"/>
      <c r="B16397" s="126"/>
      <c r="C16397" s="126"/>
      <c r="D16397" s="126"/>
      <c r="E16397" s="126"/>
      <c r="F16397" s="126"/>
      <c r="G16397" s="126"/>
      <c r="H16397" s="126"/>
      <c r="I16397" s="126"/>
    </row>
    <row r="16398" spans="1:9">
      <c r="A16398" s="126"/>
      <c r="B16398" s="126"/>
      <c r="C16398" s="126"/>
      <c r="D16398" s="126"/>
      <c r="E16398" s="126"/>
      <c r="F16398" s="126"/>
      <c r="G16398" s="126"/>
      <c r="H16398" s="126"/>
      <c r="I16398" s="126"/>
    </row>
    <row r="16399" spans="1:9">
      <c r="A16399" s="126"/>
      <c r="B16399" s="126"/>
      <c r="C16399" s="126"/>
      <c r="D16399" s="126"/>
      <c r="E16399" s="126"/>
      <c r="F16399" s="126"/>
      <c r="G16399" s="126"/>
      <c r="H16399" s="126"/>
      <c r="I16399" s="126"/>
    </row>
    <row r="16400" spans="1:9">
      <c r="A16400" s="126"/>
      <c r="B16400" s="126"/>
      <c r="C16400" s="126"/>
      <c r="D16400" s="126"/>
      <c r="E16400" s="126"/>
      <c r="F16400" s="126"/>
      <c r="G16400" s="126"/>
      <c r="H16400" s="126"/>
      <c r="I16400" s="126"/>
    </row>
    <row r="16401" spans="1:9">
      <c r="A16401" s="126"/>
      <c r="B16401" s="126"/>
      <c r="C16401" s="126"/>
      <c r="D16401" s="126"/>
      <c r="E16401" s="126"/>
      <c r="F16401" s="126"/>
      <c r="G16401" s="126"/>
      <c r="H16401" s="126"/>
      <c r="I16401" s="126"/>
    </row>
    <row r="16402" spans="1:9">
      <c r="A16402" s="126"/>
      <c r="B16402" s="126"/>
      <c r="C16402" s="126"/>
      <c r="D16402" s="126"/>
      <c r="E16402" s="126"/>
      <c r="F16402" s="126"/>
      <c r="G16402" s="126"/>
      <c r="H16402" s="126"/>
      <c r="I16402" s="126"/>
    </row>
    <row r="16403" spans="1:9">
      <c r="A16403" s="126"/>
      <c r="B16403" s="126"/>
      <c r="C16403" s="126"/>
      <c r="D16403" s="126"/>
      <c r="E16403" s="126"/>
      <c r="F16403" s="126"/>
      <c r="G16403" s="126"/>
      <c r="H16403" s="126"/>
      <c r="I16403" s="126"/>
    </row>
    <row r="16404" spans="1:9">
      <c r="A16404" s="126"/>
      <c r="B16404" s="126"/>
      <c r="C16404" s="126"/>
      <c r="D16404" s="126"/>
      <c r="E16404" s="126"/>
      <c r="F16404" s="126"/>
      <c r="G16404" s="126"/>
      <c r="H16404" s="126"/>
      <c r="I16404" s="126"/>
    </row>
    <row r="16405" spans="1:9">
      <c r="A16405" s="126"/>
      <c r="B16405" s="126"/>
      <c r="C16405" s="126"/>
      <c r="D16405" s="126"/>
      <c r="E16405" s="126"/>
      <c r="F16405" s="126"/>
      <c r="G16405" s="126"/>
      <c r="H16405" s="126"/>
      <c r="I16405" s="126"/>
    </row>
    <row r="16406" spans="1:9">
      <c r="A16406" s="126"/>
      <c r="B16406" s="126"/>
      <c r="C16406" s="126"/>
      <c r="D16406" s="126"/>
      <c r="E16406" s="126"/>
      <c r="F16406" s="126"/>
      <c r="G16406" s="126"/>
      <c r="H16406" s="126"/>
      <c r="I16406" s="126"/>
    </row>
    <row r="16407" spans="1:9">
      <c r="A16407" s="126"/>
      <c r="B16407" s="126"/>
      <c r="C16407" s="126"/>
      <c r="D16407" s="126"/>
      <c r="E16407" s="126"/>
      <c r="F16407" s="126"/>
      <c r="G16407" s="126"/>
      <c r="H16407" s="126"/>
      <c r="I16407" s="126"/>
    </row>
    <row r="16408" spans="1:9">
      <c r="A16408" s="126"/>
      <c r="B16408" s="126"/>
      <c r="C16408" s="126"/>
      <c r="D16408" s="126"/>
      <c r="E16408" s="126"/>
      <c r="F16408" s="126"/>
      <c r="G16408" s="126"/>
      <c r="H16408" s="126"/>
      <c r="I16408" s="126"/>
    </row>
    <row r="16409" spans="1:9">
      <c r="A16409" s="126"/>
      <c r="B16409" s="126"/>
      <c r="C16409" s="126"/>
      <c r="D16409" s="126"/>
      <c r="E16409" s="126"/>
      <c r="F16409" s="126"/>
      <c r="G16409" s="126"/>
      <c r="H16409" s="126"/>
      <c r="I16409" s="126"/>
    </row>
    <row r="16410" spans="1:9">
      <c r="A16410" s="126"/>
      <c r="B16410" s="126"/>
      <c r="C16410" s="126"/>
      <c r="D16410" s="126"/>
      <c r="E16410" s="126"/>
      <c r="F16410" s="126"/>
      <c r="G16410" s="126"/>
      <c r="H16410" s="126"/>
      <c r="I16410" s="126"/>
    </row>
    <row r="16411" spans="1:9">
      <c r="A16411" s="126"/>
      <c r="B16411" s="126"/>
      <c r="C16411" s="126"/>
      <c r="D16411" s="126"/>
      <c r="E16411" s="126"/>
      <c r="F16411" s="126"/>
      <c r="G16411" s="126"/>
      <c r="H16411" s="126"/>
      <c r="I16411" s="126"/>
    </row>
    <row r="16412" spans="1:9">
      <c r="A16412" s="126"/>
      <c r="B16412" s="126"/>
      <c r="C16412" s="126"/>
      <c r="D16412" s="126"/>
      <c r="E16412" s="126"/>
      <c r="F16412" s="126"/>
      <c r="G16412" s="126"/>
      <c r="H16412" s="126"/>
      <c r="I16412" s="126"/>
    </row>
    <row r="16413" spans="1:9">
      <c r="A16413" s="126"/>
      <c r="B16413" s="126"/>
      <c r="C16413" s="126"/>
      <c r="D16413" s="126"/>
      <c r="E16413" s="126"/>
      <c r="F16413" s="126"/>
      <c r="G16413" s="126"/>
      <c r="H16413" s="126"/>
      <c r="I16413" s="126"/>
    </row>
    <row r="16414" spans="1:9">
      <c r="A16414" s="126"/>
      <c r="B16414" s="126"/>
      <c r="C16414" s="126"/>
      <c r="D16414" s="126"/>
      <c r="E16414" s="126"/>
      <c r="F16414" s="126"/>
      <c r="G16414" s="126"/>
      <c r="H16414" s="126"/>
      <c r="I16414" s="126"/>
    </row>
    <row r="16415" spans="1:9">
      <c r="A16415" s="126"/>
      <c r="B16415" s="126"/>
      <c r="C16415" s="126"/>
      <c r="D16415" s="126"/>
      <c r="E16415" s="126"/>
      <c r="F16415" s="126"/>
      <c r="G16415" s="126"/>
      <c r="H16415" s="126"/>
      <c r="I16415" s="126"/>
    </row>
    <row r="16416" spans="1:9">
      <c r="A16416" s="126"/>
      <c r="B16416" s="126"/>
      <c r="C16416" s="126"/>
      <c r="D16416" s="126"/>
      <c r="E16416" s="126"/>
      <c r="F16416" s="126"/>
      <c r="G16416" s="126"/>
      <c r="H16416" s="126"/>
      <c r="I16416" s="126"/>
    </row>
    <row r="16417" spans="1:9">
      <c r="A16417" s="126"/>
      <c r="B16417" s="126"/>
      <c r="C16417" s="126"/>
      <c r="D16417" s="126"/>
      <c r="E16417" s="126"/>
      <c r="F16417" s="126"/>
      <c r="G16417" s="126"/>
      <c r="H16417" s="126"/>
      <c r="I16417" s="126"/>
    </row>
    <row r="16418" spans="1:9">
      <c r="A16418" s="126"/>
      <c r="B16418" s="126"/>
      <c r="C16418" s="126"/>
      <c r="D16418" s="126"/>
      <c r="E16418" s="126"/>
      <c r="F16418" s="126"/>
      <c r="G16418" s="126"/>
      <c r="H16418" s="126"/>
      <c r="I16418" s="126"/>
    </row>
    <row r="16419" spans="1:9">
      <c r="A16419" s="126"/>
      <c r="B16419" s="126"/>
      <c r="C16419" s="126"/>
      <c r="D16419" s="126"/>
      <c r="E16419" s="126"/>
      <c r="F16419" s="126"/>
      <c r="G16419" s="126"/>
      <c r="H16419" s="126"/>
      <c r="I16419" s="126"/>
    </row>
    <row r="16420" spans="1:9">
      <c r="A16420" s="126"/>
      <c r="B16420" s="126"/>
      <c r="C16420" s="126"/>
      <c r="D16420" s="126"/>
      <c r="E16420" s="126"/>
      <c r="F16420" s="126"/>
      <c r="G16420" s="126"/>
      <c r="H16420" s="126"/>
      <c r="I16420" s="126"/>
    </row>
    <row r="16421" spans="1:9">
      <c r="A16421" s="126"/>
      <c r="B16421" s="126"/>
      <c r="C16421" s="126"/>
      <c r="D16421" s="126"/>
      <c r="E16421" s="126"/>
      <c r="F16421" s="126"/>
      <c r="G16421" s="126"/>
      <c r="H16421" s="126"/>
      <c r="I16421" s="126"/>
    </row>
    <row r="16422" spans="1:9">
      <c r="A16422" s="126"/>
      <c r="B16422" s="126"/>
      <c r="C16422" s="126"/>
      <c r="D16422" s="126"/>
      <c r="E16422" s="126"/>
      <c r="F16422" s="126"/>
      <c r="G16422" s="126"/>
      <c r="H16422" s="126"/>
      <c r="I16422" s="126"/>
    </row>
    <row r="16423" spans="1:9">
      <c r="A16423" s="126"/>
      <c r="B16423" s="126"/>
      <c r="C16423" s="126"/>
      <c r="D16423" s="126"/>
      <c r="E16423" s="126"/>
      <c r="F16423" s="126"/>
      <c r="G16423" s="126"/>
      <c r="H16423" s="126"/>
      <c r="I16423" s="126"/>
    </row>
    <row r="16424" spans="1:9">
      <c r="A16424" s="126"/>
      <c r="B16424" s="126"/>
      <c r="C16424" s="126"/>
      <c r="D16424" s="126"/>
      <c r="E16424" s="126"/>
      <c r="F16424" s="126"/>
      <c r="G16424" s="126"/>
      <c r="H16424" s="126"/>
      <c r="I16424" s="126"/>
    </row>
    <row r="16425" spans="1:9">
      <c r="A16425" s="126"/>
      <c r="B16425" s="126"/>
      <c r="C16425" s="126"/>
      <c r="D16425" s="126"/>
      <c r="E16425" s="126"/>
      <c r="F16425" s="126"/>
      <c r="G16425" s="126"/>
      <c r="H16425" s="126"/>
      <c r="I16425" s="126"/>
    </row>
    <row r="16426" spans="1:9">
      <c r="A16426" s="126"/>
      <c r="B16426" s="126"/>
      <c r="C16426" s="126"/>
      <c r="D16426" s="126"/>
      <c r="E16426" s="126"/>
      <c r="F16426" s="126"/>
      <c r="G16426" s="126"/>
      <c r="H16426" s="126"/>
      <c r="I16426" s="126"/>
    </row>
    <row r="16427" spans="1:9">
      <c r="A16427" s="126"/>
      <c r="B16427" s="126"/>
      <c r="C16427" s="126"/>
      <c r="D16427" s="126"/>
      <c r="E16427" s="126"/>
      <c r="F16427" s="126"/>
      <c r="G16427" s="126"/>
      <c r="H16427" s="126"/>
      <c r="I16427" s="126"/>
    </row>
    <row r="16428" spans="1:9">
      <c r="A16428" s="126"/>
      <c r="B16428" s="126"/>
      <c r="C16428" s="126"/>
      <c r="D16428" s="126"/>
      <c r="E16428" s="126"/>
      <c r="F16428" s="126"/>
      <c r="G16428" s="126"/>
      <c r="H16428" s="126"/>
      <c r="I16428" s="126"/>
    </row>
    <row r="16429" spans="1:9">
      <c r="A16429" s="126"/>
      <c r="B16429" s="126"/>
      <c r="C16429" s="126"/>
      <c r="D16429" s="126"/>
      <c r="E16429" s="126"/>
      <c r="F16429" s="126"/>
      <c r="G16429" s="126"/>
      <c r="H16429" s="126"/>
      <c r="I16429" s="126"/>
    </row>
    <row r="16430" spans="1:9">
      <c r="A16430" s="126"/>
      <c r="B16430" s="126"/>
      <c r="C16430" s="126"/>
      <c r="D16430" s="126"/>
      <c r="E16430" s="126"/>
      <c r="F16430" s="126"/>
      <c r="G16430" s="126"/>
      <c r="H16430" s="126"/>
      <c r="I16430" s="126"/>
    </row>
    <row r="16431" spans="1:9">
      <c r="A16431" s="126"/>
      <c r="B16431" s="126"/>
      <c r="C16431" s="126"/>
      <c r="D16431" s="126"/>
      <c r="E16431" s="126"/>
      <c r="F16431" s="126"/>
      <c r="G16431" s="126"/>
      <c r="H16431" s="126"/>
      <c r="I16431" s="126"/>
    </row>
    <row r="16432" spans="1:9">
      <c r="A16432" s="126"/>
      <c r="B16432" s="126"/>
      <c r="C16432" s="126"/>
      <c r="D16432" s="126"/>
      <c r="E16432" s="126"/>
      <c r="F16432" s="126"/>
      <c r="G16432" s="126"/>
      <c r="H16432" s="126"/>
      <c r="I16432" s="126"/>
    </row>
    <row r="16433" spans="1:9">
      <c r="A16433" s="126"/>
      <c r="B16433" s="126"/>
      <c r="C16433" s="126"/>
      <c r="D16433" s="126"/>
      <c r="E16433" s="126"/>
      <c r="F16433" s="126"/>
      <c r="G16433" s="126"/>
      <c r="H16433" s="126"/>
      <c r="I16433" s="126"/>
    </row>
    <row r="16434" spans="1:9">
      <c r="A16434" s="126"/>
      <c r="B16434" s="126"/>
      <c r="C16434" s="126"/>
      <c r="D16434" s="126"/>
      <c r="E16434" s="126"/>
      <c r="F16434" s="126"/>
      <c r="G16434" s="126"/>
      <c r="H16434" s="126"/>
      <c r="I16434" s="126"/>
    </row>
    <row r="16435" spans="1:9">
      <c r="A16435" s="126"/>
      <c r="B16435" s="126"/>
      <c r="C16435" s="126"/>
      <c r="D16435" s="126"/>
      <c r="E16435" s="126"/>
      <c r="F16435" s="126"/>
      <c r="G16435" s="126"/>
      <c r="H16435" s="126"/>
      <c r="I16435" s="126"/>
    </row>
    <row r="16436" spans="1:9">
      <c r="A16436" s="126"/>
      <c r="B16436" s="126"/>
      <c r="C16436" s="126"/>
      <c r="D16436" s="126"/>
      <c r="E16436" s="126"/>
      <c r="F16436" s="126"/>
      <c r="G16436" s="126"/>
      <c r="H16436" s="126"/>
      <c r="I16436" s="126"/>
    </row>
    <row r="16437" spans="1:9">
      <c r="A16437" s="126"/>
      <c r="B16437" s="126"/>
      <c r="C16437" s="126"/>
      <c r="D16437" s="126"/>
      <c r="E16437" s="126"/>
      <c r="F16437" s="126"/>
      <c r="G16437" s="126"/>
      <c r="H16437" s="126"/>
      <c r="I16437" s="126"/>
    </row>
    <row r="16438" spans="1:9">
      <c r="A16438" s="126"/>
      <c r="B16438" s="126"/>
      <c r="C16438" s="126"/>
      <c r="D16438" s="126"/>
      <c r="E16438" s="126"/>
      <c r="F16438" s="126"/>
      <c r="G16438" s="126"/>
      <c r="H16438" s="126"/>
      <c r="I16438" s="126"/>
    </row>
    <row r="16439" spans="1:9">
      <c r="A16439" s="126"/>
      <c r="B16439" s="126"/>
      <c r="C16439" s="126"/>
      <c r="D16439" s="126"/>
      <c r="E16439" s="126"/>
      <c r="F16439" s="126"/>
      <c r="G16439" s="126"/>
      <c r="H16439" s="126"/>
      <c r="I16439" s="126"/>
    </row>
    <row r="16440" spans="1:9">
      <c r="A16440" s="126"/>
      <c r="B16440" s="126"/>
      <c r="C16440" s="126"/>
      <c r="D16440" s="126"/>
      <c r="E16440" s="126"/>
      <c r="F16440" s="126"/>
      <c r="G16440" s="126"/>
      <c r="H16440" s="126"/>
      <c r="I16440" s="126"/>
    </row>
    <row r="16441" spans="1:9">
      <c r="A16441" s="126"/>
      <c r="B16441" s="126"/>
      <c r="C16441" s="126"/>
      <c r="D16441" s="126"/>
      <c r="E16441" s="126"/>
      <c r="F16441" s="126"/>
      <c r="G16441" s="126"/>
      <c r="H16441" s="126"/>
      <c r="I16441" s="126"/>
    </row>
    <row r="16442" spans="1:9">
      <c r="A16442" s="126"/>
      <c r="B16442" s="126"/>
      <c r="C16442" s="126"/>
      <c r="D16442" s="126"/>
      <c r="E16442" s="126"/>
      <c r="F16442" s="126"/>
      <c r="G16442" s="126"/>
      <c r="H16442" s="126"/>
      <c r="I16442" s="126"/>
    </row>
    <row r="16443" spans="1:9">
      <c r="A16443" s="126"/>
      <c r="B16443" s="126"/>
      <c r="C16443" s="126"/>
      <c r="D16443" s="126"/>
      <c r="E16443" s="126"/>
      <c r="F16443" s="126"/>
      <c r="G16443" s="126"/>
      <c r="H16443" s="126"/>
      <c r="I16443" s="126"/>
    </row>
    <row r="16444" spans="1:9">
      <c r="A16444" s="126"/>
      <c r="B16444" s="126"/>
      <c r="C16444" s="126"/>
      <c r="D16444" s="126"/>
      <c r="E16444" s="126"/>
      <c r="F16444" s="126"/>
      <c r="G16444" s="126"/>
      <c r="H16444" s="126"/>
      <c r="I16444" s="126"/>
    </row>
    <row r="16445" spans="1:9">
      <c r="A16445" s="126"/>
      <c r="B16445" s="126"/>
      <c r="C16445" s="126"/>
      <c r="D16445" s="126"/>
      <c r="E16445" s="126"/>
      <c r="F16445" s="126"/>
      <c r="G16445" s="126"/>
      <c r="H16445" s="126"/>
      <c r="I16445" s="126"/>
    </row>
    <row r="16446" spans="1:9">
      <c r="A16446" s="126"/>
      <c r="B16446" s="126"/>
      <c r="C16446" s="126"/>
      <c r="D16446" s="126"/>
      <c r="E16446" s="126"/>
      <c r="F16446" s="126"/>
      <c r="G16446" s="126"/>
      <c r="H16446" s="126"/>
      <c r="I16446" s="126"/>
    </row>
    <row r="16447" spans="1:9">
      <c r="A16447" s="126"/>
      <c r="B16447" s="126"/>
      <c r="C16447" s="126"/>
      <c r="D16447" s="126"/>
      <c r="E16447" s="126"/>
      <c r="F16447" s="126"/>
      <c r="G16447" s="126"/>
      <c r="H16447" s="126"/>
      <c r="I16447" s="126"/>
    </row>
    <row r="16448" spans="1:9">
      <c r="A16448" s="126"/>
      <c r="B16448" s="126"/>
      <c r="C16448" s="126"/>
      <c r="D16448" s="126"/>
      <c r="E16448" s="126"/>
      <c r="F16448" s="126"/>
      <c r="G16448" s="126"/>
      <c r="H16448" s="126"/>
      <c r="I16448" s="126"/>
    </row>
    <row r="16449" spans="1:9">
      <c r="A16449" s="126"/>
      <c r="B16449" s="126"/>
      <c r="C16449" s="126"/>
      <c r="D16449" s="126"/>
      <c r="E16449" s="126"/>
      <c r="F16449" s="126"/>
      <c r="G16449" s="126"/>
      <c r="H16449" s="126"/>
      <c r="I16449" s="126"/>
    </row>
    <row r="16450" spans="1:9">
      <c r="A16450" s="126"/>
      <c r="B16450" s="126"/>
      <c r="C16450" s="126"/>
      <c r="D16450" s="126"/>
      <c r="E16450" s="126"/>
      <c r="F16450" s="126"/>
      <c r="G16450" s="126"/>
      <c r="H16450" s="126"/>
      <c r="I16450" s="126"/>
    </row>
    <row r="16451" spans="1:9">
      <c r="A16451" s="126"/>
      <c r="B16451" s="126"/>
      <c r="C16451" s="126"/>
      <c r="D16451" s="126"/>
      <c r="E16451" s="126"/>
      <c r="F16451" s="126"/>
      <c r="G16451" s="126"/>
      <c r="H16451" s="126"/>
      <c r="I16451" s="126"/>
    </row>
    <row r="16452" spans="1:9">
      <c r="A16452" s="126"/>
      <c r="B16452" s="126"/>
      <c r="C16452" s="126"/>
      <c r="D16452" s="126"/>
      <c r="E16452" s="126"/>
      <c r="F16452" s="126"/>
      <c r="G16452" s="126"/>
      <c r="H16452" s="126"/>
      <c r="I16452" s="126"/>
    </row>
    <row r="16453" spans="1:9">
      <c r="A16453" s="126"/>
      <c r="B16453" s="126"/>
      <c r="C16453" s="126"/>
      <c r="D16453" s="126"/>
      <c r="E16453" s="126"/>
      <c r="F16453" s="126"/>
      <c r="G16453" s="126"/>
      <c r="H16453" s="126"/>
      <c r="I16453" s="126"/>
    </row>
    <row r="16454" spans="1:9">
      <c r="A16454" s="126"/>
      <c r="B16454" s="126"/>
      <c r="C16454" s="126"/>
      <c r="D16454" s="126"/>
      <c r="E16454" s="126"/>
      <c r="F16454" s="126"/>
      <c r="G16454" s="126"/>
      <c r="H16454" s="126"/>
      <c r="I16454" s="126"/>
    </row>
    <row r="16455" spans="1:9">
      <c r="A16455" s="126"/>
      <c r="B16455" s="126"/>
      <c r="C16455" s="126"/>
      <c r="D16455" s="126"/>
      <c r="E16455" s="126"/>
      <c r="F16455" s="126"/>
      <c r="G16455" s="126"/>
      <c r="H16455" s="126"/>
      <c r="I16455" s="126"/>
    </row>
    <row r="16456" spans="1:9">
      <c r="A16456" s="126"/>
      <c r="B16456" s="126"/>
      <c r="C16456" s="126"/>
      <c r="D16456" s="126"/>
      <c r="E16456" s="126"/>
      <c r="F16456" s="126"/>
      <c r="G16456" s="126"/>
      <c r="H16456" s="126"/>
      <c r="I16456" s="126"/>
    </row>
    <row r="16457" spans="1:9">
      <c r="A16457" s="126"/>
      <c r="B16457" s="126"/>
      <c r="C16457" s="126"/>
      <c r="D16457" s="126"/>
      <c r="E16457" s="126"/>
      <c r="F16457" s="126"/>
      <c r="G16457" s="126"/>
      <c r="H16457" s="126"/>
      <c r="I16457" s="126"/>
    </row>
    <row r="16458" spans="1:9">
      <c r="A16458" s="126"/>
      <c r="B16458" s="126"/>
      <c r="C16458" s="126"/>
      <c r="D16458" s="126"/>
      <c r="E16458" s="126"/>
      <c r="F16458" s="126"/>
      <c r="G16458" s="126"/>
      <c r="H16458" s="126"/>
      <c r="I16458" s="126"/>
    </row>
    <row r="16459" spans="1:9">
      <c r="A16459" s="126"/>
      <c r="B16459" s="126"/>
      <c r="C16459" s="126"/>
      <c r="D16459" s="126"/>
      <c r="E16459" s="126"/>
      <c r="F16459" s="126"/>
      <c r="G16459" s="126"/>
      <c r="H16459" s="126"/>
      <c r="I16459" s="126"/>
    </row>
    <row r="16460" spans="1:9">
      <c r="A16460" s="126"/>
      <c r="B16460" s="126"/>
      <c r="C16460" s="126"/>
      <c r="D16460" s="126"/>
      <c r="E16460" s="126"/>
      <c r="F16460" s="126"/>
      <c r="G16460" s="126"/>
      <c r="H16460" s="126"/>
      <c r="I16460" s="126"/>
    </row>
    <row r="16461" spans="1:9">
      <c r="A16461" s="126"/>
      <c r="B16461" s="126"/>
      <c r="C16461" s="126"/>
      <c r="D16461" s="126"/>
      <c r="E16461" s="126"/>
      <c r="F16461" s="126"/>
      <c r="G16461" s="126"/>
      <c r="H16461" s="126"/>
      <c r="I16461" s="126"/>
    </row>
    <row r="16462" spans="1:9">
      <c r="A16462" s="126"/>
      <c r="B16462" s="126"/>
      <c r="C16462" s="126"/>
      <c r="D16462" s="126"/>
      <c r="E16462" s="126"/>
      <c r="F16462" s="126"/>
      <c r="G16462" s="126"/>
      <c r="H16462" s="126"/>
      <c r="I16462" s="126"/>
    </row>
    <row r="16463" spans="1:9">
      <c r="A16463" s="126"/>
      <c r="B16463" s="126"/>
      <c r="C16463" s="126"/>
      <c r="D16463" s="126"/>
      <c r="E16463" s="126"/>
      <c r="F16463" s="126"/>
      <c r="G16463" s="126"/>
      <c r="H16463" s="126"/>
      <c r="I16463" s="126"/>
    </row>
    <row r="16464" spans="1:9">
      <c r="A16464" s="126"/>
      <c r="B16464" s="126"/>
      <c r="C16464" s="126"/>
      <c r="D16464" s="126"/>
      <c r="E16464" s="126"/>
      <c r="F16464" s="126"/>
      <c r="G16464" s="126"/>
      <c r="H16464" s="126"/>
      <c r="I16464" s="126"/>
    </row>
    <row r="16465" spans="1:9">
      <c r="A16465" s="126"/>
      <c r="B16465" s="126"/>
      <c r="C16465" s="126"/>
      <c r="D16465" s="126"/>
      <c r="E16465" s="126"/>
      <c r="F16465" s="126"/>
      <c r="G16465" s="126"/>
      <c r="H16465" s="126"/>
      <c r="I16465" s="126"/>
    </row>
    <row r="16466" spans="1:9">
      <c r="A16466" s="126"/>
      <c r="B16466" s="126"/>
      <c r="C16466" s="126"/>
      <c r="D16466" s="126"/>
      <c r="E16466" s="126"/>
      <c r="F16466" s="126"/>
      <c r="G16466" s="126"/>
      <c r="H16466" s="126"/>
      <c r="I16466" s="126"/>
    </row>
    <row r="16467" spans="1:9">
      <c r="A16467" s="126"/>
      <c r="B16467" s="126"/>
      <c r="C16467" s="126"/>
      <c r="D16467" s="126"/>
      <c r="E16467" s="126"/>
      <c r="F16467" s="126"/>
      <c r="G16467" s="126"/>
      <c r="H16467" s="126"/>
      <c r="I16467" s="126"/>
    </row>
    <row r="16468" spans="1:9">
      <c r="A16468" s="126"/>
      <c r="B16468" s="126"/>
      <c r="C16468" s="126"/>
      <c r="D16468" s="126"/>
      <c r="E16468" s="126"/>
      <c r="F16468" s="126"/>
      <c r="G16468" s="126"/>
      <c r="H16468" s="126"/>
      <c r="I16468" s="126"/>
    </row>
    <row r="16469" spans="1:9">
      <c r="A16469" s="126"/>
      <c r="B16469" s="126"/>
      <c r="C16469" s="126"/>
      <c r="D16469" s="126"/>
      <c r="E16469" s="126"/>
      <c r="F16469" s="126"/>
      <c r="G16469" s="126"/>
      <c r="H16469" s="126"/>
      <c r="I16469" s="126"/>
    </row>
    <row r="16470" spans="1:9">
      <c r="A16470" s="126"/>
      <c r="B16470" s="126"/>
      <c r="C16470" s="126"/>
      <c r="D16470" s="126"/>
      <c r="E16470" s="126"/>
      <c r="F16470" s="126"/>
      <c r="G16470" s="126"/>
      <c r="H16470" s="126"/>
      <c r="I16470" s="126"/>
    </row>
    <row r="16471" spans="1:9">
      <c r="A16471" s="126"/>
      <c r="B16471" s="126"/>
      <c r="C16471" s="126"/>
      <c r="D16471" s="126"/>
      <c r="E16471" s="126"/>
      <c r="F16471" s="126"/>
      <c r="G16471" s="126"/>
      <c r="H16471" s="126"/>
      <c r="I16471" s="126"/>
    </row>
    <row r="16472" spans="1:9">
      <c r="A16472" s="126"/>
      <c r="B16472" s="126"/>
      <c r="C16472" s="126"/>
      <c r="D16472" s="126"/>
      <c r="E16472" s="126"/>
      <c r="F16472" s="126"/>
      <c r="G16472" s="126"/>
      <c r="H16472" s="126"/>
      <c r="I16472" s="126"/>
    </row>
    <row r="16473" spans="1:9">
      <c r="A16473" s="126"/>
      <c r="B16473" s="126"/>
      <c r="C16473" s="126"/>
      <c r="D16473" s="126"/>
      <c r="E16473" s="126"/>
      <c r="F16473" s="126"/>
      <c r="G16473" s="126"/>
      <c r="H16473" s="126"/>
      <c r="I16473" s="126"/>
    </row>
    <row r="16474" spans="1:9">
      <c r="A16474" s="126"/>
      <c r="B16474" s="126"/>
      <c r="C16474" s="126"/>
      <c r="D16474" s="126"/>
      <c r="E16474" s="126"/>
      <c r="F16474" s="126"/>
      <c r="G16474" s="126"/>
      <c r="H16474" s="126"/>
      <c r="I16474" s="126"/>
    </row>
    <row r="16475" spans="1:9">
      <c r="A16475" s="126"/>
      <c r="B16475" s="126"/>
      <c r="C16475" s="126"/>
      <c r="D16475" s="126"/>
      <c r="E16475" s="126"/>
      <c r="F16475" s="126"/>
      <c r="G16475" s="126"/>
      <c r="H16475" s="126"/>
      <c r="I16475" s="126"/>
    </row>
    <row r="16476" spans="1:9">
      <c r="A16476" s="126"/>
      <c r="B16476" s="126"/>
      <c r="C16476" s="126"/>
      <c r="D16476" s="126"/>
      <c r="E16476" s="126"/>
      <c r="F16476" s="126"/>
      <c r="G16476" s="126"/>
      <c r="H16476" s="126"/>
      <c r="I16476" s="126"/>
    </row>
    <row r="16477" spans="1:9">
      <c r="A16477" s="126"/>
      <c r="B16477" s="126"/>
      <c r="C16477" s="126"/>
      <c r="D16477" s="126"/>
      <c r="E16477" s="126"/>
      <c r="F16477" s="126"/>
      <c r="G16477" s="126"/>
      <c r="H16477" s="126"/>
      <c r="I16477" s="126"/>
    </row>
    <row r="16478" spans="1:9">
      <c r="A16478" s="126"/>
      <c r="B16478" s="126"/>
      <c r="C16478" s="126"/>
      <c r="D16478" s="126"/>
      <c r="E16478" s="126"/>
      <c r="F16478" s="126"/>
      <c r="G16478" s="126"/>
      <c r="H16478" s="126"/>
      <c r="I16478" s="126"/>
    </row>
    <row r="16479" spans="1:9">
      <c r="A16479" s="126"/>
      <c r="B16479" s="126"/>
      <c r="C16479" s="126"/>
      <c r="D16479" s="126"/>
      <c r="E16479" s="126"/>
      <c r="F16479" s="126"/>
      <c r="G16479" s="126"/>
      <c r="H16479" s="126"/>
      <c r="I16479" s="126"/>
    </row>
    <row r="16480" spans="1:9">
      <c r="A16480" s="126"/>
      <c r="B16480" s="126"/>
      <c r="C16480" s="126"/>
      <c r="D16480" s="126"/>
      <c r="E16480" s="126"/>
      <c r="F16480" s="126"/>
      <c r="G16480" s="126"/>
      <c r="H16480" s="126"/>
      <c r="I16480" s="126"/>
    </row>
    <row r="16481" spans="1:9">
      <c r="A16481" s="126"/>
      <c r="B16481" s="126"/>
      <c r="C16481" s="126"/>
      <c r="D16481" s="126"/>
      <c r="E16481" s="126"/>
      <c r="F16481" s="126"/>
      <c r="G16481" s="126"/>
      <c r="H16481" s="126"/>
      <c r="I16481" s="126"/>
    </row>
    <row r="16482" spans="1:9">
      <c r="A16482" s="126"/>
      <c r="B16482" s="126"/>
      <c r="C16482" s="126"/>
      <c r="D16482" s="126"/>
      <c r="E16482" s="126"/>
      <c r="F16482" s="126"/>
      <c r="G16482" s="126"/>
      <c r="H16482" s="126"/>
      <c r="I16482" s="126"/>
    </row>
    <row r="16483" spans="1:9">
      <c r="A16483" s="126"/>
      <c r="B16483" s="126"/>
      <c r="C16483" s="126"/>
      <c r="D16483" s="126"/>
      <c r="E16483" s="126"/>
      <c r="F16483" s="126"/>
      <c r="G16483" s="126"/>
      <c r="H16483" s="126"/>
      <c r="I16483" s="126"/>
    </row>
    <row r="16484" spans="1:9">
      <c r="A16484" s="126"/>
      <c r="B16484" s="126"/>
      <c r="C16484" s="126"/>
      <c r="D16484" s="126"/>
      <c r="E16484" s="126"/>
      <c r="F16484" s="126"/>
      <c r="G16484" s="126"/>
      <c r="H16484" s="126"/>
      <c r="I16484" s="126"/>
    </row>
    <row r="16485" spans="1:9">
      <c r="A16485" s="126"/>
      <c r="B16485" s="126"/>
      <c r="C16485" s="126"/>
      <c r="D16485" s="126"/>
      <c r="E16485" s="126"/>
      <c r="F16485" s="126"/>
      <c r="G16485" s="126"/>
      <c r="H16485" s="126"/>
      <c r="I16485" s="126"/>
    </row>
    <row r="16486" spans="1:9">
      <c r="A16486" s="126"/>
      <c r="B16486" s="126"/>
      <c r="C16486" s="126"/>
      <c r="D16486" s="126"/>
      <c r="E16486" s="126"/>
      <c r="F16486" s="126"/>
      <c r="G16486" s="126"/>
      <c r="H16486" s="126"/>
      <c r="I16486" s="126"/>
    </row>
    <row r="16487" spans="1:9">
      <c r="A16487" s="126"/>
      <c r="B16487" s="126"/>
      <c r="C16487" s="126"/>
      <c r="D16487" s="126"/>
      <c r="E16487" s="126"/>
      <c r="F16487" s="126"/>
      <c r="G16487" s="126"/>
      <c r="H16487" s="126"/>
      <c r="I16487" s="126"/>
    </row>
    <row r="16488" spans="1:9">
      <c r="A16488" s="126"/>
      <c r="B16488" s="126"/>
      <c r="C16488" s="126"/>
      <c r="D16488" s="126"/>
      <c r="E16488" s="126"/>
      <c r="F16488" s="126"/>
      <c r="G16488" s="126"/>
      <c r="H16488" s="126"/>
      <c r="I16488" s="126"/>
    </row>
    <row r="16489" spans="1:9">
      <c r="A16489" s="126"/>
      <c r="B16489" s="126"/>
      <c r="C16489" s="126"/>
      <c r="D16489" s="126"/>
      <c r="E16489" s="126"/>
      <c r="F16489" s="126"/>
      <c r="G16489" s="126"/>
      <c r="H16489" s="126"/>
      <c r="I16489" s="126"/>
    </row>
    <row r="16490" spans="1:9">
      <c r="A16490" s="126"/>
      <c r="B16490" s="126"/>
      <c r="C16490" s="126"/>
      <c r="D16490" s="126"/>
      <c r="E16490" s="126"/>
      <c r="F16490" s="126"/>
      <c r="G16490" s="126"/>
      <c r="H16490" s="126"/>
      <c r="I16490" s="126"/>
    </row>
    <row r="16491" spans="1:9">
      <c r="A16491" s="126"/>
      <c r="B16491" s="126"/>
      <c r="C16491" s="126"/>
      <c r="D16491" s="126"/>
      <c r="E16491" s="126"/>
      <c r="F16491" s="126"/>
      <c r="G16491" s="126"/>
      <c r="H16491" s="126"/>
      <c r="I16491" s="126"/>
    </row>
    <row r="16492" spans="1:9">
      <c r="A16492" s="126"/>
      <c r="B16492" s="126"/>
      <c r="C16492" s="126"/>
      <c r="D16492" s="126"/>
      <c r="E16492" s="126"/>
      <c r="F16492" s="126"/>
      <c r="G16492" s="126"/>
      <c r="H16492" s="126"/>
      <c r="I16492" s="126"/>
    </row>
    <row r="16493" spans="1:9">
      <c r="A16493" s="126"/>
      <c r="B16493" s="126"/>
      <c r="C16493" s="126"/>
      <c r="D16493" s="126"/>
      <c r="E16493" s="126"/>
      <c r="F16493" s="126"/>
      <c r="G16493" s="126"/>
      <c r="H16493" s="126"/>
      <c r="I16493" s="126"/>
    </row>
    <row r="16494" spans="1:9">
      <c r="A16494" s="126"/>
      <c r="B16494" s="126"/>
      <c r="C16494" s="126"/>
      <c r="D16494" s="126"/>
      <c r="E16494" s="126"/>
      <c r="F16494" s="126"/>
      <c r="G16494" s="126"/>
      <c r="H16494" s="126"/>
      <c r="I16494" s="126"/>
    </row>
    <row r="16495" spans="1:9">
      <c r="A16495" s="126"/>
      <c r="B16495" s="126"/>
      <c r="C16495" s="126"/>
      <c r="D16495" s="126"/>
      <c r="E16495" s="126"/>
      <c r="F16495" s="126"/>
      <c r="G16495" s="126"/>
      <c r="H16495" s="126"/>
      <c r="I16495" s="126"/>
    </row>
    <row r="16496" spans="1:9">
      <c r="A16496" s="126"/>
      <c r="B16496" s="126"/>
      <c r="C16496" s="126"/>
      <c r="D16496" s="126"/>
      <c r="E16496" s="126"/>
      <c r="F16496" s="126"/>
      <c r="G16496" s="126"/>
      <c r="H16496" s="126"/>
      <c r="I16496" s="126"/>
    </row>
    <row r="16497" spans="1:9">
      <c r="A16497" s="126"/>
      <c r="B16497" s="126"/>
      <c r="C16497" s="126"/>
      <c r="D16497" s="126"/>
      <c r="E16497" s="126"/>
      <c r="F16497" s="126"/>
      <c r="G16497" s="126"/>
      <c r="H16497" s="126"/>
      <c r="I16497" s="126"/>
    </row>
    <row r="16498" spans="1:9">
      <c r="A16498" s="126"/>
      <c r="B16498" s="126"/>
      <c r="C16498" s="126"/>
      <c r="D16498" s="126"/>
      <c r="E16498" s="126"/>
      <c r="F16498" s="126"/>
      <c r="G16498" s="126"/>
      <c r="H16498" s="126"/>
      <c r="I16498" s="126"/>
    </row>
    <row r="16499" spans="1:9">
      <c r="A16499" s="126"/>
      <c r="B16499" s="126"/>
      <c r="C16499" s="126"/>
      <c r="D16499" s="126"/>
      <c r="E16499" s="126"/>
      <c r="F16499" s="126"/>
      <c r="G16499" s="126"/>
      <c r="H16499" s="126"/>
      <c r="I16499" s="126"/>
    </row>
    <row r="16500" spans="1:9">
      <c r="A16500" s="126"/>
      <c r="B16500" s="126"/>
      <c r="C16500" s="126"/>
      <c r="D16500" s="126"/>
      <c r="E16500" s="126"/>
      <c r="F16500" s="126"/>
      <c r="G16500" s="126"/>
      <c r="H16500" s="126"/>
      <c r="I16500" s="126"/>
    </row>
    <row r="16501" spans="1:9">
      <c r="A16501" s="126"/>
      <c r="B16501" s="126"/>
      <c r="C16501" s="126"/>
      <c r="D16501" s="126"/>
      <c r="E16501" s="126"/>
      <c r="F16501" s="126"/>
      <c r="G16501" s="126"/>
      <c r="H16501" s="126"/>
      <c r="I16501" s="126"/>
    </row>
    <row r="16502" spans="1:9">
      <c r="A16502" s="126"/>
      <c r="B16502" s="126"/>
      <c r="C16502" s="126"/>
      <c r="D16502" s="126"/>
      <c r="E16502" s="126"/>
      <c r="F16502" s="126"/>
      <c r="G16502" s="126"/>
      <c r="H16502" s="126"/>
      <c r="I16502" s="126"/>
    </row>
    <row r="16503" spans="1:9">
      <c r="A16503" s="126"/>
      <c r="B16503" s="126"/>
      <c r="C16503" s="126"/>
      <c r="D16503" s="126"/>
      <c r="E16503" s="126"/>
      <c r="F16503" s="126"/>
      <c r="G16503" s="126"/>
      <c r="H16503" s="126"/>
      <c r="I16503" s="126"/>
    </row>
    <row r="16504" spans="1:9">
      <c r="A16504" s="126"/>
      <c r="B16504" s="126"/>
      <c r="C16504" s="126"/>
      <c r="D16504" s="126"/>
      <c r="E16504" s="126"/>
      <c r="F16504" s="126"/>
      <c r="G16504" s="126"/>
      <c r="H16504" s="126"/>
      <c r="I16504" s="126"/>
    </row>
    <row r="16505" spans="1:9">
      <c r="A16505" s="126"/>
      <c r="B16505" s="126"/>
      <c r="C16505" s="126"/>
      <c r="D16505" s="126"/>
      <c r="E16505" s="126"/>
      <c r="F16505" s="126"/>
      <c r="G16505" s="126"/>
      <c r="H16505" s="126"/>
      <c r="I16505" s="126"/>
    </row>
    <row r="16506" spans="1:9">
      <c r="A16506" s="126"/>
      <c r="B16506" s="126"/>
      <c r="C16506" s="126"/>
      <c r="D16506" s="126"/>
      <c r="E16506" s="126"/>
      <c r="F16506" s="126"/>
      <c r="G16506" s="126"/>
      <c r="H16506" s="126"/>
      <c r="I16506" s="126"/>
    </row>
    <row r="16507" spans="1:9">
      <c r="A16507" s="126"/>
      <c r="B16507" s="126"/>
      <c r="C16507" s="126"/>
      <c r="D16507" s="126"/>
      <c r="E16507" s="126"/>
      <c r="F16507" s="126"/>
      <c r="G16507" s="126"/>
      <c r="H16507" s="126"/>
      <c r="I16507" s="126"/>
    </row>
    <row r="16508" spans="1:9">
      <c r="A16508" s="126"/>
      <c r="B16508" s="126"/>
      <c r="C16508" s="126"/>
      <c r="D16508" s="126"/>
      <c r="E16508" s="126"/>
      <c r="F16508" s="126"/>
      <c r="G16508" s="126"/>
      <c r="H16508" s="126"/>
      <c r="I16508" s="126"/>
    </row>
    <row r="16509" spans="1:9">
      <c r="A16509" s="126"/>
      <c r="B16509" s="126"/>
      <c r="C16509" s="126"/>
      <c r="D16509" s="126"/>
      <c r="E16509" s="126"/>
      <c r="F16509" s="126"/>
      <c r="G16509" s="126"/>
      <c r="H16509" s="126"/>
      <c r="I16509" s="126"/>
    </row>
    <row r="16510" spans="1:9">
      <c r="A16510" s="126"/>
      <c r="B16510" s="126"/>
      <c r="C16510" s="126"/>
      <c r="D16510" s="126"/>
      <c r="E16510" s="126"/>
      <c r="F16510" s="126"/>
      <c r="G16510" s="126"/>
      <c r="H16510" s="126"/>
      <c r="I16510" s="126"/>
    </row>
    <row r="16511" spans="1:9">
      <c r="A16511" s="126"/>
      <c r="B16511" s="126"/>
      <c r="C16511" s="126"/>
      <c r="D16511" s="126"/>
      <c r="E16511" s="126"/>
      <c r="F16511" s="126"/>
      <c r="G16511" s="126"/>
      <c r="H16511" s="126"/>
      <c r="I16511" s="126"/>
    </row>
    <row r="16512" spans="1:9">
      <c r="A16512" s="126"/>
      <c r="B16512" s="126"/>
      <c r="C16512" s="126"/>
      <c r="D16512" s="126"/>
      <c r="E16512" s="126"/>
      <c r="F16512" s="126"/>
      <c r="G16512" s="126"/>
      <c r="H16512" s="126"/>
      <c r="I16512" s="126"/>
    </row>
    <row r="16513" spans="1:9">
      <c r="A16513" s="126"/>
      <c r="B16513" s="126"/>
      <c r="C16513" s="126"/>
      <c r="D16513" s="126"/>
      <c r="E16513" s="126"/>
      <c r="F16513" s="126"/>
      <c r="G16513" s="126"/>
      <c r="H16513" s="126"/>
      <c r="I16513" s="126"/>
    </row>
    <row r="16514" spans="1:9">
      <c r="A16514" s="126"/>
      <c r="B16514" s="126"/>
      <c r="C16514" s="126"/>
      <c r="D16514" s="126"/>
      <c r="E16514" s="126"/>
      <c r="F16514" s="126"/>
      <c r="G16514" s="126"/>
      <c r="H16514" s="126"/>
      <c r="I16514" s="126"/>
    </row>
    <row r="16515" spans="1:9">
      <c r="A16515" s="126"/>
      <c r="B16515" s="126"/>
      <c r="C16515" s="126"/>
      <c r="D16515" s="126"/>
      <c r="E16515" s="126"/>
      <c r="F16515" s="126"/>
      <c r="G16515" s="126"/>
      <c r="H16515" s="126"/>
      <c r="I16515" s="126"/>
    </row>
    <row r="16516" spans="1:9">
      <c r="A16516" s="126"/>
      <c r="B16516" s="126"/>
      <c r="C16516" s="126"/>
      <c r="D16516" s="126"/>
      <c r="E16516" s="126"/>
      <c r="F16516" s="126"/>
      <c r="G16516" s="126"/>
      <c r="H16516" s="126"/>
      <c r="I16516" s="126"/>
    </row>
    <row r="16517" spans="1:9">
      <c r="A16517" s="126"/>
      <c r="B16517" s="126"/>
      <c r="C16517" s="126"/>
      <c r="D16517" s="126"/>
      <c r="E16517" s="126"/>
      <c r="F16517" s="126"/>
      <c r="G16517" s="126"/>
      <c r="H16517" s="126"/>
      <c r="I16517" s="126"/>
    </row>
    <row r="16518" spans="1:9">
      <c r="A16518" s="126"/>
      <c r="B16518" s="126"/>
      <c r="C16518" s="126"/>
      <c r="D16518" s="126"/>
      <c r="E16518" s="126"/>
      <c r="F16518" s="126"/>
      <c r="G16518" s="126"/>
      <c r="H16518" s="126"/>
      <c r="I16518" s="126"/>
    </row>
    <row r="16519" spans="1:9">
      <c r="A16519" s="126"/>
      <c r="B16519" s="126"/>
      <c r="C16519" s="126"/>
      <c r="D16519" s="126"/>
      <c r="E16519" s="126"/>
      <c r="F16519" s="126"/>
      <c r="G16519" s="126"/>
      <c r="H16519" s="126"/>
      <c r="I16519" s="126"/>
    </row>
    <row r="16520" spans="1:9">
      <c r="A16520" s="126"/>
      <c r="B16520" s="126"/>
      <c r="C16520" s="126"/>
      <c r="D16520" s="126"/>
      <c r="E16520" s="126"/>
      <c r="F16520" s="126"/>
      <c r="G16520" s="126"/>
      <c r="H16520" s="126"/>
      <c r="I16520" s="126"/>
    </row>
    <row r="16521" spans="1:9">
      <c r="A16521" s="126"/>
      <c r="B16521" s="126"/>
      <c r="C16521" s="126"/>
      <c r="D16521" s="126"/>
      <c r="E16521" s="126"/>
      <c r="F16521" s="126"/>
      <c r="G16521" s="126"/>
      <c r="H16521" s="126"/>
      <c r="I16521" s="126"/>
    </row>
    <row r="16522" spans="1:9">
      <c r="A16522" s="126"/>
      <c r="B16522" s="126"/>
      <c r="C16522" s="126"/>
      <c r="D16522" s="126"/>
      <c r="E16522" s="126"/>
      <c r="F16522" s="126"/>
      <c r="G16522" s="126"/>
      <c r="H16522" s="126"/>
      <c r="I16522" s="126"/>
    </row>
    <row r="16523" spans="1:9">
      <c r="A16523" s="126"/>
      <c r="B16523" s="126"/>
      <c r="C16523" s="126"/>
      <c r="D16523" s="126"/>
      <c r="E16523" s="126"/>
      <c r="F16523" s="126"/>
      <c r="G16523" s="126"/>
      <c r="H16523" s="126"/>
      <c r="I16523" s="126"/>
    </row>
    <row r="16524" spans="1:9">
      <c r="A16524" s="126"/>
      <c r="B16524" s="126"/>
      <c r="C16524" s="126"/>
      <c r="D16524" s="126"/>
      <c r="E16524" s="126"/>
      <c r="F16524" s="126"/>
      <c r="G16524" s="126"/>
      <c r="H16524" s="126"/>
      <c r="I16524" s="126"/>
    </row>
    <row r="16525" spans="1:9">
      <c r="A16525" s="126"/>
      <c r="B16525" s="126"/>
      <c r="C16525" s="126"/>
      <c r="D16525" s="126"/>
      <c r="E16525" s="126"/>
      <c r="F16525" s="126"/>
      <c r="G16525" s="126"/>
      <c r="H16525" s="126"/>
      <c r="I16525" s="126"/>
    </row>
    <row r="16526" spans="1:9">
      <c r="A16526" s="126"/>
      <c r="B16526" s="126"/>
      <c r="C16526" s="126"/>
      <c r="D16526" s="126"/>
      <c r="E16526" s="126"/>
      <c r="F16526" s="126"/>
      <c r="G16526" s="126"/>
      <c r="H16526" s="126"/>
      <c r="I16526" s="126"/>
    </row>
    <row r="16527" spans="1:9">
      <c r="A16527" s="126"/>
      <c r="B16527" s="126"/>
      <c r="C16527" s="126"/>
      <c r="D16527" s="126"/>
      <c r="E16527" s="126"/>
      <c r="F16527" s="126"/>
      <c r="G16527" s="126"/>
      <c r="H16527" s="126"/>
      <c r="I16527" s="126"/>
    </row>
    <row r="16528" spans="1:9">
      <c r="A16528" s="126"/>
      <c r="B16528" s="126"/>
      <c r="C16528" s="126"/>
      <c r="D16528" s="126"/>
      <c r="E16528" s="126"/>
      <c r="F16528" s="126"/>
      <c r="G16528" s="126"/>
      <c r="H16528" s="126"/>
      <c r="I16528" s="126"/>
    </row>
    <row r="16529" spans="1:9">
      <c r="A16529" s="126"/>
      <c r="B16529" s="126"/>
      <c r="C16529" s="126"/>
      <c r="D16529" s="126"/>
      <c r="E16529" s="126"/>
      <c r="F16529" s="126"/>
      <c r="G16529" s="126"/>
      <c r="H16529" s="126"/>
      <c r="I16529" s="126"/>
    </row>
    <row r="16530" spans="1:9">
      <c r="A16530" s="126"/>
      <c r="B16530" s="126"/>
      <c r="C16530" s="126"/>
      <c r="D16530" s="126"/>
      <c r="E16530" s="126"/>
      <c r="F16530" s="126"/>
      <c r="G16530" s="126"/>
      <c r="H16530" s="126"/>
      <c r="I16530" s="126"/>
    </row>
    <row r="16531" spans="1:9">
      <c r="A16531" s="126"/>
      <c r="B16531" s="126"/>
      <c r="C16531" s="126"/>
      <c r="D16531" s="126"/>
      <c r="E16531" s="126"/>
      <c r="F16531" s="126"/>
      <c r="G16531" s="126"/>
      <c r="H16531" s="126"/>
      <c r="I16531" s="126"/>
    </row>
    <row r="16532" spans="1:9">
      <c r="A16532" s="126"/>
      <c r="B16532" s="126"/>
      <c r="C16532" s="126"/>
      <c r="D16532" s="126"/>
      <c r="E16532" s="126"/>
      <c r="F16532" s="126"/>
      <c r="G16532" s="126"/>
      <c r="H16532" s="126"/>
      <c r="I16532" s="126"/>
    </row>
    <row r="16533" spans="1:9">
      <c r="A16533" s="126"/>
      <c r="B16533" s="126"/>
      <c r="C16533" s="126"/>
      <c r="D16533" s="126"/>
      <c r="E16533" s="126"/>
      <c r="F16533" s="126"/>
      <c r="G16533" s="126"/>
      <c r="H16533" s="126"/>
      <c r="I16533" s="126"/>
    </row>
    <row r="16534" spans="1:9">
      <c r="A16534" s="126"/>
      <c r="B16534" s="126"/>
      <c r="C16534" s="126"/>
      <c r="D16534" s="126"/>
      <c r="E16534" s="126"/>
      <c r="F16534" s="126"/>
      <c r="G16534" s="126"/>
      <c r="H16534" s="126"/>
      <c r="I16534" s="126"/>
    </row>
    <row r="16535" spans="1:9">
      <c r="A16535" s="126"/>
      <c r="B16535" s="126"/>
      <c r="C16535" s="126"/>
      <c r="D16535" s="126"/>
      <c r="E16535" s="126"/>
      <c r="F16535" s="126"/>
      <c r="G16535" s="126"/>
      <c r="H16535" s="126"/>
      <c r="I16535" s="126"/>
    </row>
    <row r="16536" spans="1:9">
      <c r="A16536" s="126"/>
      <c r="B16536" s="126"/>
      <c r="C16536" s="126"/>
      <c r="D16536" s="126"/>
      <c r="E16536" s="126"/>
      <c r="F16536" s="126"/>
      <c r="G16536" s="126"/>
      <c r="H16536" s="126"/>
      <c r="I16536" s="126"/>
    </row>
    <row r="16537" spans="1:9">
      <c r="A16537" s="126"/>
      <c r="B16537" s="126"/>
      <c r="C16537" s="126"/>
      <c r="D16537" s="126"/>
      <c r="E16537" s="126"/>
      <c r="F16537" s="126"/>
      <c r="G16537" s="126"/>
      <c r="H16537" s="126"/>
      <c r="I16537" s="126"/>
    </row>
    <row r="16538" spans="1:9">
      <c r="A16538" s="126"/>
      <c r="B16538" s="126"/>
      <c r="C16538" s="126"/>
      <c r="D16538" s="126"/>
      <c r="E16538" s="126"/>
      <c r="F16538" s="126"/>
      <c r="G16538" s="126"/>
      <c r="H16538" s="126"/>
      <c r="I16538" s="126"/>
    </row>
    <row r="16539" spans="1:9">
      <c r="A16539" s="126"/>
      <c r="B16539" s="126"/>
      <c r="C16539" s="126"/>
      <c r="D16539" s="126"/>
      <c r="E16539" s="126"/>
      <c r="F16539" s="126"/>
      <c r="G16539" s="126"/>
      <c r="H16539" s="126"/>
      <c r="I16539" s="126"/>
    </row>
    <row r="16540" spans="1:9">
      <c r="A16540" s="126"/>
      <c r="B16540" s="126"/>
      <c r="C16540" s="126"/>
      <c r="D16540" s="126"/>
      <c r="E16540" s="126"/>
      <c r="F16540" s="126"/>
      <c r="G16540" s="126"/>
      <c r="H16540" s="126"/>
      <c r="I16540" s="126"/>
    </row>
    <row r="16541" spans="1:9">
      <c r="A16541" s="126"/>
      <c r="B16541" s="126"/>
      <c r="C16541" s="126"/>
      <c r="D16541" s="126"/>
      <c r="E16541" s="126"/>
      <c r="F16541" s="126"/>
      <c r="G16541" s="126"/>
      <c r="H16541" s="126"/>
      <c r="I16541" s="126"/>
    </row>
    <row r="16542" spans="1:9">
      <c r="A16542" s="126"/>
      <c r="B16542" s="126"/>
      <c r="C16542" s="126"/>
      <c r="D16542" s="126"/>
      <c r="E16542" s="126"/>
      <c r="F16542" s="126"/>
      <c r="G16542" s="126"/>
      <c r="H16542" s="126"/>
      <c r="I16542" s="126"/>
    </row>
    <row r="16543" spans="1:9">
      <c r="A16543" s="126"/>
      <c r="B16543" s="126"/>
      <c r="C16543" s="126"/>
      <c r="D16543" s="126"/>
      <c r="E16543" s="126"/>
      <c r="F16543" s="126"/>
      <c r="G16543" s="126"/>
      <c r="H16543" s="126"/>
      <c r="I16543" s="126"/>
    </row>
    <row r="16544" spans="1:9">
      <c r="A16544" s="126"/>
      <c r="B16544" s="126"/>
      <c r="C16544" s="126"/>
      <c r="D16544" s="126"/>
      <c r="E16544" s="126"/>
      <c r="F16544" s="126"/>
      <c r="G16544" s="126"/>
      <c r="H16544" s="126"/>
      <c r="I16544" s="126"/>
    </row>
    <row r="16545" spans="1:9">
      <c r="A16545" s="126"/>
      <c r="B16545" s="126"/>
      <c r="C16545" s="126"/>
      <c r="D16545" s="126"/>
      <c r="E16545" s="126"/>
      <c r="F16545" s="126"/>
      <c r="G16545" s="126"/>
      <c r="H16545" s="126"/>
      <c r="I16545" s="126"/>
    </row>
    <row r="16546" spans="1:9">
      <c r="A16546" s="126"/>
      <c r="B16546" s="126"/>
      <c r="C16546" s="126"/>
      <c r="D16546" s="126"/>
      <c r="E16546" s="126"/>
      <c r="F16546" s="126"/>
      <c r="G16546" s="126"/>
      <c r="H16546" s="126"/>
      <c r="I16546" s="126"/>
    </row>
    <row r="16547" spans="1:9">
      <c r="A16547" s="126"/>
      <c r="B16547" s="126"/>
      <c r="C16547" s="126"/>
      <c r="D16547" s="126"/>
      <c r="E16547" s="126"/>
      <c r="F16547" s="126"/>
      <c r="G16547" s="126"/>
      <c r="H16547" s="126"/>
      <c r="I16547" s="126"/>
    </row>
    <row r="16548" spans="1:9">
      <c r="A16548" s="126"/>
      <c r="B16548" s="126"/>
      <c r="C16548" s="126"/>
      <c r="D16548" s="126"/>
      <c r="E16548" s="126"/>
      <c r="F16548" s="126"/>
      <c r="G16548" s="126"/>
      <c r="H16548" s="126"/>
      <c r="I16548" s="126"/>
    </row>
    <row r="16549" spans="1:9">
      <c r="A16549" s="126"/>
      <c r="B16549" s="126"/>
      <c r="C16549" s="126"/>
      <c r="D16549" s="126"/>
      <c r="E16549" s="126"/>
      <c r="F16549" s="126"/>
      <c r="G16549" s="126"/>
      <c r="H16549" s="126"/>
      <c r="I16549" s="126"/>
    </row>
    <row r="16550" spans="1:9">
      <c r="A16550" s="126"/>
      <c r="B16550" s="126"/>
      <c r="C16550" s="126"/>
      <c r="D16550" s="126"/>
      <c r="E16550" s="126"/>
      <c r="F16550" s="126"/>
      <c r="G16550" s="126"/>
      <c r="H16550" s="126"/>
      <c r="I16550" s="126"/>
    </row>
    <row r="16551" spans="1:9">
      <c r="A16551" s="126"/>
      <c r="B16551" s="126"/>
      <c r="C16551" s="126"/>
      <c r="D16551" s="126"/>
      <c r="E16551" s="126"/>
      <c r="F16551" s="126"/>
      <c r="G16551" s="126"/>
      <c r="H16551" s="126"/>
      <c r="I16551" s="126"/>
    </row>
    <row r="16552" spans="1:9">
      <c r="A16552" s="126"/>
      <c r="B16552" s="126"/>
      <c r="C16552" s="126"/>
      <c r="D16552" s="126"/>
      <c r="E16552" s="126"/>
      <c r="F16552" s="126"/>
      <c r="G16552" s="126"/>
      <c r="H16552" s="126"/>
      <c r="I16552" s="126"/>
    </row>
    <row r="16553" spans="1:9">
      <c r="A16553" s="126"/>
      <c r="B16553" s="126"/>
      <c r="C16553" s="126"/>
      <c r="D16553" s="126"/>
      <c r="E16553" s="126"/>
      <c r="F16553" s="126"/>
      <c r="G16553" s="126"/>
      <c r="H16553" s="126"/>
      <c r="I16553" s="126"/>
    </row>
    <row r="16554" spans="1:9">
      <c r="A16554" s="126"/>
      <c r="B16554" s="126"/>
      <c r="C16554" s="126"/>
      <c r="D16554" s="126"/>
      <c r="E16554" s="126"/>
      <c r="F16554" s="126"/>
      <c r="G16554" s="126"/>
      <c r="H16554" s="126"/>
      <c r="I16554" s="126"/>
    </row>
    <row r="16555" spans="1:9">
      <c r="A16555" s="126"/>
      <c r="B16555" s="126"/>
      <c r="C16555" s="126"/>
      <c r="D16555" s="126"/>
      <c r="E16555" s="126"/>
      <c r="F16555" s="126"/>
      <c r="G16555" s="126"/>
      <c r="H16555" s="126"/>
      <c r="I16555" s="126"/>
    </row>
    <row r="16556" spans="1:9">
      <c r="A16556" s="126"/>
      <c r="B16556" s="126"/>
      <c r="C16556" s="126"/>
      <c r="D16556" s="126"/>
      <c r="E16556" s="126"/>
      <c r="F16556" s="126"/>
      <c r="G16556" s="126"/>
      <c r="H16556" s="126"/>
      <c r="I16556" s="126"/>
    </row>
    <row r="16557" spans="1:9">
      <c r="A16557" s="126"/>
      <c r="B16557" s="126"/>
      <c r="C16557" s="126"/>
      <c r="D16557" s="126"/>
      <c r="E16557" s="126"/>
      <c r="F16557" s="126"/>
      <c r="G16557" s="126"/>
      <c r="H16557" s="126"/>
      <c r="I16557" s="126"/>
    </row>
    <row r="16558" spans="1:9">
      <c r="A16558" s="126"/>
      <c r="B16558" s="126"/>
      <c r="C16558" s="126"/>
      <c r="D16558" s="126"/>
      <c r="E16558" s="126"/>
      <c r="F16558" s="126"/>
      <c r="G16558" s="126"/>
      <c r="H16558" s="126"/>
      <c r="I16558" s="126"/>
    </row>
    <row r="16559" spans="1:9">
      <c r="A16559" s="126"/>
      <c r="B16559" s="126"/>
      <c r="C16559" s="126"/>
      <c r="D16559" s="126"/>
      <c r="E16559" s="126"/>
      <c r="F16559" s="126"/>
      <c r="G16559" s="126"/>
      <c r="H16559" s="126"/>
      <c r="I16559" s="126"/>
    </row>
    <row r="16560" spans="1:9">
      <c r="A16560" s="126"/>
      <c r="B16560" s="126"/>
      <c r="C16560" s="126"/>
      <c r="D16560" s="126"/>
      <c r="E16560" s="126"/>
      <c r="F16560" s="126"/>
      <c r="G16560" s="126"/>
      <c r="H16560" s="126"/>
      <c r="I16560" s="126"/>
    </row>
    <row r="16561" spans="1:9">
      <c r="A16561" s="126"/>
      <c r="B16561" s="126"/>
      <c r="C16561" s="126"/>
      <c r="D16561" s="126"/>
      <c r="E16561" s="126"/>
      <c r="F16561" s="126"/>
      <c r="G16561" s="126"/>
      <c r="H16561" s="126"/>
      <c r="I16561" s="126"/>
    </row>
    <row r="16562" spans="1:9">
      <c r="A16562" s="126"/>
      <c r="B16562" s="126"/>
      <c r="C16562" s="126"/>
      <c r="D16562" s="126"/>
      <c r="E16562" s="126"/>
      <c r="F16562" s="126"/>
      <c r="G16562" s="126"/>
      <c r="H16562" s="126"/>
      <c r="I16562" s="126"/>
    </row>
    <row r="16563" spans="1:9">
      <c r="A16563" s="126"/>
      <c r="B16563" s="126"/>
      <c r="C16563" s="126"/>
      <c r="D16563" s="126"/>
      <c r="E16563" s="126"/>
      <c r="F16563" s="126"/>
      <c r="G16563" s="126"/>
      <c r="H16563" s="126"/>
      <c r="I16563" s="126"/>
    </row>
    <row r="16564" spans="1:9">
      <c r="A16564" s="126"/>
      <c r="B16564" s="126"/>
      <c r="C16564" s="126"/>
      <c r="D16564" s="126"/>
      <c r="E16564" s="126"/>
      <c r="F16564" s="126"/>
      <c r="G16564" s="126"/>
      <c r="H16564" s="126"/>
      <c r="I16564" s="126"/>
    </row>
    <row r="16565" spans="1:9">
      <c r="A16565" s="126"/>
      <c r="B16565" s="126"/>
      <c r="C16565" s="126"/>
      <c r="D16565" s="126"/>
      <c r="E16565" s="126"/>
      <c r="F16565" s="126"/>
      <c r="G16565" s="126"/>
      <c r="H16565" s="126"/>
      <c r="I16565" s="126"/>
    </row>
    <row r="16566" spans="1:9">
      <c r="A16566" s="126"/>
      <c r="B16566" s="126"/>
      <c r="C16566" s="126"/>
      <c r="D16566" s="126"/>
      <c r="E16566" s="126"/>
      <c r="F16566" s="126"/>
      <c r="G16566" s="126"/>
      <c r="H16566" s="126"/>
      <c r="I16566" s="126"/>
    </row>
    <row r="16567" spans="1:9">
      <c r="A16567" s="126"/>
      <c r="B16567" s="126"/>
      <c r="C16567" s="126"/>
      <c r="D16567" s="126"/>
      <c r="E16567" s="126"/>
      <c r="F16567" s="126"/>
      <c r="G16567" s="126"/>
      <c r="H16567" s="126"/>
      <c r="I16567" s="126"/>
    </row>
    <row r="16568" spans="1:9">
      <c r="A16568" s="126"/>
      <c r="B16568" s="126"/>
      <c r="C16568" s="126"/>
      <c r="D16568" s="126"/>
      <c r="E16568" s="126"/>
      <c r="F16568" s="126"/>
      <c r="G16568" s="126"/>
      <c r="H16568" s="126"/>
      <c r="I16568" s="126"/>
    </row>
    <row r="16569" spans="1:9">
      <c r="A16569" s="126"/>
      <c r="B16569" s="126"/>
      <c r="C16569" s="126"/>
      <c r="D16569" s="126"/>
      <c r="E16569" s="126"/>
      <c r="F16569" s="126"/>
      <c r="G16569" s="126"/>
      <c r="H16569" s="126"/>
      <c r="I16569" s="126"/>
    </row>
    <row r="16570" spans="1:9">
      <c r="A16570" s="126"/>
      <c r="B16570" s="126"/>
      <c r="C16570" s="126"/>
      <c r="D16570" s="126"/>
      <c r="E16570" s="126"/>
      <c r="F16570" s="126"/>
      <c r="G16570" s="126"/>
      <c r="H16570" s="126"/>
      <c r="I16570" s="126"/>
    </row>
    <row r="16571" spans="1:9">
      <c r="A16571" s="126"/>
      <c r="B16571" s="126"/>
      <c r="C16571" s="126"/>
      <c r="D16571" s="126"/>
      <c r="E16571" s="126"/>
      <c r="F16571" s="126"/>
      <c r="G16571" s="126"/>
      <c r="H16571" s="126"/>
      <c r="I16571" s="126"/>
    </row>
    <row r="16572" spans="1:9">
      <c r="A16572" s="126"/>
      <c r="B16572" s="126"/>
      <c r="C16572" s="126"/>
      <c r="D16572" s="126"/>
      <c r="E16572" s="126"/>
      <c r="F16572" s="126"/>
      <c r="G16572" s="126"/>
      <c r="H16572" s="126"/>
      <c r="I16572" s="126"/>
    </row>
    <row r="16573" spans="1:9">
      <c r="A16573" s="126"/>
      <c r="B16573" s="126"/>
      <c r="C16573" s="126"/>
      <c r="D16573" s="126"/>
      <c r="E16573" s="126"/>
      <c r="F16573" s="126"/>
      <c r="G16573" s="126"/>
      <c r="H16573" s="126"/>
      <c r="I16573" s="126"/>
    </row>
    <row r="16574" spans="1:9">
      <c r="A16574" s="126"/>
      <c r="B16574" s="126"/>
      <c r="C16574" s="126"/>
      <c r="D16574" s="126"/>
      <c r="E16574" s="126"/>
      <c r="F16574" s="126"/>
      <c r="G16574" s="126"/>
      <c r="H16574" s="126"/>
      <c r="I16574" s="126"/>
    </row>
    <row r="16575" spans="1:9">
      <c r="A16575" s="126"/>
      <c r="B16575" s="126"/>
      <c r="C16575" s="126"/>
      <c r="D16575" s="126"/>
      <c r="E16575" s="126"/>
      <c r="F16575" s="126"/>
      <c r="G16575" s="126"/>
      <c r="H16575" s="126"/>
      <c r="I16575" s="126"/>
    </row>
    <row r="16576" spans="1:9">
      <c r="A16576" s="126"/>
      <c r="B16576" s="126"/>
      <c r="C16576" s="126"/>
      <c r="D16576" s="126"/>
      <c r="E16576" s="126"/>
      <c r="F16576" s="126"/>
      <c r="G16576" s="126"/>
      <c r="H16576" s="126"/>
      <c r="I16576" s="126"/>
    </row>
    <row r="16577" spans="1:9">
      <c r="A16577" s="126"/>
      <c r="B16577" s="126"/>
      <c r="C16577" s="126"/>
      <c r="D16577" s="126"/>
      <c r="E16577" s="126"/>
      <c r="F16577" s="126"/>
      <c r="G16577" s="126"/>
      <c r="H16577" s="126"/>
      <c r="I16577" s="126"/>
    </row>
    <row r="16578" spans="1:9">
      <c r="A16578" s="126"/>
      <c r="B16578" s="126"/>
      <c r="C16578" s="126"/>
      <c r="D16578" s="126"/>
      <c r="E16578" s="126"/>
      <c r="F16578" s="126"/>
      <c r="G16578" s="126"/>
      <c r="H16578" s="126"/>
      <c r="I16578" s="126"/>
    </row>
    <row r="16579" spans="1:9">
      <c r="A16579" s="126"/>
      <c r="B16579" s="126"/>
      <c r="C16579" s="126"/>
      <c r="D16579" s="126"/>
      <c r="E16579" s="126"/>
      <c r="F16579" s="126"/>
      <c r="G16579" s="126"/>
      <c r="H16579" s="126"/>
      <c r="I16579" s="126"/>
    </row>
    <row r="16580" spans="1:9">
      <c r="A16580" s="126"/>
      <c r="B16580" s="126"/>
      <c r="C16580" s="126"/>
      <c r="D16580" s="126"/>
      <c r="E16580" s="126"/>
      <c r="F16580" s="126"/>
      <c r="G16580" s="126"/>
      <c r="H16580" s="126"/>
      <c r="I16580" s="126"/>
    </row>
    <row r="16581" spans="1:9">
      <c r="A16581" s="126"/>
      <c r="B16581" s="126"/>
      <c r="C16581" s="126"/>
      <c r="D16581" s="126"/>
      <c r="E16581" s="126"/>
      <c r="F16581" s="126"/>
      <c r="G16581" s="126"/>
      <c r="H16581" s="126"/>
      <c r="I16581" s="126"/>
    </row>
    <row r="16582" spans="1:9">
      <c r="A16582" s="126"/>
      <c r="B16582" s="126"/>
      <c r="C16582" s="126"/>
      <c r="D16582" s="126"/>
      <c r="E16582" s="126"/>
      <c r="F16582" s="126"/>
      <c r="G16582" s="126"/>
      <c r="H16582" s="126"/>
      <c r="I16582" s="126"/>
    </row>
    <row r="16583" spans="1:9">
      <c r="A16583" s="126"/>
      <c r="B16583" s="126"/>
      <c r="C16583" s="126"/>
      <c r="D16583" s="126"/>
      <c r="E16583" s="126"/>
      <c r="F16583" s="126"/>
      <c r="G16583" s="126"/>
      <c r="H16583" s="126"/>
      <c r="I16583" s="126"/>
    </row>
    <row r="16584" spans="1:9">
      <c r="A16584" s="126"/>
      <c r="B16584" s="126"/>
      <c r="C16584" s="126"/>
      <c r="D16584" s="126"/>
      <c r="E16584" s="126"/>
      <c r="F16584" s="126"/>
      <c r="G16584" s="126"/>
      <c r="H16584" s="126"/>
      <c r="I16584" s="126"/>
    </row>
    <row r="16585" spans="1:9">
      <c r="A16585" s="126"/>
      <c r="B16585" s="126"/>
      <c r="C16585" s="126"/>
      <c r="D16585" s="126"/>
      <c r="E16585" s="126"/>
      <c r="F16585" s="126"/>
      <c r="G16585" s="126"/>
      <c r="H16585" s="126"/>
      <c r="I16585" s="126"/>
    </row>
    <row r="16586" spans="1:9">
      <c r="A16586" s="126"/>
      <c r="B16586" s="126"/>
      <c r="C16586" s="126"/>
      <c r="D16586" s="126"/>
      <c r="E16586" s="126"/>
      <c r="F16586" s="126"/>
      <c r="G16586" s="126"/>
      <c r="H16586" s="126"/>
      <c r="I16586" s="126"/>
    </row>
    <row r="16587" spans="1:9">
      <c r="A16587" s="126"/>
      <c r="B16587" s="126"/>
      <c r="C16587" s="126"/>
      <c r="D16587" s="126"/>
      <c r="E16587" s="126"/>
      <c r="F16587" s="126"/>
      <c r="G16587" s="126"/>
      <c r="H16587" s="126"/>
      <c r="I16587" s="126"/>
    </row>
    <row r="16588" spans="1:9">
      <c r="A16588" s="126"/>
      <c r="B16588" s="126"/>
      <c r="C16588" s="126"/>
      <c r="D16588" s="126"/>
      <c r="E16588" s="126"/>
      <c r="F16588" s="126"/>
      <c r="G16588" s="126"/>
      <c r="H16588" s="126"/>
      <c r="I16588" s="126"/>
    </row>
    <row r="16589" spans="1:9">
      <c r="A16589" s="126"/>
      <c r="B16589" s="126"/>
      <c r="C16589" s="126"/>
      <c r="D16589" s="126"/>
      <c r="E16589" s="126"/>
      <c r="F16589" s="126"/>
      <c r="G16589" s="126"/>
      <c r="H16589" s="126"/>
      <c r="I16589" s="126"/>
    </row>
    <row r="16590" spans="1:9">
      <c r="A16590" s="126"/>
      <c r="B16590" s="126"/>
      <c r="C16590" s="126"/>
      <c r="D16590" s="126"/>
      <c r="E16590" s="126"/>
      <c r="F16590" s="126"/>
      <c r="G16590" s="126"/>
      <c r="H16590" s="126"/>
      <c r="I16590" s="126"/>
    </row>
    <row r="16591" spans="1:9">
      <c r="A16591" s="126"/>
      <c r="B16591" s="126"/>
      <c r="C16591" s="126"/>
      <c r="D16591" s="126"/>
      <c r="E16591" s="126"/>
      <c r="F16591" s="126"/>
      <c r="G16591" s="126"/>
      <c r="H16591" s="126"/>
      <c r="I16591" s="126"/>
    </row>
    <row r="16592" spans="1:9">
      <c r="A16592" s="126"/>
      <c r="B16592" s="126"/>
      <c r="C16592" s="126"/>
      <c r="D16592" s="126"/>
      <c r="E16592" s="126"/>
      <c r="F16592" s="126"/>
      <c r="G16592" s="126"/>
      <c r="H16592" s="126"/>
      <c r="I16592" s="126"/>
    </row>
    <row r="16593" spans="1:9">
      <c r="A16593" s="126"/>
      <c r="B16593" s="126"/>
      <c r="C16593" s="126"/>
      <c r="D16593" s="126"/>
      <c r="E16593" s="126"/>
      <c r="F16593" s="126"/>
      <c r="G16593" s="126"/>
      <c r="H16593" s="126"/>
      <c r="I16593" s="126"/>
    </row>
    <row r="16594" spans="1:9">
      <c r="A16594" s="126"/>
      <c r="B16594" s="126"/>
      <c r="C16594" s="126"/>
      <c r="D16594" s="126"/>
      <c r="E16594" s="126"/>
      <c r="F16594" s="126"/>
      <c r="G16594" s="126"/>
      <c r="H16594" s="126"/>
      <c r="I16594" s="126"/>
    </row>
    <row r="16595" spans="1:9">
      <c r="A16595" s="126"/>
      <c r="B16595" s="126"/>
      <c r="C16595" s="126"/>
      <c r="D16595" s="126"/>
      <c r="E16595" s="126"/>
      <c r="F16595" s="126"/>
      <c r="G16595" s="126"/>
      <c r="H16595" s="126"/>
      <c r="I16595" s="126"/>
    </row>
    <row r="16596" spans="1:9">
      <c r="A16596" s="126"/>
      <c r="B16596" s="126"/>
      <c r="C16596" s="126"/>
      <c r="D16596" s="126"/>
      <c r="E16596" s="126"/>
      <c r="F16596" s="126"/>
      <c r="G16596" s="126"/>
      <c r="H16596" s="126"/>
      <c r="I16596" s="126"/>
    </row>
    <row r="16597" spans="1:9">
      <c r="A16597" s="126"/>
      <c r="B16597" s="126"/>
      <c r="C16597" s="126"/>
      <c r="D16597" s="126"/>
      <c r="E16597" s="126"/>
      <c r="F16597" s="126"/>
      <c r="G16597" s="126"/>
      <c r="H16597" s="126"/>
      <c r="I16597" s="126"/>
    </row>
    <row r="16598" spans="1:9">
      <c r="A16598" s="126"/>
      <c r="B16598" s="126"/>
      <c r="C16598" s="126"/>
      <c r="D16598" s="126"/>
      <c r="E16598" s="126"/>
      <c r="F16598" s="126"/>
      <c r="G16598" s="126"/>
      <c r="H16598" s="126"/>
      <c r="I16598" s="126"/>
    </row>
    <row r="16599" spans="1:9">
      <c r="A16599" s="126"/>
      <c r="B16599" s="126"/>
      <c r="C16599" s="126"/>
      <c r="D16599" s="126"/>
      <c r="E16599" s="126"/>
      <c r="F16599" s="126"/>
      <c r="G16599" s="126"/>
      <c r="H16599" s="126"/>
      <c r="I16599" s="126"/>
    </row>
    <row r="16600" spans="1:9">
      <c r="A16600" s="126"/>
      <c r="B16600" s="126"/>
      <c r="C16600" s="126"/>
      <c r="D16600" s="126"/>
      <c r="E16600" s="126"/>
      <c r="F16600" s="126"/>
      <c r="G16600" s="126"/>
      <c r="H16600" s="126"/>
      <c r="I16600" s="126"/>
    </row>
    <row r="16601" spans="1:9">
      <c r="A16601" s="126"/>
      <c r="B16601" s="126"/>
      <c r="C16601" s="126"/>
      <c r="D16601" s="126"/>
      <c r="E16601" s="126"/>
      <c r="F16601" s="126"/>
      <c r="G16601" s="126"/>
      <c r="H16601" s="126"/>
      <c r="I16601" s="126"/>
    </row>
    <row r="16602" spans="1:9">
      <c r="A16602" s="126"/>
      <c r="B16602" s="126"/>
      <c r="C16602" s="126"/>
      <c r="D16602" s="126"/>
      <c r="E16602" s="126"/>
      <c r="F16602" s="126"/>
      <c r="G16602" s="126"/>
      <c r="H16602" s="126"/>
      <c r="I16602" s="126"/>
    </row>
    <row r="16603" spans="1:9">
      <c r="A16603" s="126"/>
      <c r="B16603" s="126"/>
      <c r="C16603" s="126"/>
      <c r="D16603" s="126"/>
      <c r="E16603" s="126"/>
      <c r="F16603" s="126"/>
      <c r="G16603" s="126"/>
      <c r="H16603" s="126"/>
      <c r="I16603" s="126"/>
    </row>
    <row r="16604" spans="1:9">
      <c r="A16604" s="126"/>
      <c r="B16604" s="126"/>
      <c r="C16604" s="126"/>
      <c r="D16604" s="126"/>
      <c r="E16604" s="126"/>
      <c r="F16604" s="126"/>
      <c r="G16604" s="126"/>
      <c r="H16604" s="126"/>
      <c r="I16604" s="126"/>
    </row>
    <row r="16605" spans="1:9">
      <c r="A16605" s="126"/>
      <c r="B16605" s="126"/>
      <c r="C16605" s="126"/>
      <c r="D16605" s="126"/>
      <c r="E16605" s="126"/>
      <c r="F16605" s="126"/>
      <c r="G16605" s="126"/>
      <c r="H16605" s="126"/>
      <c r="I16605" s="126"/>
    </row>
    <row r="16606" spans="1:9">
      <c r="A16606" s="126"/>
      <c r="B16606" s="126"/>
      <c r="C16606" s="126"/>
      <c r="D16606" s="126"/>
      <c r="E16606" s="126"/>
      <c r="F16606" s="126"/>
      <c r="G16606" s="126"/>
      <c r="H16606" s="126"/>
      <c r="I16606" s="126"/>
    </row>
    <row r="16607" spans="1:9">
      <c r="A16607" s="126"/>
      <c r="B16607" s="126"/>
      <c r="C16607" s="126"/>
      <c r="D16607" s="126"/>
      <c r="E16607" s="126"/>
      <c r="F16607" s="126"/>
      <c r="G16607" s="126"/>
      <c r="H16607" s="126"/>
      <c r="I16607" s="126"/>
    </row>
    <row r="16608" spans="1:9">
      <c r="A16608" s="126"/>
      <c r="B16608" s="126"/>
      <c r="C16608" s="126"/>
      <c r="D16608" s="126"/>
      <c r="E16608" s="126"/>
      <c r="F16608" s="126"/>
      <c r="G16608" s="126"/>
      <c r="H16608" s="126"/>
      <c r="I16608" s="126"/>
    </row>
    <row r="16609" spans="1:9">
      <c r="A16609" s="126"/>
      <c r="B16609" s="126"/>
      <c r="C16609" s="126"/>
      <c r="D16609" s="126"/>
      <c r="E16609" s="126"/>
      <c r="F16609" s="126"/>
      <c r="G16609" s="126"/>
      <c r="H16609" s="126"/>
      <c r="I16609" s="126"/>
    </row>
    <row r="16610" spans="1:9">
      <c r="A16610" s="126"/>
      <c r="B16610" s="126"/>
      <c r="C16610" s="126"/>
      <c r="D16610" s="126"/>
      <c r="E16610" s="126"/>
      <c r="F16610" s="126"/>
      <c r="G16610" s="126"/>
      <c r="H16610" s="126"/>
      <c r="I16610" s="126"/>
    </row>
    <row r="16611" spans="1:9">
      <c r="A16611" s="126"/>
      <c r="B16611" s="126"/>
      <c r="C16611" s="126"/>
      <c r="D16611" s="126"/>
      <c r="E16611" s="126"/>
      <c r="F16611" s="126"/>
      <c r="G16611" s="126"/>
      <c r="H16611" s="126"/>
      <c r="I16611" s="126"/>
    </row>
    <row r="16612" spans="1:9">
      <c r="A16612" s="126"/>
      <c r="B16612" s="126"/>
      <c r="C16612" s="126"/>
      <c r="D16612" s="126"/>
      <c r="E16612" s="126"/>
      <c r="F16612" s="126"/>
      <c r="G16612" s="126"/>
      <c r="H16612" s="126"/>
      <c r="I16612" s="126"/>
    </row>
    <row r="16613" spans="1:9">
      <c r="A16613" s="126"/>
      <c r="B16613" s="126"/>
      <c r="C16613" s="126"/>
      <c r="D16613" s="126"/>
      <c r="E16613" s="126"/>
      <c r="F16613" s="126"/>
      <c r="G16613" s="126"/>
      <c r="H16613" s="126"/>
      <c r="I16613" s="126"/>
    </row>
    <row r="16614" spans="1:9">
      <c r="A16614" s="126"/>
      <c r="B16614" s="126"/>
      <c r="C16614" s="126"/>
      <c r="D16614" s="126"/>
      <c r="E16614" s="126"/>
      <c r="F16614" s="126"/>
      <c r="G16614" s="126"/>
      <c r="H16614" s="126"/>
      <c r="I16614" s="126"/>
    </row>
    <row r="16615" spans="1:9">
      <c r="A16615" s="126"/>
      <c r="B16615" s="126"/>
      <c r="C16615" s="126"/>
      <c r="D16615" s="126"/>
      <c r="E16615" s="126"/>
      <c r="F16615" s="126"/>
      <c r="G16615" s="126"/>
      <c r="H16615" s="126"/>
      <c r="I16615" s="126"/>
    </row>
    <row r="16616" spans="1:9">
      <c r="A16616" s="126"/>
      <c r="B16616" s="126"/>
      <c r="C16616" s="126"/>
      <c r="D16616" s="126"/>
      <c r="E16616" s="126"/>
      <c r="F16616" s="126"/>
      <c r="G16616" s="126"/>
      <c r="H16616" s="126"/>
      <c r="I16616" s="126"/>
    </row>
    <row r="16617" spans="1:9">
      <c r="A16617" s="126"/>
      <c r="B16617" s="126"/>
      <c r="C16617" s="126"/>
      <c r="D16617" s="126"/>
      <c r="E16617" s="126"/>
      <c r="F16617" s="126"/>
      <c r="G16617" s="126"/>
      <c r="H16617" s="126"/>
      <c r="I16617" s="126"/>
    </row>
    <row r="16618" spans="1:9">
      <c r="A16618" s="126"/>
      <c r="B16618" s="126"/>
      <c r="C16618" s="126"/>
      <c r="D16618" s="126"/>
      <c r="E16618" s="126"/>
      <c r="F16618" s="126"/>
      <c r="G16618" s="126"/>
      <c r="H16618" s="126"/>
      <c r="I16618" s="126"/>
    </row>
    <row r="16619" spans="1:9">
      <c r="A16619" s="126"/>
      <c r="B16619" s="126"/>
      <c r="C16619" s="126"/>
      <c r="D16619" s="126"/>
      <c r="E16619" s="126"/>
      <c r="F16619" s="126"/>
      <c r="G16619" s="126"/>
      <c r="H16619" s="126"/>
      <c r="I16619" s="126"/>
    </row>
    <row r="16620" spans="1:9">
      <c r="A16620" s="126"/>
      <c r="B16620" s="126"/>
      <c r="C16620" s="126"/>
      <c r="D16620" s="126"/>
      <c r="E16620" s="126"/>
      <c r="F16620" s="126"/>
      <c r="G16620" s="126"/>
      <c r="H16620" s="126"/>
      <c r="I16620" s="126"/>
    </row>
    <row r="16621" spans="1:9">
      <c r="A16621" s="126"/>
      <c r="B16621" s="126"/>
      <c r="C16621" s="126"/>
      <c r="D16621" s="126"/>
      <c r="E16621" s="126"/>
      <c r="F16621" s="126"/>
      <c r="G16621" s="126"/>
      <c r="H16621" s="126"/>
      <c r="I16621" s="126"/>
    </row>
    <row r="16622" spans="1:9">
      <c r="A16622" s="126"/>
      <c r="B16622" s="126"/>
      <c r="C16622" s="126"/>
      <c r="D16622" s="126"/>
      <c r="E16622" s="126"/>
      <c r="F16622" s="126"/>
      <c r="G16622" s="126"/>
      <c r="H16622" s="126"/>
      <c r="I16622" s="126"/>
    </row>
    <row r="16623" spans="1:9">
      <c r="A16623" s="126"/>
      <c r="B16623" s="126"/>
      <c r="C16623" s="126"/>
      <c r="D16623" s="126"/>
      <c r="E16623" s="126"/>
      <c r="F16623" s="126"/>
      <c r="G16623" s="126"/>
      <c r="H16623" s="126"/>
      <c r="I16623" s="126"/>
    </row>
    <row r="16624" spans="1:9">
      <c r="A16624" s="126"/>
      <c r="B16624" s="126"/>
      <c r="C16624" s="126"/>
      <c r="D16624" s="126"/>
      <c r="E16624" s="126"/>
      <c r="F16624" s="126"/>
      <c r="G16624" s="126"/>
      <c r="H16624" s="126"/>
      <c r="I16624" s="126"/>
    </row>
    <row r="16625" spans="1:9">
      <c r="A16625" s="126"/>
      <c r="B16625" s="126"/>
      <c r="C16625" s="126"/>
      <c r="D16625" s="126"/>
      <c r="E16625" s="126"/>
      <c r="F16625" s="126"/>
      <c r="G16625" s="126"/>
      <c r="H16625" s="126"/>
      <c r="I16625" s="126"/>
    </row>
    <row r="16626" spans="1:9">
      <c r="A16626" s="126"/>
      <c r="B16626" s="126"/>
      <c r="C16626" s="126"/>
      <c r="D16626" s="126"/>
      <c r="E16626" s="126"/>
      <c r="F16626" s="126"/>
      <c r="G16626" s="126"/>
      <c r="H16626" s="126"/>
      <c r="I16626" s="126"/>
    </row>
    <row r="16627" spans="1:9">
      <c r="A16627" s="126"/>
      <c r="B16627" s="126"/>
      <c r="C16627" s="126"/>
      <c r="D16627" s="126"/>
      <c r="E16627" s="126"/>
      <c r="F16627" s="126"/>
      <c r="G16627" s="126"/>
      <c r="H16627" s="126"/>
      <c r="I16627" s="126"/>
    </row>
    <row r="16628" spans="1:9">
      <c r="A16628" s="126"/>
      <c r="B16628" s="126"/>
      <c r="C16628" s="126"/>
      <c r="D16628" s="126"/>
      <c r="E16628" s="126"/>
      <c r="F16628" s="126"/>
      <c r="G16628" s="126"/>
      <c r="H16628" s="126"/>
      <c r="I16628" s="126"/>
    </row>
    <row r="16629" spans="1:9">
      <c r="A16629" s="126"/>
      <c r="B16629" s="126"/>
      <c r="C16629" s="126"/>
      <c r="D16629" s="126"/>
      <c r="E16629" s="126"/>
      <c r="F16629" s="126"/>
      <c r="G16629" s="126"/>
      <c r="H16629" s="126"/>
      <c r="I16629" s="126"/>
    </row>
    <row r="16630" spans="1:9">
      <c r="A16630" s="126"/>
      <c r="B16630" s="126"/>
      <c r="C16630" s="126"/>
      <c r="D16630" s="126"/>
      <c r="E16630" s="126"/>
      <c r="F16630" s="126"/>
      <c r="G16630" s="126"/>
      <c r="H16630" s="126"/>
      <c r="I16630" s="126"/>
    </row>
    <row r="16631" spans="1:9">
      <c r="A16631" s="126"/>
      <c r="B16631" s="126"/>
      <c r="C16631" s="126"/>
      <c r="D16631" s="126"/>
      <c r="E16631" s="126"/>
      <c r="F16631" s="126"/>
      <c r="G16631" s="126"/>
      <c r="H16631" s="126"/>
      <c r="I16631" s="126"/>
    </row>
    <row r="16632" spans="1:9">
      <c r="A16632" s="126"/>
      <c r="B16632" s="126"/>
      <c r="C16632" s="126"/>
      <c r="D16632" s="126"/>
      <c r="E16632" s="126"/>
      <c r="F16632" s="126"/>
      <c r="G16632" s="126"/>
      <c r="H16632" s="126"/>
      <c r="I16632" s="126"/>
    </row>
    <row r="16633" spans="1:9">
      <c r="A16633" s="126"/>
      <c r="B16633" s="126"/>
      <c r="C16633" s="126"/>
      <c r="D16633" s="126"/>
      <c r="E16633" s="126"/>
      <c r="F16633" s="126"/>
      <c r="G16633" s="126"/>
      <c r="H16633" s="126"/>
      <c r="I16633" s="126"/>
    </row>
    <row r="16634" spans="1:9">
      <c r="A16634" s="126"/>
      <c r="B16634" s="126"/>
      <c r="C16634" s="126"/>
      <c r="D16634" s="126"/>
      <c r="E16634" s="126"/>
      <c r="F16634" s="126"/>
      <c r="G16634" s="126"/>
      <c r="H16634" s="126"/>
      <c r="I16634" s="126"/>
    </row>
    <row r="16635" spans="1:9">
      <c r="A16635" s="126"/>
      <c r="B16635" s="126"/>
      <c r="C16635" s="126"/>
      <c r="D16635" s="126"/>
      <c r="E16635" s="126"/>
      <c r="F16635" s="126"/>
      <c r="G16635" s="126"/>
      <c r="H16635" s="126"/>
      <c r="I16635" s="126"/>
    </row>
    <row r="16636" spans="1:9">
      <c r="A16636" s="126"/>
      <c r="B16636" s="126"/>
      <c r="C16636" s="126"/>
      <c r="D16636" s="126"/>
      <c r="E16636" s="126"/>
      <c r="F16636" s="126"/>
      <c r="G16636" s="126"/>
      <c r="H16636" s="126"/>
      <c r="I16636" s="126"/>
    </row>
    <row r="16637" spans="1:9">
      <c r="A16637" s="126"/>
      <c r="B16637" s="126"/>
      <c r="C16637" s="126"/>
      <c r="D16637" s="126"/>
      <c r="E16637" s="126"/>
      <c r="F16637" s="126"/>
      <c r="G16637" s="126"/>
      <c r="H16637" s="126"/>
      <c r="I16637" s="126"/>
    </row>
    <row r="16638" spans="1:9">
      <c r="A16638" s="126"/>
      <c r="B16638" s="126"/>
      <c r="C16638" s="126"/>
      <c r="D16638" s="126"/>
      <c r="E16638" s="126"/>
      <c r="F16638" s="126"/>
      <c r="G16638" s="126"/>
      <c r="H16638" s="126"/>
      <c r="I16638" s="126"/>
    </row>
    <row r="16639" spans="1:9">
      <c r="A16639" s="126"/>
      <c r="B16639" s="126"/>
      <c r="C16639" s="126"/>
      <c r="D16639" s="126"/>
      <c r="E16639" s="126"/>
      <c r="F16639" s="126"/>
      <c r="G16639" s="126"/>
      <c r="H16639" s="126"/>
      <c r="I16639" s="126"/>
    </row>
    <row r="16640" spans="1:9">
      <c r="A16640" s="126"/>
      <c r="B16640" s="126"/>
      <c r="C16640" s="126"/>
      <c r="D16640" s="126"/>
      <c r="E16640" s="126"/>
      <c r="F16640" s="126"/>
      <c r="G16640" s="126"/>
      <c r="H16640" s="126"/>
      <c r="I16640" s="126"/>
    </row>
    <row r="16641" spans="1:9">
      <c r="A16641" s="126"/>
      <c r="B16641" s="126"/>
      <c r="C16641" s="126"/>
      <c r="D16641" s="126"/>
      <c r="E16641" s="126"/>
      <c r="F16641" s="126"/>
      <c r="G16641" s="126"/>
      <c r="H16641" s="126"/>
      <c r="I16641" s="126"/>
    </row>
    <row r="16642" spans="1:9">
      <c r="A16642" s="126"/>
      <c r="B16642" s="126"/>
      <c r="C16642" s="126"/>
      <c r="D16642" s="126"/>
      <c r="E16642" s="126"/>
      <c r="F16642" s="126"/>
      <c r="G16642" s="126"/>
      <c r="H16642" s="126"/>
      <c r="I16642" s="126"/>
    </row>
    <row r="16643" spans="1:9">
      <c r="A16643" s="126"/>
      <c r="B16643" s="126"/>
      <c r="C16643" s="126"/>
      <c r="D16643" s="126"/>
      <c r="E16643" s="126"/>
      <c r="F16643" s="126"/>
      <c r="G16643" s="126"/>
      <c r="H16643" s="126"/>
      <c r="I16643" s="126"/>
    </row>
    <row r="16644" spans="1:9">
      <c r="A16644" s="126"/>
      <c r="B16644" s="126"/>
      <c r="C16644" s="126"/>
      <c r="D16644" s="126"/>
      <c r="E16644" s="126"/>
      <c r="F16644" s="126"/>
      <c r="G16644" s="126"/>
      <c r="H16644" s="126"/>
      <c r="I16644" s="126"/>
    </row>
    <row r="16645" spans="1:9">
      <c r="A16645" s="126"/>
      <c r="B16645" s="126"/>
      <c r="C16645" s="126"/>
      <c r="D16645" s="126"/>
      <c r="E16645" s="126"/>
      <c r="F16645" s="126"/>
      <c r="G16645" s="126"/>
      <c r="H16645" s="126"/>
      <c r="I16645" s="126"/>
    </row>
    <row r="16646" spans="1:9">
      <c r="A16646" s="126"/>
      <c r="B16646" s="126"/>
      <c r="C16646" s="126"/>
      <c r="D16646" s="126"/>
      <c r="E16646" s="126"/>
      <c r="F16646" s="126"/>
      <c r="G16646" s="126"/>
      <c r="H16646" s="126"/>
      <c r="I16646" s="126"/>
    </row>
    <row r="16647" spans="1:9">
      <c r="A16647" s="126"/>
      <c r="B16647" s="126"/>
      <c r="C16647" s="126"/>
      <c r="D16647" s="126"/>
      <c r="E16647" s="126"/>
      <c r="F16647" s="126"/>
      <c r="G16647" s="126"/>
      <c r="H16647" s="126"/>
      <c r="I16647" s="126"/>
    </row>
    <row r="16648" spans="1:9">
      <c r="A16648" s="126"/>
      <c r="B16648" s="126"/>
      <c r="C16648" s="126"/>
      <c r="D16648" s="126"/>
      <c r="E16648" s="126"/>
      <c r="F16648" s="126"/>
      <c r="G16648" s="126"/>
      <c r="H16648" s="126"/>
      <c r="I16648" s="126"/>
    </row>
    <row r="16649" spans="1:9">
      <c r="A16649" s="126"/>
      <c r="B16649" s="126"/>
      <c r="C16649" s="126"/>
      <c r="D16649" s="126"/>
      <c r="E16649" s="126"/>
      <c r="F16649" s="126"/>
      <c r="G16649" s="126"/>
      <c r="H16649" s="126"/>
      <c r="I16649" s="126"/>
    </row>
    <row r="16650" spans="1:9">
      <c r="A16650" s="126"/>
      <c r="B16650" s="126"/>
      <c r="C16650" s="126"/>
      <c r="D16650" s="126"/>
      <c r="E16650" s="126"/>
      <c r="F16650" s="126"/>
      <c r="G16650" s="126"/>
      <c r="H16650" s="126"/>
      <c r="I16650" s="126"/>
    </row>
    <row r="16651" spans="1:9">
      <c r="A16651" s="126"/>
      <c r="B16651" s="126"/>
      <c r="C16651" s="126"/>
      <c r="D16651" s="126"/>
      <c r="E16651" s="126"/>
      <c r="F16651" s="126"/>
      <c r="G16651" s="126"/>
      <c r="H16651" s="126"/>
      <c r="I16651" s="126"/>
    </row>
    <row r="16652" spans="1:9">
      <c r="A16652" s="126"/>
      <c r="B16652" s="126"/>
      <c r="C16652" s="126"/>
      <c r="D16652" s="126"/>
      <c r="E16652" s="126"/>
      <c r="F16652" s="126"/>
      <c r="G16652" s="126"/>
      <c r="H16652" s="126"/>
      <c r="I16652" s="126"/>
    </row>
    <row r="16653" spans="1:9">
      <c r="A16653" s="126"/>
      <c r="B16653" s="126"/>
      <c r="C16653" s="126"/>
      <c r="D16653" s="126"/>
      <c r="E16653" s="126"/>
      <c r="F16653" s="126"/>
      <c r="G16653" s="126"/>
      <c r="H16653" s="126"/>
      <c r="I16653" s="126"/>
    </row>
    <row r="16654" spans="1:9">
      <c r="A16654" s="126"/>
      <c r="B16654" s="126"/>
      <c r="C16654" s="126"/>
      <c r="D16654" s="126"/>
      <c r="E16654" s="126"/>
      <c r="F16654" s="126"/>
      <c r="G16654" s="126"/>
      <c r="H16654" s="126"/>
      <c r="I16654" s="126"/>
    </row>
    <row r="16655" spans="1:9">
      <c r="A16655" s="126"/>
      <c r="B16655" s="126"/>
      <c r="C16655" s="126"/>
      <c r="D16655" s="126"/>
      <c r="E16655" s="126"/>
      <c r="F16655" s="126"/>
      <c r="G16655" s="126"/>
      <c r="H16655" s="126"/>
      <c r="I16655" s="126"/>
    </row>
    <row r="16656" spans="1:9">
      <c r="A16656" s="126"/>
      <c r="B16656" s="126"/>
      <c r="C16656" s="126"/>
      <c r="D16656" s="126"/>
      <c r="E16656" s="126"/>
      <c r="F16656" s="126"/>
      <c r="G16656" s="126"/>
      <c r="H16656" s="126"/>
      <c r="I16656" s="126"/>
    </row>
    <row r="16657" spans="1:9">
      <c r="A16657" s="126"/>
      <c r="B16657" s="126"/>
      <c r="C16657" s="126"/>
      <c r="D16657" s="126"/>
      <c r="E16657" s="126"/>
      <c r="F16657" s="126"/>
      <c r="G16657" s="126"/>
      <c r="H16657" s="126"/>
      <c r="I16657" s="126"/>
    </row>
    <row r="16658" spans="1:9">
      <c r="A16658" s="126"/>
      <c r="B16658" s="126"/>
      <c r="C16658" s="126"/>
      <c r="D16658" s="126"/>
      <c r="E16658" s="126"/>
      <c r="F16658" s="126"/>
      <c r="G16658" s="126"/>
      <c r="H16658" s="126"/>
      <c r="I16658" s="126"/>
    </row>
    <row r="16659" spans="1:9">
      <c r="A16659" s="126"/>
      <c r="B16659" s="126"/>
      <c r="C16659" s="126"/>
      <c r="D16659" s="126"/>
      <c r="E16659" s="126"/>
      <c r="F16659" s="126"/>
      <c r="G16659" s="126"/>
      <c r="H16659" s="126"/>
      <c r="I16659" s="126"/>
    </row>
    <row r="16660" spans="1:9">
      <c r="A16660" s="126"/>
      <c r="B16660" s="126"/>
      <c r="C16660" s="126"/>
      <c r="D16660" s="126"/>
      <c r="E16660" s="126"/>
      <c r="F16660" s="126"/>
      <c r="G16660" s="126"/>
      <c r="H16660" s="126"/>
      <c r="I16660" s="126"/>
    </row>
    <row r="16661" spans="1:9">
      <c r="A16661" s="126"/>
      <c r="B16661" s="126"/>
      <c r="C16661" s="126"/>
      <c r="D16661" s="126"/>
      <c r="E16661" s="126"/>
      <c r="F16661" s="126"/>
      <c r="G16661" s="126"/>
      <c r="H16661" s="126"/>
      <c r="I16661" s="126"/>
    </row>
    <row r="16662" spans="1:9">
      <c r="A16662" s="126"/>
      <c r="B16662" s="126"/>
      <c r="C16662" s="126"/>
      <c r="D16662" s="126"/>
      <c r="E16662" s="126"/>
      <c r="F16662" s="126"/>
      <c r="G16662" s="126"/>
      <c r="H16662" s="126"/>
      <c r="I16662" s="126"/>
    </row>
    <row r="16663" spans="1:9">
      <c r="A16663" s="126"/>
      <c r="B16663" s="126"/>
      <c r="C16663" s="126"/>
      <c r="D16663" s="126"/>
      <c r="E16663" s="126"/>
      <c r="F16663" s="126"/>
      <c r="G16663" s="126"/>
      <c r="H16663" s="126"/>
      <c r="I16663" s="126"/>
    </row>
    <row r="16664" spans="1:9">
      <c r="A16664" s="126"/>
      <c r="B16664" s="126"/>
      <c r="C16664" s="126"/>
      <c r="D16664" s="126"/>
      <c r="E16664" s="126"/>
      <c r="F16664" s="126"/>
      <c r="G16664" s="126"/>
      <c r="H16664" s="126"/>
      <c r="I16664" s="126"/>
    </row>
    <row r="16665" spans="1:9">
      <c r="A16665" s="126"/>
      <c r="B16665" s="126"/>
      <c r="C16665" s="126"/>
      <c r="D16665" s="126"/>
      <c r="E16665" s="126"/>
      <c r="F16665" s="126"/>
      <c r="G16665" s="126"/>
      <c r="H16665" s="126"/>
      <c r="I16665" s="126"/>
    </row>
    <row r="16666" spans="1:9">
      <c r="A16666" s="126"/>
      <c r="B16666" s="126"/>
      <c r="C16666" s="126"/>
      <c r="D16666" s="126"/>
      <c r="E16666" s="126"/>
      <c r="F16666" s="126"/>
      <c r="G16666" s="126"/>
      <c r="H16666" s="126"/>
      <c r="I16666" s="126"/>
    </row>
    <row r="16667" spans="1:9">
      <c r="A16667" s="126"/>
      <c r="B16667" s="126"/>
      <c r="C16667" s="126"/>
      <c r="D16667" s="126"/>
      <c r="E16667" s="126"/>
      <c r="F16667" s="126"/>
      <c r="G16667" s="126"/>
      <c r="H16667" s="126"/>
      <c r="I16667" s="126"/>
    </row>
    <row r="16668" spans="1:9">
      <c r="A16668" s="126"/>
      <c r="B16668" s="126"/>
      <c r="C16668" s="126"/>
      <c r="D16668" s="126"/>
      <c r="E16668" s="126"/>
      <c r="F16668" s="126"/>
      <c r="G16668" s="126"/>
      <c r="H16668" s="126"/>
      <c r="I16668" s="126"/>
    </row>
    <row r="16669" spans="1:9">
      <c r="A16669" s="126"/>
      <c r="B16669" s="126"/>
      <c r="C16669" s="126"/>
      <c r="D16669" s="126"/>
      <c r="E16669" s="126"/>
      <c r="F16669" s="126"/>
      <c r="G16669" s="126"/>
      <c r="H16669" s="126"/>
      <c r="I16669" s="126"/>
    </row>
    <row r="16670" spans="1:9">
      <c r="A16670" s="126"/>
      <c r="B16670" s="126"/>
      <c r="C16670" s="126"/>
      <c r="D16670" s="126"/>
      <c r="E16670" s="126"/>
      <c r="F16670" s="126"/>
      <c r="G16670" s="126"/>
      <c r="H16670" s="126"/>
      <c r="I16670" s="126"/>
    </row>
    <row r="16671" spans="1:9">
      <c r="A16671" s="126"/>
      <c r="B16671" s="126"/>
      <c r="C16671" s="126"/>
      <c r="D16671" s="126"/>
      <c r="E16671" s="126"/>
      <c r="F16671" s="126"/>
      <c r="G16671" s="126"/>
      <c r="H16671" s="126"/>
      <c r="I16671" s="126"/>
    </row>
    <row r="16672" spans="1:9">
      <c r="A16672" s="126"/>
      <c r="B16672" s="126"/>
      <c r="C16672" s="126"/>
      <c r="D16672" s="126"/>
      <c r="E16672" s="126"/>
      <c r="F16672" s="126"/>
      <c r="G16672" s="126"/>
      <c r="H16672" s="126"/>
      <c r="I16672" s="126"/>
    </row>
    <row r="16673" spans="1:9">
      <c r="A16673" s="126"/>
      <c r="B16673" s="126"/>
      <c r="C16673" s="126"/>
      <c r="D16673" s="126"/>
      <c r="E16673" s="126"/>
      <c r="F16673" s="126"/>
      <c r="G16673" s="126"/>
      <c r="H16673" s="126"/>
      <c r="I16673" s="126"/>
    </row>
    <row r="16674" spans="1:9">
      <c r="A16674" s="126"/>
      <c r="B16674" s="126"/>
      <c r="C16674" s="126"/>
      <c r="D16674" s="126"/>
      <c r="E16674" s="126"/>
      <c r="F16674" s="126"/>
      <c r="G16674" s="126"/>
      <c r="H16674" s="126"/>
      <c r="I16674" s="126"/>
    </row>
    <row r="16675" spans="1:9">
      <c r="A16675" s="126"/>
      <c r="B16675" s="126"/>
      <c r="C16675" s="126"/>
      <c r="D16675" s="126"/>
      <c r="E16675" s="126"/>
      <c r="F16675" s="126"/>
      <c r="G16675" s="126"/>
      <c r="H16675" s="126"/>
      <c r="I16675" s="126"/>
    </row>
    <row r="16676" spans="1:9">
      <c r="A16676" s="126"/>
      <c r="B16676" s="126"/>
      <c r="C16676" s="126"/>
      <c r="D16676" s="126"/>
      <c r="E16676" s="126"/>
      <c r="F16676" s="126"/>
      <c r="G16676" s="126"/>
      <c r="H16676" s="126"/>
      <c r="I16676" s="126"/>
    </row>
    <row r="16677" spans="1:9">
      <c r="A16677" s="126"/>
      <c r="B16677" s="126"/>
      <c r="C16677" s="126"/>
      <c r="D16677" s="126"/>
      <c r="E16677" s="126"/>
      <c r="F16677" s="126"/>
      <c r="G16677" s="126"/>
      <c r="H16677" s="126"/>
      <c r="I16677" s="126"/>
    </row>
    <row r="16678" spans="1:9">
      <c r="A16678" s="126"/>
      <c r="B16678" s="126"/>
      <c r="C16678" s="126"/>
      <c r="D16678" s="126"/>
      <c r="E16678" s="126"/>
      <c r="F16678" s="126"/>
      <c r="G16678" s="126"/>
      <c r="H16678" s="126"/>
      <c r="I16678" s="126"/>
    </row>
    <row r="16679" spans="1:9">
      <c r="A16679" s="126"/>
      <c r="B16679" s="126"/>
      <c r="C16679" s="126"/>
      <c r="D16679" s="126"/>
      <c r="E16679" s="126"/>
      <c r="F16679" s="126"/>
      <c r="G16679" s="126"/>
      <c r="H16679" s="126"/>
      <c r="I16679" s="126"/>
    </row>
    <row r="16680" spans="1:9">
      <c r="A16680" s="126"/>
      <c r="B16680" s="126"/>
      <c r="C16680" s="126"/>
      <c r="D16680" s="126"/>
      <c r="E16680" s="126"/>
      <c r="F16680" s="126"/>
      <c r="G16680" s="126"/>
      <c r="H16680" s="126"/>
      <c r="I16680" s="126"/>
    </row>
    <row r="16681" spans="1:9">
      <c r="A16681" s="126"/>
      <c r="B16681" s="126"/>
      <c r="C16681" s="126"/>
      <c r="D16681" s="126"/>
      <c r="E16681" s="126"/>
      <c r="F16681" s="126"/>
      <c r="G16681" s="126"/>
      <c r="H16681" s="126"/>
      <c r="I16681" s="126"/>
    </row>
    <row r="16682" spans="1:9">
      <c r="A16682" s="126"/>
      <c r="B16682" s="126"/>
      <c r="C16682" s="126"/>
      <c r="D16682" s="126"/>
      <c r="E16682" s="126"/>
      <c r="F16682" s="126"/>
      <c r="G16682" s="126"/>
      <c r="H16682" s="126"/>
      <c r="I16682" s="126"/>
    </row>
    <row r="16683" spans="1:9">
      <c r="A16683" s="126"/>
      <c r="B16683" s="126"/>
      <c r="C16683" s="126"/>
      <c r="D16683" s="126"/>
      <c r="E16683" s="126"/>
      <c r="F16683" s="126"/>
      <c r="G16683" s="126"/>
      <c r="H16683" s="126"/>
      <c r="I16683" s="126"/>
    </row>
    <row r="16684" spans="1:9">
      <c r="A16684" s="126"/>
      <c r="B16684" s="126"/>
      <c r="C16684" s="126"/>
      <c r="D16684" s="126"/>
      <c r="E16684" s="126"/>
      <c r="F16684" s="126"/>
      <c r="G16684" s="126"/>
      <c r="H16684" s="126"/>
      <c r="I16684" s="126"/>
    </row>
    <row r="16685" spans="1:9">
      <c r="A16685" s="126"/>
      <c r="B16685" s="126"/>
      <c r="C16685" s="126"/>
      <c r="D16685" s="126"/>
      <c r="E16685" s="126"/>
      <c r="F16685" s="126"/>
      <c r="G16685" s="126"/>
      <c r="H16685" s="126"/>
      <c r="I16685" s="126"/>
    </row>
    <row r="16686" spans="1:9">
      <c r="A16686" s="126"/>
      <c r="B16686" s="126"/>
      <c r="C16686" s="126"/>
      <c r="D16686" s="126"/>
      <c r="E16686" s="126"/>
      <c r="F16686" s="126"/>
      <c r="G16686" s="126"/>
      <c r="H16686" s="126"/>
      <c r="I16686" s="126"/>
    </row>
    <row r="16687" spans="1:9">
      <c r="A16687" s="126"/>
      <c r="B16687" s="126"/>
      <c r="C16687" s="126"/>
      <c r="D16687" s="126"/>
      <c r="E16687" s="126"/>
      <c r="F16687" s="126"/>
      <c r="G16687" s="126"/>
      <c r="H16687" s="126"/>
      <c r="I16687" s="126"/>
    </row>
    <row r="16688" spans="1:9">
      <c r="A16688" s="126"/>
      <c r="B16688" s="126"/>
      <c r="C16688" s="126"/>
      <c r="D16688" s="126"/>
      <c r="E16688" s="126"/>
      <c r="F16688" s="126"/>
      <c r="G16688" s="126"/>
      <c r="H16688" s="126"/>
      <c r="I16688" s="126"/>
    </row>
    <row r="16689" spans="1:9">
      <c r="A16689" s="126"/>
      <c r="B16689" s="126"/>
      <c r="C16689" s="126"/>
      <c r="D16689" s="126"/>
      <c r="E16689" s="126"/>
      <c r="F16689" s="126"/>
      <c r="G16689" s="126"/>
      <c r="H16689" s="126"/>
      <c r="I16689" s="126"/>
    </row>
    <row r="16690" spans="1:9">
      <c r="A16690" s="126"/>
      <c r="B16690" s="126"/>
      <c r="C16690" s="126"/>
      <c r="D16690" s="126"/>
      <c r="E16690" s="126"/>
      <c r="F16690" s="126"/>
      <c r="G16690" s="126"/>
      <c r="H16690" s="126"/>
      <c r="I16690" s="126"/>
    </row>
    <row r="16691" spans="1:9">
      <c r="A16691" s="126"/>
      <c r="B16691" s="126"/>
      <c r="C16691" s="126"/>
      <c r="D16691" s="126"/>
      <c r="E16691" s="126"/>
      <c r="F16691" s="126"/>
      <c r="G16691" s="126"/>
      <c r="H16691" s="126"/>
      <c r="I16691" s="126"/>
    </row>
    <row r="16692" spans="1:9">
      <c r="A16692" s="126"/>
      <c r="B16692" s="126"/>
      <c r="C16692" s="126"/>
      <c r="D16692" s="126"/>
      <c r="E16692" s="126"/>
      <c r="F16692" s="126"/>
      <c r="G16692" s="126"/>
      <c r="H16692" s="126"/>
      <c r="I16692" s="126"/>
    </row>
    <row r="16693" spans="1:9">
      <c r="A16693" s="126"/>
      <c r="B16693" s="126"/>
      <c r="C16693" s="126"/>
      <c r="D16693" s="126"/>
      <c r="E16693" s="126"/>
      <c r="F16693" s="126"/>
      <c r="G16693" s="126"/>
      <c r="H16693" s="126"/>
      <c r="I16693" s="126"/>
    </row>
    <row r="16694" spans="1:9">
      <c r="A16694" s="126"/>
      <c r="B16694" s="126"/>
      <c r="C16694" s="126"/>
      <c r="D16694" s="126"/>
      <c r="E16694" s="126"/>
      <c r="F16694" s="126"/>
      <c r="G16694" s="126"/>
      <c r="H16694" s="126"/>
      <c r="I16694" s="126"/>
    </row>
    <row r="16695" spans="1:9">
      <c r="A16695" s="126"/>
      <c r="B16695" s="126"/>
      <c r="C16695" s="126"/>
      <c r="D16695" s="126"/>
      <c r="E16695" s="126"/>
      <c r="F16695" s="126"/>
      <c r="G16695" s="126"/>
      <c r="H16695" s="126"/>
      <c r="I16695" s="126"/>
    </row>
    <row r="16696" spans="1:9">
      <c r="A16696" s="126"/>
      <c r="B16696" s="126"/>
      <c r="C16696" s="126"/>
      <c r="D16696" s="126"/>
      <c r="E16696" s="126"/>
      <c r="F16696" s="126"/>
      <c r="G16696" s="126"/>
      <c r="H16696" s="126"/>
      <c r="I16696" s="126"/>
    </row>
    <row r="16697" spans="1:9">
      <c r="A16697" s="126"/>
      <c r="B16697" s="126"/>
      <c r="C16697" s="126"/>
      <c r="D16697" s="126"/>
      <c r="E16697" s="126"/>
      <c r="F16697" s="126"/>
      <c r="G16697" s="126"/>
      <c r="H16697" s="126"/>
      <c r="I16697" s="126"/>
    </row>
    <row r="16698" spans="1:9">
      <c r="A16698" s="126"/>
      <c r="B16698" s="126"/>
      <c r="C16698" s="126"/>
      <c r="D16698" s="126"/>
      <c r="E16698" s="126"/>
      <c r="F16698" s="126"/>
      <c r="G16698" s="126"/>
      <c r="H16698" s="126"/>
      <c r="I16698" s="126"/>
    </row>
    <row r="16699" spans="1:9">
      <c r="A16699" s="126"/>
      <c r="B16699" s="126"/>
      <c r="C16699" s="126"/>
      <c r="D16699" s="126"/>
      <c r="E16699" s="126"/>
      <c r="F16699" s="126"/>
      <c r="G16699" s="126"/>
      <c r="H16699" s="126"/>
      <c r="I16699" s="126"/>
    </row>
    <row r="16700" spans="1:9">
      <c r="A16700" s="126"/>
      <c r="B16700" s="126"/>
      <c r="C16700" s="126"/>
      <c r="D16700" s="126"/>
      <c r="E16700" s="126"/>
      <c r="F16700" s="126"/>
      <c r="G16700" s="126"/>
      <c r="H16700" s="126"/>
      <c r="I16700" s="126"/>
    </row>
    <row r="16701" spans="1:9">
      <c r="A16701" s="126"/>
      <c r="B16701" s="126"/>
      <c r="C16701" s="126"/>
      <c r="D16701" s="126"/>
      <c r="E16701" s="126"/>
      <c r="F16701" s="126"/>
      <c r="G16701" s="126"/>
      <c r="H16701" s="126"/>
      <c r="I16701" s="126"/>
    </row>
    <row r="16702" spans="1:9">
      <c r="A16702" s="126"/>
      <c r="B16702" s="126"/>
      <c r="C16702" s="126"/>
      <c r="D16702" s="126"/>
      <c r="E16702" s="126"/>
      <c r="F16702" s="126"/>
      <c r="G16702" s="126"/>
      <c r="H16702" s="126"/>
      <c r="I16702" s="126"/>
    </row>
    <row r="16703" spans="1:9">
      <c r="A16703" s="126"/>
      <c r="B16703" s="126"/>
      <c r="C16703" s="126"/>
      <c r="D16703" s="126"/>
      <c r="E16703" s="126"/>
      <c r="F16703" s="126"/>
      <c r="G16703" s="126"/>
      <c r="H16703" s="126"/>
      <c r="I16703" s="126"/>
    </row>
    <row r="16704" spans="1:9">
      <c r="A16704" s="126"/>
      <c r="B16704" s="126"/>
      <c r="C16704" s="126"/>
      <c r="D16704" s="126"/>
      <c r="E16704" s="126"/>
      <c r="F16704" s="126"/>
      <c r="G16704" s="126"/>
      <c r="H16704" s="126"/>
      <c r="I16704" s="126"/>
    </row>
    <row r="16705" spans="1:9">
      <c r="A16705" s="126"/>
      <c r="B16705" s="126"/>
      <c r="C16705" s="126"/>
      <c r="D16705" s="126"/>
      <c r="E16705" s="126"/>
      <c r="F16705" s="126"/>
      <c r="G16705" s="126"/>
      <c r="H16705" s="126"/>
      <c r="I16705" s="126"/>
    </row>
    <row r="16706" spans="1:9">
      <c r="A16706" s="126"/>
      <c r="B16706" s="126"/>
      <c r="C16706" s="126"/>
      <c r="D16706" s="126"/>
      <c r="E16706" s="126"/>
      <c r="F16706" s="126"/>
      <c r="G16706" s="126"/>
      <c r="H16706" s="126"/>
      <c r="I16706" s="126"/>
    </row>
    <row r="16707" spans="1:9">
      <c r="A16707" s="126"/>
      <c r="B16707" s="126"/>
      <c r="C16707" s="126"/>
      <c r="D16707" s="126"/>
      <c r="E16707" s="126"/>
      <c r="F16707" s="126"/>
      <c r="G16707" s="126"/>
      <c r="H16707" s="126"/>
      <c r="I16707" s="126"/>
    </row>
    <row r="16708" spans="1:9">
      <c r="A16708" s="126"/>
      <c r="B16708" s="126"/>
      <c r="C16708" s="126"/>
      <c r="D16708" s="126"/>
      <c r="E16708" s="126"/>
      <c r="F16708" s="126"/>
      <c r="G16708" s="126"/>
      <c r="H16708" s="126"/>
      <c r="I16708" s="126"/>
    </row>
    <row r="16709" spans="1:9">
      <c r="A16709" s="126"/>
      <c r="B16709" s="126"/>
      <c r="C16709" s="126"/>
      <c r="D16709" s="126"/>
      <c r="E16709" s="126"/>
      <c r="F16709" s="126"/>
      <c r="G16709" s="126"/>
      <c r="H16709" s="126"/>
      <c r="I16709" s="126"/>
    </row>
    <row r="16710" spans="1:9">
      <c r="A16710" s="126"/>
      <c r="B16710" s="126"/>
      <c r="C16710" s="126"/>
      <c r="D16710" s="126"/>
      <c r="E16710" s="126"/>
      <c r="F16710" s="126"/>
      <c r="G16710" s="126"/>
      <c r="H16710" s="126"/>
      <c r="I16710" s="126"/>
    </row>
    <row r="16711" spans="1:9">
      <c r="A16711" s="126"/>
      <c r="B16711" s="126"/>
      <c r="C16711" s="126"/>
      <c r="D16711" s="126"/>
      <c r="E16711" s="126"/>
      <c r="F16711" s="126"/>
      <c r="G16711" s="126"/>
      <c r="H16711" s="126"/>
      <c r="I16711" s="126"/>
    </row>
    <row r="16712" spans="1:9">
      <c r="A16712" s="126"/>
      <c r="B16712" s="126"/>
      <c r="C16712" s="126"/>
      <c r="D16712" s="126"/>
      <c r="E16712" s="126"/>
      <c r="F16712" s="126"/>
      <c r="G16712" s="126"/>
      <c r="H16712" s="126"/>
      <c r="I16712" s="126"/>
    </row>
    <row r="16713" spans="1:9">
      <c r="A16713" s="126"/>
      <c r="B16713" s="126"/>
      <c r="C16713" s="126"/>
      <c r="D16713" s="126"/>
      <c r="E16713" s="126"/>
      <c r="F16713" s="126"/>
      <c r="G16713" s="126"/>
      <c r="H16713" s="126"/>
      <c r="I16713" s="126"/>
    </row>
    <row r="16714" spans="1:9">
      <c r="A16714" s="126"/>
      <c r="B16714" s="126"/>
      <c r="C16714" s="126"/>
      <c r="D16714" s="126"/>
      <c r="E16714" s="126"/>
      <c r="F16714" s="126"/>
      <c r="G16714" s="126"/>
      <c r="H16714" s="126"/>
      <c r="I16714" s="126"/>
    </row>
    <row r="16715" spans="1:9">
      <c r="A16715" s="126"/>
      <c r="B16715" s="126"/>
      <c r="C16715" s="126"/>
      <c r="D16715" s="126"/>
      <c r="E16715" s="126"/>
      <c r="F16715" s="126"/>
      <c r="G16715" s="126"/>
      <c r="H16715" s="126"/>
      <c r="I16715" s="126"/>
    </row>
    <row r="16716" spans="1:9">
      <c r="A16716" s="126"/>
      <c r="B16716" s="126"/>
      <c r="C16716" s="126"/>
      <c r="D16716" s="126"/>
      <c r="E16716" s="126"/>
      <c r="F16716" s="126"/>
      <c r="G16716" s="126"/>
      <c r="H16716" s="126"/>
      <c r="I16716" s="126"/>
    </row>
    <row r="16717" spans="1:9">
      <c r="A16717" s="126"/>
      <c r="B16717" s="126"/>
      <c r="C16717" s="126"/>
      <c r="D16717" s="126"/>
      <c r="E16717" s="126"/>
      <c r="F16717" s="126"/>
      <c r="G16717" s="126"/>
      <c r="H16717" s="126"/>
      <c r="I16717" s="126"/>
    </row>
    <row r="16718" spans="1:9">
      <c r="A16718" s="126"/>
      <c r="B16718" s="126"/>
      <c r="C16718" s="126"/>
      <c r="D16718" s="126"/>
      <c r="E16718" s="126"/>
      <c r="F16718" s="126"/>
      <c r="G16718" s="126"/>
      <c r="H16718" s="126"/>
      <c r="I16718" s="126"/>
    </row>
    <row r="16719" spans="1:9">
      <c r="A16719" s="126"/>
      <c r="B16719" s="126"/>
      <c r="C16719" s="126"/>
      <c r="D16719" s="126"/>
      <c r="E16719" s="126"/>
      <c r="F16719" s="126"/>
      <c r="G16719" s="126"/>
      <c r="H16719" s="126"/>
      <c r="I16719" s="126"/>
    </row>
    <row r="16720" spans="1:9">
      <c r="A16720" s="126"/>
      <c r="B16720" s="126"/>
      <c r="C16720" s="126"/>
      <c r="D16720" s="126"/>
      <c r="E16720" s="126"/>
      <c r="F16720" s="126"/>
      <c r="G16720" s="126"/>
      <c r="H16720" s="126"/>
      <c r="I16720" s="126"/>
    </row>
    <row r="16721" spans="1:9">
      <c r="A16721" s="126"/>
      <c r="B16721" s="126"/>
      <c r="C16721" s="126"/>
      <c r="D16721" s="126"/>
      <c r="E16721" s="126"/>
      <c r="F16721" s="126"/>
      <c r="G16721" s="126"/>
      <c r="H16721" s="126"/>
      <c r="I16721" s="126"/>
    </row>
    <row r="16722" spans="1:9">
      <c r="A16722" s="126"/>
      <c r="B16722" s="126"/>
      <c r="C16722" s="126"/>
      <c r="D16722" s="126"/>
      <c r="E16722" s="126"/>
      <c r="F16722" s="126"/>
      <c r="G16722" s="126"/>
      <c r="H16722" s="126"/>
      <c r="I16722" s="126"/>
    </row>
    <row r="16723" spans="1:9">
      <c r="A16723" s="126"/>
      <c r="B16723" s="126"/>
      <c r="C16723" s="126"/>
      <c r="D16723" s="126"/>
      <c r="E16723" s="126"/>
      <c r="F16723" s="126"/>
      <c r="G16723" s="126"/>
      <c r="H16723" s="126"/>
      <c r="I16723" s="126"/>
    </row>
    <row r="16724" spans="1:9">
      <c r="A16724" s="126"/>
      <c r="B16724" s="126"/>
      <c r="C16724" s="126"/>
      <c r="D16724" s="126"/>
      <c r="E16724" s="126"/>
      <c r="F16724" s="126"/>
      <c r="G16724" s="126"/>
      <c r="H16724" s="126"/>
      <c r="I16724" s="126"/>
    </row>
    <row r="16725" spans="1:9">
      <c r="A16725" s="126"/>
      <c r="B16725" s="126"/>
      <c r="C16725" s="126"/>
      <c r="D16725" s="126"/>
      <c r="E16725" s="126"/>
      <c r="F16725" s="126"/>
      <c r="G16725" s="126"/>
      <c r="H16725" s="126"/>
      <c r="I16725" s="126"/>
    </row>
    <row r="16726" spans="1:9">
      <c r="A16726" s="126"/>
      <c r="B16726" s="126"/>
      <c r="C16726" s="126"/>
      <c r="D16726" s="126"/>
      <c r="E16726" s="126"/>
      <c r="F16726" s="126"/>
      <c r="G16726" s="126"/>
      <c r="H16726" s="126"/>
      <c r="I16726" s="126"/>
    </row>
    <row r="16727" spans="1:9">
      <c r="A16727" s="126"/>
      <c r="B16727" s="126"/>
      <c r="C16727" s="126"/>
      <c r="D16727" s="126"/>
      <c r="E16727" s="126"/>
      <c r="F16727" s="126"/>
      <c r="G16727" s="126"/>
      <c r="H16727" s="126"/>
      <c r="I16727" s="126"/>
    </row>
    <row r="16728" spans="1:9">
      <c r="A16728" s="126"/>
      <c r="B16728" s="126"/>
      <c r="C16728" s="126"/>
      <c r="D16728" s="126"/>
      <c r="E16728" s="126"/>
      <c r="F16728" s="126"/>
      <c r="G16728" s="126"/>
      <c r="H16728" s="126"/>
      <c r="I16728" s="126"/>
    </row>
    <row r="16729" spans="1:9">
      <c r="A16729" s="126"/>
      <c r="B16729" s="126"/>
      <c r="C16729" s="126"/>
      <c r="D16729" s="126"/>
      <c r="E16729" s="126"/>
      <c r="F16729" s="126"/>
      <c r="G16729" s="126"/>
      <c r="H16729" s="126"/>
      <c r="I16729" s="126"/>
    </row>
    <row r="16730" spans="1:9">
      <c r="A16730" s="126"/>
      <c r="B16730" s="126"/>
      <c r="C16730" s="126"/>
      <c r="D16730" s="126"/>
      <c r="E16730" s="126"/>
      <c r="F16730" s="126"/>
      <c r="G16730" s="126"/>
      <c r="H16730" s="126"/>
      <c r="I16730" s="126"/>
    </row>
    <row r="16731" spans="1:9">
      <c r="A16731" s="126"/>
      <c r="B16731" s="126"/>
      <c r="C16731" s="126"/>
      <c r="D16731" s="126"/>
      <c r="E16731" s="126"/>
      <c r="F16731" s="126"/>
      <c r="G16731" s="126"/>
      <c r="H16731" s="126"/>
      <c r="I16731" s="126"/>
    </row>
    <row r="16732" spans="1:9">
      <c r="A16732" s="126"/>
      <c r="B16732" s="126"/>
      <c r="C16732" s="126"/>
      <c r="D16732" s="126"/>
      <c r="E16732" s="126"/>
      <c r="F16732" s="126"/>
      <c r="G16732" s="126"/>
      <c r="H16732" s="126"/>
      <c r="I16732" s="126"/>
    </row>
    <row r="16733" spans="1:9">
      <c r="A16733" s="126"/>
      <c r="B16733" s="126"/>
      <c r="C16733" s="126"/>
      <c r="D16733" s="126"/>
      <c r="E16733" s="126"/>
      <c r="F16733" s="126"/>
      <c r="G16733" s="126"/>
      <c r="H16733" s="126"/>
      <c r="I16733" s="126"/>
    </row>
    <row r="16734" spans="1:9">
      <c r="A16734" s="126"/>
      <c r="B16734" s="126"/>
      <c r="C16734" s="126"/>
      <c r="D16734" s="126"/>
      <c r="E16734" s="126"/>
      <c r="F16734" s="126"/>
      <c r="G16734" s="126"/>
      <c r="H16734" s="126"/>
      <c r="I16734" s="126"/>
    </row>
    <row r="16735" spans="1:9">
      <c r="A16735" s="126"/>
      <c r="B16735" s="126"/>
      <c r="C16735" s="126"/>
      <c r="D16735" s="126"/>
      <c r="E16735" s="126"/>
      <c r="F16735" s="126"/>
      <c r="G16735" s="126"/>
      <c r="H16735" s="126"/>
      <c r="I16735" s="126"/>
    </row>
    <row r="16736" spans="1:9">
      <c r="A16736" s="126"/>
      <c r="B16736" s="126"/>
      <c r="C16736" s="126"/>
      <c r="D16736" s="126"/>
      <c r="E16736" s="126"/>
      <c r="F16736" s="126"/>
      <c r="G16736" s="126"/>
      <c r="H16736" s="126"/>
      <c r="I16736" s="126"/>
    </row>
    <row r="16737" spans="1:9">
      <c r="A16737" s="126"/>
      <c r="B16737" s="126"/>
      <c r="C16737" s="126"/>
      <c r="D16737" s="126"/>
      <c r="E16737" s="126"/>
      <c r="F16737" s="126"/>
      <c r="G16737" s="126"/>
      <c r="H16737" s="126"/>
      <c r="I16737" s="126"/>
    </row>
    <row r="16738" spans="1:9">
      <c r="A16738" s="126"/>
      <c r="B16738" s="126"/>
      <c r="C16738" s="126"/>
      <c r="D16738" s="126"/>
      <c r="E16738" s="126"/>
      <c r="F16738" s="126"/>
      <c r="G16738" s="126"/>
      <c r="H16738" s="126"/>
      <c r="I16738" s="126"/>
    </row>
    <row r="16739" spans="1:9">
      <c r="A16739" s="126"/>
      <c r="B16739" s="126"/>
      <c r="C16739" s="126"/>
      <c r="D16739" s="126"/>
      <c r="E16739" s="126"/>
      <c r="F16739" s="126"/>
      <c r="G16739" s="126"/>
      <c r="H16739" s="126"/>
      <c r="I16739" s="126"/>
    </row>
    <row r="16740" spans="1:9">
      <c r="A16740" s="126"/>
      <c r="B16740" s="126"/>
      <c r="C16740" s="126"/>
      <c r="D16740" s="126"/>
      <c r="E16740" s="126"/>
      <c r="F16740" s="126"/>
      <c r="G16740" s="126"/>
      <c r="H16740" s="126"/>
      <c r="I16740" s="126"/>
    </row>
    <row r="16741" spans="1:9">
      <c r="A16741" s="126"/>
      <c r="B16741" s="126"/>
      <c r="C16741" s="126"/>
      <c r="D16741" s="126"/>
      <c r="E16741" s="126"/>
      <c r="F16741" s="126"/>
      <c r="G16741" s="126"/>
      <c r="H16741" s="126"/>
      <c r="I16741" s="126"/>
    </row>
    <row r="16742" spans="1:9">
      <c r="A16742" s="126"/>
      <c r="B16742" s="126"/>
      <c r="C16742" s="126"/>
      <c r="D16742" s="126"/>
      <c r="E16742" s="126"/>
      <c r="F16742" s="126"/>
      <c r="G16742" s="126"/>
      <c r="H16742" s="126"/>
      <c r="I16742" s="126"/>
    </row>
    <row r="16743" spans="1:9">
      <c r="A16743" s="126"/>
      <c r="B16743" s="126"/>
      <c r="C16743" s="126"/>
      <c r="D16743" s="126"/>
      <c r="E16743" s="126"/>
      <c r="F16743" s="126"/>
      <c r="G16743" s="126"/>
      <c r="H16743" s="126"/>
      <c r="I16743" s="126"/>
    </row>
    <row r="16744" spans="1:9">
      <c r="A16744" s="126"/>
      <c r="B16744" s="126"/>
      <c r="C16744" s="126"/>
      <c r="D16744" s="126"/>
      <c r="E16744" s="126"/>
      <c r="F16744" s="126"/>
      <c r="G16744" s="126"/>
      <c r="H16744" s="126"/>
      <c r="I16744" s="126"/>
    </row>
    <row r="16745" spans="1:9">
      <c r="A16745" s="126"/>
      <c r="B16745" s="126"/>
      <c r="C16745" s="126"/>
      <c r="D16745" s="126"/>
      <c r="E16745" s="126"/>
      <c r="F16745" s="126"/>
      <c r="G16745" s="126"/>
      <c r="H16745" s="126"/>
      <c r="I16745" s="126"/>
    </row>
    <row r="16746" spans="1:9">
      <c r="A16746" s="126"/>
      <c r="B16746" s="126"/>
      <c r="C16746" s="126"/>
      <c r="D16746" s="126"/>
      <c r="E16746" s="126"/>
      <c r="F16746" s="126"/>
      <c r="G16746" s="126"/>
      <c r="H16746" s="126"/>
      <c r="I16746" s="126"/>
    </row>
    <row r="16747" spans="1:9">
      <c r="A16747" s="126"/>
      <c r="B16747" s="126"/>
      <c r="C16747" s="126"/>
      <c r="D16747" s="126"/>
      <c r="E16747" s="126"/>
      <c r="F16747" s="126"/>
      <c r="G16747" s="126"/>
      <c r="H16747" s="126"/>
      <c r="I16747" s="126"/>
    </row>
    <row r="16748" spans="1:9">
      <c r="A16748" s="126"/>
      <c r="B16748" s="126"/>
      <c r="C16748" s="126"/>
      <c r="D16748" s="126"/>
      <c r="E16748" s="126"/>
      <c r="F16748" s="126"/>
      <c r="G16748" s="126"/>
      <c r="H16748" s="126"/>
      <c r="I16748" s="126"/>
    </row>
    <row r="16749" spans="1:9">
      <c r="A16749" s="126"/>
      <c r="B16749" s="126"/>
      <c r="C16749" s="126"/>
      <c r="D16749" s="126"/>
      <c r="E16749" s="126"/>
      <c r="F16749" s="126"/>
      <c r="G16749" s="126"/>
      <c r="H16749" s="126"/>
      <c r="I16749" s="126"/>
    </row>
    <row r="16750" spans="1:9">
      <c r="A16750" s="126"/>
      <c r="B16750" s="126"/>
      <c r="C16750" s="126"/>
      <c r="D16750" s="126"/>
      <c r="E16750" s="126"/>
      <c r="F16750" s="126"/>
      <c r="G16750" s="126"/>
      <c r="H16750" s="126"/>
      <c r="I16750" s="126"/>
    </row>
    <row r="16751" spans="1:9">
      <c r="A16751" s="126"/>
      <c r="B16751" s="126"/>
      <c r="C16751" s="126"/>
      <c r="D16751" s="126"/>
      <c r="E16751" s="126"/>
      <c r="F16751" s="126"/>
      <c r="G16751" s="126"/>
      <c r="H16751" s="126"/>
      <c r="I16751" s="126"/>
    </row>
    <row r="16752" spans="1:9">
      <c r="A16752" s="126"/>
      <c r="B16752" s="126"/>
      <c r="C16752" s="126"/>
      <c r="D16752" s="126"/>
      <c r="E16752" s="126"/>
      <c r="F16752" s="126"/>
      <c r="G16752" s="126"/>
      <c r="H16752" s="126"/>
      <c r="I16752" s="126"/>
    </row>
    <row r="16753" spans="1:9">
      <c r="A16753" s="126"/>
      <c r="B16753" s="126"/>
      <c r="C16753" s="126"/>
      <c r="D16753" s="126"/>
      <c r="E16753" s="126"/>
      <c r="F16753" s="126"/>
      <c r="G16753" s="126"/>
      <c r="H16753" s="126"/>
      <c r="I16753" s="126"/>
    </row>
    <row r="16754" spans="1:9">
      <c r="A16754" s="126"/>
      <c r="B16754" s="126"/>
      <c r="C16754" s="126"/>
      <c r="D16754" s="126"/>
      <c r="E16754" s="126"/>
      <c r="F16754" s="126"/>
      <c r="G16754" s="126"/>
      <c r="H16754" s="126"/>
      <c r="I16754" s="126"/>
    </row>
    <row r="16755" spans="1:9">
      <c r="A16755" s="126"/>
      <c r="B16755" s="126"/>
      <c r="C16755" s="126"/>
      <c r="D16755" s="126"/>
      <c r="E16755" s="126"/>
      <c r="F16755" s="126"/>
      <c r="G16755" s="126"/>
      <c r="H16755" s="126"/>
      <c r="I16755" s="126"/>
    </row>
    <row r="16756" spans="1:9">
      <c r="A16756" s="126"/>
      <c r="B16756" s="126"/>
      <c r="C16756" s="126"/>
      <c r="D16756" s="126"/>
      <c r="E16756" s="126"/>
      <c r="F16756" s="126"/>
      <c r="G16756" s="126"/>
      <c r="H16756" s="126"/>
      <c r="I16756" s="126"/>
    </row>
    <row r="16757" spans="1:9">
      <c r="A16757" s="126"/>
      <c r="B16757" s="126"/>
      <c r="C16757" s="126"/>
      <c r="D16757" s="126"/>
      <c r="E16757" s="126"/>
      <c r="F16757" s="126"/>
      <c r="G16757" s="126"/>
      <c r="H16757" s="126"/>
      <c r="I16757" s="126"/>
    </row>
    <row r="16758" spans="1:9">
      <c r="A16758" s="126"/>
      <c r="B16758" s="126"/>
      <c r="C16758" s="126"/>
      <c r="D16758" s="126"/>
      <c r="E16758" s="126"/>
      <c r="F16758" s="126"/>
      <c r="G16758" s="126"/>
      <c r="H16758" s="126"/>
      <c r="I16758" s="126"/>
    </row>
    <row r="16759" spans="1:9">
      <c r="A16759" s="126"/>
      <c r="B16759" s="126"/>
      <c r="C16759" s="126"/>
      <c r="D16759" s="126"/>
      <c r="E16759" s="126"/>
      <c r="F16759" s="126"/>
      <c r="G16759" s="126"/>
      <c r="H16759" s="126"/>
      <c r="I16759" s="126"/>
    </row>
    <row r="16760" spans="1:9">
      <c r="A16760" s="126"/>
      <c r="B16760" s="126"/>
      <c r="C16760" s="126"/>
      <c r="D16760" s="126"/>
      <c r="E16760" s="126"/>
      <c r="F16760" s="126"/>
      <c r="G16760" s="126"/>
      <c r="H16760" s="126"/>
      <c r="I16760" s="126"/>
    </row>
    <row r="16761" spans="1:9">
      <c r="A16761" s="126"/>
      <c r="B16761" s="126"/>
      <c r="C16761" s="126"/>
      <c r="D16761" s="126"/>
      <c r="E16761" s="126"/>
      <c r="F16761" s="126"/>
      <c r="G16761" s="126"/>
      <c r="H16761" s="126"/>
      <c r="I16761" s="126"/>
    </row>
    <row r="16762" spans="1:9">
      <c r="A16762" s="126"/>
      <c r="B16762" s="126"/>
      <c r="C16762" s="126"/>
      <c r="D16762" s="126"/>
      <c r="E16762" s="126"/>
      <c r="F16762" s="126"/>
      <c r="G16762" s="126"/>
      <c r="H16762" s="126"/>
      <c r="I16762" s="126"/>
    </row>
    <row r="16763" spans="1:9">
      <c r="A16763" s="223"/>
      <c r="B16763" s="223"/>
      <c r="C16763" s="223"/>
      <c r="D16763" s="223"/>
      <c r="E16763" s="223"/>
      <c r="F16763" s="223"/>
      <c r="G16763" s="223"/>
      <c r="H16763" s="223"/>
      <c r="I16763" s="223"/>
    </row>
    <row r="16764" spans="1:9">
      <c r="A16764" s="223"/>
      <c r="B16764" s="223"/>
      <c r="C16764" s="223"/>
      <c r="D16764" s="223"/>
      <c r="E16764" s="223"/>
      <c r="F16764" s="223"/>
      <c r="G16764" s="223"/>
      <c r="H16764" s="223"/>
      <c r="I16764" s="223"/>
    </row>
    <row r="16765" spans="1:9">
      <c r="A16765" s="223"/>
      <c r="B16765" s="223"/>
      <c r="C16765" s="223"/>
      <c r="D16765" s="223"/>
      <c r="E16765" s="223"/>
      <c r="F16765" s="223"/>
      <c r="G16765" s="223"/>
      <c r="H16765" s="223"/>
      <c r="I16765" s="223"/>
    </row>
    <row r="16766" spans="1:9">
      <c r="A16766" s="223"/>
      <c r="B16766" s="223"/>
      <c r="C16766" s="223"/>
      <c r="D16766" s="223"/>
      <c r="E16766" s="223"/>
      <c r="F16766" s="223"/>
      <c r="G16766" s="223"/>
      <c r="H16766" s="223"/>
      <c r="I16766" s="223"/>
    </row>
    <row r="16767" spans="1:9">
      <c r="A16767" s="223"/>
      <c r="B16767" s="223"/>
      <c r="C16767" s="223"/>
      <c r="D16767" s="223"/>
      <c r="E16767" s="223"/>
      <c r="F16767" s="223"/>
      <c r="G16767" s="223"/>
      <c r="H16767" s="223"/>
      <c r="I16767" s="223"/>
    </row>
    <row r="16768" spans="1:9">
      <c r="A16768" s="223"/>
      <c r="B16768" s="223"/>
      <c r="C16768" s="223"/>
      <c r="D16768" s="223"/>
      <c r="E16768" s="223"/>
      <c r="F16768" s="223"/>
      <c r="G16768" s="223"/>
      <c r="H16768" s="223"/>
      <c r="I16768" s="223"/>
    </row>
    <row r="16769" spans="1:9">
      <c r="A16769" s="223"/>
      <c r="B16769" s="223"/>
      <c r="C16769" s="223"/>
      <c r="D16769" s="223"/>
      <c r="E16769" s="223"/>
      <c r="F16769" s="223"/>
      <c r="G16769" s="223"/>
      <c r="H16769" s="223"/>
      <c r="I16769" s="223"/>
    </row>
    <row r="16770" spans="1:9">
      <c r="A16770" s="223"/>
      <c r="B16770" s="223"/>
      <c r="C16770" s="223"/>
      <c r="D16770" s="223"/>
      <c r="E16770" s="223"/>
      <c r="F16770" s="223"/>
      <c r="G16770" s="223"/>
      <c r="H16770" s="223"/>
      <c r="I16770" s="223"/>
    </row>
    <row r="16771" spans="1:9">
      <c r="A16771" s="223"/>
      <c r="B16771" s="223"/>
      <c r="C16771" s="223"/>
      <c r="D16771" s="223"/>
      <c r="E16771" s="223"/>
      <c r="F16771" s="223"/>
      <c r="G16771" s="223"/>
      <c r="H16771" s="223"/>
      <c r="I16771" s="223"/>
    </row>
    <row r="16772" spans="1:9">
      <c r="A16772" s="223"/>
      <c r="B16772" s="223"/>
      <c r="C16772" s="223"/>
      <c r="D16772" s="223"/>
      <c r="E16772" s="223"/>
      <c r="F16772" s="223"/>
      <c r="G16772" s="223"/>
      <c r="H16772" s="223"/>
      <c r="I16772" s="223"/>
    </row>
    <row r="16773" spans="1:9">
      <c r="A16773" s="223"/>
      <c r="B16773" s="223"/>
      <c r="C16773" s="223"/>
      <c r="D16773" s="223"/>
      <c r="E16773" s="223"/>
      <c r="F16773" s="223"/>
      <c r="G16773" s="223"/>
      <c r="H16773" s="223"/>
      <c r="I16773" s="223"/>
    </row>
    <row r="16774" spans="1:9">
      <c r="A16774" s="223"/>
      <c r="B16774" s="223"/>
      <c r="C16774" s="223"/>
      <c r="D16774" s="223"/>
      <c r="E16774" s="223"/>
      <c r="F16774" s="223"/>
      <c r="G16774" s="223"/>
      <c r="H16774" s="223"/>
      <c r="I16774" s="223"/>
    </row>
    <row r="16775" spans="1:9">
      <c r="A16775" s="223"/>
      <c r="B16775" s="223"/>
      <c r="C16775" s="223"/>
      <c r="D16775" s="223"/>
      <c r="E16775" s="223"/>
      <c r="F16775" s="223"/>
      <c r="G16775" s="223"/>
      <c r="H16775" s="223"/>
      <c r="I16775" s="223"/>
    </row>
    <row r="16776" spans="1:9">
      <c r="A16776" s="223"/>
      <c r="B16776" s="223"/>
      <c r="C16776" s="223"/>
      <c r="D16776" s="223"/>
      <c r="E16776" s="223"/>
      <c r="F16776" s="223"/>
      <c r="G16776" s="223"/>
      <c r="H16776" s="223"/>
      <c r="I16776" s="223"/>
    </row>
    <row r="16777" spans="1:9">
      <c r="A16777" s="223"/>
      <c r="B16777" s="223"/>
      <c r="C16777" s="223"/>
      <c r="D16777" s="223"/>
      <c r="E16777" s="223"/>
      <c r="F16777" s="223"/>
      <c r="G16777" s="223"/>
      <c r="H16777" s="223"/>
      <c r="I16777" s="223"/>
    </row>
    <row r="16778" spans="1:9">
      <c r="A16778" s="223"/>
      <c r="B16778" s="223"/>
      <c r="C16778" s="223"/>
      <c r="D16778" s="223"/>
      <c r="E16778" s="223"/>
      <c r="F16778" s="223"/>
      <c r="G16778" s="223"/>
      <c r="H16778" s="223"/>
      <c r="I16778" s="223"/>
    </row>
    <row r="16779" spans="1:9">
      <c r="A16779" s="223"/>
      <c r="B16779" s="223"/>
      <c r="C16779" s="223"/>
      <c r="D16779" s="223"/>
      <c r="E16779" s="223"/>
      <c r="F16779" s="223"/>
      <c r="G16779" s="223"/>
      <c r="H16779" s="223"/>
      <c r="I16779" s="223"/>
    </row>
    <row r="16780" spans="1:9">
      <c r="A16780" s="223"/>
      <c r="B16780" s="223"/>
      <c r="C16780" s="223"/>
      <c r="D16780" s="223"/>
      <c r="E16780" s="223"/>
      <c r="F16780" s="223"/>
      <c r="G16780" s="223"/>
      <c r="H16780" s="223"/>
      <c r="I16780" s="223"/>
    </row>
    <row r="16781" spans="1:9">
      <c r="A16781" s="223"/>
      <c r="B16781" s="223"/>
      <c r="C16781" s="223"/>
      <c r="D16781" s="223"/>
      <c r="E16781" s="223"/>
      <c r="F16781" s="223"/>
      <c r="G16781" s="223"/>
      <c r="H16781" s="223"/>
      <c r="I16781" s="223"/>
    </row>
    <row r="16782" spans="1:9">
      <c r="A16782" s="223"/>
      <c r="B16782" s="223"/>
      <c r="C16782" s="223"/>
      <c r="D16782" s="223"/>
      <c r="E16782" s="223"/>
      <c r="F16782" s="223"/>
      <c r="G16782" s="223"/>
      <c r="H16782" s="223"/>
      <c r="I16782" s="223"/>
    </row>
    <row r="16783" spans="1:9">
      <c r="A16783" s="223"/>
      <c r="B16783" s="223"/>
      <c r="C16783" s="223"/>
      <c r="D16783" s="223"/>
      <c r="E16783" s="223"/>
      <c r="F16783" s="223"/>
      <c r="G16783" s="223"/>
      <c r="H16783" s="223"/>
      <c r="I16783" s="223"/>
    </row>
    <row r="16784" spans="1:9">
      <c r="A16784" s="223"/>
      <c r="B16784" s="223"/>
      <c r="C16784" s="223"/>
      <c r="D16784" s="223"/>
      <c r="E16784" s="223"/>
      <c r="F16784" s="223"/>
      <c r="G16784" s="223"/>
      <c r="H16784" s="223"/>
      <c r="I16784" s="223"/>
    </row>
    <row r="16785" spans="1:9">
      <c r="A16785" s="223"/>
      <c r="B16785" s="223"/>
      <c r="C16785" s="223"/>
      <c r="D16785" s="223"/>
      <c r="E16785" s="223"/>
      <c r="F16785" s="223"/>
      <c r="G16785" s="223"/>
      <c r="H16785" s="223"/>
      <c r="I16785" s="223"/>
    </row>
    <row r="16786" spans="1:9">
      <c r="A16786" s="223"/>
      <c r="B16786" s="223"/>
      <c r="C16786" s="223"/>
      <c r="D16786" s="223"/>
      <c r="E16786" s="223"/>
      <c r="F16786" s="223"/>
      <c r="G16786" s="223"/>
      <c r="H16786" s="223"/>
      <c r="I16786" s="223"/>
    </row>
    <row r="16787" spans="1:9">
      <c r="A16787" s="223"/>
      <c r="B16787" s="223"/>
      <c r="C16787" s="223"/>
      <c r="D16787" s="223"/>
      <c r="E16787" s="223"/>
      <c r="F16787" s="223"/>
      <c r="G16787" s="223"/>
      <c r="H16787" s="223"/>
      <c r="I16787" s="223"/>
    </row>
    <row r="16788" spans="1:9">
      <c r="A16788" s="223"/>
      <c r="B16788" s="223"/>
      <c r="C16788" s="223"/>
      <c r="D16788" s="223"/>
      <c r="E16788" s="223"/>
      <c r="F16788" s="223"/>
      <c r="G16788" s="223"/>
      <c r="H16788" s="223"/>
      <c r="I16788" s="223"/>
    </row>
    <row r="16789" spans="1:9">
      <c r="A16789" s="223"/>
      <c r="B16789" s="223"/>
      <c r="C16789" s="223"/>
      <c r="D16789" s="223"/>
      <c r="E16789" s="223"/>
      <c r="F16789" s="223"/>
      <c r="G16789" s="223"/>
      <c r="H16789" s="223"/>
      <c r="I16789" s="223"/>
    </row>
    <row r="16790" spans="1:9">
      <c r="A16790" s="223"/>
      <c r="B16790" s="223"/>
      <c r="C16790" s="223"/>
      <c r="D16790" s="223"/>
      <c r="E16790" s="223"/>
      <c r="F16790" s="223"/>
      <c r="G16790" s="223"/>
      <c r="H16790" s="223"/>
      <c r="I16790" s="223"/>
    </row>
    <row r="16791" spans="1:9">
      <c r="A16791" s="223"/>
      <c r="B16791" s="223"/>
      <c r="C16791" s="223"/>
      <c r="D16791" s="223"/>
      <c r="E16791" s="223"/>
      <c r="F16791" s="223"/>
      <c r="G16791" s="223"/>
      <c r="H16791" s="223"/>
      <c r="I16791" s="223"/>
    </row>
    <row r="16792" spans="1:9">
      <c r="A16792" s="223"/>
      <c r="B16792" s="223"/>
      <c r="C16792" s="223"/>
      <c r="D16792" s="223"/>
      <c r="E16792" s="223"/>
      <c r="F16792" s="223"/>
      <c r="G16792" s="223"/>
      <c r="H16792" s="223"/>
      <c r="I16792" s="223"/>
    </row>
    <row r="16793" spans="1:9">
      <c r="A16793" s="223"/>
      <c r="B16793" s="223"/>
      <c r="C16793" s="223"/>
      <c r="D16793" s="223"/>
      <c r="E16793" s="223"/>
      <c r="F16793" s="223"/>
      <c r="G16793" s="223"/>
      <c r="H16793" s="223"/>
      <c r="I16793" s="223"/>
    </row>
    <row r="16794" spans="1:9">
      <c r="A16794" s="223"/>
      <c r="B16794" s="223"/>
      <c r="C16794" s="223"/>
      <c r="D16794" s="223"/>
      <c r="E16794" s="223"/>
      <c r="F16794" s="223"/>
      <c r="G16794" s="223"/>
      <c r="H16794" s="223"/>
      <c r="I16794" s="223"/>
    </row>
    <row r="16795" spans="1:9">
      <c r="A16795" s="223"/>
      <c r="B16795" s="223"/>
      <c r="C16795" s="223"/>
      <c r="D16795" s="223"/>
      <c r="E16795" s="223"/>
      <c r="F16795" s="223"/>
      <c r="G16795" s="223"/>
      <c r="H16795" s="223"/>
      <c r="I16795" s="223"/>
    </row>
    <row r="16796" spans="1:9">
      <c r="A16796" s="223"/>
      <c r="B16796" s="223"/>
      <c r="C16796" s="223"/>
      <c r="D16796" s="223"/>
      <c r="E16796" s="223"/>
      <c r="F16796" s="223"/>
      <c r="G16796" s="223"/>
      <c r="H16796" s="223"/>
      <c r="I16796" s="223"/>
    </row>
    <row r="16797" spans="1:9">
      <c r="A16797" s="223"/>
      <c r="B16797" s="223"/>
      <c r="C16797" s="223"/>
      <c r="D16797" s="223"/>
      <c r="E16797" s="223"/>
      <c r="F16797" s="223"/>
      <c r="G16797" s="223"/>
      <c r="H16797" s="223"/>
      <c r="I16797" s="223"/>
    </row>
    <row r="16798" spans="1:9">
      <c r="A16798" s="223"/>
      <c r="B16798" s="223"/>
      <c r="C16798" s="223"/>
      <c r="D16798" s="223"/>
      <c r="E16798" s="223"/>
      <c r="F16798" s="223"/>
      <c r="G16798" s="223"/>
      <c r="H16798" s="223"/>
      <c r="I16798" s="223"/>
    </row>
    <row r="16799" spans="1:9">
      <c r="A16799" s="223"/>
      <c r="B16799" s="223"/>
      <c r="C16799" s="223"/>
      <c r="D16799" s="223"/>
      <c r="E16799" s="223"/>
      <c r="F16799" s="223"/>
      <c r="G16799" s="223"/>
      <c r="H16799" s="223"/>
      <c r="I16799" s="223"/>
    </row>
    <row r="16800" spans="1:9">
      <c r="A16800" s="223"/>
      <c r="B16800" s="223"/>
      <c r="C16800" s="223"/>
      <c r="D16800" s="223"/>
      <c r="E16800" s="223"/>
      <c r="F16800" s="223"/>
      <c r="G16800" s="223"/>
      <c r="H16800" s="223"/>
      <c r="I16800" s="223"/>
    </row>
    <row r="16801" spans="1:9">
      <c r="A16801" s="223"/>
      <c r="B16801" s="223"/>
      <c r="C16801" s="223"/>
      <c r="D16801" s="223"/>
      <c r="E16801" s="223"/>
      <c r="F16801" s="223"/>
      <c r="G16801" s="223"/>
      <c r="H16801" s="223"/>
      <c r="I16801" s="223"/>
    </row>
    <row r="16802" spans="1:9">
      <c r="A16802" s="223"/>
      <c r="B16802" s="223"/>
      <c r="C16802" s="223"/>
      <c r="D16802" s="223"/>
      <c r="E16802" s="223"/>
      <c r="F16802" s="223"/>
      <c r="G16802" s="223"/>
      <c r="H16802" s="223"/>
      <c r="I16802" s="223"/>
    </row>
    <row r="16803" spans="1:9">
      <c r="A16803" s="223"/>
      <c r="B16803" s="223"/>
      <c r="C16803" s="223"/>
      <c r="D16803" s="223"/>
      <c r="E16803" s="223"/>
      <c r="F16803" s="223"/>
      <c r="G16803" s="223"/>
      <c r="H16803" s="223"/>
      <c r="I16803" s="223"/>
    </row>
    <row r="16804" spans="1:9">
      <c r="A16804" s="223"/>
      <c r="B16804" s="223"/>
      <c r="C16804" s="223"/>
      <c r="D16804" s="223"/>
      <c r="E16804" s="223"/>
      <c r="F16804" s="223"/>
      <c r="G16804" s="223"/>
      <c r="H16804" s="223"/>
      <c r="I16804" s="223"/>
    </row>
    <row r="16805" spans="1:9">
      <c r="A16805" s="223"/>
      <c r="B16805" s="223"/>
      <c r="C16805" s="223"/>
      <c r="D16805" s="223"/>
      <c r="E16805" s="223"/>
      <c r="F16805" s="223"/>
      <c r="G16805" s="223"/>
      <c r="H16805" s="223"/>
      <c r="I16805" s="223"/>
    </row>
    <row r="16806" spans="1:9">
      <c r="A16806" s="223"/>
      <c r="B16806" s="223"/>
      <c r="C16806" s="223"/>
      <c r="D16806" s="223"/>
      <c r="E16806" s="223"/>
      <c r="F16806" s="223"/>
      <c r="G16806" s="223"/>
      <c r="H16806" s="223"/>
      <c r="I16806" s="223"/>
    </row>
    <row r="16807" spans="1:9">
      <c r="A16807" s="223"/>
      <c r="B16807" s="223"/>
      <c r="C16807" s="223"/>
      <c r="D16807" s="223"/>
      <c r="E16807" s="223"/>
      <c r="F16807" s="223"/>
      <c r="G16807" s="223"/>
      <c r="H16807" s="223"/>
      <c r="I16807" s="223"/>
    </row>
    <row r="16808" spans="1:9">
      <c r="A16808" s="223"/>
      <c r="B16808" s="223"/>
      <c r="C16808" s="223"/>
      <c r="D16808" s="223"/>
      <c r="E16808" s="223"/>
      <c r="F16808" s="223"/>
      <c r="G16808" s="223"/>
      <c r="H16808" s="223"/>
      <c r="I16808" s="223"/>
    </row>
    <row r="16809" spans="1:9">
      <c r="A16809" s="223"/>
      <c r="B16809" s="223"/>
      <c r="C16809" s="223"/>
      <c r="D16809" s="223"/>
      <c r="E16809" s="223"/>
      <c r="F16809" s="223"/>
      <c r="G16809" s="223"/>
      <c r="H16809" s="223"/>
      <c r="I16809" s="223"/>
    </row>
    <row r="16810" spans="1:9">
      <c r="A16810" s="223"/>
      <c r="B16810" s="223"/>
      <c r="C16810" s="223"/>
      <c r="D16810" s="223"/>
      <c r="E16810" s="223"/>
      <c r="F16810" s="223"/>
      <c r="G16810" s="223"/>
      <c r="H16810" s="223"/>
      <c r="I16810" s="223"/>
    </row>
    <row r="16811" spans="1:9">
      <c r="A16811" s="223"/>
      <c r="B16811" s="223"/>
      <c r="C16811" s="223"/>
      <c r="D16811" s="223"/>
      <c r="E16811" s="223"/>
      <c r="F16811" s="223"/>
      <c r="G16811" s="223"/>
      <c r="H16811" s="223"/>
      <c r="I16811" s="223"/>
    </row>
    <row r="16812" spans="1:9">
      <c r="A16812" s="223"/>
      <c r="B16812" s="223"/>
      <c r="C16812" s="223"/>
      <c r="D16812" s="223"/>
      <c r="E16812" s="223"/>
      <c r="F16812" s="223"/>
      <c r="G16812" s="223"/>
      <c r="H16812" s="223"/>
      <c r="I16812" s="223"/>
    </row>
    <row r="16813" spans="1:9">
      <c r="A16813" s="223"/>
      <c r="B16813" s="223"/>
      <c r="C16813" s="223"/>
      <c r="D16813" s="223"/>
      <c r="E16813" s="223"/>
      <c r="F16813" s="223"/>
      <c r="G16813" s="223"/>
      <c r="H16813" s="223"/>
      <c r="I16813" s="223"/>
    </row>
    <row r="16814" spans="1:9">
      <c r="A16814" s="223"/>
      <c r="B16814" s="223"/>
      <c r="C16814" s="223"/>
      <c r="D16814" s="223"/>
      <c r="E16814" s="223"/>
      <c r="F16814" s="223"/>
      <c r="G16814" s="223"/>
      <c r="H16814" s="223"/>
      <c r="I16814" s="223"/>
    </row>
    <row r="16815" spans="1:9">
      <c r="A16815" s="223"/>
      <c r="B16815" s="223"/>
      <c r="C16815" s="223"/>
      <c r="D16815" s="223"/>
      <c r="E16815" s="223"/>
      <c r="F16815" s="223"/>
      <c r="G16815" s="223"/>
      <c r="H16815" s="223"/>
      <c r="I16815" s="223"/>
    </row>
    <row r="16816" spans="1:9">
      <c r="A16816" s="223"/>
      <c r="B16816" s="223"/>
      <c r="C16816" s="223"/>
      <c r="D16816" s="223"/>
      <c r="E16816" s="223"/>
      <c r="F16816" s="223"/>
      <c r="G16816" s="223"/>
      <c r="H16816" s="223"/>
      <c r="I16816" s="223"/>
    </row>
    <row r="16817" spans="1:9">
      <c r="A16817" s="223"/>
      <c r="B16817" s="223"/>
      <c r="C16817" s="223"/>
      <c r="D16817" s="223"/>
      <c r="E16817" s="223"/>
      <c r="F16817" s="223"/>
      <c r="G16817" s="223"/>
      <c r="H16817" s="223"/>
      <c r="I16817" s="223"/>
    </row>
    <row r="16818" spans="1:9">
      <c r="A16818" s="223"/>
      <c r="B16818" s="223"/>
      <c r="C16818" s="223"/>
      <c r="D16818" s="223"/>
      <c r="E16818" s="223"/>
      <c r="F16818" s="223"/>
      <c r="G16818" s="223"/>
      <c r="H16818" s="223"/>
      <c r="I16818" s="223"/>
    </row>
    <row r="16819" spans="1:9">
      <c r="A16819" s="223"/>
      <c r="B16819" s="223"/>
      <c r="C16819" s="223"/>
      <c r="D16819" s="223"/>
      <c r="E16819" s="223"/>
      <c r="F16819" s="223"/>
      <c r="G16819" s="223"/>
      <c r="H16819" s="223"/>
      <c r="I16819" s="223"/>
    </row>
    <row r="16820" spans="1:9">
      <c r="A16820" s="223"/>
      <c r="B16820" s="223"/>
      <c r="C16820" s="223"/>
      <c r="D16820" s="223"/>
      <c r="E16820" s="223"/>
      <c r="F16820" s="223"/>
      <c r="G16820" s="223"/>
      <c r="H16820" s="223"/>
      <c r="I16820" s="223"/>
    </row>
    <row r="16821" spans="1:9">
      <c r="A16821" s="223"/>
      <c r="B16821" s="223"/>
      <c r="C16821" s="223"/>
      <c r="D16821" s="223"/>
      <c r="E16821" s="223"/>
      <c r="F16821" s="223"/>
      <c r="G16821" s="223"/>
      <c r="H16821" s="223"/>
      <c r="I16821" s="223"/>
    </row>
    <row r="16822" spans="1:9">
      <c r="A16822" s="223"/>
      <c r="B16822" s="223"/>
      <c r="C16822" s="223"/>
      <c r="D16822" s="223"/>
      <c r="E16822" s="223"/>
      <c r="F16822" s="223"/>
      <c r="G16822" s="223"/>
      <c r="H16822" s="223"/>
      <c r="I16822" s="223"/>
    </row>
    <row r="16823" spans="1:9">
      <c r="A16823" s="223"/>
      <c r="B16823" s="223"/>
      <c r="C16823" s="223"/>
      <c r="D16823" s="223"/>
      <c r="E16823" s="223"/>
      <c r="F16823" s="223"/>
      <c r="G16823" s="223"/>
      <c r="H16823" s="223"/>
      <c r="I16823" s="223"/>
    </row>
    <row r="16824" spans="1:9">
      <c r="A16824" s="223"/>
      <c r="B16824" s="223"/>
      <c r="C16824" s="223"/>
      <c r="D16824" s="223"/>
      <c r="E16824" s="223"/>
      <c r="F16824" s="223"/>
      <c r="G16824" s="223"/>
      <c r="H16824" s="223"/>
      <c r="I16824" s="223"/>
    </row>
    <row r="16825" spans="1:9">
      <c r="A16825" s="223"/>
      <c r="B16825" s="223"/>
      <c r="C16825" s="223"/>
      <c r="D16825" s="223"/>
      <c r="E16825" s="223"/>
      <c r="F16825" s="223"/>
      <c r="G16825" s="223"/>
      <c r="H16825" s="223"/>
      <c r="I16825" s="223"/>
    </row>
    <row r="16826" spans="1:9">
      <c r="A16826" s="223"/>
      <c r="B16826" s="223"/>
      <c r="C16826" s="223"/>
      <c r="D16826" s="223"/>
      <c r="E16826" s="223"/>
      <c r="F16826" s="223"/>
      <c r="G16826" s="223"/>
      <c r="H16826" s="223"/>
      <c r="I16826" s="223"/>
    </row>
    <row r="16827" spans="1:9">
      <c r="A16827" s="223"/>
      <c r="B16827" s="223"/>
      <c r="C16827" s="223"/>
      <c r="D16827" s="223"/>
      <c r="E16827" s="223"/>
      <c r="F16827" s="223"/>
      <c r="G16827" s="223"/>
      <c r="H16827" s="223"/>
      <c r="I16827" s="223"/>
    </row>
    <row r="16828" spans="1:9">
      <c r="A16828" s="223"/>
      <c r="B16828" s="223"/>
      <c r="C16828" s="223"/>
      <c r="D16828" s="223"/>
      <c r="E16828" s="223"/>
      <c r="F16828" s="223"/>
      <c r="G16828" s="223"/>
      <c r="H16828" s="223"/>
      <c r="I16828" s="223"/>
    </row>
    <row r="16829" spans="1:9">
      <c r="A16829" s="223"/>
      <c r="B16829" s="223"/>
      <c r="C16829" s="223"/>
      <c r="D16829" s="223"/>
      <c r="E16829" s="223"/>
      <c r="F16829" s="223"/>
      <c r="G16829" s="223"/>
      <c r="H16829" s="223"/>
      <c r="I16829" s="223"/>
    </row>
    <row r="16830" spans="1:9">
      <c r="A16830" s="223"/>
      <c r="B16830" s="223"/>
      <c r="C16830" s="223"/>
      <c r="D16830" s="223"/>
      <c r="E16830" s="223"/>
      <c r="F16830" s="223"/>
      <c r="G16830" s="223"/>
      <c r="H16830" s="223"/>
      <c r="I16830" s="223"/>
    </row>
    <row r="16831" spans="1:9">
      <c r="A16831" s="223"/>
      <c r="B16831" s="223"/>
      <c r="C16831" s="223"/>
      <c r="D16831" s="223"/>
      <c r="E16831" s="223"/>
      <c r="F16831" s="223"/>
      <c r="G16831" s="223"/>
      <c r="H16831" s="223"/>
      <c r="I16831" s="223"/>
    </row>
    <row r="16832" spans="1:9">
      <c r="A16832" s="223"/>
      <c r="B16832" s="223"/>
      <c r="C16832" s="223"/>
      <c r="D16832" s="223"/>
      <c r="E16832" s="223"/>
      <c r="F16832" s="223"/>
      <c r="G16832" s="223"/>
      <c r="H16832" s="223"/>
      <c r="I16832" s="223"/>
    </row>
    <row r="16833" spans="1:9">
      <c r="A16833" s="223"/>
      <c r="B16833" s="223"/>
      <c r="C16833" s="223"/>
      <c r="D16833" s="223"/>
      <c r="E16833" s="223"/>
      <c r="F16833" s="223"/>
      <c r="G16833" s="223"/>
      <c r="H16833" s="223"/>
      <c r="I16833" s="223"/>
    </row>
    <row r="16834" spans="1:9">
      <c r="A16834" s="223"/>
      <c r="B16834" s="223"/>
      <c r="C16834" s="223"/>
      <c r="D16834" s="223"/>
      <c r="E16834" s="223"/>
      <c r="F16834" s="223"/>
      <c r="G16834" s="223"/>
      <c r="H16834" s="223"/>
      <c r="I16834" s="223"/>
    </row>
    <row r="16835" spans="1:9">
      <c r="A16835" s="223"/>
      <c r="B16835" s="223"/>
      <c r="C16835" s="223"/>
      <c r="D16835" s="223"/>
      <c r="E16835" s="223"/>
      <c r="F16835" s="223"/>
      <c r="G16835" s="223"/>
      <c r="H16835" s="223"/>
      <c r="I16835" s="223"/>
    </row>
    <row r="16836" spans="1:9">
      <c r="A16836" s="223"/>
      <c r="B16836" s="223"/>
      <c r="C16836" s="223"/>
      <c r="D16836" s="223"/>
      <c r="E16836" s="223"/>
      <c r="F16836" s="223"/>
      <c r="G16836" s="223"/>
      <c r="H16836" s="223"/>
      <c r="I16836" s="223"/>
    </row>
    <row r="16837" spans="1:9">
      <c r="A16837" s="223"/>
      <c r="B16837" s="223"/>
      <c r="C16837" s="223"/>
      <c r="D16837" s="223"/>
      <c r="E16837" s="223"/>
      <c r="F16837" s="223"/>
      <c r="G16837" s="223"/>
      <c r="H16837" s="223"/>
      <c r="I16837" s="223"/>
    </row>
    <row r="16838" spans="1:9">
      <c r="A16838" s="223"/>
      <c r="B16838" s="223"/>
      <c r="C16838" s="223"/>
      <c r="D16838" s="223"/>
      <c r="E16838" s="223"/>
      <c r="F16838" s="223"/>
      <c r="G16838" s="223"/>
      <c r="H16838" s="223"/>
      <c r="I16838" s="223"/>
    </row>
    <row r="16839" spans="1:9">
      <c r="A16839" s="223"/>
      <c r="B16839" s="223"/>
      <c r="C16839" s="223"/>
      <c r="D16839" s="223"/>
      <c r="E16839" s="223"/>
      <c r="F16839" s="223"/>
      <c r="G16839" s="223"/>
      <c r="H16839" s="223"/>
      <c r="I16839" s="223"/>
    </row>
    <row r="16840" spans="1:9">
      <c r="A16840" s="223"/>
      <c r="B16840" s="223"/>
      <c r="C16840" s="223"/>
      <c r="D16840" s="223"/>
      <c r="E16840" s="223"/>
      <c r="F16840" s="223"/>
      <c r="G16840" s="223"/>
      <c r="H16840" s="223"/>
      <c r="I16840" s="223"/>
    </row>
    <row r="16841" spans="1:9">
      <c r="A16841" s="223"/>
      <c r="B16841" s="223"/>
      <c r="C16841" s="223"/>
      <c r="D16841" s="223"/>
      <c r="E16841" s="223"/>
      <c r="F16841" s="223"/>
      <c r="G16841" s="223"/>
      <c r="H16841" s="223"/>
      <c r="I16841" s="223"/>
    </row>
    <row r="16842" spans="1:9">
      <c r="A16842" s="223"/>
      <c r="B16842" s="223"/>
      <c r="C16842" s="223"/>
      <c r="D16842" s="223"/>
      <c r="E16842" s="223"/>
      <c r="F16842" s="223"/>
      <c r="G16842" s="223"/>
      <c r="H16842" s="223"/>
      <c r="I16842" s="223"/>
    </row>
    <row r="16843" spans="1:9">
      <c r="A16843" s="223"/>
      <c r="B16843" s="223"/>
      <c r="C16843" s="223"/>
      <c r="D16843" s="223"/>
      <c r="E16843" s="223"/>
      <c r="F16843" s="223"/>
      <c r="G16843" s="223"/>
      <c r="H16843" s="223"/>
      <c r="I16843" s="223"/>
    </row>
    <row r="16844" spans="1:9">
      <c r="A16844" s="223"/>
      <c r="B16844" s="223"/>
      <c r="C16844" s="223"/>
      <c r="D16844" s="223"/>
      <c r="E16844" s="223"/>
      <c r="F16844" s="223"/>
      <c r="G16844" s="223"/>
      <c r="H16844" s="223"/>
      <c r="I16844" s="223"/>
    </row>
    <row r="16845" spans="1:9">
      <c r="A16845" s="223"/>
      <c r="B16845" s="223"/>
      <c r="C16845" s="223"/>
      <c r="D16845" s="223"/>
      <c r="E16845" s="223"/>
      <c r="F16845" s="223"/>
      <c r="G16845" s="223"/>
      <c r="H16845" s="223"/>
      <c r="I16845" s="223"/>
    </row>
    <row r="16846" spans="1:9">
      <c r="A16846" s="223"/>
      <c r="B16846" s="223"/>
      <c r="C16846" s="223"/>
      <c r="D16846" s="223"/>
      <c r="E16846" s="223"/>
      <c r="F16846" s="223"/>
      <c r="G16846" s="223"/>
      <c r="H16846" s="223"/>
      <c r="I16846" s="223"/>
    </row>
    <row r="16847" spans="1:9">
      <c r="A16847" s="223"/>
      <c r="B16847" s="223"/>
      <c r="C16847" s="223"/>
      <c r="D16847" s="223"/>
      <c r="E16847" s="223"/>
      <c r="F16847" s="223"/>
      <c r="G16847" s="223"/>
      <c r="H16847" s="223"/>
      <c r="I16847" s="223"/>
    </row>
    <row r="16848" spans="1:9">
      <c r="A16848" s="223"/>
      <c r="B16848" s="223"/>
      <c r="C16848" s="223"/>
      <c r="D16848" s="223"/>
      <c r="E16848" s="223"/>
      <c r="F16848" s="223"/>
      <c r="G16848" s="223"/>
      <c r="H16848" s="223"/>
      <c r="I16848" s="223"/>
    </row>
    <row r="16849" spans="1:9">
      <c r="A16849" s="223"/>
      <c r="B16849" s="223"/>
      <c r="C16849" s="223"/>
      <c r="D16849" s="223"/>
      <c r="E16849" s="223"/>
      <c r="F16849" s="223"/>
      <c r="G16849" s="223"/>
      <c r="H16849" s="223"/>
      <c r="I16849" s="223"/>
    </row>
    <row r="16850" spans="1:9">
      <c r="A16850" s="223"/>
      <c r="B16850" s="223"/>
      <c r="C16850" s="223"/>
      <c r="D16850" s="223"/>
      <c r="E16850" s="223"/>
      <c r="F16850" s="223"/>
      <c r="G16850" s="223"/>
      <c r="H16850" s="223"/>
      <c r="I16850" s="223"/>
    </row>
    <row r="16851" spans="1:9">
      <c r="A16851" s="223"/>
      <c r="B16851" s="223"/>
      <c r="C16851" s="223"/>
      <c r="D16851" s="223"/>
      <c r="E16851" s="223"/>
      <c r="F16851" s="223"/>
      <c r="G16851" s="223"/>
      <c r="H16851" s="223"/>
      <c r="I16851" s="223"/>
    </row>
    <row r="16852" spans="1:9">
      <c r="A16852" s="223"/>
      <c r="B16852" s="223"/>
      <c r="C16852" s="223"/>
      <c r="D16852" s="223"/>
      <c r="E16852" s="223"/>
      <c r="F16852" s="223"/>
      <c r="G16852" s="223"/>
      <c r="H16852" s="223"/>
      <c r="I16852" s="223"/>
    </row>
    <row r="16853" spans="1:9">
      <c r="A16853" s="223"/>
      <c r="B16853" s="223"/>
      <c r="C16853" s="223"/>
      <c r="D16853" s="223"/>
      <c r="E16853" s="223"/>
      <c r="F16853" s="223"/>
      <c r="G16853" s="223"/>
      <c r="H16853" s="223"/>
      <c r="I16853" s="223"/>
    </row>
    <row r="16854" spans="1:9">
      <c r="A16854" s="223"/>
      <c r="B16854" s="223"/>
      <c r="C16854" s="223"/>
      <c r="D16854" s="223"/>
      <c r="E16854" s="223"/>
      <c r="F16854" s="223"/>
      <c r="G16854" s="223"/>
      <c r="H16854" s="223"/>
      <c r="I16854" s="223"/>
    </row>
    <row r="16855" spans="1:9">
      <c r="A16855" s="223"/>
      <c r="B16855" s="223"/>
      <c r="C16855" s="223"/>
      <c r="D16855" s="223"/>
      <c r="E16855" s="223"/>
      <c r="F16855" s="223"/>
      <c r="G16855" s="223"/>
      <c r="H16855" s="223"/>
      <c r="I16855" s="223"/>
    </row>
    <row r="16856" spans="1:9">
      <c r="A16856" s="223"/>
      <c r="B16856" s="223"/>
      <c r="C16856" s="223"/>
      <c r="D16856" s="223"/>
      <c r="E16856" s="223"/>
      <c r="F16856" s="223"/>
      <c r="G16856" s="223"/>
      <c r="H16856" s="223"/>
      <c r="I16856" s="223"/>
    </row>
    <row r="16857" spans="1:9">
      <c r="A16857" s="223"/>
      <c r="B16857" s="223"/>
      <c r="C16857" s="223"/>
      <c r="D16857" s="223"/>
      <c r="E16857" s="223"/>
      <c r="F16857" s="223"/>
      <c r="G16857" s="223"/>
      <c r="H16857" s="223"/>
      <c r="I16857" s="223"/>
    </row>
    <row r="16858" spans="1:9">
      <c r="A16858" s="223"/>
      <c r="B16858" s="223"/>
      <c r="C16858" s="223"/>
      <c r="D16858" s="223"/>
      <c r="E16858" s="223"/>
      <c r="F16858" s="223"/>
      <c r="G16858" s="223"/>
      <c r="H16858" s="223"/>
      <c r="I16858" s="223"/>
    </row>
    <row r="16859" spans="1:9">
      <c r="A16859" s="223"/>
      <c r="B16859" s="223"/>
      <c r="C16859" s="223"/>
      <c r="D16859" s="223"/>
      <c r="E16859" s="223"/>
      <c r="F16859" s="223"/>
      <c r="G16859" s="223"/>
      <c r="H16859" s="223"/>
      <c r="I16859" s="223"/>
    </row>
    <row r="16860" spans="1:9">
      <c r="A16860" s="223"/>
      <c r="B16860" s="223"/>
      <c r="C16860" s="223"/>
      <c r="D16860" s="223"/>
      <c r="E16860" s="223"/>
      <c r="F16860" s="223"/>
      <c r="G16860" s="223"/>
      <c r="H16860" s="223"/>
      <c r="I16860" s="223"/>
    </row>
    <row r="16861" spans="1:9">
      <c r="A16861" s="223"/>
      <c r="B16861" s="223"/>
      <c r="C16861" s="223"/>
      <c r="D16861" s="223"/>
      <c r="E16861" s="223"/>
      <c r="F16861" s="223"/>
      <c r="G16861" s="223"/>
      <c r="H16861" s="223"/>
      <c r="I16861" s="223"/>
    </row>
    <row r="16862" spans="1:9">
      <c r="A16862" s="223"/>
      <c r="B16862" s="223"/>
      <c r="C16862" s="223"/>
      <c r="D16862" s="223"/>
      <c r="E16862" s="223"/>
      <c r="F16862" s="223"/>
      <c r="G16862" s="223"/>
      <c r="H16862" s="223"/>
      <c r="I16862" s="223"/>
    </row>
    <row r="16863" spans="1:9">
      <c r="A16863" s="223"/>
      <c r="B16863" s="223"/>
      <c r="C16863" s="223"/>
      <c r="D16863" s="223"/>
      <c r="E16863" s="223"/>
      <c r="F16863" s="223"/>
      <c r="G16863" s="223"/>
      <c r="H16863" s="223"/>
      <c r="I16863" s="223"/>
    </row>
    <row r="16864" spans="1:9">
      <c r="A16864" s="223"/>
      <c r="B16864" s="223"/>
      <c r="C16864" s="223"/>
      <c r="D16864" s="223"/>
      <c r="E16864" s="223"/>
      <c r="F16864" s="223"/>
      <c r="G16864" s="223"/>
      <c r="H16864" s="223"/>
      <c r="I16864" s="223"/>
    </row>
    <row r="16865" spans="1:9">
      <c r="A16865" s="223"/>
      <c r="B16865" s="223"/>
      <c r="C16865" s="223"/>
      <c r="D16865" s="223"/>
      <c r="E16865" s="223"/>
      <c r="F16865" s="223"/>
      <c r="G16865" s="223"/>
      <c r="H16865" s="223"/>
      <c r="I16865" s="223"/>
    </row>
    <row r="16866" spans="1:9">
      <c r="A16866" s="223"/>
      <c r="B16866" s="223"/>
      <c r="C16866" s="223"/>
      <c r="D16866" s="223"/>
      <c r="E16866" s="223"/>
      <c r="F16866" s="223"/>
      <c r="G16866" s="223"/>
      <c r="H16866" s="223"/>
      <c r="I16866" s="223"/>
    </row>
    <row r="16867" spans="1:9">
      <c r="A16867" s="223"/>
      <c r="B16867" s="223"/>
      <c r="C16867" s="223"/>
      <c r="D16867" s="223"/>
      <c r="E16867" s="223"/>
      <c r="F16867" s="223"/>
      <c r="G16867" s="223"/>
      <c r="H16867" s="223"/>
      <c r="I16867" s="223"/>
    </row>
    <row r="16868" spans="1:9">
      <c r="A16868" s="223"/>
      <c r="B16868" s="223"/>
      <c r="C16868" s="223"/>
      <c r="D16868" s="223"/>
      <c r="E16868" s="223"/>
      <c r="F16868" s="223"/>
      <c r="G16868" s="223"/>
      <c r="H16868" s="223"/>
      <c r="I16868" s="223"/>
    </row>
    <row r="16869" spans="1:9">
      <c r="A16869" s="223"/>
      <c r="B16869" s="223"/>
      <c r="C16869" s="223"/>
      <c r="D16869" s="223"/>
      <c r="E16869" s="223"/>
      <c r="F16869" s="223"/>
      <c r="G16869" s="223"/>
      <c r="H16869" s="223"/>
      <c r="I16869" s="223"/>
    </row>
    <row r="16870" spans="1:9">
      <c r="A16870" s="223"/>
      <c r="B16870" s="223"/>
      <c r="C16870" s="223"/>
      <c r="D16870" s="223"/>
      <c r="E16870" s="223"/>
      <c r="F16870" s="223"/>
      <c r="G16870" s="223"/>
      <c r="H16870" s="223"/>
      <c r="I16870" s="223"/>
    </row>
    <row r="16871" spans="1:9">
      <c r="A16871" s="223"/>
      <c r="B16871" s="223"/>
      <c r="C16871" s="223"/>
      <c r="D16871" s="223"/>
      <c r="E16871" s="223"/>
      <c r="F16871" s="223"/>
      <c r="G16871" s="223"/>
      <c r="H16871" s="223"/>
      <c r="I16871" s="223"/>
    </row>
    <row r="16872" spans="1:9">
      <c r="A16872" s="223"/>
      <c r="B16872" s="223"/>
      <c r="C16872" s="223"/>
      <c r="D16872" s="223"/>
      <c r="E16872" s="223"/>
      <c r="F16872" s="223"/>
      <c r="G16872" s="223"/>
      <c r="H16872" s="223"/>
      <c r="I16872" s="223"/>
    </row>
    <row r="16873" spans="1:9">
      <c r="A16873" s="223"/>
      <c r="B16873" s="223"/>
      <c r="C16873" s="223"/>
      <c r="D16873" s="223"/>
      <c r="E16873" s="223"/>
      <c r="F16873" s="223"/>
      <c r="G16873" s="223"/>
      <c r="H16873" s="223"/>
      <c r="I16873" s="223"/>
    </row>
    <row r="16874" spans="1:9">
      <c r="A16874" s="223"/>
      <c r="B16874" s="223"/>
      <c r="C16874" s="223"/>
      <c r="D16874" s="223"/>
      <c r="E16874" s="223"/>
      <c r="F16874" s="223"/>
      <c r="G16874" s="223"/>
      <c r="H16874" s="223"/>
      <c r="I16874" s="223"/>
    </row>
    <row r="16875" spans="1:9">
      <c r="A16875" s="223"/>
      <c r="B16875" s="223"/>
      <c r="C16875" s="223"/>
      <c r="D16875" s="223"/>
      <c r="E16875" s="223"/>
      <c r="F16875" s="223"/>
      <c r="G16875" s="223"/>
      <c r="H16875" s="223"/>
      <c r="I16875" s="223"/>
    </row>
    <row r="16876" spans="1:9">
      <c r="A16876" s="223"/>
      <c r="B16876" s="223"/>
      <c r="C16876" s="223"/>
      <c r="D16876" s="223"/>
      <c r="E16876" s="223"/>
      <c r="F16876" s="223"/>
      <c r="G16876" s="223"/>
      <c r="H16876" s="223"/>
      <c r="I16876" s="223"/>
    </row>
    <row r="16877" spans="1:9">
      <c r="A16877" s="223"/>
      <c r="B16877" s="223"/>
      <c r="C16877" s="223"/>
      <c r="D16877" s="223"/>
      <c r="E16877" s="223"/>
      <c r="F16877" s="223"/>
      <c r="G16877" s="223"/>
      <c r="H16877" s="223"/>
      <c r="I16877" s="223"/>
    </row>
    <row r="16878" spans="1:9">
      <c r="A16878" s="223"/>
      <c r="B16878" s="223"/>
      <c r="C16878" s="223"/>
      <c r="D16878" s="223"/>
      <c r="E16878" s="223"/>
      <c r="F16878" s="223"/>
      <c r="G16878" s="223"/>
      <c r="H16878" s="223"/>
      <c r="I16878" s="223"/>
    </row>
    <row r="16879" spans="1:9">
      <c r="A16879" s="223"/>
      <c r="B16879" s="223"/>
      <c r="C16879" s="223"/>
      <c r="D16879" s="223"/>
      <c r="E16879" s="223"/>
      <c r="F16879" s="223"/>
      <c r="G16879" s="223"/>
      <c r="H16879" s="223"/>
      <c r="I16879" s="223"/>
    </row>
    <row r="16880" spans="1:9">
      <c r="A16880" s="223"/>
      <c r="B16880" s="223"/>
      <c r="C16880" s="223"/>
      <c r="D16880" s="223"/>
      <c r="E16880" s="223"/>
      <c r="F16880" s="223"/>
      <c r="G16880" s="223"/>
      <c r="H16880" s="223"/>
      <c r="I16880" s="223"/>
    </row>
    <row r="16881" spans="1:9">
      <c r="A16881" s="223"/>
      <c r="B16881" s="223"/>
      <c r="C16881" s="223"/>
      <c r="D16881" s="223"/>
      <c r="E16881" s="223"/>
      <c r="F16881" s="223"/>
      <c r="G16881" s="223"/>
      <c r="H16881" s="223"/>
      <c r="I16881" s="223"/>
    </row>
    <row r="16882" spans="1:9">
      <c r="A16882" s="223"/>
      <c r="B16882" s="223"/>
      <c r="C16882" s="223"/>
      <c r="D16882" s="223"/>
      <c r="E16882" s="223"/>
      <c r="F16882" s="223"/>
      <c r="G16882" s="223"/>
      <c r="H16882" s="223"/>
      <c r="I16882" s="223"/>
    </row>
    <row r="16883" spans="1:9">
      <c r="A16883" s="223"/>
      <c r="B16883" s="223"/>
      <c r="C16883" s="223"/>
      <c r="D16883" s="223"/>
      <c r="E16883" s="223"/>
      <c r="F16883" s="223"/>
      <c r="G16883" s="223"/>
      <c r="H16883" s="223"/>
      <c r="I16883" s="223"/>
    </row>
    <row r="16884" spans="1:9">
      <c r="A16884" s="223"/>
      <c r="B16884" s="223"/>
      <c r="C16884" s="223"/>
      <c r="D16884" s="223"/>
      <c r="E16884" s="223"/>
      <c r="F16884" s="223"/>
      <c r="G16884" s="223"/>
      <c r="H16884" s="223"/>
      <c r="I16884" s="223"/>
    </row>
    <row r="16885" spans="1:9">
      <c r="A16885" s="223"/>
      <c r="B16885" s="223"/>
      <c r="C16885" s="223"/>
      <c r="D16885" s="223"/>
      <c r="E16885" s="223"/>
      <c r="F16885" s="223"/>
      <c r="G16885" s="223"/>
      <c r="H16885" s="223"/>
      <c r="I16885" s="223"/>
    </row>
    <row r="16886" spans="1:9">
      <c r="A16886" s="223"/>
      <c r="B16886" s="223"/>
      <c r="C16886" s="223"/>
      <c r="D16886" s="223"/>
      <c r="E16886" s="223"/>
      <c r="F16886" s="223"/>
      <c r="G16886" s="223"/>
      <c r="H16886" s="223"/>
      <c r="I16886" s="223"/>
    </row>
    <row r="16887" spans="1:9">
      <c r="A16887" s="223"/>
      <c r="B16887" s="223"/>
      <c r="C16887" s="223"/>
      <c r="D16887" s="223"/>
      <c r="E16887" s="223"/>
      <c r="F16887" s="223"/>
      <c r="G16887" s="223"/>
      <c r="H16887" s="223"/>
      <c r="I16887" s="223"/>
    </row>
    <row r="16888" spans="1:9">
      <c r="A16888" s="223"/>
      <c r="B16888" s="223"/>
      <c r="C16888" s="223"/>
      <c r="D16888" s="223"/>
      <c r="E16888" s="223"/>
      <c r="F16888" s="223"/>
      <c r="G16888" s="223"/>
      <c r="H16888" s="223"/>
      <c r="I16888" s="223"/>
    </row>
    <row r="16889" spans="1:9">
      <c r="A16889" s="223"/>
      <c r="B16889" s="223"/>
      <c r="C16889" s="223"/>
      <c r="D16889" s="223"/>
      <c r="E16889" s="223"/>
      <c r="F16889" s="223"/>
      <c r="G16889" s="223"/>
      <c r="H16889" s="223"/>
      <c r="I16889" s="223"/>
    </row>
    <row r="16890" spans="1:9">
      <c r="A16890" s="223"/>
      <c r="B16890" s="223"/>
      <c r="C16890" s="223"/>
      <c r="D16890" s="223"/>
      <c r="E16890" s="223"/>
      <c r="F16890" s="223"/>
      <c r="G16890" s="223"/>
      <c r="H16890" s="223"/>
      <c r="I16890" s="223"/>
    </row>
    <row r="16891" spans="1:9">
      <c r="A16891" s="223"/>
      <c r="B16891" s="223"/>
      <c r="C16891" s="223"/>
      <c r="D16891" s="223"/>
      <c r="E16891" s="223"/>
      <c r="F16891" s="223"/>
      <c r="G16891" s="223"/>
      <c r="H16891" s="223"/>
      <c r="I16891" s="223"/>
    </row>
    <row r="16892" spans="1:9">
      <c r="A16892" s="223"/>
      <c r="B16892" s="223"/>
      <c r="C16892" s="223"/>
      <c r="D16892" s="223"/>
      <c r="E16892" s="223"/>
      <c r="F16892" s="223"/>
      <c r="G16892" s="223"/>
      <c r="H16892" s="223"/>
      <c r="I16892" s="223"/>
    </row>
    <row r="16893" spans="1:9">
      <c r="A16893" s="223"/>
      <c r="B16893" s="223"/>
      <c r="C16893" s="223"/>
      <c r="D16893" s="223"/>
      <c r="E16893" s="223"/>
      <c r="F16893" s="223"/>
      <c r="G16893" s="223"/>
      <c r="H16893" s="223"/>
      <c r="I16893" s="223"/>
    </row>
    <row r="16894" spans="1:9">
      <c r="A16894" s="223"/>
      <c r="B16894" s="223"/>
      <c r="C16894" s="223"/>
      <c r="D16894" s="223"/>
      <c r="E16894" s="223"/>
      <c r="F16894" s="223"/>
      <c r="G16894" s="223"/>
      <c r="H16894" s="223"/>
      <c r="I16894" s="223"/>
    </row>
    <row r="16895" spans="1:9">
      <c r="A16895" s="223"/>
      <c r="B16895" s="223"/>
      <c r="C16895" s="223"/>
      <c r="D16895" s="223"/>
      <c r="E16895" s="223"/>
      <c r="F16895" s="223"/>
      <c r="G16895" s="223"/>
      <c r="H16895" s="223"/>
      <c r="I16895" s="223"/>
    </row>
    <row r="16896" spans="1:9">
      <c r="A16896" s="223"/>
      <c r="B16896" s="223"/>
      <c r="C16896" s="223"/>
      <c r="D16896" s="223"/>
      <c r="E16896" s="223"/>
      <c r="F16896" s="223"/>
      <c r="G16896" s="223"/>
      <c r="H16896" s="223"/>
      <c r="I16896" s="223"/>
    </row>
    <row r="16897" spans="1:9">
      <c r="A16897" s="223"/>
      <c r="B16897" s="223"/>
      <c r="C16897" s="223"/>
      <c r="D16897" s="223"/>
      <c r="E16897" s="223"/>
      <c r="F16897" s="223"/>
      <c r="G16897" s="223"/>
      <c r="H16897" s="223"/>
      <c r="I16897" s="223"/>
    </row>
    <row r="16898" spans="1:9">
      <c r="A16898" s="223"/>
      <c r="B16898" s="223"/>
      <c r="C16898" s="223"/>
      <c r="D16898" s="223"/>
      <c r="E16898" s="223"/>
      <c r="F16898" s="223"/>
      <c r="G16898" s="223"/>
      <c r="H16898" s="223"/>
      <c r="I16898" s="223"/>
    </row>
    <row r="16899" spans="1:9">
      <c r="A16899" s="223"/>
      <c r="B16899" s="223"/>
      <c r="C16899" s="223"/>
      <c r="D16899" s="223"/>
      <c r="E16899" s="223"/>
      <c r="F16899" s="223"/>
      <c r="G16899" s="223"/>
      <c r="H16899" s="223"/>
      <c r="I16899" s="223"/>
    </row>
    <row r="16900" spans="1:9">
      <c r="A16900" s="223"/>
      <c r="B16900" s="223"/>
      <c r="C16900" s="223"/>
      <c r="D16900" s="223"/>
      <c r="E16900" s="223"/>
      <c r="F16900" s="223"/>
      <c r="G16900" s="223"/>
      <c r="H16900" s="223"/>
      <c r="I16900" s="223"/>
    </row>
    <row r="16901" spans="1:9">
      <c r="A16901" s="223"/>
      <c r="B16901" s="223"/>
      <c r="C16901" s="223"/>
      <c r="D16901" s="223"/>
      <c r="E16901" s="223"/>
      <c r="F16901" s="223"/>
      <c r="G16901" s="223"/>
      <c r="H16901" s="223"/>
      <c r="I16901" s="223"/>
    </row>
    <row r="16902" spans="1:9">
      <c r="A16902" s="224"/>
      <c r="B16902" s="224"/>
      <c r="C16902" s="224"/>
      <c r="D16902" s="224"/>
      <c r="E16902" s="224"/>
      <c r="F16902" s="224"/>
      <c r="G16902" s="224"/>
      <c r="H16902" s="224"/>
      <c r="I16902" s="223"/>
    </row>
    <row r="16903" spans="1:9">
      <c r="A16903" s="224"/>
      <c r="B16903" s="224"/>
      <c r="C16903" s="224"/>
      <c r="D16903" s="224"/>
      <c r="E16903" s="224"/>
      <c r="F16903" s="224"/>
      <c r="G16903" s="224"/>
      <c r="H16903" s="224"/>
      <c r="I16903" s="223"/>
    </row>
    <row r="16904" spans="1:9">
      <c r="A16904" s="224"/>
      <c r="B16904" s="224"/>
      <c r="C16904" s="224"/>
      <c r="D16904" s="224"/>
      <c r="E16904" s="224"/>
      <c r="F16904" s="224"/>
      <c r="G16904" s="224"/>
      <c r="H16904" s="224"/>
      <c r="I16904" s="223"/>
    </row>
    <row r="16905" spans="1:9">
      <c r="A16905" s="224"/>
      <c r="B16905" s="224"/>
      <c r="C16905" s="224"/>
      <c r="D16905" s="224"/>
      <c r="E16905" s="224"/>
      <c r="F16905" s="224"/>
      <c r="G16905" s="224"/>
      <c r="H16905" s="224"/>
      <c r="I16905" s="223"/>
    </row>
    <row r="16906" spans="1:9">
      <c r="A16906" s="224"/>
      <c r="B16906" s="224"/>
      <c r="C16906" s="224"/>
      <c r="D16906" s="224"/>
      <c r="E16906" s="224"/>
      <c r="F16906" s="224"/>
      <c r="G16906" s="224"/>
      <c r="H16906" s="224"/>
      <c r="I16906" s="223"/>
    </row>
    <row r="16907" spans="1:9">
      <c r="A16907" s="224"/>
      <c r="B16907" s="224"/>
      <c r="C16907" s="224"/>
      <c r="D16907" s="224"/>
      <c r="E16907" s="224"/>
      <c r="F16907" s="224"/>
      <c r="G16907" s="224"/>
      <c r="H16907" s="224"/>
      <c r="I16907" s="223"/>
    </row>
    <row r="16908" spans="1:9">
      <c r="A16908" s="224"/>
      <c r="B16908" s="224"/>
      <c r="C16908" s="224"/>
      <c r="D16908" s="224"/>
      <c r="E16908" s="224"/>
      <c r="F16908" s="224"/>
      <c r="G16908" s="224"/>
      <c r="H16908" s="224"/>
      <c r="I16908" s="223"/>
    </row>
    <row r="16909" spans="1:9">
      <c r="A16909" s="224"/>
      <c r="B16909" s="224"/>
      <c r="C16909" s="224"/>
      <c r="D16909" s="224"/>
      <c r="E16909" s="224"/>
      <c r="F16909" s="224"/>
      <c r="G16909" s="224"/>
      <c r="H16909" s="224"/>
      <c r="I16909" s="223"/>
    </row>
    <row r="16910" spans="1:9">
      <c r="A16910" s="224"/>
      <c r="B16910" s="224"/>
      <c r="C16910" s="224"/>
      <c r="D16910" s="224"/>
      <c r="E16910" s="224"/>
      <c r="F16910" s="224"/>
      <c r="G16910" s="224"/>
      <c r="H16910" s="224"/>
      <c r="I16910" s="223"/>
    </row>
    <row r="16911" spans="1:9">
      <c r="A16911" s="224"/>
      <c r="B16911" s="224"/>
      <c r="C16911" s="224"/>
      <c r="D16911" s="224"/>
      <c r="E16911" s="224"/>
      <c r="F16911" s="224"/>
      <c r="G16911" s="224"/>
      <c r="H16911" s="224"/>
      <c r="I16911" s="223"/>
    </row>
    <row r="16912" spans="1:9">
      <c r="A16912" s="224"/>
      <c r="B16912" s="224"/>
      <c r="C16912" s="224"/>
      <c r="D16912" s="224"/>
      <c r="E16912" s="224"/>
      <c r="F16912" s="224"/>
      <c r="G16912" s="224"/>
      <c r="H16912" s="224"/>
      <c r="I16912" s="223"/>
    </row>
    <row r="16913" spans="1:9">
      <c r="A16913" s="224"/>
      <c r="B16913" s="224"/>
      <c r="C16913" s="224"/>
      <c r="D16913" s="224"/>
      <c r="E16913" s="224"/>
      <c r="F16913" s="224"/>
      <c r="G16913" s="224"/>
      <c r="H16913" s="224"/>
      <c r="I16913" s="223"/>
    </row>
    <row r="16914" spans="1:9">
      <c r="A16914" s="224"/>
      <c r="B16914" s="224"/>
      <c r="C16914" s="224"/>
      <c r="D16914" s="224"/>
      <c r="E16914" s="224"/>
      <c r="F16914" s="224"/>
      <c r="G16914" s="224"/>
      <c r="H16914" s="224"/>
      <c r="I16914" s="223"/>
    </row>
    <row r="16915" spans="1:9">
      <c r="A16915" s="224"/>
      <c r="B16915" s="224"/>
      <c r="C16915" s="224"/>
      <c r="D16915" s="224"/>
      <c r="E16915" s="224"/>
      <c r="F16915" s="224"/>
      <c r="G16915" s="224"/>
      <c r="H16915" s="224"/>
      <c r="I16915" s="223"/>
    </row>
    <row r="16916" spans="1:9">
      <c r="A16916" s="224"/>
      <c r="B16916" s="224"/>
      <c r="C16916" s="224"/>
      <c r="D16916" s="224"/>
      <c r="E16916" s="224"/>
      <c r="F16916" s="224"/>
      <c r="G16916" s="224"/>
      <c r="H16916" s="224"/>
      <c r="I16916" s="223"/>
    </row>
    <row r="16917" spans="1:9">
      <c r="A16917" s="224"/>
      <c r="B16917" s="224"/>
      <c r="C16917" s="224"/>
      <c r="D16917" s="224"/>
      <c r="E16917" s="224"/>
      <c r="F16917" s="224"/>
      <c r="G16917" s="224"/>
      <c r="H16917" s="224"/>
      <c r="I16917" s="223"/>
    </row>
    <row r="16918" spans="1:9">
      <c r="A16918" s="224"/>
      <c r="B16918" s="224"/>
      <c r="C16918" s="224"/>
      <c r="D16918" s="224"/>
      <c r="E16918" s="224"/>
      <c r="F16918" s="224"/>
      <c r="G16918" s="224"/>
      <c r="H16918" s="224"/>
      <c r="I16918" s="223"/>
    </row>
    <row r="16919" spans="1:9">
      <c r="A16919" s="224"/>
      <c r="B16919" s="224"/>
      <c r="C16919" s="224"/>
      <c r="D16919" s="224"/>
      <c r="E16919" s="224"/>
      <c r="F16919" s="224"/>
      <c r="G16919" s="224"/>
      <c r="H16919" s="224"/>
      <c r="I16919" s="223"/>
    </row>
    <row r="16920" spans="1:9">
      <c r="A16920" s="224"/>
      <c r="B16920" s="224"/>
      <c r="C16920" s="224"/>
      <c r="D16920" s="224"/>
      <c r="E16920" s="224"/>
      <c r="F16920" s="224"/>
      <c r="G16920" s="224"/>
      <c r="H16920" s="224"/>
      <c r="I16920" s="223"/>
    </row>
    <row r="16921" spans="1:9">
      <c r="A16921" s="224"/>
      <c r="B16921" s="224"/>
      <c r="C16921" s="224"/>
      <c r="D16921" s="224"/>
      <c r="E16921" s="224"/>
      <c r="F16921" s="224"/>
      <c r="G16921" s="224"/>
      <c r="H16921" s="224"/>
      <c r="I16921" s="223"/>
    </row>
    <row r="16922" spans="1:9">
      <c r="A16922" s="224"/>
      <c r="B16922" s="224"/>
      <c r="C16922" s="224"/>
      <c r="D16922" s="224"/>
      <c r="E16922" s="224"/>
      <c r="F16922" s="224"/>
      <c r="G16922" s="224"/>
      <c r="H16922" s="224"/>
      <c r="I16922" s="223"/>
    </row>
    <row r="16923" spans="1:9">
      <c r="A16923" s="224"/>
      <c r="B16923" s="224"/>
      <c r="C16923" s="224"/>
      <c r="D16923" s="224"/>
      <c r="E16923" s="224"/>
      <c r="F16923" s="224"/>
      <c r="G16923" s="224"/>
      <c r="H16923" s="224"/>
      <c r="I16923" s="223"/>
    </row>
    <row r="16924" spans="1:9">
      <c r="A16924" s="224"/>
      <c r="B16924" s="224"/>
      <c r="C16924" s="224"/>
      <c r="D16924" s="224"/>
      <c r="E16924" s="224"/>
      <c r="F16924" s="224"/>
      <c r="G16924" s="224"/>
      <c r="H16924" s="224"/>
      <c r="I16924" s="223"/>
    </row>
    <row r="16925" spans="1:9">
      <c r="A16925" s="224"/>
      <c r="B16925" s="224"/>
      <c r="C16925" s="224"/>
      <c r="D16925" s="224"/>
      <c r="E16925" s="224"/>
      <c r="F16925" s="224"/>
      <c r="G16925" s="224"/>
      <c r="H16925" s="224"/>
      <c r="I16925" s="223"/>
    </row>
    <row r="16926" spans="1:9">
      <c r="A16926" s="224"/>
      <c r="B16926" s="224"/>
      <c r="C16926" s="224"/>
      <c r="D16926" s="224"/>
      <c r="E16926" s="224"/>
      <c r="F16926" s="224"/>
      <c r="G16926" s="224"/>
      <c r="H16926" s="224"/>
      <c r="I16926" s="223"/>
    </row>
    <row r="16927" spans="1:9">
      <c r="A16927" s="224"/>
      <c r="B16927" s="224"/>
      <c r="C16927" s="224"/>
      <c r="D16927" s="224"/>
      <c r="E16927" s="224"/>
      <c r="F16927" s="224"/>
      <c r="G16927" s="224"/>
      <c r="H16927" s="224"/>
      <c r="I16927" s="223"/>
    </row>
    <row r="16928" spans="1:9">
      <c r="A16928" s="224"/>
      <c r="B16928" s="224"/>
      <c r="C16928" s="224"/>
      <c r="D16928" s="224"/>
      <c r="E16928" s="224"/>
      <c r="F16928" s="224"/>
      <c r="G16928" s="224"/>
      <c r="H16928" s="224"/>
      <c r="I16928" s="223"/>
    </row>
    <row r="16929" spans="1:9">
      <c r="A16929" s="224"/>
      <c r="B16929" s="224"/>
      <c r="C16929" s="224"/>
      <c r="D16929" s="224"/>
      <c r="E16929" s="224"/>
      <c r="F16929" s="224"/>
      <c r="G16929" s="224"/>
      <c r="H16929" s="224"/>
      <c r="I16929" s="223"/>
    </row>
    <row r="16930" spans="1:9">
      <c r="A16930" s="224"/>
      <c r="B16930" s="224"/>
      <c r="C16930" s="224"/>
      <c r="D16930" s="224"/>
      <c r="E16930" s="224"/>
      <c r="F16930" s="224"/>
      <c r="G16930" s="224"/>
      <c r="H16930" s="224"/>
      <c r="I16930" s="223"/>
    </row>
    <row r="16931" spans="1:9">
      <c r="A16931" s="224"/>
      <c r="B16931" s="224"/>
      <c r="C16931" s="224"/>
      <c r="D16931" s="224"/>
      <c r="E16931" s="224"/>
      <c r="F16931" s="224"/>
      <c r="G16931" s="224"/>
      <c r="H16931" s="224"/>
      <c r="I16931" s="223"/>
    </row>
    <row r="16932" spans="1:9">
      <c r="A16932" s="224"/>
      <c r="B16932" s="224"/>
      <c r="C16932" s="224"/>
      <c r="D16932" s="224"/>
      <c r="E16932" s="224"/>
      <c r="F16932" s="224"/>
      <c r="G16932" s="224"/>
      <c r="H16932" s="224"/>
      <c r="I16932" s="223"/>
    </row>
    <row r="16933" spans="1:9">
      <c r="A16933" s="224"/>
      <c r="B16933" s="224"/>
      <c r="C16933" s="224"/>
      <c r="D16933" s="224"/>
      <c r="E16933" s="224"/>
      <c r="F16933" s="224"/>
      <c r="G16933" s="224"/>
      <c r="H16933" s="224"/>
      <c r="I16933" s="223"/>
    </row>
    <row r="16934" spans="1:9">
      <c r="A16934" s="224"/>
      <c r="B16934" s="224"/>
      <c r="C16934" s="224"/>
      <c r="D16934" s="224"/>
      <c r="E16934" s="224"/>
      <c r="F16934" s="224"/>
      <c r="G16934" s="224"/>
      <c r="H16934" s="224"/>
      <c r="I16934" s="223"/>
    </row>
    <row r="16935" spans="1:9">
      <c r="A16935" s="224"/>
      <c r="B16935" s="224"/>
      <c r="C16935" s="224"/>
      <c r="D16935" s="224"/>
      <c r="E16935" s="224"/>
      <c r="F16935" s="224"/>
      <c r="G16935" s="224"/>
      <c r="H16935" s="224"/>
      <c r="I16935" s="223"/>
    </row>
    <row r="16936" spans="1:9">
      <c r="A16936" s="224"/>
      <c r="B16936" s="224"/>
      <c r="C16936" s="224"/>
      <c r="D16936" s="224"/>
      <c r="E16936" s="224"/>
      <c r="F16936" s="224"/>
      <c r="G16936" s="224"/>
      <c r="H16936" s="224"/>
      <c r="I16936" s="223"/>
    </row>
    <row r="16937" spans="1:9">
      <c r="A16937" s="224"/>
      <c r="B16937" s="224"/>
      <c r="C16937" s="224"/>
      <c r="D16937" s="224"/>
      <c r="E16937" s="224"/>
      <c r="F16937" s="224"/>
      <c r="G16937" s="224"/>
      <c r="H16937" s="224"/>
      <c r="I16937" s="223"/>
    </row>
    <row r="16938" spans="1:9">
      <c r="A16938" s="224"/>
      <c r="B16938" s="224"/>
      <c r="C16938" s="224"/>
      <c r="D16938" s="224"/>
      <c r="E16938" s="224"/>
      <c r="F16938" s="224"/>
      <c r="G16938" s="224"/>
      <c r="H16938" s="224"/>
      <c r="I16938" s="223"/>
    </row>
    <row r="16939" spans="1:9">
      <c r="A16939" s="224"/>
      <c r="B16939" s="224"/>
      <c r="C16939" s="224"/>
      <c r="D16939" s="224"/>
      <c r="E16939" s="224"/>
      <c r="F16939" s="224"/>
      <c r="G16939" s="224"/>
      <c r="H16939" s="224"/>
      <c r="I16939" s="223"/>
    </row>
    <row r="16940" spans="1:9">
      <c r="A16940" s="224"/>
      <c r="B16940" s="224"/>
      <c r="C16940" s="224"/>
      <c r="D16940" s="224"/>
      <c r="E16940" s="224"/>
      <c r="F16940" s="224"/>
      <c r="G16940" s="224"/>
      <c r="H16940" s="224"/>
      <c r="I16940" s="223"/>
    </row>
    <row r="16941" spans="1:9">
      <c r="A16941" s="224"/>
      <c r="B16941" s="224"/>
      <c r="C16941" s="224"/>
      <c r="D16941" s="224"/>
      <c r="E16941" s="224"/>
      <c r="F16941" s="224"/>
      <c r="G16941" s="224"/>
      <c r="H16941" s="224"/>
      <c r="I16941" s="223"/>
    </row>
    <row r="16942" spans="1:9">
      <c r="A16942" s="224"/>
      <c r="B16942" s="224"/>
      <c r="C16942" s="224"/>
      <c r="D16942" s="224"/>
      <c r="E16942" s="224"/>
      <c r="F16942" s="224"/>
      <c r="G16942" s="224"/>
      <c r="H16942" s="224"/>
      <c r="I16942" s="223"/>
    </row>
    <row r="16943" spans="1:9">
      <c r="A16943" s="224"/>
      <c r="B16943" s="224"/>
      <c r="C16943" s="224"/>
      <c r="D16943" s="224"/>
      <c r="E16943" s="224"/>
      <c r="F16943" s="224"/>
      <c r="G16943" s="224"/>
      <c r="H16943" s="224"/>
      <c r="I16943" s="223"/>
    </row>
    <row r="16944" spans="1:9">
      <c r="A16944" s="224"/>
      <c r="B16944" s="224"/>
      <c r="C16944" s="224"/>
      <c r="D16944" s="224"/>
      <c r="E16944" s="224"/>
      <c r="F16944" s="224"/>
      <c r="G16944" s="224"/>
      <c r="H16944" s="224"/>
      <c r="I16944" s="223"/>
    </row>
    <row r="16945" spans="1:9">
      <c r="A16945" s="224"/>
      <c r="B16945" s="224"/>
      <c r="C16945" s="224"/>
      <c r="D16945" s="224"/>
      <c r="E16945" s="224"/>
      <c r="F16945" s="224"/>
      <c r="G16945" s="224"/>
      <c r="H16945" s="224"/>
      <c r="I16945" s="223"/>
    </row>
    <row r="16946" spans="1:9">
      <c r="A16946" s="224"/>
      <c r="B16946" s="224"/>
      <c r="C16946" s="224"/>
      <c r="D16946" s="224"/>
      <c r="E16946" s="224"/>
      <c r="F16946" s="224"/>
      <c r="G16946" s="224"/>
      <c r="H16946" s="224"/>
      <c r="I16946" s="223"/>
    </row>
    <row r="16947" spans="1:9">
      <c r="A16947" s="224"/>
      <c r="B16947" s="224"/>
      <c r="C16947" s="224"/>
      <c r="D16947" s="224"/>
      <c r="E16947" s="224"/>
      <c r="F16947" s="224"/>
      <c r="G16947" s="224"/>
      <c r="H16947" s="224"/>
      <c r="I16947" s="223"/>
    </row>
    <row r="16948" spans="1:9">
      <c r="A16948" s="224"/>
      <c r="B16948" s="224"/>
      <c r="C16948" s="224"/>
      <c r="D16948" s="224"/>
      <c r="E16948" s="224"/>
      <c r="F16948" s="224"/>
      <c r="G16948" s="224"/>
      <c r="H16948" s="224"/>
      <c r="I16948" s="223"/>
    </row>
    <row r="16949" spans="1:9">
      <c r="A16949" s="224"/>
      <c r="B16949" s="224"/>
      <c r="C16949" s="224"/>
      <c r="D16949" s="224"/>
      <c r="E16949" s="224"/>
      <c r="F16949" s="224"/>
      <c r="G16949" s="224"/>
      <c r="H16949" s="224"/>
      <c r="I16949" s="223"/>
    </row>
    <row r="16950" spans="1:9">
      <c r="A16950" s="224"/>
      <c r="B16950" s="224"/>
      <c r="C16950" s="224"/>
      <c r="D16950" s="224"/>
      <c r="E16950" s="224"/>
      <c r="F16950" s="224"/>
      <c r="G16950" s="224"/>
      <c r="H16950" s="224"/>
      <c r="I16950" s="223"/>
    </row>
    <row r="16951" spans="1:9">
      <c r="A16951" s="224"/>
      <c r="B16951" s="224"/>
      <c r="C16951" s="224"/>
      <c r="D16951" s="224"/>
      <c r="E16951" s="224"/>
      <c r="F16951" s="224"/>
      <c r="G16951" s="224"/>
      <c r="H16951" s="224"/>
      <c r="I16951" s="223"/>
    </row>
    <row r="16952" spans="1:9">
      <c r="A16952" s="224"/>
      <c r="B16952" s="224"/>
      <c r="C16952" s="224"/>
      <c r="D16952" s="224"/>
      <c r="E16952" s="224"/>
      <c r="F16952" s="224"/>
      <c r="G16952" s="224"/>
      <c r="H16952" s="224"/>
      <c r="I16952" s="223"/>
    </row>
    <row r="16953" spans="1:9">
      <c r="A16953" s="224"/>
      <c r="B16953" s="224"/>
      <c r="C16953" s="224"/>
      <c r="D16953" s="224"/>
      <c r="E16953" s="224"/>
      <c r="F16953" s="224"/>
      <c r="G16953" s="224"/>
      <c r="H16953" s="224"/>
      <c r="I16953" s="223"/>
    </row>
    <row r="16954" spans="1:9">
      <c r="A16954" s="224"/>
      <c r="B16954" s="224"/>
      <c r="C16954" s="224"/>
      <c r="D16954" s="224"/>
      <c r="E16954" s="224"/>
      <c r="F16954" s="224"/>
      <c r="G16954" s="224"/>
      <c r="H16954" s="224"/>
      <c r="I16954" s="223"/>
    </row>
    <row r="16955" spans="1:9">
      <c r="A16955" s="224"/>
      <c r="B16955" s="224"/>
      <c r="C16955" s="224"/>
      <c r="D16955" s="224"/>
      <c r="E16955" s="224"/>
      <c r="F16955" s="224"/>
      <c r="G16955" s="224"/>
      <c r="H16955" s="224"/>
      <c r="I16955" s="223"/>
    </row>
    <row r="16956" spans="1:9">
      <c r="A16956" s="224"/>
      <c r="B16956" s="224"/>
      <c r="C16956" s="224"/>
      <c r="D16956" s="224"/>
      <c r="E16956" s="224"/>
      <c r="F16956" s="224"/>
      <c r="G16956" s="224"/>
      <c r="H16956" s="224"/>
      <c r="I16956" s="223"/>
    </row>
    <row r="16957" spans="1:9">
      <c r="A16957" s="224"/>
      <c r="B16957" s="224"/>
      <c r="C16957" s="224"/>
      <c r="D16957" s="224"/>
      <c r="E16957" s="224"/>
      <c r="F16957" s="224"/>
      <c r="G16957" s="224"/>
      <c r="H16957" s="224"/>
      <c r="I16957" s="223"/>
    </row>
    <row r="16958" spans="1:9">
      <c r="A16958" s="224"/>
      <c r="B16958" s="224"/>
      <c r="C16958" s="224"/>
      <c r="D16958" s="224"/>
      <c r="E16958" s="224"/>
      <c r="F16958" s="224"/>
      <c r="G16958" s="224"/>
      <c r="H16958" s="224"/>
      <c r="I16958" s="223"/>
    </row>
    <row r="16959" spans="1:9">
      <c r="A16959" s="224"/>
      <c r="B16959" s="224"/>
      <c r="C16959" s="224"/>
      <c r="D16959" s="224"/>
      <c r="E16959" s="224"/>
      <c r="F16959" s="224"/>
      <c r="G16959" s="224"/>
      <c r="H16959" s="224"/>
      <c r="I16959" s="223"/>
    </row>
    <row r="16960" spans="1:9">
      <c r="A16960" s="224"/>
      <c r="B16960" s="224"/>
      <c r="C16960" s="224"/>
      <c r="D16960" s="224"/>
      <c r="E16960" s="224"/>
      <c r="F16960" s="224"/>
      <c r="G16960" s="224"/>
      <c r="H16960" s="224"/>
      <c r="I16960" s="223"/>
    </row>
    <row r="16961" spans="1:9">
      <c r="A16961" s="224"/>
      <c r="B16961" s="224"/>
      <c r="C16961" s="224"/>
      <c r="D16961" s="224"/>
      <c r="E16961" s="224"/>
      <c r="F16961" s="224"/>
      <c r="G16961" s="224"/>
      <c r="H16961" s="224"/>
      <c r="I16961" s="223"/>
    </row>
    <row r="16962" spans="1:9">
      <c r="A16962" s="224"/>
      <c r="B16962" s="224"/>
      <c r="C16962" s="224"/>
      <c r="D16962" s="224"/>
      <c r="E16962" s="224"/>
      <c r="F16962" s="224"/>
      <c r="G16962" s="224"/>
      <c r="H16962" s="224"/>
      <c r="I16962" s="223"/>
    </row>
    <row r="16963" spans="1:9">
      <c r="A16963" s="224"/>
      <c r="B16963" s="224"/>
      <c r="C16963" s="224"/>
      <c r="D16963" s="224"/>
      <c r="E16963" s="224"/>
      <c r="F16963" s="224"/>
      <c r="G16963" s="224"/>
      <c r="H16963" s="224"/>
      <c r="I16963" s="223"/>
    </row>
    <row r="16964" spans="1:9">
      <c r="A16964" s="224"/>
      <c r="B16964" s="224"/>
      <c r="C16964" s="224"/>
      <c r="D16964" s="224"/>
      <c r="E16964" s="224"/>
      <c r="F16964" s="224"/>
      <c r="G16964" s="224"/>
      <c r="H16964" s="224"/>
      <c r="I16964" s="223"/>
    </row>
    <row r="16965" spans="1:9">
      <c r="A16965" s="224"/>
      <c r="B16965" s="224"/>
      <c r="C16965" s="224"/>
      <c r="D16965" s="224"/>
      <c r="E16965" s="224"/>
      <c r="F16965" s="224"/>
      <c r="G16965" s="224"/>
      <c r="H16965" s="224"/>
      <c r="I16965" s="223"/>
    </row>
    <row r="16966" spans="1:9">
      <c r="A16966" s="224"/>
      <c r="B16966" s="224"/>
      <c r="C16966" s="224"/>
      <c r="D16966" s="224"/>
      <c r="E16966" s="224"/>
      <c r="F16966" s="224"/>
      <c r="G16966" s="224"/>
      <c r="H16966" s="224"/>
      <c r="I16966" s="223"/>
    </row>
    <row r="16967" spans="1:9">
      <c r="A16967" s="224"/>
      <c r="B16967" s="224"/>
      <c r="C16967" s="224"/>
      <c r="D16967" s="224"/>
      <c r="E16967" s="224"/>
      <c r="F16967" s="224"/>
      <c r="G16967" s="224"/>
      <c r="H16967" s="224"/>
      <c r="I16967" s="223"/>
    </row>
    <row r="16968" spans="1:9">
      <c r="A16968" s="224"/>
      <c r="B16968" s="224"/>
      <c r="C16968" s="224"/>
      <c r="D16968" s="224"/>
      <c r="E16968" s="224"/>
      <c r="F16968" s="224"/>
      <c r="G16968" s="224"/>
      <c r="H16968" s="224"/>
      <c r="I16968" s="223"/>
    </row>
    <row r="16969" spans="1:9">
      <c r="A16969" s="224"/>
      <c r="B16969" s="224"/>
      <c r="C16969" s="224"/>
      <c r="D16969" s="224"/>
      <c r="E16969" s="224"/>
      <c r="F16969" s="224"/>
      <c r="G16969" s="224"/>
      <c r="H16969" s="224"/>
      <c r="I16969" s="223"/>
    </row>
    <row r="16970" spans="1:9">
      <c r="A16970" s="224"/>
      <c r="B16970" s="224"/>
      <c r="C16970" s="224"/>
      <c r="D16970" s="224"/>
      <c r="E16970" s="224"/>
      <c r="F16970" s="224"/>
      <c r="G16970" s="224"/>
      <c r="H16970" s="224"/>
      <c r="I16970" s="223"/>
    </row>
    <row r="16971" spans="1:9">
      <c r="A16971" s="224"/>
      <c r="B16971" s="224"/>
      <c r="C16971" s="224"/>
      <c r="D16971" s="224"/>
      <c r="E16971" s="224"/>
      <c r="F16971" s="224"/>
      <c r="G16971" s="224"/>
      <c r="H16971" s="224"/>
      <c r="I16971" s="223"/>
    </row>
    <row r="16972" spans="1:9">
      <c r="A16972" s="224"/>
      <c r="B16972" s="224"/>
      <c r="C16972" s="224"/>
      <c r="D16972" s="224"/>
      <c r="E16972" s="224"/>
      <c r="F16972" s="224"/>
      <c r="G16972" s="224"/>
      <c r="H16972" s="224"/>
      <c r="I16972" s="223"/>
    </row>
    <row r="16973" spans="1:9">
      <c r="A16973" s="224"/>
      <c r="B16973" s="224"/>
      <c r="C16973" s="224"/>
      <c r="D16973" s="224"/>
      <c r="E16973" s="224"/>
      <c r="F16973" s="224"/>
      <c r="G16973" s="224"/>
      <c r="H16973" s="224"/>
      <c r="I16973" s="223"/>
    </row>
    <row r="16974" spans="1:9">
      <c r="A16974" s="224"/>
      <c r="B16974" s="224"/>
      <c r="C16974" s="224"/>
      <c r="D16974" s="224"/>
      <c r="E16974" s="224"/>
      <c r="F16974" s="224"/>
      <c r="G16974" s="224"/>
      <c r="H16974" s="224"/>
      <c r="I16974" s="223"/>
    </row>
    <row r="16975" spans="1:9">
      <c r="A16975" s="224"/>
      <c r="B16975" s="224"/>
      <c r="C16975" s="224"/>
      <c r="D16975" s="224"/>
      <c r="E16975" s="224"/>
      <c r="F16975" s="224"/>
      <c r="G16975" s="224"/>
      <c r="H16975" s="224"/>
      <c r="I16975" s="223"/>
    </row>
    <row r="16976" spans="1:9">
      <c r="A16976" s="224"/>
      <c r="B16976" s="224"/>
      <c r="C16976" s="224"/>
      <c r="D16976" s="224"/>
      <c r="E16976" s="224"/>
      <c r="F16976" s="224"/>
      <c r="G16976" s="224"/>
      <c r="H16976" s="224"/>
      <c r="I16976" s="223"/>
    </row>
    <row r="16977" spans="1:9">
      <c r="A16977" s="224"/>
      <c r="B16977" s="224"/>
      <c r="C16977" s="224"/>
      <c r="D16977" s="224"/>
      <c r="E16977" s="224"/>
      <c r="F16977" s="224"/>
      <c r="G16977" s="224"/>
      <c r="H16977" s="224"/>
      <c r="I16977" s="223"/>
    </row>
    <row r="16978" spans="1:9">
      <c r="A16978" s="224"/>
      <c r="B16978" s="224"/>
      <c r="C16978" s="224"/>
      <c r="D16978" s="224"/>
      <c r="E16978" s="224"/>
      <c r="F16978" s="224"/>
      <c r="G16978" s="224"/>
      <c r="H16978" s="224"/>
      <c r="I16978" s="223"/>
    </row>
    <row r="16979" spans="1:9">
      <c r="A16979" s="224"/>
      <c r="B16979" s="224"/>
      <c r="C16979" s="224"/>
      <c r="D16979" s="224"/>
      <c r="E16979" s="224"/>
      <c r="F16979" s="224"/>
      <c r="G16979" s="224"/>
      <c r="H16979" s="224"/>
      <c r="I16979" s="223"/>
    </row>
    <row r="16980" spans="1:9">
      <c r="A16980" s="224"/>
      <c r="B16980" s="224"/>
      <c r="C16980" s="224"/>
      <c r="D16980" s="224"/>
      <c r="E16980" s="224"/>
      <c r="F16980" s="224"/>
      <c r="G16980" s="224"/>
      <c r="H16980" s="224"/>
      <c r="I16980" s="223"/>
    </row>
    <row r="16981" spans="1:9">
      <c r="A16981" s="224"/>
      <c r="B16981" s="224"/>
      <c r="C16981" s="224"/>
      <c r="D16981" s="224"/>
      <c r="E16981" s="224"/>
      <c r="F16981" s="224"/>
      <c r="G16981" s="224"/>
      <c r="H16981" s="224"/>
      <c r="I16981" s="223"/>
    </row>
    <row r="16982" spans="1:9">
      <c r="A16982" s="224"/>
      <c r="B16982" s="224"/>
      <c r="C16982" s="224"/>
      <c r="D16982" s="224"/>
      <c r="E16982" s="224"/>
      <c r="F16982" s="224"/>
      <c r="G16982" s="224"/>
      <c r="H16982" s="224"/>
      <c r="I16982" s="223"/>
    </row>
    <row r="16983" spans="1:9">
      <c r="A16983" s="224"/>
      <c r="B16983" s="224"/>
      <c r="C16983" s="224"/>
      <c r="D16983" s="224"/>
      <c r="E16983" s="224"/>
      <c r="F16983" s="224"/>
      <c r="G16983" s="224"/>
      <c r="H16983" s="224"/>
      <c r="I16983" s="223"/>
    </row>
    <row r="16984" spans="1:9">
      <c r="A16984" s="224"/>
      <c r="B16984" s="224"/>
      <c r="C16984" s="224"/>
      <c r="D16984" s="224"/>
      <c r="E16984" s="224"/>
      <c r="F16984" s="224"/>
      <c r="G16984" s="224"/>
      <c r="H16984" s="224"/>
      <c r="I16984" s="223"/>
    </row>
    <row r="16985" spans="1:9">
      <c r="A16985" s="224"/>
      <c r="B16985" s="224"/>
      <c r="C16985" s="224"/>
      <c r="D16985" s="224"/>
      <c r="E16985" s="224"/>
      <c r="F16985" s="224"/>
      <c r="G16985" s="224"/>
      <c r="H16985" s="224"/>
      <c r="I16985" s="223"/>
    </row>
    <row r="16986" spans="1:9">
      <c r="A16986" s="224"/>
      <c r="B16986" s="224"/>
      <c r="C16986" s="224"/>
      <c r="D16986" s="224"/>
      <c r="E16986" s="224"/>
      <c r="F16986" s="224"/>
      <c r="G16986" s="224"/>
      <c r="H16986" s="224"/>
      <c r="I16986" s="223"/>
    </row>
    <row r="16987" spans="1:9">
      <c r="A16987" s="224"/>
      <c r="B16987" s="224"/>
      <c r="C16987" s="224"/>
      <c r="D16987" s="224"/>
      <c r="E16987" s="224"/>
      <c r="F16987" s="224"/>
      <c r="G16987" s="224"/>
      <c r="H16987" s="224"/>
      <c r="I16987" s="223"/>
    </row>
    <row r="16988" spans="1:9">
      <c r="A16988" s="224"/>
      <c r="B16988" s="224"/>
      <c r="C16988" s="224"/>
      <c r="D16988" s="224"/>
      <c r="E16988" s="224"/>
      <c r="F16988" s="224"/>
      <c r="G16988" s="224"/>
      <c r="H16988" s="224"/>
      <c r="I16988" s="223"/>
    </row>
    <row r="16989" spans="1:9">
      <c r="A16989" s="224"/>
      <c r="B16989" s="224"/>
      <c r="C16989" s="224"/>
      <c r="D16989" s="224"/>
      <c r="E16989" s="224"/>
      <c r="F16989" s="224"/>
      <c r="G16989" s="224"/>
      <c r="H16989" s="224"/>
      <c r="I16989" s="223"/>
    </row>
    <row r="16990" spans="1:9">
      <c r="A16990" s="224"/>
      <c r="B16990" s="224"/>
      <c r="C16990" s="224"/>
      <c r="D16990" s="224"/>
      <c r="E16990" s="224"/>
      <c r="F16990" s="224"/>
      <c r="G16990" s="224"/>
      <c r="H16990" s="224"/>
      <c r="I16990" s="223"/>
    </row>
    <row r="16991" spans="1:9">
      <c r="A16991" s="224"/>
      <c r="B16991" s="224"/>
      <c r="C16991" s="224"/>
      <c r="D16991" s="224"/>
      <c r="E16991" s="224"/>
      <c r="F16991" s="224"/>
      <c r="G16991" s="224"/>
      <c r="H16991" s="224"/>
      <c r="I16991" s="223"/>
    </row>
    <row r="16992" spans="1:9">
      <c r="A16992" s="224"/>
      <c r="B16992" s="224"/>
      <c r="C16992" s="224"/>
      <c r="D16992" s="224"/>
      <c r="E16992" s="224"/>
      <c r="F16992" s="224"/>
      <c r="G16992" s="224"/>
      <c r="H16992" s="224"/>
      <c r="I16992" s="223"/>
    </row>
    <row r="16993" spans="1:9">
      <c r="A16993" s="224"/>
      <c r="B16993" s="224"/>
      <c r="C16993" s="224"/>
      <c r="D16993" s="224"/>
      <c r="E16993" s="224"/>
      <c r="F16993" s="224"/>
      <c r="G16993" s="224"/>
      <c r="H16993" s="224"/>
      <c r="I16993" s="223"/>
    </row>
    <row r="16994" spans="1:9">
      <c r="A16994" s="224"/>
      <c r="B16994" s="224"/>
      <c r="C16994" s="224"/>
      <c r="D16994" s="224"/>
      <c r="E16994" s="224"/>
      <c r="F16994" s="224"/>
      <c r="G16994" s="224"/>
      <c r="H16994" s="224"/>
      <c r="I16994" s="223"/>
    </row>
    <row r="16995" spans="1:9">
      <c r="A16995" s="224"/>
      <c r="B16995" s="224"/>
      <c r="C16995" s="224"/>
      <c r="D16995" s="224"/>
      <c r="E16995" s="224"/>
      <c r="F16995" s="224"/>
      <c r="G16995" s="224"/>
      <c r="H16995" s="224"/>
      <c r="I16995" s="223"/>
    </row>
    <row r="16996" spans="1:9">
      <c r="A16996" s="224"/>
      <c r="B16996" s="224"/>
      <c r="C16996" s="224"/>
      <c r="D16996" s="224"/>
      <c r="E16996" s="224"/>
      <c r="F16996" s="224"/>
      <c r="G16996" s="224"/>
      <c r="H16996" s="224"/>
      <c r="I16996" s="223"/>
    </row>
    <row r="16997" spans="1:9">
      <c r="A16997" s="224"/>
      <c r="B16997" s="224"/>
      <c r="C16997" s="224"/>
      <c r="D16997" s="224"/>
      <c r="E16997" s="224"/>
      <c r="F16997" s="224"/>
      <c r="G16997" s="224"/>
      <c r="H16997" s="224"/>
      <c r="I16997" s="223"/>
    </row>
    <row r="16998" spans="1:9">
      <c r="A16998" s="224"/>
      <c r="B16998" s="224"/>
      <c r="C16998" s="224"/>
      <c r="D16998" s="224"/>
      <c r="E16998" s="224"/>
      <c r="F16998" s="224"/>
      <c r="G16998" s="224"/>
      <c r="H16998" s="224"/>
      <c r="I16998" s="223"/>
    </row>
    <row r="16999" spans="1:9">
      <c r="A16999" s="224"/>
      <c r="B16999" s="224"/>
      <c r="C16999" s="224"/>
      <c r="D16999" s="224"/>
      <c r="E16999" s="224"/>
      <c r="F16999" s="224"/>
      <c r="G16999" s="224"/>
      <c r="H16999" s="224"/>
      <c r="I16999" s="223"/>
    </row>
    <row r="17000" spans="1:9">
      <c r="A17000" s="224"/>
      <c r="B17000" s="224"/>
      <c r="C17000" s="224"/>
      <c r="D17000" s="224"/>
      <c r="E17000" s="224"/>
      <c r="F17000" s="224"/>
      <c r="G17000" s="224"/>
      <c r="H17000" s="224"/>
      <c r="I17000" s="223"/>
    </row>
    <row r="17001" spans="1:9">
      <c r="A17001" s="224"/>
      <c r="B17001" s="224"/>
      <c r="C17001" s="224"/>
      <c r="D17001" s="224"/>
      <c r="E17001" s="224"/>
      <c r="F17001" s="224"/>
      <c r="G17001" s="224"/>
      <c r="H17001" s="224"/>
      <c r="I17001" s="223"/>
    </row>
    <row r="17002" spans="1:9">
      <c r="A17002" s="224"/>
      <c r="B17002" s="224"/>
      <c r="C17002" s="224"/>
      <c r="D17002" s="224"/>
      <c r="E17002" s="224"/>
      <c r="F17002" s="224"/>
      <c r="G17002" s="224"/>
      <c r="H17002" s="224"/>
      <c r="I17002" s="223"/>
    </row>
    <row r="17003" spans="1:9">
      <c r="A17003" s="224"/>
      <c r="B17003" s="224"/>
      <c r="C17003" s="224"/>
      <c r="D17003" s="224"/>
      <c r="E17003" s="224"/>
      <c r="F17003" s="224"/>
      <c r="G17003" s="224"/>
      <c r="H17003" s="224"/>
      <c r="I17003" s="223"/>
    </row>
    <row r="17004" spans="1:9">
      <c r="A17004" s="224"/>
      <c r="B17004" s="224"/>
      <c r="C17004" s="224"/>
      <c r="D17004" s="224"/>
      <c r="E17004" s="224"/>
      <c r="F17004" s="224"/>
      <c r="G17004" s="224"/>
      <c r="H17004" s="224"/>
      <c r="I17004" s="223"/>
    </row>
    <row r="17005" spans="1:9">
      <c r="A17005" s="224"/>
      <c r="B17005" s="224"/>
      <c r="C17005" s="224"/>
      <c r="D17005" s="224"/>
      <c r="E17005" s="224"/>
      <c r="F17005" s="224"/>
      <c r="G17005" s="224"/>
      <c r="H17005" s="224"/>
      <c r="I17005" s="223"/>
    </row>
    <row r="17006" spans="1:9">
      <c r="A17006" s="224"/>
      <c r="B17006" s="224"/>
      <c r="C17006" s="224"/>
      <c r="D17006" s="224"/>
      <c r="E17006" s="224"/>
      <c r="F17006" s="224"/>
      <c r="G17006" s="224"/>
      <c r="H17006" s="224"/>
      <c r="I17006" s="223"/>
    </row>
    <row r="17007" spans="1:9">
      <c r="A17007" s="224"/>
      <c r="B17007" s="224"/>
      <c r="C17007" s="224"/>
      <c r="D17007" s="224"/>
      <c r="E17007" s="224"/>
      <c r="F17007" s="224"/>
      <c r="G17007" s="224"/>
      <c r="H17007" s="224"/>
      <c r="I17007" s="223"/>
    </row>
    <row r="17008" spans="1:9">
      <c r="A17008" s="224"/>
      <c r="B17008" s="224"/>
      <c r="C17008" s="224"/>
      <c r="D17008" s="224"/>
      <c r="E17008" s="224"/>
      <c r="F17008" s="224"/>
      <c r="G17008" s="224"/>
      <c r="H17008" s="224"/>
      <c r="I17008" s="223"/>
    </row>
    <row r="17009" spans="1:9">
      <c r="A17009" s="224"/>
      <c r="B17009" s="224"/>
      <c r="C17009" s="224"/>
      <c r="D17009" s="224"/>
      <c r="E17009" s="224"/>
      <c r="F17009" s="224"/>
      <c r="G17009" s="224"/>
      <c r="H17009" s="224"/>
      <c r="I17009" s="223"/>
    </row>
    <row r="17010" spans="1:9">
      <c r="A17010" s="224"/>
      <c r="B17010" s="224"/>
      <c r="C17010" s="224"/>
      <c r="D17010" s="224"/>
      <c r="E17010" s="224"/>
      <c r="F17010" s="224"/>
      <c r="G17010" s="224"/>
      <c r="H17010" s="224"/>
      <c r="I17010" s="223"/>
    </row>
    <row r="17011" spans="1:9">
      <c r="A17011" s="224"/>
      <c r="B17011" s="224"/>
      <c r="C17011" s="224"/>
      <c r="D17011" s="224"/>
      <c r="E17011" s="224"/>
      <c r="F17011" s="224"/>
      <c r="G17011" s="224"/>
      <c r="H17011" s="224"/>
      <c r="I17011" s="223"/>
    </row>
    <row r="17012" spans="1:9">
      <c r="A17012" s="224"/>
      <c r="B17012" s="224"/>
      <c r="C17012" s="224"/>
      <c r="D17012" s="224"/>
      <c r="E17012" s="224"/>
      <c r="F17012" s="224"/>
      <c r="G17012" s="224"/>
      <c r="H17012" s="224"/>
      <c r="I17012" s="223"/>
    </row>
    <row r="17013" spans="1:9">
      <c r="A17013" s="224"/>
      <c r="B17013" s="224"/>
      <c r="C17013" s="224"/>
      <c r="D17013" s="224"/>
      <c r="E17013" s="224"/>
      <c r="F17013" s="224"/>
      <c r="G17013" s="224"/>
      <c r="H17013" s="224"/>
      <c r="I17013" s="223"/>
    </row>
    <row r="17014" spans="1:9">
      <c r="A17014" s="224"/>
      <c r="B17014" s="224"/>
      <c r="C17014" s="224"/>
      <c r="D17014" s="224"/>
      <c r="E17014" s="224"/>
      <c r="F17014" s="224"/>
      <c r="G17014" s="224"/>
      <c r="H17014" s="224"/>
      <c r="I17014" s="223"/>
    </row>
    <row r="17015" spans="1:9">
      <c r="A17015" s="224"/>
      <c r="B17015" s="224"/>
      <c r="C17015" s="224"/>
      <c r="D17015" s="224"/>
      <c r="E17015" s="224"/>
      <c r="F17015" s="224"/>
      <c r="G17015" s="224"/>
      <c r="H17015" s="224"/>
      <c r="I17015" s="223"/>
    </row>
    <row r="17016" spans="1:9">
      <c r="A17016" s="224"/>
      <c r="B17016" s="224"/>
      <c r="C17016" s="224"/>
      <c r="D17016" s="224"/>
      <c r="E17016" s="224"/>
      <c r="F17016" s="224"/>
      <c r="G17016" s="224"/>
      <c r="H17016" s="224"/>
      <c r="I17016" s="223"/>
    </row>
    <row r="17017" spans="1:9">
      <c r="A17017" s="224"/>
      <c r="B17017" s="224"/>
      <c r="C17017" s="224"/>
      <c r="D17017" s="224"/>
      <c r="E17017" s="224"/>
      <c r="F17017" s="224"/>
      <c r="G17017" s="224"/>
      <c r="H17017" s="224"/>
      <c r="I17017" s="223"/>
    </row>
    <row r="17018" spans="1:9">
      <c r="A17018" s="224"/>
      <c r="B17018" s="224"/>
      <c r="C17018" s="224"/>
      <c r="D17018" s="224"/>
      <c r="E17018" s="224"/>
      <c r="F17018" s="224"/>
      <c r="G17018" s="224"/>
      <c r="H17018" s="224"/>
      <c r="I17018" s="223"/>
    </row>
    <row r="17019" spans="1:9">
      <c r="A17019" s="224"/>
      <c r="B17019" s="224"/>
      <c r="C17019" s="224"/>
      <c r="D17019" s="224"/>
      <c r="E17019" s="224"/>
      <c r="F17019" s="224"/>
      <c r="G17019" s="224"/>
      <c r="H17019" s="224"/>
      <c r="I17019" s="223"/>
    </row>
    <row r="17020" spans="1:9">
      <c r="A17020" s="224"/>
      <c r="B17020" s="224"/>
      <c r="C17020" s="224"/>
      <c r="D17020" s="224"/>
      <c r="E17020" s="224"/>
      <c r="F17020" s="224"/>
      <c r="G17020" s="224"/>
      <c r="H17020" s="224"/>
      <c r="I17020" s="223"/>
    </row>
    <row r="17021" spans="1:9">
      <c r="A17021" s="224"/>
      <c r="B17021" s="224"/>
      <c r="C17021" s="224"/>
      <c r="D17021" s="224"/>
      <c r="E17021" s="224"/>
      <c r="F17021" s="224"/>
      <c r="G17021" s="224"/>
      <c r="H17021" s="224"/>
      <c r="I17021" s="223"/>
    </row>
    <row r="17022" spans="1:9">
      <c r="A17022" s="224"/>
      <c r="B17022" s="224"/>
      <c r="C17022" s="224"/>
      <c r="D17022" s="224"/>
      <c r="E17022" s="224"/>
      <c r="F17022" s="224"/>
      <c r="G17022" s="224"/>
      <c r="H17022" s="224"/>
      <c r="I17022" s="223"/>
    </row>
    <row r="17023" spans="1:9">
      <c r="A17023" s="224"/>
      <c r="B17023" s="224"/>
      <c r="C17023" s="224"/>
      <c r="D17023" s="224"/>
      <c r="E17023" s="224"/>
      <c r="F17023" s="224"/>
      <c r="G17023" s="224"/>
      <c r="H17023" s="224"/>
      <c r="I17023" s="223"/>
    </row>
    <row r="17024" spans="1:9">
      <c r="A17024" s="224"/>
      <c r="B17024" s="224"/>
      <c r="C17024" s="224"/>
      <c r="D17024" s="224"/>
      <c r="E17024" s="224"/>
      <c r="F17024" s="224"/>
      <c r="G17024" s="224"/>
      <c r="H17024" s="224"/>
      <c r="I17024" s="223"/>
    </row>
    <row r="17025" spans="1:9">
      <c r="A17025" s="224"/>
      <c r="B17025" s="224"/>
      <c r="C17025" s="224"/>
      <c r="D17025" s="224"/>
      <c r="E17025" s="224"/>
      <c r="F17025" s="224"/>
      <c r="G17025" s="224"/>
      <c r="H17025" s="224"/>
      <c r="I17025" s="223"/>
    </row>
    <row r="17026" spans="1:9">
      <c r="A17026" s="224"/>
      <c r="B17026" s="224"/>
      <c r="C17026" s="224"/>
      <c r="D17026" s="224"/>
      <c r="E17026" s="224"/>
      <c r="F17026" s="224"/>
      <c r="G17026" s="224"/>
      <c r="H17026" s="224"/>
      <c r="I17026" s="223"/>
    </row>
    <row r="17027" spans="1:9">
      <c r="A17027" s="224"/>
      <c r="B17027" s="224"/>
      <c r="C17027" s="224"/>
      <c r="D17027" s="224"/>
      <c r="E17027" s="224"/>
      <c r="F17027" s="224"/>
      <c r="G17027" s="224"/>
      <c r="H17027" s="224"/>
      <c r="I17027" s="223"/>
    </row>
    <row r="17028" spans="1:9">
      <c r="A17028" s="224"/>
      <c r="B17028" s="224"/>
      <c r="C17028" s="224"/>
      <c r="D17028" s="224"/>
      <c r="E17028" s="224"/>
      <c r="F17028" s="224"/>
      <c r="G17028" s="224"/>
      <c r="H17028" s="224"/>
      <c r="I17028" s="223"/>
    </row>
    <row r="17029" spans="1:9">
      <c r="A17029" s="224"/>
      <c r="B17029" s="224"/>
      <c r="C17029" s="224"/>
      <c r="D17029" s="224"/>
      <c r="E17029" s="224"/>
      <c r="F17029" s="224"/>
      <c r="G17029" s="224"/>
      <c r="H17029" s="224"/>
      <c r="I17029" s="223"/>
    </row>
    <row r="17030" spans="1:9">
      <c r="A17030" s="224"/>
      <c r="B17030" s="224"/>
      <c r="C17030" s="224"/>
      <c r="D17030" s="224"/>
      <c r="E17030" s="224"/>
      <c r="F17030" s="224"/>
      <c r="G17030" s="224"/>
      <c r="H17030" s="224"/>
      <c r="I17030" s="223"/>
    </row>
    <row r="17031" spans="1:9">
      <c r="A17031" s="224"/>
      <c r="B17031" s="224"/>
      <c r="C17031" s="224"/>
      <c r="D17031" s="224"/>
      <c r="E17031" s="224"/>
      <c r="F17031" s="224"/>
      <c r="G17031" s="224"/>
      <c r="H17031" s="224"/>
      <c r="I17031" s="223"/>
    </row>
    <row r="17032" spans="1:9">
      <c r="A17032" s="224"/>
      <c r="B17032" s="224"/>
      <c r="C17032" s="224"/>
      <c r="D17032" s="224"/>
      <c r="E17032" s="224"/>
      <c r="F17032" s="224"/>
      <c r="G17032" s="224"/>
      <c r="H17032" s="224"/>
      <c r="I17032" s="223"/>
    </row>
    <row r="17033" spans="1:9">
      <c r="A17033" s="224"/>
      <c r="B17033" s="224"/>
      <c r="C17033" s="224"/>
      <c r="D17033" s="224"/>
      <c r="E17033" s="224"/>
      <c r="F17033" s="224"/>
      <c r="G17033" s="224"/>
      <c r="H17033" s="224"/>
      <c r="I17033" s="223"/>
    </row>
    <row r="17034" spans="1:9">
      <c r="A17034" s="224"/>
      <c r="B17034" s="224"/>
      <c r="C17034" s="224"/>
      <c r="D17034" s="224"/>
      <c r="E17034" s="224"/>
      <c r="F17034" s="224"/>
      <c r="G17034" s="224"/>
      <c r="H17034" s="224"/>
      <c r="I17034" s="223"/>
    </row>
    <row r="17035" spans="1:9">
      <c r="A17035" s="224"/>
      <c r="B17035" s="224"/>
      <c r="C17035" s="224"/>
      <c r="D17035" s="224"/>
      <c r="E17035" s="224"/>
      <c r="F17035" s="224"/>
      <c r="G17035" s="224"/>
      <c r="H17035" s="224"/>
      <c r="I17035" s="223"/>
    </row>
    <row r="17036" spans="1:9">
      <c r="A17036" s="224"/>
      <c r="B17036" s="224"/>
      <c r="C17036" s="224"/>
      <c r="D17036" s="224"/>
      <c r="E17036" s="224"/>
      <c r="F17036" s="224"/>
      <c r="G17036" s="224"/>
      <c r="H17036" s="224"/>
      <c r="I17036" s="223"/>
    </row>
    <row r="17037" spans="1:9">
      <c r="A17037" s="224"/>
      <c r="B17037" s="224"/>
      <c r="C17037" s="224"/>
      <c r="D17037" s="224"/>
      <c r="E17037" s="224"/>
      <c r="F17037" s="224"/>
      <c r="G17037" s="224"/>
      <c r="H17037" s="224"/>
      <c r="I17037" s="223"/>
    </row>
    <row r="17038" spans="1:9">
      <c r="A17038" s="224"/>
      <c r="B17038" s="224"/>
      <c r="C17038" s="224"/>
      <c r="D17038" s="224"/>
      <c r="E17038" s="224"/>
      <c r="F17038" s="224"/>
      <c r="G17038" s="224"/>
      <c r="H17038" s="224"/>
      <c r="I17038" s="223"/>
    </row>
    <row r="17039" spans="1:9">
      <c r="A17039" s="224"/>
      <c r="B17039" s="224"/>
      <c r="C17039" s="224"/>
      <c r="D17039" s="224"/>
      <c r="E17039" s="224"/>
      <c r="F17039" s="224"/>
      <c r="G17039" s="224"/>
      <c r="H17039" s="224"/>
      <c r="I17039" s="223"/>
    </row>
    <row r="17040" spans="1:9">
      <c r="A17040" s="224"/>
      <c r="B17040" s="224"/>
      <c r="C17040" s="224"/>
      <c r="D17040" s="224"/>
      <c r="E17040" s="224"/>
      <c r="F17040" s="224"/>
      <c r="G17040" s="224"/>
      <c r="H17040" s="224"/>
      <c r="I17040" s="223"/>
    </row>
    <row r="17041" spans="1:9">
      <c r="A17041" s="224"/>
      <c r="B17041" s="224"/>
      <c r="C17041" s="224"/>
      <c r="D17041" s="224"/>
      <c r="E17041" s="224"/>
      <c r="F17041" s="224"/>
      <c r="G17041" s="224"/>
      <c r="H17041" s="224"/>
      <c r="I17041" s="223"/>
    </row>
    <row r="17042" spans="1:9">
      <c r="A17042" s="224"/>
      <c r="B17042" s="224"/>
      <c r="C17042" s="224"/>
      <c r="D17042" s="224"/>
      <c r="E17042" s="224"/>
      <c r="F17042" s="224"/>
      <c r="G17042" s="224"/>
      <c r="H17042" s="224"/>
      <c r="I17042" s="223"/>
    </row>
    <row r="17043" spans="1:9">
      <c r="A17043" s="224"/>
      <c r="B17043" s="224"/>
      <c r="C17043" s="224"/>
      <c r="D17043" s="224"/>
      <c r="E17043" s="224"/>
      <c r="F17043" s="224"/>
      <c r="G17043" s="224"/>
      <c r="H17043" s="224"/>
      <c r="I17043" s="223"/>
    </row>
    <row r="17044" spans="1:9">
      <c r="A17044" s="224"/>
      <c r="B17044" s="224"/>
      <c r="C17044" s="224"/>
      <c r="D17044" s="224"/>
      <c r="E17044" s="224"/>
      <c r="F17044" s="224"/>
      <c r="G17044" s="224"/>
      <c r="H17044" s="224"/>
      <c r="I17044" s="223"/>
    </row>
    <row r="17045" spans="1:9">
      <c r="A17045" s="224"/>
      <c r="B17045" s="224"/>
      <c r="C17045" s="224"/>
      <c r="D17045" s="224"/>
      <c r="E17045" s="224"/>
      <c r="F17045" s="224"/>
      <c r="G17045" s="224"/>
      <c r="H17045" s="224"/>
      <c r="I17045" s="223"/>
    </row>
    <row r="17046" spans="1:9">
      <c r="A17046" s="224"/>
      <c r="B17046" s="224"/>
      <c r="C17046" s="224"/>
      <c r="D17046" s="224"/>
      <c r="E17046" s="224"/>
      <c r="F17046" s="224"/>
      <c r="G17046" s="224"/>
      <c r="H17046" s="224"/>
      <c r="I17046" s="223"/>
    </row>
    <row r="17047" spans="1:9">
      <c r="A17047" s="224"/>
      <c r="B17047" s="224"/>
      <c r="C17047" s="224"/>
      <c r="D17047" s="224"/>
      <c r="E17047" s="224"/>
      <c r="F17047" s="224"/>
      <c r="G17047" s="224"/>
      <c r="H17047" s="224"/>
      <c r="I17047" s="223"/>
    </row>
    <row r="17048" spans="1:9">
      <c r="A17048" s="224"/>
      <c r="B17048" s="224"/>
      <c r="C17048" s="224"/>
      <c r="D17048" s="224"/>
      <c r="E17048" s="224"/>
      <c r="F17048" s="224"/>
      <c r="G17048" s="224"/>
      <c r="H17048" s="224"/>
      <c r="I17048" s="223"/>
    </row>
    <row r="17049" spans="1:9">
      <c r="A17049" s="224"/>
      <c r="B17049" s="224"/>
      <c r="C17049" s="224"/>
      <c r="D17049" s="224"/>
      <c r="E17049" s="224"/>
      <c r="F17049" s="224"/>
      <c r="G17049" s="224"/>
      <c r="H17049" s="224"/>
      <c r="I17049" s="223"/>
    </row>
    <row r="17050" spans="1:9">
      <c r="A17050" s="224"/>
      <c r="B17050" s="224"/>
      <c r="C17050" s="224"/>
      <c r="D17050" s="224"/>
      <c r="E17050" s="224"/>
      <c r="F17050" s="224"/>
      <c r="G17050" s="224"/>
      <c r="H17050" s="224"/>
      <c r="I17050" s="223"/>
    </row>
    <row r="17051" spans="1:9">
      <c r="A17051" s="224"/>
      <c r="B17051" s="224"/>
      <c r="C17051" s="224"/>
      <c r="D17051" s="224"/>
      <c r="E17051" s="224"/>
      <c r="F17051" s="224"/>
      <c r="G17051" s="224"/>
      <c r="H17051" s="224"/>
      <c r="I17051" s="223"/>
    </row>
    <row r="17052" spans="1:9">
      <c r="A17052" s="224"/>
      <c r="B17052" s="224"/>
      <c r="C17052" s="224"/>
      <c r="D17052" s="224"/>
      <c r="E17052" s="224"/>
      <c r="F17052" s="224"/>
      <c r="G17052" s="224"/>
      <c r="H17052" s="224"/>
      <c r="I17052" s="223"/>
    </row>
    <row r="17053" spans="1:9">
      <c r="A17053" s="224"/>
      <c r="B17053" s="224"/>
      <c r="C17053" s="224"/>
      <c r="D17053" s="224"/>
      <c r="E17053" s="224"/>
      <c r="F17053" s="224"/>
      <c r="G17053" s="224"/>
      <c r="H17053" s="224"/>
      <c r="I17053" s="224"/>
    </row>
    <row r="17054" spans="1:9">
      <c r="A17054" s="224"/>
      <c r="B17054" s="224"/>
      <c r="C17054" s="224"/>
      <c r="D17054" s="224"/>
      <c r="E17054" s="224"/>
      <c r="F17054" s="224"/>
      <c r="G17054" s="224"/>
      <c r="H17054" s="224"/>
      <c r="I17054" s="224"/>
    </row>
    <row r="17055" spans="1:9">
      <c r="A17055" s="224"/>
      <c r="B17055" s="224"/>
      <c r="C17055" s="224"/>
      <c r="D17055" s="224"/>
      <c r="E17055" s="224"/>
      <c r="F17055" s="224"/>
      <c r="G17055" s="224"/>
      <c r="H17055" s="224"/>
      <c r="I17055" s="224"/>
    </row>
    <row r="17056" spans="1:9">
      <c r="A17056" s="224"/>
      <c r="B17056" s="224"/>
      <c r="C17056" s="224"/>
      <c r="D17056" s="224"/>
      <c r="E17056" s="224"/>
      <c r="F17056" s="224"/>
      <c r="G17056" s="224"/>
      <c r="H17056" s="224"/>
      <c r="I17056" s="224"/>
    </row>
    <row r="17057" spans="1:9">
      <c r="A17057" s="224"/>
      <c r="B17057" s="224"/>
      <c r="C17057" s="224"/>
      <c r="D17057" s="224"/>
      <c r="E17057" s="224"/>
      <c r="F17057" s="224"/>
      <c r="G17057" s="224"/>
      <c r="H17057" s="224"/>
      <c r="I17057" s="224"/>
    </row>
    <row r="17058" spans="1:9">
      <c r="A17058" s="224"/>
      <c r="B17058" s="224"/>
      <c r="C17058" s="224"/>
      <c r="D17058" s="224"/>
      <c r="E17058" s="224"/>
      <c r="F17058" s="224"/>
      <c r="G17058" s="224"/>
      <c r="H17058" s="224"/>
      <c r="I17058" s="224"/>
    </row>
    <row r="17059" spans="1:9">
      <c r="A17059" s="224"/>
      <c r="B17059" s="224"/>
      <c r="C17059" s="224"/>
      <c r="D17059" s="224"/>
      <c r="E17059" s="224"/>
      <c r="F17059" s="224"/>
      <c r="G17059" s="224"/>
      <c r="H17059" s="224"/>
      <c r="I17059" s="224"/>
    </row>
    <row r="17060" spans="1:9">
      <c r="A17060" s="224"/>
      <c r="B17060" s="224"/>
      <c r="C17060" s="224"/>
      <c r="D17060" s="224"/>
      <c r="E17060" s="224"/>
      <c r="F17060" s="224"/>
      <c r="G17060" s="224"/>
      <c r="H17060" s="224"/>
      <c r="I17060" s="224"/>
    </row>
    <row r="17061" spans="1:9">
      <c r="A17061" s="224"/>
      <c r="B17061" s="224"/>
      <c r="C17061" s="224"/>
      <c r="D17061" s="224"/>
      <c r="E17061" s="224"/>
      <c r="F17061" s="224"/>
      <c r="G17061" s="224"/>
      <c r="H17061" s="224"/>
      <c r="I17061" s="224"/>
    </row>
    <row r="17062" spans="1:9">
      <c r="A17062" s="224"/>
      <c r="B17062" s="224"/>
      <c r="C17062" s="224"/>
      <c r="D17062" s="224"/>
      <c r="E17062" s="224"/>
      <c r="F17062" s="224"/>
      <c r="G17062" s="224"/>
      <c r="H17062" s="224"/>
      <c r="I17062" s="224"/>
    </row>
    <row r="17063" spans="1:9">
      <c r="A17063" s="224"/>
      <c r="B17063" s="224"/>
      <c r="C17063" s="224"/>
      <c r="D17063" s="224"/>
      <c r="E17063" s="224"/>
      <c r="F17063" s="224"/>
      <c r="G17063" s="224"/>
      <c r="H17063" s="224"/>
      <c r="I17063" s="224"/>
    </row>
    <row r="17064" spans="1:9">
      <c r="A17064" s="224"/>
      <c r="B17064" s="224"/>
      <c r="C17064" s="224"/>
      <c r="D17064" s="224"/>
      <c r="E17064" s="224"/>
      <c r="F17064" s="224"/>
      <c r="G17064" s="224"/>
      <c r="H17064" s="224"/>
      <c r="I17064" s="224"/>
    </row>
    <row r="17065" spans="1:9">
      <c r="A17065" s="224"/>
      <c r="B17065" s="224"/>
      <c r="C17065" s="224"/>
      <c r="D17065" s="224"/>
      <c r="E17065" s="224"/>
      <c r="F17065" s="224"/>
      <c r="G17065" s="224"/>
      <c r="H17065" s="224"/>
      <c r="I17065" s="224"/>
    </row>
    <row r="17066" spans="1:9">
      <c r="A17066" s="224"/>
      <c r="B17066" s="224"/>
      <c r="C17066" s="224"/>
      <c r="D17066" s="224"/>
      <c r="E17066" s="224"/>
      <c r="F17066" s="224"/>
      <c r="G17066" s="224"/>
      <c r="H17066" s="224"/>
      <c r="I17066" s="224"/>
    </row>
    <row r="17067" spans="1:9">
      <c r="A17067" s="224"/>
      <c r="B17067" s="224"/>
      <c r="C17067" s="224"/>
      <c r="D17067" s="224"/>
      <c r="E17067" s="224"/>
      <c r="F17067" s="224"/>
      <c r="G17067" s="224"/>
      <c r="H17067" s="224"/>
      <c r="I17067" s="224"/>
    </row>
    <row r="17068" spans="1:9">
      <c r="A17068" s="224"/>
      <c r="B17068" s="224"/>
      <c r="C17068" s="224"/>
      <c r="D17068" s="224"/>
      <c r="E17068" s="224"/>
      <c r="F17068" s="224"/>
      <c r="G17068" s="224"/>
      <c r="H17068" s="224"/>
      <c r="I17068" s="224"/>
    </row>
    <row r="17069" spans="1:9">
      <c r="A17069" s="224"/>
      <c r="B17069" s="224"/>
      <c r="C17069" s="224"/>
      <c r="D17069" s="224"/>
      <c r="E17069" s="224"/>
      <c r="F17069" s="224"/>
      <c r="G17069" s="224"/>
      <c r="H17069" s="224"/>
      <c r="I17069" s="224"/>
    </row>
    <row r="17070" spans="1:9">
      <c r="A17070" s="224"/>
      <c r="B17070" s="224"/>
      <c r="C17070" s="224"/>
      <c r="D17070" s="224"/>
      <c r="E17070" s="224"/>
      <c r="F17070" s="224"/>
      <c r="G17070" s="224"/>
      <c r="H17070" s="224"/>
      <c r="I17070" s="224"/>
    </row>
    <row r="17071" spans="1:9">
      <c r="A17071" s="224"/>
      <c r="B17071" s="224"/>
      <c r="C17071" s="224"/>
      <c r="D17071" s="224"/>
      <c r="E17071" s="224"/>
      <c r="F17071" s="224"/>
      <c r="G17071" s="224"/>
      <c r="H17071" s="224"/>
      <c r="I17071" s="224"/>
    </row>
    <row r="17072" spans="1:9">
      <c r="A17072" s="224"/>
      <c r="B17072" s="224"/>
      <c r="C17072" s="224"/>
      <c r="D17072" s="224"/>
      <c r="E17072" s="224"/>
      <c r="F17072" s="224"/>
      <c r="G17072" s="224"/>
      <c r="H17072" s="224"/>
      <c r="I17072" s="224"/>
    </row>
    <row r="17073" spans="1:9">
      <c r="A17073" s="224"/>
      <c r="B17073" s="224"/>
      <c r="C17073" s="224"/>
      <c r="D17073" s="224"/>
      <c r="E17073" s="224"/>
      <c r="F17073" s="224"/>
      <c r="G17073" s="224"/>
      <c r="H17073" s="224"/>
      <c r="I17073" s="224"/>
    </row>
    <row r="17074" spans="1:9">
      <c r="A17074" s="224"/>
      <c r="B17074" s="224"/>
      <c r="C17074" s="224"/>
      <c r="D17074" s="224"/>
      <c r="E17074" s="224"/>
      <c r="F17074" s="224"/>
      <c r="G17074" s="224"/>
      <c r="H17074" s="224"/>
      <c r="I17074" s="224"/>
    </row>
    <row r="17075" spans="1:9">
      <c r="A17075" s="224"/>
      <c r="B17075" s="224"/>
      <c r="C17075" s="224"/>
      <c r="D17075" s="224"/>
      <c r="E17075" s="224"/>
      <c r="F17075" s="224"/>
      <c r="G17075" s="224"/>
      <c r="H17075" s="224"/>
      <c r="I17075" s="224"/>
    </row>
    <row r="17076" spans="1:9">
      <c r="A17076" s="224"/>
      <c r="B17076" s="224"/>
      <c r="C17076" s="224"/>
      <c r="D17076" s="224"/>
      <c r="E17076" s="224"/>
      <c r="F17076" s="224"/>
      <c r="G17076" s="224"/>
      <c r="H17076" s="224"/>
      <c r="I17076" s="224"/>
    </row>
    <row r="17077" spans="1:9">
      <c r="A17077" s="224"/>
      <c r="B17077" s="224"/>
      <c r="C17077" s="224"/>
      <c r="D17077" s="224"/>
      <c r="E17077" s="224"/>
      <c r="F17077" s="224"/>
      <c r="G17077" s="224"/>
      <c r="H17077" s="224"/>
      <c r="I17077" s="224"/>
    </row>
    <row r="17078" spans="1:9">
      <c r="A17078" s="224"/>
      <c r="B17078" s="224"/>
      <c r="C17078" s="224"/>
      <c r="D17078" s="224"/>
      <c r="E17078" s="224"/>
      <c r="F17078" s="224"/>
      <c r="G17078" s="224"/>
      <c r="H17078" s="224"/>
      <c r="I17078" s="224"/>
    </row>
    <row r="17079" spans="1:9">
      <c r="A17079" s="224"/>
      <c r="B17079" s="224"/>
      <c r="C17079" s="224"/>
      <c r="D17079" s="224"/>
      <c r="E17079" s="224"/>
      <c r="F17079" s="224"/>
      <c r="G17079" s="224"/>
      <c r="H17079" s="224"/>
      <c r="I17079" s="224"/>
    </row>
    <row r="17080" spans="1:9">
      <c r="A17080" s="224"/>
      <c r="B17080" s="224"/>
      <c r="C17080" s="224"/>
      <c r="D17080" s="224"/>
      <c r="E17080" s="224"/>
      <c r="F17080" s="224"/>
      <c r="G17080" s="224"/>
      <c r="H17080" s="224"/>
      <c r="I17080" s="224"/>
    </row>
    <row r="17081" spans="1:9">
      <c r="A17081" s="224"/>
      <c r="B17081" s="224"/>
      <c r="C17081" s="224"/>
      <c r="D17081" s="224"/>
      <c r="E17081" s="224"/>
      <c r="F17081" s="224"/>
      <c r="G17081" s="224"/>
      <c r="H17081" s="224"/>
      <c r="I17081" s="224"/>
    </row>
    <row r="17082" spans="1:9">
      <c r="A17082" s="224"/>
      <c r="B17082" s="224"/>
      <c r="C17082" s="224"/>
      <c r="D17082" s="224"/>
      <c r="E17082" s="224"/>
      <c r="F17082" s="224"/>
      <c r="G17082" s="224"/>
      <c r="H17082" s="224"/>
      <c r="I17082" s="224"/>
    </row>
    <row r="17083" spans="1:9">
      <c r="A17083" s="224"/>
      <c r="B17083" s="224"/>
      <c r="C17083" s="224"/>
      <c r="D17083" s="224"/>
      <c r="E17083" s="224"/>
      <c r="F17083" s="224"/>
      <c r="G17083" s="224"/>
      <c r="H17083" s="224"/>
      <c r="I17083" s="224"/>
    </row>
    <row r="17084" spans="1:9">
      <c r="A17084" s="224"/>
      <c r="B17084" s="224"/>
      <c r="C17084" s="224"/>
      <c r="D17084" s="224"/>
      <c r="E17084" s="224"/>
      <c r="F17084" s="224"/>
      <c r="G17084" s="224"/>
      <c r="H17084" s="224"/>
      <c r="I17084" s="224"/>
    </row>
    <row r="17085" spans="1:9">
      <c r="A17085" s="224"/>
      <c r="B17085" s="224"/>
      <c r="C17085" s="224"/>
      <c r="D17085" s="224"/>
      <c r="E17085" s="224"/>
      <c r="F17085" s="224"/>
      <c r="G17085" s="224"/>
      <c r="H17085" s="224"/>
      <c r="I17085" s="224"/>
    </row>
    <row r="17086" spans="1:9">
      <c r="A17086" s="224"/>
      <c r="B17086" s="224"/>
      <c r="C17086" s="224"/>
      <c r="D17086" s="224"/>
      <c r="E17086" s="224"/>
      <c r="F17086" s="224"/>
      <c r="G17086" s="224"/>
      <c r="H17086" s="224"/>
      <c r="I17086" s="224"/>
    </row>
    <row r="17087" spans="1:9">
      <c r="A17087" s="224"/>
      <c r="B17087" s="224"/>
      <c r="C17087" s="224"/>
      <c r="D17087" s="224"/>
      <c r="E17087" s="224"/>
      <c r="F17087" s="224"/>
      <c r="G17087" s="224"/>
      <c r="H17087" s="224"/>
      <c r="I17087" s="224"/>
    </row>
    <row r="17088" spans="1:9">
      <c r="A17088" s="224"/>
      <c r="B17088" s="224"/>
      <c r="C17088" s="224"/>
      <c r="D17088" s="224"/>
      <c r="E17088" s="224"/>
      <c r="F17088" s="224"/>
      <c r="G17088" s="224"/>
      <c r="H17088" s="224"/>
      <c r="I17088" s="224"/>
    </row>
    <row r="17089" spans="1:9">
      <c r="A17089" s="224"/>
      <c r="B17089" s="224"/>
      <c r="C17089" s="224"/>
      <c r="D17089" s="224"/>
      <c r="E17089" s="224"/>
      <c r="F17089" s="224"/>
      <c r="G17089" s="224"/>
      <c r="H17089" s="224"/>
      <c r="I17089" s="224"/>
    </row>
    <row r="17090" spans="1:9">
      <c r="A17090" s="224"/>
      <c r="B17090" s="224"/>
      <c r="C17090" s="224"/>
      <c r="D17090" s="224"/>
      <c r="E17090" s="224"/>
      <c r="F17090" s="224"/>
      <c r="G17090" s="224"/>
      <c r="H17090" s="224"/>
      <c r="I17090" s="224"/>
    </row>
    <row r="17091" spans="1:9">
      <c r="A17091" s="224"/>
      <c r="B17091" s="224"/>
      <c r="C17091" s="224"/>
      <c r="D17091" s="224"/>
      <c r="E17091" s="224"/>
      <c r="F17091" s="224"/>
      <c r="G17091" s="224"/>
      <c r="H17091" s="224"/>
      <c r="I17091" s="224"/>
    </row>
    <row r="17092" spans="1:9">
      <c r="A17092" s="224"/>
      <c r="B17092" s="224"/>
      <c r="C17092" s="224"/>
      <c r="D17092" s="224"/>
      <c r="E17092" s="224"/>
      <c r="F17092" s="224"/>
      <c r="G17092" s="224"/>
      <c r="H17092" s="224"/>
      <c r="I17092" s="224"/>
    </row>
    <row r="17093" spans="1:9">
      <c r="A17093" s="224"/>
      <c r="B17093" s="224"/>
      <c r="C17093" s="224"/>
      <c r="D17093" s="224"/>
      <c r="E17093" s="224"/>
      <c r="F17093" s="224"/>
      <c r="G17093" s="224"/>
      <c r="H17093" s="224"/>
      <c r="I17093" s="224"/>
    </row>
    <row r="17094" spans="1:9">
      <c r="A17094" s="224"/>
      <c r="B17094" s="224"/>
      <c r="C17094" s="224"/>
      <c r="D17094" s="224"/>
      <c r="E17094" s="224"/>
      <c r="F17094" s="224"/>
      <c r="G17094" s="224"/>
      <c r="H17094" s="224"/>
      <c r="I17094" s="224"/>
    </row>
    <row r="17095" spans="1:9">
      <c r="A17095" s="224"/>
      <c r="B17095" s="224"/>
      <c r="C17095" s="224"/>
      <c r="D17095" s="224"/>
      <c r="E17095" s="224"/>
      <c r="F17095" s="224"/>
      <c r="G17095" s="224"/>
      <c r="H17095" s="224"/>
      <c r="I17095" s="224"/>
    </row>
    <row r="17096" spans="1:9">
      <c r="A17096" s="224"/>
      <c r="B17096" s="224"/>
      <c r="C17096" s="224"/>
      <c r="D17096" s="224"/>
      <c r="E17096" s="224"/>
      <c r="F17096" s="224"/>
      <c r="G17096" s="224"/>
      <c r="H17096" s="224"/>
      <c r="I17096" s="224"/>
    </row>
    <row r="17097" spans="1:9">
      <c r="A17097" s="224"/>
      <c r="B17097" s="224"/>
      <c r="C17097" s="224"/>
      <c r="D17097" s="224"/>
      <c r="E17097" s="224"/>
      <c r="F17097" s="224"/>
      <c r="G17097" s="224"/>
      <c r="H17097" s="224"/>
      <c r="I17097" s="224"/>
    </row>
    <row r="17098" spans="1:9">
      <c r="A17098" s="224"/>
      <c r="B17098" s="224"/>
      <c r="C17098" s="224"/>
      <c r="D17098" s="224"/>
      <c r="E17098" s="224"/>
      <c r="F17098" s="224"/>
      <c r="G17098" s="224"/>
      <c r="H17098" s="224"/>
      <c r="I17098" s="224"/>
    </row>
    <row r="17099" spans="1:9">
      <c r="A17099" s="224"/>
      <c r="B17099" s="224"/>
      <c r="C17099" s="224"/>
      <c r="D17099" s="224"/>
      <c r="E17099" s="224"/>
      <c r="F17099" s="224"/>
      <c r="G17099" s="224"/>
      <c r="H17099" s="224"/>
      <c r="I17099" s="224"/>
    </row>
    <row r="17100" spans="1:9">
      <c r="A17100" s="224"/>
      <c r="B17100" s="224"/>
      <c r="C17100" s="224"/>
      <c r="D17100" s="224"/>
      <c r="E17100" s="224"/>
      <c r="F17100" s="224"/>
      <c r="G17100" s="224"/>
      <c r="H17100" s="224"/>
      <c r="I17100" s="224"/>
    </row>
    <row r="17101" spans="1:9">
      <c r="A17101" s="224"/>
      <c r="B17101" s="224"/>
      <c r="C17101" s="224"/>
      <c r="D17101" s="224"/>
      <c r="E17101" s="224"/>
      <c r="F17101" s="224"/>
      <c r="G17101" s="224"/>
      <c r="H17101" s="224"/>
      <c r="I17101" s="224"/>
    </row>
    <row r="17102" spans="1:9">
      <c r="A17102" s="224"/>
      <c r="B17102" s="224"/>
      <c r="C17102" s="224"/>
      <c r="D17102" s="224"/>
      <c r="E17102" s="224"/>
      <c r="F17102" s="224"/>
      <c r="G17102" s="224"/>
      <c r="H17102" s="224"/>
      <c r="I17102" s="224"/>
    </row>
    <row r="17103" spans="1:9">
      <c r="A17103" s="224"/>
      <c r="B17103" s="224"/>
      <c r="C17103" s="224"/>
      <c r="D17103" s="224"/>
      <c r="E17103" s="224"/>
      <c r="F17103" s="224"/>
      <c r="G17103" s="224"/>
      <c r="H17103" s="224"/>
      <c r="I17103" s="224"/>
    </row>
    <row r="17104" spans="1:9">
      <c r="A17104" s="224"/>
      <c r="B17104" s="224"/>
      <c r="C17104" s="224"/>
      <c r="D17104" s="224"/>
      <c r="E17104" s="224"/>
      <c r="F17104" s="224"/>
      <c r="G17104" s="224"/>
      <c r="H17104" s="224"/>
      <c r="I17104" s="224"/>
    </row>
    <row r="17105" spans="1:9">
      <c r="A17105" s="224"/>
      <c r="B17105" s="224"/>
      <c r="C17105" s="224"/>
      <c r="D17105" s="224"/>
      <c r="E17105" s="224"/>
      <c r="F17105" s="224"/>
      <c r="G17105" s="224"/>
      <c r="H17105" s="224"/>
      <c r="I17105" s="224"/>
    </row>
    <row r="17106" spans="1:9">
      <c r="A17106" s="224"/>
      <c r="B17106" s="224"/>
      <c r="C17106" s="224"/>
      <c r="D17106" s="224"/>
      <c r="E17106" s="224"/>
      <c r="F17106" s="224"/>
      <c r="G17106" s="224"/>
      <c r="H17106" s="224"/>
      <c r="I17106" s="224"/>
    </row>
    <row r="17107" spans="1:9">
      <c r="A17107" s="224"/>
      <c r="B17107" s="224"/>
      <c r="C17107" s="224"/>
      <c r="D17107" s="224"/>
      <c r="E17107" s="224"/>
      <c r="F17107" s="224"/>
      <c r="G17107" s="224"/>
      <c r="H17107" s="224"/>
      <c r="I17107" s="224"/>
    </row>
    <row r="17108" spans="1:9">
      <c r="A17108" s="224"/>
      <c r="B17108" s="224"/>
      <c r="C17108" s="224"/>
      <c r="D17108" s="224"/>
      <c r="E17108" s="224"/>
      <c r="F17108" s="224"/>
      <c r="G17108" s="224"/>
      <c r="H17108" s="224"/>
      <c r="I17108" s="224"/>
    </row>
    <row r="17109" spans="1:9">
      <c r="A17109" s="224"/>
      <c r="B17109" s="224"/>
      <c r="C17109" s="224"/>
      <c r="D17109" s="224"/>
      <c r="E17109" s="224"/>
      <c r="F17109" s="224"/>
      <c r="G17109" s="224"/>
      <c r="H17109" s="224"/>
      <c r="I17109" s="224"/>
    </row>
    <row r="17110" spans="1:9">
      <c r="A17110" s="224"/>
      <c r="B17110" s="224"/>
      <c r="C17110" s="224"/>
      <c r="D17110" s="224"/>
      <c r="E17110" s="224"/>
      <c r="F17110" s="224"/>
      <c r="G17110" s="224"/>
      <c r="H17110" s="224"/>
      <c r="I17110" s="224"/>
    </row>
    <row r="17111" spans="1:9">
      <c r="A17111" s="224"/>
      <c r="B17111" s="224"/>
      <c r="C17111" s="224"/>
      <c r="D17111" s="224"/>
      <c r="E17111" s="224"/>
      <c r="F17111" s="224"/>
      <c r="G17111" s="224"/>
      <c r="H17111" s="224"/>
      <c r="I17111" s="224"/>
    </row>
    <row r="17112" spans="1:9">
      <c r="A17112" s="224"/>
      <c r="B17112" s="224"/>
      <c r="C17112" s="224"/>
      <c r="D17112" s="224"/>
      <c r="E17112" s="224"/>
      <c r="F17112" s="224"/>
      <c r="G17112" s="224"/>
      <c r="H17112" s="224"/>
      <c r="I17112" s="224"/>
    </row>
    <row r="17113" spans="1:9">
      <c r="A17113" s="224"/>
      <c r="B17113" s="224"/>
      <c r="C17113" s="224"/>
      <c r="D17113" s="224"/>
      <c r="E17113" s="224"/>
      <c r="F17113" s="224"/>
      <c r="G17113" s="224"/>
      <c r="H17113" s="224"/>
      <c r="I17113" s="224"/>
    </row>
    <row r="17114" spans="1:9">
      <c r="A17114" s="224"/>
      <c r="B17114" s="224"/>
      <c r="C17114" s="224"/>
      <c r="D17114" s="224"/>
      <c r="E17114" s="224"/>
      <c r="F17114" s="224"/>
      <c r="G17114" s="224"/>
      <c r="H17114" s="224"/>
      <c r="I17114" s="224"/>
    </row>
    <row r="17115" spans="1:9">
      <c r="A17115" s="224"/>
      <c r="B17115" s="224"/>
      <c r="C17115" s="224"/>
      <c r="D17115" s="224"/>
      <c r="E17115" s="224"/>
      <c r="F17115" s="224"/>
      <c r="G17115" s="224"/>
      <c r="H17115" s="224"/>
      <c r="I17115" s="224"/>
    </row>
    <row r="17116" spans="1:9">
      <c r="A17116" s="224"/>
      <c r="B17116" s="224"/>
      <c r="C17116" s="224"/>
      <c r="D17116" s="224"/>
      <c r="E17116" s="224"/>
      <c r="F17116" s="224"/>
      <c r="G17116" s="224"/>
      <c r="H17116" s="224"/>
      <c r="I17116" s="224"/>
    </row>
    <row r="17117" spans="1:9">
      <c r="A17117" s="224"/>
      <c r="B17117" s="224"/>
      <c r="C17117" s="224"/>
      <c r="D17117" s="224"/>
      <c r="E17117" s="224"/>
      <c r="F17117" s="224"/>
      <c r="G17117" s="224"/>
      <c r="H17117" s="224"/>
      <c r="I17117" s="224"/>
    </row>
    <row r="17118" spans="1:9">
      <c r="A17118" s="224"/>
      <c r="B17118" s="224"/>
      <c r="C17118" s="224"/>
      <c r="D17118" s="224"/>
      <c r="E17118" s="224"/>
      <c r="F17118" s="224"/>
      <c r="G17118" s="224"/>
      <c r="H17118" s="224"/>
      <c r="I17118" s="224"/>
    </row>
    <row r="17119" spans="1:9">
      <c r="A17119" s="224"/>
      <c r="B17119" s="224"/>
      <c r="C17119" s="224"/>
      <c r="D17119" s="224"/>
      <c r="E17119" s="224"/>
      <c r="F17119" s="224"/>
      <c r="G17119" s="224"/>
      <c r="H17119" s="224"/>
      <c r="I17119" s="224"/>
    </row>
    <row r="17120" spans="1:9">
      <c r="A17120" s="224"/>
      <c r="B17120" s="224"/>
      <c r="C17120" s="224"/>
      <c r="D17120" s="224"/>
      <c r="E17120" s="224"/>
      <c r="F17120" s="224"/>
      <c r="G17120" s="224"/>
      <c r="H17120" s="224"/>
      <c r="I17120" s="224"/>
    </row>
    <row r="17121" spans="1:9">
      <c r="A17121" s="224"/>
      <c r="B17121" s="224"/>
      <c r="C17121" s="224"/>
      <c r="D17121" s="224"/>
      <c r="E17121" s="224"/>
      <c r="F17121" s="224"/>
      <c r="G17121" s="224"/>
      <c r="H17121" s="224"/>
      <c r="I17121" s="224"/>
    </row>
    <row r="17122" spans="1:9">
      <c r="A17122" s="224"/>
      <c r="B17122" s="224"/>
      <c r="C17122" s="224"/>
      <c r="D17122" s="224"/>
      <c r="E17122" s="224"/>
      <c r="F17122" s="224"/>
      <c r="G17122" s="224"/>
      <c r="H17122" s="224"/>
      <c r="I17122" s="224"/>
    </row>
    <row r="17123" spans="1:9">
      <c r="A17123" s="224"/>
      <c r="B17123" s="224"/>
      <c r="C17123" s="224"/>
      <c r="D17123" s="224"/>
      <c r="E17123" s="224"/>
      <c r="F17123" s="224"/>
      <c r="G17123" s="224"/>
      <c r="H17123" s="224"/>
      <c r="I17123" s="224"/>
    </row>
    <row r="17124" spans="1:9">
      <c r="A17124" s="224"/>
      <c r="B17124" s="224"/>
      <c r="C17124" s="224"/>
      <c r="D17124" s="224"/>
      <c r="E17124" s="224"/>
      <c r="F17124" s="224"/>
      <c r="G17124" s="224"/>
      <c r="H17124" s="224"/>
      <c r="I17124" s="224"/>
    </row>
    <row r="17125" spans="1:9">
      <c r="A17125" s="224"/>
      <c r="B17125" s="224"/>
      <c r="C17125" s="224"/>
      <c r="D17125" s="224"/>
      <c r="E17125" s="224"/>
      <c r="F17125" s="224"/>
      <c r="G17125" s="224"/>
      <c r="H17125" s="224"/>
      <c r="I17125" s="224"/>
    </row>
    <row r="17126" spans="1:9">
      <c r="A17126" s="224"/>
      <c r="B17126" s="224"/>
      <c r="C17126" s="224"/>
      <c r="D17126" s="224"/>
      <c r="E17126" s="224"/>
      <c r="F17126" s="224"/>
      <c r="G17126" s="224"/>
      <c r="H17126" s="224"/>
      <c r="I17126" s="224"/>
    </row>
    <row r="17127" spans="1:9">
      <c r="A17127" s="224"/>
      <c r="B17127" s="224"/>
      <c r="C17127" s="224"/>
      <c r="D17127" s="224"/>
      <c r="E17127" s="224"/>
      <c r="F17127" s="224"/>
      <c r="G17127" s="224"/>
      <c r="H17127" s="224"/>
      <c r="I17127" s="224"/>
    </row>
    <row r="17128" spans="1:9">
      <c r="A17128" s="224"/>
      <c r="B17128" s="224"/>
      <c r="C17128" s="224"/>
      <c r="D17128" s="224"/>
      <c r="E17128" s="224"/>
      <c r="F17128" s="224"/>
      <c r="G17128" s="224"/>
      <c r="H17128" s="224"/>
      <c r="I17128" s="224"/>
    </row>
    <row r="17129" spans="1:9">
      <c r="A17129" s="224"/>
      <c r="B17129" s="224"/>
      <c r="C17129" s="224"/>
      <c r="D17129" s="224"/>
      <c r="E17129" s="224"/>
      <c r="F17129" s="224"/>
      <c r="G17129" s="224"/>
      <c r="H17129" s="224"/>
      <c r="I17129" s="224"/>
    </row>
    <row r="17130" spans="1:9">
      <c r="A17130" s="224"/>
      <c r="B17130" s="224"/>
      <c r="C17130" s="224"/>
      <c r="D17130" s="224"/>
      <c r="E17130" s="224"/>
      <c r="F17130" s="224"/>
      <c r="G17130" s="224"/>
      <c r="H17130" s="224"/>
      <c r="I17130" s="224"/>
    </row>
    <row r="17131" spans="1:9">
      <c r="A17131" s="224"/>
      <c r="B17131" s="224"/>
      <c r="C17131" s="224"/>
      <c r="D17131" s="224"/>
      <c r="E17131" s="224"/>
      <c r="F17131" s="224"/>
      <c r="G17131" s="224"/>
      <c r="H17131" s="224"/>
      <c r="I17131" s="224"/>
    </row>
    <row r="17132" spans="1:9">
      <c r="A17132" s="224"/>
      <c r="B17132" s="224"/>
      <c r="C17132" s="224"/>
      <c r="D17132" s="224"/>
      <c r="E17132" s="224"/>
      <c r="F17132" s="224"/>
      <c r="G17132" s="224"/>
      <c r="H17132" s="224"/>
      <c r="I17132" s="224"/>
    </row>
    <row r="17133" spans="1:9">
      <c r="A17133" s="224"/>
      <c r="B17133" s="224"/>
      <c r="C17133" s="224"/>
      <c r="D17133" s="224"/>
      <c r="E17133" s="224"/>
      <c r="F17133" s="224"/>
      <c r="G17133" s="224"/>
      <c r="H17133" s="224"/>
      <c r="I17133" s="224"/>
    </row>
    <row r="17134" spans="1:9">
      <c r="A17134" s="224"/>
      <c r="B17134" s="224"/>
      <c r="C17134" s="224"/>
      <c r="D17134" s="224"/>
      <c r="E17134" s="224"/>
      <c r="F17134" s="224"/>
      <c r="G17134" s="224"/>
      <c r="H17134" s="224"/>
      <c r="I17134" s="224"/>
    </row>
    <row r="17135" spans="1:9">
      <c r="A17135" s="224"/>
      <c r="B17135" s="224"/>
      <c r="C17135" s="224"/>
      <c r="D17135" s="224"/>
      <c r="E17135" s="224"/>
      <c r="F17135" s="224"/>
      <c r="G17135" s="224"/>
      <c r="H17135" s="224"/>
      <c r="I17135" s="224"/>
    </row>
    <row r="17136" spans="1:9">
      <c r="A17136" s="224"/>
      <c r="B17136" s="224"/>
      <c r="C17136" s="224"/>
      <c r="D17136" s="224"/>
      <c r="E17136" s="224"/>
      <c r="F17136" s="224"/>
      <c r="G17136" s="224"/>
      <c r="H17136" s="224"/>
      <c r="I17136" s="224"/>
    </row>
    <row r="17137" spans="1:9">
      <c r="A17137" s="224"/>
      <c r="B17137" s="224"/>
      <c r="C17137" s="224"/>
      <c r="D17137" s="224"/>
      <c r="E17137" s="224"/>
      <c r="F17137" s="224"/>
      <c r="G17137" s="224"/>
      <c r="H17137" s="224"/>
      <c r="I17137" s="224"/>
    </row>
    <row r="17138" spans="1:9">
      <c r="A17138" s="224"/>
      <c r="B17138" s="224"/>
      <c r="C17138" s="224"/>
      <c r="D17138" s="224"/>
      <c r="E17138" s="224"/>
      <c r="F17138" s="224"/>
      <c r="G17138" s="224"/>
      <c r="H17138" s="224"/>
      <c r="I17138" s="224"/>
    </row>
    <row r="17139" spans="1:9">
      <c r="A17139" s="224"/>
      <c r="B17139" s="224"/>
      <c r="C17139" s="224"/>
      <c r="D17139" s="224"/>
      <c r="E17139" s="224"/>
      <c r="F17139" s="224"/>
      <c r="G17139" s="224"/>
      <c r="H17139" s="224"/>
      <c r="I17139" s="224"/>
    </row>
    <row r="17140" spans="1:9">
      <c r="A17140" s="224"/>
      <c r="B17140" s="224"/>
      <c r="C17140" s="224"/>
      <c r="D17140" s="224"/>
      <c r="E17140" s="224"/>
      <c r="F17140" s="224"/>
      <c r="G17140" s="224"/>
      <c r="H17140" s="224"/>
      <c r="I17140" s="224"/>
    </row>
    <row r="17141" spans="1:9">
      <c r="A17141" s="224"/>
      <c r="B17141" s="224"/>
      <c r="C17141" s="224"/>
      <c r="D17141" s="224"/>
      <c r="E17141" s="224"/>
      <c r="F17141" s="224"/>
      <c r="G17141" s="224"/>
      <c r="H17141" s="224"/>
      <c r="I17141" s="224"/>
    </row>
    <row r="17142" spans="1:9">
      <c r="A17142" s="224"/>
      <c r="B17142" s="224"/>
      <c r="C17142" s="224"/>
      <c r="D17142" s="224"/>
      <c r="E17142" s="224"/>
      <c r="F17142" s="224"/>
      <c r="G17142" s="224"/>
      <c r="H17142" s="224"/>
      <c r="I17142" s="224"/>
    </row>
    <row r="17143" spans="1:9">
      <c r="A17143" s="224"/>
      <c r="B17143" s="224"/>
      <c r="C17143" s="224"/>
      <c r="D17143" s="224"/>
      <c r="E17143" s="224"/>
      <c r="F17143" s="224"/>
      <c r="G17143" s="224"/>
      <c r="H17143" s="224"/>
      <c r="I17143" s="224"/>
    </row>
    <row r="17144" spans="1:9">
      <c r="A17144" s="224"/>
      <c r="B17144" s="224"/>
      <c r="C17144" s="224"/>
      <c r="D17144" s="224"/>
      <c r="E17144" s="224"/>
      <c r="F17144" s="224"/>
      <c r="G17144" s="224"/>
      <c r="H17144" s="224"/>
      <c r="I17144" s="224"/>
    </row>
    <row r="17145" spans="1:9">
      <c r="A17145" s="224"/>
      <c r="B17145" s="224"/>
      <c r="C17145" s="224"/>
      <c r="D17145" s="224"/>
      <c r="E17145" s="224"/>
      <c r="F17145" s="224"/>
      <c r="G17145" s="224"/>
      <c r="H17145" s="224"/>
      <c r="I17145" s="224"/>
    </row>
    <row r="17146" spans="1:9">
      <c r="A17146" s="224"/>
      <c r="B17146" s="224"/>
      <c r="C17146" s="224"/>
      <c r="D17146" s="224"/>
      <c r="E17146" s="224"/>
      <c r="F17146" s="224"/>
      <c r="G17146" s="224"/>
      <c r="H17146" s="224"/>
      <c r="I17146" s="224"/>
    </row>
    <row r="17147" spans="1:9">
      <c r="A17147" s="224"/>
      <c r="B17147" s="224"/>
      <c r="C17147" s="224"/>
      <c r="D17147" s="224"/>
      <c r="E17147" s="224"/>
      <c r="F17147" s="224"/>
      <c r="G17147" s="224"/>
      <c r="H17147" s="224"/>
      <c r="I17147" s="224"/>
    </row>
    <row r="17148" spans="1:9">
      <c r="A17148" s="224"/>
      <c r="B17148" s="224"/>
      <c r="C17148" s="224"/>
      <c r="D17148" s="224"/>
      <c r="E17148" s="224"/>
      <c r="F17148" s="224"/>
      <c r="G17148" s="224"/>
      <c r="H17148" s="224"/>
      <c r="I17148" s="224"/>
    </row>
    <row r="17149" spans="1:9">
      <c r="A17149" s="224"/>
      <c r="B17149" s="224"/>
      <c r="C17149" s="224"/>
      <c r="D17149" s="224"/>
      <c r="E17149" s="224"/>
      <c r="F17149" s="224"/>
      <c r="G17149" s="224"/>
      <c r="H17149" s="224"/>
      <c r="I17149" s="224"/>
    </row>
    <row r="17150" spans="1:9">
      <c r="A17150" s="224"/>
      <c r="B17150" s="224"/>
      <c r="C17150" s="224"/>
      <c r="D17150" s="224"/>
      <c r="E17150" s="224"/>
      <c r="F17150" s="224"/>
      <c r="G17150" s="224"/>
      <c r="H17150" s="224"/>
      <c r="I17150" s="224"/>
    </row>
    <row r="17151" spans="1:9">
      <c r="A17151" s="224"/>
      <c r="B17151" s="224"/>
      <c r="C17151" s="224"/>
      <c r="D17151" s="224"/>
      <c r="E17151" s="224"/>
      <c r="F17151" s="224"/>
      <c r="G17151" s="224"/>
      <c r="H17151" s="224"/>
      <c r="I17151" s="224"/>
    </row>
    <row r="17152" spans="1:9">
      <c r="A17152" s="224"/>
      <c r="B17152" s="224"/>
      <c r="C17152" s="224"/>
      <c r="D17152" s="224"/>
      <c r="E17152" s="224"/>
      <c r="F17152" s="224"/>
      <c r="G17152" s="224"/>
      <c r="H17152" s="224"/>
      <c r="I17152" s="224"/>
    </row>
    <row r="17153" spans="1:9">
      <c r="A17153" s="224"/>
      <c r="B17153" s="224"/>
      <c r="C17153" s="224"/>
      <c r="D17153" s="224"/>
      <c r="E17153" s="224"/>
      <c r="F17153" s="224"/>
      <c r="G17153" s="224"/>
      <c r="H17153" s="224"/>
      <c r="I17153" s="224"/>
    </row>
    <row r="17154" spans="1:9">
      <c r="A17154" s="224"/>
      <c r="B17154" s="224"/>
      <c r="C17154" s="224"/>
      <c r="D17154" s="224"/>
      <c r="E17154" s="224"/>
      <c r="F17154" s="224"/>
      <c r="G17154" s="224"/>
      <c r="H17154" s="224"/>
      <c r="I17154" s="224"/>
    </row>
    <row r="17155" spans="1:9">
      <c r="A17155" s="224"/>
      <c r="B17155" s="224"/>
      <c r="C17155" s="224"/>
      <c r="D17155" s="224"/>
      <c r="E17155" s="224"/>
      <c r="F17155" s="224"/>
      <c r="G17155" s="224"/>
      <c r="H17155" s="224"/>
      <c r="I17155" s="224"/>
    </row>
    <row r="17156" spans="1:9">
      <c r="A17156" s="224"/>
      <c r="B17156" s="224"/>
      <c r="C17156" s="224"/>
      <c r="D17156" s="224"/>
      <c r="E17156" s="224"/>
      <c r="F17156" s="224"/>
      <c r="G17156" s="224"/>
      <c r="H17156" s="224"/>
      <c r="I17156" s="224"/>
    </row>
    <row r="17157" spans="1:9">
      <c r="A17157" s="224"/>
      <c r="B17157" s="224"/>
      <c r="C17157" s="224"/>
      <c r="D17157" s="224"/>
      <c r="E17157" s="224"/>
      <c r="F17157" s="224"/>
      <c r="G17157" s="224"/>
      <c r="H17157" s="224"/>
      <c r="I17157" s="224"/>
    </row>
    <row r="17158" spans="1:9">
      <c r="A17158" s="224"/>
      <c r="B17158" s="224"/>
      <c r="C17158" s="224"/>
      <c r="D17158" s="224"/>
      <c r="E17158" s="224"/>
      <c r="F17158" s="224"/>
      <c r="G17158" s="224"/>
      <c r="H17158" s="224"/>
      <c r="I17158" s="224"/>
    </row>
    <row r="17159" spans="1:9">
      <c r="A17159" s="224"/>
      <c r="B17159" s="224"/>
      <c r="C17159" s="224"/>
      <c r="D17159" s="224"/>
      <c r="E17159" s="224"/>
      <c r="F17159" s="224"/>
      <c r="G17159" s="224"/>
      <c r="H17159" s="224"/>
      <c r="I17159" s="224"/>
    </row>
    <row r="17160" spans="1:9">
      <c r="A17160" s="224"/>
      <c r="B17160" s="224"/>
      <c r="C17160" s="224"/>
      <c r="D17160" s="224"/>
      <c r="E17160" s="224"/>
      <c r="F17160" s="224"/>
      <c r="G17160" s="224"/>
      <c r="H17160" s="224"/>
      <c r="I17160" s="224"/>
    </row>
    <row r="17161" spans="1:9">
      <c r="A17161" s="224"/>
      <c r="B17161" s="224"/>
      <c r="C17161" s="224"/>
      <c r="D17161" s="224"/>
      <c r="E17161" s="224"/>
      <c r="F17161" s="224"/>
      <c r="G17161" s="224"/>
      <c r="H17161" s="224"/>
      <c r="I17161" s="224"/>
    </row>
    <row r="17162" spans="1:9">
      <c r="A17162" s="224"/>
      <c r="B17162" s="224"/>
      <c r="C17162" s="224"/>
      <c r="D17162" s="224"/>
      <c r="E17162" s="224"/>
      <c r="F17162" s="224"/>
      <c r="G17162" s="224"/>
      <c r="H17162" s="224"/>
      <c r="I17162" s="224"/>
    </row>
    <row r="17163" spans="1:9">
      <c r="A17163" s="224"/>
      <c r="B17163" s="224"/>
      <c r="C17163" s="224"/>
      <c r="D17163" s="224"/>
      <c r="E17163" s="224"/>
      <c r="F17163" s="224"/>
      <c r="G17163" s="224"/>
      <c r="H17163" s="224"/>
      <c r="I17163" s="224"/>
    </row>
    <row r="17164" spans="1:9">
      <c r="A17164" s="224"/>
      <c r="B17164" s="224"/>
      <c r="C17164" s="224"/>
      <c r="D17164" s="224"/>
      <c r="E17164" s="224"/>
      <c r="F17164" s="224"/>
      <c r="G17164" s="224"/>
      <c r="H17164" s="224"/>
      <c r="I17164" s="224"/>
    </row>
    <row r="17165" spans="1:9">
      <c r="A17165" s="224"/>
      <c r="B17165" s="224"/>
      <c r="C17165" s="224"/>
      <c r="D17165" s="224"/>
      <c r="E17165" s="224"/>
      <c r="F17165" s="224"/>
      <c r="G17165" s="224"/>
      <c r="H17165" s="224"/>
      <c r="I17165" s="224"/>
    </row>
    <row r="17166" spans="1:9">
      <c r="A17166" s="224"/>
      <c r="B17166" s="224"/>
      <c r="C17166" s="224"/>
      <c r="D17166" s="224"/>
      <c r="E17166" s="224"/>
      <c r="F17166" s="224"/>
      <c r="G17166" s="224"/>
      <c r="H17166" s="224"/>
      <c r="I17166" s="224"/>
    </row>
    <row r="17167" spans="1:9">
      <c r="A17167" s="224"/>
      <c r="B17167" s="224"/>
      <c r="C17167" s="224"/>
      <c r="D17167" s="224"/>
      <c r="E17167" s="224"/>
      <c r="F17167" s="224"/>
      <c r="G17167" s="224"/>
      <c r="H17167" s="224"/>
      <c r="I17167" s="224"/>
    </row>
    <row r="17168" spans="1:9">
      <c r="A17168" s="224"/>
      <c r="B17168" s="224"/>
      <c r="C17168" s="224"/>
      <c r="D17168" s="224"/>
      <c r="E17168" s="224"/>
      <c r="F17168" s="224"/>
      <c r="G17168" s="224"/>
      <c r="H17168" s="224"/>
      <c r="I17168" s="224"/>
    </row>
    <row r="17169" spans="1:9">
      <c r="A17169" s="224"/>
      <c r="B17169" s="224"/>
      <c r="C17169" s="224"/>
      <c r="D17169" s="224"/>
      <c r="E17169" s="224"/>
      <c r="F17169" s="224"/>
      <c r="G17169" s="224"/>
      <c r="H17169" s="224"/>
      <c r="I17169" s="224"/>
    </row>
    <row r="17170" spans="1:9">
      <c r="A17170" s="224"/>
      <c r="B17170" s="224"/>
      <c r="C17170" s="224"/>
      <c r="D17170" s="224"/>
      <c r="E17170" s="224"/>
      <c r="F17170" s="224"/>
      <c r="G17170" s="224"/>
      <c r="H17170" s="224"/>
      <c r="I17170" s="224"/>
    </row>
    <row r="17171" spans="1:9">
      <c r="A17171" s="224"/>
      <c r="B17171" s="224"/>
      <c r="C17171" s="224"/>
      <c r="D17171" s="224"/>
      <c r="E17171" s="224"/>
      <c r="F17171" s="224"/>
      <c r="G17171" s="224"/>
      <c r="H17171" s="224"/>
      <c r="I17171" s="224"/>
    </row>
    <row r="17172" spans="1:9">
      <c r="A17172" s="224"/>
      <c r="B17172" s="224"/>
      <c r="C17172" s="224"/>
      <c r="D17172" s="224"/>
      <c r="E17172" s="224"/>
      <c r="F17172" s="224"/>
      <c r="G17172" s="224"/>
      <c r="H17172" s="224"/>
      <c r="I17172" s="224"/>
    </row>
    <row r="17173" spans="1:9">
      <c r="A17173" s="224"/>
      <c r="B17173" s="224"/>
      <c r="C17173" s="224"/>
      <c r="D17173" s="224"/>
      <c r="E17173" s="224"/>
      <c r="F17173" s="224"/>
      <c r="G17173" s="224"/>
      <c r="H17173" s="224"/>
      <c r="I17173" s="224"/>
    </row>
    <row r="17174" spans="1:9">
      <c r="A17174" s="224"/>
      <c r="B17174" s="224"/>
      <c r="C17174" s="224"/>
      <c r="D17174" s="224"/>
      <c r="E17174" s="224"/>
      <c r="F17174" s="224"/>
      <c r="G17174" s="224"/>
      <c r="H17174" s="224"/>
      <c r="I17174" s="224"/>
    </row>
    <row r="17175" spans="1:9">
      <c r="A17175" s="224"/>
      <c r="B17175" s="224"/>
      <c r="C17175" s="224"/>
      <c r="D17175" s="224"/>
      <c r="E17175" s="224"/>
      <c r="F17175" s="224"/>
      <c r="G17175" s="224"/>
      <c r="H17175" s="224"/>
      <c r="I17175" s="224"/>
    </row>
    <row r="17176" spans="1:9">
      <c r="A17176" s="224"/>
      <c r="B17176" s="224"/>
      <c r="C17176" s="224"/>
      <c r="D17176" s="224"/>
      <c r="E17176" s="224"/>
      <c r="F17176" s="224"/>
      <c r="G17176" s="224"/>
      <c r="H17176" s="224"/>
      <c r="I17176" s="224"/>
    </row>
    <row r="17177" spans="1:9">
      <c r="A17177" s="224"/>
      <c r="B17177" s="224"/>
      <c r="C17177" s="224"/>
      <c r="D17177" s="224"/>
      <c r="E17177" s="224"/>
      <c r="F17177" s="224"/>
      <c r="G17177" s="224"/>
      <c r="H17177" s="224"/>
      <c r="I17177" s="224"/>
    </row>
    <row r="17178" spans="1:9">
      <c r="A17178" s="224"/>
      <c r="B17178" s="224"/>
      <c r="C17178" s="224"/>
      <c r="D17178" s="224"/>
      <c r="E17178" s="224"/>
      <c r="F17178" s="224"/>
      <c r="G17178" s="224"/>
      <c r="H17178" s="224"/>
      <c r="I17178" s="224"/>
    </row>
    <row r="17179" spans="1:9">
      <c r="A17179" s="224"/>
      <c r="B17179" s="224"/>
      <c r="C17179" s="224"/>
      <c r="D17179" s="224"/>
      <c r="E17179" s="224"/>
      <c r="F17179" s="224"/>
      <c r="G17179" s="224"/>
      <c r="H17179" s="224"/>
      <c r="I17179" s="224"/>
    </row>
    <row r="17180" spans="1:9">
      <c r="A17180" s="224"/>
      <c r="B17180" s="224"/>
      <c r="C17180" s="224"/>
      <c r="D17180" s="224"/>
      <c r="E17180" s="224"/>
      <c r="F17180" s="224"/>
      <c r="G17180" s="224"/>
      <c r="H17180" s="224"/>
      <c r="I17180" s="224"/>
    </row>
    <row r="17181" spans="1:9">
      <c r="A17181" s="224"/>
      <c r="B17181" s="224"/>
      <c r="C17181" s="224"/>
      <c r="D17181" s="224"/>
      <c r="E17181" s="224"/>
      <c r="F17181" s="224"/>
      <c r="G17181" s="224"/>
      <c r="H17181" s="224"/>
      <c r="I17181" s="224"/>
    </row>
    <row r="17182" spans="1:9">
      <c r="A17182" s="224"/>
      <c r="B17182" s="224"/>
      <c r="C17182" s="224"/>
      <c r="D17182" s="224"/>
      <c r="E17182" s="224"/>
      <c r="F17182" s="224"/>
      <c r="G17182" s="224"/>
      <c r="H17182" s="224"/>
      <c r="I17182" s="224"/>
    </row>
    <row r="17183" spans="1:9">
      <c r="A17183" s="224"/>
      <c r="B17183" s="224"/>
      <c r="C17183" s="224"/>
      <c r="D17183" s="224"/>
      <c r="E17183" s="224"/>
      <c r="F17183" s="224"/>
      <c r="G17183" s="224"/>
      <c r="H17183" s="224"/>
      <c r="I17183" s="224"/>
    </row>
    <row r="17184" spans="1:9">
      <c r="A17184" s="224"/>
      <c r="B17184" s="224"/>
      <c r="C17184" s="224"/>
      <c r="D17184" s="224"/>
      <c r="E17184" s="224"/>
      <c r="F17184" s="224"/>
      <c r="G17184" s="224"/>
      <c r="H17184" s="224"/>
      <c r="I17184" s="224"/>
    </row>
    <row r="17185" spans="1:9">
      <c r="A17185" s="224"/>
      <c r="B17185" s="224"/>
      <c r="C17185" s="224"/>
      <c r="D17185" s="224"/>
      <c r="E17185" s="224"/>
      <c r="F17185" s="224"/>
      <c r="G17185" s="224"/>
      <c r="H17185" s="224"/>
      <c r="I17185" s="224"/>
    </row>
    <row r="17186" spans="1:9">
      <c r="A17186" s="224"/>
      <c r="B17186" s="224"/>
      <c r="C17186" s="224"/>
      <c r="D17186" s="224"/>
      <c r="E17186" s="224"/>
      <c r="F17186" s="224"/>
      <c r="G17186" s="224"/>
      <c r="H17186" s="224"/>
      <c r="I17186" s="224"/>
    </row>
    <row r="17187" spans="1:9">
      <c r="A17187" s="224"/>
      <c r="B17187" s="224"/>
      <c r="C17187" s="224"/>
      <c r="D17187" s="224"/>
      <c r="E17187" s="224"/>
      <c r="F17187" s="224"/>
      <c r="G17187" s="224"/>
      <c r="H17187" s="224"/>
      <c r="I17187" s="224"/>
    </row>
    <row r="17188" spans="1:9">
      <c r="A17188" s="224"/>
      <c r="B17188" s="224"/>
      <c r="C17188" s="224"/>
      <c r="D17188" s="224"/>
      <c r="E17188" s="224"/>
      <c r="F17188" s="224"/>
      <c r="G17188" s="224"/>
      <c r="H17188" s="224"/>
      <c r="I17188" s="224"/>
    </row>
    <row r="17189" spans="1:9">
      <c r="A17189" s="224"/>
      <c r="B17189" s="224"/>
      <c r="C17189" s="224"/>
      <c r="D17189" s="224"/>
      <c r="E17189" s="224"/>
      <c r="F17189" s="224"/>
      <c r="G17189" s="224"/>
      <c r="H17189" s="224"/>
      <c r="I17189" s="224"/>
    </row>
    <row r="17190" spans="1:9">
      <c r="A17190" s="224"/>
      <c r="B17190" s="224"/>
      <c r="C17190" s="224"/>
      <c r="D17190" s="224"/>
      <c r="E17190" s="224"/>
      <c r="F17190" s="224"/>
      <c r="G17190" s="224"/>
      <c r="H17190" s="224"/>
      <c r="I17190" s="224"/>
    </row>
    <row r="17191" spans="1:9">
      <c r="A17191" s="224"/>
      <c r="B17191" s="224"/>
      <c r="C17191" s="224"/>
      <c r="D17191" s="224"/>
      <c r="E17191" s="224"/>
      <c r="F17191" s="224"/>
      <c r="G17191" s="224"/>
      <c r="H17191" s="224"/>
      <c r="I17191" s="224"/>
    </row>
    <row r="17192" spans="1:9">
      <c r="A17192" s="224"/>
      <c r="B17192" s="224"/>
      <c r="C17192" s="224"/>
      <c r="D17192" s="224"/>
      <c r="E17192" s="224"/>
      <c r="F17192" s="224"/>
      <c r="G17192" s="224"/>
      <c r="H17192" s="224"/>
      <c r="I17192" s="224"/>
    </row>
    <row r="17193" spans="1:9">
      <c r="A17193" s="224"/>
      <c r="B17193" s="224"/>
      <c r="C17193" s="224"/>
      <c r="D17193" s="224"/>
      <c r="E17193" s="224"/>
      <c r="F17193" s="224"/>
      <c r="G17193" s="224"/>
      <c r="H17193" s="224"/>
      <c r="I17193" s="224"/>
    </row>
    <row r="17194" spans="1:9">
      <c r="A17194" s="224"/>
      <c r="B17194" s="224"/>
      <c r="C17194" s="224"/>
      <c r="D17194" s="224"/>
      <c r="E17194" s="224"/>
      <c r="F17194" s="224"/>
      <c r="G17194" s="224"/>
      <c r="H17194" s="224"/>
      <c r="I17194" s="224"/>
    </row>
    <row r="17195" spans="1:9">
      <c r="A17195" s="224"/>
      <c r="B17195" s="224"/>
      <c r="C17195" s="224"/>
      <c r="D17195" s="224"/>
      <c r="E17195" s="224"/>
      <c r="F17195" s="224"/>
      <c r="G17195" s="224"/>
      <c r="H17195" s="224"/>
      <c r="I17195" s="224"/>
    </row>
    <row r="17196" spans="1:9">
      <c r="A17196" s="224"/>
      <c r="B17196" s="224"/>
      <c r="C17196" s="224"/>
      <c r="D17196" s="224"/>
      <c r="E17196" s="224"/>
      <c r="F17196" s="224"/>
      <c r="G17196" s="224"/>
      <c r="H17196" s="224"/>
      <c r="I17196" s="224"/>
    </row>
    <row r="17197" spans="1:9">
      <c r="A17197" s="224"/>
      <c r="B17197" s="224"/>
      <c r="C17197" s="224"/>
      <c r="D17197" s="224"/>
      <c r="E17197" s="224"/>
      <c r="F17197" s="224"/>
      <c r="G17197" s="224"/>
      <c r="H17197" s="224"/>
      <c r="I17197" s="224"/>
    </row>
    <row r="17198" spans="1:9">
      <c r="A17198" s="224"/>
      <c r="B17198" s="224"/>
      <c r="C17198" s="224"/>
      <c r="D17198" s="224"/>
      <c r="E17198" s="224"/>
      <c r="F17198" s="224"/>
      <c r="G17198" s="224"/>
      <c r="H17198" s="224"/>
      <c r="I17198" s="224"/>
    </row>
    <row r="17199" spans="1:9">
      <c r="A17199" s="224"/>
      <c r="B17199" s="224"/>
      <c r="C17199" s="224"/>
      <c r="D17199" s="224"/>
      <c r="E17199" s="224"/>
      <c r="F17199" s="224"/>
      <c r="G17199" s="224"/>
      <c r="H17199" s="224"/>
      <c r="I17199" s="224"/>
    </row>
    <row r="17200" spans="1:9">
      <c r="A17200" s="224"/>
      <c r="B17200" s="224"/>
      <c r="C17200" s="224"/>
      <c r="D17200" s="224"/>
      <c r="E17200" s="224"/>
      <c r="F17200" s="224"/>
      <c r="G17200" s="224"/>
      <c r="H17200" s="224"/>
      <c r="I17200" s="224"/>
    </row>
    <row r="17201" spans="1:9">
      <c r="A17201" s="224"/>
      <c r="B17201" s="224"/>
      <c r="C17201" s="224"/>
      <c r="D17201" s="224"/>
      <c r="E17201" s="224"/>
      <c r="F17201" s="224"/>
      <c r="G17201" s="224"/>
      <c r="H17201" s="224"/>
      <c r="I17201" s="224"/>
    </row>
    <row r="17202" spans="1:9">
      <c r="A17202" s="224"/>
      <c r="B17202" s="224"/>
      <c r="C17202" s="224"/>
      <c r="D17202" s="224"/>
      <c r="E17202" s="224"/>
      <c r="F17202" s="224"/>
      <c r="G17202" s="224"/>
      <c r="H17202" s="224"/>
      <c r="I17202" s="224"/>
    </row>
    <row r="17203" spans="1:9">
      <c r="A17203" s="224"/>
      <c r="B17203" s="224"/>
      <c r="C17203" s="224"/>
      <c r="D17203" s="224"/>
      <c r="E17203" s="224"/>
      <c r="F17203" s="224"/>
      <c r="G17203" s="224"/>
      <c r="H17203" s="224"/>
      <c r="I17203" s="224"/>
    </row>
    <row r="17204" spans="1:9">
      <c r="A17204" s="224"/>
      <c r="B17204" s="224"/>
      <c r="C17204" s="224"/>
      <c r="D17204" s="224"/>
      <c r="E17204" s="224"/>
      <c r="F17204" s="224"/>
      <c r="G17204" s="224"/>
      <c r="H17204" s="224"/>
      <c r="I17204" s="224"/>
    </row>
    <row r="17205" spans="1:9">
      <c r="A17205" s="224"/>
      <c r="B17205" s="224"/>
      <c r="C17205" s="224"/>
      <c r="D17205" s="224"/>
      <c r="E17205" s="224"/>
      <c r="F17205" s="224"/>
      <c r="G17205" s="224"/>
      <c r="H17205" s="224"/>
      <c r="I17205" s="224"/>
    </row>
    <row r="17206" spans="1:9">
      <c r="A17206" s="224"/>
      <c r="B17206" s="224"/>
      <c r="C17206" s="224"/>
      <c r="D17206" s="224"/>
      <c r="E17206" s="224"/>
      <c r="F17206" s="224"/>
      <c r="G17206" s="224"/>
      <c r="H17206" s="224"/>
      <c r="I17206" s="224"/>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6ED86-DEEA-4007-8BB6-B415B61F22DA}">
  <dimension ref="A1:G74"/>
  <sheetViews>
    <sheetView showGridLines="0" workbookViewId="0">
      <selection activeCell="B18" sqref="B18"/>
    </sheetView>
  </sheetViews>
  <sheetFormatPr defaultColWidth="8.5625" defaultRowHeight="13.9"/>
  <cols>
    <col min="1" max="1" width="2.5625" style="142" customWidth="1"/>
    <col min="2" max="2" width="69.9375" style="142" bestFit="1" customWidth="1"/>
    <col min="3" max="5" width="8.5625" style="142"/>
    <col min="6" max="6" width="32.875" style="142" customWidth="1"/>
    <col min="7" max="7" width="8.5625" style="141"/>
    <col min="8" max="8" width="4.4375" style="142" customWidth="1"/>
    <col min="9" max="16384" width="8.5625" style="142"/>
  </cols>
  <sheetData>
    <row r="1" spans="1:7" s="22" customFormat="1" ht="20.65">
      <c r="A1" s="152" t="s">
        <v>14</v>
      </c>
      <c r="B1" s="9"/>
      <c r="G1" s="141"/>
    </row>
    <row r="3" spans="1:7">
      <c r="B3" s="143" t="s">
        <v>147</v>
      </c>
    </row>
    <row r="4" spans="1:7">
      <c r="B4" s="143" t="s">
        <v>148</v>
      </c>
    </row>
    <row r="5" spans="1:7">
      <c r="B5" s="143" t="s">
        <v>149</v>
      </c>
    </row>
    <row r="6" spans="1:7">
      <c r="B6" s="143" t="s">
        <v>150</v>
      </c>
    </row>
    <row r="7" spans="1:7">
      <c r="B7" s="143" t="s">
        <v>151</v>
      </c>
    </row>
    <row r="8" spans="1:7">
      <c r="B8" s="143" t="s">
        <v>152</v>
      </c>
    </row>
    <row r="9" spans="1:7">
      <c r="B9" s="143" t="s">
        <v>153</v>
      </c>
    </row>
    <row r="10" spans="1:7">
      <c r="B10" s="143" t="s">
        <v>154</v>
      </c>
    </row>
    <row r="11" spans="1:7">
      <c r="B11" s="143" t="s">
        <v>155</v>
      </c>
    </row>
    <row r="12" spans="1:7">
      <c r="B12" s="143" t="s">
        <v>156</v>
      </c>
    </row>
    <row r="13" spans="1:7">
      <c r="B13" s="143" t="s">
        <v>157</v>
      </c>
    </row>
    <row r="14" spans="1:7">
      <c r="B14" s="143" t="s">
        <v>158</v>
      </c>
    </row>
    <row r="15" spans="1:7">
      <c r="B15" s="143" t="s">
        <v>159</v>
      </c>
    </row>
    <row r="16" spans="1:7">
      <c r="B16" s="143" t="s">
        <v>160</v>
      </c>
    </row>
    <row r="17" spans="1:2">
      <c r="B17" s="143" t="s">
        <v>161</v>
      </c>
    </row>
    <row r="18" spans="1:2">
      <c r="B18" s="143" t="s">
        <v>162</v>
      </c>
    </row>
    <row r="19" spans="1:2">
      <c r="B19" s="140"/>
    </row>
    <row r="20" spans="1:2">
      <c r="B20" s="140" t="s">
        <v>163</v>
      </c>
    </row>
    <row r="21" spans="1:2">
      <c r="B21" s="140" t="s">
        <v>98</v>
      </c>
    </row>
    <row r="22" spans="1:2">
      <c r="B22" s="140" t="s">
        <v>164</v>
      </c>
    </row>
    <row r="23" spans="1:2">
      <c r="A23" s="144"/>
      <c r="B23" s="145"/>
    </row>
    <row r="25" spans="1:2" ht="15.4">
      <c r="A25" s="146"/>
    </row>
    <row r="26" spans="1:2">
      <c r="A26" s="147"/>
    </row>
    <row r="27" spans="1:2">
      <c r="A27" s="147"/>
    </row>
    <row r="28" spans="1:2">
      <c r="A28" s="148"/>
      <c r="B28" s="149"/>
    </row>
    <row r="29" spans="1:2">
      <c r="A29" s="148"/>
      <c r="B29" s="149"/>
    </row>
    <row r="30" spans="1:2">
      <c r="A30" s="147"/>
    </row>
    <row r="32" spans="1:2" ht="15.4">
      <c r="A32" s="146"/>
    </row>
    <row r="33" spans="1:1">
      <c r="A33" s="147"/>
    </row>
    <row r="34" spans="1:1">
      <c r="A34" s="147"/>
    </row>
    <row r="35" spans="1:1">
      <c r="A35" s="148"/>
    </row>
    <row r="36" spans="1:1">
      <c r="A36" s="148"/>
    </row>
    <row r="37" spans="1:1">
      <c r="A37" s="147"/>
    </row>
    <row r="39" spans="1:1" ht="15.4">
      <c r="A39" s="146"/>
    </row>
    <row r="40" spans="1:1">
      <c r="A40" s="147"/>
    </row>
    <row r="41" spans="1:1">
      <c r="A41" s="147"/>
    </row>
    <row r="42" spans="1:1">
      <c r="A42" s="148"/>
    </row>
    <row r="43" spans="1:1">
      <c r="A43" s="148"/>
    </row>
    <row r="44" spans="1:1">
      <c r="A44" s="147"/>
    </row>
    <row r="45" spans="1:1">
      <c r="A45" s="150"/>
    </row>
    <row r="46" spans="1:1" ht="15.4">
      <c r="A46" s="146"/>
    </row>
    <row r="47" spans="1:1">
      <c r="A47" s="147"/>
    </row>
    <row r="48" spans="1:1">
      <c r="A48" s="147"/>
    </row>
    <row r="49" spans="1:1">
      <c r="A49" s="148"/>
    </row>
    <row r="50" spans="1:1">
      <c r="A50" s="148"/>
    </row>
    <row r="51" spans="1:1">
      <c r="A51" s="147"/>
    </row>
    <row r="52" spans="1:1">
      <c r="A52" s="150"/>
    </row>
    <row r="53" spans="1:1" ht="15.4">
      <c r="A53" s="151"/>
    </row>
    <row r="54" spans="1:1">
      <c r="A54" s="147"/>
    </row>
    <row r="55" spans="1:1">
      <c r="A55" s="147"/>
    </row>
    <row r="56" spans="1:1">
      <c r="A56" s="148"/>
    </row>
    <row r="57" spans="1:1">
      <c r="A57" s="148"/>
    </row>
    <row r="58" spans="1:1">
      <c r="A58" s="147"/>
    </row>
    <row r="59" spans="1:1">
      <c r="A59" s="150"/>
    </row>
    <row r="60" spans="1:1" ht="15.4">
      <c r="A60" s="151"/>
    </row>
    <row r="61" spans="1:1">
      <c r="A61" s="147"/>
    </row>
    <row r="62" spans="1:1">
      <c r="A62" s="147"/>
    </row>
    <row r="63" spans="1:1">
      <c r="A63" s="148"/>
    </row>
    <row r="64" spans="1:1">
      <c r="A64" s="148"/>
    </row>
    <row r="65" spans="1:1">
      <c r="A65" s="147"/>
    </row>
    <row r="66" spans="1:1">
      <c r="A66" s="150"/>
    </row>
    <row r="67" spans="1:1" ht="15.4">
      <c r="A67" s="151"/>
    </row>
    <row r="68" spans="1:1">
      <c r="A68" s="147"/>
    </row>
    <row r="69" spans="1:1">
      <c r="A69" s="147"/>
    </row>
    <row r="70" spans="1:1">
      <c r="A70" s="148"/>
    </row>
    <row r="71" spans="1:1">
      <c r="A71" s="148"/>
    </row>
    <row r="72" spans="1:1">
      <c r="A72" s="147"/>
    </row>
    <row r="73" spans="1:1">
      <c r="A73" s="150"/>
    </row>
    <row r="74" spans="1:1" ht="15.4">
      <c r="A74" s="151"/>
    </row>
  </sheetData>
  <hyperlinks>
    <hyperlink ref="B20" location="'Notes on Statistics'!A1" display="Notes on Statistics" xr:uid="{12279DBF-99BC-4B69-AB57-8E77F76D137E}"/>
    <hyperlink ref="B21" location="'Definitions and Abbreviations'!A1" display="Definitions and Abbreviations" xr:uid="{619AA43D-52FA-4D62-B47B-EFA40A0F7784}"/>
    <hyperlink ref="B22" location="RelatedPublications!A1" display="RelatedPublicatons" xr:uid="{220A6A72-F949-4C2A-BDD2-80C86F25F78C}"/>
    <hyperlink ref="B5" location="'T1'!A1" display="T1 - Australia" xr:uid="{563DE391-91E2-42D9-9E83-6A814BED1215}"/>
    <hyperlink ref="B6" location="'T2'!A1" display="T2 - New South Wales" xr:uid="{39ABA43A-DB9A-4473-B5F3-0E0697A62C55}"/>
    <hyperlink ref="B7" location="'T3'!A1" display="T3 - Victoria" xr:uid="{C47C2B02-4BA4-4C25-BF92-3B50F48ED1C4}"/>
    <hyperlink ref="B8" location="'T4'!A1" display="T4 - Queensland" xr:uid="{477C507B-B7C8-4843-9DA2-D8D0A7B10BDA}"/>
    <hyperlink ref="B9" location="'T5'!A1" display="T5 - South Australia" xr:uid="{C2ECB373-DACC-4548-9707-72E1B2C200B2}"/>
    <hyperlink ref="B10" location="'T6'!A1" display="T6 - Western Australia" xr:uid="{D9038269-DBA2-4CA6-8D52-C9B82BFC15F4}"/>
    <hyperlink ref="B11" location="'T7'!A1" display="T7  - Tasmania" xr:uid="{379E4BB8-5BDC-4439-98A9-A3FFBDF050DD}"/>
    <hyperlink ref="B12" location="'T8'!A1" display="T8 - Australian Capital Territory" xr:uid="{DDC858E7-A10D-4349-9F23-BF84F0F1AACB}"/>
    <hyperlink ref="B13" location="'T9'!A1" display="T9 - Northern Territory" xr:uid="{F6F82A03-99F3-4802-AD3D-EAD04271E8D5}"/>
    <hyperlink ref="B14" location="'T10 &amp; T11'!A1" display="T10  - Australia and T11 - New South Wales" xr:uid="{1CAC30D2-029F-4B53-BCC3-D5EA751779B1}"/>
    <hyperlink ref="B15" location="'T12 &amp; T13'!A1" display="T12 - Victoria and T13 - Queensland" xr:uid="{E6506531-BBF9-4A7C-8CA9-FEFA623B00E4}"/>
    <hyperlink ref="B16" location="'T14 &amp; T15'!A1" display="T14 - South Australia and T15 - Western Australia" xr:uid="{4E19E773-621F-4E6D-9332-A5D8A3F6957D}"/>
    <hyperlink ref="B17" location="'T16 &amp; T17'!A1" display="T16 - Tasmania and T17 - Australian Capital Territory" xr:uid="{C7FA9DF0-4EA9-4513-9092-90E816F4BD23}"/>
    <hyperlink ref="B18" location="'T18'!A1" display="T18 - Northern Territory" xr:uid="{91BD2C81-36B7-41D4-AAE3-A63BDA29BC50}"/>
    <hyperlink ref="B3" location="TA!A1" display="TA - In hospital services with no gaps Dec 2018 to Dec 2021 and percentage point changes" xr:uid="{7D14E7C0-EE40-418D-8E7F-5D7204761DC1}"/>
    <hyperlink ref="B4" location="TB!A1" display="TB - Summary of in-hospital medical services with no gaps Mar 2021 to Mar 2022" xr:uid="{7287AB26-10F5-4F6B-A335-5C6C40DBE2C6}"/>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78B12-01C7-4066-88D6-B7B8B401FD2E}">
  <sheetPr codeName="Sheet3"/>
  <dimension ref="A1:B28"/>
  <sheetViews>
    <sheetView workbookViewId="0"/>
  </sheetViews>
  <sheetFormatPr defaultColWidth="8.6875" defaultRowHeight="13.5"/>
  <cols>
    <col min="1" max="1" width="81.5625" style="19" customWidth="1"/>
    <col min="2" max="16384" width="8.6875" style="19"/>
  </cols>
  <sheetData>
    <row r="1" spans="1:2" ht="20.65">
      <c r="A1" s="9" t="s">
        <v>18</v>
      </c>
      <c r="B1" s="9"/>
    </row>
    <row r="2" spans="1:2" ht="38.25">
      <c r="A2" s="10" t="s">
        <v>17</v>
      </c>
      <c r="B2" s="10"/>
    </row>
    <row r="3" spans="1:2" ht="25.5">
      <c r="A3" s="10" t="s">
        <v>15</v>
      </c>
      <c r="B3" s="10"/>
    </row>
    <row r="4" spans="1:2">
      <c r="A4" s="11" t="s">
        <v>3</v>
      </c>
      <c r="B4" s="11"/>
    </row>
    <row r="5" spans="1:2">
      <c r="A5" s="11"/>
      <c r="B5" s="11"/>
    </row>
    <row r="6" spans="1:2" ht="20.65">
      <c r="A6" s="9" t="s">
        <v>4</v>
      </c>
      <c r="B6" s="9"/>
    </row>
    <row r="7" spans="1:2" ht="38.25">
      <c r="A7" s="12" t="s">
        <v>16</v>
      </c>
      <c r="B7" s="12"/>
    </row>
    <row r="8" spans="1:2">
      <c r="A8" s="13"/>
      <c r="B8" s="20"/>
    </row>
    <row r="9" spans="1:2" ht="20.65">
      <c r="A9" s="9" t="s">
        <v>5</v>
      </c>
      <c r="B9" s="9"/>
    </row>
    <row r="10" spans="1:2">
      <c r="A10" s="12" t="s">
        <v>142</v>
      </c>
      <c r="B10" s="10"/>
    </row>
    <row r="11" spans="1:2">
      <c r="A11" s="13"/>
      <c r="B11" s="20"/>
    </row>
    <row r="12" spans="1:2" ht="20.65">
      <c r="A12" s="9" t="s">
        <v>6</v>
      </c>
      <c r="B12" s="9"/>
    </row>
    <row r="13" spans="1:2">
      <c r="A13" s="12" t="s">
        <v>146</v>
      </c>
      <c r="B13" s="10"/>
    </row>
    <row r="14" spans="1:2">
      <c r="A14" s="13"/>
      <c r="B14" s="20"/>
    </row>
    <row r="15" spans="1:2" ht="20.65">
      <c r="A15" s="9" t="s">
        <v>143</v>
      </c>
      <c r="B15" s="20"/>
    </row>
    <row r="16" spans="1:2" ht="25.5">
      <c r="A16" s="12" t="s">
        <v>144</v>
      </c>
      <c r="B16" s="20"/>
    </row>
    <row r="17" spans="1:2" ht="25.5">
      <c r="A17" s="12" t="s">
        <v>145</v>
      </c>
      <c r="B17" s="20"/>
    </row>
    <row r="18" spans="1:2">
      <c r="A18" s="14"/>
      <c r="B18" s="14"/>
    </row>
    <row r="19" spans="1:2" ht="20.65">
      <c r="A19" s="9" t="s">
        <v>7</v>
      </c>
      <c r="B19" s="9"/>
    </row>
    <row r="20" spans="1:2">
      <c r="A20" s="10" t="s">
        <v>8</v>
      </c>
      <c r="B20" s="10"/>
    </row>
    <row r="21" spans="1:2">
      <c r="A21" s="21" t="s">
        <v>9</v>
      </c>
      <c r="B21" s="15"/>
    </row>
    <row r="22" spans="1:2">
      <c r="A22" s="8"/>
      <c r="B22" s="16"/>
    </row>
    <row r="23" spans="1:2">
      <c r="A23" s="17" t="s">
        <v>10</v>
      </c>
      <c r="B23" s="15"/>
    </row>
    <row r="24" spans="1:2">
      <c r="A24" s="17" t="s">
        <v>11</v>
      </c>
      <c r="B24" s="20"/>
    </row>
    <row r="25" spans="1:2">
      <c r="A25" s="17" t="s">
        <v>12</v>
      </c>
      <c r="B25" s="13"/>
    </row>
    <row r="26" spans="1:2">
      <c r="A26" s="17" t="s">
        <v>13</v>
      </c>
      <c r="B26" s="18"/>
    </row>
    <row r="27" spans="1:2">
      <c r="A27" s="20"/>
      <c r="B27" s="18"/>
    </row>
    <row r="28" spans="1:2">
      <c r="A28" s="20"/>
      <c r="B28" s="18"/>
    </row>
  </sheetData>
  <hyperlinks>
    <hyperlink ref="A21" r:id="rId1" xr:uid="{40EEAC47-9D87-40EA-8FC2-3C978D6C61A8}"/>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9796-C10B-4D12-BC59-EFBA4C37CA6C}">
  <sheetPr>
    <pageSetUpPr fitToPage="1"/>
  </sheetPr>
  <dimension ref="A1:AF26"/>
  <sheetViews>
    <sheetView showGridLines="0" zoomScaleNormal="100" zoomScaleSheetLayoutView="100" workbookViewId="0">
      <selection activeCell="C3" sqref="C3"/>
    </sheetView>
  </sheetViews>
  <sheetFormatPr defaultColWidth="8.3125" defaultRowHeight="15.4"/>
  <cols>
    <col min="1" max="1" width="8.3125" style="22"/>
    <col min="2" max="2" width="42.5625" style="27" customWidth="1"/>
    <col min="3" max="3" width="9.5" style="28" customWidth="1"/>
    <col min="4" max="10" width="9.5" style="29" customWidth="1"/>
    <col min="11" max="11" width="9.5" style="30" customWidth="1"/>
    <col min="12" max="12" width="12.0625" style="22" bestFit="1" customWidth="1"/>
    <col min="13" max="20" width="9.5" style="22" customWidth="1"/>
    <col min="21" max="21" width="8.3125" style="22"/>
    <col min="22" max="30" width="9.5" style="22" customWidth="1"/>
    <col min="31" max="16384" width="8.3125" style="22"/>
  </cols>
  <sheetData>
    <row r="1" spans="1:32" ht="33.75" customHeight="1">
      <c r="A1" s="228" t="str">
        <f>"Table A: In hospital services with no gaps "&amp;A3&amp;" "&amp;B3&amp;" to "&amp;A15&amp;" "&amp;B15&amp;" and percentage point changes"</f>
        <v>Table A: In hospital services with no gaps Dec 2021 to Dec 2024 and percentage point changes</v>
      </c>
      <c r="B1" s="228"/>
      <c r="C1" s="228"/>
      <c r="D1" s="228"/>
      <c r="E1" s="228"/>
      <c r="F1" s="228"/>
      <c r="G1" s="228"/>
      <c r="H1" s="228"/>
      <c r="I1" s="228"/>
      <c r="J1" s="228"/>
      <c r="K1" s="22"/>
    </row>
    <row r="2" spans="1:32" s="23" customFormat="1" ht="25.15" customHeight="1">
      <c r="A2" s="1" t="s">
        <v>19</v>
      </c>
      <c r="B2" s="1"/>
      <c r="C2" s="173" t="s">
        <v>20</v>
      </c>
      <c r="D2" s="173" t="s">
        <v>21</v>
      </c>
      <c r="E2" s="173" t="s">
        <v>22</v>
      </c>
      <c r="F2" s="173" t="s">
        <v>23</v>
      </c>
      <c r="G2" s="173" t="s">
        <v>24</v>
      </c>
      <c r="H2" s="173" t="s">
        <v>25</v>
      </c>
      <c r="I2" s="173" t="s">
        <v>26</v>
      </c>
      <c r="J2" s="173" t="s">
        <v>27</v>
      </c>
      <c r="K2" s="173" t="s">
        <v>28</v>
      </c>
      <c r="L2" s="22"/>
      <c r="M2" s="22"/>
      <c r="N2" s="22"/>
      <c r="O2" s="22"/>
      <c r="P2" s="22"/>
      <c r="Q2" s="22"/>
      <c r="R2" s="22"/>
      <c r="S2" s="22"/>
      <c r="T2" s="22"/>
      <c r="U2" s="22"/>
      <c r="V2" s="22"/>
      <c r="W2" s="22"/>
      <c r="X2" s="22"/>
      <c r="Y2" s="22"/>
      <c r="Z2" s="22"/>
      <c r="AA2" s="22"/>
      <c r="AB2" s="22"/>
      <c r="AC2" s="22"/>
      <c r="AD2" s="22"/>
      <c r="AE2" s="22"/>
      <c r="AF2" s="22"/>
    </row>
    <row r="3" spans="1:32" ht="21" customHeight="1">
      <c r="A3" s="153" t="str">
        <f>IF(LEFT(A4,3)="Mar","Dec",IF(LEFT(A4,3)="Dec","Sep",IF(LEFT(A4,3)="Sep","Jun",IF(LEFT(A4,3)="Jun","Mar"))))</f>
        <v>Dec</v>
      </c>
      <c r="B3" s="154">
        <f t="shared" ref="B3:B13" si="0">IF(A4="Mar",B4-1,B4)</f>
        <v>2021</v>
      </c>
      <c r="C3" s="155">
        <f>(SUMIFS(Table_MedicalGapAgreements[[#All],[NumberofServices]],Table_MedicalGapAgreements[[#All],[Year]],TA!$B3,Table_MedicalGapAgreements[[#All],[MonthEnd]],TA!$A3,Table_MedicalGapAgreements[[#All],[State]],TA!C$2,Table_MedicalGapAgreements[[#All],[GapType]],"No gap agreement")+SUMIFS(Table_MedicalGapAgreements[[#All],[NumberofServices]],Table_MedicalGapAgreements[[#All],[Year]],TA!$B3,Table_MedicalGapAgreements[[#All],[MonthEnd]],TA!$A3,Table_MedicalGapAgreements[[#All],[State]],TA!C$2,Table_MedicalGapAgreements[[#All],[GapType]],"No agreement",Table_MedicalGapAgreements[[#All],[MBSFeePercentage]],"Up to MBS Fee"))/SUMIFS(Table_MedicalGapAgreements[[#All],[NumberofServices]],Table_MedicalGapAgreements[[#All],[Year]],TA!$B3,Table_MedicalGapAgreements[[#All],[MonthEnd]],TA!$A3,Table_MedicalGapAgreements[[#All],[State]],TA!C$2)</f>
        <v>0.89536221003829553</v>
      </c>
      <c r="D3" s="155">
        <f>(SUMIFS(Table_MedicalGapAgreements[[#All],[NumberofServices]],Table_MedicalGapAgreements[[#All],[Year]],TA!$B3,Table_MedicalGapAgreements[[#All],[MonthEnd]],TA!$A3,Table_MedicalGapAgreements[[#All],[State]],TA!D$2,Table_MedicalGapAgreements[[#All],[GapType]],"No gap agreement")+SUMIFS(Table_MedicalGapAgreements[[#All],[NumberofServices]],Table_MedicalGapAgreements[[#All],[Year]],TA!$B3,Table_MedicalGapAgreements[[#All],[MonthEnd]],TA!$A3,Table_MedicalGapAgreements[[#All],[State]],TA!D$2,Table_MedicalGapAgreements[[#All],[GapType]],"No agreement",Table_MedicalGapAgreements[[#All],[MBSFeePercentage]],"Up to MBS Fee"))/SUMIFS(Table_MedicalGapAgreements[[#All],[NumberofServices]],Table_MedicalGapAgreements[[#All],[Year]],TA!$B3,Table_MedicalGapAgreements[[#All],[MonthEnd]],TA!$A3,Table_MedicalGapAgreements[[#All],[State]],TA!D$2)</f>
        <v>0.88477443059236782</v>
      </c>
      <c r="E3" s="155">
        <f>(SUMIFS(Table_MedicalGapAgreements[[#All],[NumberofServices]],Table_MedicalGapAgreements[[#All],[Year]],TA!$B3,Table_MedicalGapAgreements[[#All],[MonthEnd]],TA!$A3,Table_MedicalGapAgreements[[#All],[State]],TA!E$2,Table_MedicalGapAgreements[[#All],[GapType]],"No gap agreement")+SUMIFS(Table_MedicalGapAgreements[[#All],[NumberofServices]],Table_MedicalGapAgreements[[#All],[Year]],TA!$B3,Table_MedicalGapAgreements[[#All],[MonthEnd]],TA!$A3,Table_MedicalGapAgreements[[#All],[State]],TA!E$2,Table_MedicalGapAgreements[[#All],[GapType]],"No agreement",Table_MedicalGapAgreements[[#All],[MBSFeePercentage]],"Up to MBS Fee"))/SUMIFS(Table_MedicalGapAgreements[[#All],[NumberofServices]],Table_MedicalGapAgreements[[#All],[Year]],TA!$B3,Table_MedicalGapAgreements[[#All],[MonthEnd]],TA!$A3,Table_MedicalGapAgreements[[#All],[State]],TA!E$2)</f>
        <v>0.88794199594966594</v>
      </c>
      <c r="F3" s="155">
        <f>(SUMIFS(Table_MedicalGapAgreements[[#All],[NumberofServices]],Table_MedicalGapAgreements[[#All],[Year]],TA!$B3,Table_MedicalGapAgreements[[#All],[MonthEnd]],TA!$A3,Table_MedicalGapAgreements[[#All],[State]],TA!F$2,Table_MedicalGapAgreements[[#All],[GapType]],"No gap agreement")+SUMIFS(Table_MedicalGapAgreements[[#All],[NumberofServices]],Table_MedicalGapAgreements[[#All],[Year]],TA!$B3,Table_MedicalGapAgreements[[#All],[MonthEnd]],TA!$A3,Table_MedicalGapAgreements[[#All],[State]],TA!F$2,Table_MedicalGapAgreements[[#All],[GapType]],"No agreement",Table_MedicalGapAgreements[[#All],[MBSFeePercentage]],"Up to MBS Fee"))/SUMIFS(Table_MedicalGapAgreements[[#All],[NumberofServices]],Table_MedicalGapAgreements[[#All],[Year]],TA!$B3,Table_MedicalGapAgreements[[#All],[MonthEnd]],TA!$A3,Table_MedicalGapAgreements[[#All],[State]],TA!F$2)</f>
        <v>0.89723629637614966</v>
      </c>
      <c r="G3" s="155">
        <f>(SUMIFS(Table_MedicalGapAgreements[[#All],[NumberofServices]],Table_MedicalGapAgreements[[#All],[Year]],TA!$B3,Table_MedicalGapAgreements[[#All],[MonthEnd]],TA!$A3,Table_MedicalGapAgreements[[#All],[State]],TA!G$2,Table_MedicalGapAgreements[[#All],[GapType]],"No gap agreement")+SUMIFS(Table_MedicalGapAgreements[[#All],[NumberofServices]],Table_MedicalGapAgreements[[#All],[Year]],TA!$B3,Table_MedicalGapAgreements[[#All],[MonthEnd]],TA!$A3,Table_MedicalGapAgreements[[#All],[State]],TA!G$2,Table_MedicalGapAgreements[[#All],[GapType]],"No agreement",Table_MedicalGapAgreements[[#All],[MBSFeePercentage]],"Up to MBS Fee"))/SUMIFS(Table_MedicalGapAgreements[[#All],[NumberofServices]],Table_MedicalGapAgreements[[#All],[Year]],TA!$B3,Table_MedicalGapAgreements[[#All],[MonthEnd]],TA!$A3,Table_MedicalGapAgreements[[#All],[State]],TA!G$2)</f>
        <v>0.89741191907718221</v>
      </c>
      <c r="H3" s="155">
        <f>(SUMIFS(Table_MedicalGapAgreements[[#All],[NumberofServices]],Table_MedicalGapAgreements[[#All],[Year]],TA!$B3,Table_MedicalGapAgreements[[#All],[MonthEnd]],TA!$A3,Table_MedicalGapAgreements[[#All],[State]],TA!H$2,Table_MedicalGapAgreements[[#All],[GapType]],"No gap agreement")+SUMIFS(Table_MedicalGapAgreements[[#All],[NumberofServices]],Table_MedicalGapAgreements[[#All],[Year]],TA!$B3,Table_MedicalGapAgreements[[#All],[MonthEnd]],TA!$A3,Table_MedicalGapAgreements[[#All],[State]],TA!H$2,Table_MedicalGapAgreements[[#All],[GapType]],"No agreement",Table_MedicalGapAgreements[[#All],[MBSFeePercentage]],"Up to MBS Fee"))/SUMIFS(Table_MedicalGapAgreements[[#All],[NumberofServices]],Table_MedicalGapAgreements[[#All],[Year]],TA!$B3,Table_MedicalGapAgreements[[#All],[MonthEnd]],TA!$A3,Table_MedicalGapAgreements[[#All],[State]],TA!H$2)</f>
        <v>0.92175831154912646</v>
      </c>
      <c r="I3" s="155">
        <f>(SUMIFS(Table_MedicalGapAgreements[[#All],[NumberofServices]],Table_MedicalGapAgreements[[#All],[Year]],TA!$B3,Table_MedicalGapAgreements[[#All],[MonthEnd]],TA!$A3,Table_MedicalGapAgreements[[#All],[State]],TA!I$2,Table_MedicalGapAgreements[[#All],[GapType]],"No gap agreement")+SUMIFS(Table_MedicalGapAgreements[[#All],[NumberofServices]],Table_MedicalGapAgreements[[#All],[Year]],TA!$B3,Table_MedicalGapAgreements[[#All],[MonthEnd]],TA!$A3,Table_MedicalGapAgreements[[#All],[State]],TA!I$2,Table_MedicalGapAgreements[[#All],[GapType]],"No agreement",Table_MedicalGapAgreements[[#All],[MBSFeePercentage]],"Up to MBS Fee"))/SUMIFS(Table_MedicalGapAgreements[[#All],[NumberofServices]],Table_MedicalGapAgreements[[#All],[Year]],TA!$B3,Table_MedicalGapAgreements[[#All],[MonthEnd]],TA!$A3,Table_MedicalGapAgreements[[#All],[State]],TA!I$2)</f>
        <v>0.76015994390592878</v>
      </c>
      <c r="J3" s="155">
        <f>(SUMIFS(Table_MedicalGapAgreements[[#All],[NumberofServices]],Table_MedicalGapAgreements[[#All],[Year]],TA!$B3,Table_MedicalGapAgreements[[#All],[MonthEnd]],TA!$A3,Table_MedicalGapAgreements[[#All],[State]],TA!J$2,Table_MedicalGapAgreements[[#All],[GapType]],"No gap agreement")+SUMIFS(Table_MedicalGapAgreements[[#All],[NumberofServices]],Table_MedicalGapAgreements[[#All],[Year]],TA!$B3,Table_MedicalGapAgreements[[#All],[MonthEnd]],TA!$A3,Table_MedicalGapAgreements[[#All],[State]],TA!J$2,Table_MedicalGapAgreements[[#All],[GapType]],"No agreement",Table_MedicalGapAgreements[[#All],[MBSFeePercentage]],"Up to MBS Fee"))/SUMIFS(Table_MedicalGapAgreements[[#All],[NumberofServices]],Table_MedicalGapAgreements[[#All],[Year]],TA!$B3,Table_MedicalGapAgreements[[#All],[MonthEnd]],TA!$A3,Table_MedicalGapAgreements[[#All],[State]],TA!J$2)</f>
        <v>0.8810408921933085</v>
      </c>
      <c r="K3" s="156">
        <f>(SUMIFS(Table_MedicalGapAgreements[[#All],[NumberofServices]],Table_MedicalGapAgreements[[#All],[Year]],TA!$B3,Table_MedicalGapAgreements[[#All],[MonthEnd]],TA!$A3,Table_MedicalGapAgreements[[#All],[GapType]],"No gap agreement")+SUMIFS(Table_MedicalGapAgreements[[#All],[NumberofServices]],Table_MedicalGapAgreements[[#All],[Year]],TA!$B3,Table_MedicalGapAgreements[[#All],[MonthEnd]],TA!$A3,Table_MedicalGapAgreements[[#All],[GapType]],"No agreement",Table_MedicalGapAgreements[[#All],[MBSFeePercentage]],"Up to MBS Fee"))/SUMIFS(Table_MedicalGapAgreements[[#All],[NumberofServices]],Table_MedicalGapAgreements[[#All],[Year]],TA!$B3,Table_MedicalGapAgreements[[#All],[MonthEnd]],TA!$A3)</f>
        <v>0.89050762148311335</v>
      </c>
    </row>
    <row r="4" spans="1:32" ht="21" customHeight="1">
      <c r="A4" s="153" t="str">
        <f t="shared" ref="A4:A13" si="1">IF(LEFT(A5,3)="Mar","Dec",IF(LEFT(A5,3)="Dec","Sep",IF(LEFT(A5,3)="Sep","Jun",IF(LEFT(A5,3)="Jun","Mar"))))</f>
        <v>Mar</v>
      </c>
      <c r="B4" s="154">
        <f t="shared" si="0"/>
        <v>2022</v>
      </c>
      <c r="C4" s="155">
        <f>(SUMIFS(Table_MedicalGapAgreements[[#All],[NumberofServices]],Table_MedicalGapAgreements[[#All],[Year]],TA!$B4,Table_MedicalGapAgreements[[#All],[MonthEnd]],TA!$A4,Table_MedicalGapAgreements[[#All],[State]],TA!C$2,Table_MedicalGapAgreements[[#All],[GapType]],"No gap agreement")+SUMIFS(Table_MedicalGapAgreements[[#All],[NumberofServices]],Table_MedicalGapAgreements[[#All],[Year]],TA!$B4,Table_MedicalGapAgreements[[#All],[MonthEnd]],TA!$A4,Table_MedicalGapAgreements[[#All],[State]],TA!C$2,Table_MedicalGapAgreements[[#All],[GapType]],"No agreement",Table_MedicalGapAgreements[[#All],[MBSFeePercentage]],"Up to MBS Fee"))/SUMIFS(Table_MedicalGapAgreements[[#All],[NumberofServices]],Table_MedicalGapAgreements[[#All],[Year]],TA!$B4,Table_MedicalGapAgreements[[#All],[MonthEnd]],TA!$A4,Table_MedicalGapAgreements[[#All],[State]],TA!C$2)</f>
        <v>0.89790699981669786</v>
      </c>
      <c r="D4" s="155">
        <f>(SUMIFS(Table_MedicalGapAgreements[[#All],[NumberofServices]],Table_MedicalGapAgreements[[#All],[Year]],TA!$B4,Table_MedicalGapAgreements[[#All],[MonthEnd]],TA!$A4,Table_MedicalGapAgreements[[#All],[State]],TA!D$2,Table_MedicalGapAgreements[[#All],[GapType]],"No gap agreement")+SUMIFS(Table_MedicalGapAgreements[[#All],[NumberofServices]],Table_MedicalGapAgreements[[#All],[Year]],TA!$B4,Table_MedicalGapAgreements[[#All],[MonthEnd]],TA!$A4,Table_MedicalGapAgreements[[#All],[State]],TA!D$2,Table_MedicalGapAgreements[[#All],[GapType]],"No agreement",Table_MedicalGapAgreements[[#All],[MBSFeePercentage]],"Up to MBS Fee"))/SUMIFS(Table_MedicalGapAgreements[[#All],[NumberofServices]],Table_MedicalGapAgreements[[#All],[Year]],TA!$B4,Table_MedicalGapAgreements[[#All],[MonthEnd]],TA!$A4,Table_MedicalGapAgreements[[#All],[State]],TA!D$2)</f>
        <v>0.88418326297680538</v>
      </c>
      <c r="E4" s="155">
        <f>(SUMIFS(Table_MedicalGapAgreements[[#All],[NumberofServices]],Table_MedicalGapAgreements[[#All],[Year]],TA!$B4,Table_MedicalGapAgreements[[#All],[MonthEnd]],TA!$A4,Table_MedicalGapAgreements[[#All],[State]],TA!E$2,Table_MedicalGapAgreements[[#All],[GapType]],"No gap agreement")+SUMIFS(Table_MedicalGapAgreements[[#All],[NumberofServices]],Table_MedicalGapAgreements[[#All],[Year]],TA!$B4,Table_MedicalGapAgreements[[#All],[MonthEnd]],TA!$A4,Table_MedicalGapAgreements[[#All],[State]],TA!E$2,Table_MedicalGapAgreements[[#All],[GapType]],"No agreement",Table_MedicalGapAgreements[[#All],[MBSFeePercentage]],"Up to MBS Fee"))/SUMIFS(Table_MedicalGapAgreements[[#All],[NumberofServices]],Table_MedicalGapAgreements[[#All],[Year]],TA!$B4,Table_MedicalGapAgreements[[#All],[MonthEnd]],TA!$A4,Table_MedicalGapAgreements[[#All],[State]],TA!E$2)</f>
        <v>0.88347402101337513</v>
      </c>
      <c r="F4" s="155">
        <f>(SUMIFS(Table_MedicalGapAgreements[[#All],[NumberofServices]],Table_MedicalGapAgreements[[#All],[Year]],TA!$B4,Table_MedicalGapAgreements[[#All],[MonthEnd]],TA!$A4,Table_MedicalGapAgreements[[#All],[State]],TA!F$2,Table_MedicalGapAgreements[[#All],[GapType]],"No gap agreement")+SUMIFS(Table_MedicalGapAgreements[[#All],[NumberofServices]],Table_MedicalGapAgreements[[#All],[Year]],TA!$B4,Table_MedicalGapAgreements[[#All],[MonthEnd]],TA!$A4,Table_MedicalGapAgreements[[#All],[State]],TA!F$2,Table_MedicalGapAgreements[[#All],[GapType]],"No agreement",Table_MedicalGapAgreements[[#All],[MBSFeePercentage]],"Up to MBS Fee"))/SUMIFS(Table_MedicalGapAgreements[[#All],[NumberofServices]],Table_MedicalGapAgreements[[#All],[Year]],TA!$B4,Table_MedicalGapAgreements[[#All],[MonthEnd]],TA!$A4,Table_MedicalGapAgreements[[#All],[State]],TA!F$2)</f>
        <v>0.89378438774078162</v>
      </c>
      <c r="G4" s="155">
        <f>(SUMIFS(Table_MedicalGapAgreements[[#All],[NumberofServices]],Table_MedicalGapAgreements[[#All],[Year]],TA!$B4,Table_MedicalGapAgreements[[#All],[MonthEnd]],TA!$A4,Table_MedicalGapAgreements[[#All],[State]],TA!G$2,Table_MedicalGapAgreements[[#All],[GapType]],"No gap agreement")+SUMIFS(Table_MedicalGapAgreements[[#All],[NumberofServices]],Table_MedicalGapAgreements[[#All],[Year]],TA!$B4,Table_MedicalGapAgreements[[#All],[MonthEnd]],TA!$A4,Table_MedicalGapAgreements[[#All],[State]],TA!G$2,Table_MedicalGapAgreements[[#All],[GapType]],"No agreement",Table_MedicalGapAgreements[[#All],[MBSFeePercentage]],"Up to MBS Fee"))/SUMIFS(Table_MedicalGapAgreements[[#All],[NumberofServices]],Table_MedicalGapAgreements[[#All],[Year]],TA!$B4,Table_MedicalGapAgreements[[#All],[MonthEnd]],TA!$A4,Table_MedicalGapAgreements[[#All],[State]],TA!G$2)</f>
        <v>0.87520238103439962</v>
      </c>
      <c r="H4" s="155">
        <f>(SUMIFS(Table_MedicalGapAgreements[[#All],[NumberofServices]],Table_MedicalGapAgreements[[#All],[Year]],TA!$B4,Table_MedicalGapAgreements[[#All],[MonthEnd]],TA!$A4,Table_MedicalGapAgreements[[#All],[State]],TA!H$2,Table_MedicalGapAgreements[[#All],[GapType]],"No gap agreement")+SUMIFS(Table_MedicalGapAgreements[[#All],[NumberofServices]],Table_MedicalGapAgreements[[#All],[Year]],TA!$B4,Table_MedicalGapAgreements[[#All],[MonthEnd]],TA!$A4,Table_MedicalGapAgreements[[#All],[State]],TA!H$2,Table_MedicalGapAgreements[[#All],[GapType]],"No agreement",Table_MedicalGapAgreements[[#All],[MBSFeePercentage]],"Up to MBS Fee"))/SUMIFS(Table_MedicalGapAgreements[[#All],[NumberofServices]],Table_MedicalGapAgreements[[#All],[Year]],TA!$B4,Table_MedicalGapAgreements[[#All],[MonthEnd]],TA!$A4,Table_MedicalGapAgreements[[#All],[State]],TA!H$2)</f>
        <v>0.89661910035480752</v>
      </c>
      <c r="I4" s="155">
        <f>(SUMIFS(Table_MedicalGapAgreements[[#All],[NumberofServices]],Table_MedicalGapAgreements[[#All],[Year]],TA!$B4,Table_MedicalGapAgreements[[#All],[MonthEnd]],TA!$A4,Table_MedicalGapAgreements[[#All],[State]],TA!I$2,Table_MedicalGapAgreements[[#All],[GapType]],"No gap agreement")+SUMIFS(Table_MedicalGapAgreements[[#All],[NumberofServices]],Table_MedicalGapAgreements[[#All],[Year]],TA!$B4,Table_MedicalGapAgreements[[#All],[MonthEnd]],TA!$A4,Table_MedicalGapAgreements[[#All],[State]],TA!I$2,Table_MedicalGapAgreements[[#All],[GapType]],"No agreement",Table_MedicalGapAgreements[[#All],[MBSFeePercentage]],"Up to MBS Fee"))/SUMIFS(Table_MedicalGapAgreements[[#All],[NumberofServices]],Table_MedicalGapAgreements[[#All],[Year]],TA!$B4,Table_MedicalGapAgreements[[#All],[MonthEnd]],TA!$A4,Table_MedicalGapAgreements[[#All],[State]],TA!I$2)</f>
        <v>0.77343412007883483</v>
      </c>
      <c r="J4" s="155">
        <f>(SUMIFS(Table_MedicalGapAgreements[[#All],[NumberofServices]],Table_MedicalGapAgreements[[#All],[Year]],TA!$B4,Table_MedicalGapAgreements[[#All],[MonthEnd]],TA!$A4,Table_MedicalGapAgreements[[#All],[State]],TA!J$2,Table_MedicalGapAgreements[[#All],[GapType]],"No gap agreement")+SUMIFS(Table_MedicalGapAgreements[[#All],[NumberofServices]],Table_MedicalGapAgreements[[#All],[Year]],TA!$B4,Table_MedicalGapAgreements[[#All],[MonthEnd]],TA!$A4,Table_MedicalGapAgreements[[#All],[State]],TA!J$2,Table_MedicalGapAgreements[[#All],[GapType]],"No agreement",Table_MedicalGapAgreements[[#All],[MBSFeePercentage]],"Up to MBS Fee"))/SUMIFS(Table_MedicalGapAgreements[[#All],[NumberofServices]],Table_MedicalGapAgreements[[#All],[Year]],TA!$B4,Table_MedicalGapAgreements[[#All],[MonthEnd]],TA!$A4,Table_MedicalGapAgreements[[#All],[State]],TA!J$2)</f>
        <v>0.87974611810041936</v>
      </c>
      <c r="K4" s="156">
        <f>(SUMIFS(Table_MedicalGapAgreements[[#All],[NumberofServices]],Table_MedicalGapAgreements[[#All],[Year]],TA!$B4,Table_MedicalGapAgreements[[#All],[MonthEnd]],TA!$A4,Table_MedicalGapAgreements[[#All],[GapType]],"No gap agreement")+SUMIFS(Table_MedicalGapAgreements[[#All],[NumberofServices]],Table_MedicalGapAgreements[[#All],[Year]],TA!$B4,Table_MedicalGapAgreements[[#All],[MonthEnd]],TA!$A4,Table_MedicalGapAgreements[[#All],[GapType]],"No agreement",Table_MedicalGapAgreements[[#All],[MBSFeePercentage]],"Up to MBS Fee"))/SUMIFS(Table_MedicalGapAgreements[[#All],[NumberofServices]],Table_MedicalGapAgreements[[#All],[Year]],TA!$B4,Table_MedicalGapAgreements[[#All],[MonthEnd]],TA!$A4)</f>
        <v>0.88740814297426129</v>
      </c>
    </row>
    <row r="5" spans="1:32" ht="21" customHeight="1">
      <c r="A5" s="153" t="str">
        <f t="shared" si="1"/>
        <v>Jun</v>
      </c>
      <c r="B5" s="154">
        <f t="shared" si="0"/>
        <v>2022</v>
      </c>
      <c r="C5" s="155">
        <f>(SUMIFS(Table_MedicalGapAgreements[[#All],[NumberofServices]],Table_MedicalGapAgreements[[#All],[Year]],TA!$B5,Table_MedicalGapAgreements[[#All],[MonthEnd]],TA!$A5,Table_MedicalGapAgreements[[#All],[State]],TA!C$2,Table_MedicalGapAgreements[[#All],[GapType]],"No gap agreement")+SUMIFS(Table_MedicalGapAgreements[[#All],[NumberofServices]],Table_MedicalGapAgreements[[#All],[Year]],TA!$B5,Table_MedicalGapAgreements[[#All],[MonthEnd]],TA!$A5,Table_MedicalGapAgreements[[#All],[State]],TA!C$2,Table_MedicalGapAgreements[[#All],[GapType]],"No agreement",Table_MedicalGapAgreements[[#All],[MBSFeePercentage]],"Up to MBS Fee"))/SUMIFS(Table_MedicalGapAgreements[[#All],[NumberofServices]],Table_MedicalGapAgreements[[#All],[Year]],TA!$B5,Table_MedicalGapAgreements[[#All],[MonthEnd]],TA!$A5,Table_MedicalGapAgreements[[#All],[State]],TA!C$2)</f>
        <v>0.89642515748699669</v>
      </c>
      <c r="D5" s="155">
        <f>(SUMIFS(Table_MedicalGapAgreements[[#All],[NumberofServices]],Table_MedicalGapAgreements[[#All],[Year]],TA!$B5,Table_MedicalGapAgreements[[#All],[MonthEnd]],TA!$A5,Table_MedicalGapAgreements[[#All],[State]],TA!D$2,Table_MedicalGapAgreements[[#All],[GapType]],"No gap agreement")+SUMIFS(Table_MedicalGapAgreements[[#All],[NumberofServices]],Table_MedicalGapAgreements[[#All],[Year]],TA!$B5,Table_MedicalGapAgreements[[#All],[MonthEnd]],TA!$A5,Table_MedicalGapAgreements[[#All],[State]],TA!D$2,Table_MedicalGapAgreements[[#All],[GapType]],"No agreement",Table_MedicalGapAgreements[[#All],[MBSFeePercentage]],"Up to MBS Fee"))/SUMIFS(Table_MedicalGapAgreements[[#All],[NumberofServices]],Table_MedicalGapAgreements[[#All],[Year]],TA!$B5,Table_MedicalGapAgreements[[#All],[MonthEnd]],TA!$A5,Table_MedicalGapAgreements[[#All],[State]],TA!D$2)</f>
        <v>0.8769480434069159</v>
      </c>
      <c r="E5" s="155">
        <f>(SUMIFS(Table_MedicalGapAgreements[[#All],[NumberofServices]],Table_MedicalGapAgreements[[#All],[Year]],TA!$B5,Table_MedicalGapAgreements[[#All],[MonthEnd]],TA!$A5,Table_MedicalGapAgreements[[#All],[State]],TA!E$2,Table_MedicalGapAgreements[[#All],[GapType]],"No gap agreement")+SUMIFS(Table_MedicalGapAgreements[[#All],[NumberofServices]],Table_MedicalGapAgreements[[#All],[Year]],TA!$B5,Table_MedicalGapAgreements[[#All],[MonthEnd]],TA!$A5,Table_MedicalGapAgreements[[#All],[State]],TA!E$2,Table_MedicalGapAgreements[[#All],[GapType]],"No agreement",Table_MedicalGapAgreements[[#All],[MBSFeePercentage]],"Up to MBS Fee"))/SUMIFS(Table_MedicalGapAgreements[[#All],[NumberofServices]],Table_MedicalGapAgreements[[#All],[Year]],TA!$B5,Table_MedicalGapAgreements[[#All],[MonthEnd]],TA!$A5,Table_MedicalGapAgreements[[#All],[State]],TA!E$2)</f>
        <v>0.88732425102716561</v>
      </c>
      <c r="F5" s="155">
        <f>(SUMIFS(Table_MedicalGapAgreements[[#All],[NumberofServices]],Table_MedicalGapAgreements[[#All],[Year]],TA!$B5,Table_MedicalGapAgreements[[#All],[MonthEnd]],TA!$A5,Table_MedicalGapAgreements[[#All],[State]],TA!F$2,Table_MedicalGapAgreements[[#All],[GapType]],"No gap agreement")+SUMIFS(Table_MedicalGapAgreements[[#All],[NumberofServices]],Table_MedicalGapAgreements[[#All],[Year]],TA!$B5,Table_MedicalGapAgreements[[#All],[MonthEnd]],TA!$A5,Table_MedicalGapAgreements[[#All],[State]],TA!F$2,Table_MedicalGapAgreements[[#All],[GapType]],"No agreement",Table_MedicalGapAgreements[[#All],[MBSFeePercentage]],"Up to MBS Fee"))/SUMIFS(Table_MedicalGapAgreements[[#All],[NumberofServices]],Table_MedicalGapAgreements[[#All],[Year]],TA!$B5,Table_MedicalGapAgreements[[#All],[MonthEnd]],TA!$A5,Table_MedicalGapAgreements[[#All],[State]],TA!F$2)</f>
        <v>0.88624093211376831</v>
      </c>
      <c r="G5" s="155">
        <f>(SUMIFS(Table_MedicalGapAgreements[[#All],[NumberofServices]],Table_MedicalGapAgreements[[#All],[Year]],TA!$B5,Table_MedicalGapAgreements[[#All],[MonthEnd]],TA!$A5,Table_MedicalGapAgreements[[#All],[State]],TA!G$2,Table_MedicalGapAgreements[[#All],[GapType]],"No gap agreement")+SUMIFS(Table_MedicalGapAgreements[[#All],[NumberofServices]],Table_MedicalGapAgreements[[#All],[Year]],TA!$B5,Table_MedicalGapAgreements[[#All],[MonthEnd]],TA!$A5,Table_MedicalGapAgreements[[#All],[State]],TA!G$2,Table_MedicalGapAgreements[[#All],[GapType]],"No agreement",Table_MedicalGapAgreements[[#All],[MBSFeePercentage]],"Up to MBS Fee"))/SUMIFS(Table_MedicalGapAgreements[[#All],[NumberofServices]],Table_MedicalGapAgreements[[#All],[Year]],TA!$B5,Table_MedicalGapAgreements[[#All],[MonthEnd]],TA!$A5,Table_MedicalGapAgreements[[#All],[State]],TA!G$2)</f>
        <v>0.87894880094760708</v>
      </c>
      <c r="H5" s="155">
        <f>(SUMIFS(Table_MedicalGapAgreements[[#All],[NumberofServices]],Table_MedicalGapAgreements[[#All],[Year]],TA!$B5,Table_MedicalGapAgreements[[#All],[MonthEnd]],TA!$A5,Table_MedicalGapAgreements[[#All],[State]],TA!H$2,Table_MedicalGapAgreements[[#All],[GapType]],"No gap agreement")+SUMIFS(Table_MedicalGapAgreements[[#All],[NumberofServices]],Table_MedicalGapAgreements[[#All],[Year]],TA!$B5,Table_MedicalGapAgreements[[#All],[MonthEnd]],TA!$A5,Table_MedicalGapAgreements[[#All],[State]],TA!H$2,Table_MedicalGapAgreements[[#All],[GapType]],"No agreement",Table_MedicalGapAgreements[[#All],[MBSFeePercentage]],"Up to MBS Fee"))/SUMIFS(Table_MedicalGapAgreements[[#All],[NumberofServices]],Table_MedicalGapAgreements[[#All],[Year]],TA!$B5,Table_MedicalGapAgreements[[#All],[MonthEnd]],TA!$A5,Table_MedicalGapAgreements[[#All],[State]],TA!H$2)</f>
        <v>0.90748067954136014</v>
      </c>
      <c r="I5" s="155">
        <f>(SUMIFS(Table_MedicalGapAgreements[[#All],[NumberofServices]],Table_MedicalGapAgreements[[#All],[Year]],TA!$B5,Table_MedicalGapAgreements[[#All],[MonthEnd]],TA!$A5,Table_MedicalGapAgreements[[#All],[State]],TA!I$2,Table_MedicalGapAgreements[[#All],[GapType]],"No gap agreement")+SUMIFS(Table_MedicalGapAgreements[[#All],[NumberofServices]],Table_MedicalGapAgreements[[#All],[Year]],TA!$B5,Table_MedicalGapAgreements[[#All],[MonthEnd]],TA!$A5,Table_MedicalGapAgreements[[#All],[State]],TA!I$2,Table_MedicalGapAgreements[[#All],[GapType]],"No agreement",Table_MedicalGapAgreements[[#All],[MBSFeePercentage]],"Up to MBS Fee"))/SUMIFS(Table_MedicalGapAgreements[[#All],[NumberofServices]],Table_MedicalGapAgreements[[#All],[Year]],TA!$B5,Table_MedicalGapAgreements[[#All],[MonthEnd]],TA!$A5,Table_MedicalGapAgreements[[#All],[State]],TA!I$2)</f>
        <v>0.76183987345390791</v>
      </c>
      <c r="J5" s="155">
        <f>(SUMIFS(Table_MedicalGapAgreements[[#All],[NumberofServices]],Table_MedicalGapAgreements[[#All],[Year]],TA!$B5,Table_MedicalGapAgreements[[#All],[MonthEnd]],TA!$A5,Table_MedicalGapAgreements[[#All],[State]],TA!J$2,Table_MedicalGapAgreements[[#All],[GapType]],"No gap agreement")+SUMIFS(Table_MedicalGapAgreements[[#All],[NumberofServices]],Table_MedicalGapAgreements[[#All],[Year]],TA!$B5,Table_MedicalGapAgreements[[#All],[MonthEnd]],TA!$A5,Table_MedicalGapAgreements[[#All],[State]],TA!J$2,Table_MedicalGapAgreements[[#All],[GapType]],"No agreement",Table_MedicalGapAgreements[[#All],[MBSFeePercentage]],"Up to MBS Fee"))/SUMIFS(Table_MedicalGapAgreements[[#All],[NumberofServices]],Table_MedicalGapAgreements[[#All],[Year]],TA!$B5,Table_MedicalGapAgreements[[#All],[MonthEnd]],TA!$A5,Table_MedicalGapAgreements[[#All],[State]],TA!J$2)</f>
        <v>0.85621598240997732</v>
      </c>
      <c r="K5" s="156">
        <f>(SUMIFS(Table_MedicalGapAgreements[[#All],[NumberofServices]],Table_MedicalGapAgreements[[#All],[Year]],TA!$B5,Table_MedicalGapAgreements[[#All],[MonthEnd]],TA!$A5,Table_MedicalGapAgreements[[#All],[GapType]],"No gap agreement")+SUMIFS(Table_MedicalGapAgreements[[#All],[NumberofServices]],Table_MedicalGapAgreements[[#All],[Year]],TA!$B5,Table_MedicalGapAgreements[[#All],[MonthEnd]],TA!$A5,Table_MedicalGapAgreements[[#All],[GapType]],"No agreement",Table_MedicalGapAgreements[[#All],[MBSFeePercentage]],"Up to MBS Fee"))/SUMIFS(Table_MedicalGapAgreements[[#All],[NumberofServices]],Table_MedicalGapAgreements[[#All],[Year]],TA!$B5,Table_MedicalGapAgreements[[#All],[MonthEnd]],TA!$A5)</f>
        <v>0.88591315700235918</v>
      </c>
    </row>
    <row r="6" spans="1:32" ht="21" customHeight="1">
      <c r="A6" s="153" t="str">
        <f t="shared" si="1"/>
        <v>Sep</v>
      </c>
      <c r="B6" s="154">
        <f t="shared" si="0"/>
        <v>2022</v>
      </c>
      <c r="C6" s="155">
        <f>(SUMIFS(Table_MedicalGapAgreements[[#All],[NumberofServices]],Table_MedicalGapAgreements[[#All],[Year]],TA!$B6,Table_MedicalGapAgreements[[#All],[MonthEnd]],TA!$A6,Table_MedicalGapAgreements[[#All],[State]],TA!C$2,Table_MedicalGapAgreements[[#All],[GapType]],"No gap agreement")+SUMIFS(Table_MedicalGapAgreements[[#All],[NumberofServices]],Table_MedicalGapAgreements[[#All],[Year]],TA!$B6,Table_MedicalGapAgreements[[#All],[MonthEnd]],TA!$A6,Table_MedicalGapAgreements[[#All],[State]],TA!C$2,Table_MedicalGapAgreements[[#All],[GapType]],"No agreement",Table_MedicalGapAgreements[[#All],[MBSFeePercentage]],"Up to MBS Fee"))/SUMIFS(Table_MedicalGapAgreements[[#All],[NumberofServices]],Table_MedicalGapAgreements[[#All],[Year]],TA!$B6,Table_MedicalGapAgreements[[#All],[MonthEnd]],TA!$A6,Table_MedicalGapAgreements[[#All],[State]],TA!C$2)</f>
        <v>0.88624338870751662</v>
      </c>
      <c r="D6" s="155">
        <f>(SUMIFS(Table_MedicalGapAgreements[[#All],[NumberofServices]],Table_MedicalGapAgreements[[#All],[Year]],TA!$B6,Table_MedicalGapAgreements[[#All],[MonthEnd]],TA!$A6,Table_MedicalGapAgreements[[#All],[State]],TA!D$2,Table_MedicalGapAgreements[[#All],[GapType]],"No gap agreement")+SUMIFS(Table_MedicalGapAgreements[[#All],[NumberofServices]],Table_MedicalGapAgreements[[#All],[Year]],TA!$B6,Table_MedicalGapAgreements[[#All],[MonthEnd]],TA!$A6,Table_MedicalGapAgreements[[#All],[State]],TA!D$2,Table_MedicalGapAgreements[[#All],[GapType]],"No agreement",Table_MedicalGapAgreements[[#All],[MBSFeePercentage]],"Up to MBS Fee"))/SUMIFS(Table_MedicalGapAgreements[[#All],[NumberofServices]],Table_MedicalGapAgreements[[#All],[Year]],TA!$B6,Table_MedicalGapAgreements[[#All],[MonthEnd]],TA!$A6,Table_MedicalGapAgreements[[#All],[State]],TA!D$2)</f>
        <v>0.86817462108805554</v>
      </c>
      <c r="E6" s="155">
        <f>(SUMIFS(Table_MedicalGapAgreements[[#All],[NumberofServices]],Table_MedicalGapAgreements[[#All],[Year]],TA!$B6,Table_MedicalGapAgreements[[#All],[MonthEnd]],TA!$A6,Table_MedicalGapAgreements[[#All],[State]],TA!E$2,Table_MedicalGapAgreements[[#All],[GapType]],"No gap agreement")+SUMIFS(Table_MedicalGapAgreements[[#All],[NumberofServices]],Table_MedicalGapAgreements[[#All],[Year]],TA!$B6,Table_MedicalGapAgreements[[#All],[MonthEnd]],TA!$A6,Table_MedicalGapAgreements[[#All],[State]],TA!E$2,Table_MedicalGapAgreements[[#All],[GapType]],"No agreement",Table_MedicalGapAgreements[[#All],[MBSFeePercentage]],"Up to MBS Fee"))/SUMIFS(Table_MedicalGapAgreements[[#All],[NumberofServices]],Table_MedicalGapAgreements[[#All],[Year]],TA!$B6,Table_MedicalGapAgreements[[#All],[MonthEnd]],TA!$A6,Table_MedicalGapAgreements[[#All],[State]],TA!E$2)</f>
        <v>0.88149296059485149</v>
      </c>
      <c r="F6" s="155">
        <f>(SUMIFS(Table_MedicalGapAgreements[[#All],[NumberofServices]],Table_MedicalGapAgreements[[#All],[Year]],TA!$B6,Table_MedicalGapAgreements[[#All],[MonthEnd]],TA!$A6,Table_MedicalGapAgreements[[#All],[State]],TA!F$2,Table_MedicalGapAgreements[[#All],[GapType]],"No gap agreement")+SUMIFS(Table_MedicalGapAgreements[[#All],[NumberofServices]],Table_MedicalGapAgreements[[#All],[Year]],TA!$B6,Table_MedicalGapAgreements[[#All],[MonthEnd]],TA!$A6,Table_MedicalGapAgreements[[#All],[State]],TA!F$2,Table_MedicalGapAgreements[[#All],[GapType]],"No agreement",Table_MedicalGapAgreements[[#All],[MBSFeePercentage]],"Up to MBS Fee"))/SUMIFS(Table_MedicalGapAgreements[[#All],[NumberofServices]],Table_MedicalGapAgreements[[#All],[Year]],TA!$B6,Table_MedicalGapAgreements[[#All],[MonthEnd]],TA!$A6,Table_MedicalGapAgreements[[#All],[State]],TA!F$2)</f>
        <v>0.88958723156753683</v>
      </c>
      <c r="G6" s="155">
        <f>(SUMIFS(Table_MedicalGapAgreements[[#All],[NumberofServices]],Table_MedicalGapAgreements[[#All],[Year]],TA!$B6,Table_MedicalGapAgreements[[#All],[MonthEnd]],TA!$A6,Table_MedicalGapAgreements[[#All],[State]],TA!G$2,Table_MedicalGapAgreements[[#All],[GapType]],"No gap agreement")+SUMIFS(Table_MedicalGapAgreements[[#All],[NumberofServices]],Table_MedicalGapAgreements[[#All],[Year]],TA!$B6,Table_MedicalGapAgreements[[#All],[MonthEnd]],TA!$A6,Table_MedicalGapAgreements[[#All],[State]],TA!G$2,Table_MedicalGapAgreements[[#All],[GapType]],"No agreement",Table_MedicalGapAgreements[[#All],[MBSFeePercentage]],"Up to MBS Fee"))/SUMIFS(Table_MedicalGapAgreements[[#All],[NumberofServices]],Table_MedicalGapAgreements[[#All],[Year]],TA!$B6,Table_MedicalGapAgreements[[#All],[MonthEnd]],TA!$A6,Table_MedicalGapAgreements[[#All],[State]],TA!G$2)</f>
        <v>0.88816933711665724</v>
      </c>
      <c r="H6" s="155">
        <f>(SUMIFS(Table_MedicalGapAgreements[[#All],[NumberofServices]],Table_MedicalGapAgreements[[#All],[Year]],TA!$B6,Table_MedicalGapAgreements[[#All],[MonthEnd]],TA!$A6,Table_MedicalGapAgreements[[#All],[State]],TA!H$2,Table_MedicalGapAgreements[[#All],[GapType]],"No gap agreement")+SUMIFS(Table_MedicalGapAgreements[[#All],[NumberofServices]],Table_MedicalGapAgreements[[#All],[Year]],TA!$B6,Table_MedicalGapAgreements[[#All],[MonthEnd]],TA!$A6,Table_MedicalGapAgreements[[#All],[State]],TA!H$2,Table_MedicalGapAgreements[[#All],[GapType]],"No agreement",Table_MedicalGapAgreements[[#All],[MBSFeePercentage]],"Up to MBS Fee"))/SUMIFS(Table_MedicalGapAgreements[[#All],[NumberofServices]],Table_MedicalGapAgreements[[#All],[Year]],TA!$B6,Table_MedicalGapAgreements[[#All],[MonthEnd]],TA!$A6,Table_MedicalGapAgreements[[#All],[State]],TA!H$2)</f>
        <v>0.90343453607369695</v>
      </c>
      <c r="I6" s="155">
        <f>(SUMIFS(Table_MedicalGapAgreements[[#All],[NumberofServices]],Table_MedicalGapAgreements[[#All],[Year]],TA!$B6,Table_MedicalGapAgreements[[#All],[MonthEnd]],TA!$A6,Table_MedicalGapAgreements[[#All],[State]],TA!I$2,Table_MedicalGapAgreements[[#All],[GapType]],"No gap agreement")+SUMIFS(Table_MedicalGapAgreements[[#All],[NumberofServices]],Table_MedicalGapAgreements[[#All],[Year]],TA!$B6,Table_MedicalGapAgreements[[#All],[MonthEnd]],TA!$A6,Table_MedicalGapAgreements[[#All],[State]],TA!I$2,Table_MedicalGapAgreements[[#All],[GapType]],"No agreement",Table_MedicalGapAgreements[[#All],[MBSFeePercentage]],"Up to MBS Fee"))/SUMIFS(Table_MedicalGapAgreements[[#All],[NumberofServices]],Table_MedicalGapAgreements[[#All],[Year]],TA!$B6,Table_MedicalGapAgreements[[#All],[MonthEnd]],TA!$A6,Table_MedicalGapAgreements[[#All],[State]],TA!I$2)</f>
        <v>0.76178797256682151</v>
      </c>
      <c r="J6" s="155">
        <f>(SUMIFS(Table_MedicalGapAgreements[[#All],[NumberofServices]],Table_MedicalGapAgreements[[#All],[Year]],TA!$B6,Table_MedicalGapAgreements[[#All],[MonthEnd]],TA!$A6,Table_MedicalGapAgreements[[#All],[State]],TA!J$2,Table_MedicalGapAgreements[[#All],[GapType]],"No gap agreement")+SUMIFS(Table_MedicalGapAgreements[[#All],[NumberofServices]],Table_MedicalGapAgreements[[#All],[Year]],TA!$B6,Table_MedicalGapAgreements[[#All],[MonthEnd]],TA!$A6,Table_MedicalGapAgreements[[#All],[State]],TA!J$2,Table_MedicalGapAgreements[[#All],[GapType]],"No agreement",Table_MedicalGapAgreements[[#All],[MBSFeePercentage]],"Up to MBS Fee"))/SUMIFS(Table_MedicalGapAgreements[[#All],[NumberofServices]],Table_MedicalGapAgreements[[#All],[Year]],TA!$B6,Table_MedicalGapAgreements[[#All],[MonthEnd]],TA!$A6,Table_MedicalGapAgreements[[#All],[State]],TA!J$2)</f>
        <v>0.87032812185466013</v>
      </c>
      <c r="K6" s="156">
        <f>(SUMIFS(Table_MedicalGapAgreements[[#All],[NumberofServices]],Table_MedicalGapAgreements[[#All],[Year]],TA!$B6,Table_MedicalGapAgreements[[#All],[MonthEnd]],TA!$A6,Table_MedicalGapAgreements[[#All],[GapType]],"No gap agreement")+SUMIFS(Table_MedicalGapAgreements[[#All],[NumberofServices]],Table_MedicalGapAgreements[[#All],[Year]],TA!$B6,Table_MedicalGapAgreements[[#All],[MonthEnd]],TA!$A6,Table_MedicalGapAgreements[[#All],[GapType]],"No agreement",Table_MedicalGapAgreements[[#All],[MBSFeePercentage]],"Up to MBS Fee"))/SUMIFS(Table_MedicalGapAgreements[[#All],[NumberofServices]],Table_MedicalGapAgreements[[#All],[Year]],TA!$B6,Table_MedicalGapAgreements[[#All],[MonthEnd]],TA!$A6)</f>
        <v>0.88010766825604547</v>
      </c>
    </row>
    <row r="7" spans="1:32" ht="21" customHeight="1">
      <c r="A7" s="153" t="str">
        <f t="shared" si="1"/>
        <v>Dec</v>
      </c>
      <c r="B7" s="154">
        <f t="shared" si="0"/>
        <v>2022</v>
      </c>
      <c r="C7" s="155">
        <f>(SUMIFS(Table_MedicalGapAgreements[[#All],[NumberofServices]],Table_MedicalGapAgreements[[#All],[Year]],TA!$B7,Table_MedicalGapAgreements[[#All],[MonthEnd]],TA!$A7,Table_MedicalGapAgreements[[#All],[State]],TA!C$2,Table_MedicalGapAgreements[[#All],[GapType]],"No gap agreement")+SUMIFS(Table_MedicalGapAgreements[[#All],[NumberofServices]],Table_MedicalGapAgreements[[#All],[Year]],TA!$B7,Table_MedicalGapAgreements[[#All],[MonthEnd]],TA!$A7,Table_MedicalGapAgreements[[#All],[State]],TA!C$2,Table_MedicalGapAgreements[[#All],[GapType]],"No agreement",Table_MedicalGapAgreements[[#All],[MBSFeePercentage]],"Up to MBS Fee"))/SUMIFS(Table_MedicalGapAgreements[[#All],[NumberofServices]],Table_MedicalGapAgreements[[#All],[Year]],TA!$B7,Table_MedicalGapAgreements[[#All],[MonthEnd]],TA!$A7,Table_MedicalGapAgreements[[#All],[State]],TA!C$2)</f>
        <v>0.89043040115529626</v>
      </c>
      <c r="D7" s="155">
        <f>(SUMIFS(Table_MedicalGapAgreements[[#All],[NumberofServices]],Table_MedicalGapAgreements[[#All],[Year]],TA!$B7,Table_MedicalGapAgreements[[#All],[MonthEnd]],TA!$A7,Table_MedicalGapAgreements[[#All],[State]],TA!D$2,Table_MedicalGapAgreements[[#All],[GapType]],"No gap agreement")+SUMIFS(Table_MedicalGapAgreements[[#All],[NumberofServices]],Table_MedicalGapAgreements[[#All],[Year]],TA!$B7,Table_MedicalGapAgreements[[#All],[MonthEnd]],TA!$A7,Table_MedicalGapAgreements[[#All],[State]],TA!D$2,Table_MedicalGapAgreements[[#All],[GapType]],"No agreement",Table_MedicalGapAgreements[[#All],[MBSFeePercentage]],"Up to MBS Fee"))/SUMIFS(Table_MedicalGapAgreements[[#All],[NumberofServices]],Table_MedicalGapAgreements[[#All],[Year]],TA!$B7,Table_MedicalGapAgreements[[#All],[MonthEnd]],TA!$A7,Table_MedicalGapAgreements[[#All],[State]],TA!D$2)</f>
        <v>0.8697402207736683</v>
      </c>
      <c r="E7" s="155">
        <f>(SUMIFS(Table_MedicalGapAgreements[[#All],[NumberofServices]],Table_MedicalGapAgreements[[#All],[Year]],TA!$B7,Table_MedicalGapAgreements[[#All],[MonthEnd]],TA!$A7,Table_MedicalGapAgreements[[#All],[State]],TA!E$2,Table_MedicalGapAgreements[[#All],[GapType]],"No gap agreement")+SUMIFS(Table_MedicalGapAgreements[[#All],[NumberofServices]],Table_MedicalGapAgreements[[#All],[Year]],TA!$B7,Table_MedicalGapAgreements[[#All],[MonthEnd]],TA!$A7,Table_MedicalGapAgreements[[#All],[State]],TA!E$2,Table_MedicalGapAgreements[[#All],[GapType]],"No agreement",Table_MedicalGapAgreements[[#All],[MBSFeePercentage]],"Up to MBS Fee"))/SUMIFS(Table_MedicalGapAgreements[[#All],[NumberofServices]],Table_MedicalGapAgreements[[#All],[Year]],TA!$B7,Table_MedicalGapAgreements[[#All],[MonthEnd]],TA!$A7,Table_MedicalGapAgreements[[#All],[State]],TA!E$2)</f>
        <v>0.87798917367166929</v>
      </c>
      <c r="F7" s="155">
        <f>(SUMIFS(Table_MedicalGapAgreements[[#All],[NumberofServices]],Table_MedicalGapAgreements[[#All],[Year]],TA!$B7,Table_MedicalGapAgreements[[#All],[MonthEnd]],TA!$A7,Table_MedicalGapAgreements[[#All],[State]],TA!F$2,Table_MedicalGapAgreements[[#All],[GapType]],"No gap agreement")+SUMIFS(Table_MedicalGapAgreements[[#All],[NumberofServices]],Table_MedicalGapAgreements[[#All],[Year]],TA!$B7,Table_MedicalGapAgreements[[#All],[MonthEnd]],TA!$A7,Table_MedicalGapAgreements[[#All],[State]],TA!F$2,Table_MedicalGapAgreements[[#All],[GapType]],"No agreement",Table_MedicalGapAgreements[[#All],[MBSFeePercentage]],"Up to MBS Fee"))/SUMIFS(Table_MedicalGapAgreements[[#All],[NumberofServices]],Table_MedicalGapAgreements[[#All],[Year]],TA!$B7,Table_MedicalGapAgreements[[#All],[MonthEnd]],TA!$A7,Table_MedicalGapAgreements[[#All],[State]],TA!F$2)</f>
        <v>0.88819303713238351</v>
      </c>
      <c r="G7" s="155">
        <f>(SUMIFS(Table_MedicalGapAgreements[[#All],[NumberofServices]],Table_MedicalGapAgreements[[#All],[Year]],TA!$B7,Table_MedicalGapAgreements[[#All],[MonthEnd]],TA!$A7,Table_MedicalGapAgreements[[#All],[State]],TA!G$2,Table_MedicalGapAgreements[[#All],[GapType]],"No gap agreement")+SUMIFS(Table_MedicalGapAgreements[[#All],[NumberofServices]],Table_MedicalGapAgreements[[#All],[Year]],TA!$B7,Table_MedicalGapAgreements[[#All],[MonthEnd]],TA!$A7,Table_MedicalGapAgreements[[#All],[State]],TA!G$2,Table_MedicalGapAgreements[[#All],[GapType]],"No agreement",Table_MedicalGapAgreements[[#All],[MBSFeePercentage]],"Up to MBS Fee"))/SUMIFS(Table_MedicalGapAgreements[[#All],[NumberofServices]],Table_MedicalGapAgreements[[#All],[Year]],TA!$B7,Table_MedicalGapAgreements[[#All],[MonthEnd]],TA!$A7,Table_MedicalGapAgreements[[#All],[State]],TA!G$2)</f>
        <v>0.88870646866145531</v>
      </c>
      <c r="H7" s="155">
        <f>(SUMIFS(Table_MedicalGapAgreements[[#All],[NumberofServices]],Table_MedicalGapAgreements[[#All],[Year]],TA!$B7,Table_MedicalGapAgreements[[#All],[MonthEnd]],TA!$A7,Table_MedicalGapAgreements[[#All],[State]],TA!H$2,Table_MedicalGapAgreements[[#All],[GapType]],"No gap agreement")+SUMIFS(Table_MedicalGapAgreements[[#All],[NumberofServices]],Table_MedicalGapAgreements[[#All],[Year]],TA!$B7,Table_MedicalGapAgreements[[#All],[MonthEnd]],TA!$A7,Table_MedicalGapAgreements[[#All],[State]],TA!H$2,Table_MedicalGapAgreements[[#All],[GapType]],"No agreement",Table_MedicalGapAgreements[[#All],[MBSFeePercentage]],"Up to MBS Fee"))/SUMIFS(Table_MedicalGapAgreements[[#All],[NumberofServices]],Table_MedicalGapAgreements[[#All],[Year]],TA!$B7,Table_MedicalGapAgreements[[#All],[MonthEnd]],TA!$A7,Table_MedicalGapAgreements[[#All],[State]],TA!H$2)</f>
        <v>0.90790509325272339</v>
      </c>
      <c r="I7" s="155">
        <f>(SUMIFS(Table_MedicalGapAgreements[[#All],[NumberofServices]],Table_MedicalGapAgreements[[#All],[Year]],TA!$B7,Table_MedicalGapAgreements[[#All],[MonthEnd]],TA!$A7,Table_MedicalGapAgreements[[#All],[State]],TA!I$2,Table_MedicalGapAgreements[[#All],[GapType]],"No gap agreement")+SUMIFS(Table_MedicalGapAgreements[[#All],[NumberofServices]],Table_MedicalGapAgreements[[#All],[Year]],TA!$B7,Table_MedicalGapAgreements[[#All],[MonthEnd]],TA!$A7,Table_MedicalGapAgreements[[#All],[State]],TA!I$2,Table_MedicalGapAgreements[[#All],[GapType]],"No agreement",Table_MedicalGapAgreements[[#All],[MBSFeePercentage]],"Up to MBS Fee"))/SUMIFS(Table_MedicalGapAgreements[[#All],[NumberofServices]],Table_MedicalGapAgreements[[#All],[Year]],TA!$B7,Table_MedicalGapAgreements[[#All],[MonthEnd]],TA!$A7,Table_MedicalGapAgreements[[#All],[State]],TA!I$2)</f>
        <v>0.75930105441337237</v>
      </c>
      <c r="J7" s="155">
        <f>(SUMIFS(Table_MedicalGapAgreements[[#All],[NumberofServices]],Table_MedicalGapAgreements[[#All],[Year]],TA!$B7,Table_MedicalGapAgreements[[#All],[MonthEnd]],TA!$A7,Table_MedicalGapAgreements[[#All],[State]],TA!J$2,Table_MedicalGapAgreements[[#All],[GapType]],"No gap agreement")+SUMIFS(Table_MedicalGapAgreements[[#All],[NumberofServices]],Table_MedicalGapAgreements[[#All],[Year]],TA!$B7,Table_MedicalGapAgreements[[#All],[MonthEnd]],TA!$A7,Table_MedicalGapAgreements[[#All],[State]],TA!J$2,Table_MedicalGapAgreements[[#All],[GapType]],"No agreement",Table_MedicalGapAgreements[[#All],[MBSFeePercentage]],"Up to MBS Fee"))/SUMIFS(Table_MedicalGapAgreements[[#All],[NumberofServices]],Table_MedicalGapAgreements[[#All],[Year]],TA!$B7,Table_MedicalGapAgreements[[#All],[MonthEnd]],TA!$A7,Table_MedicalGapAgreements[[#All],[State]],TA!J$2)</f>
        <v>0.86978882067435959</v>
      </c>
      <c r="K7" s="156">
        <f>(SUMIFS(Table_MedicalGapAgreements[[#All],[NumberofServices]],Table_MedicalGapAgreements[[#All],[Year]],TA!$B7,Table_MedicalGapAgreements[[#All],[MonthEnd]],TA!$A7,Table_MedicalGapAgreements[[#All],[GapType]],"No gap agreement")+SUMIFS(Table_MedicalGapAgreements[[#All],[NumberofServices]],Table_MedicalGapAgreements[[#All],[Year]],TA!$B7,Table_MedicalGapAgreements[[#All],[MonthEnd]],TA!$A7,Table_MedicalGapAgreements[[#All],[GapType]],"No agreement",Table_MedicalGapAgreements[[#All],[MBSFeePercentage]],"Up to MBS Fee"))/SUMIFS(Table_MedicalGapAgreements[[#All],[NumberofServices]],Table_MedicalGapAgreements[[#All],[Year]],TA!$B7,Table_MedicalGapAgreements[[#All],[MonthEnd]],TA!$A7)</f>
        <v>0.88117626217819345</v>
      </c>
    </row>
    <row r="8" spans="1:32" ht="21" customHeight="1">
      <c r="A8" s="153" t="str">
        <f t="shared" si="1"/>
        <v>Mar</v>
      </c>
      <c r="B8" s="154">
        <f t="shared" si="0"/>
        <v>2023</v>
      </c>
      <c r="C8" s="155">
        <f>(SUMIFS(Table_MedicalGapAgreements[[#All],[NumberofServices]],Table_MedicalGapAgreements[[#All],[Year]],TA!$B8,Table_MedicalGapAgreements[[#All],[MonthEnd]],TA!$A8,Table_MedicalGapAgreements[[#All],[State]],TA!C$2,Table_MedicalGapAgreements[[#All],[GapType]],"No gap agreement")+SUMIFS(Table_MedicalGapAgreements[[#All],[NumberofServices]],Table_MedicalGapAgreements[[#All],[Year]],TA!$B8,Table_MedicalGapAgreements[[#All],[MonthEnd]],TA!$A8,Table_MedicalGapAgreements[[#All],[State]],TA!C$2,Table_MedicalGapAgreements[[#All],[GapType]],"No agreement",Table_MedicalGapAgreements[[#All],[MBSFeePercentage]],"Up to MBS Fee"))/SUMIFS(Table_MedicalGapAgreements[[#All],[NumberofServices]],Table_MedicalGapAgreements[[#All],[Year]],TA!$B8,Table_MedicalGapAgreements[[#All],[MonthEnd]],TA!$A8,Table_MedicalGapAgreements[[#All],[State]],TA!C$2)</f>
        <v>0.89871495652081501</v>
      </c>
      <c r="D8" s="155">
        <f>(SUMIFS(Table_MedicalGapAgreements[[#All],[NumberofServices]],Table_MedicalGapAgreements[[#All],[Year]],TA!$B8,Table_MedicalGapAgreements[[#All],[MonthEnd]],TA!$A8,Table_MedicalGapAgreements[[#All],[State]],TA!D$2,Table_MedicalGapAgreements[[#All],[GapType]],"No gap agreement")+SUMIFS(Table_MedicalGapAgreements[[#All],[NumberofServices]],Table_MedicalGapAgreements[[#All],[Year]],TA!$B8,Table_MedicalGapAgreements[[#All],[MonthEnd]],TA!$A8,Table_MedicalGapAgreements[[#All],[State]],TA!D$2,Table_MedicalGapAgreements[[#All],[GapType]],"No agreement",Table_MedicalGapAgreements[[#All],[MBSFeePercentage]],"Up to MBS Fee"))/SUMIFS(Table_MedicalGapAgreements[[#All],[NumberofServices]],Table_MedicalGapAgreements[[#All],[Year]],TA!$B8,Table_MedicalGapAgreements[[#All],[MonthEnd]],TA!$A8,Table_MedicalGapAgreements[[#All],[State]],TA!D$2)</f>
        <v>0.87481209726648468</v>
      </c>
      <c r="E8" s="155">
        <f>(SUMIFS(Table_MedicalGapAgreements[[#All],[NumberofServices]],Table_MedicalGapAgreements[[#All],[Year]],TA!$B8,Table_MedicalGapAgreements[[#All],[MonthEnd]],TA!$A8,Table_MedicalGapAgreements[[#All],[State]],TA!E$2,Table_MedicalGapAgreements[[#All],[GapType]],"No gap agreement")+SUMIFS(Table_MedicalGapAgreements[[#All],[NumberofServices]],Table_MedicalGapAgreements[[#All],[Year]],TA!$B8,Table_MedicalGapAgreements[[#All],[MonthEnd]],TA!$A8,Table_MedicalGapAgreements[[#All],[State]],TA!E$2,Table_MedicalGapAgreements[[#All],[GapType]],"No agreement",Table_MedicalGapAgreements[[#All],[MBSFeePercentage]],"Up to MBS Fee"))/SUMIFS(Table_MedicalGapAgreements[[#All],[NumberofServices]],Table_MedicalGapAgreements[[#All],[Year]],TA!$B8,Table_MedicalGapAgreements[[#All],[MonthEnd]],TA!$A8,Table_MedicalGapAgreements[[#All],[State]],TA!E$2)</f>
        <v>0.87807572885603702</v>
      </c>
      <c r="F8" s="155">
        <f>(SUMIFS(Table_MedicalGapAgreements[[#All],[NumberofServices]],Table_MedicalGapAgreements[[#All],[Year]],TA!$B8,Table_MedicalGapAgreements[[#All],[MonthEnd]],TA!$A8,Table_MedicalGapAgreements[[#All],[State]],TA!F$2,Table_MedicalGapAgreements[[#All],[GapType]],"No gap agreement")+SUMIFS(Table_MedicalGapAgreements[[#All],[NumberofServices]],Table_MedicalGapAgreements[[#All],[Year]],TA!$B8,Table_MedicalGapAgreements[[#All],[MonthEnd]],TA!$A8,Table_MedicalGapAgreements[[#All],[State]],TA!F$2,Table_MedicalGapAgreements[[#All],[GapType]],"No agreement",Table_MedicalGapAgreements[[#All],[MBSFeePercentage]],"Up to MBS Fee"))/SUMIFS(Table_MedicalGapAgreements[[#All],[NumberofServices]],Table_MedicalGapAgreements[[#All],[Year]],TA!$B8,Table_MedicalGapAgreements[[#All],[MonthEnd]],TA!$A8,Table_MedicalGapAgreements[[#All],[State]],TA!F$2)</f>
        <v>0.88942241792886023</v>
      </c>
      <c r="G8" s="155">
        <f>(SUMIFS(Table_MedicalGapAgreements[[#All],[NumberofServices]],Table_MedicalGapAgreements[[#All],[Year]],TA!$B8,Table_MedicalGapAgreements[[#All],[MonthEnd]],TA!$A8,Table_MedicalGapAgreements[[#All],[State]],TA!G$2,Table_MedicalGapAgreements[[#All],[GapType]],"No gap agreement")+SUMIFS(Table_MedicalGapAgreements[[#All],[NumberofServices]],Table_MedicalGapAgreements[[#All],[Year]],TA!$B8,Table_MedicalGapAgreements[[#All],[MonthEnd]],TA!$A8,Table_MedicalGapAgreements[[#All],[State]],TA!G$2,Table_MedicalGapAgreements[[#All],[GapType]],"No agreement",Table_MedicalGapAgreements[[#All],[MBSFeePercentage]],"Up to MBS Fee"))/SUMIFS(Table_MedicalGapAgreements[[#All],[NumberofServices]],Table_MedicalGapAgreements[[#All],[Year]],TA!$B8,Table_MedicalGapAgreements[[#All],[MonthEnd]],TA!$A8,Table_MedicalGapAgreements[[#All],[State]],TA!G$2)</f>
        <v>0.89220312483034925</v>
      </c>
      <c r="H8" s="155">
        <f>(SUMIFS(Table_MedicalGapAgreements[[#All],[NumberofServices]],Table_MedicalGapAgreements[[#All],[Year]],TA!$B8,Table_MedicalGapAgreements[[#All],[MonthEnd]],TA!$A8,Table_MedicalGapAgreements[[#All],[State]],TA!H$2,Table_MedicalGapAgreements[[#All],[GapType]],"No gap agreement")+SUMIFS(Table_MedicalGapAgreements[[#All],[NumberofServices]],Table_MedicalGapAgreements[[#All],[Year]],TA!$B8,Table_MedicalGapAgreements[[#All],[MonthEnd]],TA!$A8,Table_MedicalGapAgreements[[#All],[State]],TA!H$2,Table_MedicalGapAgreements[[#All],[GapType]],"No agreement",Table_MedicalGapAgreements[[#All],[MBSFeePercentage]],"Up to MBS Fee"))/SUMIFS(Table_MedicalGapAgreements[[#All],[NumberofServices]],Table_MedicalGapAgreements[[#All],[Year]],TA!$B8,Table_MedicalGapAgreements[[#All],[MonthEnd]],TA!$A8,Table_MedicalGapAgreements[[#All],[State]],TA!H$2)</f>
        <v>0.91735513283347214</v>
      </c>
      <c r="I8" s="155">
        <f>(SUMIFS(Table_MedicalGapAgreements[[#All],[NumberofServices]],Table_MedicalGapAgreements[[#All],[Year]],TA!$B8,Table_MedicalGapAgreements[[#All],[MonthEnd]],TA!$A8,Table_MedicalGapAgreements[[#All],[State]],TA!I$2,Table_MedicalGapAgreements[[#All],[GapType]],"No gap agreement")+SUMIFS(Table_MedicalGapAgreements[[#All],[NumberofServices]],Table_MedicalGapAgreements[[#All],[Year]],TA!$B8,Table_MedicalGapAgreements[[#All],[MonthEnd]],TA!$A8,Table_MedicalGapAgreements[[#All],[State]],TA!I$2,Table_MedicalGapAgreements[[#All],[GapType]],"No agreement",Table_MedicalGapAgreements[[#All],[MBSFeePercentage]],"Up to MBS Fee"))/SUMIFS(Table_MedicalGapAgreements[[#All],[NumberofServices]],Table_MedicalGapAgreements[[#All],[Year]],TA!$B8,Table_MedicalGapAgreements[[#All],[MonthEnd]],TA!$A8,Table_MedicalGapAgreements[[#All],[State]],TA!I$2)</f>
        <v>0.75134973963602292</v>
      </c>
      <c r="J8" s="155">
        <f>(SUMIFS(Table_MedicalGapAgreements[[#All],[NumberofServices]],Table_MedicalGapAgreements[[#All],[Year]],TA!$B8,Table_MedicalGapAgreements[[#All],[MonthEnd]],TA!$A8,Table_MedicalGapAgreements[[#All],[State]],TA!J$2,Table_MedicalGapAgreements[[#All],[GapType]],"No gap agreement")+SUMIFS(Table_MedicalGapAgreements[[#All],[NumberofServices]],Table_MedicalGapAgreements[[#All],[Year]],TA!$B8,Table_MedicalGapAgreements[[#All],[MonthEnd]],TA!$A8,Table_MedicalGapAgreements[[#All],[State]],TA!J$2,Table_MedicalGapAgreements[[#All],[GapType]],"No agreement",Table_MedicalGapAgreements[[#All],[MBSFeePercentage]],"Up to MBS Fee"))/SUMIFS(Table_MedicalGapAgreements[[#All],[NumberofServices]],Table_MedicalGapAgreements[[#All],[Year]],TA!$B8,Table_MedicalGapAgreements[[#All],[MonthEnd]],TA!$A8,Table_MedicalGapAgreements[[#All],[State]],TA!J$2)</f>
        <v>0.86235644112356447</v>
      </c>
      <c r="K8" s="156">
        <f>(SUMIFS(Table_MedicalGapAgreements[[#All],[NumberofServices]],Table_MedicalGapAgreements[[#All],[Year]],TA!$B8,Table_MedicalGapAgreements[[#All],[MonthEnd]],TA!$A8,Table_MedicalGapAgreements[[#All],[GapType]],"No gap agreement")+SUMIFS(Table_MedicalGapAgreements[[#All],[NumberofServices]],Table_MedicalGapAgreements[[#All],[Year]],TA!$B8,Table_MedicalGapAgreements[[#All],[MonthEnd]],TA!$A8,Table_MedicalGapAgreements[[#All],[GapType]],"No agreement",Table_MedicalGapAgreements[[#All],[MBSFeePercentage]],"Up to MBS Fee"))/SUMIFS(Table_MedicalGapAgreements[[#All],[NumberofServices]],Table_MedicalGapAgreements[[#All],[Year]],TA!$B8,Table_MedicalGapAgreements[[#All],[MonthEnd]],TA!$A8)</f>
        <v>0.88589201826763886</v>
      </c>
    </row>
    <row r="9" spans="1:32" ht="21" customHeight="1">
      <c r="A9" s="153" t="str">
        <f t="shared" si="1"/>
        <v>Jun</v>
      </c>
      <c r="B9" s="154">
        <f t="shared" si="0"/>
        <v>2023</v>
      </c>
      <c r="C9" s="155">
        <f>(SUMIFS(Table_MedicalGapAgreements[[#All],[NumberofServices]],Table_MedicalGapAgreements[[#All],[Year]],TA!$B9,Table_MedicalGapAgreements[[#All],[MonthEnd]],TA!$A9,Table_MedicalGapAgreements[[#All],[State]],TA!C$2,Table_MedicalGapAgreements[[#All],[GapType]],"No gap agreement")+SUMIFS(Table_MedicalGapAgreements[[#All],[NumberofServices]],Table_MedicalGapAgreements[[#All],[Year]],TA!$B9,Table_MedicalGapAgreements[[#All],[MonthEnd]],TA!$A9,Table_MedicalGapAgreements[[#All],[State]],TA!C$2,Table_MedicalGapAgreements[[#All],[GapType]],"No agreement",Table_MedicalGapAgreements[[#All],[MBSFeePercentage]],"Up to MBS Fee"))/SUMIFS(Table_MedicalGapAgreements[[#All],[NumberofServices]],Table_MedicalGapAgreements[[#All],[Year]],TA!$B9,Table_MedicalGapAgreements[[#All],[MonthEnd]],TA!$A9,Table_MedicalGapAgreements[[#All],[State]],TA!C$2)</f>
        <v>0.89560006922978319</v>
      </c>
      <c r="D9" s="155">
        <f>(SUMIFS(Table_MedicalGapAgreements[[#All],[NumberofServices]],Table_MedicalGapAgreements[[#All],[Year]],TA!$B9,Table_MedicalGapAgreements[[#All],[MonthEnd]],TA!$A9,Table_MedicalGapAgreements[[#All],[State]],TA!D$2,Table_MedicalGapAgreements[[#All],[GapType]],"No gap agreement")+SUMIFS(Table_MedicalGapAgreements[[#All],[NumberofServices]],Table_MedicalGapAgreements[[#All],[Year]],TA!$B9,Table_MedicalGapAgreements[[#All],[MonthEnd]],TA!$A9,Table_MedicalGapAgreements[[#All],[State]],TA!D$2,Table_MedicalGapAgreements[[#All],[GapType]],"No agreement",Table_MedicalGapAgreements[[#All],[MBSFeePercentage]],"Up to MBS Fee"))/SUMIFS(Table_MedicalGapAgreements[[#All],[NumberofServices]],Table_MedicalGapAgreements[[#All],[Year]],TA!$B9,Table_MedicalGapAgreements[[#All],[MonthEnd]],TA!$A9,Table_MedicalGapAgreements[[#All],[State]],TA!D$2)</f>
        <v>0.87708814494248488</v>
      </c>
      <c r="E9" s="155">
        <f>(SUMIFS(Table_MedicalGapAgreements[[#All],[NumberofServices]],Table_MedicalGapAgreements[[#All],[Year]],TA!$B9,Table_MedicalGapAgreements[[#All],[MonthEnd]],TA!$A9,Table_MedicalGapAgreements[[#All],[State]],TA!E$2,Table_MedicalGapAgreements[[#All],[GapType]],"No gap agreement")+SUMIFS(Table_MedicalGapAgreements[[#All],[NumberofServices]],Table_MedicalGapAgreements[[#All],[Year]],TA!$B9,Table_MedicalGapAgreements[[#All],[MonthEnd]],TA!$A9,Table_MedicalGapAgreements[[#All],[State]],TA!E$2,Table_MedicalGapAgreements[[#All],[GapType]],"No agreement",Table_MedicalGapAgreements[[#All],[MBSFeePercentage]],"Up to MBS Fee"))/SUMIFS(Table_MedicalGapAgreements[[#All],[NumberofServices]],Table_MedicalGapAgreements[[#All],[Year]],TA!$B9,Table_MedicalGapAgreements[[#All],[MonthEnd]],TA!$A9,Table_MedicalGapAgreements[[#All],[State]],TA!E$2)</f>
        <v>0.87413912103527169</v>
      </c>
      <c r="F9" s="155">
        <f>(SUMIFS(Table_MedicalGapAgreements[[#All],[NumberofServices]],Table_MedicalGapAgreements[[#All],[Year]],TA!$B9,Table_MedicalGapAgreements[[#All],[MonthEnd]],TA!$A9,Table_MedicalGapAgreements[[#All],[State]],TA!F$2,Table_MedicalGapAgreements[[#All],[GapType]],"No gap agreement")+SUMIFS(Table_MedicalGapAgreements[[#All],[NumberofServices]],Table_MedicalGapAgreements[[#All],[Year]],TA!$B9,Table_MedicalGapAgreements[[#All],[MonthEnd]],TA!$A9,Table_MedicalGapAgreements[[#All],[State]],TA!F$2,Table_MedicalGapAgreements[[#All],[GapType]],"No agreement",Table_MedicalGapAgreements[[#All],[MBSFeePercentage]],"Up to MBS Fee"))/SUMIFS(Table_MedicalGapAgreements[[#All],[NumberofServices]],Table_MedicalGapAgreements[[#All],[Year]],TA!$B9,Table_MedicalGapAgreements[[#All],[MonthEnd]],TA!$A9,Table_MedicalGapAgreements[[#All],[State]],TA!F$2)</f>
        <v>0.89306036144989209</v>
      </c>
      <c r="G9" s="155">
        <f>(SUMIFS(Table_MedicalGapAgreements[[#All],[NumberofServices]],Table_MedicalGapAgreements[[#All],[Year]],TA!$B9,Table_MedicalGapAgreements[[#All],[MonthEnd]],TA!$A9,Table_MedicalGapAgreements[[#All],[State]],TA!G$2,Table_MedicalGapAgreements[[#All],[GapType]],"No gap agreement")+SUMIFS(Table_MedicalGapAgreements[[#All],[NumberofServices]],Table_MedicalGapAgreements[[#All],[Year]],TA!$B9,Table_MedicalGapAgreements[[#All],[MonthEnd]],TA!$A9,Table_MedicalGapAgreements[[#All],[State]],TA!G$2,Table_MedicalGapAgreements[[#All],[GapType]],"No agreement",Table_MedicalGapAgreements[[#All],[MBSFeePercentage]],"Up to MBS Fee"))/SUMIFS(Table_MedicalGapAgreements[[#All],[NumberofServices]],Table_MedicalGapAgreements[[#All],[Year]],TA!$B9,Table_MedicalGapAgreements[[#All],[MonthEnd]],TA!$A9,Table_MedicalGapAgreements[[#All],[State]],TA!G$2)</f>
        <v>0.88849681597356689</v>
      </c>
      <c r="H9" s="155">
        <f>(SUMIFS(Table_MedicalGapAgreements[[#All],[NumberofServices]],Table_MedicalGapAgreements[[#All],[Year]],TA!$B9,Table_MedicalGapAgreements[[#All],[MonthEnd]],TA!$A9,Table_MedicalGapAgreements[[#All],[State]],TA!H$2,Table_MedicalGapAgreements[[#All],[GapType]],"No gap agreement")+SUMIFS(Table_MedicalGapAgreements[[#All],[NumberofServices]],Table_MedicalGapAgreements[[#All],[Year]],TA!$B9,Table_MedicalGapAgreements[[#All],[MonthEnd]],TA!$A9,Table_MedicalGapAgreements[[#All],[State]],TA!H$2,Table_MedicalGapAgreements[[#All],[GapType]],"No agreement",Table_MedicalGapAgreements[[#All],[MBSFeePercentage]],"Up to MBS Fee"))/SUMIFS(Table_MedicalGapAgreements[[#All],[NumberofServices]],Table_MedicalGapAgreements[[#All],[Year]],TA!$B9,Table_MedicalGapAgreements[[#All],[MonthEnd]],TA!$A9,Table_MedicalGapAgreements[[#All],[State]],TA!H$2)</f>
        <v>0.91880869165681478</v>
      </c>
      <c r="I9" s="155">
        <f>(SUMIFS(Table_MedicalGapAgreements[[#All],[NumberofServices]],Table_MedicalGapAgreements[[#All],[Year]],TA!$B9,Table_MedicalGapAgreements[[#All],[MonthEnd]],TA!$A9,Table_MedicalGapAgreements[[#All],[State]],TA!I$2,Table_MedicalGapAgreements[[#All],[GapType]],"No gap agreement")+SUMIFS(Table_MedicalGapAgreements[[#All],[NumberofServices]],Table_MedicalGapAgreements[[#All],[Year]],TA!$B9,Table_MedicalGapAgreements[[#All],[MonthEnd]],TA!$A9,Table_MedicalGapAgreements[[#All],[State]],TA!I$2,Table_MedicalGapAgreements[[#All],[GapType]],"No agreement",Table_MedicalGapAgreements[[#All],[MBSFeePercentage]],"Up to MBS Fee"))/SUMIFS(Table_MedicalGapAgreements[[#All],[NumberofServices]],Table_MedicalGapAgreements[[#All],[Year]],TA!$B9,Table_MedicalGapAgreements[[#All],[MonthEnd]],TA!$A9,Table_MedicalGapAgreements[[#All],[State]],TA!I$2)</f>
        <v>0.75163658922767806</v>
      </c>
      <c r="J9" s="155">
        <f>(SUMIFS(Table_MedicalGapAgreements[[#All],[NumberofServices]],Table_MedicalGapAgreements[[#All],[Year]],TA!$B9,Table_MedicalGapAgreements[[#All],[MonthEnd]],TA!$A9,Table_MedicalGapAgreements[[#All],[State]],TA!J$2,Table_MedicalGapAgreements[[#All],[GapType]],"No gap agreement")+SUMIFS(Table_MedicalGapAgreements[[#All],[NumberofServices]],Table_MedicalGapAgreements[[#All],[Year]],TA!$B9,Table_MedicalGapAgreements[[#All],[MonthEnd]],TA!$A9,Table_MedicalGapAgreements[[#All],[State]],TA!J$2,Table_MedicalGapAgreements[[#All],[GapType]],"No agreement",Table_MedicalGapAgreements[[#All],[MBSFeePercentage]],"Up to MBS Fee"))/SUMIFS(Table_MedicalGapAgreements[[#All],[NumberofServices]],Table_MedicalGapAgreements[[#All],[Year]],TA!$B9,Table_MedicalGapAgreements[[#All],[MonthEnd]],TA!$A9,Table_MedicalGapAgreements[[#All],[State]],TA!J$2)</f>
        <v>0.86414702457752457</v>
      </c>
      <c r="K9" s="156">
        <f>(SUMIFS(Table_MedicalGapAgreements[[#All],[NumberofServices]],Table_MedicalGapAgreements[[#All],[Year]],TA!$B9,Table_MedicalGapAgreements[[#All],[MonthEnd]],TA!$A9,Table_MedicalGapAgreements[[#All],[GapType]],"No gap agreement")+SUMIFS(Table_MedicalGapAgreements[[#All],[NumberofServices]],Table_MedicalGapAgreements[[#All],[Year]],TA!$B9,Table_MedicalGapAgreements[[#All],[MonthEnd]],TA!$A9,Table_MedicalGapAgreements[[#All],[GapType]],"No agreement",Table_MedicalGapAgreements[[#All],[MBSFeePercentage]],"Up to MBS Fee"))/SUMIFS(Table_MedicalGapAgreements[[#All],[NumberofServices]],Table_MedicalGapAgreements[[#All],[Year]],TA!$B9,Table_MedicalGapAgreements[[#All],[MonthEnd]],TA!$A9)</f>
        <v>0.88442247215255798</v>
      </c>
    </row>
    <row r="10" spans="1:32" ht="21" customHeight="1">
      <c r="A10" s="153" t="str">
        <f t="shared" si="1"/>
        <v>Sep</v>
      </c>
      <c r="B10" s="154">
        <f t="shared" si="0"/>
        <v>2023</v>
      </c>
      <c r="C10" s="155">
        <f>(SUMIFS(Table_MedicalGapAgreements[[#All],[NumberofServices]],Table_MedicalGapAgreements[[#All],[Year]],TA!$B10,Table_MedicalGapAgreements[[#All],[MonthEnd]],TA!$A10,Table_MedicalGapAgreements[[#All],[State]],TA!C$2,Table_MedicalGapAgreements[[#All],[GapType]],"No gap agreement")+SUMIFS(Table_MedicalGapAgreements[[#All],[NumberofServices]],Table_MedicalGapAgreements[[#All],[Year]],TA!$B10,Table_MedicalGapAgreements[[#All],[MonthEnd]],TA!$A10,Table_MedicalGapAgreements[[#All],[State]],TA!C$2,Table_MedicalGapAgreements[[#All],[GapType]],"No agreement",Table_MedicalGapAgreements[[#All],[MBSFeePercentage]],"Up to MBS Fee"))/SUMIFS(Table_MedicalGapAgreements[[#All],[NumberofServices]],Table_MedicalGapAgreements[[#All],[Year]],TA!$B10,Table_MedicalGapAgreements[[#All],[MonthEnd]],TA!$A10,Table_MedicalGapAgreements[[#All],[State]],TA!C$2)</f>
        <v>0.8900205537872885</v>
      </c>
      <c r="D10" s="155">
        <f>(SUMIFS(Table_MedicalGapAgreements[[#All],[NumberofServices]],Table_MedicalGapAgreements[[#All],[Year]],TA!$B10,Table_MedicalGapAgreements[[#All],[MonthEnd]],TA!$A10,Table_MedicalGapAgreements[[#All],[State]],TA!D$2,Table_MedicalGapAgreements[[#All],[GapType]],"No gap agreement")+SUMIFS(Table_MedicalGapAgreements[[#All],[NumberofServices]],Table_MedicalGapAgreements[[#All],[Year]],TA!$B10,Table_MedicalGapAgreements[[#All],[MonthEnd]],TA!$A10,Table_MedicalGapAgreements[[#All],[State]],TA!D$2,Table_MedicalGapAgreements[[#All],[GapType]],"No agreement",Table_MedicalGapAgreements[[#All],[MBSFeePercentage]],"Up to MBS Fee"))/SUMIFS(Table_MedicalGapAgreements[[#All],[NumberofServices]],Table_MedicalGapAgreements[[#All],[Year]],TA!$B10,Table_MedicalGapAgreements[[#All],[MonthEnd]],TA!$A10,Table_MedicalGapAgreements[[#All],[State]],TA!D$2)</f>
        <v>0.87508634416287256</v>
      </c>
      <c r="E10" s="155">
        <f>(SUMIFS(Table_MedicalGapAgreements[[#All],[NumberofServices]],Table_MedicalGapAgreements[[#All],[Year]],TA!$B10,Table_MedicalGapAgreements[[#All],[MonthEnd]],TA!$A10,Table_MedicalGapAgreements[[#All],[State]],TA!E$2,Table_MedicalGapAgreements[[#All],[GapType]],"No gap agreement")+SUMIFS(Table_MedicalGapAgreements[[#All],[NumberofServices]],Table_MedicalGapAgreements[[#All],[Year]],TA!$B10,Table_MedicalGapAgreements[[#All],[MonthEnd]],TA!$A10,Table_MedicalGapAgreements[[#All],[State]],TA!E$2,Table_MedicalGapAgreements[[#All],[GapType]],"No agreement",Table_MedicalGapAgreements[[#All],[MBSFeePercentage]],"Up to MBS Fee"))/SUMIFS(Table_MedicalGapAgreements[[#All],[NumberofServices]],Table_MedicalGapAgreements[[#All],[Year]],TA!$B10,Table_MedicalGapAgreements[[#All],[MonthEnd]],TA!$A10,Table_MedicalGapAgreements[[#All],[State]],TA!E$2)</f>
        <v>0.86314112037957624</v>
      </c>
      <c r="F10" s="155">
        <f>(SUMIFS(Table_MedicalGapAgreements[[#All],[NumberofServices]],Table_MedicalGapAgreements[[#All],[Year]],TA!$B10,Table_MedicalGapAgreements[[#All],[MonthEnd]],TA!$A10,Table_MedicalGapAgreements[[#All],[State]],TA!F$2,Table_MedicalGapAgreements[[#All],[GapType]],"No gap agreement")+SUMIFS(Table_MedicalGapAgreements[[#All],[NumberofServices]],Table_MedicalGapAgreements[[#All],[Year]],TA!$B10,Table_MedicalGapAgreements[[#All],[MonthEnd]],TA!$A10,Table_MedicalGapAgreements[[#All],[State]],TA!F$2,Table_MedicalGapAgreements[[#All],[GapType]],"No agreement",Table_MedicalGapAgreements[[#All],[MBSFeePercentage]],"Up to MBS Fee"))/SUMIFS(Table_MedicalGapAgreements[[#All],[NumberofServices]],Table_MedicalGapAgreements[[#All],[Year]],TA!$B10,Table_MedicalGapAgreements[[#All],[MonthEnd]],TA!$A10,Table_MedicalGapAgreements[[#All],[State]],TA!F$2)</f>
        <v>0.8814834260688057</v>
      </c>
      <c r="G10" s="155">
        <f>(SUMIFS(Table_MedicalGapAgreements[[#All],[NumberofServices]],Table_MedicalGapAgreements[[#All],[Year]],TA!$B10,Table_MedicalGapAgreements[[#All],[MonthEnd]],TA!$A10,Table_MedicalGapAgreements[[#All],[State]],TA!G$2,Table_MedicalGapAgreements[[#All],[GapType]],"No gap agreement")+SUMIFS(Table_MedicalGapAgreements[[#All],[NumberofServices]],Table_MedicalGapAgreements[[#All],[Year]],TA!$B10,Table_MedicalGapAgreements[[#All],[MonthEnd]],TA!$A10,Table_MedicalGapAgreements[[#All],[State]],TA!G$2,Table_MedicalGapAgreements[[#All],[GapType]],"No agreement",Table_MedicalGapAgreements[[#All],[MBSFeePercentage]],"Up to MBS Fee"))/SUMIFS(Table_MedicalGapAgreements[[#All],[NumberofServices]],Table_MedicalGapAgreements[[#All],[Year]],TA!$B10,Table_MedicalGapAgreements[[#All],[MonthEnd]],TA!$A10,Table_MedicalGapAgreements[[#All],[State]],TA!G$2)</f>
        <v>0.88389045138954081</v>
      </c>
      <c r="H10" s="155">
        <f>(SUMIFS(Table_MedicalGapAgreements[[#All],[NumberofServices]],Table_MedicalGapAgreements[[#All],[Year]],TA!$B10,Table_MedicalGapAgreements[[#All],[MonthEnd]],TA!$A10,Table_MedicalGapAgreements[[#All],[State]],TA!H$2,Table_MedicalGapAgreements[[#All],[GapType]],"No gap agreement")+SUMIFS(Table_MedicalGapAgreements[[#All],[NumberofServices]],Table_MedicalGapAgreements[[#All],[Year]],TA!$B10,Table_MedicalGapAgreements[[#All],[MonthEnd]],TA!$A10,Table_MedicalGapAgreements[[#All],[State]],TA!H$2,Table_MedicalGapAgreements[[#All],[GapType]],"No agreement",Table_MedicalGapAgreements[[#All],[MBSFeePercentage]],"Up to MBS Fee"))/SUMIFS(Table_MedicalGapAgreements[[#All],[NumberofServices]],Table_MedicalGapAgreements[[#All],[Year]],TA!$B10,Table_MedicalGapAgreements[[#All],[MonthEnd]],TA!$A10,Table_MedicalGapAgreements[[#All],[State]],TA!H$2)</f>
        <v>0.90610620697455624</v>
      </c>
      <c r="I10" s="155">
        <f>(SUMIFS(Table_MedicalGapAgreements[[#All],[NumberofServices]],Table_MedicalGapAgreements[[#All],[Year]],TA!$B10,Table_MedicalGapAgreements[[#All],[MonthEnd]],TA!$A10,Table_MedicalGapAgreements[[#All],[State]],TA!I$2,Table_MedicalGapAgreements[[#All],[GapType]],"No gap agreement")+SUMIFS(Table_MedicalGapAgreements[[#All],[NumberofServices]],Table_MedicalGapAgreements[[#All],[Year]],TA!$B10,Table_MedicalGapAgreements[[#All],[MonthEnd]],TA!$A10,Table_MedicalGapAgreements[[#All],[State]],TA!I$2,Table_MedicalGapAgreements[[#All],[GapType]],"No agreement",Table_MedicalGapAgreements[[#All],[MBSFeePercentage]],"Up to MBS Fee"))/SUMIFS(Table_MedicalGapAgreements[[#All],[NumberofServices]],Table_MedicalGapAgreements[[#All],[Year]],TA!$B10,Table_MedicalGapAgreements[[#All],[MonthEnd]],TA!$A10,Table_MedicalGapAgreements[[#All],[State]],TA!I$2)</f>
        <v>0.76809060504712678</v>
      </c>
      <c r="J10" s="155">
        <f>(SUMIFS(Table_MedicalGapAgreements[[#All],[NumberofServices]],Table_MedicalGapAgreements[[#All],[Year]],TA!$B10,Table_MedicalGapAgreements[[#All],[MonthEnd]],TA!$A10,Table_MedicalGapAgreements[[#All],[State]],TA!J$2,Table_MedicalGapAgreements[[#All],[GapType]],"No gap agreement")+SUMIFS(Table_MedicalGapAgreements[[#All],[NumberofServices]],Table_MedicalGapAgreements[[#All],[Year]],TA!$B10,Table_MedicalGapAgreements[[#All],[MonthEnd]],TA!$A10,Table_MedicalGapAgreements[[#All],[State]],TA!J$2,Table_MedicalGapAgreements[[#All],[GapType]],"No agreement",Table_MedicalGapAgreements[[#All],[MBSFeePercentage]],"Up to MBS Fee"))/SUMIFS(Table_MedicalGapAgreements[[#All],[NumberofServices]],Table_MedicalGapAgreements[[#All],[Year]],TA!$B10,Table_MedicalGapAgreements[[#All],[MonthEnd]],TA!$A10,Table_MedicalGapAgreements[[#All],[State]],TA!J$2)</f>
        <v>0.86589424767646317</v>
      </c>
      <c r="K10" s="156">
        <f>(SUMIFS(Table_MedicalGapAgreements[[#All],[NumberofServices]],Table_MedicalGapAgreements[[#All],[Year]],TA!$B10,Table_MedicalGapAgreements[[#All],[MonthEnd]],TA!$A10,Table_MedicalGapAgreements[[#All],[GapType]],"No gap agreement")+SUMIFS(Table_MedicalGapAgreements[[#All],[NumberofServices]],Table_MedicalGapAgreements[[#All],[Year]],TA!$B10,Table_MedicalGapAgreements[[#All],[MonthEnd]],TA!$A10,Table_MedicalGapAgreements[[#All],[GapType]],"No agreement",Table_MedicalGapAgreements[[#All],[MBSFeePercentage]],"Up to MBS Fee"))/SUMIFS(Table_MedicalGapAgreements[[#All],[NumberofServices]],Table_MedicalGapAgreements[[#All],[Year]],TA!$B10,Table_MedicalGapAgreements[[#All],[MonthEnd]],TA!$A10)</f>
        <v>0.87832629902323855</v>
      </c>
    </row>
    <row r="11" spans="1:32" ht="21" customHeight="1">
      <c r="A11" s="153" t="str">
        <f t="shared" si="1"/>
        <v>Dec</v>
      </c>
      <c r="B11" s="154">
        <f t="shared" si="0"/>
        <v>2023</v>
      </c>
      <c r="C11" s="155">
        <f>(SUMIFS(Table_MedicalGapAgreements[[#All],[NumberofServices]],Table_MedicalGapAgreements[[#All],[Year]],TA!$B11,Table_MedicalGapAgreements[[#All],[MonthEnd]],TA!$A11,Table_MedicalGapAgreements[[#All],[State]],TA!C$2,Table_MedicalGapAgreements[[#All],[GapType]],"No gap agreement")+SUMIFS(Table_MedicalGapAgreements[[#All],[NumberofServices]],Table_MedicalGapAgreements[[#All],[Year]],TA!$B11,Table_MedicalGapAgreements[[#All],[MonthEnd]],TA!$A11,Table_MedicalGapAgreements[[#All],[State]],TA!C$2,Table_MedicalGapAgreements[[#All],[GapType]],"No agreement",Table_MedicalGapAgreements[[#All],[MBSFeePercentage]],"Up to MBS Fee"))/SUMIFS(Table_MedicalGapAgreements[[#All],[NumberofServices]],Table_MedicalGapAgreements[[#All],[Year]],TA!$B11,Table_MedicalGapAgreements[[#All],[MonthEnd]],TA!$A11,Table_MedicalGapAgreements[[#All],[State]],TA!C$2)</f>
        <v>0.88974000145177878</v>
      </c>
      <c r="D11" s="155">
        <f>(SUMIFS(Table_MedicalGapAgreements[[#All],[NumberofServices]],Table_MedicalGapAgreements[[#All],[Year]],TA!$B11,Table_MedicalGapAgreements[[#All],[MonthEnd]],TA!$A11,Table_MedicalGapAgreements[[#All],[State]],TA!D$2,Table_MedicalGapAgreements[[#All],[GapType]],"No gap agreement")+SUMIFS(Table_MedicalGapAgreements[[#All],[NumberofServices]],Table_MedicalGapAgreements[[#All],[Year]],TA!$B11,Table_MedicalGapAgreements[[#All],[MonthEnd]],TA!$A11,Table_MedicalGapAgreements[[#All],[State]],TA!D$2,Table_MedicalGapAgreements[[#All],[GapType]],"No agreement",Table_MedicalGapAgreements[[#All],[MBSFeePercentage]],"Up to MBS Fee"))/SUMIFS(Table_MedicalGapAgreements[[#All],[NumberofServices]],Table_MedicalGapAgreements[[#All],[Year]],TA!$B11,Table_MedicalGapAgreements[[#All],[MonthEnd]],TA!$A11,Table_MedicalGapAgreements[[#All],[State]],TA!D$2)</f>
        <v>0.8662090022770722</v>
      </c>
      <c r="E11" s="155">
        <f>(SUMIFS(Table_MedicalGapAgreements[[#All],[NumberofServices]],Table_MedicalGapAgreements[[#All],[Year]],TA!$B11,Table_MedicalGapAgreements[[#All],[MonthEnd]],TA!$A11,Table_MedicalGapAgreements[[#All],[State]],TA!E$2,Table_MedicalGapAgreements[[#All],[GapType]],"No gap agreement")+SUMIFS(Table_MedicalGapAgreements[[#All],[NumberofServices]],Table_MedicalGapAgreements[[#All],[Year]],TA!$B11,Table_MedicalGapAgreements[[#All],[MonthEnd]],TA!$A11,Table_MedicalGapAgreements[[#All],[State]],TA!E$2,Table_MedicalGapAgreements[[#All],[GapType]],"No agreement",Table_MedicalGapAgreements[[#All],[MBSFeePercentage]],"Up to MBS Fee"))/SUMIFS(Table_MedicalGapAgreements[[#All],[NumberofServices]],Table_MedicalGapAgreements[[#All],[Year]],TA!$B11,Table_MedicalGapAgreements[[#All],[MonthEnd]],TA!$A11,Table_MedicalGapAgreements[[#All],[State]],TA!E$2)</f>
        <v>0.86365852500123586</v>
      </c>
      <c r="F11" s="155">
        <f>(SUMIFS(Table_MedicalGapAgreements[[#All],[NumberofServices]],Table_MedicalGapAgreements[[#All],[Year]],TA!$B11,Table_MedicalGapAgreements[[#All],[MonthEnd]],TA!$A11,Table_MedicalGapAgreements[[#All],[State]],TA!F$2,Table_MedicalGapAgreements[[#All],[GapType]],"No gap agreement")+SUMIFS(Table_MedicalGapAgreements[[#All],[NumberofServices]],Table_MedicalGapAgreements[[#All],[Year]],TA!$B11,Table_MedicalGapAgreements[[#All],[MonthEnd]],TA!$A11,Table_MedicalGapAgreements[[#All],[State]],TA!F$2,Table_MedicalGapAgreements[[#All],[GapType]],"No agreement",Table_MedicalGapAgreements[[#All],[MBSFeePercentage]],"Up to MBS Fee"))/SUMIFS(Table_MedicalGapAgreements[[#All],[NumberofServices]],Table_MedicalGapAgreements[[#All],[Year]],TA!$B11,Table_MedicalGapAgreements[[#All],[MonthEnd]],TA!$A11,Table_MedicalGapAgreements[[#All],[State]],TA!F$2)</f>
        <v>0.8773181605628414</v>
      </c>
      <c r="G11" s="155">
        <f>(SUMIFS(Table_MedicalGapAgreements[[#All],[NumberofServices]],Table_MedicalGapAgreements[[#All],[Year]],TA!$B11,Table_MedicalGapAgreements[[#All],[MonthEnd]],TA!$A11,Table_MedicalGapAgreements[[#All],[State]],TA!G$2,Table_MedicalGapAgreements[[#All],[GapType]],"No gap agreement")+SUMIFS(Table_MedicalGapAgreements[[#All],[NumberofServices]],Table_MedicalGapAgreements[[#All],[Year]],TA!$B11,Table_MedicalGapAgreements[[#All],[MonthEnd]],TA!$A11,Table_MedicalGapAgreements[[#All],[State]],TA!G$2,Table_MedicalGapAgreements[[#All],[GapType]],"No agreement",Table_MedicalGapAgreements[[#All],[MBSFeePercentage]],"Up to MBS Fee"))/SUMIFS(Table_MedicalGapAgreements[[#All],[NumberofServices]],Table_MedicalGapAgreements[[#All],[Year]],TA!$B11,Table_MedicalGapAgreements[[#All],[MonthEnd]],TA!$A11,Table_MedicalGapAgreements[[#All],[State]],TA!G$2)</f>
        <v>0.87774956172256802</v>
      </c>
      <c r="H11" s="155">
        <f>(SUMIFS(Table_MedicalGapAgreements[[#All],[NumberofServices]],Table_MedicalGapAgreements[[#All],[Year]],TA!$B11,Table_MedicalGapAgreements[[#All],[MonthEnd]],TA!$A11,Table_MedicalGapAgreements[[#All],[State]],TA!H$2,Table_MedicalGapAgreements[[#All],[GapType]],"No gap agreement")+SUMIFS(Table_MedicalGapAgreements[[#All],[NumberofServices]],Table_MedicalGapAgreements[[#All],[Year]],TA!$B11,Table_MedicalGapAgreements[[#All],[MonthEnd]],TA!$A11,Table_MedicalGapAgreements[[#All],[State]],TA!H$2,Table_MedicalGapAgreements[[#All],[GapType]],"No agreement",Table_MedicalGapAgreements[[#All],[MBSFeePercentage]],"Up to MBS Fee"))/SUMIFS(Table_MedicalGapAgreements[[#All],[NumberofServices]],Table_MedicalGapAgreements[[#All],[Year]],TA!$B11,Table_MedicalGapAgreements[[#All],[MonthEnd]],TA!$A11,Table_MedicalGapAgreements[[#All],[State]],TA!H$2)</f>
        <v>0.90346977852838006</v>
      </c>
      <c r="I11" s="155">
        <f>(SUMIFS(Table_MedicalGapAgreements[[#All],[NumberofServices]],Table_MedicalGapAgreements[[#All],[Year]],TA!$B11,Table_MedicalGapAgreements[[#All],[MonthEnd]],TA!$A11,Table_MedicalGapAgreements[[#All],[State]],TA!I$2,Table_MedicalGapAgreements[[#All],[GapType]],"No gap agreement")+SUMIFS(Table_MedicalGapAgreements[[#All],[NumberofServices]],Table_MedicalGapAgreements[[#All],[Year]],TA!$B11,Table_MedicalGapAgreements[[#All],[MonthEnd]],TA!$A11,Table_MedicalGapAgreements[[#All],[State]],TA!I$2,Table_MedicalGapAgreements[[#All],[GapType]],"No agreement",Table_MedicalGapAgreements[[#All],[MBSFeePercentage]],"Up to MBS Fee"))/SUMIFS(Table_MedicalGapAgreements[[#All],[NumberofServices]],Table_MedicalGapAgreements[[#All],[Year]],TA!$B11,Table_MedicalGapAgreements[[#All],[MonthEnd]],TA!$A11,Table_MedicalGapAgreements[[#All],[State]],TA!I$2)</f>
        <v>0.74177533414118035</v>
      </c>
      <c r="J11" s="155">
        <f>(SUMIFS(Table_MedicalGapAgreements[[#All],[NumberofServices]],Table_MedicalGapAgreements[[#All],[Year]],TA!$B11,Table_MedicalGapAgreements[[#All],[MonthEnd]],TA!$A11,Table_MedicalGapAgreements[[#All],[State]],TA!J$2,Table_MedicalGapAgreements[[#All],[GapType]],"No gap agreement")+SUMIFS(Table_MedicalGapAgreements[[#All],[NumberofServices]],Table_MedicalGapAgreements[[#All],[Year]],TA!$B11,Table_MedicalGapAgreements[[#All],[MonthEnd]],TA!$A11,Table_MedicalGapAgreements[[#All],[State]],TA!J$2,Table_MedicalGapAgreements[[#All],[GapType]],"No agreement",Table_MedicalGapAgreements[[#All],[MBSFeePercentage]],"Up to MBS Fee"))/SUMIFS(Table_MedicalGapAgreements[[#All],[NumberofServices]],Table_MedicalGapAgreements[[#All],[Year]],TA!$B11,Table_MedicalGapAgreements[[#All],[MonthEnd]],TA!$A11,Table_MedicalGapAgreements[[#All],[State]],TA!J$2)</f>
        <v>0.86627873480440165</v>
      </c>
      <c r="K11" s="156">
        <f>(SUMIFS(Table_MedicalGapAgreements[[#All],[NumberofServices]],Table_MedicalGapAgreements[[#All],[Year]],TA!$B11,Table_MedicalGapAgreements[[#All],[MonthEnd]],TA!$A11,Table_MedicalGapAgreements[[#All],[GapType]],"No gap agreement")+SUMIFS(Table_MedicalGapAgreements[[#All],[NumberofServices]],Table_MedicalGapAgreements[[#All],[Year]],TA!$B11,Table_MedicalGapAgreements[[#All],[MonthEnd]],TA!$A11,Table_MedicalGapAgreements[[#All],[GapType]],"No agreement",Table_MedicalGapAgreements[[#All],[MBSFeePercentage]],"Up to MBS Fee"))/SUMIFS(Table_MedicalGapAgreements[[#All],[NumberofServices]],Table_MedicalGapAgreements[[#All],[Year]],TA!$B11,Table_MedicalGapAgreements[[#All],[MonthEnd]],TA!$A11)</f>
        <v>0.87500701966302274</v>
      </c>
    </row>
    <row r="12" spans="1:32" ht="21" customHeight="1">
      <c r="A12" s="153" t="str">
        <f t="shared" si="1"/>
        <v>Mar</v>
      </c>
      <c r="B12" s="154">
        <f t="shared" si="0"/>
        <v>2024</v>
      </c>
      <c r="C12" s="155">
        <f>(SUMIFS(Table_MedicalGapAgreements[[#All],[NumberofServices]],Table_MedicalGapAgreements[[#All],[Year]],TA!$B12,Table_MedicalGapAgreements[[#All],[MonthEnd]],TA!$A12,Table_MedicalGapAgreements[[#All],[State]],TA!C$2,Table_MedicalGapAgreements[[#All],[GapType]],"No gap agreement")+SUMIFS(Table_MedicalGapAgreements[[#All],[NumberofServices]],Table_MedicalGapAgreements[[#All],[Year]],TA!$B12,Table_MedicalGapAgreements[[#All],[MonthEnd]],TA!$A12,Table_MedicalGapAgreements[[#All],[State]],TA!C$2,Table_MedicalGapAgreements[[#All],[GapType]],"No agreement",Table_MedicalGapAgreements[[#All],[MBSFeePercentage]],"Up to MBS Fee"))/SUMIFS(Table_MedicalGapAgreements[[#All],[NumberofServices]],Table_MedicalGapAgreements[[#All],[Year]],TA!$B12,Table_MedicalGapAgreements[[#All],[MonthEnd]],TA!$A12,Table_MedicalGapAgreements[[#All],[State]],TA!C$2)</f>
        <v>0.89650107882273733</v>
      </c>
      <c r="D12" s="155">
        <f>(SUMIFS(Table_MedicalGapAgreements[[#All],[NumberofServices]],Table_MedicalGapAgreements[[#All],[Year]],TA!$B12,Table_MedicalGapAgreements[[#All],[MonthEnd]],TA!$A12,Table_MedicalGapAgreements[[#All],[State]],TA!D$2,Table_MedicalGapAgreements[[#All],[GapType]],"No gap agreement")+SUMIFS(Table_MedicalGapAgreements[[#All],[NumberofServices]],Table_MedicalGapAgreements[[#All],[Year]],TA!$B12,Table_MedicalGapAgreements[[#All],[MonthEnd]],TA!$A12,Table_MedicalGapAgreements[[#All],[State]],TA!D$2,Table_MedicalGapAgreements[[#All],[GapType]],"No agreement",Table_MedicalGapAgreements[[#All],[MBSFeePercentage]],"Up to MBS Fee"))/SUMIFS(Table_MedicalGapAgreements[[#All],[NumberofServices]],Table_MedicalGapAgreements[[#All],[Year]],TA!$B12,Table_MedicalGapAgreements[[#All],[MonthEnd]],TA!$A12,Table_MedicalGapAgreements[[#All],[State]],TA!D$2)</f>
        <v>0.86807533228449896</v>
      </c>
      <c r="E12" s="155">
        <f>(SUMIFS(Table_MedicalGapAgreements[[#All],[NumberofServices]],Table_MedicalGapAgreements[[#All],[Year]],TA!$B12,Table_MedicalGapAgreements[[#All],[MonthEnd]],TA!$A12,Table_MedicalGapAgreements[[#All],[State]],TA!E$2,Table_MedicalGapAgreements[[#All],[GapType]],"No gap agreement")+SUMIFS(Table_MedicalGapAgreements[[#All],[NumberofServices]],Table_MedicalGapAgreements[[#All],[Year]],TA!$B12,Table_MedicalGapAgreements[[#All],[MonthEnd]],TA!$A12,Table_MedicalGapAgreements[[#All],[State]],TA!E$2,Table_MedicalGapAgreements[[#All],[GapType]],"No agreement",Table_MedicalGapAgreements[[#All],[MBSFeePercentage]],"Up to MBS Fee"))/SUMIFS(Table_MedicalGapAgreements[[#All],[NumberofServices]],Table_MedicalGapAgreements[[#All],[Year]],TA!$B12,Table_MedicalGapAgreements[[#All],[MonthEnd]],TA!$A12,Table_MedicalGapAgreements[[#All],[State]],TA!E$2)</f>
        <v>0.88527093817143043</v>
      </c>
      <c r="F12" s="155">
        <f>(SUMIFS(Table_MedicalGapAgreements[[#All],[NumberofServices]],Table_MedicalGapAgreements[[#All],[Year]],TA!$B12,Table_MedicalGapAgreements[[#All],[MonthEnd]],TA!$A12,Table_MedicalGapAgreements[[#All],[State]],TA!F$2,Table_MedicalGapAgreements[[#All],[GapType]],"No gap agreement")+SUMIFS(Table_MedicalGapAgreements[[#All],[NumberofServices]],Table_MedicalGapAgreements[[#All],[Year]],TA!$B12,Table_MedicalGapAgreements[[#All],[MonthEnd]],TA!$A12,Table_MedicalGapAgreements[[#All],[State]],TA!F$2,Table_MedicalGapAgreements[[#All],[GapType]],"No agreement",Table_MedicalGapAgreements[[#All],[MBSFeePercentage]],"Up to MBS Fee"))/SUMIFS(Table_MedicalGapAgreements[[#All],[NumberofServices]],Table_MedicalGapAgreements[[#All],[Year]],TA!$B12,Table_MedicalGapAgreements[[#All],[MonthEnd]],TA!$A12,Table_MedicalGapAgreements[[#All],[State]],TA!F$2)</f>
        <v>0.87666777243552241</v>
      </c>
      <c r="G12" s="155">
        <f>(SUMIFS(Table_MedicalGapAgreements[[#All],[NumberofServices]],Table_MedicalGapAgreements[[#All],[Year]],TA!$B12,Table_MedicalGapAgreements[[#All],[MonthEnd]],TA!$A12,Table_MedicalGapAgreements[[#All],[State]],TA!G$2,Table_MedicalGapAgreements[[#All],[GapType]],"No gap agreement")+SUMIFS(Table_MedicalGapAgreements[[#All],[NumberofServices]],Table_MedicalGapAgreements[[#All],[Year]],TA!$B12,Table_MedicalGapAgreements[[#All],[MonthEnd]],TA!$A12,Table_MedicalGapAgreements[[#All],[State]],TA!G$2,Table_MedicalGapAgreements[[#All],[GapType]],"No agreement",Table_MedicalGapAgreements[[#All],[MBSFeePercentage]],"Up to MBS Fee"))/SUMIFS(Table_MedicalGapAgreements[[#All],[NumberofServices]],Table_MedicalGapAgreements[[#All],[Year]],TA!$B12,Table_MedicalGapAgreements[[#All],[MonthEnd]],TA!$A12,Table_MedicalGapAgreements[[#All],[State]],TA!G$2)</f>
        <v>0.87843939794032211</v>
      </c>
      <c r="H12" s="155">
        <f>(SUMIFS(Table_MedicalGapAgreements[[#All],[NumberofServices]],Table_MedicalGapAgreements[[#All],[Year]],TA!$B12,Table_MedicalGapAgreements[[#All],[MonthEnd]],TA!$A12,Table_MedicalGapAgreements[[#All],[State]],TA!H$2,Table_MedicalGapAgreements[[#All],[GapType]],"No gap agreement")+SUMIFS(Table_MedicalGapAgreements[[#All],[NumberofServices]],Table_MedicalGapAgreements[[#All],[Year]],TA!$B12,Table_MedicalGapAgreements[[#All],[MonthEnd]],TA!$A12,Table_MedicalGapAgreements[[#All],[State]],TA!H$2,Table_MedicalGapAgreements[[#All],[GapType]],"No agreement",Table_MedicalGapAgreements[[#All],[MBSFeePercentage]],"Up to MBS Fee"))/SUMIFS(Table_MedicalGapAgreements[[#All],[NumberofServices]],Table_MedicalGapAgreements[[#All],[Year]],TA!$B12,Table_MedicalGapAgreements[[#All],[MonthEnd]],TA!$A12,Table_MedicalGapAgreements[[#All],[State]],TA!H$2)</f>
        <v>0.91591417622892013</v>
      </c>
      <c r="I12" s="155">
        <f>(SUMIFS(Table_MedicalGapAgreements[[#All],[NumberofServices]],Table_MedicalGapAgreements[[#All],[Year]],TA!$B12,Table_MedicalGapAgreements[[#All],[MonthEnd]],TA!$A12,Table_MedicalGapAgreements[[#All],[State]],TA!I$2,Table_MedicalGapAgreements[[#All],[GapType]],"No gap agreement")+SUMIFS(Table_MedicalGapAgreements[[#All],[NumberofServices]],Table_MedicalGapAgreements[[#All],[Year]],TA!$B12,Table_MedicalGapAgreements[[#All],[MonthEnd]],TA!$A12,Table_MedicalGapAgreements[[#All],[State]],TA!I$2,Table_MedicalGapAgreements[[#All],[GapType]],"No agreement",Table_MedicalGapAgreements[[#All],[MBSFeePercentage]],"Up to MBS Fee"))/SUMIFS(Table_MedicalGapAgreements[[#All],[NumberofServices]],Table_MedicalGapAgreements[[#All],[Year]],TA!$B12,Table_MedicalGapAgreements[[#All],[MonthEnd]],TA!$A12,Table_MedicalGapAgreements[[#All],[State]],TA!I$2)</f>
        <v>0.7698824173889226</v>
      </c>
      <c r="J12" s="155">
        <f>(SUMIFS(Table_MedicalGapAgreements[[#All],[NumberofServices]],Table_MedicalGapAgreements[[#All],[Year]],TA!$B12,Table_MedicalGapAgreements[[#All],[MonthEnd]],TA!$A12,Table_MedicalGapAgreements[[#All],[State]],TA!J$2,Table_MedicalGapAgreements[[#All],[GapType]],"No gap agreement")+SUMIFS(Table_MedicalGapAgreements[[#All],[NumberofServices]],Table_MedicalGapAgreements[[#All],[Year]],TA!$B12,Table_MedicalGapAgreements[[#All],[MonthEnd]],TA!$A12,Table_MedicalGapAgreements[[#All],[State]],TA!J$2,Table_MedicalGapAgreements[[#All],[GapType]],"No agreement",Table_MedicalGapAgreements[[#All],[MBSFeePercentage]],"Up to MBS Fee"))/SUMIFS(Table_MedicalGapAgreements[[#All],[NumberofServices]],Table_MedicalGapAgreements[[#All],[Year]],TA!$B12,Table_MedicalGapAgreements[[#All],[MonthEnd]],TA!$A12,Table_MedicalGapAgreements[[#All],[State]],TA!J$2)</f>
        <v>0.81376816232477756</v>
      </c>
      <c r="K12" s="156">
        <f>(SUMIFS(Table_MedicalGapAgreements[[#All],[NumberofServices]],Table_MedicalGapAgreements[[#All],[Year]],TA!$B12,Table_MedicalGapAgreements[[#All],[MonthEnd]],TA!$A12,Table_MedicalGapAgreements[[#All],[GapType]],"No gap agreement")+SUMIFS(Table_MedicalGapAgreements[[#All],[NumberofServices]],Table_MedicalGapAgreements[[#All],[Year]],TA!$B12,Table_MedicalGapAgreements[[#All],[MonthEnd]],TA!$A12,Table_MedicalGapAgreements[[#All],[GapType]],"No agreement",Table_MedicalGapAgreements[[#All],[MBSFeePercentage]],"Up to MBS Fee"))/SUMIFS(Table_MedicalGapAgreements[[#All],[NumberofServices]],Table_MedicalGapAgreements[[#All],[Year]],TA!$B12,Table_MedicalGapAgreements[[#All],[MonthEnd]],TA!$A12)</f>
        <v>0.88273248628335388</v>
      </c>
    </row>
    <row r="13" spans="1:32" ht="21" customHeight="1">
      <c r="A13" s="153" t="str">
        <f t="shared" si="1"/>
        <v>Jun</v>
      </c>
      <c r="B13" s="154">
        <f t="shared" si="0"/>
        <v>2024</v>
      </c>
      <c r="C13" s="155">
        <f>(SUMIFS(Table_MedicalGapAgreements[[#All],[NumberofServices]],Table_MedicalGapAgreements[[#All],[Year]],TA!$B13,Table_MedicalGapAgreements[[#All],[MonthEnd]],TA!$A13,Table_MedicalGapAgreements[[#All],[State]],TA!C$2,Table_MedicalGapAgreements[[#All],[GapType]],"No gap agreement")+SUMIFS(Table_MedicalGapAgreements[[#All],[NumberofServices]],Table_MedicalGapAgreements[[#All],[Year]],TA!$B13,Table_MedicalGapAgreements[[#All],[MonthEnd]],TA!$A13,Table_MedicalGapAgreements[[#All],[State]],TA!C$2,Table_MedicalGapAgreements[[#All],[GapType]],"No agreement",Table_MedicalGapAgreements[[#All],[MBSFeePercentage]],"Up to MBS Fee"))/SUMIFS(Table_MedicalGapAgreements[[#All],[NumberofServices]],Table_MedicalGapAgreements[[#All],[Year]],TA!$B13,Table_MedicalGapAgreements[[#All],[MonthEnd]],TA!$A13,Table_MedicalGapAgreements[[#All],[State]],TA!C$2)</f>
        <v>0.89114362102390399</v>
      </c>
      <c r="D13" s="155">
        <f>(SUMIFS(Table_MedicalGapAgreements[[#All],[NumberofServices]],Table_MedicalGapAgreements[[#All],[Year]],TA!$B13,Table_MedicalGapAgreements[[#All],[MonthEnd]],TA!$A13,Table_MedicalGapAgreements[[#All],[State]],TA!D$2,Table_MedicalGapAgreements[[#All],[GapType]],"No gap agreement")+SUMIFS(Table_MedicalGapAgreements[[#All],[NumberofServices]],Table_MedicalGapAgreements[[#All],[Year]],TA!$B13,Table_MedicalGapAgreements[[#All],[MonthEnd]],TA!$A13,Table_MedicalGapAgreements[[#All],[State]],TA!D$2,Table_MedicalGapAgreements[[#All],[GapType]],"No agreement",Table_MedicalGapAgreements[[#All],[MBSFeePercentage]],"Up to MBS Fee"))/SUMIFS(Table_MedicalGapAgreements[[#All],[NumberofServices]],Table_MedicalGapAgreements[[#All],[Year]],TA!$B13,Table_MedicalGapAgreements[[#All],[MonthEnd]],TA!$A13,Table_MedicalGapAgreements[[#All],[State]],TA!D$2)</f>
        <v>0.87042572572652788</v>
      </c>
      <c r="E13" s="155">
        <f>(SUMIFS(Table_MedicalGapAgreements[[#All],[NumberofServices]],Table_MedicalGapAgreements[[#All],[Year]],TA!$B13,Table_MedicalGapAgreements[[#All],[MonthEnd]],TA!$A13,Table_MedicalGapAgreements[[#All],[State]],TA!E$2,Table_MedicalGapAgreements[[#All],[GapType]],"No gap agreement")+SUMIFS(Table_MedicalGapAgreements[[#All],[NumberofServices]],Table_MedicalGapAgreements[[#All],[Year]],TA!$B13,Table_MedicalGapAgreements[[#All],[MonthEnd]],TA!$A13,Table_MedicalGapAgreements[[#All],[State]],TA!E$2,Table_MedicalGapAgreements[[#All],[GapType]],"No agreement",Table_MedicalGapAgreements[[#All],[MBSFeePercentage]],"Up to MBS Fee"))/SUMIFS(Table_MedicalGapAgreements[[#All],[NumberofServices]],Table_MedicalGapAgreements[[#All],[Year]],TA!$B13,Table_MedicalGapAgreements[[#All],[MonthEnd]],TA!$A13,Table_MedicalGapAgreements[[#All],[State]],TA!E$2)</f>
        <v>0.85725293872970509</v>
      </c>
      <c r="F13" s="155">
        <f>(SUMIFS(Table_MedicalGapAgreements[[#All],[NumberofServices]],Table_MedicalGapAgreements[[#All],[Year]],TA!$B13,Table_MedicalGapAgreements[[#All],[MonthEnd]],TA!$A13,Table_MedicalGapAgreements[[#All],[State]],TA!F$2,Table_MedicalGapAgreements[[#All],[GapType]],"No gap agreement")+SUMIFS(Table_MedicalGapAgreements[[#All],[NumberofServices]],Table_MedicalGapAgreements[[#All],[Year]],TA!$B13,Table_MedicalGapAgreements[[#All],[MonthEnd]],TA!$A13,Table_MedicalGapAgreements[[#All],[State]],TA!F$2,Table_MedicalGapAgreements[[#All],[GapType]],"No agreement",Table_MedicalGapAgreements[[#All],[MBSFeePercentage]],"Up to MBS Fee"))/SUMIFS(Table_MedicalGapAgreements[[#All],[NumberofServices]],Table_MedicalGapAgreements[[#All],[Year]],TA!$B13,Table_MedicalGapAgreements[[#All],[MonthEnd]],TA!$A13,Table_MedicalGapAgreements[[#All],[State]],TA!F$2)</f>
        <v>0.87261785099531686</v>
      </c>
      <c r="G13" s="155">
        <f>(SUMIFS(Table_MedicalGapAgreements[[#All],[NumberofServices]],Table_MedicalGapAgreements[[#All],[Year]],TA!$B13,Table_MedicalGapAgreements[[#All],[MonthEnd]],TA!$A13,Table_MedicalGapAgreements[[#All],[State]],TA!G$2,Table_MedicalGapAgreements[[#All],[GapType]],"No gap agreement")+SUMIFS(Table_MedicalGapAgreements[[#All],[NumberofServices]],Table_MedicalGapAgreements[[#All],[Year]],TA!$B13,Table_MedicalGapAgreements[[#All],[MonthEnd]],TA!$A13,Table_MedicalGapAgreements[[#All],[State]],TA!G$2,Table_MedicalGapAgreements[[#All],[GapType]],"No agreement",Table_MedicalGapAgreements[[#All],[MBSFeePercentage]],"Up to MBS Fee"))/SUMIFS(Table_MedicalGapAgreements[[#All],[NumberofServices]],Table_MedicalGapAgreements[[#All],[Year]],TA!$B13,Table_MedicalGapAgreements[[#All],[MonthEnd]],TA!$A13,Table_MedicalGapAgreements[[#All],[State]],TA!G$2)</f>
        <v>0.87068138871113931</v>
      </c>
      <c r="H13" s="155">
        <f>(SUMIFS(Table_MedicalGapAgreements[[#All],[NumberofServices]],Table_MedicalGapAgreements[[#All],[Year]],TA!$B13,Table_MedicalGapAgreements[[#All],[MonthEnd]],TA!$A13,Table_MedicalGapAgreements[[#All],[State]],TA!H$2,Table_MedicalGapAgreements[[#All],[GapType]],"No gap agreement")+SUMIFS(Table_MedicalGapAgreements[[#All],[NumberofServices]],Table_MedicalGapAgreements[[#All],[Year]],TA!$B13,Table_MedicalGapAgreements[[#All],[MonthEnd]],TA!$A13,Table_MedicalGapAgreements[[#All],[State]],TA!H$2,Table_MedicalGapAgreements[[#All],[GapType]],"No agreement",Table_MedicalGapAgreements[[#All],[MBSFeePercentage]],"Up to MBS Fee"))/SUMIFS(Table_MedicalGapAgreements[[#All],[NumberofServices]],Table_MedicalGapAgreements[[#All],[Year]],TA!$B13,Table_MedicalGapAgreements[[#All],[MonthEnd]],TA!$A13,Table_MedicalGapAgreements[[#All],[State]],TA!H$2)</f>
        <v>0.89015639982805939</v>
      </c>
      <c r="I13" s="155">
        <f>(SUMIFS(Table_MedicalGapAgreements[[#All],[NumberofServices]],Table_MedicalGapAgreements[[#All],[Year]],TA!$B13,Table_MedicalGapAgreements[[#All],[MonthEnd]],TA!$A13,Table_MedicalGapAgreements[[#All],[State]],TA!I$2,Table_MedicalGapAgreements[[#All],[GapType]],"No gap agreement")+SUMIFS(Table_MedicalGapAgreements[[#All],[NumberofServices]],Table_MedicalGapAgreements[[#All],[Year]],TA!$B13,Table_MedicalGapAgreements[[#All],[MonthEnd]],TA!$A13,Table_MedicalGapAgreements[[#All],[State]],TA!I$2,Table_MedicalGapAgreements[[#All],[GapType]],"No agreement",Table_MedicalGapAgreements[[#All],[MBSFeePercentage]],"Up to MBS Fee"))/SUMIFS(Table_MedicalGapAgreements[[#All],[NumberofServices]],Table_MedicalGapAgreements[[#All],[Year]],TA!$B13,Table_MedicalGapAgreements[[#All],[MonthEnd]],TA!$A13,Table_MedicalGapAgreements[[#All],[State]],TA!I$2)</f>
        <v>0.76350667039184184</v>
      </c>
      <c r="J13" s="155">
        <f>(SUMIFS(Table_MedicalGapAgreements[[#All],[NumberofServices]],Table_MedicalGapAgreements[[#All],[Year]],TA!$B13,Table_MedicalGapAgreements[[#All],[MonthEnd]],TA!$A13,Table_MedicalGapAgreements[[#All],[State]],TA!J$2,Table_MedicalGapAgreements[[#All],[GapType]],"No gap agreement")+SUMIFS(Table_MedicalGapAgreements[[#All],[NumberofServices]],Table_MedicalGapAgreements[[#All],[Year]],TA!$B13,Table_MedicalGapAgreements[[#All],[MonthEnd]],TA!$A13,Table_MedicalGapAgreements[[#All],[State]],TA!J$2,Table_MedicalGapAgreements[[#All],[GapType]],"No agreement",Table_MedicalGapAgreements[[#All],[MBSFeePercentage]],"Up to MBS Fee"))/SUMIFS(Table_MedicalGapAgreements[[#All],[NumberofServices]],Table_MedicalGapAgreements[[#All],[Year]],TA!$B13,Table_MedicalGapAgreements[[#All],[MonthEnd]],TA!$A13,Table_MedicalGapAgreements[[#All],[State]],TA!J$2)</f>
        <v>0.79851301115241635</v>
      </c>
      <c r="K13" s="156">
        <f>(SUMIFS(Table_MedicalGapAgreements[[#All],[NumberofServices]],Table_MedicalGapAgreements[[#All],[Year]],TA!$B13,Table_MedicalGapAgreements[[#All],[MonthEnd]],TA!$A13,Table_MedicalGapAgreements[[#All],[GapType]],"No gap agreement")+SUMIFS(Table_MedicalGapAgreements[[#All],[NumberofServices]],Table_MedicalGapAgreements[[#All],[Year]],TA!$B13,Table_MedicalGapAgreements[[#All],[MonthEnd]],TA!$A13,Table_MedicalGapAgreements[[#All],[GapType]],"No agreement",Table_MedicalGapAgreements[[#All],[MBSFeePercentage]],"Up to MBS Fee"))/SUMIFS(Table_MedicalGapAgreements[[#All],[NumberofServices]],Table_MedicalGapAgreements[[#All],[Year]],TA!$B13,Table_MedicalGapAgreements[[#All],[MonthEnd]],TA!$A13)</f>
        <v>0.87395833141059165</v>
      </c>
    </row>
    <row r="14" spans="1:32" ht="21" customHeight="1">
      <c r="A14" s="153" t="str">
        <f>IF(LEFT(A15,3)="Mar","Dec",IF(LEFT(A15,3)="Dec","Sep",IF(LEFT(A15,3)="Sep","Jun",IF(LEFT(A15,3)="Jun","Mar"))))</f>
        <v>Sep</v>
      </c>
      <c r="B14" s="154">
        <f>IF(A15="Mar",B15-1,B15)</f>
        <v>2024</v>
      </c>
      <c r="C14" s="155">
        <f>(SUMIFS(Table_MedicalGapAgreements[[#All],[NumberofServices]],Table_MedicalGapAgreements[[#All],[Year]],TA!$B14,Table_MedicalGapAgreements[[#All],[MonthEnd]],TA!$A14,Table_MedicalGapAgreements[[#All],[State]],TA!C$2,Table_MedicalGapAgreements[[#All],[GapType]],"No gap agreement")+SUMIFS(Table_MedicalGapAgreements[[#All],[NumberofServices]],Table_MedicalGapAgreements[[#All],[Year]],TA!$B14,Table_MedicalGapAgreements[[#All],[MonthEnd]],TA!$A14,Table_MedicalGapAgreements[[#All],[State]],TA!C$2,Table_MedicalGapAgreements[[#All],[GapType]],"No agreement",Table_MedicalGapAgreements[[#All],[MBSFeePercentage]],"Up to MBS Fee"))/SUMIFS(Table_MedicalGapAgreements[[#All],[NumberofServices]],Table_MedicalGapAgreements[[#All],[Year]],TA!$B14,Table_MedicalGapAgreements[[#All],[MonthEnd]],TA!$A14,Table_MedicalGapAgreements[[#All],[State]],TA!C$2)</f>
        <v>0.89168986902092118</v>
      </c>
      <c r="D14" s="155">
        <f>(SUMIFS(Table_MedicalGapAgreements[[#All],[NumberofServices]],Table_MedicalGapAgreements[[#All],[Year]],TA!$B14,Table_MedicalGapAgreements[[#All],[MonthEnd]],TA!$A14,Table_MedicalGapAgreements[[#All],[State]],TA!D$2,Table_MedicalGapAgreements[[#All],[GapType]],"No gap agreement")+SUMIFS(Table_MedicalGapAgreements[[#All],[NumberofServices]],Table_MedicalGapAgreements[[#All],[Year]],TA!$B14,Table_MedicalGapAgreements[[#All],[MonthEnd]],TA!$A14,Table_MedicalGapAgreements[[#All],[State]],TA!D$2,Table_MedicalGapAgreements[[#All],[GapType]],"No agreement",Table_MedicalGapAgreements[[#All],[MBSFeePercentage]],"Up to MBS Fee"))/SUMIFS(Table_MedicalGapAgreements[[#All],[NumberofServices]],Table_MedicalGapAgreements[[#All],[Year]],TA!$B14,Table_MedicalGapAgreements[[#All],[MonthEnd]],TA!$A14,Table_MedicalGapAgreements[[#All],[State]],TA!D$2)</f>
        <v>0.86836012523349737</v>
      </c>
      <c r="E14" s="155">
        <f>(SUMIFS(Table_MedicalGapAgreements[[#All],[NumberofServices]],Table_MedicalGapAgreements[[#All],[Year]],TA!$B14,Table_MedicalGapAgreements[[#All],[MonthEnd]],TA!$A14,Table_MedicalGapAgreements[[#All],[State]],TA!E$2,Table_MedicalGapAgreements[[#All],[GapType]],"No gap agreement")+SUMIFS(Table_MedicalGapAgreements[[#All],[NumberofServices]],Table_MedicalGapAgreements[[#All],[Year]],TA!$B14,Table_MedicalGapAgreements[[#All],[MonthEnd]],TA!$A14,Table_MedicalGapAgreements[[#All],[State]],TA!E$2,Table_MedicalGapAgreements[[#All],[GapType]],"No agreement",Table_MedicalGapAgreements[[#All],[MBSFeePercentage]],"Up to MBS Fee"))/SUMIFS(Table_MedicalGapAgreements[[#All],[NumberofServices]],Table_MedicalGapAgreements[[#All],[Year]],TA!$B14,Table_MedicalGapAgreements[[#All],[MonthEnd]],TA!$A14,Table_MedicalGapAgreements[[#All],[State]],TA!E$2)</f>
        <v>0.85767551104830497</v>
      </c>
      <c r="F14" s="155">
        <f>(SUMIFS(Table_MedicalGapAgreements[[#All],[NumberofServices]],Table_MedicalGapAgreements[[#All],[Year]],TA!$B14,Table_MedicalGapAgreements[[#All],[MonthEnd]],TA!$A14,Table_MedicalGapAgreements[[#All],[State]],TA!F$2,Table_MedicalGapAgreements[[#All],[GapType]],"No gap agreement")+SUMIFS(Table_MedicalGapAgreements[[#All],[NumberofServices]],Table_MedicalGapAgreements[[#All],[Year]],TA!$B14,Table_MedicalGapAgreements[[#All],[MonthEnd]],TA!$A14,Table_MedicalGapAgreements[[#All],[State]],TA!F$2,Table_MedicalGapAgreements[[#All],[GapType]],"No agreement",Table_MedicalGapAgreements[[#All],[MBSFeePercentage]],"Up to MBS Fee"))/SUMIFS(Table_MedicalGapAgreements[[#All],[NumberofServices]],Table_MedicalGapAgreements[[#All],[Year]],TA!$B14,Table_MedicalGapAgreements[[#All],[MonthEnd]],TA!$A14,Table_MedicalGapAgreements[[#All],[State]],TA!F$2)</f>
        <v>0.86548983264192869</v>
      </c>
      <c r="G14" s="155">
        <f>(SUMIFS(Table_MedicalGapAgreements[[#All],[NumberofServices]],Table_MedicalGapAgreements[[#All],[Year]],TA!$B14,Table_MedicalGapAgreements[[#All],[MonthEnd]],TA!$A14,Table_MedicalGapAgreements[[#All],[State]],TA!G$2,Table_MedicalGapAgreements[[#All],[GapType]],"No gap agreement")+SUMIFS(Table_MedicalGapAgreements[[#All],[NumberofServices]],Table_MedicalGapAgreements[[#All],[Year]],TA!$B14,Table_MedicalGapAgreements[[#All],[MonthEnd]],TA!$A14,Table_MedicalGapAgreements[[#All],[State]],TA!G$2,Table_MedicalGapAgreements[[#All],[GapType]],"No agreement",Table_MedicalGapAgreements[[#All],[MBSFeePercentage]],"Up to MBS Fee"))/SUMIFS(Table_MedicalGapAgreements[[#All],[NumberofServices]],Table_MedicalGapAgreements[[#All],[Year]],TA!$B14,Table_MedicalGapAgreements[[#All],[MonthEnd]],TA!$A14,Table_MedicalGapAgreements[[#All],[State]],TA!G$2)</f>
        <v>0.88416138848149584</v>
      </c>
      <c r="H14" s="155">
        <f>(SUMIFS(Table_MedicalGapAgreements[[#All],[NumberofServices]],Table_MedicalGapAgreements[[#All],[Year]],TA!$B14,Table_MedicalGapAgreements[[#All],[MonthEnd]],TA!$A14,Table_MedicalGapAgreements[[#All],[State]],TA!H$2,Table_MedicalGapAgreements[[#All],[GapType]],"No gap agreement")+SUMIFS(Table_MedicalGapAgreements[[#All],[NumberofServices]],Table_MedicalGapAgreements[[#All],[Year]],TA!$B14,Table_MedicalGapAgreements[[#All],[MonthEnd]],TA!$A14,Table_MedicalGapAgreements[[#All],[State]],TA!H$2,Table_MedicalGapAgreements[[#All],[GapType]],"No agreement",Table_MedicalGapAgreements[[#All],[MBSFeePercentage]],"Up to MBS Fee"))/SUMIFS(Table_MedicalGapAgreements[[#All],[NumberofServices]],Table_MedicalGapAgreements[[#All],[Year]],TA!$B14,Table_MedicalGapAgreements[[#All],[MonthEnd]],TA!$A14,Table_MedicalGapAgreements[[#All],[State]],TA!H$2)</f>
        <v>0.88302658050193983</v>
      </c>
      <c r="I14" s="155">
        <f>(SUMIFS(Table_MedicalGapAgreements[[#All],[NumberofServices]],Table_MedicalGapAgreements[[#All],[Year]],TA!$B14,Table_MedicalGapAgreements[[#All],[MonthEnd]],TA!$A14,Table_MedicalGapAgreements[[#All],[State]],TA!I$2,Table_MedicalGapAgreements[[#All],[GapType]],"No gap agreement")+SUMIFS(Table_MedicalGapAgreements[[#All],[NumberofServices]],Table_MedicalGapAgreements[[#All],[Year]],TA!$B14,Table_MedicalGapAgreements[[#All],[MonthEnd]],TA!$A14,Table_MedicalGapAgreements[[#All],[State]],TA!I$2,Table_MedicalGapAgreements[[#All],[GapType]],"No agreement",Table_MedicalGapAgreements[[#All],[MBSFeePercentage]],"Up to MBS Fee"))/SUMIFS(Table_MedicalGapAgreements[[#All],[NumberofServices]],Table_MedicalGapAgreements[[#All],[Year]],TA!$B14,Table_MedicalGapAgreements[[#All],[MonthEnd]],TA!$A14,Table_MedicalGapAgreements[[#All],[State]],TA!I$2)</f>
        <v>0.75074706016043902</v>
      </c>
      <c r="J14" s="155">
        <f>(SUMIFS(Table_MedicalGapAgreements[[#All],[NumberofServices]],Table_MedicalGapAgreements[[#All],[Year]],TA!$B14,Table_MedicalGapAgreements[[#All],[MonthEnd]],TA!$A14,Table_MedicalGapAgreements[[#All],[State]],TA!J$2,Table_MedicalGapAgreements[[#All],[GapType]],"No gap agreement")+SUMIFS(Table_MedicalGapAgreements[[#All],[NumberofServices]],Table_MedicalGapAgreements[[#All],[Year]],TA!$B14,Table_MedicalGapAgreements[[#All],[MonthEnd]],TA!$A14,Table_MedicalGapAgreements[[#All],[State]],TA!J$2,Table_MedicalGapAgreements[[#All],[GapType]],"No agreement",Table_MedicalGapAgreements[[#All],[MBSFeePercentage]],"Up to MBS Fee"))/SUMIFS(Table_MedicalGapAgreements[[#All],[NumberofServices]],Table_MedicalGapAgreements[[#All],[Year]],TA!$B14,Table_MedicalGapAgreements[[#All],[MonthEnd]],TA!$A14,Table_MedicalGapAgreements[[#All],[State]],TA!J$2)</f>
        <v>0.78412137652588088</v>
      </c>
      <c r="K14" s="156">
        <f>(SUMIFS(Table_MedicalGapAgreements[[#All],[NumberofServices]],Table_MedicalGapAgreements[[#All],[Year]],TA!$B14,Table_MedicalGapAgreements[[#All],[MonthEnd]],TA!$A14,Table_MedicalGapAgreements[[#All],[GapType]],"No gap agreement")+SUMIFS(Table_MedicalGapAgreements[[#All],[NumberofServices]],Table_MedicalGapAgreements[[#All],[Year]],TA!$B14,Table_MedicalGapAgreements[[#All],[MonthEnd]],TA!$A14,Table_MedicalGapAgreements[[#All],[GapType]],"No agreement",Table_MedicalGapAgreements[[#All],[MBSFeePercentage]],"Up to MBS Fee"))/SUMIFS(Table_MedicalGapAgreements[[#All],[NumberofServices]],Table_MedicalGapAgreements[[#All],[Year]],TA!$B14,Table_MedicalGapAgreements[[#All],[MonthEnd]],TA!$A14)</f>
        <v>0.87422878813076954</v>
      </c>
    </row>
    <row r="15" spans="1:32" ht="21" customHeight="1">
      <c r="A15" s="157" t="str">
        <f>LEFT(Selection!E15,3)</f>
        <v>Dec</v>
      </c>
      <c r="B15" s="158">
        <f>Selection!E14</f>
        <v>2024</v>
      </c>
      <c r="C15" s="155">
        <f>(SUMIFS(Table_MedicalGapAgreements[[#All],[NumberofServices]],Table_MedicalGapAgreements[[#All],[Year]],TA!$B15,Table_MedicalGapAgreements[[#All],[MonthEnd]],TA!$A15,Table_MedicalGapAgreements[[#All],[State]],TA!C$2,Table_MedicalGapAgreements[[#All],[GapType]],"No gap agreement")+SUMIFS(Table_MedicalGapAgreements[[#All],[NumberofServices]],Table_MedicalGapAgreements[[#All],[Year]],TA!$B15,Table_MedicalGapAgreements[[#All],[MonthEnd]],TA!$A15,Table_MedicalGapAgreements[[#All],[State]],TA!C$2,Table_MedicalGapAgreements[[#All],[GapType]],"No agreement",Table_MedicalGapAgreements[[#All],[MBSFeePercentage]],"Up to MBS Fee"))/SUMIFS(Table_MedicalGapAgreements[[#All],[NumberofServices]],Table_MedicalGapAgreements[[#All],[Year]],TA!$B15,Table_MedicalGapAgreements[[#All],[MonthEnd]],TA!$A15,Table_MedicalGapAgreements[[#All],[State]],TA!C$2)</f>
        <v>0.88988806007098631</v>
      </c>
      <c r="D15" s="155">
        <f>(SUMIFS(Table_MedicalGapAgreements[[#All],[NumberofServices]],Table_MedicalGapAgreements[[#All],[Year]],TA!$B15,Table_MedicalGapAgreements[[#All],[MonthEnd]],TA!$A15,Table_MedicalGapAgreements[[#All],[State]],TA!D$2,Table_MedicalGapAgreements[[#All],[GapType]],"No gap agreement")+SUMIFS(Table_MedicalGapAgreements[[#All],[NumberofServices]],Table_MedicalGapAgreements[[#All],[Year]],TA!$B15,Table_MedicalGapAgreements[[#All],[MonthEnd]],TA!$A15,Table_MedicalGapAgreements[[#All],[State]],TA!D$2,Table_MedicalGapAgreements[[#All],[GapType]],"No agreement",Table_MedicalGapAgreements[[#All],[MBSFeePercentage]],"Up to MBS Fee"))/SUMIFS(Table_MedicalGapAgreements[[#All],[NumberofServices]],Table_MedicalGapAgreements[[#All],[Year]],TA!$B15,Table_MedicalGapAgreements[[#All],[MonthEnd]],TA!$A15,Table_MedicalGapAgreements[[#All],[State]],TA!D$2)</f>
        <v>0.8677006518496575</v>
      </c>
      <c r="E15" s="155">
        <f>(SUMIFS(Table_MedicalGapAgreements[[#All],[NumberofServices]],Table_MedicalGapAgreements[[#All],[Year]],TA!$B15,Table_MedicalGapAgreements[[#All],[MonthEnd]],TA!$A15,Table_MedicalGapAgreements[[#All],[State]],TA!E$2,Table_MedicalGapAgreements[[#All],[GapType]],"No gap agreement")+SUMIFS(Table_MedicalGapAgreements[[#All],[NumberofServices]],Table_MedicalGapAgreements[[#All],[Year]],TA!$B15,Table_MedicalGapAgreements[[#All],[MonthEnd]],TA!$A15,Table_MedicalGapAgreements[[#All],[State]],TA!E$2,Table_MedicalGapAgreements[[#All],[GapType]],"No agreement",Table_MedicalGapAgreements[[#All],[MBSFeePercentage]],"Up to MBS Fee"))/SUMIFS(Table_MedicalGapAgreements[[#All],[NumberofServices]],Table_MedicalGapAgreements[[#All],[Year]],TA!$B15,Table_MedicalGapAgreements[[#All],[MonthEnd]],TA!$A15,Table_MedicalGapAgreements[[#All],[State]],TA!E$2)</f>
        <v>0.8592561375342832</v>
      </c>
      <c r="F15" s="155">
        <f>(SUMIFS(Table_MedicalGapAgreements[[#All],[NumberofServices]],Table_MedicalGapAgreements[[#All],[Year]],TA!$B15,Table_MedicalGapAgreements[[#All],[MonthEnd]],TA!$A15,Table_MedicalGapAgreements[[#All],[State]],TA!F$2,Table_MedicalGapAgreements[[#All],[GapType]],"No gap agreement")+SUMIFS(Table_MedicalGapAgreements[[#All],[NumberofServices]],Table_MedicalGapAgreements[[#All],[Year]],TA!$B15,Table_MedicalGapAgreements[[#All],[MonthEnd]],TA!$A15,Table_MedicalGapAgreements[[#All],[State]],TA!F$2,Table_MedicalGapAgreements[[#All],[GapType]],"No agreement",Table_MedicalGapAgreements[[#All],[MBSFeePercentage]],"Up to MBS Fee"))/SUMIFS(Table_MedicalGapAgreements[[#All],[NumberofServices]],Table_MedicalGapAgreements[[#All],[Year]],TA!$B15,Table_MedicalGapAgreements[[#All],[MonthEnd]],TA!$A15,Table_MedicalGapAgreements[[#All],[State]],TA!F$2)</f>
        <v>0.86767596126220725</v>
      </c>
      <c r="G15" s="155">
        <f>(SUMIFS(Table_MedicalGapAgreements[[#All],[NumberofServices]],Table_MedicalGapAgreements[[#All],[Year]],TA!$B15,Table_MedicalGapAgreements[[#All],[MonthEnd]],TA!$A15,Table_MedicalGapAgreements[[#All],[State]],TA!G$2,Table_MedicalGapAgreements[[#All],[GapType]],"No gap agreement")+SUMIFS(Table_MedicalGapAgreements[[#All],[NumberofServices]],Table_MedicalGapAgreements[[#All],[Year]],TA!$B15,Table_MedicalGapAgreements[[#All],[MonthEnd]],TA!$A15,Table_MedicalGapAgreements[[#All],[State]],TA!G$2,Table_MedicalGapAgreements[[#All],[GapType]],"No agreement",Table_MedicalGapAgreements[[#All],[MBSFeePercentage]],"Up to MBS Fee"))/SUMIFS(Table_MedicalGapAgreements[[#All],[NumberofServices]],Table_MedicalGapAgreements[[#All],[Year]],TA!$B15,Table_MedicalGapAgreements[[#All],[MonthEnd]],TA!$A15,Table_MedicalGapAgreements[[#All],[State]],TA!G$2)</f>
        <v>0.88355509882813854</v>
      </c>
      <c r="H15" s="155">
        <f>(SUMIFS(Table_MedicalGapAgreements[[#All],[NumberofServices]],Table_MedicalGapAgreements[[#All],[Year]],TA!$B15,Table_MedicalGapAgreements[[#All],[MonthEnd]],TA!$A15,Table_MedicalGapAgreements[[#All],[State]],TA!H$2,Table_MedicalGapAgreements[[#All],[GapType]],"No gap agreement")+SUMIFS(Table_MedicalGapAgreements[[#All],[NumberofServices]],Table_MedicalGapAgreements[[#All],[Year]],TA!$B15,Table_MedicalGapAgreements[[#All],[MonthEnd]],TA!$A15,Table_MedicalGapAgreements[[#All],[State]],TA!H$2,Table_MedicalGapAgreements[[#All],[GapType]],"No agreement",Table_MedicalGapAgreements[[#All],[MBSFeePercentage]],"Up to MBS Fee"))/SUMIFS(Table_MedicalGapAgreements[[#All],[NumberofServices]],Table_MedicalGapAgreements[[#All],[Year]],TA!$B15,Table_MedicalGapAgreements[[#All],[MonthEnd]],TA!$A15,Table_MedicalGapAgreements[[#All],[State]],TA!H$2)</f>
        <v>0.88158408437305824</v>
      </c>
      <c r="I15" s="155">
        <f>(SUMIFS(Table_MedicalGapAgreements[[#All],[NumberofServices]],Table_MedicalGapAgreements[[#All],[Year]],TA!$B15,Table_MedicalGapAgreements[[#All],[MonthEnd]],TA!$A15,Table_MedicalGapAgreements[[#All],[State]],TA!I$2,Table_MedicalGapAgreements[[#All],[GapType]],"No gap agreement")+SUMIFS(Table_MedicalGapAgreements[[#All],[NumberofServices]],Table_MedicalGapAgreements[[#All],[Year]],TA!$B15,Table_MedicalGapAgreements[[#All],[MonthEnd]],TA!$A15,Table_MedicalGapAgreements[[#All],[State]],TA!I$2,Table_MedicalGapAgreements[[#All],[GapType]],"No agreement",Table_MedicalGapAgreements[[#All],[MBSFeePercentage]],"Up to MBS Fee"))/SUMIFS(Table_MedicalGapAgreements[[#All],[NumberofServices]],Table_MedicalGapAgreements[[#All],[Year]],TA!$B15,Table_MedicalGapAgreements[[#All],[MonthEnd]],TA!$A15,Table_MedicalGapAgreements[[#All],[State]],TA!I$2)</f>
        <v>0.75949389286872959</v>
      </c>
      <c r="J15" s="155">
        <f>(SUMIFS(Table_MedicalGapAgreements[[#All],[NumberofServices]],Table_MedicalGapAgreements[[#All],[Year]],TA!$B15,Table_MedicalGapAgreements[[#All],[MonthEnd]],TA!$A15,Table_MedicalGapAgreements[[#All],[State]],TA!J$2,Table_MedicalGapAgreements[[#All],[GapType]],"No gap agreement")+SUMIFS(Table_MedicalGapAgreements[[#All],[NumberofServices]],Table_MedicalGapAgreements[[#All],[Year]],TA!$B15,Table_MedicalGapAgreements[[#All],[MonthEnd]],TA!$A15,Table_MedicalGapAgreements[[#All],[State]],TA!J$2,Table_MedicalGapAgreements[[#All],[GapType]],"No agreement",Table_MedicalGapAgreements[[#All],[MBSFeePercentage]],"Up to MBS Fee"))/SUMIFS(Table_MedicalGapAgreements[[#All],[NumberofServices]],Table_MedicalGapAgreements[[#All],[Year]],TA!$B15,Table_MedicalGapAgreements[[#All],[MonthEnd]],TA!$A15,Table_MedicalGapAgreements[[#All],[State]],TA!J$2)</f>
        <v>0.7891337156655599</v>
      </c>
      <c r="K15" s="156">
        <f>(SUMIFS(Table_MedicalGapAgreements[[#All],[NumberofServices]],Table_MedicalGapAgreements[[#All],[Year]],TA!$B15,Table_MedicalGapAgreements[[#All],[MonthEnd]],TA!$A15,Table_MedicalGapAgreements[[#All],[GapType]],"No gap agreement")+SUMIFS(Table_MedicalGapAgreements[[#All],[NumberofServices]],Table_MedicalGapAgreements[[#All],[Year]],TA!$B15,Table_MedicalGapAgreements[[#All],[MonthEnd]],TA!$A15,Table_MedicalGapAgreements[[#All],[GapType]],"No agreement",Table_MedicalGapAgreements[[#All],[MBSFeePercentage]],"Up to MBS Fee"))/SUMIFS(Table_MedicalGapAgreements[[#All],[NumberofServices]],Table_MedicalGapAgreements[[#All],[Year]],TA!$B15,Table_MedicalGapAgreements[[#All],[MonthEnd]],TA!$A15)</f>
        <v>0.87375608419207351</v>
      </c>
    </row>
    <row r="16" spans="1:32" s="23" customFormat="1" ht="25.15" customHeight="1">
      <c r="A16" s="1" t="s">
        <v>29</v>
      </c>
      <c r="B16" s="1"/>
      <c r="C16" s="173" t="s">
        <v>20</v>
      </c>
      <c r="D16" s="173" t="s">
        <v>21</v>
      </c>
      <c r="E16" s="173" t="s">
        <v>22</v>
      </c>
      <c r="F16" s="173" t="s">
        <v>23</v>
      </c>
      <c r="G16" s="173" t="s">
        <v>24</v>
      </c>
      <c r="H16" s="173" t="s">
        <v>25</v>
      </c>
      <c r="I16" s="173" t="s">
        <v>26</v>
      </c>
      <c r="J16" s="173" t="s">
        <v>27</v>
      </c>
      <c r="K16" s="173" t="s">
        <v>28</v>
      </c>
      <c r="L16" s="22"/>
      <c r="M16" s="22"/>
      <c r="N16" s="22"/>
      <c r="O16" s="22"/>
      <c r="P16" s="22"/>
      <c r="Q16" s="22"/>
      <c r="R16" s="22"/>
      <c r="S16" s="22"/>
      <c r="T16" s="22"/>
      <c r="U16" s="22"/>
      <c r="V16" s="22"/>
      <c r="W16" s="22"/>
      <c r="X16" s="22"/>
      <c r="Y16" s="22"/>
      <c r="Z16" s="22"/>
      <c r="AA16" s="22"/>
      <c r="AB16" s="22"/>
      <c r="AC16" s="22"/>
      <c r="AD16" s="22"/>
      <c r="AE16" s="22"/>
      <c r="AF16" s="22"/>
    </row>
    <row r="17" spans="1:11" ht="24" customHeight="1">
      <c r="A17" s="226" t="str">
        <f t="shared" ref="A17:A24" si="2">"From "&amp;A7&amp;" "&amp;B7&amp;" to "&amp;A8&amp;" "&amp;B8</f>
        <v>From Dec 2022 to Mar 2023</v>
      </c>
      <c r="B17" s="227"/>
      <c r="C17" s="159">
        <f t="shared" ref="C17:K24" si="3">C8-C7</f>
        <v>8.2845553655187532E-3</v>
      </c>
      <c r="D17" s="159">
        <f t="shared" si="3"/>
        <v>5.071876492816374E-3</v>
      </c>
      <c r="E17" s="159">
        <f t="shared" si="3"/>
        <v>8.6555184367731464E-5</v>
      </c>
      <c r="F17" s="159">
        <f t="shared" si="3"/>
        <v>1.2293807964767201E-3</v>
      </c>
      <c r="G17" s="159">
        <f t="shared" si="3"/>
        <v>3.4966561688939413E-3</v>
      </c>
      <c r="H17" s="159">
        <f t="shared" si="3"/>
        <v>9.4500395807487481E-3</v>
      </c>
      <c r="I17" s="159">
        <f t="shared" si="3"/>
        <v>-7.9513147773494497E-3</v>
      </c>
      <c r="J17" s="159">
        <f t="shared" si="3"/>
        <v>-7.4323795507951207E-3</v>
      </c>
      <c r="K17" s="160">
        <f t="shared" si="3"/>
        <v>4.7157560894454109E-3</v>
      </c>
    </row>
    <row r="18" spans="1:11" ht="24" customHeight="1">
      <c r="A18" s="226" t="str">
        <f t="shared" si="2"/>
        <v>From Mar 2023 to Jun 2023</v>
      </c>
      <c r="B18" s="227"/>
      <c r="C18" s="159">
        <f t="shared" si="3"/>
        <v>-3.1148872910318204E-3</v>
      </c>
      <c r="D18" s="159">
        <f t="shared" si="3"/>
        <v>2.2760476760002035E-3</v>
      </c>
      <c r="E18" s="159">
        <f t="shared" si="3"/>
        <v>-3.9366078207653254E-3</v>
      </c>
      <c r="F18" s="159">
        <f t="shared" si="3"/>
        <v>3.6379435210318611E-3</v>
      </c>
      <c r="G18" s="159">
        <f t="shared" si="3"/>
        <v>-3.7063088567823588E-3</v>
      </c>
      <c r="H18" s="159">
        <f t="shared" si="3"/>
        <v>1.4535588233426378E-3</v>
      </c>
      <c r="I18" s="159">
        <f t="shared" si="3"/>
        <v>2.8684959165514723E-4</v>
      </c>
      <c r="J18" s="159">
        <f t="shared" si="3"/>
        <v>1.790583453960104E-3</v>
      </c>
      <c r="K18" s="160">
        <f t="shared" si="3"/>
        <v>-1.4695461150808775E-3</v>
      </c>
    </row>
    <row r="19" spans="1:11" ht="24" customHeight="1">
      <c r="A19" s="226" t="str">
        <f t="shared" si="2"/>
        <v>From Jun 2023 to Sep 2023</v>
      </c>
      <c r="B19" s="227"/>
      <c r="C19" s="159">
        <f t="shared" si="3"/>
        <v>-5.5795154424946869E-3</v>
      </c>
      <c r="D19" s="159">
        <f t="shared" si="3"/>
        <v>-2.0018007796123172E-3</v>
      </c>
      <c r="E19" s="159">
        <f t="shared" si="3"/>
        <v>-1.099800065569545E-2</v>
      </c>
      <c r="F19" s="159">
        <f t="shared" si="3"/>
        <v>-1.1576935381086395E-2</v>
      </c>
      <c r="G19" s="159">
        <f t="shared" si="3"/>
        <v>-4.6063645840260792E-3</v>
      </c>
      <c r="H19" s="159">
        <f t="shared" si="3"/>
        <v>-1.2702484682258541E-2</v>
      </c>
      <c r="I19" s="159">
        <f t="shared" si="3"/>
        <v>1.645401581944872E-2</v>
      </c>
      <c r="J19" s="159">
        <f t="shared" si="3"/>
        <v>1.7472230989385995E-3</v>
      </c>
      <c r="K19" s="160">
        <f t="shared" si="3"/>
        <v>-6.0961731293194266E-3</v>
      </c>
    </row>
    <row r="20" spans="1:11" ht="24" customHeight="1">
      <c r="A20" s="226" t="str">
        <f t="shared" si="2"/>
        <v>From Sep 2023 to Dec 2023</v>
      </c>
      <c r="B20" s="227"/>
      <c r="C20" s="159">
        <f t="shared" si="3"/>
        <v>-2.8055233550972059E-4</v>
      </c>
      <c r="D20" s="159">
        <f t="shared" si="3"/>
        <v>-8.8773418858003605E-3</v>
      </c>
      <c r="E20" s="159">
        <f t="shared" si="3"/>
        <v>5.1740462165961176E-4</v>
      </c>
      <c r="F20" s="159">
        <f t="shared" si="3"/>
        <v>-4.1652655059642996E-3</v>
      </c>
      <c r="G20" s="159">
        <f t="shared" si="3"/>
        <v>-6.140889666972793E-3</v>
      </c>
      <c r="H20" s="159">
        <f t="shared" si="3"/>
        <v>-2.6364284461761756E-3</v>
      </c>
      <c r="I20" s="159">
        <f t="shared" si="3"/>
        <v>-2.6315270905946431E-2</v>
      </c>
      <c r="J20" s="159">
        <f t="shared" si="3"/>
        <v>3.8448712793848205E-4</v>
      </c>
      <c r="K20" s="160">
        <f t="shared" si="3"/>
        <v>-3.3192793602158099E-3</v>
      </c>
    </row>
    <row r="21" spans="1:11" ht="24" customHeight="1">
      <c r="A21" s="226" t="str">
        <f t="shared" si="2"/>
        <v>From Dec 2023 to Mar 2024</v>
      </c>
      <c r="B21" s="227"/>
      <c r="C21" s="159">
        <f t="shared" si="3"/>
        <v>6.7610773709585459E-3</v>
      </c>
      <c r="D21" s="159">
        <f t="shared" si="3"/>
        <v>1.866330007426753E-3</v>
      </c>
      <c r="E21" s="159">
        <f t="shared" si="3"/>
        <v>2.1612413170194578E-2</v>
      </c>
      <c r="F21" s="159">
        <f t="shared" si="3"/>
        <v>-6.5038812731899043E-4</v>
      </c>
      <c r="G21" s="159">
        <f t="shared" si="3"/>
        <v>6.8983621775409176E-4</v>
      </c>
      <c r="H21" s="159">
        <f t="shared" si="3"/>
        <v>1.2444397700540066E-2</v>
      </c>
      <c r="I21" s="159">
        <f t="shared" si="3"/>
        <v>2.8107083247742248E-2</v>
      </c>
      <c r="J21" s="159">
        <f t="shared" si="3"/>
        <v>-5.2510572479624096E-2</v>
      </c>
      <c r="K21" s="160">
        <f t="shared" si="3"/>
        <v>7.725466620331134E-3</v>
      </c>
    </row>
    <row r="22" spans="1:11" ht="24" customHeight="1">
      <c r="A22" s="226" t="str">
        <f t="shared" si="2"/>
        <v>From Mar 2024 to Jun 2024</v>
      </c>
      <c r="B22" s="227"/>
      <c r="C22" s="159">
        <f t="shared" si="3"/>
        <v>-5.3574577988333427E-3</v>
      </c>
      <c r="D22" s="159">
        <f t="shared" si="3"/>
        <v>2.3503934420289196E-3</v>
      </c>
      <c r="E22" s="159">
        <f t="shared" si="3"/>
        <v>-2.8017999441725339E-2</v>
      </c>
      <c r="F22" s="159">
        <f t="shared" si="3"/>
        <v>-4.0499214402055506E-3</v>
      </c>
      <c r="G22" s="159">
        <f t="shared" si="3"/>
        <v>-7.758009229182794E-3</v>
      </c>
      <c r="H22" s="159">
        <f t="shared" si="3"/>
        <v>-2.5757776400860743E-2</v>
      </c>
      <c r="I22" s="159">
        <f t="shared" si="3"/>
        <v>-6.3757469970807668E-3</v>
      </c>
      <c r="J22" s="159">
        <f t="shared" si="3"/>
        <v>-1.5255151172361203E-2</v>
      </c>
      <c r="K22" s="160">
        <f t="shared" si="3"/>
        <v>-8.7741548727622298E-3</v>
      </c>
    </row>
    <row r="23" spans="1:11" ht="24" customHeight="1">
      <c r="A23" s="226" t="str">
        <f t="shared" si="2"/>
        <v>From Jun 2024 to Sep 2024</v>
      </c>
      <c r="B23" s="227"/>
      <c r="C23" s="159">
        <f t="shared" si="3"/>
        <v>5.4624799701719073E-4</v>
      </c>
      <c r="D23" s="159">
        <f t="shared" si="3"/>
        <v>-2.0656004930305061E-3</v>
      </c>
      <c r="E23" s="159">
        <f t="shared" si="3"/>
        <v>4.2257231859987865E-4</v>
      </c>
      <c r="F23" s="159">
        <f t="shared" si="3"/>
        <v>-7.1280183533881658E-3</v>
      </c>
      <c r="G23" s="159">
        <f t="shared" si="3"/>
        <v>1.3479999770356521E-2</v>
      </c>
      <c r="H23" s="159">
        <f t="shared" si="3"/>
        <v>-7.1298193261195575E-3</v>
      </c>
      <c r="I23" s="159">
        <f t="shared" si="3"/>
        <v>-1.2759610231402818E-2</v>
      </c>
      <c r="J23" s="159">
        <f t="shared" si="3"/>
        <v>-1.4391634626535477E-2</v>
      </c>
      <c r="K23" s="160">
        <f t="shared" si="3"/>
        <v>2.704567201778918E-4</v>
      </c>
    </row>
    <row r="24" spans="1:11" ht="24" customHeight="1">
      <c r="A24" s="226" t="str">
        <f t="shared" si="2"/>
        <v>From Sep 2024 to Dec 2024</v>
      </c>
      <c r="B24" s="227"/>
      <c r="C24" s="159">
        <f t="shared" si="3"/>
        <v>-1.8018089499348688E-3</v>
      </c>
      <c r="D24" s="159">
        <f t="shared" si="3"/>
        <v>-6.5947338383987031E-4</v>
      </c>
      <c r="E24" s="159">
        <f t="shared" si="3"/>
        <v>1.5806264859782315E-3</v>
      </c>
      <c r="F24" s="159">
        <f t="shared" si="3"/>
        <v>2.1861286202785601E-3</v>
      </c>
      <c r="G24" s="159">
        <f t="shared" si="3"/>
        <v>-6.0628965335729479E-4</v>
      </c>
      <c r="H24" s="159">
        <f t="shared" si="3"/>
        <v>-1.4424961288815874E-3</v>
      </c>
      <c r="I24" s="159">
        <f t="shared" si="3"/>
        <v>8.746832708290575E-3</v>
      </c>
      <c r="J24" s="159">
        <f t="shared" si="3"/>
        <v>5.0123391396790229E-3</v>
      </c>
      <c r="K24" s="160">
        <f t="shared" si="3"/>
        <v>-4.7270393869602856E-4</v>
      </c>
    </row>
    <row r="25" spans="1:11">
      <c r="A25" s="161" t="s">
        <v>30</v>
      </c>
      <c r="C25" s="24"/>
      <c r="D25" s="25"/>
      <c r="E25" s="25"/>
      <c r="F25" s="25"/>
      <c r="G25" s="25"/>
      <c r="H25" s="25"/>
      <c r="I25" s="25"/>
      <c r="J25" s="25"/>
      <c r="K25" s="26"/>
    </row>
    <row r="26" spans="1:11">
      <c r="A26" s="161" t="s">
        <v>31</v>
      </c>
      <c r="C26" s="24"/>
      <c r="D26" s="25"/>
      <c r="E26" s="25"/>
      <c r="F26" s="25"/>
      <c r="G26" s="25"/>
      <c r="H26" s="25"/>
      <c r="I26" s="25"/>
      <c r="J26" s="25"/>
      <c r="K26" s="26"/>
    </row>
  </sheetData>
  <mergeCells count="9">
    <mergeCell ref="A21:B21"/>
    <mergeCell ref="A22:B22"/>
    <mergeCell ref="A23:B23"/>
    <mergeCell ref="A24:B24"/>
    <mergeCell ref="A1:J1"/>
    <mergeCell ref="A17:B17"/>
    <mergeCell ref="A18:B18"/>
    <mergeCell ref="A19:B19"/>
    <mergeCell ref="A20:B20"/>
  </mergeCells>
  <pageMargins left="0.70866141732283472" right="0.70866141732283472" top="0.74803149606299213" bottom="0.74803149606299213" header="0.31496062992125984" footer="0.31496062992125984"/>
  <pageSetup paperSize="9" scale="59" orientation="portrait" r:id="rId1"/>
  <headerFooter>
    <oddFooter>&amp;LAustralian Prudential Regulation Authority&amp;R&amp;P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EAE1D-8022-4990-9FA0-728C05465B2C}">
  <sheetPr>
    <pageSetUpPr fitToPage="1"/>
  </sheetPr>
  <dimension ref="A1:AG39"/>
  <sheetViews>
    <sheetView showGridLines="0" topLeftCell="A11" zoomScaleNormal="100" zoomScaleSheetLayoutView="100" workbookViewId="0">
      <selection activeCell="L6" sqref="L6"/>
    </sheetView>
  </sheetViews>
  <sheetFormatPr defaultColWidth="8.3125" defaultRowHeight="13.15"/>
  <cols>
    <col min="1" max="1" width="8.6875" style="33" customWidth="1"/>
    <col min="2" max="2" width="41.9375" style="33" customWidth="1"/>
    <col min="3" max="3" width="9.5" style="34" customWidth="1"/>
    <col min="4" max="5" width="7.875" style="35" customWidth="1"/>
    <col min="6" max="6" width="9.625" style="35" bestFit="1" customWidth="1"/>
    <col min="7" max="10" width="7.875" style="35" customWidth="1"/>
    <col min="11" max="11" width="7.875" style="36" customWidth="1"/>
    <col min="12" max="12" width="8.3125" style="22"/>
    <col min="13" max="14" width="9.375" style="22" bestFit="1" customWidth="1"/>
    <col min="15" max="15" width="8.3125" style="22"/>
    <col min="16" max="17" width="9.375" style="22" bestFit="1" customWidth="1"/>
    <col min="18" max="16384" width="8.3125" style="22"/>
  </cols>
  <sheetData>
    <row r="1" spans="1:33" ht="33.75" customHeight="1">
      <c r="A1" s="228" t="str">
        <f>"Table B: Summary of in-hospital medical services with no gaps "&amp;A3&amp;" to "&amp;A23</f>
        <v>Table B: Summary of in-hospital medical services with no gaps Dec 2023 to Dec 2024</v>
      </c>
      <c r="B1" s="228"/>
      <c r="C1" s="228"/>
      <c r="D1" s="228"/>
      <c r="E1" s="228"/>
      <c r="F1" s="228"/>
      <c r="G1" s="228"/>
      <c r="H1" s="228"/>
      <c r="I1" s="228"/>
      <c r="J1" s="228"/>
      <c r="K1" s="22"/>
    </row>
    <row r="2" spans="1:33" s="23" customFormat="1" ht="25.15" customHeight="1" thickBot="1">
      <c r="A2" s="1"/>
      <c r="B2" s="1"/>
      <c r="C2" s="173" t="s">
        <v>20</v>
      </c>
      <c r="D2" s="173" t="s">
        <v>21</v>
      </c>
      <c r="E2" s="173" t="s">
        <v>22</v>
      </c>
      <c r="F2" s="173" t="s">
        <v>23</v>
      </c>
      <c r="G2" s="173" t="s">
        <v>24</v>
      </c>
      <c r="H2" s="173" t="s">
        <v>25</v>
      </c>
      <c r="I2" s="173" t="s">
        <v>26</v>
      </c>
      <c r="J2" s="173" t="s">
        <v>27</v>
      </c>
      <c r="K2" s="173" t="s">
        <v>28</v>
      </c>
      <c r="M2" s="22"/>
      <c r="N2" s="22"/>
      <c r="O2" s="22"/>
      <c r="P2" s="22"/>
      <c r="Q2" s="22"/>
      <c r="R2" s="22"/>
      <c r="S2" s="22"/>
      <c r="T2" s="22"/>
      <c r="U2" s="22"/>
      <c r="V2" s="22"/>
      <c r="W2" s="22"/>
      <c r="X2" s="22"/>
      <c r="Y2" s="22"/>
      <c r="Z2" s="22"/>
      <c r="AA2" s="22"/>
      <c r="AB2" s="22"/>
      <c r="AC2" s="22"/>
      <c r="AD2" s="22"/>
      <c r="AE2" s="22"/>
      <c r="AF2" s="22"/>
      <c r="AG2" s="22"/>
    </row>
    <row r="3" spans="1:33" s="31" customFormat="1" ht="29.1" customHeight="1">
      <c r="A3" s="229" t="str">
        <f>TA!A11&amp;" "&amp;TA!B11</f>
        <v>Dec 2023</v>
      </c>
      <c r="B3" s="162" t="s">
        <v>19</v>
      </c>
      <c r="C3" s="163">
        <f>(SUMIFS(Table_MedicalGapAgreements[[#All],[NumberofServices]],Table_MedicalGapAgreements[[#All],[Year]],TA!$B11,Table_MedicalGapAgreements[[#All],[MonthEnd]],TA!$A11&amp;"*",Table_MedicalGapAgreements[[#All],[State]],TA!C$2,Table_MedicalGapAgreements[[#All],[GapType]],"No gap agreement*")+SUMIFS(Table_MedicalGapAgreements[[#All],[NumberofServices]],Table_MedicalGapAgreements[[#All],[Year]],TA!$B11,Table_MedicalGapAgreements[[#All],[MonthEnd]],TA!$A11&amp;"*",Table_MedicalGapAgreements[[#All],[State]],TA!C$2,Table_MedicalGapAgreements[[#All],[GapType]],"No agreement*",Table_MedicalGapAgreements[[#All],[MBSFeePercentage]],"Up to MBS*"))/SUMIFS(Table_MedicalGapAgreements[[#All],[NumberofServices]],Table_MedicalGapAgreements[[#All],[Year]],TA!$B11,Table_MedicalGapAgreements[[#All],[MonthEnd]],TA!$A11&amp;"*",Table_MedicalGapAgreements[[#All],[State]],TA!C$2)</f>
        <v>0.88974000145177878</v>
      </c>
      <c r="D3" s="163">
        <f>(SUMIFS(Table_MedicalGapAgreements[[#All],[NumberofServices]],Table_MedicalGapAgreements[[#All],[Year]],TA!$B11,Table_MedicalGapAgreements[[#All],[MonthEnd]],TA!$A11&amp;"*",Table_MedicalGapAgreements[[#All],[State]],TA!D$2,Table_MedicalGapAgreements[[#All],[GapType]],"No gap agreement*")+SUMIFS(Table_MedicalGapAgreements[[#All],[NumberofServices]],Table_MedicalGapAgreements[[#All],[Year]],TA!$B11,Table_MedicalGapAgreements[[#All],[MonthEnd]],TA!$A11&amp;"*",Table_MedicalGapAgreements[[#All],[State]],TA!D$2,Table_MedicalGapAgreements[[#All],[GapType]],"No agreement*",Table_MedicalGapAgreements[[#All],[MBSFeePercentage]],"Up to MBS*"))/SUMIFS(Table_MedicalGapAgreements[[#All],[NumberofServices]],Table_MedicalGapAgreements[[#All],[Year]],TA!$B11,Table_MedicalGapAgreements[[#All],[MonthEnd]],TA!$A11&amp;"*",Table_MedicalGapAgreements[[#All],[State]],TA!D$2)</f>
        <v>0.8662090022770722</v>
      </c>
      <c r="E3" s="163">
        <f>(SUMIFS(Table_MedicalGapAgreements[[#All],[NumberofServices]],Table_MedicalGapAgreements[[#All],[Year]],TA!$B11,Table_MedicalGapAgreements[[#All],[MonthEnd]],TA!$A11&amp;"*",Table_MedicalGapAgreements[[#All],[State]],TA!E$2,Table_MedicalGapAgreements[[#All],[GapType]],"No gap agreement*")+SUMIFS(Table_MedicalGapAgreements[[#All],[NumberofServices]],Table_MedicalGapAgreements[[#All],[Year]],TA!$B11,Table_MedicalGapAgreements[[#All],[MonthEnd]],TA!$A11&amp;"*",Table_MedicalGapAgreements[[#All],[State]],TA!E$2,Table_MedicalGapAgreements[[#All],[GapType]],"No agreement*",Table_MedicalGapAgreements[[#All],[MBSFeePercentage]],"Up to MBS*"))/SUMIFS(Table_MedicalGapAgreements[[#All],[NumberofServices]],Table_MedicalGapAgreements[[#All],[Year]],TA!$B11,Table_MedicalGapAgreements[[#All],[MonthEnd]],TA!$A11&amp;"*",Table_MedicalGapAgreements[[#All],[State]],TA!E$2)</f>
        <v>0.86365852500123586</v>
      </c>
      <c r="F3" s="163">
        <f>(SUMIFS(Table_MedicalGapAgreements[[#All],[NumberofServices]],Table_MedicalGapAgreements[[#All],[Year]],TA!$B11,Table_MedicalGapAgreements[[#All],[MonthEnd]],TA!$A11&amp;"*",Table_MedicalGapAgreements[[#All],[State]],TA!F$2,Table_MedicalGapAgreements[[#All],[GapType]],"No gap agreement*")+SUMIFS(Table_MedicalGapAgreements[[#All],[NumberofServices]],Table_MedicalGapAgreements[[#All],[Year]],TA!$B11,Table_MedicalGapAgreements[[#All],[MonthEnd]],TA!$A11&amp;"*",Table_MedicalGapAgreements[[#All],[State]],TA!F$2,Table_MedicalGapAgreements[[#All],[GapType]],"No agreement*",Table_MedicalGapAgreements[[#All],[MBSFeePercentage]],"Up to MBS*"))/SUMIFS(Table_MedicalGapAgreements[[#All],[NumberofServices]],Table_MedicalGapAgreements[[#All],[Year]],TA!$B11,Table_MedicalGapAgreements[[#All],[MonthEnd]],TA!$A11&amp;"*",Table_MedicalGapAgreements[[#All],[State]],TA!F$2)</f>
        <v>0.8773181605628414</v>
      </c>
      <c r="G3" s="163">
        <f>(SUMIFS(Table_MedicalGapAgreements[[#All],[NumberofServices]],Table_MedicalGapAgreements[[#All],[Year]],TA!$B11,Table_MedicalGapAgreements[[#All],[MonthEnd]],TA!$A11&amp;"*",Table_MedicalGapAgreements[[#All],[State]],TA!G$2,Table_MedicalGapAgreements[[#All],[GapType]],"No gap agreement*")+SUMIFS(Table_MedicalGapAgreements[[#All],[NumberofServices]],Table_MedicalGapAgreements[[#All],[Year]],TA!$B11,Table_MedicalGapAgreements[[#All],[MonthEnd]],TA!$A11&amp;"*",Table_MedicalGapAgreements[[#All],[State]],TA!G$2,Table_MedicalGapAgreements[[#All],[GapType]],"No agreement*",Table_MedicalGapAgreements[[#All],[MBSFeePercentage]],"Up to MBS*"))/SUMIFS(Table_MedicalGapAgreements[[#All],[NumberofServices]],Table_MedicalGapAgreements[[#All],[Year]],TA!$B11,Table_MedicalGapAgreements[[#All],[MonthEnd]],TA!$A11&amp;"*",Table_MedicalGapAgreements[[#All],[State]],TA!G$2)</f>
        <v>0.87774956172256802</v>
      </c>
      <c r="H3" s="163">
        <f>(SUMIFS(Table_MedicalGapAgreements[[#All],[NumberofServices]],Table_MedicalGapAgreements[[#All],[Year]],TA!$B11,Table_MedicalGapAgreements[[#All],[MonthEnd]],TA!$A11&amp;"*",Table_MedicalGapAgreements[[#All],[State]],TA!H$2,Table_MedicalGapAgreements[[#All],[GapType]],"No gap agreement*")+SUMIFS(Table_MedicalGapAgreements[[#All],[NumberofServices]],Table_MedicalGapAgreements[[#All],[Year]],TA!$B11,Table_MedicalGapAgreements[[#All],[MonthEnd]],TA!$A11&amp;"*",Table_MedicalGapAgreements[[#All],[State]],TA!H$2,Table_MedicalGapAgreements[[#All],[GapType]],"No agreement*",Table_MedicalGapAgreements[[#All],[MBSFeePercentage]],"Up to MBS*"))/SUMIFS(Table_MedicalGapAgreements[[#All],[NumberofServices]],Table_MedicalGapAgreements[[#All],[Year]],TA!$B11,Table_MedicalGapAgreements[[#All],[MonthEnd]],TA!$A11&amp;"*",Table_MedicalGapAgreements[[#All],[State]],TA!H$2)</f>
        <v>0.90346977852838006</v>
      </c>
      <c r="I3" s="163">
        <f>(SUMIFS(Table_MedicalGapAgreements[[#All],[NumberofServices]],Table_MedicalGapAgreements[[#All],[Year]],TA!$B11,Table_MedicalGapAgreements[[#All],[MonthEnd]],TA!$A11&amp;"*",Table_MedicalGapAgreements[[#All],[State]],TA!I$2,Table_MedicalGapAgreements[[#All],[GapType]],"No gap agreement*")+SUMIFS(Table_MedicalGapAgreements[[#All],[NumberofServices]],Table_MedicalGapAgreements[[#All],[Year]],TA!$B11,Table_MedicalGapAgreements[[#All],[MonthEnd]],TA!$A11&amp;"*",Table_MedicalGapAgreements[[#All],[State]],TA!I$2,Table_MedicalGapAgreements[[#All],[GapType]],"No agreement*",Table_MedicalGapAgreements[[#All],[MBSFeePercentage]],"Up to MBS*"))/SUMIFS(Table_MedicalGapAgreements[[#All],[NumberofServices]],Table_MedicalGapAgreements[[#All],[Year]],TA!$B11,Table_MedicalGapAgreements[[#All],[MonthEnd]],TA!$A11&amp;"*",Table_MedicalGapAgreements[[#All],[State]],TA!I$2)</f>
        <v>0.74177533414118035</v>
      </c>
      <c r="J3" s="163">
        <f>(SUMIFS(Table_MedicalGapAgreements[[#All],[NumberofServices]],Table_MedicalGapAgreements[[#All],[Year]],TA!$B11,Table_MedicalGapAgreements[[#All],[MonthEnd]],TA!$A11&amp;"*",Table_MedicalGapAgreements[[#All],[State]],TA!J$2,Table_MedicalGapAgreements[[#All],[GapType]],"No gap agreement*")+SUMIFS(Table_MedicalGapAgreements[[#All],[NumberofServices]],Table_MedicalGapAgreements[[#All],[Year]],TA!$B11,Table_MedicalGapAgreements[[#All],[MonthEnd]],TA!$A11&amp;"*",Table_MedicalGapAgreements[[#All],[State]],TA!J$2,Table_MedicalGapAgreements[[#All],[GapType]],"No agreement*",Table_MedicalGapAgreements[[#All],[MBSFeePercentage]],"Up to MBS*"))/SUMIFS(Table_MedicalGapAgreements[[#All],[NumberofServices]],Table_MedicalGapAgreements[[#All],[Year]],TA!$B11,Table_MedicalGapAgreements[[#All],[MonthEnd]],TA!$A11&amp;"*",Table_MedicalGapAgreements[[#All],[State]],TA!J$2)</f>
        <v>0.86627873480440165</v>
      </c>
      <c r="K3" s="163">
        <f>(SUMIFS(Table_MedicalGapAgreements[[#All],[NumberofServices]],Table_MedicalGapAgreements[[#All],[Year]],TA!$B11,Table_MedicalGapAgreements[[#All],[MonthEnd]],TA!$A11&amp;"*",Table_MedicalGapAgreements[[#All],[GapType]],"No gap agreement*")+SUMIFS(Table_MedicalGapAgreements[[#All],[NumberofServices]],Table_MedicalGapAgreements[[#All],[Year]],TA!$B11,Table_MedicalGapAgreements[[#All],[MonthEnd]],TA!$A11&amp;"*",Table_MedicalGapAgreements[[#All],[GapType]],"No agreement*",Table_MedicalGapAgreements[[#All],[MBSFeePercentage]],"Up to MBS*"))/SUMIFS(Table_MedicalGapAgreements[[#All],[NumberofServices]],Table_MedicalGapAgreements[[#All],[Year]],TA!$B11,Table_MedicalGapAgreements[[#All],[MonthEnd]],TA!$A11&amp;"*")</f>
        <v>0.87500701966302274</v>
      </c>
      <c r="M3" s="22"/>
      <c r="N3" s="22"/>
      <c r="O3" s="22"/>
      <c r="P3" s="22"/>
      <c r="Q3" s="22"/>
      <c r="R3" s="22"/>
      <c r="S3" s="22"/>
      <c r="T3" s="22"/>
      <c r="U3" s="22"/>
      <c r="V3" s="22"/>
      <c r="W3" s="22"/>
      <c r="X3" s="22"/>
      <c r="Y3" s="22"/>
      <c r="Z3" s="22"/>
      <c r="AA3" s="22"/>
      <c r="AB3" s="22"/>
      <c r="AC3" s="22"/>
      <c r="AD3" s="22"/>
      <c r="AE3" s="22"/>
      <c r="AF3" s="22"/>
      <c r="AG3" s="22"/>
    </row>
    <row r="4" spans="1:33" s="31" customFormat="1" ht="29.1" customHeight="1">
      <c r="A4" s="230"/>
      <c r="B4" s="164" t="s">
        <v>32</v>
      </c>
      <c r="C4" s="165">
        <f>(SUMIFS(Table_MedicalGapAgreements[[#All],[NumberofServices]],Table_MedicalGapAgreements[[#All],[Year]],TA!$B11,Table_MedicalGapAgreements[[#All],[MonthEnd]],TA!$A11,Table_MedicalGapAgreements[[#All],[State]],TA!C$2,Table_MedicalGapAgreements[[#All],[GapType]],"Known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f>
        <v>7.213576619073192E-2</v>
      </c>
      <c r="D4" s="165">
        <f>(SUMIFS(Table_MedicalGapAgreements[[#All],[NumberofServices]],Table_MedicalGapAgreements[[#All],[Year]],TA!$B11,Table_MedicalGapAgreements[[#All],[MonthEnd]],TA!$A11,Table_MedicalGapAgreements[[#All],[State]],TA!D$2,Table_MedicalGapAgreements[[#All],[GapType]],"Known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f>
        <v>0.10999152301788505</v>
      </c>
      <c r="E4" s="165">
        <f>(SUMIFS(Table_MedicalGapAgreements[[#All],[NumberofServices]],Table_MedicalGapAgreements[[#All],[Year]],TA!$B11,Table_MedicalGapAgreements[[#All],[MonthEnd]],TA!$A11,Table_MedicalGapAgreements[[#All],[State]],TA!E$2,Table_MedicalGapAgreements[[#All],[GapType]],"Known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f>
        <v>0.10077843226010939</v>
      </c>
      <c r="F4" s="165">
        <f>(SUMIFS(Table_MedicalGapAgreements[[#All],[NumberofServices]],Table_MedicalGapAgreements[[#All],[Year]],TA!$B11,Table_MedicalGapAgreements[[#All],[MonthEnd]],TA!$A11,Table_MedicalGapAgreements[[#All],[State]],TA!F$2,Table_MedicalGapAgreements[[#All],[GapType]],"Known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f>
        <v>0.11360315216698195</v>
      </c>
      <c r="G4" s="165">
        <f>(SUMIFS(Table_MedicalGapAgreements[[#All],[NumberofServices]],Table_MedicalGapAgreements[[#All],[Year]],TA!$B11,Table_MedicalGapAgreements[[#All],[MonthEnd]],TA!$A11,Table_MedicalGapAgreements[[#All],[State]],TA!G$2,Table_MedicalGapAgreements[[#All],[GapType]],"Known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f>
        <v>0.10033276795702886</v>
      </c>
      <c r="H4" s="165">
        <f>(SUMIFS(Table_MedicalGapAgreements[[#All],[NumberofServices]],Table_MedicalGapAgreements[[#All],[Year]],TA!$B11,Table_MedicalGapAgreements[[#All],[MonthEnd]],TA!$A11,Table_MedicalGapAgreements[[#All],[State]],TA!H$2,Table_MedicalGapAgreements[[#All],[GapType]],"Known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f>
        <v>8.3064566235321366E-2</v>
      </c>
      <c r="I4" s="165">
        <f>(SUMIFS(Table_MedicalGapAgreements[[#All],[NumberofServices]],Table_MedicalGapAgreements[[#All],[Year]],TA!$B11,Table_MedicalGapAgreements[[#All],[MonthEnd]],TA!$A11,Table_MedicalGapAgreements[[#All],[State]],TA!I$2,Table_MedicalGapAgreements[[#All],[GapType]],"Known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f>
        <v>0.16802011177225951</v>
      </c>
      <c r="J4" s="165">
        <f>(SUMIFS(Table_MedicalGapAgreements[[#All],[NumberofServices]],Table_MedicalGapAgreements[[#All],[Year]],TA!$B11,Table_MedicalGapAgreements[[#All],[MonthEnd]],TA!$A11,Table_MedicalGapAgreements[[#All],[State]],TA!J$2,Table_MedicalGapAgreements[[#All],[GapType]],"Known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f>
        <v>9.2008987728294064E-2</v>
      </c>
      <c r="K4" s="165">
        <f>(SUMIFS(Table_MedicalGapAgreements[[#All],[NumberofServices]],Table_MedicalGapAgreements[[#All],[Year]],TA!$B11,Table_MedicalGapAgreements[[#All],[MonthEnd]],TA!$A11,Table_MedicalGapAgreements[[#All],[GapType]],"Known gap agreement"))/SUMIFS(Table_MedicalGapAgreements[[#All],[NumberofServices]],Table_MedicalGapAgreements[[#All],[Year]],TA!$B11,Table_MedicalGapAgreements[[#All],[MonthEnd]],TA!$A11&amp;"*")</f>
        <v>9.4616107783471209E-2</v>
      </c>
      <c r="M4" s="22"/>
      <c r="N4" s="22"/>
      <c r="O4" s="22"/>
      <c r="P4" s="22"/>
      <c r="Q4" s="22"/>
      <c r="R4" s="22"/>
      <c r="S4" s="22"/>
      <c r="T4" s="22"/>
      <c r="U4" s="22"/>
      <c r="V4" s="22"/>
      <c r="W4" s="22"/>
      <c r="X4" s="22"/>
      <c r="Y4" s="22"/>
      <c r="Z4" s="22"/>
      <c r="AA4" s="22"/>
      <c r="AB4" s="22"/>
      <c r="AC4" s="22"/>
      <c r="AD4" s="22"/>
      <c r="AE4" s="22"/>
      <c r="AF4" s="22"/>
      <c r="AG4" s="22"/>
    </row>
    <row r="5" spans="1:33" s="31" customFormat="1" ht="29.1" customHeight="1">
      <c r="A5" s="230"/>
      <c r="B5" s="166" t="s">
        <v>33</v>
      </c>
      <c r="C5" s="167">
        <f>(SUMIFS(Table_MedicalGapAgreements[[#All],[AmountCharged]],Table_MedicalGapAgreements[[#All],[Year]],TA!$B11,Table_MedicalGapAgreements[[#All],[MonthEnd]],TA!$A11,Table_MedicalGapAgreements[[#All],[State]],TA!C$2)-SUMIFS(Table_MedicalGapAgreements[[#All],[MedicareBenefit]],Table_MedicalGapAgreements[[#All],[Year]],TA!$B11,Table_MedicalGapAgreements[[#All],[MonthEnd]],TA!$A11,Table_MedicalGapAgreements[[#All],[State]],TA!C$2)-SUMIFS(Table_MedicalGapAgreements[[#All],[FundBenefit]],Table_MedicalGapAgreements[[#All],[Year]],TA!$B11,Table_MedicalGapAgreements[[#All],[MonthEnd]],TA!$A11,Table_MedicalGapAgreements[[#All],[State]],TA!C$2))/SUMIFS(Table_MedicalGapAgreements[[#All],[NumberofServices]],Table_MedicalGapAgreements[[#All],[Year]],TA!$B11,Table_MedicalGapAgreements[[#All],[MonthEnd]],TA!$A11,Table_MedicalGapAgreements[[#All],[State]],TA!C$2)</f>
        <v>34.717241111252804</v>
      </c>
      <c r="D5" s="167">
        <f>(SUMIFS(Table_MedicalGapAgreements[[#All],[AmountCharged]],Table_MedicalGapAgreements[[#All],[Year]],TA!$B11,Table_MedicalGapAgreements[[#All],[MonthEnd]],TA!$A11,Table_MedicalGapAgreements[[#All],[State]],TA!D$2)-SUMIFS(Table_MedicalGapAgreements[[#All],[MedicareBenefit]],Table_MedicalGapAgreements[[#All],[Year]],TA!$B11,Table_MedicalGapAgreements[[#All],[MonthEnd]],TA!$A11,Table_MedicalGapAgreements[[#All],[State]],TA!D$2)-SUMIFS(Table_MedicalGapAgreements[[#All],[FundBenefit]],Table_MedicalGapAgreements[[#All],[Year]],TA!$B11,Table_MedicalGapAgreements[[#All],[MonthEnd]],TA!$A11,Table_MedicalGapAgreements[[#All],[State]],TA!D$2))/SUMIFS(Table_MedicalGapAgreements[[#All],[NumberofServices]],Table_MedicalGapAgreements[[#All],[Year]],TA!$B11,Table_MedicalGapAgreements[[#All],[MonthEnd]],TA!$A11,Table_MedicalGapAgreements[[#All],[State]],TA!D$2)</f>
        <v>27.968976548339626</v>
      </c>
      <c r="E5" s="167">
        <f>(SUMIFS(Table_MedicalGapAgreements[[#All],[AmountCharged]],Table_MedicalGapAgreements[[#All],[Year]],TA!$B11,Table_MedicalGapAgreements[[#All],[MonthEnd]],TA!$A11,Table_MedicalGapAgreements[[#All],[State]],TA!E$2)-SUMIFS(Table_MedicalGapAgreements[[#All],[MedicareBenefit]],Table_MedicalGapAgreements[[#All],[Year]],TA!$B11,Table_MedicalGapAgreements[[#All],[MonthEnd]],TA!$A11,Table_MedicalGapAgreements[[#All],[State]],TA!E$2)-SUMIFS(Table_MedicalGapAgreements[[#All],[FundBenefit]],Table_MedicalGapAgreements[[#All],[Year]],TA!$B11,Table_MedicalGapAgreements[[#All],[MonthEnd]],TA!$A11,Table_MedicalGapAgreements[[#All],[State]],TA!E$2))/SUMIFS(Table_MedicalGapAgreements[[#All],[NumberofServices]],Table_MedicalGapAgreements[[#All],[Year]],TA!$B11,Table_MedicalGapAgreements[[#All],[MonthEnd]],TA!$A11,Table_MedicalGapAgreements[[#All],[State]],TA!E$2)</f>
        <v>37.655589387887211</v>
      </c>
      <c r="F5" s="167">
        <f>(SUMIFS(Table_MedicalGapAgreements[[#All],[AmountCharged]],Table_MedicalGapAgreements[[#All],[Year]],TA!$B11,Table_MedicalGapAgreements[[#All],[MonthEnd]],TA!$A11,Table_MedicalGapAgreements[[#All],[State]],TA!F$2)-SUMIFS(Table_MedicalGapAgreements[[#All],[MedicareBenefit]],Table_MedicalGapAgreements[[#All],[Year]],TA!$B11,Table_MedicalGapAgreements[[#All],[MonthEnd]],TA!$A11,Table_MedicalGapAgreements[[#All],[State]],TA!F$2)-SUMIFS(Table_MedicalGapAgreements[[#All],[FundBenefit]],Table_MedicalGapAgreements[[#All],[Year]],TA!$B11,Table_MedicalGapAgreements[[#All],[MonthEnd]],TA!$A11,Table_MedicalGapAgreements[[#All],[State]],TA!F$2))/SUMIFS(Table_MedicalGapAgreements[[#All],[NumberofServices]],Table_MedicalGapAgreements[[#All],[Year]],TA!$B11,Table_MedicalGapAgreements[[#All],[MonthEnd]],TA!$A11,Table_MedicalGapAgreements[[#All],[State]],TA!F$2)</f>
        <v>19.380356186366829</v>
      </c>
      <c r="G5" s="167">
        <f>(SUMIFS(Table_MedicalGapAgreements[[#All],[AmountCharged]],Table_MedicalGapAgreements[[#All],[Year]],TA!$B11,Table_MedicalGapAgreements[[#All],[MonthEnd]],TA!$A11,Table_MedicalGapAgreements[[#All],[State]],TA!G$2)-SUMIFS(Table_MedicalGapAgreements[[#All],[MedicareBenefit]],Table_MedicalGapAgreements[[#All],[Year]],TA!$B11,Table_MedicalGapAgreements[[#All],[MonthEnd]],TA!$A11,Table_MedicalGapAgreements[[#All],[State]],TA!G$2)-SUMIFS(Table_MedicalGapAgreements[[#All],[FundBenefit]],Table_MedicalGapAgreements[[#All],[Year]],TA!$B11,Table_MedicalGapAgreements[[#All],[MonthEnd]],TA!$A11,Table_MedicalGapAgreements[[#All],[State]],TA!G$2))/SUMIFS(Table_MedicalGapAgreements[[#All],[NumberofServices]],Table_MedicalGapAgreements[[#All],[Year]],TA!$B11,Table_MedicalGapAgreements[[#All],[MonthEnd]],TA!$A11,Table_MedicalGapAgreements[[#All],[State]],TA!G$2)</f>
        <v>24.8388727675392</v>
      </c>
      <c r="H5" s="167">
        <f>(SUMIFS(Table_MedicalGapAgreements[[#All],[AmountCharged]],Table_MedicalGapAgreements[[#All],[Year]],TA!$B11,Table_MedicalGapAgreements[[#All],[MonthEnd]],TA!$A11,Table_MedicalGapAgreements[[#All],[State]],TA!H$2)-SUMIFS(Table_MedicalGapAgreements[[#All],[MedicareBenefit]],Table_MedicalGapAgreements[[#All],[Year]],TA!$B11,Table_MedicalGapAgreements[[#All],[MonthEnd]],TA!$A11,Table_MedicalGapAgreements[[#All],[State]],TA!H$2)-SUMIFS(Table_MedicalGapAgreements[[#All],[FundBenefit]],Table_MedicalGapAgreements[[#All],[Year]],TA!$B11,Table_MedicalGapAgreements[[#All],[MonthEnd]],TA!$A11,Table_MedicalGapAgreements[[#All],[State]],TA!H$2))/SUMIFS(Table_MedicalGapAgreements[[#All],[NumberofServices]],Table_MedicalGapAgreements[[#All],[Year]],TA!$B11,Table_MedicalGapAgreements[[#All],[MonthEnd]],TA!$A11,Table_MedicalGapAgreements[[#All],[State]],TA!H$2)</f>
        <v>26.018083855334552</v>
      </c>
      <c r="I5" s="167">
        <f>(SUMIFS(Table_MedicalGapAgreements[[#All],[AmountCharged]],Table_MedicalGapAgreements[[#All],[Year]],TA!$B11,Table_MedicalGapAgreements[[#All],[MonthEnd]],TA!$A11,Table_MedicalGapAgreements[[#All],[State]],TA!I$2)-SUMIFS(Table_MedicalGapAgreements[[#All],[MedicareBenefit]],Table_MedicalGapAgreements[[#All],[Year]],TA!$B11,Table_MedicalGapAgreements[[#All],[MonthEnd]],TA!$A11,Table_MedicalGapAgreements[[#All],[State]],TA!I$2)-SUMIFS(Table_MedicalGapAgreements[[#All],[FundBenefit]],Table_MedicalGapAgreements[[#All],[Year]],TA!$B11,Table_MedicalGapAgreements[[#All],[MonthEnd]],TA!$A11,Table_MedicalGapAgreements[[#All],[State]],TA!I$2))/SUMIFS(Table_MedicalGapAgreements[[#All],[NumberofServices]],Table_MedicalGapAgreements[[#All],[Year]],TA!$B11,Table_MedicalGapAgreements[[#All],[MonthEnd]],TA!$A11,Table_MedicalGapAgreements[[#All],[State]],TA!I$2)</f>
        <v>94.314183411405139</v>
      </c>
      <c r="J5" s="167">
        <f>(SUMIFS(Table_MedicalGapAgreements[[#All],[AmountCharged]],Table_MedicalGapAgreements[[#All],[Year]],TA!$B11,Table_MedicalGapAgreements[[#All],[MonthEnd]],TA!$A11,Table_MedicalGapAgreements[[#All],[State]],TA!J$2)-SUMIFS(Table_MedicalGapAgreements[[#All],[MedicareBenefit]],Table_MedicalGapAgreements[[#All],[Year]],TA!$B11,Table_MedicalGapAgreements[[#All],[MonthEnd]],TA!$A11,Table_MedicalGapAgreements[[#All],[State]],TA!J$2)-SUMIFS(Table_MedicalGapAgreements[[#All],[FundBenefit]],Table_MedicalGapAgreements[[#All],[Year]],TA!$B11,Table_MedicalGapAgreements[[#All],[MonthEnd]],TA!$A11,Table_MedicalGapAgreements[[#All],[State]],TA!J$2))/SUMIFS(Table_MedicalGapAgreements[[#All],[NumberofServices]],Table_MedicalGapAgreements[[#All],[Year]],TA!$B11,Table_MedicalGapAgreements[[#All],[MonthEnd]],TA!$A11,Table_MedicalGapAgreements[[#All],[State]],TA!J$2)</f>
        <v>50.654389007316915</v>
      </c>
      <c r="K5" s="167">
        <f>(SUMIFS(Table_MedicalGapAgreements[[#All],[AmountCharged]],Table_MedicalGapAgreements[[#All],[Year]],TA!$B11,Table_MedicalGapAgreements[[#All],[MonthEnd]],TA!$A11&amp;"*")-SUMIFS(Table_MedicalGapAgreements[[#All],[MedicareBenefit]],Table_MedicalGapAgreements[[#All],[Year]],TA!$B11,Table_MedicalGapAgreements[[#All],[MonthEnd]],TA!$A11&amp;"*")-SUMIFS(Table_MedicalGapAgreements[[#All],[FundBenefit]],Table_MedicalGapAgreements[[#All],[Year]],TA!$B11,Table_MedicalGapAgreements[[#All],[MonthEnd]],TA!$A11&amp;"*"))/SUMIFS(Table_MedicalGapAgreements[[#All],[NumberofServices]],Table_MedicalGapAgreements[[#All],[Year]],TA!$B11,Table_MedicalGapAgreements[[#All],[MonthEnd]],TA!$A11&amp;"*")</f>
        <v>32.034638874603637</v>
      </c>
      <c r="M5" s="22"/>
      <c r="N5" s="22"/>
      <c r="O5" s="22"/>
      <c r="P5" s="22"/>
      <c r="Q5" s="22"/>
      <c r="R5" s="22"/>
      <c r="S5" s="22"/>
      <c r="T5" s="22"/>
      <c r="U5" s="22"/>
      <c r="V5" s="22"/>
      <c r="W5" s="22"/>
      <c r="X5" s="22"/>
      <c r="Y5" s="22"/>
      <c r="Z5" s="22"/>
      <c r="AA5" s="22"/>
      <c r="AB5" s="22"/>
      <c r="AC5" s="22"/>
      <c r="AD5" s="22"/>
      <c r="AE5" s="22"/>
      <c r="AF5" s="22"/>
      <c r="AG5" s="22"/>
    </row>
    <row r="6" spans="1:33" s="31" customFormat="1" ht="29.1" customHeight="1">
      <c r="A6" s="230"/>
      <c r="B6" s="166" t="s">
        <v>34</v>
      </c>
      <c r="C6" s="168">
        <f>(SUMIFS(Table_MedicalGapAgreements[[#All],[AmountCharged]],Table_MedicalGapAgreements[[#All],[Year]],TA!$B11,Table_MedicalGapAgreements[[#All],[MonthEnd]],TA!$A11,Table_MedicalGapAgreements[[#All],[State]],TA!C$2,Table_MedicalGapAgreements[[#All],[GapType]],"Known gap agreement")-SUMIFS(Table_MedicalGapAgreements[[#All],[MedicareBenefit]],Table_MedicalGapAgreements[[#All],[Year]],TA!$B11,Table_MedicalGapAgreements[[#All],[MonthEnd]],TA!$A11,Table_MedicalGapAgreements[[#All],[State]],TA!C$2,Table_MedicalGapAgreements[[#All],[GapType]],"Known gap agreement")-SUMIFS(Table_MedicalGapAgreements[[#All],[FundBenefit]],Table_MedicalGapAgreements[[#All],[Year]],TA!$B11,Table_MedicalGapAgreements[[#All],[MonthEnd]],TA!$A11,Table_MedicalGapAgreements[[#All],[State]],TA!C$2,Table_MedicalGapAgreements[[#All],[GapType]],"Known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Table_MedicalGapAgreements[[#All],[GapType]],"Known gap agreement"))</f>
        <v>117.88999126017808</v>
      </c>
      <c r="D6" s="168">
        <f>(SUMIFS(Table_MedicalGapAgreements[[#All],[AmountCharged]],Table_MedicalGapAgreements[[#All],[Year]],TA!$B11,Table_MedicalGapAgreements[[#All],[MonthEnd]],TA!$A11,Table_MedicalGapAgreements[[#All],[State]],TA!D$2,Table_MedicalGapAgreements[[#All],[GapType]],"Known gap agreement")-SUMIFS(Table_MedicalGapAgreements[[#All],[MedicareBenefit]],Table_MedicalGapAgreements[[#All],[Year]],TA!$B11,Table_MedicalGapAgreements[[#All],[MonthEnd]],TA!$A11,Table_MedicalGapAgreements[[#All],[State]],TA!D$2,Table_MedicalGapAgreements[[#All],[GapType]],"Known gap agreement")-SUMIFS(Table_MedicalGapAgreements[[#All],[FundBenefit]],Table_MedicalGapAgreements[[#All],[Year]],TA!$B11,Table_MedicalGapAgreements[[#All],[MonthEnd]],TA!$A11,Table_MedicalGapAgreements[[#All],[State]],TA!D$2,Table_MedicalGapAgreements[[#All],[GapType]],"Known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Table_MedicalGapAgreements[[#All],[GapType]],"Known gap agreement"))</f>
        <v>118.83538067236294</v>
      </c>
      <c r="E6" s="168">
        <f>(SUMIFS(Table_MedicalGapAgreements[[#All],[AmountCharged]],Table_MedicalGapAgreements[[#All],[Year]],TA!$B11,Table_MedicalGapAgreements[[#All],[MonthEnd]],TA!$A11,Table_MedicalGapAgreements[[#All],[State]],TA!E$2,Table_MedicalGapAgreements[[#All],[GapType]],"Known gap agreement")-SUMIFS(Table_MedicalGapAgreements[[#All],[MedicareBenefit]],Table_MedicalGapAgreements[[#All],[Year]],TA!$B11,Table_MedicalGapAgreements[[#All],[MonthEnd]],TA!$A11,Table_MedicalGapAgreements[[#All],[State]],TA!E$2,Table_MedicalGapAgreements[[#All],[GapType]],"Known gap agreement")-SUMIFS(Table_MedicalGapAgreements[[#All],[FundBenefit]],Table_MedicalGapAgreements[[#All],[Year]],TA!$B11,Table_MedicalGapAgreements[[#All],[MonthEnd]],TA!$A11,Table_MedicalGapAgreements[[#All],[State]],TA!E$2,Table_MedicalGapAgreements[[#All],[GapType]],"Known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Table_MedicalGapAgreements[[#All],[GapType]],"Known gap agreement"))</f>
        <v>151.08201424421958</v>
      </c>
      <c r="F6" s="168">
        <f>(SUMIFS(Table_MedicalGapAgreements[[#All],[AmountCharged]],Table_MedicalGapAgreements[[#All],[Year]],TA!$B11,Table_MedicalGapAgreements[[#All],[MonthEnd]],TA!$A11,Table_MedicalGapAgreements[[#All],[State]],TA!F$2,Table_MedicalGapAgreements[[#All],[GapType]],"Known gap agreement")-SUMIFS(Table_MedicalGapAgreements[[#All],[MedicareBenefit]],Table_MedicalGapAgreements[[#All],[Year]],TA!$B11,Table_MedicalGapAgreements[[#All],[MonthEnd]],TA!$A11,Table_MedicalGapAgreements[[#All],[State]],TA!F$2,Table_MedicalGapAgreements[[#All],[GapType]],"Known gap agreement")-SUMIFS(Table_MedicalGapAgreements[[#All],[FundBenefit]],Table_MedicalGapAgreements[[#All],[Year]],TA!$B11,Table_MedicalGapAgreements[[#All],[MonthEnd]],TA!$A11,Table_MedicalGapAgreements[[#All],[State]],TA!F$2,Table_MedicalGapAgreements[[#All],[GapType]],"Known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Table_MedicalGapAgreements[[#All],[GapType]],"Known gap agreement"))</f>
        <v>104.52908460503998</v>
      </c>
      <c r="G6" s="168">
        <f>(SUMIFS(Table_MedicalGapAgreements[[#All],[AmountCharged]],Table_MedicalGapAgreements[[#All],[Year]],TA!$B11,Table_MedicalGapAgreements[[#All],[MonthEnd]],TA!$A11,Table_MedicalGapAgreements[[#All],[State]],TA!G$2,Table_MedicalGapAgreements[[#All],[GapType]],"Known gap agreement")-SUMIFS(Table_MedicalGapAgreements[[#All],[MedicareBenefit]],Table_MedicalGapAgreements[[#All],[Year]],TA!$B11,Table_MedicalGapAgreements[[#All],[MonthEnd]],TA!$A11,Table_MedicalGapAgreements[[#All],[State]],TA!G$2,Table_MedicalGapAgreements[[#All],[GapType]],"Known gap agreement")-SUMIFS(Table_MedicalGapAgreements[[#All],[FundBenefit]],Table_MedicalGapAgreements[[#All],[Year]],TA!$B11,Table_MedicalGapAgreements[[#All],[MonthEnd]],TA!$A11,Table_MedicalGapAgreements[[#All],[State]],TA!G$2,Table_MedicalGapAgreements[[#All],[GapType]],"Known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Table_MedicalGapAgreements[[#All],[GapType]],"Known gap agreement"))</f>
        <v>159.16723556304365</v>
      </c>
      <c r="H6" s="168">
        <f>(SUMIFS(Table_MedicalGapAgreements[[#All],[AmountCharged]],Table_MedicalGapAgreements[[#All],[Year]],TA!$B11,Table_MedicalGapAgreements[[#All],[MonthEnd]],TA!$A11,Table_MedicalGapAgreements[[#All],[State]],TA!H$2,Table_MedicalGapAgreements[[#All],[GapType]],"Known gap agreement")-SUMIFS(Table_MedicalGapAgreements[[#All],[MedicareBenefit]],Table_MedicalGapAgreements[[#All],[Year]],TA!$B11,Table_MedicalGapAgreements[[#All],[MonthEnd]],TA!$A11,Table_MedicalGapAgreements[[#All],[State]],TA!H$2,Table_MedicalGapAgreements[[#All],[GapType]],"Known gap agreement")-SUMIFS(Table_MedicalGapAgreements[[#All],[FundBenefit]],Table_MedicalGapAgreements[[#All],[Year]],TA!$B11,Table_MedicalGapAgreements[[#All],[MonthEnd]],TA!$A11,Table_MedicalGapAgreements[[#All],[State]],TA!H$2,Table_MedicalGapAgreements[[#All],[GapType]],"Known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Table_MedicalGapAgreements[[#All],[GapType]],"Known gap agreement"))</f>
        <v>161.51208146334824</v>
      </c>
      <c r="I6" s="168">
        <f>(SUMIFS(Table_MedicalGapAgreements[[#All],[AmountCharged]],Table_MedicalGapAgreements[[#All],[Year]],TA!$B11,Table_MedicalGapAgreements[[#All],[MonthEnd]],TA!$A11,Table_MedicalGapAgreements[[#All],[State]],TA!I$2,Table_MedicalGapAgreements[[#All],[GapType]],"Known gap agreement")-SUMIFS(Table_MedicalGapAgreements[[#All],[MedicareBenefit]],Table_MedicalGapAgreements[[#All],[Year]],TA!$B11,Table_MedicalGapAgreements[[#All],[MonthEnd]],TA!$A11,Table_MedicalGapAgreements[[#All],[State]],TA!I$2,Table_MedicalGapAgreements[[#All],[GapType]],"Known gap agreement")-SUMIFS(Table_MedicalGapAgreements[[#All],[FundBenefit]],Table_MedicalGapAgreements[[#All],[Year]],TA!$B11,Table_MedicalGapAgreements[[#All],[MonthEnd]],TA!$A11,Table_MedicalGapAgreements[[#All],[State]],TA!I$2,Table_MedicalGapAgreements[[#All],[GapType]],"Known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Table_MedicalGapAgreements[[#All],[GapType]],"Known gap agreement"))</f>
        <v>135.148471474704</v>
      </c>
      <c r="J6" s="168">
        <f>(SUMIFS(Table_MedicalGapAgreements[[#All],[AmountCharged]],Table_MedicalGapAgreements[[#All],[Year]],TA!$B11,Table_MedicalGapAgreements[[#All],[MonthEnd]],TA!$A11,Table_MedicalGapAgreements[[#All],[State]],TA!J$2,Table_MedicalGapAgreements[[#All],[GapType]],"Known gap agreement")-SUMIFS(Table_MedicalGapAgreements[[#All],[MedicareBenefit]],Table_MedicalGapAgreements[[#All],[Year]],TA!$B11,Table_MedicalGapAgreements[[#All],[MonthEnd]],TA!$A11,Table_MedicalGapAgreements[[#All],[State]],TA!J$2,Table_MedicalGapAgreements[[#All],[GapType]],"Known gap agreement")-SUMIFS(Table_MedicalGapAgreements[[#All],[FundBenefit]],Table_MedicalGapAgreements[[#All],[Year]],TA!$B11,Table_MedicalGapAgreements[[#All],[MonthEnd]],TA!$A11,Table_MedicalGapAgreements[[#All],[State]],TA!J$2,Table_MedicalGapAgreements[[#All],[GapType]],"Known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Table_MedicalGapAgreements[[#All],[GapType]],"Known gap agreement"))</f>
        <v>114.957147777082</v>
      </c>
      <c r="K6" s="168">
        <f>(SUMIFS(Table_MedicalGapAgreements[[#All],[AmountCharged]],Table_MedicalGapAgreements[[#All],[Year]],TA!$B11,Table_MedicalGapAgreements[[#All],[MonthEnd]],TA!$A11,Table_MedicalGapAgreements[[#All],[GapType]],"Known gap agreement")-SUMIFS(Table_MedicalGapAgreements[[#All],[MedicareBenefit]],Table_MedicalGapAgreements[[#All],[Year]],TA!$B11,Table_MedicalGapAgreements[[#All],[MonthEnd]],TA!$A11,Table_MedicalGapAgreements[[#All],[GapType]],"Known gap agreement")-SUMIFS(Table_MedicalGapAgreements[[#All],[FundBenefit]],Table_MedicalGapAgreements[[#All],[Year]],TA!$B11,Table_MedicalGapAgreements[[#All],[MonthEnd]],TA!$A11,Table_MedicalGapAgreements[[#All],[GapType]],"Known gap agreement"))/(SUMIFS(Table_MedicalGapAgreements[[#All],[NumberofServices]],Table_MedicalGapAgreements[[#All],[Year]],TA!$B11,Table_MedicalGapAgreements[[#All],[MonthEnd]],TA!$A11,Table_MedicalGapAgreements[[#All],[GapType]],"Known gap agreement"))</f>
        <v>129.67232118281484</v>
      </c>
      <c r="M6" s="22"/>
      <c r="N6" s="22"/>
      <c r="O6" s="22"/>
      <c r="P6" s="22"/>
      <c r="Q6" s="22"/>
      <c r="R6" s="22"/>
      <c r="S6" s="22"/>
      <c r="T6" s="22"/>
      <c r="U6" s="22"/>
      <c r="V6" s="22"/>
      <c r="W6" s="22"/>
      <c r="X6" s="22"/>
      <c r="Y6" s="22"/>
      <c r="Z6" s="22"/>
      <c r="AA6" s="22"/>
      <c r="AB6" s="22"/>
      <c r="AC6" s="22"/>
      <c r="AD6" s="22"/>
      <c r="AE6" s="22"/>
      <c r="AF6" s="22"/>
      <c r="AG6" s="22"/>
    </row>
    <row r="7" spans="1:33" s="31" customFormat="1" ht="29.1" customHeight="1" thickBot="1">
      <c r="A7" s="231"/>
      <c r="B7" s="169" t="s">
        <v>35</v>
      </c>
      <c r="C7" s="170">
        <f>(SUMIFS(Table_MedicalGapAgreements[[#All],[AmountCharged]],Table_MedicalGapAgreements[[#All],[Year]],TA!$B11,Table_MedicalGapAgreements[[#All],[MonthEnd]],TA!$A11&amp;"*",Table_MedicalGapAgreements[[#All],[State]],TA!C$2,Table_MedicalGapAgreements[[#All],[GapType]],"Known gap agreement*")+SUMIFS(Table_MedicalGapAgreements[[#All],[AmountCharged]],Table_MedicalGapAgreements[[#All],[Year]],TA!$B11,Table_MedicalGapAgreements[[#All],[MonthEnd]],TA!$A11&amp;"*",Table_MedicalGapAgreements[[#All],[State]],TA!C$2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C$2,Table_MedicalGapAgreements[[#All],[GapType]],"Known gap agreement*")-SUMIFS(Table_MedicalGapAgreements[[#All],[MedicareBenefit]],Table_MedicalGapAgreements[[#All],[Year]],TA!$B11,Table_MedicalGapAgreements[[#All],[MonthEnd]],TA!$A11&amp;"*",Table_MedicalGapAgreements[[#All],[State]],TA!C$2,Table_MedicalGapAgreements[[#All],[GapType]],"No agreement*",Table_MedicalGapAgreements[[#All],[MBSFeePercentage]],"&lt;&gt;Up to MBS Fee*")-SUMIFS(Table_MedicalGapAgreements[[#All],[FundBenefit]],Table_MedicalGapAgreements[[#All],[Year]],TA!$B11,Table_MedicalGapAgreements[[#All],[MonthEnd]],TA!$A11&amp;"*",Table_MedicalGapAgreements[[#All],[State]],TA!C$2,Table_MedicalGapAgreements[[#All],[GapType]],"Known gap agreement*")-SUMIFS(Table_MedicalGapAgreements[[#All],[FundBenefit]],Table_MedicalGapAgreements[[#All],[Year]],TA!$B11,Table_MedicalGapAgreements[[#All],[MonthEnd]],TA!$A11&amp;"*",Table_MedicalGapAgreements[[#All],[State]],TA!C$2,Table_MedicalGapAgreements[[#All],[GapType]],"No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C$2,Table_MedicalGapAgreements[[#All],[GapType]],"Known gap agreement*")+SUMIFS(Table_MedicalGapAgreements[[#All],[NumberofServices]],Table_MedicalGapAgreements[[#All],[Year]],TA!$B11,Table_MedicalGapAgreements[[#All],[MonthEnd]],TA!$A11&amp;"*",Table_MedicalGapAgreements[[#All],[State]],TA!C$2,Table_MedicalGapAgreements[[#All],[GapType]],"No agreement*",Table_MedicalGapAgreements[[#All],[MBSFeePercentage]],"&lt;&gt;Up to MBS Fee*"))</f>
        <v>314.81531390652043</v>
      </c>
      <c r="D7" s="170">
        <f>(SUMIFS(Table_MedicalGapAgreements[[#All],[AmountCharged]],Table_MedicalGapAgreements[[#All],[Year]],TA!$B11,Table_MedicalGapAgreements[[#All],[MonthEnd]],TA!$A11&amp;"*",Table_MedicalGapAgreements[[#All],[State]],TA!D$2,Table_MedicalGapAgreements[[#All],[GapType]],"Known gap agreement*")+SUMIFS(Table_MedicalGapAgreements[[#All],[AmountCharged]],Table_MedicalGapAgreements[[#All],[Year]],TA!$B11,Table_MedicalGapAgreements[[#All],[MonthEnd]],TA!$A11&amp;"*",Table_MedicalGapAgreements[[#All],[State]],TA!D$2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D$2,Table_MedicalGapAgreements[[#All],[GapType]],"Known gap agreement*")-SUMIFS(Table_MedicalGapAgreements[[#All],[MedicareBenefit]],Table_MedicalGapAgreements[[#All],[Year]],TA!$B11,Table_MedicalGapAgreements[[#All],[MonthEnd]],TA!$A11&amp;"*",Table_MedicalGapAgreements[[#All],[State]],TA!D$2,Table_MedicalGapAgreements[[#All],[GapType]],"No agreement*",Table_MedicalGapAgreements[[#All],[MBSFeePercentage]],"&lt;&gt;Up to MBS Fee*")-SUMIFS(Table_MedicalGapAgreements[[#All],[FundBenefit]],Table_MedicalGapAgreements[[#All],[Year]],TA!$B11,Table_MedicalGapAgreements[[#All],[MonthEnd]],TA!$A11&amp;"*",Table_MedicalGapAgreements[[#All],[State]],TA!D$2,Table_MedicalGapAgreements[[#All],[GapType]],"Known gap agreement*")-SUMIFS(Table_MedicalGapAgreements[[#All],[FundBenefit]],Table_MedicalGapAgreements[[#All],[Year]],TA!$B11,Table_MedicalGapAgreements[[#All],[MonthEnd]],TA!$A11&amp;"*",Table_MedicalGapAgreements[[#All],[State]],TA!D$2,Table_MedicalGapAgreements[[#All],[GapType]],"No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D$2,Table_MedicalGapAgreements[[#All],[GapType]],"Known gap agreement*")+SUMIFS(Table_MedicalGapAgreements[[#All],[NumberofServices]],Table_MedicalGapAgreements[[#All],[Year]],TA!$B11,Table_MedicalGapAgreements[[#All],[MonthEnd]],TA!$A11&amp;"*",Table_MedicalGapAgreements[[#All],[State]],TA!D$2,Table_MedicalGapAgreements[[#All],[GapType]],"No agreement*",Table_MedicalGapAgreements[[#All],[MBSFeePercentage]],"&lt;&gt;Up to MBS Fee*"))</f>
        <v>209.02118980069093</v>
      </c>
      <c r="E7" s="170">
        <f>(SUMIFS(Table_MedicalGapAgreements[[#All],[AmountCharged]],Table_MedicalGapAgreements[[#All],[Year]],TA!$B11,Table_MedicalGapAgreements[[#All],[MonthEnd]],TA!$A11&amp;"*",Table_MedicalGapAgreements[[#All],[State]],TA!E$2,Table_MedicalGapAgreements[[#All],[GapType]],"Known gap agreement*")+SUMIFS(Table_MedicalGapAgreements[[#All],[AmountCharged]],Table_MedicalGapAgreements[[#All],[Year]],TA!$B11,Table_MedicalGapAgreements[[#All],[MonthEnd]],TA!$A11&amp;"*",Table_MedicalGapAgreements[[#All],[State]],TA!E$2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E$2,Table_MedicalGapAgreements[[#All],[GapType]],"Known gap agreement*")-SUMIFS(Table_MedicalGapAgreements[[#All],[MedicareBenefit]],Table_MedicalGapAgreements[[#All],[Year]],TA!$B11,Table_MedicalGapAgreements[[#All],[MonthEnd]],TA!$A11&amp;"*",Table_MedicalGapAgreements[[#All],[State]],TA!E$2,Table_MedicalGapAgreements[[#All],[GapType]],"No agreement*",Table_MedicalGapAgreements[[#All],[MBSFeePercentage]],"&lt;&gt;Up to MBS Fee*")-SUMIFS(Table_MedicalGapAgreements[[#All],[FundBenefit]],Table_MedicalGapAgreements[[#All],[Year]],TA!$B11,Table_MedicalGapAgreements[[#All],[MonthEnd]],TA!$A11&amp;"*",Table_MedicalGapAgreements[[#All],[State]],TA!E$2,Table_MedicalGapAgreements[[#All],[GapType]],"Known gap agreement*")-SUMIFS(Table_MedicalGapAgreements[[#All],[FundBenefit]],Table_MedicalGapAgreements[[#All],[Year]],TA!$B11,Table_MedicalGapAgreements[[#All],[MonthEnd]],TA!$A11&amp;"*",Table_MedicalGapAgreements[[#All],[State]],TA!E$2,Table_MedicalGapAgreements[[#All],[GapType]],"No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E$2,Table_MedicalGapAgreements[[#All],[GapType]],"Known gap agreement*")+SUMIFS(Table_MedicalGapAgreements[[#All],[NumberofServices]],Table_MedicalGapAgreements[[#All],[Year]],TA!$B11,Table_MedicalGapAgreements[[#All],[MonthEnd]],TA!$A11&amp;"*",Table_MedicalGapAgreements[[#All],[State]],TA!E$2,Table_MedicalGapAgreements[[#All],[GapType]],"No agreement*",Table_MedicalGapAgreements[[#All],[MBSFeePercentage]],"&lt;&gt;Up to MBS Fee*"))</f>
        <v>276.03837237491291</v>
      </c>
      <c r="F7" s="170">
        <f>(SUMIFS(Table_MedicalGapAgreements[[#All],[AmountCharged]],Table_MedicalGapAgreements[[#All],[Year]],TA!$B11,Table_MedicalGapAgreements[[#All],[MonthEnd]],TA!$A11&amp;"*",Table_MedicalGapAgreements[[#All],[State]],TA!F$2,Table_MedicalGapAgreements[[#All],[GapType]],"Known gap agreement*")+SUMIFS(Table_MedicalGapAgreements[[#All],[AmountCharged]],Table_MedicalGapAgreements[[#All],[Year]],TA!$B11,Table_MedicalGapAgreements[[#All],[MonthEnd]],TA!$A11&amp;"*",Table_MedicalGapAgreements[[#All],[State]],TA!F$2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F$2,Table_MedicalGapAgreements[[#All],[GapType]],"Known gap agreement*")-SUMIFS(Table_MedicalGapAgreements[[#All],[MedicareBenefit]],Table_MedicalGapAgreements[[#All],[Year]],TA!$B11,Table_MedicalGapAgreements[[#All],[MonthEnd]],TA!$A11&amp;"*",Table_MedicalGapAgreements[[#All],[State]],TA!F$2,Table_MedicalGapAgreements[[#All],[GapType]],"No agreement*",Table_MedicalGapAgreements[[#All],[MBSFeePercentage]],"&lt;&gt;Up to MBS Fee*")-SUMIFS(Table_MedicalGapAgreements[[#All],[FundBenefit]],Table_MedicalGapAgreements[[#All],[Year]],TA!$B11,Table_MedicalGapAgreements[[#All],[MonthEnd]],TA!$A11&amp;"*",Table_MedicalGapAgreements[[#All],[State]],TA!F$2,Table_MedicalGapAgreements[[#All],[GapType]],"Known gap agreement*")-SUMIFS(Table_MedicalGapAgreements[[#All],[FundBenefit]],Table_MedicalGapAgreements[[#All],[Year]],TA!$B11,Table_MedicalGapAgreements[[#All],[MonthEnd]],TA!$A11&amp;"*",Table_MedicalGapAgreements[[#All],[State]],TA!F$2,Table_MedicalGapAgreements[[#All],[GapType]],"No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F$2,Table_MedicalGapAgreements[[#All],[GapType]],"Known gap agreement*")+SUMIFS(Table_MedicalGapAgreements[[#All],[NumberofServices]],Table_MedicalGapAgreements[[#All],[Year]],TA!$B11,Table_MedicalGapAgreements[[#All],[MonthEnd]],TA!$A11&amp;"*",Table_MedicalGapAgreements[[#All],[State]],TA!F$2,Table_MedicalGapAgreements[[#All],[GapType]],"No agreement*",Table_MedicalGapAgreements[[#All],[MBSFeePercentage]],"&lt;&gt;Up to MBS Fee*"))</f>
        <v>157.87386728605605</v>
      </c>
      <c r="G7" s="170">
        <f>(SUMIFS(Table_MedicalGapAgreements[[#All],[AmountCharged]],Table_MedicalGapAgreements[[#All],[Year]],TA!$B11,Table_MedicalGapAgreements[[#All],[MonthEnd]],TA!$A11&amp;"*",Table_MedicalGapAgreements[[#All],[State]],TA!G$2,Table_MedicalGapAgreements[[#All],[GapType]],"Known gap agreement*")+SUMIFS(Table_MedicalGapAgreements[[#All],[AmountCharged]],Table_MedicalGapAgreements[[#All],[Year]],TA!$B11,Table_MedicalGapAgreements[[#All],[MonthEnd]],TA!$A11&amp;"*",Table_MedicalGapAgreements[[#All],[State]],TA!G$2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G$2,Table_MedicalGapAgreements[[#All],[GapType]],"Known gap agreement*")-SUMIFS(Table_MedicalGapAgreements[[#All],[MedicareBenefit]],Table_MedicalGapAgreements[[#All],[Year]],TA!$B11,Table_MedicalGapAgreements[[#All],[MonthEnd]],TA!$A11&amp;"*",Table_MedicalGapAgreements[[#All],[State]],TA!G$2,Table_MedicalGapAgreements[[#All],[GapType]],"No agreement*",Table_MedicalGapAgreements[[#All],[MBSFeePercentage]],"&lt;&gt;Up to MBS Fee*")-SUMIFS(Table_MedicalGapAgreements[[#All],[FundBenefit]],Table_MedicalGapAgreements[[#All],[Year]],TA!$B11,Table_MedicalGapAgreements[[#All],[MonthEnd]],TA!$A11&amp;"*",Table_MedicalGapAgreements[[#All],[State]],TA!G$2,Table_MedicalGapAgreements[[#All],[GapType]],"Known gap agreement*")-SUMIFS(Table_MedicalGapAgreements[[#All],[FundBenefit]],Table_MedicalGapAgreements[[#All],[Year]],TA!$B11,Table_MedicalGapAgreements[[#All],[MonthEnd]],TA!$A11&amp;"*",Table_MedicalGapAgreements[[#All],[State]],TA!G$2,Table_MedicalGapAgreements[[#All],[GapType]],"No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G$2,Table_MedicalGapAgreements[[#All],[GapType]],"Known gap agreement*")+SUMIFS(Table_MedicalGapAgreements[[#All],[NumberofServices]],Table_MedicalGapAgreements[[#All],[Year]],TA!$B11,Table_MedicalGapAgreements[[#All],[MonthEnd]],TA!$A11&amp;"*",Table_MedicalGapAgreements[[#All],[State]],TA!G$2,Table_MedicalGapAgreements[[#All],[GapType]],"No agreement*",Table_MedicalGapAgreements[[#All],[MBSFeePercentage]],"&lt;&gt;Up to MBS Fee*"))</f>
        <v>203.13522543657945</v>
      </c>
      <c r="H7" s="170">
        <f>(SUMIFS(Table_MedicalGapAgreements[[#All],[AmountCharged]],Table_MedicalGapAgreements[[#All],[Year]],TA!$B11,Table_MedicalGapAgreements[[#All],[MonthEnd]],TA!$A11&amp;"*",Table_MedicalGapAgreements[[#All],[State]],TA!H$2,Table_MedicalGapAgreements[[#All],[GapType]],"Known gap agreement*")+SUMIFS(Table_MedicalGapAgreements[[#All],[AmountCharged]],Table_MedicalGapAgreements[[#All],[Year]],TA!$B11,Table_MedicalGapAgreements[[#All],[MonthEnd]],TA!$A11&amp;"*",Table_MedicalGapAgreements[[#All],[State]],TA!H$2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H$2,Table_MedicalGapAgreements[[#All],[GapType]],"Known gap agreement*")-SUMIFS(Table_MedicalGapAgreements[[#All],[MedicareBenefit]],Table_MedicalGapAgreements[[#All],[Year]],TA!$B11,Table_MedicalGapAgreements[[#All],[MonthEnd]],TA!$A11&amp;"*",Table_MedicalGapAgreements[[#All],[State]],TA!H$2,Table_MedicalGapAgreements[[#All],[GapType]],"No agreement*",Table_MedicalGapAgreements[[#All],[MBSFeePercentage]],"&lt;&gt;Up to MBS Fee*")-SUMIFS(Table_MedicalGapAgreements[[#All],[FundBenefit]],Table_MedicalGapAgreements[[#All],[Year]],TA!$B11,Table_MedicalGapAgreements[[#All],[MonthEnd]],TA!$A11&amp;"*",Table_MedicalGapAgreements[[#All],[State]],TA!H$2,Table_MedicalGapAgreements[[#All],[GapType]],"Known gap agreement*")-SUMIFS(Table_MedicalGapAgreements[[#All],[FundBenefit]],Table_MedicalGapAgreements[[#All],[Year]],TA!$B11,Table_MedicalGapAgreements[[#All],[MonthEnd]],TA!$A11&amp;"*",Table_MedicalGapAgreements[[#All],[State]],TA!H$2,Table_MedicalGapAgreements[[#All],[GapType]],"No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H$2,Table_MedicalGapAgreements[[#All],[GapType]],"Known gap agreement*")+SUMIFS(Table_MedicalGapAgreements[[#All],[NumberofServices]],Table_MedicalGapAgreements[[#All],[Year]],TA!$B11,Table_MedicalGapAgreements[[#All],[MonthEnd]],TA!$A11&amp;"*",Table_MedicalGapAgreements[[#All],[State]],TA!H$2,Table_MedicalGapAgreements[[#All],[GapType]],"No agreement*",Table_MedicalGapAgreements[[#All],[MBSFeePercentage]],"&lt;&gt;Up to MBS Fee*"))</f>
        <v>269.49831948507904</v>
      </c>
      <c r="I7" s="170">
        <f>(SUMIFS(Table_MedicalGapAgreements[[#All],[AmountCharged]],Table_MedicalGapAgreements[[#All],[Year]],TA!$B11,Table_MedicalGapAgreements[[#All],[MonthEnd]],TA!$A11&amp;"*",Table_MedicalGapAgreements[[#All],[State]],TA!I$2,Table_MedicalGapAgreements[[#All],[GapType]],"Known gap agreement*")+SUMIFS(Table_MedicalGapAgreements[[#All],[AmountCharged]],Table_MedicalGapAgreements[[#All],[Year]],TA!$B11,Table_MedicalGapAgreements[[#All],[MonthEnd]],TA!$A11&amp;"*",Table_MedicalGapAgreements[[#All],[State]],TA!I$2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I$2,Table_MedicalGapAgreements[[#All],[GapType]],"Known gap agreement*")-SUMIFS(Table_MedicalGapAgreements[[#All],[MedicareBenefit]],Table_MedicalGapAgreements[[#All],[Year]],TA!$B11,Table_MedicalGapAgreements[[#All],[MonthEnd]],TA!$A11&amp;"*",Table_MedicalGapAgreements[[#All],[State]],TA!I$2,Table_MedicalGapAgreements[[#All],[GapType]],"No agreement*",Table_MedicalGapAgreements[[#All],[MBSFeePercentage]],"&lt;&gt;Up to MBS Fee*")-SUMIFS(Table_MedicalGapAgreements[[#All],[FundBenefit]],Table_MedicalGapAgreements[[#All],[Year]],TA!$B11,Table_MedicalGapAgreements[[#All],[MonthEnd]],TA!$A11&amp;"*",Table_MedicalGapAgreements[[#All],[State]],TA!I$2,Table_MedicalGapAgreements[[#All],[GapType]],"Known gap agreement*")-SUMIFS(Table_MedicalGapAgreements[[#All],[FundBenefit]],Table_MedicalGapAgreements[[#All],[Year]],TA!$B11,Table_MedicalGapAgreements[[#All],[MonthEnd]],TA!$A11&amp;"*",Table_MedicalGapAgreements[[#All],[State]],TA!I$2,Table_MedicalGapAgreements[[#All],[GapType]],"No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I$2,Table_MedicalGapAgreements[[#All],[GapType]],"Known gap agreement*")+SUMIFS(Table_MedicalGapAgreements[[#All],[NumberofServices]],Table_MedicalGapAgreements[[#All],[Year]],TA!$B11,Table_MedicalGapAgreements[[#All],[MonthEnd]],TA!$A11&amp;"*",Table_MedicalGapAgreements[[#All],[State]],TA!I$2,Table_MedicalGapAgreements[[#All],[GapType]],"No agreement*",Table_MedicalGapAgreements[[#All],[MBSFeePercentage]],"&lt;&gt;Up to MBS Fee*"))</f>
        <v>365.06017124846784</v>
      </c>
      <c r="J7" s="170">
        <f>(SUMIFS(Table_MedicalGapAgreements[[#All],[AmountCharged]],Table_MedicalGapAgreements[[#All],[Year]],TA!$B11,Table_MedicalGapAgreements[[#All],[MonthEnd]],TA!$A11&amp;"*",Table_MedicalGapAgreements[[#All],[State]],TA!J$2,Table_MedicalGapAgreements[[#All],[GapType]],"Known gap agreement*")+SUMIFS(Table_MedicalGapAgreements[[#All],[AmountCharged]],Table_MedicalGapAgreements[[#All],[Year]],TA!$B11,Table_MedicalGapAgreements[[#All],[MonthEnd]],TA!$A11&amp;"*",Table_MedicalGapAgreements[[#All],[State]],TA!J$2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J$2,Table_MedicalGapAgreements[[#All],[GapType]],"Known gap agreement*")-SUMIFS(Table_MedicalGapAgreements[[#All],[MedicareBenefit]],Table_MedicalGapAgreements[[#All],[Year]],TA!$B11,Table_MedicalGapAgreements[[#All],[MonthEnd]],TA!$A11&amp;"*",Table_MedicalGapAgreements[[#All],[State]],TA!J$2,Table_MedicalGapAgreements[[#All],[GapType]],"No agreement*",Table_MedicalGapAgreements[[#All],[MBSFeePercentage]],"&lt;&gt;Up to MBS Fee*")-SUMIFS(Table_MedicalGapAgreements[[#All],[FundBenefit]],Table_MedicalGapAgreements[[#All],[Year]],TA!$B11,Table_MedicalGapAgreements[[#All],[MonthEnd]],TA!$A11&amp;"*",Table_MedicalGapAgreements[[#All],[State]],TA!J$2,Table_MedicalGapAgreements[[#All],[GapType]],"Known gap agreement*")-SUMIFS(Table_MedicalGapAgreements[[#All],[FundBenefit]],Table_MedicalGapAgreements[[#All],[Year]],TA!$B11,Table_MedicalGapAgreements[[#All],[MonthEnd]],TA!$A11&amp;"*",Table_MedicalGapAgreements[[#All],[State]],TA!J$2,Table_MedicalGapAgreements[[#All],[GapType]],"No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J$2,Table_MedicalGapAgreements[[#All],[GapType]],"Known gap agreement*")+SUMIFS(Table_MedicalGapAgreements[[#All],[NumberofServices]],Table_MedicalGapAgreements[[#All],[Year]],TA!$B11,Table_MedicalGapAgreements[[#All],[MonthEnd]],TA!$A11&amp;"*",Table_MedicalGapAgreements[[#All],[State]],TA!J$2,Table_MedicalGapAgreements[[#All],[GapType]],"No agreement*",Table_MedicalGapAgreements[[#All],[MBSFeePercentage]],"&lt;&gt;Up to MBS Fee*"))</f>
        <v>378.44071736320547</v>
      </c>
      <c r="K7" s="170">
        <f>(SUMIFS(Table_MedicalGapAgreements[[#All],[AmountCharged]],Table_MedicalGapAgreements[[#All],[Year]],TA!$B11,Table_MedicalGapAgreements[[#All],[MonthEnd]],TA!$A11&amp;"*",Table_MedicalGapAgreements[[#All],[GapType]],"Known gap agreement*")+SUMIFS(Table_MedicalGapAgreements[[#All],[AmountCharged]],Table_MedicalGapAgreements[[#All],[Year]],TA!$B11,Table_MedicalGapAgreements[[#All],[MonthEnd]],TA!$A11&amp;"*",Table_MedicalGapAgreements[[#All],[GapType]],"No agreement*",Table_MedicalGapAgreements[[#All],[MBSFeePercentage]],"&lt;&gt;Up to MBS Fee*")-SUMIFS(Table_MedicalGapAgreements[[#All],[MedicareBenefit]],Table_MedicalGapAgreements[[#All],[Year]],TA!$B11,Table_MedicalGapAgreements[[#All],[MonthEnd]],TA!$A11&amp;"*",Table_MedicalGapAgreements[[#All],[GapType]],"Known gap agreement*")-SUMIFS(Table_MedicalGapAgreements[[#All],[MedicareBenefit]],Table_MedicalGapAgreements[[#All],[Year]],TA!$B11,Table_MedicalGapAgreements[[#All],[MonthEnd]],TA!$A11&amp;"*",Table_MedicalGapAgreements[[#All],[GapType]],"No agreement*",Table_MedicalGapAgreements[[#All],[MBSFeePercentage]],"&lt;&gt;Up to MBS Fee*")-SUMIFS(Table_MedicalGapAgreements[[#All],[FundBenefit]],Table_MedicalGapAgreements[[#All],[Year]],TA!$B11,Table_MedicalGapAgreements[[#All],[MonthEnd]],TA!$A11&amp;"*",Table_MedicalGapAgreements[[#All],[GapType]],"Known gap agreement*")-SUMIFS(Table_MedicalGapAgreements[[#All],[FundBenefit]],Table_MedicalGapAgreements[[#All],[Year]],TA!$B11,Table_MedicalGapAgreements[[#All],[MonthEnd]],TA!$A11&amp;"*",Table_MedicalGapAgreements[[#All],[GapType]],"No agreement*",Table_MedicalGapAgreements[[#All],[MBSFeePercentage]],"&lt;&gt;Up to MBS Fee*"))/(SUMIFS(Table_MedicalGapAgreements[[#All],[NumberofServices]],Table_MedicalGapAgreements[[#All],[Year]],TA!$B11,Table_MedicalGapAgreements[[#All],[MonthEnd]],TA!$A11&amp;"*",Table_MedicalGapAgreements[[#All],[GapType]],"Known gap agreement*")+SUMIFS(Table_MedicalGapAgreements[[#All],[NumberofServices]],Table_MedicalGapAgreements[[#All],[Year]],TA!$B11,Table_MedicalGapAgreements[[#All],[MonthEnd]],TA!$A11&amp;"*",Table_MedicalGapAgreements[[#All],[GapType]],"No agreement*",Table_MedicalGapAgreements[[#All],[MBSFeePercentage]],"&lt;&gt;Up to MBS Fee*"))</f>
        <v>256.21817104567418</v>
      </c>
      <c r="M7" s="22"/>
      <c r="N7" s="22"/>
      <c r="O7" s="22"/>
      <c r="P7" s="22"/>
      <c r="Q7" s="22"/>
      <c r="R7" s="22"/>
      <c r="S7" s="22"/>
      <c r="T7" s="22"/>
      <c r="U7" s="22"/>
      <c r="V7" s="22"/>
      <c r="W7" s="22"/>
      <c r="X7" s="22"/>
      <c r="Y7" s="22"/>
      <c r="Z7" s="22"/>
      <c r="AA7" s="22"/>
      <c r="AB7" s="22"/>
      <c r="AC7" s="22"/>
      <c r="AD7" s="22"/>
      <c r="AE7" s="22"/>
      <c r="AF7" s="22"/>
      <c r="AG7" s="22"/>
    </row>
    <row r="8" spans="1:33" s="31" customFormat="1" ht="29.1" customHeight="1">
      <c r="A8" s="229" t="str">
        <f>TA!A12&amp;" "&amp;TA!B12</f>
        <v>Mar 2024</v>
      </c>
      <c r="B8" s="162" t="s">
        <v>19</v>
      </c>
      <c r="C8" s="163">
        <f>(SUMIFS(Table_MedicalGapAgreements[[#All],[NumberofServices]],Table_MedicalGapAgreements[[#All],[Year]],TA!$B12,Table_MedicalGapAgreements[[#All],[MonthEnd]],TA!$A12&amp;"*",Table_MedicalGapAgreements[[#All],[State]],TA!C$2,Table_MedicalGapAgreements[[#All],[GapType]],"No gap agreement*")+SUMIFS(Table_MedicalGapAgreements[[#All],[NumberofServices]],Table_MedicalGapAgreements[[#All],[Year]],TA!$B12,Table_MedicalGapAgreements[[#All],[MonthEnd]],TA!$A12&amp;"*",Table_MedicalGapAgreements[[#All],[State]],TA!C$2,Table_MedicalGapAgreements[[#All],[GapType]],"No agreement*",Table_MedicalGapAgreements[[#All],[MBSFeePercentage]],"Up to MBS*"))/SUMIFS(Table_MedicalGapAgreements[[#All],[NumberofServices]],Table_MedicalGapAgreements[[#All],[Year]],TA!$B12,Table_MedicalGapAgreements[[#All],[MonthEnd]],TA!$A12&amp;"*",Table_MedicalGapAgreements[[#All],[State]],TA!C$2)</f>
        <v>0.89650107882273733</v>
      </c>
      <c r="D8" s="163">
        <f>(SUMIFS(Table_MedicalGapAgreements[[#All],[NumberofServices]],Table_MedicalGapAgreements[[#All],[Year]],TA!$B12,Table_MedicalGapAgreements[[#All],[MonthEnd]],TA!$A12&amp;"*",Table_MedicalGapAgreements[[#All],[State]],TA!D$2,Table_MedicalGapAgreements[[#All],[GapType]],"No gap agreement*")+SUMIFS(Table_MedicalGapAgreements[[#All],[NumberofServices]],Table_MedicalGapAgreements[[#All],[Year]],TA!$B12,Table_MedicalGapAgreements[[#All],[MonthEnd]],TA!$A12&amp;"*",Table_MedicalGapAgreements[[#All],[State]],TA!D$2,Table_MedicalGapAgreements[[#All],[GapType]],"No agreement*",Table_MedicalGapAgreements[[#All],[MBSFeePercentage]],"Up to MBS*"))/SUMIFS(Table_MedicalGapAgreements[[#All],[NumberofServices]],Table_MedicalGapAgreements[[#All],[Year]],TA!$B12,Table_MedicalGapAgreements[[#All],[MonthEnd]],TA!$A12&amp;"*",Table_MedicalGapAgreements[[#All],[State]],TA!D$2)</f>
        <v>0.86807533228449896</v>
      </c>
      <c r="E8" s="163">
        <f>(SUMIFS(Table_MedicalGapAgreements[[#All],[NumberofServices]],Table_MedicalGapAgreements[[#All],[Year]],TA!$B12,Table_MedicalGapAgreements[[#All],[MonthEnd]],TA!$A12&amp;"*",Table_MedicalGapAgreements[[#All],[State]],TA!E$2,Table_MedicalGapAgreements[[#All],[GapType]],"No gap agreement*")+SUMIFS(Table_MedicalGapAgreements[[#All],[NumberofServices]],Table_MedicalGapAgreements[[#All],[Year]],TA!$B12,Table_MedicalGapAgreements[[#All],[MonthEnd]],TA!$A12&amp;"*",Table_MedicalGapAgreements[[#All],[State]],TA!E$2,Table_MedicalGapAgreements[[#All],[GapType]],"No agreement*",Table_MedicalGapAgreements[[#All],[MBSFeePercentage]],"Up to MBS*"))/SUMIFS(Table_MedicalGapAgreements[[#All],[NumberofServices]],Table_MedicalGapAgreements[[#All],[Year]],TA!$B12,Table_MedicalGapAgreements[[#All],[MonthEnd]],TA!$A12&amp;"*",Table_MedicalGapAgreements[[#All],[State]],TA!E$2)</f>
        <v>0.88527093817143043</v>
      </c>
      <c r="F8" s="163">
        <f>(SUMIFS(Table_MedicalGapAgreements[[#All],[NumberofServices]],Table_MedicalGapAgreements[[#All],[Year]],TA!$B12,Table_MedicalGapAgreements[[#All],[MonthEnd]],TA!$A12&amp;"*",Table_MedicalGapAgreements[[#All],[State]],TA!F$2,Table_MedicalGapAgreements[[#All],[GapType]],"No gap agreement*")+SUMIFS(Table_MedicalGapAgreements[[#All],[NumberofServices]],Table_MedicalGapAgreements[[#All],[Year]],TA!$B12,Table_MedicalGapAgreements[[#All],[MonthEnd]],TA!$A12&amp;"*",Table_MedicalGapAgreements[[#All],[State]],TA!F$2,Table_MedicalGapAgreements[[#All],[GapType]],"No agreement*",Table_MedicalGapAgreements[[#All],[MBSFeePercentage]],"Up to MBS*"))/SUMIFS(Table_MedicalGapAgreements[[#All],[NumberofServices]],Table_MedicalGapAgreements[[#All],[Year]],TA!$B12,Table_MedicalGapAgreements[[#All],[MonthEnd]],TA!$A12&amp;"*",Table_MedicalGapAgreements[[#All],[State]],TA!F$2)</f>
        <v>0.87666777243552241</v>
      </c>
      <c r="G8" s="163">
        <f>(SUMIFS(Table_MedicalGapAgreements[[#All],[NumberofServices]],Table_MedicalGapAgreements[[#All],[Year]],TA!$B12,Table_MedicalGapAgreements[[#All],[MonthEnd]],TA!$A12&amp;"*",Table_MedicalGapAgreements[[#All],[State]],TA!G$2,Table_MedicalGapAgreements[[#All],[GapType]],"No gap agreement*")+SUMIFS(Table_MedicalGapAgreements[[#All],[NumberofServices]],Table_MedicalGapAgreements[[#All],[Year]],TA!$B12,Table_MedicalGapAgreements[[#All],[MonthEnd]],TA!$A12&amp;"*",Table_MedicalGapAgreements[[#All],[State]],TA!G$2,Table_MedicalGapAgreements[[#All],[GapType]],"No agreement*",Table_MedicalGapAgreements[[#All],[MBSFeePercentage]],"Up to MBS*"))/SUMIFS(Table_MedicalGapAgreements[[#All],[NumberofServices]],Table_MedicalGapAgreements[[#All],[Year]],TA!$B12,Table_MedicalGapAgreements[[#All],[MonthEnd]],TA!$A12&amp;"*",Table_MedicalGapAgreements[[#All],[State]],TA!G$2)</f>
        <v>0.87843939794032211</v>
      </c>
      <c r="H8" s="163">
        <f>(SUMIFS(Table_MedicalGapAgreements[[#All],[NumberofServices]],Table_MedicalGapAgreements[[#All],[Year]],TA!$B12,Table_MedicalGapAgreements[[#All],[MonthEnd]],TA!$A12&amp;"*",Table_MedicalGapAgreements[[#All],[State]],TA!H$2,Table_MedicalGapAgreements[[#All],[GapType]],"No gap agreement*")+SUMIFS(Table_MedicalGapAgreements[[#All],[NumberofServices]],Table_MedicalGapAgreements[[#All],[Year]],TA!$B12,Table_MedicalGapAgreements[[#All],[MonthEnd]],TA!$A12&amp;"*",Table_MedicalGapAgreements[[#All],[State]],TA!H$2,Table_MedicalGapAgreements[[#All],[GapType]],"No agreement*",Table_MedicalGapAgreements[[#All],[MBSFeePercentage]],"Up to MBS*"))/SUMIFS(Table_MedicalGapAgreements[[#All],[NumberofServices]],Table_MedicalGapAgreements[[#All],[Year]],TA!$B12,Table_MedicalGapAgreements[[#All],[MonthEnd]],TA!$A12&amp;"*",Table_MedicalGapAgreements[[#All],[State]],TA!H$2)</f>
        <v>0.91591417622892013</v>
      </c>
      <c r="I8" s="163">
        <f>(SUMIFS(Table_MedicalGapAgreements[[#All],[NumberofServices]],Table_MedicalGapAgreements[[#All],[Year]],TA!$B12,Table_MedicalGapAgreements[[#All],[MonthEnd]],TA!$A12&amp;"*",Table_MedicalGapAgreements[[#All],[State]],TA!I$2,Table_MedicalGapAgreements[[#All],[GapType]],"No gap agreement*")+SUMIFS(Table_MedicalGapAgreements[[#All],[NumberofServices]],Table_MedicalGapAgreements[[#All],[Year]],TA!$B12,Table_MedicalGapAgreements[[#All],[MonthEnd]],TA!$A12&amp;"*",Table_MedicalGapAgreements[[#All],[State]],TA!I$2,Table_MedicalGapAgreements[[#All],[GapType]],"No agreement*",Table_MedicalGapAgreements[[#All],[MBSFeePercentage]],"Up to MBS*"))/SUMIFS(Table_MedicalGapAgreements[[#All],[NumberofServices]],Table_MedicalGapAgreements[[#All],[Year]],TA!$B12,Table_MedicalGapAgreements[[#All],[MonthEnd]],TA!$A12&amp;"*",Table_MedicalGapAgreements[[#All],[State]],TA!I$2)</f>
        <v>0.7698824173889226</v>
      </c>
      <c r="J8" s="163">
        <f>(SUMIFS(Table_MedicalGapAgreements[[#All],[NumberofServices]],Table_MedicalGapAgreements[[#All],[Year]],TA!$B12,Table_MedicalGapAgreements[[#All],[MonthEnd]],TA!$A12&amp;"*",Table_MedicalGapAgreements[[#All],[State]],TA!J$2,Table_MedicalGapAgreements[[#All],[GapType]],"No gap agreement*")+SUMIFS(Table_MedicalGapAgreements[[#All],[NumberofServices]],Table_MedicalGapAgreements[[#All],[Year]],TA!$B12,Table_MedicalGapAgreements[[#All],[MonthEnd]],TA!$A12&amp;"*",Table_MedicalGapAgreements[[#All],[State]],TA!J$2,Table_MedicalGapAgreements[[#All],[GapType]],"No agreement*",Table_MedicalGapAgreements[[#All],[MBSFeePercentage]],"Up to MBS*"))/SUMIFS(Table_MedicalGapAgreements[[#All],[NumberofServices]],Table_MedicalGapAgreements[[#All],[Year]],TA!$B12,Table_MedicalGapAgreements[[#All],[MonthEnd]],TA!$A12&amp;"*",Table_MedicalGapAgreements[[#All],[State]],TA!J$2)</f>
        <v>0.81376816232477756</v>
      </c>
      <c r="K8" s="163">
        <f>(SUMIFS(Table_MedicalGapAgreements[[#All],[NumberofServices]],Table_MedicalGapAgreements[[#All],[Year]],TA!$B12,Table_MedicalGapAgreements[[#All],[MonthEnd]],TA!$A12&amp;"*",Table_MedicalGapAgreements[[#All],[GapType]],"No gap agreement*")+SUMIFS(Table_MedicalGapAgreements[[#All],[NumberofServices]],Table_MedicalGapAgreements[[#All],[Year]],TA!$B12,Table_MedicalGapAgreements[[#All],[MonthEnd]],TA!$A12&amp;"*",Table_MedicalGapAgreements[[#All],[GapType]],"No agreement*",Table_MedicalGapAgreements[[#All],[MBSFeePercentage]],"Up to MBS*"))/SUMIFS(Table_MedicalGapAgreements[[#All],[NumberofServices]],Table_MedicalGapAgreements[[#All],[Year]],TA!$B12,Table_MedicalGapAgreements[[#All],[MonthEnd]],TA!$A12&amp;"*")</f>
        <v>0.88273248628335388</v>
      </c>
      <c r="M8" s="22"/>
      <c r="N8" s="22"/>
      <c r="O8" s="22"/>
      <c r="P8" s="22"/>
      <c r="Q8" s="22"/>
      <c r="R8" s="22"/>
      <c r="S8" s="22"/>
      <c r="T8" s="22"/>
      <c r="U8" s="22"/>
      <c r="V8" s="22"/>
      <c r="W8" s="22"/>
      <c r="X8" s="22"/>
      <c r="Y8" s="22"/>
      <c r="Z8" s="22"/>
      <c r="AA8" s="22"/>
      <c r="AB8" s="22"/>
      <c r="AC8" s="22"/>
      <c r="AD8" s="22"/>
      <c r="AE8" s="22"/>
      <c r="AF8" s="22"/>
      <c r="AG8" s="22"/>
    </row>
    <row r="9" spans="1:33" s="31" customFormat="1" ht="29.1" customHeight="1">
      <c r="A9" s="230"/>
      <c r="B9" s="164" t="s">
        <v>32</v>
      </c>
      <c r="C9" s="165">
        <f>(SUMIFS(Table_MedicalGapAgreements[[#All],[NumberofServices]],Table_MedicalGapAgreements[[#All],[Year]],TA!$B12,Table_MedicalGapAgreements[[#All],[MonthEnd]],TA!$A12,Table_MedicalGapAgreements[[#All],[State]],TA!C$2,Table_MedicalGapAgreements[[#All],[GapType]],"Known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f>
        <v>6.7948278102824153E-2</v>
      </c>
      <c r="D9" s="165">
        <f>(SUMIFS(Table_MedicalGapAgreements[[#All],[NumberofServices]],Table_MedicalGapAgreements[[#All],[Year]],TA!$B12,Table_MedicalGapAgreements[[#All],[MonthEnd]],TA!$A12,Table_MedicalGapAgreements[[#All],[State]],TA!D$2,Table_MedicalGapAgreements[[#All],[GapType]],"Known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f>
        <v>0.10920186203545899</v>
      </c>
      <c r="E9" s="165">
        <f>(SUMIFS(Table_MedicalGapAgreements[[#All],[NumberofServices]],Table_MedicalGapAgreements[[#All],[Year]],TA!$B12,Table_MedicalGapAgreements[[#All],[MonthEnd]],TA!$A12,Table_MedicalGapAgreements[[#All],[State]],TA!E$2,Table_MedicalGapAgreements[[#All],[GapType]],"Known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f>
        <v>8.5324794216313934E-2</v>
      </c>
      <c r="F9" s="165">
        <f>(SUMIFS(Table_MedicalGapAgreements[[#All],[NumberofServices]],Table_MedicalGapAgreements[[#All],[Year]],TA!$B12,Table_MedicalGapAgreements[[#All],[MonthEnd]],TA!$A12,Table_MedicalGapAgreements[[#All],[State]],TA!F$2,Table_MedicalGapAgreements[[#All],[GapType]],"Known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f>
        <v>0.11548906871779907</v>
      </c>
      <c r="G9" s="165">
        <f>(SUMIFS(Table_MedicalGapAgreements[[#All],[NumberofServices]],Table_MedicalGapAgreements[[#All],[Year]],TA!$B12,Table_MedicalGapAgreements[[#All],[MonthEnd]],TA!$A12,Table_MedicalGapAgreements[[#All],[State]],TA!G$2,Table_MedicalGapAgreements[[#All],[GapType]],"Known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f>
        <v>0.10040015437427637</v>
      </c>
      <c r="H9" s="165">
        <f>(SUMIFS(Table_MedicalGapAgreements[[#All],[NumberofServices]],Table_MedicalGapAgreements[[#All],[Year]],TA!$B12,Table_MedicalGapAgreements[[#All],[MonthEnd]],TA!$A12,Table_MedicalGapAgreements[[#All],[State]],TA!H$2,Table_MedicalGapAgreements[[#All],[GapType]],"Known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f>
        <v>7.3982344156085733E-2</v>
      </c>
      <c r="I9" s="165">
        <f>(SUMIFS(Table_MedicalGapAgreements[[#All],[NumberofServices]],Table_MedicalGapAgreements[[#All],[Year]],TA!$B12,Table_MedicalGapAgreements[[#All],[MonthEnd]],TA!$A12,Table_MedicalGapAgreements[[#All],[State]],TA!I$2,Table_MedicalGapAgreements[[#All],[GapType]],"Known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f>
        <v>0.14151976992154638</v>
      </c>
      <c r="J9" s="165">
        <f>(SUMIFS(Table_MedicalGapAgreements[[#All],[NumberofServices]],Table_MedicalGapAgreements[[#All],[Year]],TA!$B12,Table_MedicalGapAgreements[[#All],[MonthEnd]],TA!$A12,Table_MedicalGapAgreements[[#All],[State]],TA!J$2,Table_MedicalGapAgreements[[#All],[GapType]],"Known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f>
        <v>0.14750688088075273</v>
      </c>
      <c r="K9" s="165">
        <f>(SUMIFS(Table_MedicalGapAgreements[[#All],[NumberofServices]],Table_MedicalGapAgreements[[#All],[Year]],TA!$B12,Table_MedicalGapAgreements[[#All],[MonthEnd]],TA!$A12,Table_MedicalGapAgreements[[#All],[GapType]],"Known gap agreement"))/SUMIFS(Table_MedicalGapAgreements[[#All],[NumberofServices]],Table_MedicalGapAgreements[[#All],[Year]],TA!$B12,Table_MedicalGapAgreements[[#All],[MonthEnd]],TA!$A12&amp;"*")</f>
        <v>8.9557656864257373E-2</v>
      </c>
      <c r="M9" s="22"/>
      <c r="N9" s="22"/>
      <c r="O9" s="22"/>
      <c r="P9" s="22"/>
      <c r="Q9" s="22"/>
      <c r="R9" s="22"/>
      <c r="S9" s="22"/>
      <c r="T9" s="22"/>
      <c r="U9" s="22"/>
      <c r="V9" s="22"/>
      <c r="W9" s="22"/>
      <c r="X9" s="22"/>
      <c r="Y9" s="22"/>
      <c r="Z9" s="22"/>
      <c r="AA9" s="22"/>
      <c r="AB9" s="22"/>
      <c r="AC9" s="22"/>
      <c r="AD9" s="22"/>
      <c r="AE9" s="22"/>
      <c r="AF9" s="22"/>
      <c r="AG9" s="22"/>
    </row>
    <row r="10" spans="1:33" s="31" customFormat="1" ht="29.1" customHeight="1">
      <c r="A10" s="230"/>
      <c r="B10" s="166" t="s">
        <v>33</v>
      </c>
      <c r="C10" s="167">
        <f>(SUMIFS(Table_MedicalGapAgreements[[#All],[AmountCharged]],Table_MedicalGapAgreements[[#All],[Year]],TA!$B12,Table_MedicalGapAgreements[[#All],[MonthEnd]],TA!$A12,Table_MedicalGapAgreements[[#All],[State]],TA!C$2)-SUMIFS(Table_MedicalGapAgreements[[#All],[MedicareBenefit]],Table_MedicalGapAgreements[[#All],[Year]],TA!$B12,Table_MedicalGapAgreements[[#All],[MonthEnd]],TA!$A12,Table_MedicalGapAgreements[[#All],[State]],TA!C$2)-SUMIFS(Table_MedicalGapAgreements[[#All],[FundBenefit]],Table_MedicalGapAgreements[[#All],[Year]],TA!$B12,Table_MedicalGapAgreements[[#All],[MonthEnd]],TA!$A12,Table_MedicalGapAgreements[[#All],[State]],TA!C$2))/SUMIFS(Table_MedicalGapAgreements[[#All],[NumberofServices]],Table_MedicalGapAgreements[[#All],[Year]],TA!$B12,Table_MedicalGapAgreements[[#All],[MonthEnd]],TA!$A12,Table_MedicalGapAgreements[[#All],[State]],TA!C$2)</f>
        <v>33.210365712592761</v>
      </c>
      <c r="D10" s="167">
        <f>(SUMIFS(Table_MedicalGapAgreements[[#All],[AmountCharged]],Table_MedicalGapAgreements[[#All],[Year]],TA!$B12,Table_MedicalGapAgreements[[#All],[MonthEnd]],TA!$A12,Table_MedicalGapAgreements[[#All],[State]],TA!D$2)-SUMIFS(Table_MedicalGapAgreements[[#All],[MedicareBenefit]],Table_MedicalGapAgreements[[#All],[Year]],TA!$B12,Table_MedicalGapAgreements[[#All],[MonthEnd]],TA!$A12,Table_MedicalGapAgreements[[#All],[State]],TA!D$2)-SUMIFS(Table_MedicalGapAgreements[[#All],[FundBenefit]],Table_MedicalGapAgreements[[#All],[Year]],TA!$B12,Table_MedicalGapAgreements[[#All],[MonthEnd]],TA!$A12,Table_MedicalGapAgreements[[#All],[State]],TA!D$2))/SUMIFS(Table_MedicalGapAgreements[[#All],[NumberofServices]],Table_MedicalGapAgreements[[#All],[Year]],TA!$B12,Table_MedicalGapAgreements[[#All],[MonthEnd]],TA!$A12,Table_MedicalGapAgreements[[#All],[State]],TA!D$2)</f>
        <v>27.188803316335875</v>
      </c>
      <c r="E10" s="167">
        <f>(SUMIFS(Table_MedicalGapAgreements[[#All],[AmountCharged]],Table_MedicalGapAgreements[[#All],[Year]],TA!$B12,Table_MedicalGapAgreements[[#All],[MonthEnd]],TA!$A12,Table_MedicalGapAgreements[[#All],[State]],TA!E$2)-SUMIFS(Table_MedicalGapAgreements[[#All],[MedicareBenefit]],Table_MedicalGapAgreements[[#All],[Year]],TA!$B12,Table_MedicalGapAgreements[[#All],[MonthEnd]],TA!$A12,Table_MedicalGapAgreements[[#All],[State]],TA!E$2)-SUMIFS(Table_MedicalGapAgreements[[#All],[FundBenefit]],Table_MedicalGapAgreements[[#All],[Year]],TA!$B12,Table_MedicalGapAgreements[[#All],[MonthEnd]],TA!$A12,Table_MedicalGapAgreements[[#All],[State]],TA!E$2))/SUMIFS(Table_MedicalGapAgreements[[#All],[NumberofServices]],Table_MedicalGapAgreements[[#All],[Year]],TA!$B12,Table_MedicalGapAgreements[[#All],[MonthEnd]],TA!$A12,Table_MedicalGapAgreements[[#All],[State]],TA!E$2)</f>
        <v>30.872433312839568</v>
      </c>
      <c r="F10" s="167">
        <f>(SUMIFS(Table_MedicalGapAgreements[[#All],[AmountCharged]],Table_MedicalGapAgreements[[#All],[Year]],TA!$B12,Table_MedicalGapAgreements[[#All],[MonthEnd]],TA!$A12,Table_MedicalGapAgreements[[#All],[State]],TA!F$2)-SUMIFS(Table_MedicalGapAgreements[[#All],[MedicareBenefit]],Table_MedicalGapAgreements[[#All],[Year]],TA!$B12,Table_MedicalGapAgreements[[#All],[MonthEnd]],TA!$A12,Table_MedicalGapAgreements[[#All],[State]],TA!F$2)-SUMIFS(Table_MedicalGapAgreements[[#All],[FundBenefit]],Table_MedicalGapAgreements[[#All],[Year]],TA!$B12,Table_MedicalGapAgreements[[#All],[MonthEnd]],TA!$A12,Table_MedicalGapAgreements[[#All],[State]],TA!F$2))/SUMIFS(Table_MedicalGapAgreements[[#All],[NumberofServices]],Table_MedicalGapAgreements[[#All],[Year]],TA!$B12,Table_MedicalGapAgreements[[#All],[MonthEnd]],TA!$A12,Table_MedicalGapAgreements[[#All],[State]],TA!F$2)</f>
        <v>19.17449087603045</v>
      </c>
      <c r="G10" s="167">
        <f>(SUMIFS(Table_MedicalGapAgreements[[#All],[AmountCharged]],Table_MedicalGapAgreements[[#All],[Year]],TA!$B12,Table_MedicalGapAgreements[[#All],[MonthEnd]],TA!$A12,Table_MedicalGapAgreements[[#All],[State]],TA!G$2)-SUMIFS(Table_MedicalGapAgreements[[#All],[MedicareBenefit]],Table_MedicalGapAgreements[[#All],[Year]],TA!$B12,Table_MedicalGapAgreements[[#All],[MonthEnd]],TA!$A12,Table_MedicalGapAgreements[[#All],[State]],TA!G$2)-SUMIFS(Table_MedicalGapAgreements[[#All],[FundBenefit]],Table_MedicalGapAgreements[[#All],[Year]],TA!$B12,Table_MedicalGapAgreements[[#All],[MonthEnd]],TA!$A12,Table_MedicalGapAgreements[[#All],[State]],TA!G$2))/SUMIFS(Table_MedicalGapAgreements[[#All],[NumberofServices]],Table_MedicalGapAgreements[[#All],[Year]],TA!$B12,Table_MedicalGapAgreements[[#All],[MonthEnd]],TA!$A12,Table_MedicalGapAgreements[[#All],[State]],TA!G$2)</f>
        <v>24.161398366882644</v>
      </c>
      <c r="H10" s="167">
        <f>(SUMIFS(Table_MedicalGapAgreements[[#All],[AmountCharged]],Table_MedicalGapAgreements[[#All],[Year]],TA!$B12,Table_MedicalGapAgreements[[#All],[MonthEnd]],TA!$A12,Table_MedicalGapAgreements[[#All],[State]],TA!H$2)-SUMIFS(Table_MedicalGapAgreements[[#All],[MedicareBenefit]],Table_MedicalGapAgreements[[#All],[Year]],TA!$B12,Table_MedicalGapAgreements[[#All],[MonthEnd]],TA!$A12,Table_MedicalGapAgreements[[#All],[State]],TA!H$2)-SUMIFS(Table_MedicalGapAgreements[[#All],[FundBenefit]],Table_MedicalGapAgreements[[#All],[Year]],TA!$B12,Table_MedicalGapAgreements[[#All],[MonthEnd]],TA!$A12,Table_MedicalGapAgreements[[#All],[State]],TA!H$2))/SUMIFS(Table_MedicalGapAgreements[[#All],[NumberofServices]],Table_MedicalGapAgreements[[#All],[Year]],TA!$B12,Table_MedicalGapAgreements[[#All],[MonthEnd]],TA!$A12,Table_MedicalGapAgreements[[#All],[State]],TA!H$2)</f>
        <v>22.411181113242982</v>
      </c>
      <c r="I10" s="167">
        <f>(SUMIFS(Table_MedicalGapAgreements[[#All],[AmountCharged]],Table_MedicalGapAgreements[[#All],[Year]],TA!$B12,Table_MedicalGapAgreements[[#All],[MonthEnd]],TA!$A12,Table_MedicalGapAgreements[[#All],[State]],TA!I$2)-SUMIFS(Table_MedicalGapAgreements[[#All],[MedicareBenefit]],Table_MedicalGapAgreements[[#All],[Year]],TA!$B12,Table_MedicalGapAgreements[[#All],[MonthEnd]],TA!$A12,Table_MedicalGapAgreements[[#All],[State]],TA!I$2)-SUMIFS(Table_MedicalGapAgreements[[#All],[FundBenefit]],Table_MedicalGapAgreements[[#All],[Year]],TA!$B12,Table_MedicalGapAgreements[[#All],[MonthEnd]],TA!$A12,Table_MedicalGapAgreements[[#All],[State]],TA!I$2))/SUMIFS(Table_MedicalGapAgreements[[#All],[NumberofServices]],Table_MedicalGapAgreements[[#All],[Year]],TA!$B12,Table_MedicalGapAgreements[[#All],[MonthEnd]],TA!$A12,Table_MedicalGapAgreements[[#All],[State]],TA!I$2)</f>
        <v>92.848213272552997</v>
      </c>
      <c r="J10" s="167">
        <f>(SUMIFS(Table_MedicalGapAgreements[[#All],[AmountCharged]],Table_MedicalGapAgreements[[#All],[Year]],TA!$B12,Table_MedicalGapAgreements[[#All],[MonthEnd]],TA!$A12,Table_MedicalGapAgreements[[#All],[State]],TA!J$2)-SUMIFS(Table_MedicalGapAgreements[[#All],[MedicareBenefit]],Table_MedicalGapAgreements[[#All],[Year]],TA!$B12,Table_MedicalGapAgreements[[#All],[MonthEnd]],TA!$A12,Table_MedicalGapAgreements[[#All],[State]],TA!J$2)-SUMIFS(Table_MedicalGapAgreements[[#All],[FundBenefit]],Table_MedicalGapAgreements[[#All],[Year]],TA!$B12,Table_MedicalGapAgreements[[#All],[MonthEnd]],TA!$A12,Table_MedicalGapAgreements[[#All],[State]],TA!J$2))/SUMIFS(Table_MedicalGapAgreements[[#All],[NumberofServices]],Table_MedicalGapAgreements[[#All],[Year]],TA!$B12,Table_MedicalGapAgreements[[#All],[MonthEnd]],TA!$A12,Table_MedicalGapAgreements[[#All],[State]],TA!J$2)</f>
        <v>54.966997695705039</v>
      </c>
      <c r="K10" s="167">
        <f>(SUMIFS(Table_MedicalGapAgreements[[#All],[AmountCharged]],Table_MedicalGapAgreements[[#All],[Year]],TA!$B12,Table_MedicalGapAgreements[[#All],[MonthEnd]],TA!$A12&amp;"*")-SUMIFS(Table_MedicalGapAgreements[[#All],[MedicareBenefit]],Table_MedicalGapAgreements[[#All],[Year]],TA!$B12,Table_MedicalGapAgreements[[#All],[MonthEnd]],TA!$A12&amp;"*")-SUMIFS(Table_MedicalGapAgreements[[#All],[FundBenefit]],Table_MedicalGapAgreements[[#All],[Year]],TA!$B12,Table_MedicalGapAgreements[[#All],[MonthEnd]],TA!$A12&amp;"*"))/SUMIFS(Table_MedicalGapAgreements[[#All],[NumberofServices]],Table_MedicalGapAgreements[[#All],[Year]],TA!$B12,Table_MedicalGapAgreements[[#All],[MonthEnd]],TA!$A12&amp;"*")</f>
        <v>29.796698110061321</v>
      </c>
      <c r="M10" s="22"/>
      <c r="N10" s="22"/>
      <c r="O10" s="22"/>
      <c r="P10" s="22"/>
      <c r="Q10" s="22"/>
      <c r="R10" s="22"/>
      <c r="S10" s="22"/>
      <c r="T10" s="22"/>
      <c r="U10" s="22"/>
      <c r="V10" s="22"/>
      <c r="W10" s="22"/>
      <c r="X10" s="22"/>
      <c r="Y10" s="22"/>
      <c r="Z10" s="22"/>
      <c r="AA10" s="22"/>
      <c r="AB10" s="22"/>
      <c r="AC10" s="22"/>
      <c r="AD10" s="22"/>
      <c r="AE10" s="22"/>
      <c r="AF10" s="22"/>
      <c r="AG10" s="22"/>
    </row>
    <row r="11" spans="1:33" s="31" customFormat="1" ht="29.1" customHeight="1">
      <c r="A11" s="230"/>
      <c r="B11" s="166" t="s">
        <v>34</v>
      </c>
      <c r="C11" s="168">
        <f>(SUMIFS(Table_MedicalGapAgreements[[#All],[AmountCharged]],Table_MedicalGapAgreements[[#All],[Year]],TA!$B12,Table_MedicalGapAgreements[[#All],[MonthEnd]],TA!$A12,Table_MedicalGapAgreements[[#All],[State]],TA!C$2,Table_MedicalGapAgreements[[#All],[GapType]],"Known gap agreement")-SUMIFS(Table_MedicalGapAgreements[[#All],[MedicareBenefit]],Table_MedicalGapAgreements[[#All],[Year]],TA!$B12,Table_MedicalGapAgreements[[#All],[MonthEnd]],TA!$A12,Table_MedicalGapAgreements[[#All],[State]],TA!C$2,Table_MedicalGapAgreements[[#All],[GapType]],"Known gap agreement")-SUMIFS(Table_MedicalGapAgreements[[#All],[FundBenefit]],Table_MedicalGapAgreements[[#All],[Year]],TA!$B12,Table_MedicalGapAgreements[[#All],[MonthEnd]],TA!$A12,Table_MedicalGapAgreements[[#All],[State]],TA!C$2,Table_MedicalGapAgreements[[#All],[GapType]],"Known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Table_MedicalGapAgreements[[#All],[GapType]],"Known gap agreement"))</f>
        <v>120.03815779216066</v>
      </c>
      <c r="D11" s="168">
        <f>(SUMIFS(Table_MedicalGapAgreements[[#All],[AmountCharged]],Table_MedicalGapAgreements[[#All],[Year]],TA!$B12,Table_MedicalGapAgreements[[#All],[MonthEnd]],TA!$A12,Table_MedicalGapAgreements[[#All],[State]],TA!D$2,Table_MedicalGapAgreements[[#All],[GapType]],"Known gap agreement")-SUMIFS(Table_MedicalGapAgreements[[#All],[MedicareBenefit]],Table_MedicalGapAgreements[[#All],[Year]],TA!$B12,Table_MedicalGapAgreements[[#All],[MonthEnd]],TA!$A12,Table_MedicalGapAgreements[[#All],[State]],TA!D$2,Table_MedicalGapAgreements[[#All],[GapType]],"Known gap agreement")-SUMIFS(Table_MedicalGapAgreements[[#All],[FundBenefit]],Table_MedicalGapAgreements[[#All],[Year]],TA!$B12,Table_MedicalGapAgreements[[#All],[MonthEnd]],TA!$A12,Table_MedicalGapAgreements[[#All],[State]],TA!D$2,Table_MedicalGapAgreements[[#All],[GapType]],"Known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Table_MedicalGapAgreements[[#All],[GapType]],"Known gap agreement"))</f>
        <v>116.79895233049199</v>
      </c>
      <c r="E11" s="168">
        <f>(SUMIFS(Table_MedicalGapAgreements[[#All],[AmountCharged]],Table_MedicalGapAgreements[[#All],[Year]],TA!$B12,Table_MedicalGapAgreements[[#All],[MonthEnd]],TA!$A12,Table_MedicalGapAgreements[[#All],[State]],TA!E$2,Table_MedicalGapAgreements[[#All],[GapType]],"Known gap agreement")-SUMIFS(Table_MedicalGapAgreements[[#All],[MedicareBenefit]],Table_MedicalGapAgreements[[#All],[Year]],TA!$B12,Table_MedicalGapAgreements[[#All],[MonthEnd]],TA!$A12,Table_MedicalGapAgreements[[#All],[State]],TA!E$2,Table_MedicalGapAgreements[[#All],[GapType]],"Known gap agreement")-SUMIFS(Table_MedicalGapAgreements[[#All],[FundBenefit]],Table_MedicalGapAgreements[[#All],[Year]],TA!$B12,Table_MedicalGapAgreements[[#All],[MonthEnd]],TA!$A12,Table_MedicalGapAgreements[[#All],[State]],TA!E$2,Table_MedicalGapAgreements[[#All],[GapType]],"Known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Table_MedicalGapAgreements[[#All],[GapType]],"Known gap agreement"))</f>
        <v>150.96591519806356</v>
      </c>
      <c r="F11" s="168">
        <f>(SUMIFS(Table_MedicalGapAgreements[[#All],[AmountCharged]],Table_MedicalGapAgreements[[#All],[Year]],TA!$B12,Table_MedicalGapAgreements[[#All],[MonthEnd]],TA!$A12,Table_MedicalGapAgreements[[#All],[State]],TA!F$2,Table_MedicalGapAgreements[[#All],[GapType]],"Known gap agreement")-SUMIFS(Table_MedicalGapAgreements[[#All],[MedicareBenefit]],Table_MedicalGapAgreements[[#All],[Year]],TA!$B12,Table_MedicalGapAgreements[[#All],[MonthEnd]],TA!$A12,Table_MedicalGapAgreements[[#All],[State]],TA!F$2,Table_MedicalGapAgreements[[#All],[GapType]],"Known gap agreement")-SUMIFS(Table_MedicalGapAgreements[[#All],[FundBenefit]],Table_MedicalGapAgreements[[#All],[Year]],TA!$B12,Table_MedicalGapAgreements[[#All],[MonthEnd]],TA!$A12,Table_MedicalGapAgreements[[#All],[State]],TA!F$2,Table_MedicalGapAgreements[[#All],[GapType]],"Known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Table_MedicalGapAgreements[[#All],[GapType]],"Known gap agreement"))</f>
        <v>104.21413232104121</v>
      </c>
      <c r="G11" s="168">
        <f>(SUMIFS(Table_MedicalGapAgreements[[#All],[AmountCharged]],Table_MedicalGapAgreements[[#All],[Year]],TA!$B12,Table_MedicalGapAgreements[[#All],[MonthEnd]],TA!$A12,Table_MedicalGapAgreements[[#All],[State]],TA!G$2,Table_MedicalGapAgreements[[#All],[GapType]],"Known gap agreement")-SUMIFS(Table_MedicalGapAgreements[[#All],[MedicareBenefit]],Table_MedicalGapAgreements[[#All],[Year]],TA!$B12,Table_MedicalGapAgreements[[#All],[MonthEnd]],TA!$A12,Table_MedicalGapAgreements[[#All],[State]],TA!G$2,Table_MedicalGapAgreements[[#All],[GapType]],"Known gap agreement")-SUMIFS(Table_MedicalGapAgreements[[#All],[FundBenefit]],Table_MedicalGapAgreements[[#All],[Year]],TA!$B12,Table_MedicalGapAgreements[[#All],[MonthEnd]],TA!$A12,Table_MedicalGapAgreements[[#All],[State]],TA!G$2,Table_MedicalGapAgreements[[#All],[GapType]],"Known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Table_MedicalGapAgreements[[#All],[GapType]],"Known gap agreement"))</f>
        <v>157.25526270534925</v>
      </c>
      <c r="H11" s="168">
        <f>(SUMIFS(Table_MedicalGapAgreements[[#All],[AmountCharged]],Table_MedicalGapAgreements[[#All],[Year]],TA!$B12,Table_MedicalGapAgreements[[#All],[MonthEnd]],TA!$A12,Table_MedicalGapAgreements[[#All],[State]],TA!H$2,Table_MedicalGapAgreements[[#All],[GapType]],"Known gap agreement")-SUMIFS(Table_MedicalGapAgreements[[#All],[MedicareBenefit]],Table_MedicalGapAgreements[[#All],[Year]],TA!$B12,Table_MedicalGapAgreements[[#All],[MonthEnd]],TA!$A12,Table_MedicalGapAgreements[[#All],[State]],TA!H$2,Table_MedicalGapAgreements[[#All],[GapType]],"Known gap agreement")-SUMIFS(Table_MedicalGapAgreements[[#All],[FundBenefit]],Table_MedicalGapAgreements[[#All],[Year]],TA!$B12,Table_MedicalGapAgreements[[#All],[MonthEnd]],TA!$A12,Table_MedicalGapAgreements[[#All],[State]],TA!H$2,Table_MedicalGapAgreements[[#All],[GapType]],"Known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Table_MedicalGapAgreements[[#All],[GapType]],"Known gap agreement"))</f>
        <v>169.41036566091961</v>
      </c>
      <c r="I11" s="168">
        <f>(SUMIFS(Table_MedicalGapAgreements[[#All],[AmountCharged]],Table_MedicalGapAgreements[[#All],[Year]],TA!$B12,Table_MedicalGapAgreements[[#All],[MonthEnd]],TA!$A12,Table_MedicalGapAgreements[[#All],[State]],TA!I$2,Table_MedicalGapAgreements[[#All],[GapType]],"Known gap agreement")-SUMIFS(Table_MedicalGapAgreements[[#All],[MedicareBenefit]],Table_MedicalGapAgreements[[#All],[Year]],TA!$B12,Table_MedicalGapAgreements[[#All],[MonthEnd]],TA!$A12,Table_MedicalGapAgreements[[#All],[State]],TA!I$2,Table_MedicalGapAgreements[[#All],[GapType]],"Known gap agreement")-SUMIFS(Table_MedicalGapAgreements[[#All],[FundBenefit]],Table_MedicalGapAgreements[[#All],[Year]],TA!$B12,Table_MedicalGapAgreements[[#All],[MonthEnd]],TA!$A12,Table_MedicalGapAgreements[[#All],[State]],TA!I$2,Table_MedicalGapAgreements[[#All],[GapType]],"Known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Table_MedicalGapAgreements[[#All],[GapType]],"Known gap agreement"))</f>
        <v>144.6455146194788</v>
      </c>
      <c r="J11" s="168">
        <f>(SUMIFS(Table_MedicalGapAgreements[[#All],[AmountCharged]],Table_MedicalGapAgreements[[#All],[Year]],TA!$B12,Table_MedicalGapAgreements[[#All],[MonthEnd]],TA!$A12,Table_MedicalGapAgreements[[#All],[State]],TA!J$2,Table_MedicalGapAgreements[[#All],[GapType]],"Known gap agreement")-SUMIFS(Table_MedicalGapAgreements[[#All],[MedicareBenefit]],Table_MedicalGapAgreements[[#All],[Year]],TA!$B12,Table_MedicalGapAgreements[[#All],[MonthEnd]],TA!$A12,Table_MedicalGapAgreements[[#All],[State]],TA!J$2,Table_MedicalGapAgreements[[#All],[GapType]],"Known gap agreement")-SUMIFS(Table_MedicalGapAgreements[[#All],[FundBenefit]],Table_MedicalGapAgreements[[#All],[Year]],TA!$B12,Table_MedicalGapAgreements[[#All],[MonthEnd]],TA!$A12,Table_MedicalGapAgreements[[#All],[State]],TA!J$2,Table_MedicalGapAgreements[[#All],[GapType]],"Known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Table_MedicalGapAgreements[[#All],[GapType]],"Known gap agreement"))</f>
        <v>117.24272076372317</v>
      </c>
      <c r="K11" s="168">
        <f>(SUMIFS(Table_MedicalGapAgreements[[#All],[AmountCharged]],Table_MedicalGapAgreements[[#All],[Year]],TA!$B12,Table_MedicalGapAgreements[[#All],[MonthEnd]],TA!$A12,Table_MedicalGapAgreements[[#All],[GapType]],"Known gap agreement")-SUMIFS(Table_MedicalGapAgreements[[#All],[MedicareBenefit]],Table_MedicalGapAgreements[[#All],[Year]],TA!$B12,Table_MedicalGapAgreements[[#All],[MonthEnd]],TA!$A12,Table_MedicalGapAgreements[[#All],[GapType]],"Known gap agreement")-SUMIFS(Table_MedicalGapAgreements[[#All],[FundBenefit]],Table_MedicalGapAgreements[[#All],[Year]],TA!$B12,Table_MedicalGapAgreements[[#All],[MonthEnd]],TA!$A12,Table_MedicalGapAgreements[[#All],[GapType]],"Known gap agreement"))/(SUMIFS(Table_MedicalGapAgreements[[#All],[NumberofServices]],Table_MedicalGapAgreements[[#All],[Year]],TA!$B12,Table_MedicalGapAgreements[[#All],[MonthEnd]],TA!$A12,Table_MedicalGapAgreements[[#All],[GapType]],"Known gap agreement"))</f>
        <v>129.72066161092866</v>
      </c>
      <c r="M11" s="22"/>
      <c r="N11" s="22"/>
      <c r="O11" s="22"/>
      <c r="P11" s="22"/>
      <c r="Q11" s="22"/>
      <c r="R11" s="22"/>
      <c r="S11" s="22"/>
      <c r="T11" s="22"/>
      <c r="U11" s="22"/>
      <c r="V11" s="22"/>
      <c r="W11" s="22"/>
      <c r="X11" s="22"/>
      <c r="Y11" s="22"/>
      <c r="Z11" s="22"/>
      <c r="AA11" s="22"/>
      <c r="AB11" s="22"/>
      <c r="AC11" s="22"/>
      <c r="AD11" s="22"/>
      <c r="AE11" s="22"/>
      <c r="AF11" s="22"/>
      <c r="AG11" s="22"/>
    </row>
    <row r="12" spans="1:33" s="31" customFormat="1" ht="29.1" customHeight="1" thickBot="1">
      <c r="A12" s="231"/>
      <c r="B12" s="169" t="s">
        <v>35</v>
      </c>
      <c r="C12" s="170">
        <f>(SUMIFS(Table_MedicalGapAgreements[[#All],[AmountCharged]],Table_MedicalGapAgreements[[#All],[Year]],TA!$B12,Table_MedicalGapAgreements[[#All],[MonthEnd]],TA!$A12&amp;"*",Table_MedicalGapAgreements[[#All],[State]],TA!C$2,Table_MedicalGapAgreements[[#All],[GapType]],"Known gap agreement*")+SUMIFS(Table_MedicalGapAgreements[[#All],[AmountCharged]],Table_MedicalGapAgreements[[#All],[Year]],TA!$B12,Table_MedicalGapAgreements[[#All],[MonthEnd]],TA!$A12&amp;"*",Table_MedicalGapAgreements[[#All],[State]],TA!C$2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C$2,Table_MedicalGapAgreements[[#All],[GapType]],"Known gap agreement*")-SUMIFS(Table_MedicalGapAgreements[[#All],[MedicareBenefit]],Table_MedicalGapAgreements[[#All],[Year]],TA!$B12,Table_MedicalGapAgreements[[#All],[MonthEnd]],TA!$A12&amp;"*",Table_MedicalGapAgreements[[#All],[State]],TA!C$2,Table_MedicalGapAgreements[[#All],[GapType]],"No agreement*",Table_MedicalGapAgreements[[#All],[MBSFeePercentage]],"&lt;&gt;Up to MBS Fee*")-SUMIFS(Table_MedicalGapAgreements[[#All],[FundBenefit]],Table_MedicalGapAgreements[[#All],[Year]],TA!$B12,Table_MedicalGapAgreements[[#All],[MonthEnd]],TA!$A12&amp;"*",Table_MedicalGapAgreements[[#All],[State]],TA!C$2,Table_MedicalGapAgreements[[#All],[GapType]],"Known gap agreement*")-SUMIFS(Table_MedicalGapAgreements[[#All],[FundBenefit]],Table_MedicalGapAgreements[[#All],[Year]],TA!$B12,Table_MedicalGapAgreements[[#All],[MonthEnd]],TA!$A12&amp;"*",Table_MedicalGapAgreements[[#All],[State]],TA!C$2,Table_MedicalGapAgreements[[#All],[GapType]],"No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C$2,Table_MedicalGapAgreements[[#All],[GapType]],"Known gap agreement*")+SUMIFS(Table_MedicalGapAgreements[[#All],[NumberofServices]],Table_MedicalGapAgreements[[#All],[Year]],TA!$B12,Table_MedicalGapAgreements[[#All],[MonthEnd]],TA!$A12&amp;"*",Table_MedicalGapAgreements[[#All],[State]],TA!C$2,Table_MedicalGapAgreements[[#All],[GapType]],"No agreement*",Table_MedicalGapAgreements[[#All],[MBSFeePercentage]],"&lt;&gt;Up to MBS Fee*"))</f>
        <v>320.79770834387193</v>
      </c>
      <c r="D12" s="170">
        <f>(SUMIFS(Table_MedicalGapAgreements[[#All],[AmountCharged]],Table_MedicalGapAgreements[[#All],[Year]],TA!$B12,Table_MedicalGapAgreements[[#All],[MonthEnd]],TA!$A12&amp;"*",Table_MedicalGapAgreements[[#All],[State]],TA!D$2,Table_MedicalGapAgreements[[#All],[GapType]],"Known gap agreement*")+SUMIFS(Table_MedicalGapAgreements[[#All],[AmountCharged]],Table_MedicalGapAgreements[[#All],[Year]],TA!$B12,Table_MedicalGapAgreements[[#All],[MonthEnd]],TA!$A12&amp;"*",Table_MedicalGapAgreements[[#All],[State]],TA!D$2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D$2,Table_MedicalGapAgreements[[#All],[GapType]],"Known gap agreement*")-SUMIFS(Table_MedicalGapAgreements[[#All],[MedicareBenefit]],Table_MedicalGapAgreements[[#All],[Year]],TA!$B12,Table_MedicalGapAgreements[[#All],[MonthEnd]],TA!$A12&amp;"*",Table_MedicalGapAgreements[[#All],[State]],TA!D$2,Table_MedicalGapAgreements[[#All],[GapType]],"No agreement*",Table_MedicalGapAgreements[[#All],[MBSFeePercentage]],"&lt;&gt;Up to MBS Fee*")-SUMIFS(Table_MedicalGapAgreements[[#All],[FundBenefit]],Table_MedicalGapAgreements[[#All],[Year]],TA!$B12,Table_MedicalGapAgreements[[#All],[MonthEnd]],TA!$A12&amp;"*",Table_MedicalGapAgreements[[#All],[State]],TA!D$2,Table_MedicalGapAgreements[[#All],[GapType]],"Known gap agreement*")-SUMIFS(Table_MedicalGapAgreements[[#All],[FundBenefit]],Table_MedicalGapAgreements[[#All],[Year]],TA!$B12,Table_MedicalGapAgreements[[#All],[MonthEnd]],TA!$A12&amp;"*",Table_MedicalGapAgreements[[#All],[State]],TA!D$2,Table_MedicalGapAgreements[[#All],[GapType]],"No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D$2,Table_MedicalGapAgreements[[#All],[GapType]],"Known gap agreement*")+SUMIFS(Table_MedicalGapAgreements[[#All],[NumberofServices]],Table_MedicalGapAgreements[[#All],[Year]],TA!$B12,Table_MedicalGapAgreements[[#All],[MonthEnd]],TA!$A12&amp;"*",Table_MedicalGapAgreements[[#All],[State]],TA!D$2,Table_MedicalGapAgreements[[#All],[GapType]],"No agreement*",Table_MedicalGapAgreements[[#All],[MBSFeePercentage]],"&lt;&gt;Up to MBS Fee*"))</f>
        <v>206.07110288782465</v>
      </c>
      <c r="E12" s="170">
        <f>(SUMIFS(Table_MedicalGapAgreements[[#All],[AmountCharged]],Table_MedicalGapAgreements[[#All],[Year]],TA!$B12,Table_MedicalGapAgreements[[#All],[MonthEnd]],TA!$A12&amp;"*",Table_MedicalGapAgreements[[#All],[State]],TA!E$2,Table_MedicalGapAgreements[[#All],[GapType]],"Known gap agreement*")+SUMIFS(Table_MedicalGapAgreements[[#All],[AmountCharged]],Table_MedicalGapAgreements[[#All],[Year]],TA!$B12,Table_MedicalGapAgreements[[#All],[MonthEnd]],TA!$A12&amp;"*",Table_MedicalGapAgreements[[#All],[State]],TA!E$2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E$2,Table_MedicalGapAgreements[[#All],[GapType]],"Known gap agreement*")-SUMIFS(Table_MedicalGapAgreements[[#All],[MedicareBenefit]],Table_MedicalGapAgreements[[#All],[Year]],TA!$B12,Table_MedicalGapAgreements[[#All],[MonthEnd]],TA!$A12&amp;"*",Table_MedicalGapAgreements[[#All],[State]],TA!E$2,Table_MedicalGapAgreements[[#All],[GapType]],"No agreement*",Table_MedicalGapAgreements[[#All],[MBSFeePercentage]],"&lt;&gt;Up to MBS Fee*")-SUMIFS(Table_MedicalGapAgreements[[#All],[FundBenefit]],Table_MedicalGapAgreements[[#All],[Year]],TA!$B12,Table_MedicalGapAgreements[[#All],[MonthEnd]],TA!$A12&amp;"*",Table_MedicalGapAgreements[[#All],[State]],TA!E$2,Table_MedicalGapAgreements[[#All],[GapType]],"Known gap agreement*")-SUMIFS(Table_MedicalGapAgreements[[#All],[FundBenefit]],Table_MedicalGapAgreements[[#All],[Year]],TA!$B12,Table_MedicalGapAgreements[[#All],[MonthEnd]],TA!$A12&amp;"*",Table_MedicalGapAgreements[[#All],[State]],TA!E$2,Table_MedicalGapAgreements[[#All],[GapType]],"No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E$2,Table_MedicalGapAgreements[[#All],[GapType]],"Known gap agreement*")+SUMIFS(Table_MedicalGapAgreements[[#All],[NumberofServices]],Table_MedicalGapAgreements[[#All],[Year]],TA!$B12,Table_MedicalGapAgreements[[#All],[MonthEnd]],TA!$A12&amp;"*",Table_MedicalGapAgreements[[#All],[State]],TA!E$2,Table_MedicalGapAgreements[[#All],[GapType]],"No agreement*",Table_MedicalGapAgreements[[#All],[MBSFeePercentage]],"&lt;&gt;Up to MBS Fee*"))</f>
        <v>268.95631798225628</v>
      </c>
      <c r="F12" s="170">
        <f>(SUMIFS(Table_MedicalGapAgreements[[#All],[AmountCharged]],Table_MedicalGapAgreements[[#All],[Year]],TA!$B12,Table_MedicalGapAgreements[[#All],[MonthEnd]],TA!$A12&amp;"*",Table_MedicalGapAgreements[[#All],[State]],TA!F$2,Table_MedicalGapAgreements[[#All],[GapType]],"Known gap agreement*")+SUMIFS(Table_MedicalGapAgreements[[#All],[AmountCharged]],Table_MedicalGapAgreements[[#All],[Year]],TA!$B12,Table_MedicalGapAgreements[[#All],[MonthEnd]],TA!$A12&amp;"*",Table_MedicalGapAgreements[[#All],[State]],TA!F$2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F$2,Table_MedicalGapAgreements[[#All],[GapType]],"Known gap agreement*")-SUMIFS(Table_MedicalGapAgreements[[#All],[MedicareBenefit]],Table_MedicalGapAgreements[[#All],[Year]],TA!$B12,Table_MedicalGapAgreements[[#All],[MonthEnd]],TA!$A12&amp;"*",Table_MedicalGapAgreements[[#All],[State]],TA!F$2,Table_MedicalGapAgreements[[#All],[GapType]],"No agreement*",Table_MedicalGapAgreements[[#All],[MBSFeePercentage]],"&lt;&gt;Up to MBS Fee*")-SUMIFS(Table_MedicalGapAgreements[[#All],[FundBenefit]],Table_MedicalGapAgreements[[#All],[Year]],TA!$B12,Table_MedicalGapAgreements[[#All],[MonthEnd]],TA!$A12&amp;"*",Table_MedicalGapAgreements[[#All],[State]],TA!F$2,Table_MedicalGapAgreements[[#All],[GapType]],"Known gap agreement*")-SUMIFS(Table_MedicalGapAgreements[[#All],[FundBenefit]],Table_MedicalGapAgreements[[#All],[Year]],TA!$B12,Table_MedicalGapAgreements[[#All],[MonthEnd]],TA!$A12&amp;"*",Table_MedicalGapAgreements[[#All],[State]],TA!F$2,Table_MedicalGapAgreements[[#All],[GapType]],"No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F$2,Table_MedicalGapAgreements[[#All],[GapType]],"Known gap agreement*")+SUMIFS(Table_MedicalGapAgreements[[#All],[NumberofServices]],Table_MedicalGapAgreements[[#All],[Year]],TA!$B12,Table_MedicalGapAgreements[[#All],[MonthEnd]],TA!$A12&amp;"*",Table_MedicalGapAgreements[[#All],[State]],TA!F$2,Table_MedicalGapAgreements[[#All],[GapType]],"No agreement*",Table_MedicalGapAgreements[[#All],[MBSFeePercentage]],"&lt;&gt;Up to MBS Fee*"))</f>
        <v>155.25461194196424</v>
      </c>
      <c r="G12" s="170">
        <f>(SUMIFS(Table_MedicalGapAgreements[[#All],[AmountCharged]],Table_MedicalGapAgreements[[#All],[Year]],TA!$B12,Table_MedicalGapAgreements[[#All],[MonthEnd]],TA!$A12&amp;"*",Table_MedicalGapAgreements[[#All],[State]],TA!G$2,Table_MedicalGapAgreements[[#All],[GapType]],"Known gap agreement*")+SUMIFS(Table_MedicalGapAgreements[[#All],[AmountCharged]],Table_MedicalGapAgreements[[#All],[Year]],TA!$B12,Table_MedicalGapAgreements[[#All],[MonthEnd]],TA!$A12&amp;"*",Table_MedicalGapAgreements[[#All],[State]],TA!G$2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G$2,Table_MedicalGapAgreements[[#All],[GapType]],"Known gap agreement*")-SUMIFS(Table_MedicalGapAgreements[[#All],[MedicareBenefit]],Table_MedicalGapAgreements[[#All],[Year]],TA!$B12,Table_MedicalGapAgreements[[#All],[MonthEnd]],TA!$A12&amp;"*",Table_MedicalGapAgreements[[#All],[State]],TA!G$2,Table_MedicalGapAgreements[[#All],[GapType]],"No agreement*",Table_MedicalGapAgreements[[#All],[MBSFeePercentage]],"&lt;&gt;Up to MBS Fee*")-SUMIFS(Table_MedicalGapAgreements[[#All],[FundBenefit]],Table_MedicalGapAgreements[[#All],[Year]],TA!$B12,Table_MedicalGapAgreements[[#All],[MonthEnd]],TA!$A12&amp;"*",Table_MedicalGapAgreements[[#All],[State]],TA!G$2,Table_MedicalGapAgreements[[#All],[GapType]],"Known gap agreement*")-SUMIFS(Table_MedicalGapAgreements[[#All],[FundBenefit]],Table_MedicalGapAgreements[[#All],[Year]],TA!$B12,Table_MedicalGapAgreements[[#All],[MonthEnd]],TA!$A12&amp;"*",Table_MedicalGapAgreements[[#All],[State]],TA!G$2,Table_MedicalGapAgreements[[#All],[GapType]],"No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G$2,Table_MedicalGapAgreements[[#All],[GapType]],"Known gap agreement*")+SUMIFS(Table_MedicalGapAgreements[[#All],[NumberofServices]],Table_MedicalGapAgreements[[#All],[Year]],TA!$B12,Table_MedicalGapAgreements[[#All],[MonthEnd]],TA!$A12&amp;"*",Table_MedicalGapAgreements[[#All],[State]],TA!G$2,Table_MedicalGapAgreements[[#All],[GapType]],"No agreement*",Table_MedicalGapAgreements[[#All],[MBSFeePercentage]],"&lt;&gt;Up to MBS Fee*"))</f>
        <v>198.71524174749979</v>
      </c>
      <c r="H12" s="170">
        <f>(SUMIFS(Table_MedicalGapAgreements[[#All],[AmountCharged]],Table_MedicalGapAgreements[[#All],[Year]],TA!$B12,Table_MedicalGapAgreements[[#All],[MonthEnd]],TA!$A12&amp;"*",Table_MedicalGapAgreements[[#All],[State]],TA!H$2,Table_MedicalGapAgreements[[#All],[GapType]],"Known gap agreement*")+SUMIFS(Table_MedicalGapAgreements[[#All],[AmountCharged]],Table_MedicalGapAgreements[[#All],[Year]],TA!$B12,Table_MedicalGapAgreements[[#All],[MonthEnd]],TA!$A12&amp;"*",Table_MedicalGapAgreements[[#All],[State]],TA!H$2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H$2,Table_MedicalGapAgreements[[#All],[GapType]],"Known gap agreement*")-SUMIFS(Table_MedicalGapAgreements[[#All],[MedicareBenefit]],Table_MedicalGapAgreements[[#All],[Year]],TA!$B12,Table_MedicalGapAgreements[[#All],[MonthEnd]],TA!$A12&amp;"*",Table_MedicalGapAgreements[[#All],[State]],TA!H$2,Table_MedicalGapAgreements[[#All],[GapType]],"No agreement*",Table_MedicalGapAgreements[[#All],[MBSFeePercentage]],"&lt;&gt;Up to MBS Fee*")-SUMIFS(Table_MedicalGapAgreements[[#All],[FundBenefit]],Table_MedicalGapAgreements[[#All],[Year]],TA!$B12,Table_MedicalGapAgreements[[#All],[MonthEnd]],TA!$A12&amp;"*",Table_MedicalGapAgreements[[#All],[State]],TA!H$2,Table_MedicalGapAgreements[[#All],[GapType]],"Known gap agreement*")-SUMIFS(Table_MedicalGapAgreements[[#All],[FundBenefit]],Table_MedicalGapAgreements[[#All],[Year]],TA!$B12,Table_MedicalGapAgreements[[#All],[MonthEnd]],TA!$A12&amp;"*",Table_MedicalGapAgreements[[#All],[State]],TA!H$2,Table_MedicalGapAgreements[[#All],[GapType]],"No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H$2,Table_MedicalGapAgreements[[#All],[GapType]],"Known gap agreement*")+SUMIFS(Table_MedicalGapAgreements[[#All],[NumberofServices]],Table_MedicalGapAgreements[[#All],[Year]],TA!$B12,Table_MedicalGapAgreements[[#All],[MonthEnd]],TA!$A12&amp;"*",Table_MedicalGapAgreements[[#All],[State]],TA!H$2,Table_MedicalGapAgreements[[#All],[GapType]],"No agreement*",Table_MedicalGapAgreements[[#All],[MBSFeePercentage]],"&lt;&gt;Up to MBS Fee*"))</f>
        <v>266.53442576322624</v>
      </c>
      <c r="I12" s="170">
        <f>(SUMIFS(Table_MedicalGapAgreements[[#All],[AmountCharged]],Table_MedicalGapAgreements[[#All],[Year]],TA!$B12,Table_MedicalGapAgreements[[#All],[MonthEnd]],TA!$A12&amp;"*",Table_MedicalGapAgreements[[#All],[State]],TA!I$2,Table_MedicalGapAgreements[[#All],[GapType]],"Known gap agreement*")+SUMIFS(Table_MedicalGapAgreements[[#All],[AmountCharged]],Table_MedicalGapAgreements[[#All],[Year]],TA!$B12,Table_MedicalGapAgreements[[#All],[MonthEnd]],TA!$A12&amp;"*",Table_MedicalGapAgreements[[#All],[State]],TA!I$2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I$2,Table_MedicalGapAgreements[[#All],[GapType]],"Known gap agreement*")-SUMIFS(Table_MedicalGapAgreements[[#All],[MedicareBenefit]],Table_MedicalGapAgreements[[#All],[Year]],TA!$B12,Table_MedicalGapAgreements[[#All],[MonthEnd]],TA!$A12&amp;"*",Table_MedicalGapAgreements[[#All],[State]],TA!I$2,Table_MedicalGapAgreements[[#All],[GapType]],"No agreement*",Table_MedicalGapAgreements[[#All],[MBSFeePercentage]],"&lt;&gt;Up to MBS Fee*")-SUMIFS(Table_MedicalGapAgreements[[#All],[FundBenefit]],Table_MedicalGapAgreements[[#All],[Year]],TA!$B12,Table_MedicalGapAgreements[[#All],[MonthEnd]],TA!$A12&amp;"*",Table_MedicalGapAgreements[[#All],[State]],TA!I$2,Table_MedicalGapAgreements[[#All],[GapType]],"Known gap agreement*")-SUMIFS(Table_MedicalGapAgreements[[#All],[FundBenefit]],Table_MedicalGapAgreements[[#All],[Year]],TA!$B12,Table_MedicalGapAgreements[[#All],[MonthEnd]],TA!$A12&amp;"*",Table_MedicalGapAgreements[[#All],[State]],TA!I$2,Table_MedicalGapAgreements[[#All],[GapType]],"No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I$2,Table_MedicalGapAgreements[[#All],[GapType]],"Known gap agreement*")+SUMIFS(Table_MedicalGapAgreements[[#All],[NumberofServices]],Table_MedicalGapAgreements[[#All],[Year]],TA!$B12,Table_MedicalGapAgreements[[#All],[MonthEnd]],TA!$A12&amp;"*",Table_MedicalGapAgreements[[#All],[State]],TA!I$2,Table_MedicalGapAgreements[[#All],[GapType]],"No agreement*",Table_MedicalGapAgreements[[#All],[MBSFeePercentage]],"&lt;&gt;Up to MBS Fee*"))</f>
        <v>403.40410049311333</v>
      </c>
      <c r="J12" s="170">
        <f>(SUMIFS(Table_MedicalGapAgreements[[#All],[AmountCharged]],Table_MedicalGapAgreements[[#All],[Year]],TA!$B12,Table_MedicalGapAgreements[[#All],[MonthEnd]],TA!$A12&amp;"*",Table_MedicalGapAgreements[[#All],[State]],TA!J$2,Table_MedicalGapAgreements[[#All],[GapType]],"Known gap agreement*")+SUMIFS(Table_MedicalGapAgreements[[#All],[AmountCharged]],Table_MedicalGapAgreements[[#All],[Year]],TA!$B12,Table_MedicalGapAgreements[[#All],[MonthEnd]],TA!$A12&amp;"*",Table_MedicalGapAgreements[[#All],[State]],TA!J$2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J$2,Table_MedicalGapAgreements[[#All],[GapType]],"Known gap agreement*")-SUMIFS(Table_MedicalGapAgreements[[#All],[MedicareBenefit]],Table_MedicalGapAgreements[[#All],[Year]],TA!$B12,Table_MedicalGapAgreements[[#All],[MonthEnd]],TA!$A12&amp;"*",Table_MedicalGapAgreements[[#All],[State]],TA!J$2,Table_MedicalGapAgreements[[#All],[GapType]],"No agreement*",Table_MedicalGapAgreements[[#All],[MBSFeePercentage]],"&lt;&gt;Up to MBS Fee*")-SUMIFS(Table_MedicalGapAgreements[[#All],[FundBenefit]],Table_MedicalGapAgreements[[#All],[Year]],TA!$B12,Table_MedicalGapAgreements[[#All],[MonthEnd]],TA!$A12&amp;"*",Table_MedicalGapAgreements[[#All],[State]],TA!J$2,Table_MedicalGapAgreements[[#All],[GapType]],"Known gap agreement*")-SUMIFS(Table_MedicalGapAgreements[[#All],[FundBenefit]],Table_MedicalGapAgreements[[#All],[Year]],TA!$B12,Table_MedicalGapAgreements[[#All],[MonthEnd]],TA!$A12&amp;"*",Table_MedicalGapAgreements[[#All],[State]],TA!J$2,Table_MedicalGapAgreements[[#All],[GapType]],"No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J$2,Table_MedicalGapAgreements[[#All],[GapType]],"Known gap agreement*")+SUMIFS(Table_MedicalGapAgreements[[#All],[NumberofServices]],Table_MedicalGapAgreements[[#All],[Year]],TA!$B12,Table_MedicalGapAgreements[[#All],[MonthEnd]],TA!$A12&amp;"*",Table_MedicalGapAgreements[[#All],[State]],TA!J$2,Table_MedicalGapAgreements[[#All],[GapType]],"No agreement*",Table_MedicalGapAgreements[[#All],[MBSFeePercentage]],"&lt;&gt;Up to MBS Fee*"))</f>
        <v>294.94725210517265</v>
      </c>
      <c r="K12" s="170">
        <f>(SUMIFS(Table_MedicalGapAgreements[[#All],[AmountCharged]],Table_MedicalGapAgreements[[#All],[Year]],TA!$B12,Table_MedicalGapAgreements[[#All],[MonthEnd]],TA!$A12&amp;"*",Table_MedicalGapAgreements[[#All],[GapType]],"Known gap agreement*")+SUMIFS(Table_MedicalGapAgreements[[#All],[AmountCharged]],Table_MedicalGapAgreements[[#All],[Year]],TA!$B12,Table_MedicalGapAgreements[[#All],[MonthEnd]],TA!$A12&amp;"*",Table_MedicalGapAgreements[[#All],[GapType]],"No agreement*",Table_MedicalGapAgreements[[#All],[MBSFeePercentage]],"&lt;&gt;Up to MBS Fee*")-SUMIFS(Table_MedicalGapAgreements[[#All],[MedicareBenefit]],Table_MedicalGapAgreements[[#All],[Year]],TA!$B12,Table_MedicalGapAgreements[[#All],[MonthEnd]],TA!$A12&amp;"*",Table_MedicalGapAgreements[[#All],[GapType]],"Known gap agreement*")-SUMIFS(Table_MedicalGapAgreements[[#All],[MedicareBenefit]],Table_MedicalGapAgreements[[#All],[Year]],TA!$B12,Table_MedicalGapAgreements[[#All],[MonthEnd]],TA!$A12&amp;"*",Table_MedicalGapAgreements[[#All],[GapType]],"No agreement*",Table_MedicalGapAgreements[[#All],[MBSFeePercentage]],"&lt;&gt;Up to MBS Fee*")-SUMIFS(Table_MedicalGapAgreements[[#All],[FundBenefit]],Table_MedicalGapAgreements[[#All],[Year]],TA!$B12,Table_MedicalGapAgreements[[#All],[MonthEnd]],TA!$A12&amp;"*",Table_MedicalGapAgreements[[#All],[GapType]],"Known gap agreement*")-SUMIFS(Table_MedicalGapAgreements[[#All],[FundBenefit]],Table_MedicalGapAgreements[[#All],[Year]],TA!$B12,Table_MedicalGapAgreements[[#All],[MonthEnd]],TA!$A12&amp;"*",Table_MedicalGapAgreements[[#All],[GapType]],"No agreement*",Table_MedicalGapAgreements[[#All],[MBSFeePercentage]],"&lt;&gt;Up to MBS Fee*"))/(SUMIFS(Table_MedicalGapAgreements[[#All],[NumberofServices]],Table_MedicalGapAgreements[[#All],[Year]],TA!$B12,Table_MedicalGapAgreements[[#All],[MonthEnd]],TA!$A12&amp;"*",Table_MedicalGapAgreements[[#All],[GapType]],"Known gap agreement*")+SUMIFS(Table_MedicalGapAgreements[[#All],[NumberofServices]],Table_MedicalGapAgreements[[#All],[Year]],TA!$B12,Table_MedicalGapAgreements[[#All],[MonthEnd]],TA!$A12&amp;"*",Table_MedicalGapAgreements[[#All],[GapType]],"No agreement*",Table_MedicalGapAgreements[[#All],[MBSFeePercentage]],"&lt;&gt;Up to MBS Fee*"))</f>
        <v>254.00905469529283</v>
      </c>
      <c r="M12" s="22"/>
      <c r="N12" s="22"/>
      <c r="O12" s="22"/>
      <c r="P12" s="22"/>
      <c r="Q12" s="22"/>
      <c r="R12" s="22"/>
      <c r="S12" s="22"/>
      <c r="T12" s="22"/>
      <c r="U12" s="22"/>
      <c r="V12" s="22"/>
      <c r="W12" s="22"/>
      <c r="X12" s="22"/>
      <c r="Y12" s="22"/>
      <c r="Z12" s="22"/>
      <c r="AA12" s="22"/>
      <c r="AB12" s="22"/>
      <c r="AC12" s="22"/>
      <c r="AD12" s="22"/>
      <c r="AE12" s="22"/>
      <c r="AF12" s="22"/>
      <c r="AG12" s="22"/>
    </row>
    <row r="13" spans="1:33" s="31" customFormat="1" ht="29.1" customHeight="1">
      <c r="A13" s="229" t="str">
        <f>TA!A13&amp;" "&amp;TA!B13</f>
        <v>Jun 2024</v>
      </c>
      <c r="B13" s="162" t="s">
        <v>19</v>
      </c>
      <c r="C13" s="163">
        <f>(SUMIFS(Table_MedicalGapAgreements[[#All],[NumberofServices]],Table_MedicalGapAgreements[[#All],[Year]],TA!$B13,Table_MedicalGapAgreements[[#All],[MonthEnd]],TA!$A13&amp;"*",Table_MedicalGapAgreements[[#All],[State]],TA!C$2,Table_MedicalGapAgreements[[#All],[GapType]],"No gap agreement*")+SUMIFS(Table_MedicalGapAgreements[[#All],[NumberofServices]],Table_MedicalGapAgreements[[#All],[Year]],TA!$B13,Table_MedicalGapAgreements[[#All],[MonthEnd]],TA!$A13&amp;"*",Table_MedicalGapAgreements[[#All],[State]],TA!C$2,Table_MedicalGapAgreements[[#All],[GapType]],"No agreement*",Table_MedicalGapAgreements[[#All],[MBSFeePercentage]],"Up to MBS*"))/SUMIFS(Table_MedicalGapAgreements[[#All],[NumberofServices]],Table_MedicalGapAgreements[[#All],[Year]],TA!$B13,Table_MedicalGapAgreements[[#All],[MonthEnd]],TA!$A13&amp;"*",Table_MedicalGapAgreements[[#All],[State]],TA!C$2)</f>
        <v>0.89114362102390399</v>
      </c>
      <c r="D13" s="163">
        <f>(SUMIFS(Table_MedicalGapAgreements[[#All],[NumberofServices]],Table_MedicalGapAgreements[[#All],[Year]],TA!$B13,Table_MedicalGapAgreements[[#All],[MonthEnd]],TA!$A13&amp;"*",Table_MedicalGapAgreements[[#All],[State]],TA!D$2,Table_MedicalGapAgreements[[#All],[GapType]],"No gap agreement*")+SUMIFS(Table_MedicalGapAgreements[[#All],[NumberofServices]],Table_MedicalGapAgreements[[#All],[Year]],TA!$B13,Table_MedicalGapAgreements[[#All],[MonthEnd]],TA!$A13&amp;"*",Table_MedicalGapAgreements[[#All],[State]],TA!D$2,Table_MedicalGapAgreements[[#All],[GapType]],"No agreement*",Table_MedicalGapAgreements[[#All],[MBSFeePercentage]],"Up to MBS*"))/SUMIFS(Table_MedicalGapAgreements[[#All],[NumberofServices]],Table_MedicalGapAgreements[[#All],[Year]],TA!$B13,Table_MedicalGapAgreements[[#All],[MonthEnd]],TA!$A13&amp;"*",Table_MedicalGapAgreements[[#All],[State]],TA!D$2)</f>
        <v>0.87042572572652788</v>
      </c>
      <c r="E13" s="163">
        <f>(SUMIFS(Table_MedicalGapAgreements[[#All],[NumberofServices]],Table_MedicalGapAgreements[[#All],[Year]],TA!$B13,Table_MedicalGapAgreements[[#All],[MonthEnd]],TA!$A13&amp;"*",Table_MedicalGapAgreements[[#All],[State]],TA!E$2,Table_MedicalGapAgreements[[#All],[GapType]],"No gap agreement*")+SUMIFS(Table_MedicalGapAgreements[[#All],[NumberofServices]],Table_MedicalGapAgreements[[#All],[Year]],TA!$B13,Table_MedicalGapAgreements[[#All],[MonthEnd]],TA!$A13&amp;"*",Table_MedicalGapAgreements[[#All],[State]],TA!E$2,Table_MedicalGapAgreements[[#All],[GapType]],"No agreement*",Table_MedicalGapAgreements[[#All],[MBSFeePercentage]],"Up to MBS*"))/SUMIFS(Table_MedicalGapAgreements[[#All],[NumberofServices]],Table_MedicalGapAgreements[[#All],[Year]],TA!$B13,Table_MedicalGapAgreements[[#All],[MonthEnd]],TA!$A13&amp;"*",Table_MedicalGapAgreements[[#All],[State]],TA!E$2)</f>
        <v>0.85725293872970509</v>
      </c>
      <c r="F13" s="163">
        <f>(SUMIFS(Table_MedicalGapAgreements[[#All],[NumberofServices]],Table_MedicalGapAgreements[[#All],[Year]],TA!$B13,Table_MedicalGapAgreements[[#All],[MonthEnd]],TA!$A13&amp;"*",Table_MedicalGapAgreements[[#All],[State]],TA!F$2,Table_MedicalGapAgreements[[#All],[GapType]],"No gap agreement*")+SUMIFS(Table_MedicalGapAgreements[[#All],[NumberofServices]],Table_MedicalGapAgreements[[#All],[Year]],TA!$B13,Table_MedicalGapAgreements[[#All],[MonthEnd]],TA!$A13&amp;"*",Table_MedicalGapAgreements[[#All],[State]],TA!F$2,Table_MedicalGapAgreements[[#All],[GapType]],"No agreement*",Table_MedicalGapAgreements[[#All],[MBSFeePercentage]],"Up to MBS*"))/SUMIFS(Table_MedicalGapAgreements[[#All],[NumberofServices]],Table_MedicalGapAgreements[[#All],[Year]],TA!$B13,Table_MedicalGapAgreements[[#All],[MonthEnd]],TA!$A13&amp;"*",Table_MedicalGapAgreements[[#All],[State]],TA!F$2)</f>
        <v>0.87261785099531686</v>
      </c>
      <c r="G13" s="163">
        <f>(SUMIFS(Table_MedicalGapAgreements[[#All],[NumberofServices]],Table_MedicalGapAgreements[[#All],[Year]],TA!$B13,Table_MedicalGapAgreements[[#All],[MonthEnd]],TA!$A13&amp;"*",Table_MedicalGapAgreements[[#All],[State]],TA!G$2,Table_MedicalGapAgreements[[#All],[GapType]],"No gap agreement*")+SUMIFS(Table_MedicalGapAgreements[[#All],[NumberofServices]],Table_MedicalGapAgreements[[#All],[Year]],TA!$B13,Table_MedicalGapAgreements[[#All],[MonthEnd]],TA!$A13&amp;"*",Table_MedicalGapAgreements[[#All],[State]],TA!G$2,Table_MedicalGapAgreements[[#All],[GapType]],"No agreement*",Table_MedicalGapAgreements[[#All],[MBSFeePercentage]],"Up to MBS*"))/SUMIFS(Table_MedicalGapAgreements[[#All],[NumberofServices]],Table_MedicalGapAgreements[[#All],[Year]],TA!$B13,Table_MedicalGapAgreements[[#All],[MonthEnd]],TA!$A13&amp;"*",Table_MedicalGapAgreements[[#All],[State]],TA!G$2)</f>
        <v>0.87068138871113931</v>
      </c>
      <c r="H13" s="163">
        <f>(SUMIFS(Table_MedicalGapAgreements[[#All],[NumberofServices]],Table_MedicalGapAgreements[[#All],[Year]],TA!$B13,Table_MedicalGapAgreements[[#All],[MonthEnd]],TA!$A13&amp;"*",Table_MedicalGapAgreements[[#All],[State]],TA!H$2,Table_MedicalGapAgreements[[#All],[GapType]],"No gap agreement*")+SUMIFS(Table_MedicalGapAgreements[[#All],[NumberofServices]],Table_MedicalGapAgreements[[#All],[Year]],TA!$B13,Table_MedicalGapAgreements[[#All],[MonthEnd]],TA!$A13&amp;"*",Table_MedicalGapAgreements[[#All],[State]],TA!H$2,Table_MedicalGapAgreements[[#All],[GapType]],"No agreement*",Table_MedicalGapAgreements[[#All],[MBSFeePercentage]],"Up to MBS*"))/SUMIFS(Table_MedicalGapAgreements[[#All],[NumberofServices]],Table_MedicalGapAgreements[[#All],[Year]],TA!$B13,Table_MedicalGapAgreements[[#All],[MonthEnd]],TA!$A13&amp;"*",Table_MedicalGapAgreements[[#All],[State]],TA!H$2)</f>
        <v>0.89015639982805939</v>
      </c>
      <c r="I13" s="163">
        <f>(SUMIFS(Table_MedicalGapAgreements[[#All],[NumberofServices]],Table_MedicalGapAgreements[[#All],[Year]],TA!$B13,Table_MedicalGapAgreements[[#All],[MonthEnd]],TA!$A13&amp;"*",Table_MedicalGapAgreements[[#All],[State]],TA!I$2,Table_MedicalGapAgreements[[#All],[GapType]],"No gap agreement*")+SUMIFS(Table_MedicalGapAgreements[[#All],[NumberofServices]],Table_MedicalGapAgreements[[#All],[Year]],TA!$B13,Table_MedicalGapAgreements[[#All],[MonthEnd]],TA!$A13&amp;"*",Table_MedicalGapAgreements[[#All],[State]],TA!I$2,Table_MedicalGapAgreements[[#All],[GapType]],"No agreement*",Table_MedicalGapAgreements[[#All],[MBSFeePercentage]],"Up to MBS*"))/SUMIFS(Table_MedicalGapAgreements[[#All],[NumberofServices]],Table_MedicalGapAgreements[[#All],[Year]],TA!$B13,Table_MedicalGapAgreements[[#All],[MonthEnd]],TA!$A13&amp;"*",Table_MedicalGapAgreements[[#All],[State]],TA!I$2)</f>
        <v>0.76350667039184184</v>
      </c>
      <c r="J13" s="163">
        <f>(SUMIFS(Table_MedicalGapAgreements[[#All],[NumberofServices]],Table_MedicalGapAgreements[[#All],[Year]],TA!$B13,Table_MedicalGapAgreements[[#All],[MonthEnd]],TA!$A13&amp;"*",Table_MedicalGapAgreements[[#All],[State]],TA!J$2,Table_MedicalGapAgreements[[#All],[GapType]],"No gap agreement*")+SUMIFS(Table_MedicalGapAgreements[[#All],[NumberofServices]],Table_MedicalGapAgreements[[#All],[Year]],TA!$B13,Table_MedicalGapAgreements[[#All],[MonthEnd]],TA!$A13&amp;"*",Table_MedicalGapAgreements[[#All],[State]],TA!J$2,Table_MedicalGapAgreements[[#All],[GapType]],"No agreement*",Table_MedicalGapAgreements[[#All],[MBSFeePercentage]],"Up to MBS*"))/SUMIFS(Table_MedicalGapAgreements[[#All],[NumberofServices]],Table_MedicalGapAgreements[[#All],[Year]],TA!$B13,Table_MedicalGapAgreements[[#All],[MonthEnd]],TA!$A13&amp;"*",Table_MedicalGapAgreements[[#All],[State]],TA!J$2)</f>
        <v>0.79851301115241635</v>
      </c>
      <c r="K13" s="163">
        <f>(SUMIFS(Table_MedicalGapAgreements[[#All],[NumberofServices]],Table_MedicalGapAgreements[[#All],[Year]],TA!$B13,Table_MedicalGapAgreements[[#All],[MonthEnd]],TA!$A13&amp;"*",Table_MedicalGapAgreements[[#All],[GapType]],"No gap agreement*")+SUMIFS(Table_MedicalGapAgreements[[#All],[NumberofServices]],Table_MedicalGapAgreements[[#All],[Year]],TA!$B13,Table_MedicalGapAgreements[[#All],[MonthEnd]],TA!$A13&amp;"*",Table_MedicalGapAgreements[[#All],[GapType]],"No agreement*",Table_MedicalGapAgreements[[#All],[MBSFeePercentage]],"Up to MBS*"))/SUMIFS(Table_MedicalGapAgreements[[#All],[NumberofServices]],Table_MedicalGapAgreements[[#All],[Year]],TA!$B13,Table_MedicalGapAgreements[[#All],[MonthEnd]],TA!$A13&amp;"*")</f>
        <v>0.87395833141059165</v>
      </c>
      <c r="M13" s="22"/>
      <c r="N13" s="22"/>
      <c r="O13" s="22"/>
      <c r="P13" s="22"/>
      <c r="Q13" s="22"/>
      <c r="R13" s="22"/>
      <c r="S13" s="22"/>
      <c r="T13" s="22"/>
      <c r="U13" s="22"/>
      <c r="V13" s="22"/>
      <c r="W13" s="22"/>
      <c r="X13" s="22"/>
      <c r="Y13" s="22"/>
      <c r="Z13" s="22"/>
      <c r="AA13" s="22"/>
      <c r="AB13" s="22"/>
      <c r="AC13" s="22"/>
      <c r="AD13" s="22"/>
      <c r="AE13" s="22"/>
      <c r="AF13" s="22"/>
      <c r="AG13" s="22"/>
    </row>
    <row r="14" spans="1:33" s="31" customFormat="1" ht="29.1" customHeight="1">
      <c r="A14" s="230"/>
      <c r="B14" s="164" t="s">
        <v>32</v>
      </c>
      <c r="C14" s="165">
        <f>(SUMIFS(Table_MedicalGapAgreements[[#All],[NumberofServices]],Table_MedicalGapAgreements[[#All],[Year]],TA!$B13,Table_MedicalGapAgreements[[#All],[MonthEnd]],TA!$A13,Table_MedicalGapAgreements[[#All],[State]],TA!C$2,Table_MedicalGapAgreements[[#All],[GapType]],"Known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f>
        <v>7.0655009293228335E-2</v>
      </c>
      <c r="D14" s="165">
        <f>(SUMIFS(Table_MedicalGapAgreements[[#All],[NumberofServices]],Table_MedicalGapAgreements[[#All],[Year]],TA!$B13,Table_MedicalGapAgreements[[#All],[MonthEnd]],TA!$A13,Table_MedicalGapAgreements[[#All],[State]],TA!D$2,Table_MedicalGapAgreements[[#All],[GapType]],"Known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f>
        <v>0.10590499392659944</v>
      </c>
      <c r="E14" s="165">
        <f>(SUMIFS(Table_MedicalGapAgreements[[#All],[NumberofServices]],Table_MedicalGapAgreements[[#All],[Year]],TA!$B13,Table_MedicalGapAgreements[[#All],[MonthEnd]],TA!$A13,Table_MedicalGapAgreements[[#All],[State]],TA!E$2,Table_MedicalGapAgreements[[#All],[GapType]],"Known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f>
        <v>0.1059906215857839</v>
      </c>
      <c r="F14" s="165">
        <f>(SUMIFS(Table_MedicalGapAgreements[[#All],[NumberofServices]],Table_MedicalGapAgreements[[#All],[Year]],TA!$B13,Table_MedicalGapAgreements[[#All],[MonthEnd]],TA!$A13,Table_MedicalGapAgreements[[#All],[State]],TA!F$2,Table_MedicalGapAgreements[[#All],[GapType]],"Known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f>
        <v>0.11906205160864594</v>
      </c>
      <c r="G14" s="165">
        <f>(SUMIFS(Table_MedicalGapAgreements[[#All],[NumberofServices]],Table_MedicalGapAgreements[[#All],[Year]],TA!$B13,Table_MedicalGapAgreements[[#All],[MonthEnd]],TA!$A13,Table_MedicalGapAgreements[[#All],[State]],TA!G$2,Table_MedicalGapAgreements[[#All],[GapType]],"Known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f>
        <v>0.1073321861447897</v>
      </c>
      <c r="H14" s="165">
        <f>(SUMIFS(Table_MedicalGapAgreements[[#All],[NumberofServices]],Table_MedicalGapAgreements[[#All],[Year]],TA!$B13,Table_MedicalGapAgreements[[#All],[MonthEnd]],TA!$A13,Table_MedicalGapAgreements[[#All],[State]],TA!H$2,Table_MedicalGapAgreements[[#All],[GapType]],"Known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f>
        <v>9.546010647091889E-2</v>
      </c>
      <c r="I14" s="165">
        <f>(SUMIFS(Table_MedicalGapAgreements[[#All],[NumberofServices]],Table_MedicalGapAgreements[[#All],[Year]],TA!$B13,Table_MedicalGapAgreements[[#All],[MonthEnd]],TA!$A13,Table_MedicalGapAgreements[[#All],[State]],TA!I$2,Table_MedicalGapAgreements[[#All],[GapType]],"Known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f>
        <v>0.14363169658448</v>
      </c>
      <c r="J14" s="165">
        <f>(SUMIFS(Table_MedicalGapAgreements[[#All],[NumberofServices]],Table_MedicalGapAgreements[[#All],[Year]],TA!$B13,Table_MedicalGapAgreements[[#All],[MonthEnd]],TA!$A13,Table_MedicalGapAgreements[[#All],[State]],TA!J$2,Table_MedicalGapAgreements[[#All],[GapType]],"Known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f>
        <v>0.16248451053283766</v>
      </c>
      <c r="K14" s="165">
        <f>(SUMIFS(Table_MedicalGapAgreements[[#All],[NumberofServices]],Table_MedicalGapAgreements[[#All],[Year]],TA!$B13,Table_MedicalGapAgreements[[#All],[MonthEnd]],TA!$A13,Table_MedicalGapAgreements[[#All],[GapType]],"Known gap agreement"))/SUMIFS(Table_MedicalGapAgreements[[#All],[NumberofServices]],Table_MedicalGapAgreements[[#All],[Year]],TA!$B13,Table_MedicalGapAgreements[[#All],[MonthEnd]],TA!$A13&amp;"*")</f>
        <v>9.558165130270567E-2</v>
      </c>
      <c r="M14" s="22"/>
      <c r="N14" s="22"/>
      <c r="O14" s="22"/>
      <c r="P14" s="22"/>
      <c r="Q14" s="22"/>
      <c r="R14" s="22"/>
      <c r="S14" s="22"/>
      <c r="T14" s="22"/>
      <c r="U14" s="22"/>
      <c r="V14" s="22"/>
      <c r="W14" s="22"/>
      <c r="X14" s="22"/>
      <c r="Y14" s="22"/>
      <c r="Z14" s="22"/>
      <c r="AA14" s="22"/>
      <c r="AB14" s="22"/>
      <c r="AC14" s="22"/>
      <c r="AD14" s="22"/>
      <c r="AE14" s="22"/>
      <c r="AF14" s="22"/>
      <c r="AG14" s="22"/>
    </row>
    <row r="15" spans="1:33" s="31" customFormat="1" ht="29.1" customHeight="1">
      <c r="A15" s="230"/>
      <c r="B15" s="166" t="s">
        <v>33</v>
      </c>
      <c r="C15" s="167">
        <f>(SUMIFS(Table_MedicalGapAgreements[[#All],[AmountCharged]],Table_MedicalGapAgreements[[#All],[Year]],TA!$B13,Table_MedicalGapAgreements[[#All],[MonthEnd]],TA!$A13,Table_MedicalGapAgreements[[#All],[State]],TA!C$2)-SUMIFS(Table_MedicalGapAgreements[[#All],[MedicareBenefit]],Table_MedicalGapAgreements[[#All],[Year]],TA!$B13,Table_MedicalGapAgreements[[#All],[MonthEnd]],TA!$A13,Table_MedicalGapAgreements[[#All],[State]],TA!C$2)-SUMIFS(Table_MedicalGapAgreements[[#All],[FundBenefit]],Table_MedicalGapAgreements[[#All],[Year]],TA!$B13,Table_MedicalGapAgreements[[#All],[MonthEnd]],TA!$A13,Table_MedicalGapAgreements[[#All],[State]],TA!C$2))/SUMIFS(Table_MedicalGapAgreements[[#All],[NumberofServices]],Table_MedicalGapAgreements[[#All],[Year]],TA!$B13,Table_MedicalGapAgreements[[#All],[MonthEnd]],TA!$A13,Table_MedicalGapAgreements[[#All],[State]],TA!C$2)</f>
        <v>37.203670213699652</v>
      </c>
      <c r="D15" s="167">
        <f>(SUMIFS(Table_MedicalGapAgreements[[#All],[AmountCharged]],Table_MedicalGapAgreements[[#All],[Year]],TA!$B13,Table_MedicalGapAgreements[[#All],[MonthEnd]],TA!$A13,Table_MedicalGapAgreements[[#All],[State]],TA!D$2)-SUMIFS(Table_MedicalGapAgreements[[#All],[MedicareBenefit]],Table_MedicalGapAgreements[[#All],[Year]],TA!$B13,Table_MedicalGapAgreements[[#All],[MonthEnd]],TA!$A13,Table_MedicalGapAgreements[[#All],[State]],TA!D$2)-SUMIFS(Table_MedicalGapAgreements[[#All],[FundBenefit]],Table_MedicalGapAgreements[[#All],[Year]],TA!$B13,Table_MedicalGapAgreements[[#All],[MonthEnd]],TA!$A13,Table_MedicalGapAgreements[[#All],[State]],TA!D$2))/SUMIFS(Table_MedicalGapAgreements[[#All],[NumberofServices]],Table_MedicalGapAgreements[[#All],[Year]],TA!$B13,Table_MedicalGapAgreements[[#All],[MonthEnd]],TA!$A13,Table_MedicalGapAgreements[[#All],[State]],TA!D$2)</f>
        <v>28.185142973917021</v>
      </c>
      <c r="E15" s="167">
        <f>(SUMIFS(Table_MedicalGapAgreements[[#All],[AmountCharged]],Table_MedicalGapAgreements[[#All],[Year]],TA!$B13,Table_MedicalGapAgreements[[#All],[MonthEnd]],TA!$A13,Table_MedicalGapAgreements[[#All],[State]],TA!E$2)-SUMIFS(Table_MedicalGapAgreements[[#All],[MedicareBenefit]],Table_MedicalGapAgreements[[#All],[Year]],TA!$B13,Table_MedicalGapAgreements[[#All],[MonthEnd]],TA!$A13,Table_MedicalGapAgreements[[#All],[State]],TA!E$2)-SUMIFS(Table_MedicalGapAgreements[[#All],[FundBenefit]],Table_MedicalGapAgreements[[#All],[Year]],TA!$B13,Table_MedicalGapAgreements[[#All],[MonthEnd]],TA!$A13,Table_MedicalGapAgreements[[#All],[State]],TA!E$2))/SUMIFS(Table_MedicalGapAgreements[[#All],[NumberofServices]],Table_MedicalGapAgreements[[#All],[Year]],TA!$B13,Table_MedicalGapAgreements[[#All],[MonthEnd]],TA!$A13,Table_MedicalGapAgreements[[#All],[State]],TA!E$2)</f>
        <v>40.249116459606626</v>
      </c>
      <c r="F15" s="167">
        <f>(SUMIFS(Table_MedicalGapAgreements[[#All],[AmountCharged]],Table_MedicalGapAgreements[[#All],[Year]],TA!$B13,Table_MedicalGapAgreements[[#All],[MonthEnd]],TA!$A13,Table_MedicalGapAgreements[[#All],[State]],TA!F$2)-SUMIFS(Table_MedicalGapAgreements[[#All],[MedicareBenefit]],Table_MedicalGapAgreements[[#All],[Year]],TA!$B13,Table_MedicalGapAgreements[[#All],[MonthEnd]],TA!$A13,Table_MedicalGapAgreements[[#All],[State]],TA!F$2)-SUMIFS(Table_MedicalGapAgreements[[#All],[FundBenefit]],Table_MedicalGapAgreements[[#All],[Year]],TA!$B13,Table_MedicalGapAgreements[[#All],[MonthEnd]],TA!$A13,Table_MedicalGapAgreements[[#All],[State]],TA!F$2))/SUMIFS(Table_MedicalGapAgreements[[#All],[NumberofServices]],Table_MedicalGapAgreements[[#All],[Year]],TA!$B13,Table_MedicalGapAgreements[[#All],[MonthEnd]],TA!$A13,Table_MedicalGapAgreements[[#All],[State]],TA!F$2)</f>
        <v>20.698752522501067</v>
      </c>
      <c r="G15" s="167">
        <f>(SUMIFS(Table_MedicalGapAgreements[[#All],[AmountCharged]],Table_MedicalGapAgreements[[#All],[Year]],TA!$B13,Table_MedicalGapAgreements[[#All],[MonthEnd]],TA!$A13,Table_MedicalGapAgreements[[#All],[State]],TA!G$2)-SUMIFS(Table_MedicalGapAgreements[[#All],[MedicareBenefit]],Table_MedicalGapAgreements[[#All],[Year]],TA!$B13,Table_MedicalGapAgreements[[#All],[MonthEnd]],TA!$A13,Table_MedicalGapAgreements[[#All],[State]],TA!G$2)-SUMIFS(Table_MedicalGapAgreements[[#All],[FundBenefit]],Table_MedicalGapAgreements[[#All],[Year]],TA!$B13,Table_MedicalGapAgreements[[#All],[MonthEnd]],TA!$A13,Table_MedicalGapAgreements[[#All],[State]],TA!G$2))/SUMIFS(Table_MedicalGapAgreements[[#All],[NumberofServices]],Table_MedicalGapAgreements[[#All],[Year]],TA!$B13,Table_MedicalGapAgreements[[#All],[MonthEnd]],TA!$A13,Table_MedicalGapAgreements[[#All],[State]],TA!G$2)</f>
        <v>27.398075960269995</v>
      </c>
      <c r="H15" s="167">
        <f>(SUMIFS(Table_MedicalGapAgreements[[#All],[AmountCharged]],Table_MedicalGapAgreements[[#All],[Year]],TA!$B13,Table_MedicalGapAgreements[[#All],[MonthEnd]],TA!$A13,Table_MedicalGapAgreements[[#All],[State]],TA!H$2)-SUMIFS(Table_MedicalGapAgreements[[#All],[MedicareBenefit]],Table_MedicalGapAgreements[[#All],[Year]],TA!$B13,Table_MedicalGapAgreements[[#All],[MonthEnd]],TA!$A13,Table_MedicalGapAgreements[[#All],[State]],TA!H$2)-SUMIFS(Table_MedicalGapAgreements[[#All],[FundBenefit]],Table_MedicalGapAgreements[[#All],[Year]],TA!$B13,Table_MedicalGapAgreements[[#All],[MonthEnd]],TA!$A13,Table_MedicalGapAgreements[[#All],[State]],TA!H$2))/SUMIFS(Table_MedicalGapAgreements[[#All],[NumberofServices]],Table_MedicalGapAgreements[[#All],[Year]],TA!$B13,Table_MedicalGapAgreements[[#All],[MonthEnd]],TA!$A13,Table_MedicalGapAgreements[[#All],[State]],TA!H$2)</f>
        <v>29.6871855746233</v>
      </c>
      <c r="I15" s="167">
        <f>(SUMIFS(Table_MedicalGapAgreements[[#All],[AmountCharged]],Table_MedicalGapAgreements[[#All],[Year]],TA!$B13,Table_MedicalGapAgreements[[#All],[MonthEnd]],TA!$A13,Table_MedicalGapAgreements[[#All],[State]],TA!I$2)-SUMIFS(Table_MedicalGapAgreements[[#All],[MedicareBenefit]],Table_MedicalGapAgreements[[#All],[Year]],TA!$B13,Table_MedicalGapAgreements[[#All],[MonthEnd]],TA!$A13,Table_MedicalGapAgreements[[#All],[State]],TA!I$2)-SUMIFS(Table_MedicalGapAgreements[[#All],[FundBenefit]],Table_MedicalGapAgreements[[#All],[Year]],TA!$B13,Table_MedicalGapAgreements[[#All],[MonthEnd]],TA!$A13,Table_MedicalGapAgreements[[#All],[State]],TA!I$2))/SUMIFS(Table_MedicalGapAgreements[[#All],[NumberofServices]],Table_MedicalGapAgreements[[#All],[Year]],TA!$B13,Table_MedicalGapAgreements[[#All],[MonthEnd]],TA!$A13,Table_MedicalGapAgreements[[#All],[State]],TA!I$2)</f>
        <v>93.245333432283346</v>
      </c>
      <c r="J15" s="167">
        <f>(SUMIFS(Table_MedicalGapAgreements[[#All],[AmountCharged]],Table_MedicalGapAgreements[[#All],[Year]],TA!$B13,Table_MedicalGapAgreements[[#All],[MonthEnd]],TA!$A13,Table_MedicalGapAgreements[[#All],[State]],TA!J$2)-SUMIFS(Table_MedicalGapAgreements[[#All],[MedicareBenefit]],Table_MedicalGapAgreements[[#All],[Year]],TA!$B13,Table_MedicalGapAgreements[[#All],[MonthEnd]],TA!$A13,Table_MedicalGapAgreements[[#All],[State]],TA!J$2)-SUMIFS(Table_MedicalGapAgreements[[#All],[FundBenefit]],Table_MedicalGapAgreements[[#All],[Year]],TA!$B13,Table_MedicalGapAgreements[[#All],[MonthEnd]],TA!$A13,Table_MedicalGapAgreements[[#All],[State]],TA!J$2))/SUMIFS(Table_MedicalGapAgreements[[#All],[NumberofServices]],Table_MedicalGapAgreements[[#All],[Year]],TA!$B13,Table_MedicalGapAgreements[[#All],[MonthEnd]],TA!$A13,Table_MedicalGapAgreements[[#All],[State]],TA!J$2)</f>
        <v>59.514537174721184</v>
      </c>
      <c r="K15" s="167">
        <f>(SUMIFS(Table_MedicalGapAgreements[[#All],[AmountCharged]],Table_MedicalGapAgreements[[#All],[Year]],TA!$B13,Table_MedicalGapAgreements[[#All],[MonthEnd]],TA!$A13&amp;"*")-SUMIFS(Table_MedicalGapAgreements[[#All],[MedicareBenefit]],Table_MedicalGapAgreements[[#All],[Year]],TA!$B13,Table_MedicalGapAgreements[[#All],[MonthEnd]],TA!$A13&amp;"*")-SUMIFS(Table_MedicalGapAgreements[[#All],[FundBenefit]],Table_MedicalGapAgreements[[#All],[Year]],TA!$B13,Table_MedicalGapAgreements[[#All],[MonthEnd]],TA!$A13&amp;"*"))/SUMIFS(Table_MedicalGapAgreements[[#All],[NumberofServices]],Table_MedicalGapAgreements[[#All],[Year]],TA!$B13,Table_MedicalGapAgreements[[#All],[MonthEnd]],TA!$A13&amp;"*")</f>
        <v>33.797923169864873</v>
      </c>
      <c r="M15" s="22"/>
      <c r="N15" s="22"/>
      <c r="O15" s="22"/>
      <c r="P15" s="22"/>
      <c r="Q15" s="22"/>
      <c r="R15" s="22"/>
      <c r="S15" s="22"/>
      <c r="T15" s="22"/>
      <c r="U15" s="22"/>
      <c r="V15" s="22"/>
      <c r="W15" s="22"/>
      <c r="X15" s="22"/>
      <c r="Y15" s="22"/>
      <c r="Z15" s="22"/>
      <c r="AA15" s="22"/>
      <c r="AB15" s="22"/>
      <c r="AC15" s="22"/>
      <c r="AD15" s="22"/>
      <c r="AE15" s="22"/>
      <c r="AF15" s="22"/>
      <c r="AG15" s="22"/>
    </row>
    <row r="16" spans="1:33" s="31" customFormat="1" ht="29.1" customHeight="1">
      <c r="A16" s="230"/>
      <c r="B16" s="166" t="s">
        <v>34</v>
      </c>
      <c r="C16" s="168">
        <f>(SUMIFS(Table_MedicalGapAgreements[[#All],[AmountCharged]],Table_MedicalGapAgreements[[#All],[Year]],TA!$B13,Table_MedicalGapAgreements[[#All],[MonthEnd]],TA!$A13,Table_MedicalGapAgreements[[#All],[State]],TA!C$2,Table_MedicalGapAgreements[[#All],[GapType]],"Known gap agreement")-SUMIFS(Table_MedicalGapAgreements[[#All],[MedicareBenefit]],Table_MedicalGapAgreements[[#All],[Year]],TA!$B13,Table_MedicalGapAgreements[[#All],[MonthEnd]],TA!$A13,Table_MedicalGapAgreements[[#All],[State]],TA!C$2,Table_MedicalGapAgreements[[#All],[GapType]],"Known gap agreement")-SUMIFS(Table_MedicalGapAgreements[[#All],[FundBenefit]],Table_MedicalGapAgreements[[#All],[Year]],TA!$B13,Table_MedicalGapAgreements[[#All],[MonthEnd]],TA!$A13,Table_MedicalGapAgreements[[#All],[State]],TA!C$2,Table_MedicalGapAgreements[[#All],[GapType]],"Known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Table_MedicalGapAgreements[[#All],[GapType]],"Known gap agreement"))</f>
        <v>124.08817300251698</v>
      </c>
      <c r="D16" s="168">
        <f>(SUMIFS(Table_MedicalGapAgreements[[#All],[AmountCharged]],Table_MedicalGapAgreements[[#All],[Year]],TA!$B13,Table_MedicalGapAgreements[[#All],[MonthEnd]],TA!$A13,Table_MedicalGapAgreements[[#All],[State]],TA!D$2,Table_MedicalGapAgreements[[#All],[GapType]],"Known gap agreement")-SUMIFS(Table_MedicalGapAgreements[[#All],[MedicareBenefit]],Table_MedicalGapAgreements[[#All],[Year]],TA!$B13,Table_MedicalGapAgreements[[#All],[MonthEnd]],TA!$A13,Table_MedicalGapAgreements[[#All],[State]],TA!D$2,Table_MedicalGapAgreements[[#All],[GapType]],"Known gap agreement")-SUMIFS(Table_MedicalGapAgreements[[#All],[FundBenefit]],Table_MedicalGapAgreements[[#All],[Year]],TA!$B13,Table_MedicalGapAgreements[[#All],[MonthEnd]],TA!$A13,Table_MedicalGapAgreements[[#All],[State]],TA!D$2,Table_MedicalGapAgreements[[#All],[GapType]],"Known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Table_MedicalGapAgreements[[#All],[GapType]],"Known gap agreement"))</f>
        <v>120.93828263391924</v>
      </c>
      <c r="E16" s="168">
        <f>(SUMIFS(Table_MedicalGapAgreements[[#All],[AmountCharged]],Table_MedicalGapAgreements[[#All],[Year]],TA!$B13,Table_MedicalGapAgreements[[#All],[MonthEnd]],TA!$A13,Table_MedicalGapAgreements[[#All],[State]],TA!E$2,Table_MedicalGapAgreements[[#All],[GapType]],"Known gap agreement")-SUMIFS(Table_MedicalGapAgreements[[#All],[MedicareBenefit]],Table_MedicalGapAgreements[[#All],[Year]],TA!$B13,Table_MedicalGapAgreements[[#All],[MonthEnd]],TA!$A13,Table_MedicalGapAgreements[[#All],[State]],TA!E$2,Table_MedicalGapAgreements[[#All],[GapType]],"Known gap agreement")-SUMIFS(Table_MedicalGapAgreements[[#All],[FundBenefit]],Table_MedicalGapAgreements[[#All],[Year]],TA!$B13,Table_MedicalGapAgreements[[#All],[MonthEnd]],TA!$A13,Table_MedicalGapAgreements[[#All],[State]],TA!E$2,Table_MedicalGapAgreements[[#All],[GapType]],"Known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Table_MedicalGapAgreements[[#All],[GapType]],"Known gap agreement"))</f>
        <v>154.42356299580024</v>
      </c>
      <c r="F16" s="168">
        <f>(SUMIFS(Table_MedicalGapAgreements[[#All],[AmountCharged]],Table_MedicalGapAgreements[[#All],[Year]],TA!$B13,Table_MedicalGapAgreements[[#All],[MonthEnd]],TA!$A13,Table_MedicalGapAgreements[[#All],[State]],TA!F$2,Table_MedicalGapAgreements[[#All],[GapType]],"Known gap agreement")-SUMIFS(Table_MedicalGapAgreements[[#All],[MedicareBenefit]],Table_MedicalGapAgreements[[#All],[Year]],TA!$B13,Table_MedicalGapAgreements[[#All],[MonthEnd]],TA!$A13,Table_MedicalGapAgreements[[#All],[State]],TA!F$2,Table_MedicalGapAgreements[[#All],[GapType]],"Known gap agreement")-SUMIFS(Table_MedicalGapAgreements[[#All],[FundBenefit]],Table_MedicalGapAgreements[[#All],[Year]],TA!$B13,Table_MedicalGapAgreements[[#All],[MonthEnd]],TA!$A13,Table_MedicalGapAgreements[[#All],[State]],TA!F$2,Table_MedicalGapAgreements[[#All],[GapType]],"Known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Table_MedicalGapAgreements[[#All],[GapType]],"Known gap agreement"))</f>
        <v>109.59721939378322</v>
      </c>
      <c r="G16" s="168">
        <f>(SUMIFS(Table_MedicalGapAgreements[[#All],[AmountCharged]],Table_MedicalGapAgreements[[#All],[Year]],TA!$B13,Table_MedicalGapAgreements[[#All],[MonthEnd]],TA!$A13,Table_MedicalGapAgreements[[#All],[State]],TA!G$2,Table_MedicalGapAgreements[[#All],[GapType]],"Known gap agreement")-SUMIFS(Table_MedicalGapAgreements[[#All],[MedicareBenefit]],Table_MedicalGapAgreements[[#All],[Year]],TA!$B13,Table_MedicalGapAgreements[[#All],[MonthEnd]],TA!$A13,Table_MedicalGapAgreements[[#All],[State]],TA!G$2,Table_MedicalGapAgreements[[#All],[GapType]],"Known gap agreement")-SUMIFS(Table_MedicalGapAgreements[[#All],[FundBenefit]],Table_MedicalGapAgreements[[#All],[Year]],TA!$B13,Table_MedicalGapAgreements[[#All],[MonthEnd]],TA!$A13,Table_MedicalGapAgreements[[#All],[State]],TA!G$2,Table_MedicalGapAgreements[[#All],[GapType]],"Known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Table_MedicalGapAgreements[[#All],[GapType]],"Known gap agreement"))</f>
        <v>162.58265057607915</v>
      </c>
      <c r="H16" s="168">
        <f>(SUMIFS(Table_MedicalGapAgreements[[#All],[AmountCharged]],Table_MedicalGapAgreements[[#All],[Year]],TA!$B13,Table_MedicalGapAgreements[[#All],[MonthEnd]],TA!$A13,Table_MedicalGapAgreements[[#All],[State]],TA!H$2,Table_MedicalGapAgreements[[#All],[GapType]],"Known gap agreement")-SUMIFS(Table_MedicalGapAgreements[[#All],[MedicareBenefit]],Table_MedicalGapAgreements[[#All],[Year]],TA!$B13,Table_MedicalGapAgreements[[#All],[MonthEnd]],TA!$A13,Table_MedicalGapAgreements[[#All],[State]],TA!H$2,Table_MedicalGapAgreements[[#All],[GapType]],"Known gap agreement")-SUMIFS(Table_MedicalGapAgreements[[#All],[FundBenefit]],Table_MedicalGapAgreements[[#All],[Year]],TA!$B13,Table_MedicalGapAgreements[[#All],[MonthEnd]],TA!$A13,Table_MedicalGapAgreements[[#All],[State]],TA!H$2,Table_MedicalGapAgreements[[#All],[GapType]],"Known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Table_MedicalGapAgreements[[#All],[GapType]],"Known gap agreement"))</f>
        <v>169.81967440249397</v>
      </c>
      <c r="I16" s="168">
        <f>(SUMIFS(Table_MedicalGapAgreements[[#All],[AmountCharged]],Table_MedicalGapAgreements[[#All],[Year]],TA!$B13,Table_MedicalGapAgreements[[#All],[MonthEnd]],TA!$A13,Table_MedicalGapAgreements[[#All],[State]],TA!I$2,Table_MedicalGapAgreements[[#All],[GapType]],"Known gap agreement")-SUMIFS(Table_MedicalGapAgreements[[#All],[MedicareBenefit]],Table_MedicalGapAgreements[[#All],[Year]],TA!$B13,Table_MedicalGapAgreements[[#All],[MonthEnd]],TA!$A13,Table_MedicalGapAgreements[[#All],[State]],TA!I$2,Table_MedicalGapAgreements[[#All],[GapType]],"Known gap agreement")-SUMIFS(Table_MedicalGapAgreements[[#All],[FundBenefit]],Table_MedicalGapAgreements[[#All],[Year]],TA!$B13,Table_MedicalGapAgreements[[#All],[MonthEnd]],TA!$A13,Table_MedicalGapAgreements[[#All],[State]],TA!I$2,Table_MedicalGapAgreements[[#All],[GapType]],"Known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Table_MedicalGapAgreements[[#All],[GapType]],"Known gap agreement"))</f>
        <v>152.3622813202845</v>
      </c>
      <c r="J16" s="168">
        <f>(SUMIFS(Table_MedicalGapAgreements[[#All],[AmountCharged]],Table_MedicalGapAgreements[[#All],[Year]],TA!$B13,Table_MedicalGapAgreements[[#All],[MonthEnd]],TA!$A13,Table_MedicalGapAgreements[[#All],[State]],TA!J$2,Table_MedicalGapAgreements[[#All],[GapType]],"Known gap agreement")-SUMIFS(Table_MedicalGapAgreements[[#All],[MedicareBenefit]],Table_MedicalGapAgreements[[#All],[Year]],TA!$B13,Table_MedicalGapAgreements[[#All],[MonthEnd]],TA!$A13,Table_MedicalGapAgreements[[#All],[State]],TA!J$2,Table_MedicalGapAgreements[[#All],[GapType]],"Known gap agreement")-SUMIFS(Table_MedicalGapAgreements[[#All],[FundBenefit]],Table_MedicalGapAgreements[[#All],[Year]],TA!$B13,Table_MedicalGapAgreements[[#All],[MonthEnd]],TA!$A13,Table_MedicalGapAgreements[[#All],[State]],TA!J$2,Table_MedicalGapAgreements[[#All],[GapType]],"Known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Table_MedicalGapAgreements[[#All],[GapType]],"Known gap agreement"))</f>
        <v>120.45716110581508</v>
      </c>
      <c r="K16" s="168">
        <f>(SUMIFS(Table_MedicalGapAgreements[[#All],[AmountCharged]],Table_MedicalGapAgreements[[#All],[Year]],TA!$B13,Table_MedicalGapAgreements[[#All],[MonthEnd]],TA!$A13,Table_MedicalGapAgreements[[#All],[GapType]],"Known gap agreement")-SUMIFS(Table_MedicalGapAgreements[[#All],[MedicareBenefit]],Table_MedicalGapAgreements[[#All],[Year]],TA!$B13,Table_MedicalGapAgreements[[#All],[MonthEnd]],TA!$A13,Table_MedicalGapAgreements[[#All],[GapType]],"Known gap agreement")-SUMIFS(Table_MedicalGapAgreements[[#All],[FundBenefit]],Table_MedicalGapAgreements[[#All],[Year]],TA!$B13,Table_MedicalGapAgreements[[#All],[MonthEnd]],TA!$A13,Table_MedicalGapAgreements[[#All],[GapType]],"Known gap agreement"))/(SUMIFS(Table_MedicalGapAgreements[[#All],[NumberofServices]],Table_MedicalGapAgreements[[#All],[Year]],TA!$B13,Table_MedicalGapAgreements[[#All],[MonthEnd]],TA!$A13,Table_MedicalGapAgreements[[#All],[GapType]],"Known gap agreement"))</f>
        <v>134.17021371812834</v>
      </c>
      <c r="M16" s="22"/>
      <c r="N16" s="22"/>
      <c r="O16" s="22"/>
      <c r="P16" s="22"/>
      <c r="Q16" s="22"/>
      <c r="R16" s="22"/>
      <c r="S16" s="22"/>
      <c r="T16" s="22"/>
      <c r="U16" s="22"/>
      <c r="V16" s="22"/>
      <c r="W16" s="22"/>
      <c r="X16" s="22"/>
      <c r="Y16" s="22"/>
      <c r="Z16" s="22"/>
      <c r="AA16" s="22"/>
      <c r="AB16" s="22"/>
      <c r="AC16" s="22"/>
      <c r="AD16" s="22"/>
      <c r="AE16" s="22"/>
      <c r="AF16" s="22"/>
      <c r="AG16" s="22"/>
    </row>
    <row r="17" spans="1:33" s="31" customFormat="1" ht="29.1" customHeight="1" thickBot="1">
      <c r="A17" s="231"/>
      <c r="B17" s="169" t="s">
        <v>35</v>
      </c>
      <c r="C17" s="170">
        <f>(SUMIFS(Table_MedicalGapAgreements[[#All],[AmountCharged]],Table_MedicalGapAgreements[[#All],[Year]],TA!$B13,Table_MedicalGapAgreements[[#All],[MonthEnd]],TA!$A13&amp;"*",Table_MedicalGapAgreements[[#All],[State]],TA!C$2,Table_MedicalGapAgreements[[#All],[GapType]],"Known gap agreement*")+SUMIFS(Table_MedicalGapAgreements[[#All],[AmountCharged]],Table_MedicalGapAgreements[[#All],[Year]],TA!$B13,Table_MedicalGapAgreements[[#All],[MonthEnd]],TA!$A13&amp;"*",Table_MedicalGapAgreements[[#All],[State]],TA!C$2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C$2,Table_MedicalGapAgreements[[#All],[GapType]],"Known gap agreement*")-SUMIFS(Table_MedicalGapAgreements[[#All],[MedicareBenefit]],Table_MedicalGapAgreements[[#All],[Year]],TA!$B13,Table_MedicalGapAgreements[[#All],[MonthEnd]],TA!$A13&amp;"*",Table_MedicalGapAgreements[[#All],[State]],TA!C$2,Table_MedicalGapAgreements[[#All],[GapType]],"No agreement*",Table_MedicalGapAgreements[[#All],[MBSFeePercentage]],"&lt;&gt;Up to MBS Fee*")-SUMIFS(Table_MedicalGapAgreements[[#All],[FundBenefit]],Table_MedicalGapAgreements[[#All],[Year]],TA!$B13,Table_MedicalGapAgreements[[#All],[MonthEnd]],TA!$A13&amp;"*",Table_MedicalGapAgreements[[#All],[State]],TA!C$2,Table_MedicalGapAgreements[[#All],[GapType]],"Known gap agreement*")-SUMIFS(Table_MedicalGapAgreements[[#All],[FundBenefit]],Table_MedicalGapAgreements[[#All],[Year]],TA!$B13,Table_MedicalGapAgreements[[#All],[MonthEnd]],TA!$A13&amp;"*",Table_MedicalGapAgreements[[#All],[State]],TA!C$2,Table_MedicalGapAgreements[[#All],[GapType]],"No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C$2,Table_MedicalGapAgreements[[#All],[GapType]],"Known gap agreement*")+SUMIFS(Table_MedicalGapAgreements[[#All],[NumberofServices]],Table_MedicalGapAgreements[[#All],[Year]],TA!$B13,Table_MedicalGapAgreements[[#All],[MonthEnd]],TA!$A13&amp;"*",Table_MedicalGapAgreements[[#All],[State]],TA!C$2,Table_MedicalGapAgreements[[#All],[GapType]],"No agreement*",Table_MedicalGapAgreements[[#All],[MBSFeePercentage]],"&lt;&gt;Up to MBS Fee*"))</f>
        <v>341.66207069745809</v>
      </c>
      <c r="D17" s="170">
        <f>(SUMIFS(Table_MedicalGapAgreements[[#All],[AmountCharged]],Table_MedicalGapAgreements[[#All],[Year]],TA!$B13,Table_MedicalGapAgreements[[#All],[MonthEnd]],TA!$A13&amp;"*",Table_MedicalGapAgreements[[#All],[State]],TA!D$2,Table_MedicalGapAgreements[[#All],[GapType]],"Known gap agreement*")+SUMIFS(Table_MedicalGapAgreements[[#All],[AmountCharged]],Table_MedicalGapAgreements[[#All],[Year]],TA!$B13,Table_MedicalGapAgreements[[#All],[MonthEnd]],TA!$A13&amp;"*",Table_MedicalGapAgreements[[#All],[State]],TA!D$2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D$2,Table_MedicalGapAgreements[[#All],[GapType]],"Known gap agreement*")-SUMIFS(Table_MedicalGapAgreements[[#All],[MedicareBenefit]],Table_MedicalGapAgreements[[#All],[Year]],TA!$B13,Table_MedicalGapAgreements[[#All],[MonthEnd]],TA!$A13&amp;"*",Table_MedicalGapAgreements[[#All],[State]],TA!D$2,Table_MedicalGapAgreements[[#All],[GapType]],"No agreement*",Table_MedicalGapAgreements[[#All],[MBSFeePercentage]],"&lt;&gt;Up to MBS Fee*")-SUMIFS(Table_MedicalGapAgreements[[#All],[FundBenefit]],Table_MedicalGapAgreements[[#All],[Year]],TA!$B13,Table_MedicalGapAgreements[[#All],[MonthEnd]],TA!$A13&amp;"*",Table_MedicalGapAgreements[[#All],[State]],TA!D$2,Table_MedicalGapAgreements[[#All],[GapType]],"Known gap agreement*")-SUMIFS(Table_MedicalGapAgreements[[#All],[FundBenefit]],Table_MedicalGapAgreements[[#All],[Year]],TA!$B13,Table_MedicalGapAgreements[[#All],[MonthEnd]],TA!$A13&amp;"*",Table_MedicalGapAgreements[[#All],[State]],TA!D$2,Table_MedicalGapAgreements[[#All],[GapType]],"No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D$2,Table_MedicalGapAgreements[[#All],[GapType]],"Known gap agreement*")+SUMIFS(Table_MedicalGapAgreements[[#All],[NumberofServices]],Table_MedicalGapAgreements[[#All],[Year]],TA!$B13,Table_MedicalGapAgreements[[#All],[MonthEnd]],TA!$A13&amp;"*",Table_MedicalGapAgreements[[#All],[State]],TA!D$2,Table_MedicalGapAgreements[[#All],[GapType]],"No agreement*",Table_MedicalGapAgreements[[#All],[MBSFeePercentage]],"&lt;&gt;Up to MBS Fee*"))</f>
        <v>217.4883767545694</v>
      </c>
      <c r="E17" s="170">
        <f>(SUMIFS(Table_MedicalGapAgreements[[#All],[AmountCharged]],Table_MedicalGapAgreements[[#All],[Year]],TA!$B13,Table_MedicalGapAgreements[[#All],[MonthEnd]],TA!$A13&amp;"*",Table_MedicalGapAgreements[[#All],[State]],TA!E$2,Table_MedicalGapAgreements[[#All],[GapType]],"Known gap agreement*")+SUMIFS(Table_MedicalGapAgreements[[#All],[AmountCharged]],Table_MedicalGapAgreements[[#All],[Year]],TA!$B13,Table_MedicalGapAgreements[[#All],[MonthEnd]],TA!$A13&amp;"*",Table_MedicalGapAgreements[[#All],[State]],TA!E$2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E$2,Table_MedicalGapAgreements[[#All],[GapType]],"Known gap agreement*")-SUMIFS(Table_MedicalGapAgreements[[#All],[MedicareBenefit]],Table_MedicalGapAgreements[[#All],[Year]],TA!$B13,Table_MedicalGapAgreements[[#All],[MonthEnd]],TA!$A13&amp;"*",Table_MedicalGapAgreements[[#All],[State]],TA!E$2,Table_MedicalGapAgreements[[#All],[GapType]],"No agreement*",Table_MedicalGapAgreements[[#All],[MBSFeePercentage]],"&lt;&gt;Up to MBS Fee*")-SUMIFS(Table_MedicalGapAgreements[[#All],[FundBenefit]],Table_MedicalGapAgreements[[#All],[Year]],TA!$B13,Table_MedicalGapAgreements[[#All],[MonthEnd]],TA!$A13&amp;"*",Table_MedicalGapAgreements[[#All],[State]],TA!E$2,Table_MedicalGapAgreements[[#All],[GapType]],"Known gap agreement*")-SUMIFS(Table_MedicalGapAgreements[[#All],[FundBenefit]],Table_MedicalGapAgreements[[#All],[Year]],TA!$B13,Table_MedicalGapAgreements[[#All],[MonthEnd]],TA!$A13&amp;"*",Table_MedicalGapAgreements[[#All],[State]],TA!E$2,Table_MedicalGapAgreements[[#All],[GapType]],"No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E$2,Table_MedicalGapAgreements[[#All],[GapType]],"Known gap agreement*")+SUMIFS(Table_MedicalGapAgreements[[#All],[NumberofServices]],Table_MedicalGapAgreements[[#All],[Year]],TA!$B13,Table_MedicalGapAgreements[[#All],[MonthEnd]],TA!$A13&amp;"*",Table_MedicalGapAgreements[[#All],[State]],TA!E$2,Table_MedicalGapAgreements[[#All],[GapType]],"No agreement*",Table_MedicalGapAgreements[[#All],[MBSFeePercentage]],"&lt;&gt;Up to MBS Fee*"))</f>
        <v>281.82961090303064</v>
      </c>
      <c r="F17" s="170">
        <f>(SUMIFS(Table_MedicalGapAgreements[[#All],[AmountCharged]],Table_MedicalGapAgreements[[#All],[Year]],TA!$B13,Table_MedicalGapAgreements[[#All],[MonthEnd]],TA!$A13&amp;"*",Table_MedicalGapAgreements[[#All],[State]],TA!F$2,Table_MedicalGapAgreements[[#All],[GapType]],"Known gap agreement*")+SUMIFS(Table_MedicalGapAgreements[[#All],[AmountCharged]],Table_MedicalGapAgreements[[#All],[Year]],TA!$B13,Table_MedicalGapAgreements[[#All],[MonthEnd]],TA!$A13&amp;"*",Table_MedicalGapAgreements[[#All],[State]],TA!F$2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F$2,Table_MedicalGapAgreements[[#All],[GapType]],"Known gap agreement*")-SUMIFS(Table_MedicalGapAgreements[[#All],[MedicareBenefit]],Table_MedicalGapAgreements[[#All],[Year]],TA!$B13,Table_MedicalGapAgreements[[#All],[MonthEnd]],TA!$A13&amp;"*",Table_MedicalGapAgreements[[#All],[State]],TA!F$2,Table_MedicalGapAgreements[[#All],[GapType]],"No agreement*",Table_MedicalGapAgreements[[#All],[MBSFeePercentage]],"&lt;&gt;Up to MBS Fee*")-SUMIFS(Table_MedicalGapAgreements[[#All],[FundBenefit]],Table_MedicalGapAgreements[[#All],[Year]],TA!$B13,Table_MedicalGapAgreements[[#All],[MonthEnd]],TA!$A13&amp;"*",Table_MedicalGapAgreements[[#All],[State]],TA!F$2,Table_MedicalGapAgreements[[#All],[GapType]],"Known gap agreement*")-SUMIFS(Table_MedicalGapAgreements[[#All],[FundBenefit]],Table_MedicalGapAgreements[[#All],[Year]],TA!$B13,Table_MedicalGapAgreements[[#All],[MonthEnd]],TA!$A13&amp;"*",Table_MedicalGapAgreements[[#All],[State]],TA!F$2,Table_MedicalGapAgreements[[#All],[GapType]],"No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F$2,Table_MedicalGapAgreements[[#All],[GapType]],"Known gap agreement*")+SUMIFS(Table_MedicalGapAgreements[[#All],[NumberofServices]],Table_MedicalGapAgreements[[#All],[Year]],TA!$B13,Table_MedicalGapAgreements[[#All],[MonthEnd]],TA!$A13&amp;"*",Table_MedicalGapAgreements[[#All],[State]],TA!F$2,Table_MedicalGapAgreements[[#All],[GapType]],"No agreement*",Table_MedicalGapAgreements[[#All],[MBSFeePercentage]],"&lt;&gt;Up to MBS Fee*"))</f>
        <v>162.35922014296045</v>
      </c>
      <c r="G17" s="170">
        <f>(SUMIFS(Table_MedicalGapAgreements[[#All],[AmountCharged]],Table_MedicalGapAgreements[[#All],[Year]],TA!$B13,Table_MedicalGapAgreements[[#All],[MonthEnd]],TA!$A13&amp;"*",Table_MedicalGapAgreements[[#All],[State]],TA!G$2,Table_MedicalGapAgreements[[#All],[GapType]],"Known gap agreement*")+SUMIFS(Table_MedicalGapAgreements[[#All],[AmountCharged]],Table_MedicalGapAgreements[[#All],[Year]],TA!$B13,Table_MedicalGapAgreements[[#All],[MonthEnd]],TA!$A13&amp;"*",Table_MedicalGapAgreements[[#All],[State]],TA!G$2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G$2,Table_MedicalGapAgreements[[#All],[GapType]],"Known gap agreement*")-SUMIFS(Table_MedicalGapAgreements[[#All],[MedicareBenefit]],Table_MedicalGapAgreements[[#All],[Year]],TA!$B13,Table_MedicalGapAgreements[[#All],[MonthEnd]],TA!$A13&amp;"*",Table_MedicalGapAgreements[[#All],[State]],TA!G$2,Table_MedicalGapAgreements[[#All],[GapType]],"No agreement*",Table_MedicalGapAgreements[[#All],[MBSFeePercentage]],"&lt;&gt;Up to MBS Fee*")-SUMIFS(Table_MedicalGapAgreements[[#All],[FundBenefit]],Table_MedicalGapAgreements[[#All],[Year]],TA!$B13,Table_MedicalGapAgreements[[#All],[MonthEnd]],TA!$A13&amp;"*",Table_MedicalGapAgreements[[#All],[State]],TA!G$2,Table_MedicalGapAgreements[[#All],[GapType]],"Known gap agreement*")-SUMIFS(Table_MedicalGapAgreements[[#All],[FundBenefit]],Table_MedicalGapAgreements[[#All],[Year]],TA!$B13,Table_MedicalGapAgreements[[#All],[MonthEnd]],TA!$A13&amp;"*",Table_MedicalGapAgreements[[#All],[State]],TA!G$2,Table_MedicalGapAgreements[[#All],[GapType]],"No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G$2,Table_MedicalGapAgreements[[#All],[GapType]],"Known gap agreement*")+SUMIFS(Table_MedicalGapAgreements[[#All],[NumberofServices]],Table_MedicalGapAgreements[[#All],[Year]],TA!$B13,Table_MedicalGapAgreements[[#All],[MonthEnd]],TA!$A13&amp;"*",Table_MedicalGapAgreements[[#All],[State]],TA!G$2,Table_MedicalGapAgreements[[#All],[GapType]],"No agreement*",Table_MedicalGapAgreements[[#All],[MBSFeePercentage]],"&lt;&gt;Up to MBS Fee*"))</f>
        <v>211.79142729653836</v>
      </c>
      <c r="H17" s="170">
        <f>(SUMIFS(Table_MedicalGapAgreements[[#All],[AmountCharged]],Table_MedicalGapAgreements[[#All],[Year]],TA!$B13,Table_MedicalGapAgreements[[#All],[MonthEnd]],TA!$A13&amp;"*",Table_MedicalGapAgreements[[#All],[State]],TA!H$2,Table_MedicalGapAgreements[[#All],[GapType]],"Known gap agreement*")+SUMIFS(Table_MedicalGapAgreements[[#All],[AmountCharged]],Table_MedicalGapAgreements[[#All],[Year]],TA!$B13,Table_MedicalGapAgreements[[#All],[MonthEnd]],TA!$A13&amp;"*",Table_MedicalGapAgreements[[#All],[State]],TA!H$2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H$2,Table_MedicalGapAgreements[[#All],[GapType]],"Known gap agreement*")-SUMIFS(Table_MedicalGapAgreements[[#All],[MedicareBenefit]],Table_MedicalGapAgreements[[#All],[Year]],TA!$B13,Table_MedicalGapAgreements[[#All],[MonthEnd]],TA!$A13&amp;"*",Table_MedicalGapAgreements[[#All],[State]],TA!H$2,Table_MedicalGapAgreements[[#All],[GapType]],"No agreement*",Table_MedicalGapAgreements[[#All],[MBSFeePercentage]],"&lt;&gt;Up to MBS Fee*")-SUMIFS(Table_MedicalGapAgreements[[#All],[FundBenefit]],Table_MedicalGapAgreements[[#All],[Year]],TA!$B13,Table_MedicalGapAgreements[[#All],[MonthEnd]],TA!$A13&amp;"*",Table_MedicalGapAgreements[[#All],[State]],TA!H$2,Table_MedicalGapAgreements[[#All],[GapType]],"Known gap agreement*")-SUMIFS(Table_MedicalGapAgreements[[#All],[FundBenefit]],Table_MedicalGapAgreements[[#All],[Year]],TA!$B13,Table_MedicalGapAgreements[[#All],[MonthEnd]],TA!$A13&amp;"*",Table_MedicalGapAgreements[[#All],[State]],TA!H$2,Table_MedicalGapAgreements[[#All],[GapType]],"No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H$2,Table_MedicalGapAgreements[[#All],[GapType]],"Known gap agreement*")+SUMIFS(Table_MedicalGapAgreements[[#All],[NumberofServices]],Table_MedicalGapAgreements[[#All],[Year]],TA!$B13,Table_MedicalGapAgreements[[#All],[MonthEnd]],TA!$A13&amp;"*",Table_MedicalGapAgreements[[#All],[State]],TA!H$2,Table_MedicalGapAgreements[[#All],[GapType]],"No agreement*",Table_MedicalGapAgreements[[#All],[MBSFeePercentage]],"&lt;&gt;Up to MBS Fee*"))</f>
        <v>270.24246237206495</v>
      </c>
      <c r="I17" s="170">
        <f>(SUMIFS(Table_MedicalGapAgreements[[#All],[AmountCharged]],Table_MedicalGapAgreements[[#All],[Year]],TA!$B13,Table_MedicalGapAgreements[[#All],[MonthEnd]],TA!$A13&amp;"*",Table_MedicalGapAgreements[[#All],[State]],TA!I$2,Table_MedicalGapAgreements[[#All],[GapType]],"Known gap agreement*")+SUMIFS(Table_MedicalGapAgreements[[#All],[AmountCharged]],Table_MedicalGapAgreements[[#All],[Year]],TA!$B13,Table_MedicalGapAgreements[[#All],[MonthEnd]],TA!$A13&amp;"*",Table_MedicalGapAgreements[[#All],[State]],TA!I$2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I$2,Table_MedicalGapAgreements[[#All],[GapType]],"Known gap agreement*")-SUMIFS(Table_MedicalGapAgreements[[#All],[MedicareBenefit]],Table_MedicalGapAgreements[[#All],[Year]],TA!$B13,Table_MedicalGapAgreements[[#All],[MonthEnd]],TA!$A13&amp;"*",Table_MedicalGapAgreements[[#All],[State]],TA!I$2,Table_MedicalGapAgreements[[#All],[GapType]],"No agreement*",Table_MedicalGapAgreements[[#All],[MBSFeePercentage]],"&lt;&gt;Up to MBS Fee*")-SUMIFS(Table_MedicalGapAgreements[[#All],[FundBenefit]],Table_MedicalGapAgreements[[#All],[Year]],TA!$B13,Table_MedicalGapAgreements[[#All],[MonthEnd]],TA!$A13&amp;"*",Table_MedicalGapAgreements[[#All],[State]],TA!I$2,Table_MedicalGapAgreements[[#All],[GapType]],"Known gap agreement*")-SUMIFS(Table_MedicalGapAgreements[[#All],[FundBenefit]],Table_MedicalGapAgreements[[#All],[Year]],TA!$B13,Table_MedicalGapAgreements[[#All],[MonthEnd]],TA!$A13&amp;"*",Table_MedicalGapAgreements[[#All],[State]],TA!I$2,Table_MedicalGapAgreements[[#All],[GapType]],"No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I$2,Table_MedicalGapAgreements[[#All],[GapType]],"Known gap agreement*")+SUMIFS(Table_MedicalGapAgreements[[#All],[NumberofServices]],Table_MedicalGapAgreements[[#All],[Year]],TA!$B13,Table_MedicalGapAgreements[[#All],[MonthEnd]],TA!$A13&amp;"*",Table_MedicalGapAgreements[[#All],[State]],TA!I$2,Table_MedicalGapAgreements[[#All],[GapType]],"No agreement*",Table_MedicalGapAgreements[[#All],[MBSFeePercentage]],"&lt;&gt;Up to MBS Fee*"))</f>
        <v>393.70358954480002</v>
      </c>
      <c r="J17" s="170">
        <f>(SUMIFS(Table_MedicalGapAgreements[[#All],[AmountCharged]],Table_MedicalGapAgreements[[#All],[Year]],TA!$B13,Table_MedicalGapAgreements[[#All],[MonthEnd]],TA!$A13&amp;"*",Table_MedicalGapAgreements[[#All],[State]],TA!J$2,Table_MedicalGapAgreements[[#All],[GapType]],"Known gap agreement*")+SUMIFS(Table_MedicalGapAgreements[[#All],[AmountCharged]],Table_MedicalGapAgreements[[#All],[Year]],TA!$B13,Table_MedicalGapAgreements[[#All],[MonthEnd]],TA!$A13&amp;"*",Table_MedicalGapAgreements[[#All],[State]],TA!J$2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J$2,Table_MedicalGapAgreements[[#All],[GapType]],"Known gap agreement*")-SUMIFS(Table_MedicalGapAgreements[[#All],[MedicareBenefit]],Table_MedicalGapAgreements[[#All],[Year]],TA!$B13,Table_MedicalGapAgreements[[#All],[MonthEnd]],TA!$A13&amp;"*",Table_MedicalGapAgreements[[#All],[State]],TA!J$2,Table_MedicalGapAgreements[[#All],[GapType]],"No agreement*",Table_MedicalGapAgreements[[#All],[MBSFeePercentage]],"&lt;&gt;Up to MBS Fee*")-SUMIFS(Table_MedicalGapAgreements[[#All],[FundBenefit]],Table_MedicalGapAgreements[[#All],[Year]],TA!$B13,Table_MedicalGapAgreements[[#All],[MonthEnd]],TA!$A13&amp;"*",Table_MedicalGapAgreements[[#All],[State]],TA!J$2,Table_MedicalGapAgreements[[#All],[GapType]],"Known gap agreement*")-SUMIFS(Table_MedicalGapAgreements[[#All],[FundBenefit]],Table_MedicalGapAgreements[[#All],[Year]],TA!$B13,Table_MedicalGapAgreements[[#All],[MonthEnd]],TA!$A13&amp;"*",Table_MedicalGapAgreements[[#All],[State]],TA!J$2,Table_MedicalGapAgreements[[#All],[GapType]],"No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J$2,Table_MedicalGapAgreements[[#All],[GapType]],"Known gap agreement*")+SUMIFS(Table_MedicalGapAgreements[[#All],[NumberofServices]],Table_MedicalGapAgreements[[#All],[Year]],TA!$B13,Table_MedicalGapAgreements[[#All],[MonthEnd]],TA!$A13&amp;"*",Table_MedicalGapAgreements[[#All],[State]],TA!J$2,Table_MedicalGapAgreements[[#All],[GapType]],"No agreement*",Table_MedicalGapAgreements[[#All],[MBSFeePercentage]],"&lt;&gt;Up to MBS Fee*"))</f>
        <v>293.66683118081176</v>
      </c>
      <c r="K17" s="170">
        <f>(SUMIFS(Table_MedicalGapAgreements[[#All],[AmountCharged]],Table_MedicalGapAgreements[[#All],[Year]],TA!$B13,Table_MedicalGapAgreements[[#All],[MonthEnd]],TA!$A13&amp;"*",Table_MedicalGapAgreements[[#All],[GapType]],"Known gap agreement*")+SUMIFS(Table_MedicalGapAgreements[[#All],[AmountCharged]],Table_MedicalGapAgreements[[#All],[Year]],TA!$B13,Table_MedicalGapAgreements[[#All],[MonthEnd]],TA!$A13&amp;"*",Table_MedicalGapAgreements[[#All],[GapType]],"No agreement*",Table_MedicalGapAgreements[[#All],[MBSFeePercentage]],"&lt;&gt;Up to MBS Fee*")-SUMIFS(Table_MedicalGapAgreements[[#All],[MedicareBenefit]],Table_MedicalGapAgreements[[#All],[Year]],TA!$B13,Table_MedicalGapAgreements[[#All],[MonthEnd]],TA!$A13&amp;"*",Table_MedicalGapAgreements[[#All],[GapType]],"Known gap agreement*")-SUMIFS(Table_MedicalGapAgreements[[#All],[MedicareBenefit]],Table_MedicalGapAgreements[[#All],[Year]],TA!$B13,Table_MedicalGapAgreements[[#All],[MonthEnd]],TA!$A13&amp;"*",Table_MedicalGapAgreements[[#All],[GapType]],"No agreement*",Table_MedicalGapAgreements[[#All],[MBSFeePercentage]],"&lt;&gt;Up to MBS Fee*")-SUMIFS(Table_MedicalGapAgreements[[#All],[FundBenefit]],Table_MedicalGapAgreements[[#All],[Year]],TA!$B13,Table_MedicalGapAgreements[[#All],[MonthEnd]],TA!$A13&amp;"*",Table_MedicalGapAgreements[[#All],[GapType]],"Known gap agreement*")-SUMIFS(Table_MedicalGapAgreements[[#All],[FundBenefit]],Table_MedicalGapAgreements[[#All],[Year]],TA!$B13,Table_MedicalGapAgreements[[#All],[MonthEnd]],TA!$A13&amp;"*",Table_MedicalGapAgreements[[#All],[GapType]],"No agreement*",Table_MedicalGapAgreements[[#All],[MBSFeePercentage]],"&lt;&gt;Up to MBS Fee*"))/(SUMIFS(Table_MedicalGapAgreements[[#All],[NumberofServices]],Table_MedicalGapAgreements[[#All],[Year]],TA!$B13,Table_MedicalGapAgreements[[#All],[MonthEnd]],TA!$A13&amp;"*",Table_MedicalGapAgreements[[#All],[GapType]],"Known gap agreement*")+SUMIFS(Table_MedicalGapAgreements[[#All],[NumberofServices]],Table_MedicalGapAgreements[[#All],[Year]],TA!$B13,Table_MedicalGapAgreements[[#All],[MonthEnd]],TA!$A13&amp;"*",Table_MedicalGapAgreements[[#All],[GapType]],"No agreement*",Table_MedicalGapAgreements[[#All],[MBSFeePercentage]],"&lt;&gt;Up to MBS Fee*"))</f>
        <v>268.04082136264321</v>
      </c>
      <c r="M17" s="22"/>
      <c r="N17" s="22"/>
      <c r="O17" s="22"/>
      <c r="P17" s="22"/>
      <c r="Q17" s="22"/>
      <c r="R17" s="22"/>
      <c r="S17" s="22"/>
      <c r="T17" s="22"/>
      <c r="U17" s="22"/>
      <c r="V17" s="22"/>
      <c r="W17" s="22"/>
      <c r="X17" s="22"/>
      <c r="Y17" s="22"/>
      <c r="Z17" s="22"/>
      <c r="AA17" s="22"/>
      <c r="AB17" s="22"/>
      <c r="AC17" s="22"/>
      <c r="AD17" s="22"/>
      <c r="AE17" s="22"/>
      <c r="AF17" s="22"/>
      <c r="AG17" s="22"/>
    </row>
    <row r="18" spans="1:33" s="31" customFormat="1" ht="29.1" customHeight="1">
      <c r="A18" s="229" t="str">
        <f>TA!A14&amp;" "&amp;TA!B14</f>
        <v>Sep 2024</v>
      </c>
      <c r="B18" s="162" t="s">
        <v>19</v>
      </c>
      <c r="C18" s="163">
        <f>(SUMIFS(Table_MedicalGapAgreements[[#All],[NumberofServices]],Table_MedicalGapAgreements[[#All],[Year]],TA!$B14,Table_MedicalGapAgreements[[#All],[MonthEnd]],TA!$A14&amp;"*",Table_MedicalGapAgreements[[#All],[State]],TA!C$2,Table_MedicalGapAgreements[[#All],[GapType]],"No gap agreement*")+SUMIFS(Table_MedicalGapAgreements[[#All],[NumberofServices]],Table_MedicalGapAgreements[[#All],[Year]],TA!$B14,Table_MedicalGapAgreements[[#All],[MonthEnd]],TA!$A14&amp;"*",Table_MedicalGapAgreements[[#All],[State]],TA!C$2,Table_MedicalGapAgreements[[#All],[GapType]],"No agreement*",Table_MedicalGapAgreements[[#All],[MBSFeePercentage]],"Up to MBS*"))/SUMIFS(Table_MedicalGapAgreements[[#All],[NumberofServices]],Table_MedicalGapAgreements[[#All],[Year]],TA!$B14,Table_MedicalGapAgreements[[#All],[MonthEnd]],TA!$A14&amp;"*",Table_MedicalGapAgreements[[#All],[State]],TA!C$2)</f>
        <v>0.89168986902092118</v>
      </c>
      <c r="D18" s="163">
        <f>(SUMIFS(Table_MedicalGapAgreements[[#All],[NumberofServices]],Table_MedicalGapAgreements[[#All],[Year]],TA!$B14,Table_MedicalGapAgreements[[#All],[MonthEnd]],TA!$A14&amp;"*",Table_MedicalGapAgreements[[#All],[State]],TA!D$2,Table_MedicalGapAgreements[[#All],[GapType]],"No gap agreement*")+SUMIFS(Table_MedicalGapAgreements[[#All],[NumberofServices]],Table_MedicalGapAgreements[[#All],[Year]],TA!$B14,Table_MedicalGapAgreements[[#All],[MonthEnd]],TA!$A14&amp;"*",Table_MedicalGapAgreements[[#All],[State]],TA!D$2,Table_MedicalGapAgreements[[#All],[GapType]],"No agreement*",Table_MedicalGapAgreements[[#All],[MBSFeePercentage]],"Up to MBS*"))/SUMIFS(Table_MedicalGapAgreements[[#All],[NumberofServices]],Table_MedicalGapAgreements[[#All],[Year]],TA!$B14,Table_MedicalGapAgreements[[#All],[MonthEnd]],TA!$A14&amp;"*",Table_MedicalGapAgreements[[#All],[State]],TA!D$2)</f>
        <v>0.86836012523349737</v>
      </c>
      <c r="E18" s="163">
        <f>(SUMIFS(Table_MedicalGapAgreements[[#All],[NumberofServices]],Table_MedicalGapAgreements[[#All],[Year]],TA!$B14,Table_MedicalGapAgreements[[#All],[MonthEnd]],TA!$A14&amp;"*",Table_MedicalGapAgreements[[#All],[State]],TA!E$2,Table_MedicalGapAgreements[[#All],[GapType]],"No gap agreement*")+SUMIFS(Table_MedicalGapAgreements[[#All],[NumberofServices]],Table_MedicalGapAgreements[[#All],[Year]],TA!$B14,Table_MedicalGapAgreements[[#All],[MonthEnd]],TA!$A14&amp;"*",Table_MedicalGapAgreements[[#All],[State]],TA!E$2,Table_MedicalGapAgreements[[#All],[GapType]],"No agreement*",Table_MedicalGapAgreements[[#All],[MBSFeePercentage]],"Up to MBS*"))/SUMIFS(Table_MedicalGapAgreements[[#All],[NumberofServices]],Table_MedicalGapAgreements[[#All],[Year]],TA!$B14,Table_MedicalGapAgreements[[#All],[MonthEnd]],TA!$A14&amp;"*",Table_MedicalGapAgreements[[#All],[State]],TA!E$2)</f>
        <v>0.85767551104830497</v>
      </c>
      <c r="F18" s="163">
        <f>(SUMIFS(Table_MedicalGapAgreements[[#All],[NumberofServices]],Table_MedicalGapAgreements[[#All],[Year]],TA!$B14,Table_MedicalGapAgreements[[#All],[MonthEnd]],TA!$A14&amp;"*",Table_MedicalGapAgreements[[#All],[State]],TA!F$2,Table_MedicalGapAgreements[[#All],[GapType]],"No gap agreement*")+SUMIFS(Table_MedicalGapAgreements[[#All],[NumberofServices]],Table_MedicalGapAgreements[[#All],[Year]],TA!$B14,Table_MedicalGapAgreements[[#All],[MonthEnd]],TA!$A14&amp;"*",Table_MedicalGapAgreements[[#All],[State]],TA!F$2,Table_MedicalGapAgreements[[#All],[GapType]],"No agreement*",Table_MedicalGapAgreements[[#All],[MBSFeePercentage]],"Up to MBS*"))/SUMIFS(Table_MedicalGapAgreements[[#All],[NumberofServices]],Table_MedicalGapAgreements[[#All],[Year]],TA!$B14,Table_MedicalGapAgreements[[#All],[MonthEnd]],TA!$A14&amp;"*",Table_MedicalGapAgreements[[#All],[State]],TA!F$2)</f>
        <v>0.86548983264192869</v>
      </c>
      <c r="G18" s="163">
        <f>(SUMIFS(Table_MedicalGapAgreements[[#All],[NumberofServices]],Table_MedicalGapAgreements[[#All],[Year]],TA!$B14,Table_MedicalGapAgreements[[#All],[MonthEnd]],TA!$A14&amp;"*",Table_MedicalGapAgreements[[#All],[State]],TA!G$2,Table_MedicalGapAgreements[[#All],[GapType]],"No gap agreement*")+SUMIFS(Table_MedicalGapAgreements[[#All],[NumberofServices]],Table_MedicalGapAgreements[[#All],[Year]],TA!$B14,Table_MedicalGapAgreements[[#All],[MonthEnd]],TA!$A14&amp;"*",Table_MedicalGapAgreements[[#All],[State]],TA!G$2,Table_MedicalGapAgreements[[#All],[GapType]],"No agreement*",Table_MedicalGapAgreements[[#All],[MBSFeePercentage]],"Up to MBS*"))/SUMIFS(Table_MedicalGapAgreements[[#All],[NumberofServices]],Table_MedicalGapAgreements[[#All],[Year]],TA!$B14,Table_MedicalGapAgreements[[#All],[MonthEnd]],TA!$A14&amp;"*",Table_MedicalGapAgreements[[#All],[State]],TA!G$2)</f>
        <v>0.88416138848149584</v>
      </c>
      <c r="H18" s="163">
        <f>(SUMIFS(Table_MedicalGapAgreements[[#All],[NumberofServices]],Table_MedicalGapAgreements[[#All],[Year]],TA!$B14,Table_MedicalGapAgreements[[#All],[MonthEnd]],TA!$A14&amp;"*",Table_MedicalGapAgreements[[#All],[State]],TA!H$2,Table_MedicalGapAgreements[[#All],[GapType]],"No gap agreement*")+SUMIFS(Table_MedicalGapAgreements[[#All],[NumberofServices]],Table_MedicalGapAgreements[[#All],[Year]],TA!$B14,Table_MedicalGapAgreements[[#All],[MonthEnd]],TA!$A14&amp;"*",Table_MedicalGapAgreements[[#All],[State]],TA!H$2,Table_MedicalGapAgreements[[#All],[GapType]],"No agreement*",Table_MedicalGapAgreements[[#All],[MBSFeePercentage]],"Up to MBS*"))/SUMIFS(Table_MedicalGapAgreements[[#All],[NumberofServices]],Table_MedicalGapAgreements[[#All],[Year]],TA!$B14,Table_MedicalGapAgreements[[#All],[MonthEnd]],TA!$A14&amp;"*",Table_MedicalGapAgreements[[#All],[State]],TA!H$2)</f>
        <v>0.88302658050193983</v>
      </c>
      <c r="I18" s="163">
        <f>(SUMIFS(Table_MedicalGapAgreements[[#All],[NumberofServices]],Table_MedicalGapAgreements[[#All],[Year]],TA!$B14,Table_MedicalGapAgreements[[#All],[MonthEnd]],TA!$A14&amp;"*",Table_MedicalGapAgreements[[#All],[State]],TA!I$2,Table_MedicalGapAgreements[[#All],[GapType]],"No gap agreement*")+SUMIFS(Table_MedicalGapAgreements[[#All],[NumberofServices]],Table_MedicalGapAgreements[[#All],[Year]],TA!$B14,Table_MedicalGapAgreements[[#All],[MonthEnd]],TA!$A14&amp;"*",Table_MedicalGapAgreements[[#All],[State]],TA!I$2,Table_MedicalGapAgreements[[#All],[GapType]],"No agreement*",Table_MedicalGapAgreements[[#All],[MBSFeePercentage]],"Up to MBS*"))/SUMIFS(Table_MedicalGapAgreements[[#All],[NumberofServices]],Table_MedicalGapAgreements[[#All],[Year]],TA!$B14,Table_MedicalGapAgreements[[#All],[MonthEnd]],TA!$A14&amp;"*",Table_MedicalGapAgreements[[#All],[State]],TA!I$2)</f>
        <v>0.75074706016043902</v>
      </c>
      <c r="J18" s="163">
        <f>(SUMIFS(Table_MedicalGapAgreements[[#All],[NumberofServices]],Table_MedicalGapAgreements[[#All],[Year]],TA!$B14,Table_MedicalGapAgreements[[#All],[MonthEnd]],TA!$A14&amp;"*",Table_MedicalGapAgreements[[#All],[State]],TA!J$2,Table_MedicalGapAgreements[[#All],[GapType]],"No gap agreement*")+SUMIFS(Table_MedicalGapAgreements[[#All],[NumberofServices]],Table_MedicalGapAgreements[[#All],[Year]],TA!$B14,Table_MedicalGapAgreements[[#All],[MonthEnd]],TA!$A14&amp;"*",Table_MedicalGapAgreements[[#All],[State]],TA!J$2,Table_MedicalGapAgreements[[#All],[GapType]],"No agreement*",Table_MedicalGapAgreements[[#All],[MBSFeePercentage]],"Up to MBS*"))/SUMIFS(Table_MedicalGapAgreements[[#All],[NumberofServices]],Table_MedicalGapAgreements[[#All],[Year]],TA!$B14,Table_MedicalGapAgreements[[#All],[MonthEnd]],TA!$A14&amp;"*",Table_MedicalGapAgreements[[#All],[State]],TA!J$2)</f>
        <v>0.78412137652588088</v>
      </c>
      <c r="K18" s="163">
        <f>(SUMIFS(Table_MedicalGapAgreements[[#All],[NumberofServices]],Table_MedicalGapAgreements[[#All],[Year]],TA!$B14,Table_MedicalGapAgreements[[#All],[MonthEnd]],TA!$A14&amp;"*",Table_MedicalGapAgreements[[#All],[GapType]],"No gap agreement*")+SUMIFS(Table_MedicalGapAgreements[[#All],[NumberofServices]],Table_MedicalGapAgreements[[#All],[Year]],TA!$B14,Table_MedicalGapAgreements[[#All],[MonthEnd]],TA!$A14&amp;"*",Table_MedicalGapAgreements[[#All],[GapType]],"No agreement*",Table_MedicalGapAgreements[[#All],[MBSFeePercentage]],"Up to MBS*"))/SUMIFS(Table_MedicalGapAgreements[[#All],[NumberofServices]],Table_MedicalGapAgreements[[#All],[Year]],TA!$B14,Table_MedicalGapAgreements[[#All],[MonthEnd]],TA!$A14&amp;"*")</f>
        <v>0.87422878813076954</v>
      </c>
      <c r="M18" s="22"/>
      <c r="N18" s="22"/>
      <c r="O18" s="22"/>
      <c r="P18" s="22"/>
      <c r="Q18" s="22"/>
      <c r="R18" s="22"/>
      <c r="S18" s="22"/>
      <c r="T18" s="22"/>
      <c r="U18" s="22"/>
      <c r="V18" s="22"/>
      <c r="W18" s="22"/>
      <c r="X18" s="22"/>
      <c r="Y18" s="22"/>
      <c r="Z18" s="22"/>
      <c r="AA18" s="22"/>
      <c r="AB18" s="22"/>
      <c r="AC18" s="22"/>
      <c r="AD18" s="22"/>
      <c r="AE18" s="22"/>
      <c r="AF18" s="22"/>
      <c r="AG18" s="22"/>
    </row>
    <row r="19" spans="1:33" s="31" customFormat="1" ht="29.1" customHeight="1">
      <c r="A19" s="230"/>
      <c r="B19" s="164" t="s">
        <v>32</v>
      </c>
      <c r="C19" s="165">
        <f>(SUMIFS(Table_MedicalGapAgreements[[#All],[NumberofServices]],Table_MedicalGapAgreements[[#All],[Year]],TA!$B14,Table_MedicalGapAgreements[[#All],[MonthEnd]],TA!$A14,Table_MedicalGapAgreements[[#All],[State]],TA!C$2,Table_MedicalGapAgreements[[#All],[GapType]],"Known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f>
        <v>7.1179758519365019E-2</v>
      </c>
      <c r="D19" s="165">
        <f>(SUMIFS(Table_MedicalGapAgreements[[#All],[NumberofServices]],Table_MedicalGapAgreements[[#All],[Year]],TA!$B14,Table_MedicalGapAgreements[[#All],[MonthEnd]],TA!$A14,Table_MedicalGapAgreements[[#All],[State]],TA!D$2,Table_MedicalGapAgreements[[#All],[GapType]],"Known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f>
        <v>0.10802704622589386</v>
      </c>
      <c r="E19" s="165">
        <f>(SUMIFS(Table_MedicalGapAgreements[[#All],[NumberofServices]],Table_MedicalGapAgreements[[#All],[Year]],TA!$B14,Table_MedicalGapAgreements[[#All],[MonthEnd]],TA!$A14,Table_MedicalGapAgreements[[#All],[State]],TA!E$2,Table_MedicalGapAgreements[[#All],[GapType]],"Known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f>
        <v>0.10715703612805429</v>
      </c>
      <c r="F19" s="165">
        <f>(SUMIFS(Table_MedicalGapAgreements[[#All],[NumberofServices]],Table_MedicalGapAgreements[[#All],[Year]],TA!$B14,Table_MedicalGapAgreements[[#All],[MonthEnd]],TA!$A14,Table_MedicalGapAgreements[[#All],[State]],TA!F$2,Table_MedicalGapAgreements[[#All],[GapType]],"Known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f>
        <v>0.12492439398874051</v>
      </c>
      <c r="G19" s="165">
        <f>(SUMIFS(Table_MedicalGapAgreements[[#All],[NumberofServices]],Table_MedicalGapAgreements[[#All],[Year]],TA!$B14,Table_MedicalGapAgreements[[#All],[MonthEnd]],TA!$A14,Table_MedicalGapAgreements[[#All],[State]],TA!G$2,Table_MedicalGapAgreements[[#All],[GapType]],"Known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f>
        <v>9.4140822687085582E-2</v>
      </c>
      <c r="H19" s="165">
        <f>(SUMIFS(Table_MedicalGapAgreements[[#All],[NumberofServices]],Table_MedicalGapAgreements[[#All],[Year]],TA!$B14,Table_MedicalGapAgreements[[#All],[MonthEnd]],TA!$A14,Table_MedicalGapAgreements[[#All],[State]],TA!H$2,Table_MedicalGapAgreements[[#All],[GapType]],"Known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f>
        <v>0.10297076198150411</v>
      </c>
      <c r="I19" s="165">
        <f>(SUMIFS(Table_MedicalGapAgreements[[#All],[NumberofServices]],Table_MedicalGapAgreements[[#All],[Year]],TA!$B14,Table_MedicalGapAgreements[[#All],[MonthEnd]],TA!$A14,Table_MedicalGapAgreements[[#All],[State]],TA!I$2,Table_MedicalGapAgreements[[#All],[GapType]],"Known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f>
        <v>0.15754341366509819</v>
      </c>
      <c r="J19" s="165">
        <f>(SUMIFS(Table_MedicalGapAgreements[[#All],[NumberofServices]],Table_MedicalGapAgreements[[#All],[Year]],TA!$B14,Table_MedicalGapAgreements[[#All],[MonthEnd]],TA!$A14,Table_MedicalGapAgreements[[#All],[State]],TA!J$2,Table_MedicalGapAgreements[[#All],[GapType]],"Known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f>
        <v>0.16941614358262624</v>
      </c>
      <c r="K19" s="165">
        <f>(SUMIFS(Table_MedicalGapAgreements[[#All],[NumberofServices]],Table_MedicalGapAgreements[[#All],[Year]],TA!$B14,Table_MedicalGapAgreements[[#All],[MonthEnd]],TA!$A14,Table_MedicalGapAgreements[[#All],[GapType]],"Known gap agreement"))/SUMIFS(Table_MedicalGapAgreements[[#All],[NumberofServices]],Table_MedicalGapAgreements[[#All],[Year]],TA!$B14,Table_MedicalGapAgreements[[#All],[MonthEnd]],TA!$A14&amp;"*")</f>
        <v>9.5799812142350185E-2</v>
      </c>
      <c r="M19" s="22"/>
      <c r="N19" s="22"/>
      <c r="O19" s="22"/>
      <c r="P19" s="22"/>
      <c r="Q19" s="22"/>
      <c r="R19" s="22"/>
      <c r="S19" s="22"/>
      <c r="T19" s="22"/>
      <c r="U19" s="22"/>
      <c r="V19" s="22"/>
      <c r="W19" s="22"/>
      <c r="X19" s="22"/>
      <c r="Y19" s="22"/>
      <c r="Z19" s="22"/>
      <c r="AA19" s="22"/>
      <c r="AB19" s="22"/>
      <c r="AC19" s="22"/>
      <c r="AD19" s="22"/>
      <c r="AE19" s="22"/>
      <c r="AF19" s="22"/>
      <c r="AG19" s="22"/>
    </row>
    <row r="20" spans="1:33" s="31" customFormat="1" ht="29.1" customHeight="1">
      <c r="A20" s="230"/>
      <c r="B20" s="166" t="s">
        <v>33</v>
      </c>
      <c r="C20" s="167">
        <f>(SUMIFS(Table_MedicalGapAgreements[[#All],[AmountCharged]],Table_MedicalGapAgreements[[#All],[Year]],TA!$B14,Table_MedicalGapAgreements[[#All],[MonthEnd]],TA!$A14,Table_MedicalGapAgreements[[#All],[State]],TA!C$2)-SUMIFS(Table_MedicalGapAgreements[[#All],[MedicareBenefit]],Table_MedicalGapAgreements[[#All],[Year]],TA!$B14,Table_MedicalGapAgreements[[#All],[MonthEnd]],TA!$A14,Table_MedicalGapAgreements[[#All],[State]],TA!C$2)-SUMIFS(Table_MedicalGapAgreements[[#All],[FundBenefit]],Table_MedicalGapAgreements[[#All],[Year]],TA!$B14,Table_MedicalGapAgreements[[#All],[MonthEnd]],TA!$A14,Table_MedicalGapAgreements[[#All],[State]],TA!C$2))/SUMIFS(Table_MedicalGapAgreements[[#All],[NumberofServices]],Table_MedicalGapAgreements[[#All],[Year]],TA!$B14,Table_MedicalGapAgreements[[#All],[MonthEnd]],TA!$A14,Table_MedicalGapAgreements[[#All],[State]],TA!C$2)</f>
        <v>36.212450961287566</v>
      </c>
      <c r="D20" s="167">
        <f>(SUMIFS(Table_MedicalGapAgreements[[#All],[AmountCharged]],Table_MedicalGapAgreements[[#All],[Year]],TA!$B14,Table_MedicalGapAgreements[[#All],[MonthEnd]],TA!$A14,Table_MedicalGapAgreements[[#All],[State]],TA!D$2)-SUMIFS(Table_MedicalGapAgreements[[#All],[MedicareBenefit]],Table_MedicalGapAgreements[[#All],[Year]],TA!$B14,Table_MedicalGapAgreements[[#All],[MonthEnd]],TA!$A14,Table_MedicalGapAgreements[[#All],[State]],TA!D$2)-SUMIFS(Table_MedicalGapAgreements[[#All],[FundBenefit]],Table_MedicalGapAgreements[[#All],[Year]],TA!$B14,Table_MedicalGapAgreements[[#All],[MonthEnd]],TA!$A14,Table_MedicalGapAgreements[[#All],[State]],TA!D$2))/SUMIFS(Table_MedicalGapAgreements[[#All],[NumberofServices]],Table_MedicalGapAgreements[[#All],[Year]],TA!$B14,Table_MedicalGapAgreements[[#All],[MonthEnd]],TA!$A14,Table_MedicalGapAgreements[[#All],[State]],TA!D$2)</f>
        <v>28.502222774305331</v>
      </c>
      <c r="E20" s="167">
        <f>(SUMIFS(Table_MedicalGapAgreements[[#All],[AmountCharged]],Table_MedicalGapAgreements[[#All],[Year]],TA!$B14,Table_MedicalGapAgreements[[#All],[MonthEnd]],TA!$A14,Table_MedicalGapAgreements[[#All],[State]],TA!E$2)-SUMIFS(Table_MedicalGapAgreements[[#All],[MedicareBenefit]],Table_MedicalGapAgreements[[#All],[Year]],TA!$B14,Table_MedicalGapAgreements[[#All],[MonthEnd]],TA!$A14,Table_MedicalGapAgreements[[#All],[State]],TA!E$2)-SUMIFS(Table_MedicalGapAgreements[[#All],[FundBenefit]],Table_MedicalGapAgreements[[#All],[Year]],TA!$B14,Table_MedicalGapAgreements[[#All],[MonthEnd]],TA!$A14,Table_MedicalGapAgreements[[#All],[State]],TA!E$2))/SUMIFS(Table_MedicalGapAgreements[[#All],[NumberofServices]],Table_MedicalGapAgreements[[#All],[Year]],TA!$B14,Table_MedicalGapAgreements[[#All],[MonthEnd]],TA!$A14,Table_MedicalGapAgreements[[#All],[State]],TA!E$2)</f>
        <v>38.161681256148363</v>
      </c>
      <c r="F20" s="167">
        <f>(SUMIFS(Table_MedicalGapAgreements[[#All],[AmountCharged]],Table_MedicalGapAgreements[[#All],[Year]],TA!$B14,Table_MedicalGapAgreements[[#All],[MonthEnd]],TA!$A14,Table_MedicalGapAgreements[[#All],[State]],TA!F$2)-SUMIFS(Table_MedicalGapAgreements[[#All],[MedicareBenefit]],Table_MedicalGapAgreements[[#All],[Year]],TA!$B14,Table_MedicalGapAgreements[[#All],[MonthEnd]],TA!$A14,Table_MedicalGapAgreements[[#All],[State]],TA!F$2)-SUMIFS(Table_MedicalGapAgreements[[#All],[FundBenefit]],Table_MedicalGapAgreements[[#All],[Year]],TA!$B14,Table_MedicalGapAgreements[[#All],[MonthEnd]],TA!$A14,Table_MedicalGapAgreements[[#All],[State]],TA!F$2))/SUMIFS(Table_MedicalGapAgreements[[#All],[NumberofServices]],Table_MedicalGapAgreements[[#All],[Year]],TA!$B14,Table_MedicalGapAgreements[[#All],[MonthEnd]],TA!$A14,Table_MedicalGapAgreements[[#All],[State]],TA!F$2)</f>
        <v>22.279405362651072</v>
      </c>
      <c r="G20" s="167">
        <f>(SUMIFS(Table_MedicalGapAgreements[[#All],[AmountCharged]],Table_MedicalGapAgreements[[#All],[Year]],TA!$B14,Table_MedicalGapAgreements[[#All],[MonthEnd]],TA!$A14,Table_MedicalGapAgreements[[#All],[State]],TA!G$2)-SUMIFS(Table_MedicalGapAgreements[[#All],[MedicareBenefit]],Table_MedicalGapAgreements[[#All],[Year]],TA!$B14,Table_MedicalGapAgreements[[#All],[MonthEnd]],TA!$A14,Table_MedicalGapAgreements[[#All],[State]],TA!G$2)-SUMIFS(Table_MedicalGapAgreements[[#All],[FundBenefit]],Table_MedicalGapAgreements[[#All],[Year]],TA!$B14,Table_MedicalGapAgreements[[#All],[MonthEnd]],TA!$A14,Table_MedicalGapAgreements[[#All],[State]],TA!G$2))/SUMIFS(Table_MedicalGapAgreements[[#All],[NumberofServices]],Table_MedicalGapAgreements[[#All],[Year]],TA!$B14,Table_MedicalGapAgreements[[#All],[MonthEnd]],TA!$A14,Table_MedicalGapAgreements[[#All],[State]],TA!G$2)</f>
        <v>28.779953531075908</v>
      </c>
      <c r="H20" s="167">
        <f>(SUMIFS(Table_MedicalGapAgreements[[#All],[AmountCharged]],Table_MedicalGapAgreements[[#All],[Year]],TA!$B14,Table_MedicalGapAgreements[[#All],[MonthEnd]],TA!$A14,Table_MedicalGapAgreements[[#All],[State]],TA!H$2)-SUMIFS(Table_MedicalGapAgreements[[#All],[MedicareBenefit]],Table_MedicalGapAgreements[[#All],[Year]],TA!$B14,Table_MedicalGapAgreements[[#All],[MonthEnd]],TA!$A14,Table_MedicalGapAgreements[[#All],[State]],TA!H$2)-SUMIFS(Table_MedicalGapAgreements[[#All],[FundBenefit]],Table_MedicalGapAgreements[[#All],[Year]],TA!$B14,Table_MedicalGapAgreements[[#All],[MonthEnd]],TA!$A14,Table_MedicalGapAgreements[[#All],[State]],TA!H$2))/SUMIFS(Table_MedicalGapAgreements[[#All],[NumberofServices]],Table_MedicalGapAgreements[[#All],[Year]],TA!$B14,Table_MedicalGapAgreements[[#All],[MonthEnd]],TA!$A14,Table_MedicalGapAgreements[[#All],[State]],TA!H$2)</f>
        <v>28.993183950307618</v>
      </c>
      <c r="I20" s="167">
        <f>(SUMIFS(Table_MedicalGapAgreements[[#All],[AmountCharged]],Table_MedicalGapAgreements[[#All],[Year]],TA!$B14,Table_MedicalGapAgreements[[#All],[MonthEnd]],TA!$A14,Table_MedicalGapAgreements[[#All],[State]],TA!I$2)-SUMIFS(Table_MedicalGapAgreements[[#All],[MedicareBenefit]],Table_MedicalGapAgreements[[#All],[Year]],TA!$B14,Table_MedicalGapAgreements[[#All],[MonthEnd]],TA!$A14,Table_MedicalGapAgreements[[#All],[State]],TA!I$2)-SUMIFS(Table_MedicalGapAgreements[[#All],[FundBenefit]],Table_MedicalGapAgreements[[#All],[Year]],TA!$B14,Table_MedicalGapAgreements[[#All],[MonthEnd]],TA!$A14,Table_MedicalGapAgreements[[#All],[State]],TA!I$2))/SUMIFS(Table_MedicalGapAgreements[[#All],[NumberofServices]],Table_MedicalGapAgreements[[#All],[Year]],TA!$B14,Table_MedicalGapAgreements[[#All],[MonthEnd]],TA!$A14,Table_MedicalGapAgreements[[#All],[State]],TA!I$2)</f>
        <v>97.705311913399953</v>
      </c>
      <c r="J20" s="167">
        <f>(SUMIFS(Table_MedicalGapAgreements[[#All],[AmountCharged]],Table_MedicalGapAgreements[[#All],[Year]],TA!$B14,Table_MedicalGapAgreements[[#All],[MonthEnd]],TA!$A14,Table_MedicalGapAgreements[[#All],[State]],TA!J$2)-SUMIFS(Table_MedicalGapAgreements[[#All],[MedicareBenefit]],Table_MedicalGapAgreements[[#All],[Year]],TA!$B14,Table_MedicalGapAgreements[[#All],[MonthEnd]],TA!$A14,Table_MedicalGapAgreements[[#All],[State]],TA!J$2)-SUMIFS(Table_MedicalGapAgreements[[#All],[FundBenefit]],Table_MedicalGapAgreements[[#All],[Year]],TA!$B14,Table_MedicalGapAgreements[[#All],[MonthEnd]],TA!$A14,Table_MedicalGapAgreements[[#All],[State]],TA!J$2))/SUMIFS(Table_MedicalGapAgreements[[#All],[NumberofServices]],Table_MedicalGapAgreements[[#All],[Year]],TA!$B14,Table_MedicalGapAgreements[[#All],[MonthEnd]],TA!$A14,Table_MedicalGapAgreements[[#All],[State]],TA!J$2)</f>
        <v>62.492776393401265</v>
      </c>
      <c r="K20" s="167">
        <f>(SUMIFS(Table_MedicalGapAgreements[[#All],[AmountCharged]],Table_MedicalGapAgreements[[#All],[Year]],TA!$B14,Table_MedicalGapAgreements[[#All],[MonthEnd]],TA!$A14&amp;"*")-SUMIFS(Table_MedicalGapAgreements[[#All],[MedicareBenefit]],Table_MedicalGapAgreements[[#All],[Year]],TA!$B14,Table_MedicalGapAgreements[[#All],[MonthEnd]],TA!$A14&amp;"*")-SUMIFS(Table_MedicalGapAgreements[[#All],[FundBenefit]],Table_MedicalGapAgreements[[#All],[Year]],TA!$B14,Table_MedicalGapAgreements[[#All],[MonthEnd]],TA!$A14&amp;"*"))/SUMIFS(Table_MedicalGapAgreements[[#All],[NumberofServices]],Table_MedicalGapAgreements[[#All],[Year]],TA!$B14,Table_MedicalGapAgreements[[#All],[MonthEnd]],TA!$A14&amp;"*")</f>
        <v>33.52727069912563</v>
      </c>
      <c r="M20" s="22"/>
      <c r="N20" s="22"/>
      <c r="O20" s="22"/>
      <c r="P20" s="22"/>
      <c r="Q20" s="22"/>
      <c r="R20" s="22"/>
      <c r="S20" s="22"/>
      <c r="T20" s="22"/>
      <c r="U20" s="22"/>
      <c r="V20" s="22"/>
      <c r="W20" s="22"/>
      <c r="X20" s="22"/>
      <c r="Y20" s="22"/>
      <c r="Z20" s="22"/>
      <c r="AA20" s="22"/>
      <c r="AB20" s="22"/>
      <c r="AC20" s="22"/>
      <c r="AD20" s="22"/>
      <c r="AE20" s="22"/>
      <c r="AF20" s="22"/>
      <c r="AG20" s="22"/>
    </row>
    <row r="21" spans="1:33" s="31" customFormat="1" ht="29.1" customHeight="1">
      <c r="A21" s="230"/>
      <c r="B21" s="166" t="s">
        <v>34</v>
      </c>
      <c r="C21" s="168">
        <f>(SUMIFS(Table_MedicalGapAgreements[[#All],[AmountCharged]],Table_MedicalGapAgreements[[#All],[Year]],TA!$B14,Table_MedicalGapAgreements[[#All],[MonthEnd]],TA!$A14,Table_MedicalGapAgreements[[#All],[State]],TA!C$2,Table_MedicalGapAgreements[[#All],[GapType]],"Known gap agreement")-SUMIFS(Table_MedicalGapAgreements[[#All],[MedicareBenefit]],Table_MedicalGapAgreements[[#All],[Year]],TA!$B14,Table_MedicalGapAgreements[[#All],[MonthEnd]],TA!$A14,Table_MedicalGapAgreements[[#All],[State]],TA!C$2,Table_MedicalGapAgreements[[#All],[GapType]],"Known gap agreement")-SUMIFS(Table_MedicalGapAgreements[[#All],[FundBenefit]],Table_MedicalGapAgreements[[#All],[Year]],TA!$B14,Table_MedicalGapAgreements[[#All],[MonthEnd]],TA!$A14,Table_MedicalGapAgreements[[#All],[State]],TA!C$2,Table_MedicalGapAgreements[[#All],[GapType]],"Known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Table_MedicalGapAgreements[[#All],[GapType]],"Known gap agreement"))</f>
        <v>123.29752024252363</v>
      </c>
      <c r="D21" s="168">
        <f>(SUMIFS(Table_MedicalGapAgreements[[#All],[AmountCharged]],Table_MedicalGapAgreements[[#All],[Year]],TA!$B14,Table_MedicalGapAgreements[[#All],[MonthEnd]],TA!$A14,Table_MedicalGapAgreements[[#All],[State]],TA!D$2,Table_MedicalGapAgreements[[#All],[GapType]],"Known gap agreement")-SUMIFS(Table_MedicalGapAgreements[[#All],[MedicareBenefit]],Table_MedicalGapAgreements[[#All],[Year]],TA!$B14,Table_MedicalGapAgreements[[#All],[MonthEnd]],TA!$A14,Table_MedicalGapAgreements[[#All],[State]],TA!D$2,Table_MedicalGapAgreements[[#All],[GapType]],"Known gap agreement")-SUMIFS(Table_MedicalGapAgreements[[#All],[FundBenefit]],Table_MedicalGapAgreements[[#All],[Year]],TA!$B14,Table_MedicalGapAgreements[[#All],[MonthEnd]],TA!$A14,Table_MedicalGapAgreements[[#All],[State]],TA!D$2,Table_MedicalGapAgreements[[#All],[GapType]],"Known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Table_MedicalGapAgreements[[#All],[GapType]],"Known gap agreement"))</f>
        <v>120.32222374921722</v>
      </c>
      <c r="E21" s="168">
        <f>(SUMIFS(Table_MedicalGapAgreements[[#All],[AmountCharged]],Table_MedicalGapAgreements[[#All],[Year]],TA!$B14,Table_MedicalGapAgreements[[#All],[MonthEnd]],TA!$A14,Table_MedicalGapAgreements[[#All],[State]],TA!E$2,Table_MedicalGapAgreements[[#All],[GapType]],"Known gap agreement")-SUMIFS(Table_MedicalGapAgreements[[#All],[MedicareBenefit]],Table_MedicalGapAgreements[[#All],[Year]],TA!$B14,Table_MedicalGapAgreements[[#All],[MonthEnd]],TA!$A14,Table_MedicalGapAgreements[[#All],[State]],TA!E$2,Table_MedicalGapAgreements[[#All],[GapType]],"Known gap agreement")-SUMIFS(Table_MedicalGapAgreements[[#All],[FundBenefit]],Table_MedicalGapAgreements[[#All],[Year]],TA!$B14,Table_MedicalGapAgreements[[#All],[MonthEnd]],TA!$A14,Table_MedicalGapAgreements[[#All],[State]],TA!E$2,Table_MedicalGapAgreements[[#All],[GapType]],"Known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Table_MedicalGapAgreements[[#All],[GapType]],"Known gap agreement"))</f>
        <v>149.11306232781476</v>
      </c>
      <c r="F21" s="168">
        <f>(SUMIFS(Table_MedicalGapAgreements[[#All],[AmountCharged]],Table_MedicalGapAgreements[[#All],[Year]],TA!$B14,Table_MedicalGapAgreements[[#All],[MonthEnd]],TA!$A14,Table_MedicalGapAgreements[[#All],[State]],TA!F$2,Table_MedicalGapAgreements[[#All],[GapType]],"Known gap agreement")-SUMIFS(Table_MedicalGapAgreements[[#All],[MedicareBenefit]],Table_MedicalGapAgreements[[#All],[Year]],TA!$B14,Table_MedicalGapAgreements[[#All],[MonthEnd]],TA!$A14,Table_MedicalGapAgreements[[#All],[State]],TA!F$2,Table_MedicalGapAgreements[[#All],[GapType]],"Known gap agreement")-SUMIFS(Table_MedicalGapAgreements[[#All],[FundBenefit]],Table_MedicalGapAgreements[[#All],[Year]],TA!$B14,Table_MedicalGapAgreements[[#All],[MonthEnd]],TA!$A14,Table_MedicalGapAgreements[[#All],[State]],TA!F$2,Table_MedicalGapAgreements[[#All],[GapType]],"Known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Table_MedicalGapAgreements[[#All],[GapType]],"Known gap agreement"))</f>
        <v>109.7472474709346</v>
      </c>
      <c r="G21" s="168">
        <f>(SUMIFS(Table_MedicalGapAgreements[[#All],[AmountCharged]],Table_MedicalGapAgreements[[#All],[Year]],TA!$B14,Table_MedicalGapAgreements[[#All],[MonthEnd]],TA!$A14,Table_MedicalGapAgreements[[#All],[State]],TA!G$2,Table_MedicalGapAgreements[[#All],[GapType]],"Known gap agreement")-SUMIFS(Table_MedicalGapAgreements[[#All],[MedicareBenefit]],Table_MedicalGapAgreements[[#All],[Year]],TA!$B14,Table_MedicalGapAgreements[[#All],[MonthEnd]],TA!$A14,Table_MedicalGapAgreements[[#All],[State]],TA!G$2,Table_MedicalGapAgreements[[#All],[GapType]],"Known gap agreement")-SUMIFS(Table_MedicalGapAgreements[[#All],[FundBenefit]],Table_MedicalGapAgreements[[#All],[Year]],TA!$B14,Table_MedicalGapAgreements[[#All],[MonthEnd]],TA!$A14,Table_MedicalGapAgreements[[#All],[State]],TA!G$2,Table_MedicalGapAgreements[[#All],[GapType]],"Known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Table_MedicalGapAgreements[[#All],[GapType]],"Known gap agreement"))</f>
        <v>194.70477816401467</v>
      </c>
      <c r="H21" s="168">
        <f>(SUMIFS(Table_MedicalGapAgreements[[#All],[AmountCharged]],Table_MedicalGapAgreements[[#All],[Year]],TA!$B14,Table_MedicalGapAgreements[[#All],[MonthEnd]],TA!$A14,Table_MedicalGapAgreements[[#All],[State]],TA!H$2,Table_MedicalGapAgreements[[#All],[GapType]],"Known gap agreement")-SUMIFS(Table_MedicalGapAgreements[[#All],[MedicareBenefit]],Table_MedicalGapAgreements[[#All],[Year]],TA!$B14,Table_MedicalGapAgreements[[#All],[MonthEnd]],TA!$A14,Table_MedicalGapAgreements[[#All],[State]],TA!H$2,Table_MedicalGapAgreements[[#All],[GapType]],"Known gap agreement")-SUMIFS(Table_MedicalGapAgreements[[#All],[FundBenefit]],Table_MedicalGapAgreements[[#All],[Year]],TA!$B14,Table_MedicalGapAgreements[[#All],[MonthEnd]],TA!$A14,Table_MedicalGapAgreements[[#All],[State]],TA!H$2,Table_MedicalGapAgreements[[#All],[GapType]],"Known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Table_MedicalGapAgreements[[#All],[GapType]],"Known gap agreement"))</f>
        <v>168.13170760779431</v>
      </c>
      <c r="I21" s="168">
        <f>(SUMIFS(Table_MedicalGapAgreements[[#All],[AmountCharged]],Table_MedicalGapAgreements[[#All],[Year]],TA!$B14,Table_MedicalGapAgreements[[#All],[MonthEnd]],TA!$A14,Table_MedicalGapAgreements[[#All],[State]],TA!I$2,Table_MedicalGapAgreements[[#All],[GapType]],"Known gap agreement")-SUMIFS(Table_MedicalGapAgreements[[#All],[MedicareBenefit]],Table_MedicalGapAgreements[[#All],[Year]],TA!$B14,Table_MedicalGapAgreements[[#All],[MonthEnd]],TA!$A14,Table_MedicalGapAgreements[[#All],[State]],TA!I$2,Table_MedicalGapAgreements[[#All],[GapType]],"Known gap agreement")-SUMIFS(Table_MedicalGapAgreements[[#All],[FundBenefit]],Table_MedicalGapAgreements[[#All],[Year]],TA!$B14,Table_MedicalGapAgreements[[#All],[MonthEnd]],TA!$A14,Table_MedicalGapAgreements[[#All],[State]],TA!I$2,Table_MedicalGapAgreements[[#All],[GapType]],"Known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Table_MedicalGapAgreements[[#All],[GapType]],"Known gap agreement"))</f>
        <v>148.44247168198333</v>
      </c>
      <c r="J21" s="168">
        <f>(SUMIFS(Table_MedicalGapAgreements[[#All],[AmountCharged]],Table_MedicalGapAgreements[[#All],[Year]],TA!$B14,Table_MedicalGapAgreements[[#All],[MonthEnd]],TA!$A14,Table_MedicalGapAgreements[[#All],[State]],TA!J$2,Table_MedicalGapAgreements[[#All],[GapType]],"Known gap agreement")-SUMIFS(Table_MedicalGapAgreements[[#All],[MedicareBenefit]],Table_MedicalGapAgreements[[#All],[Year]],TA!$B14,Table_MedicalGapAgreements[[#All],[MonthEnd]],TA!$A14,Table_MedicalGapAgreements[[#All],[State]],TA!J$2,Table_MedicalGapAgreements[[#All],[GapType]],"Known gap agreement")-SUMIFS(Table_MedicalGapAgreements[[#All],[FundBenefit]],Table_MedicalGapAgreements[[#All],[Year]],TA!$B14,Table_MedicalGapAgreements[[#All],[MonthEnd]],TA!$A14,Table_MedicalGapAgreements[[#All],[State]],TA!J$2,Table_MedicalGapAgreements[[#All],[GapType]],"Known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Table_MedicalGapAgreements[[#All],[GapType]],"Known gap agreement"))</f>
        <v>116.70657419474958</v>
      </c>
      <c r="K21" s="168">
        <f>(SUMIFS(Table_MedicalGapAgreements[[#All],[AmountCharged]],Table_MedicalGapAgreements[[#All],[Year]],TA!$B14,Table_MedicalGapAgreements[[#All],[MonthEnd]],TA!$A14,Table_MedicalGapAgreements[[#All],[GapType]],"Known gap agreement")-SUMIFS(Table_MedicalGapAgreements[[#All],[MedicareBenefit]],Table_MedicalGapAgreements[[#All],[Year]],TA!$B14,Table_MedicalGapAgreements[[#All],[MonthEnd]],TA!$A14,Table_MedicalGapAgreements[[#All],[GapType]],"Known gap agreement")-SUMIFS(Table_MedicalGapAgreements[[#All],[FundBenefit]],Table_MedicalGapAgreements[[#All],[Year]],TA!$B14,Table_MedicalGapAgreements[[#All],[MonthEnd]],TA!$A14,Table_MedicalGapAgreements[[#All],[GapType]],"Known gap agreement"))/(SUMIFS(Table_MedicalGapAgreements[[#All],[NumberofServices]],Table_MedicalGapAgreements[[#All],[Year]],TA!$B14,Table_MedicalGapAgreements[[#All],[MonthEnd]],TA!$A14,Table_MedicalGapAgreements[[#All],[GapType]],"Known gap agreement"))</f>
        <v>135.39559161206842</v>
      </c>
      <c r="M21" s="22"/>
      <c r="N21" s="22"/>
      <c r="O21" s="22"/>
      <c r="P21" s="22"/>
      <c r="Q21" s="22"/>
      <c r="R21" s="22"/>
      <c r="S21" s="22"/>
      <c r="T21" s="22"/>
      <c r="U21" s="22"/>
      <c r="V21" s="22"/>
      <c r="W21" s="22"/>
      <c r="X21" s="22"/>
      <c r="Y21" s="22"/>
      <c r="Z21" s="22"/>
      <c r="AA21" s="22"/>
      <c r="AB21" s="22"/>
      <c r="AC21" s="22"/>
      <c r="AD21" s="22"/>
      <c r="AE21" s="22"/>
      <c r="AF21" s="22"/>
      <c r="AG21" s="22"/>
    </row>
    <row r="22" spans="1:33" s="31" customFormat="1" ht="29.1" customHeight="1" thickBot="1">
      <c r="A22" s="231"/>
      <c r="B22" s="169" t="s">
        <v>35</v>
      </c>
      <c r="C22" s="170">
        <f>(SUMIFS(Table_MedicalGapAgreements[[#All],[AmountCharged]],Table_MedicalGapAgreements[[#All],[Year]],TA!$B14,Table_MedicalGapAgreements[[#All],[MonthEnd]],TA!$A14&amp;"*",Table_MedicalGapAgreements[[#All],[State]],TA!C$2,Table_MedicalGapAgreements[[#All],[GapType]],"Known gap agreement*")+SUMIFS(Table_MedicalGapAgreements[[#All],[AmountCharged]],Table_MedicalGapAgreements[[#All],[Year]],TA!$B14,Table_MedicalGapAgreements[[#All],[MonthEnd]],TA!$A14&amp;"*",Table_MedicalGapAgreements[[#All],[State]],TA!C$2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C$2,Table_MedicalGapAgreements[[#All],[GapType]],"Known gap agreement*")-SUMIFS(Table_MedicalGapAgreements[[#All],[MedicareBenefit]],Table_MedicalGapAgreements[[#All],[Year]],TA!$B14,Table_MedicalGapAgreements[[#All],[MonthEnd]],TA!$A14&amp;"*",Table_MedicalGapAgreements[[#All],[State]],TA!C$2,Table_MedicalGapAgreements[[#All],[GapType]],"No agreement*",Table_MedicalGapAgreements[[#All],[MBSFeePercentage]],"&lt;&gt;Up to MBS Fee*")-SUMIFS(Table_MedicalGapAgreements[[#All],[FundBenefit]],Table_MedicalGapAgreements[[#All],[Year]],TA!$B14,Table_MedicalGapAgreements[[#All],[MonthEnd]],TA!$A14&amp;"*",Table_MedicalGapAgreements[[#All],[State]],TA!C$2,Table_MedicalGapAgreements[[#All],[GapType]],"Known gap agreement*")-SUMIFS(Table_MedicalGapAgreements[[#All],[FundBenefit]],Table_MedicalGapAgreements[[#All],[Year]],TA!$B14,Table_MedicalGapAgreements[[#All],[MonthEnd]],TA!$A14&amp;"*",Table_MedicalGapAgreements[[#All],[State]],TA!C$2,Table_MedicalGapAgreements[[#All],[GapType]],"No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C$2,Table_MedicalGapAgreements[[#All],[GapType]],"Known gap agreement*")+SUMIFS(Table_MedicalGapAgreements[[#All],[NumberofServices]],Table_MedicalGapAgreements[[#All],[Year]],TA!$B14,Table_MedicalGapAgreements[[#All],[MonthEnd]],TA!$A14&amp;"*",Table_MedicalGapAgreements[[#All],[State]],TA!C$2,Table_MedicalGapAgreements[[#All],[GapType]],"No agreement*",Table_MedicalGapAgreements[[#All],[MBSFeePercentage]],"&lt;&gt;Up to MBS Fee*"))</f>
        <v>334.29972974552624</v>
      </c>
      <c r="D22" s="170">
        <f>(SUMIFS(Table_MedicalGapAgreements[[#All],[AmountCharged]],Table_MedicalGapAgreements[[#All],[Year]],TA!$B14,Table_MedicalGapAgreements[[#All],[MonthEnd]],TA!$A14&amp;"*",Table_MedicalGapAgreements[[#All],[State]],TA!D$2,Table_MedicalGapAgreements[[#All],[GapType]],"Known gap agreement*")+SUMIFS(Table_MedicalGapAgreements[[#All],[AmountCharged]],Table_MedicalGapAgreements[[#All],[Year]],TA!$B14,Table_MedicalGapAgreements[[#All],[MonthEnd]],TA!$A14&amp;"*",Table_MedicalGapAgreements[[#All],[State]],TA!D$2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D$2,Table_MedicalGapAgreements[[#All],[GapType]],"Known gap agreement*")-SUMIFS(Table_MedicalGapAgreements[[#All],[MedicareBenefit]],Table_MedicalGapAgreements[[#All],[Year]],TA!$B14,Table_MedicalGapAgreements[[#All],[MonthEnd]],TA!$A14&amp;"*",Table_MedicalGapAgreements[[#All],[State]],TA!D$2,Table_MedicalGapAgreements[[#All],[GapType]],"No agreement*",Table_MedicalGapAgreements[[#All],[MBSFeePercentage]],"&lt;&gt;Up to MBS Fee*")-SUMIFS(Table_MedicalGapAgreements[[#All],[FundBenefit]],Table_MedicalGapAgreements[[#All],[Year]],TA!$B14,Table_MedicalGapAgreements[[#All],[MonthEnd]],TA!$A14&amp;"*",Table_MedicalGapAgreements[[#All],[State]],TA!D$2,Table_MedicalGapAgreements[[#All],[GapType]],"Known gap agreement*")-SUMIFS(Table_MedicalGapAgreements[[#All],[FundBenefit]],Table_MedicalGapAgreements[[#All],[Year]],TA!$B14,Table_MedicalGapAgreements[[#All],[MonthEnd]],TA!$A14&amp;"*",Table_MedicalGapAgreements[[#All],[State]],TA!D$2,Table_MedicalGapAgreements[[#All],[GapType]],"No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D$2,Table_MedicalGapAgreements[[#All],[GapType]],"Known gap agreement*")+SUMIFS(Table_MedicalGapAgreements[[#All],[NumberofServices]],Table_MedicalGapAgreements[[#All],[Year]],TA!$B14,Table_MedicalGapAgreements[[#All],[MonthEnd]],TA!$A14&amp;"*",Table_MedicalGapAgreements[[#All],[State]],TA!D$2,Table_MedicalGapAgreements[[#All],[GapType]],"No agreement*",Table_MedicalGapAgreements[[#All],[MBSFeePercentage]],"&lt;&gt;Up to MBS Fee*"))</f>
        <v>216.49931676397961</v>
      </c>
      <c r="E22" s="170">
        <f>(SUMIFS(Table_MedicalGapAgreements[[#All],[AmountCharged]],Table_MedicalGapAgreements[[#All],[Year]],TA!$B14,Table_MedicalGapAgreements[[#All],[MonthEnd]],TA!$A14&amp;"*",Table_MedicalGapAgreements[[#All],[State]],TA!E$2,Table_MedicalGapAgreements[[#All],[GapType]],"Known gap agreement*")+SUMIFS(Table_MedicalGapAgreements[[#All],[AmountCharged]],Table_MedicalGapAgreements[[#All],[Year]],TA!$B14,Table_MedicalGapAgreements[[#All],[MonthEnd]],TA!$A14&amp;"*",Table_MedicalGapAgreements[[#All],[State]],TA!E$2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E$2,Table_MedicalGapAgreements[[#All],[GapType]],"Known gap agreement*")-SUMIFS(Table_MedicalGapAgreements[[#All],[MedicareBenefit]],Table_MedicalGapAgreements[[#All],[Year]],TA!$B14,Table_MedicalGapAgreements[[#All],[MonthEnd]],TA!$A14&amp;"*",Table_MedicalGapAgreements[[#All],[State]],TA!E$2,Table_MedicalGapAgreements[[#All],[GapType]],"No agreement*",Table_MedicalGapAgreements[[#All],[MBSFeePercentage]],"&lt;&gt;Up to MBS Fee*")-SUMIFS(Table_MedicalGapAgreements[[#All],[FundBenefit]],Table_MedicalGapAgreements[[#All],[Year]],TA!$B14,Table_MedicalGapAgreements[[#All],[MonthEnd]],TA!$A14&amp;"*",Table_MedicalGapAgreements[[#All],[State]],TA!E$2,Table_MedicalGapAgreements[[#All],[GapType]],"Known gap agreement*")-SUMIFS(Table_MedicalGapAgreements[[#All],[FundBenefit]],Table_MedicalGapAgreements[[#All],[Year]],TA!$B14,Table_MedicalGapAgreements[[#All],[MonthEnd]],TA!$A14&amp;"*",Table_MedicalGapAgreements[[#All],[State]],TA!E$2,Table_MedicalGapAgreements[[#All],[GapType]],"No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E$2,Table_MedicalGapAgreements[[#All],[GapType]],"Known gap agreement*")+SUMIFS(Table_MedicalGapAgreements[[#All],[NumberofServices]],Table_MedicalGapAgreements[[#All],[Year]],TA!$B14,Table_MedicalGapAgreements[[#All],[MonthEnd]],TA!$A14&amp;"*",Table_MedicalGapAgreements[[#All],[State]],TA!E$2,Table_MedicalGapAgreements[[#All],[GapType]],"No agreement*",Table_MedicalGapAgreements[[#All],[MBSFeePercentage]],"&lt;&gt;Up to MBS Fee*"))</f>
        <v>268.01513823866003</v>
      </c>
      <c r="F22" s="170">
        <f>(SUMIFS(Table_MedicalGapAgreements[[#All],[AmountCharged]],Table_MedicalGapAgreements[[#All],[Year]],TA!$B14,Table_MedicalGapAgreements[[#All],[MonthEnd]],TA!$A14&amp;"*",Table_MedicalGapAgreements[[#All],[State]],TA!F$2,Table_MedicalGapAgreements[[#All],[GapType]],"Known gap agreement*")+SUMIFS(Table_MedicalGapAgreements[[#All],[AmountCharged]],Table_MedicalGapAgreements[[#All],[Year]],TA!$B14,Table_MedicalGapAgreements[[#All],[MonthEnd]],TA!$A14&amp;"*",Table_MedicalGapAgreements[[#All],[State]],TA!F$2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F$2,Table_MedicalGapAgreements[[#All],[GapType]],"Known gap agreement*")-SUMIFS(Table_MedicalGapAgreements[[#All],[MedicareBenefit]],Table_MedicalGapAgreements[[#All],[Year]],TA!$B14,Table_MedicalGapAgreements[[#All],[MonthEnd]],TA!$A14&amp;"*",Table_MedicalGapAgreements[[#All],[State]],TA!F$2,Table_MedicalGapAgreements[[#All],[GapType]],"No agreement*",Table_MedicalGapAgreements[[#All],[MBSFeePercentage]],"&lt;&gt;Up to MBS Fee*")-SUMIFS(Table_MedicalGapAgreements[[#All],[FundBenefit]],Table_MedicalGapAgreements[[#All],[Year]],TA!$B14,Table_MedicalGapAgreements[[#All],[MonthEnd]],TA!$A14&amp;"*",Table_MedicalGapAgreements[[#All],[State]],TA!F$2,Table_MedicalGapAgreements[[#All],[GapType]],"Known gap agreement*")-SUMIFS(Table_MedicalGapAgreements[[#All],[FundBenefit]],Table_MedicalGapAgreements[[#All],[Year]],TA!$B14,Table_MedicalGapAgreements[[#All],[MonthEnd]],TA!$A14&amp;"*",Table_MedicalGapAgreements[[#All],[State]],TA!F$2,Table_MedicalGapAgreements[[#All],[GapType]],"No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F$2,Table_MedicalGapAgreements[[#All],[GapType]],"Known gap agreement*")+SUMIFS(Table_MedicalGapAgreements[[#All],[NumberofServices]],Table_MedicalGapAgreements[[#All],[Year]],TA!$B14,Table_MedicalGapAgreements[[#All],[MonthEnd]],TA!$A14&amp;"*",Table_MedicalGapAgreements[[#All],[State]],TA!F$2,Table_MedicalGapAgreements[[#All],[GapType]],"No agreement*",Table_MedicalGapAgreements[[#All],[MBSFeePercentage]],"&lt;&gt;Up to MBS Fee*"))</f>
        <v>165.51662674818635</v>
      </c>
      <c r="G22" s="170">
        <f>(SUMIFS(Table_MedicalGapAgreements[[#All],[AmountCharged]],Table_MedicalGapAgreements[[#All],[Year]],TA!$B14,Table_MedicalGapAgreements[[#All],[MonthEnd]],TA!$A14&amp;"*",Table_MedicalGapAgreements[[#All],[State]],TA!G$2,Table_MedicalGapAgreements[[#All],[GapType]],"Known gap agreement*")+SUMIFS(Table_MedicalGapAgreements[[#All],[AmountCharged]],Table_MedicalGapAgreements[[#All],[Year]],TA!$B14,Table_MedicalGapAgreements[[#All],[MonthEnd]],TA!$A14&amp;"*",Table_MedicalGapAgreements[[#All],[State]],TA!G$2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G$2,Table_MedicalGapAgreements[[#All],[GapType]],"Known gap agreement*")-SUMIFS(Table_MedicalGapAgreements[[#All],[MedicareBenefit]],Table_MedicalGapAgreements[[#All],[Year]],TA!$B14,Table_MedicalGapAgreements[[#All],[MonthEnd]],TA!$A14&amp;"*",Table_MedicalGapAgreements[[#All],[State]],TA!G$2,Table_MedicalGapAgreements[[#All],[GapType]],"No agreement*",Table_MedicalGapAgreements[[#All],[MBSFeePercentage]],"&lt;&gt;Up to MBS Fee*")-SUMIFS(Table_MedicalGapAgreements[[#All],[FundBenefit]],Table_MedicalGapAgreements[[#All],[Year]],TA!$B14,Table_MedicalGapAgreements[[#All],[MonthEnd]],TA!$A14&amp;"*",Table_MedicalGapAgreements[[#All],[State]],TA!G$2,Table_MedicalGapAgreements[[#All],[GapType]],"Known gap agreement*")-SUMIFS(Table_MedicalGapAgreements[[#All],[FundBenefit]],Table_MedicalGapAgreements[[#All],[Year]],TA!$B14,Table_MedicalGapAgreements[[#All],[MonthEnd]],TA!$A14&amp;"*",Table_MedicalGapAgreements[[#All],[State]],TA!G$2,Table_MedicalGapAgreements[[#All],[GapType]],"No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G$2,Table_MedicalGapAgreements[[#All],[GapType]],"Known gap agreement*")+SUMIFS(Table_MedicalGapAgreements[[#All],[NumberofServices]],Table_MedicalGapAgreements[[#All],[Year]],TA!$B14,Table_MedicalGapAgreements[[#All],[MonthEnd]],TA!$A14&amp;"*",Table_MedicalGapAgreements[[#All],[State]],TA!G$2,Table_MedicalGapAgreements[[#All],[GapType]],"No agreement*",Table_MedicalGapAgreements[[#All],[MBSFeePercentage]],"&lt;&gt;Up to MBS Fee*"))</f>
        <v>248.32627304775463</v>
      </c>
      <c r="H22" s="170">
        <f>(SUMIFS(Table_MedicalGapAgreements[[#All],[AmountCharged]],Table_MedicalGapAgreements[[#All],[Year]],TA!$B14,Table_MedicalGapAgreements[[#All],[MonthEnd]],TA!$A14&amp;"*",Table_MedicalGapAgreements[[#All],[State]],TA!H$2,Table_MedicalGapAgreements[[#All],[GapType]],"Known gap agreement*")+SUMIFS(Table_MedicalGapAgreements[[#All],[AmountCharged]],Table_MedicalGapAgreements[[#All],[Year]],TA!$B14,Table_MedicalGapAgreements[[#All],[MonthEnd]],TA!$A14&amp;"*",Table_MedicalGapAgreements[[#All],[State]],TA!H$2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H$2,Table_MedicalGapAgreements[[#All],[GapType]],"Known gap agreement*")-SUMIFS(Table_MedicalGapAgreements[[#All],[MedicareBenefit]],Table_MedicalGapAgreements[[#All],[Year]],TA!$B14,Table_MedicalGapAgreements[[#All],[MonthEnd]],TA!$A14&amp;"*",Table_MedicalGapAgreements[[#All],[State]],TA!H$2,Table_MedicalGapAgreements[[#All],[GapType]],"No agreement*",Table_MedicalGapAgreements[[#All],[MBSFeePercentage]],"&lt;&gt;Up to MBS Fee*")-SUMIFS(Table_MedicalGapAgreements[[#All],[FundBenefit]],Table_MedicalGapAgreements[[#All],[Year]],TA!$B14,Table_MedicalGapAgreements[[#All],[MonthEnd]],TA!$A14&amp;"*",Table_MedicalGapAgreements[[#All],[State]],TA!H$2,Table_MedicalGapAgreements[[#All],[GapType]],"Known gap agreement*")-SUMIFS(Table_MedicalGapAgreements[[#All],[FundBenefit]],Table_MedicalGapAgreements[[#All],[Year]],TA!$B14,Table_MedicalGapAgreements[[#All],[MonthEnd]],TA!$A14&amp;"*",Table_MedicalGapAgreements[[#All],[State]],TA!H$2,Table_MedicalGapAgreements[[#All],[GapType]],"No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H$2,Table_MedicalGapAgreements[[#All],[GapType]],"Known gap agreement*")+SUMIFS(Table_MedicalGapAgreements[[#All],[NumberofServices]],Table_MedicalGapAgreements[[#All],[Year]],TA!$B14,Table_MedicalGapAgreements[[#All],[MonthEnd]],TA!$A14&amp;"*",Table_MedicalGapAgreements[[#All],[State]],TA!H$2,Table_MedicalGapAgreements[[#All],[GapType]],"No agreement*",Table_MedicalGapAgreements[[#All],[MBSFeePercentage]],"&lt;&gt;Up to MBS Fee*"))</f>
        <v>247.78774224452553</v>
      </c>
      <c r="I22" s="170">
        <f>(SUMIFS(Table_MedicalGapAgreements[[#All],[AmountCharged]],Table_MedicalGapAgreements[[#All],[Year]],TA!$B14,Table_MedicalGapAgreements[[#All],[MonthEnd]],TA!$A14&amp;"*",Table_MedicalGapAgreements[[#All],[State]],TA!I$2,Table_MedicalGapAgreements[[#All],[GapType]],"Known gap agreement*")+SUMIFS(Table_MedicalGapAgreements[[#All],[AmountCharged]],Table_MedicalGapAgreements[[#All],[Year]],TA!$B14,Table_MedicalGapAgreements[[#All],[MonthEnd]],TA!$A14&amp;"*",Table_MedicalGapAgreements[[#All],[State]],TA!I$2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I$2,Table_MedicalGapAgreements[[#All],[GapType]],"Known gap agreement*")-SUMIFS(Table_MedicalGapAgreements[[#All],[MedicareBenefit]],Table_MedicalGapAgreements[[#All],[Year]],TA!$B14,Table_MedicalGapAgreements[[#All],[MonthEnd]],TA!$A14&amp;"*",Table_MedicalGapAgreements[[#All],[State]],TA!I$2,Table_MedicalGapAgreements[[#All],[GapType]],"No agreement*",Table_MedicalGapAgreements[[#All],[MBSFeePercentage]],"&lt;&gt;Up to MBS Fee*")-SUMIFS(Table_MedicalGapAgreements[[#All],[FundBenefit]],Table_MedicalGapAgreements[[#All],[Year]],TA!$B14,Table_MedicalGapAgreements[[#All],[MonthEnd]],TA!$A14&amp;"*",Table_MedicalGapAgreements[[#All],[State]],TA!I$2,Table_MedicalGapAgreements[[#All],[GapType]],"Known gap agreement*")-SUMIFS(Table_MedicalGapAgreements[[#All],[FundBenefit]],Table_MedicalGapAgreements[[#All],[Year]],TA!$B14,Table_MedicalGapAgreements[[#All],[MonthEnd]],TA!$A14&amp;"*",Table_MedicalGapAgreements[[#All],[State]],TA!I$2,Table_MedicalGapAgreements[[#All],[GapType]],"No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I$2,Table_MedicalGapAgreements[[#All],[GapType]],"Known gap agreement*")+SUMIFS(Table_MedicalGapAgreements[[#All],[NumberofServices]],Table_MedicalGapAgreements[[#All],[Year]],TA!$B14,Table_MedicalGapAgreements[[#All],[MonthEnd]],TA!$A14&amp;"*",Table_MedicalGapAgreements[[#All],[State]],TA!I$2,Table_MedicalGapAgreements[[#All],[GapType]],"No agreement*",Table_MedicalGapAgreements[[#All],[MBSFeePercentage]],"&lt;&gt;Up to MBS Fee*"))</f>
        <v>391.99211475465199</v>
      </c>
      <c r="J22" s="170">
        <f>(SUMIFS(Table_MedicalGapAgreements[[#All],[AmountCharged]],Table_MedicalGapAgreements[[#All],[Year]],TA!$B14,Table_MedicalGapAgreements[[#All],[MonthEnd]],TA!$A14&amp;"*",Table_MedicalGapAgreements[[#All],[State]],TA!J$2,Table_MedicalGapAgreements[[#All],[GapType]],"Known gap agreement*")+SUMIFS(Table_MedicalGapAgreements[[#All],[AmountCharged]],Table_MedicalGapAgreements[[#All],[Year]],TA!$B14,Table_MedicalGapAgreements[[#All],[MonthEnd]],TA!$A14&amp;"*",Table_MedicalGapAgreements[[#All],[State]],TA!J$2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J$2,Table_MedicalGapAgreements[[#All],[GapType]],"Known gap agreement*")-SUMIFS(Table_MedicalGapAgreements[[#All],[MedicareBenefit]],Table_MedicalGapAgreements[[#All],[Year]],TA!$B14,Table_MedicalGapAgreements[[#All],[MonthEnd]],TA!$A14&amp;"*",Table_MedicalGapAgreements[[#All],[State]],TA!J$2,Table_MedicalGapAgreements[[#All],[GapType]],"No agreement*",Table_MedicalGapAgreements[[#All],[MBSFeePercentage]],"&lt;&gt;Up to MBS Fee*")-SUMIFS(Table_MedicalGapAgreements[[#All],[FundBenefit]],Table_MedicalGapAgreements[[#All],[Year]],TA!$B14,Table_MedicalGapAgreements[[#All],[MonthEnd]],TA!$A14&amp;"*",Table_MedicalGapAgreements[[#All],[State]],TA!J$2,Table_MedicalGapAgreements[[#All],[GapType]],"Known gap agreement*")-SUMIFS(Table_MedicalGapAgreements[[#All],[FundBenefit]],Table_MedicalGapAgreements[[#All],[Year]],TA!$B14,Table_MedicalGapAgreements[[#All],[MonthEnd]],TA!$A14&amp;"*",Table_MedicalGapAgreements[[#All],[State]],TA!J$2,Table_MedicalGapAgreements[[#All],[GapType]],"No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J$2,Table_MedicalGapAgreements[[#All],[GapType]],"Known gap agreement*")+SUMIFS(Table_MedicalGapAgreements[[#All],[NumberofServices]],Table_MedicalGapAgreements[[#All],[Year]],TA!$B14,Table_MedicalGapAgreements[[#All],[MonthEnd]],TA!$A14&amp;"*",Table_MedicalGapAgreements[[#All],[State]],TA!J$2,Table_MedicalGapAgreements[[#All],[GapType]],"No agreement*",Table_MedicalGapAgreements[[#All],[MBSFeePercentage]],"&lt;&gt;Up to MBS Fee*"))</f>
        <v>288.57162039742832</v>
      </c>
      <c r="K22" s="170">
        <f>(SUMIFS(Table_MedicalGapAgreements[[#All],[AmountCharged]],Table_MedicalGapAgreements[[#All],[Year]],TA!$B14,Table_MedicalGapAgreements[[#All],[MonthEnd]],TA!$A14&amp;"*",Table_MedicalGapAgreements[[#All],[GapType]],"Known gap agreement*")+SUMIFS(Table_MedicalGapAgreements[[#All],[AmountCharged]],Table_MedicalGapAgreements[[#All],[Year]],TA!$B14,Table_MedicalGapAgreements[[#All],[MonthEnd]],TA!$A14&amp;"*",Table_MedicalGapAgreements[[#All],[GapType]],"No agreement*",Table_MedicalGapAgreements[[#All],[MBSFeePercentage]],"&lt;&gt;Up to MBS Fee*")-SUMIFS(Table_MedicalGapAgreements[[#All],[MedicareBenefit]],Table_MedicalGapAgreements[[#All],[Year]],TA!$B14,Table_MedicalGapAgreements[[#All],[MonthEnd]],TA!$A14&amp;"*",Table_MedicalGapAgreements[[#All],[GapType]],"Known gap agreement*")-SUMIFS(Table_MedicalGapAgreements[[#All],[MedicareBenefit]],Table_MedicalGapAgreements[[#All],[Year]],TA!$B14,Table_MedicalGapAgreements[[#All],[MonthEnd]],TA!$A14&amp;"*",Table_MedicalGapAgreements[[#All],[GapType]],"No agreement*",Table_MedicalGapAgreements[[#All],[MBSFeePercentage]],"&lt;&gt;Up to MBS Fee*")-SUMIFS(Table_MedicalGapAgreements[[#All],[FundBenefit]],Table_MedicalGapAgreements[[#All],[Year]],TA!$B14,Table_MedicalGapAgreements[[#All],[MonthEnd]],TA!$A14&amp;"*",Table_MedicalGapAgreements[[#All],[GapType]],"Known gap agreement*")-SUMIFS(Table_MedicalGapAgreements[[#All],[FundBenefit]],Table_MedicalGapAgreements[[#All],[Year]],TA!$B14,Table_MedicalGapAgreements[[#All],[MonthEnd]],TA!$A14&amp;"*",Table_MedicalGapAgreements[[#All],[GapType]],"No agreement*",Table_MedicalGapAgreements[[#All],[MBSFeePercentage]],"&lt;&gt;Up to MBS Fee*"))/(SUMIFS(Table_MedicalGapAgreements[[#All],[NumberofServices]],Table_MedicalGapAgreements[[#All],[Year]],TA!$B14,Table_MedicalGapAgreements[[#All],[MonthEnd]],TA!$A14&amp;"*",Table_MedicalGapAgreements[[#All],[GapType]],"Known gap agreement*")+SUMIFS(Table_MedicalGapAgreements[[#All],[NumberofServices]],Table_MedicalGapAgreements[[#All],[Year]],TA!$B14,Table_MedicalGapAgreements[[#All],[MonthEnd]],TA!$A14&amp;"*",Table_MedicalGapAgreements[[#All],[GapType]],"No agreement*",Table_MedicalGapAgreements[[#All],[MBSFeePercentage]],"&lt;&gt;Up to MBS Fee*"))</f>
        <v>266.5037508762598</v>
      </c>
      <c r="M22" s="22"/>
      <c r="N22" s="22"/>
      <c r="O22" s="22"/>
      <c r="P22" s="22"/>
      <c r="Q22" s="22"/>
      <c r="R22" s="22"/>
      <c r="S22" s="22"/>
      <c r="T22" s="22"/>
      <c r="U22" s="22"/>
      <c r="V22" s="22"/>
      <c r="W22" s="22"/>
      <c r="X22" s="22"/>
      <c r="Y22" s="22"/>
      <c r="Z22" s="22"/>
      <c r="AA22" s="22"/>
      <c r="AB22" s="22"/>
      <c r="AC22" s="22"/>
      <c r="AD22" s="22"/>
      <c r="AE22" s="22"/>
      <c r="AF22" s="22"/>
      <c r="AG22" s="22"/>
    </row>
    <row r="23" spans="1:33" s="31" customFormat="1" ht="29.1" customHeight="1">
      <c r="A23" s="229" t="str">
        <f>TA!A15&amp;" "&amp;TA!B15</f>
        <v>Dec 2024</v>
      </c>
      <c r="B23" s="162" t="s">
        <v>19</v>
      </c>
      <c r="C23" s="163">
        <f>(SUMIFS(Table_MedicalGapAgreements[[#All],[NumberofServices]],Table_MedicalGapAgreements[[#All],[Year]],TA!$B15,Table_MedicalGapAgreements[[#All],[MonthEnd]],TA!$A15&amp;"*",Table_MedicalGapAgreements[[#All],[State]],TA!C$2,Table_MedicalGapAgreements[[#All],[GapType]],"No gap agreement*")+SUMIFS(Table_MedicalGapAgreements[[#All],[NumberofServices]],Table_MedicalGapAgreements[[#All],[Year]],TA!$B15,Table_MedicalGapAgreements[[#All],[MonthEnd]],TA!$A15&amp;"*",Table_MedicalGapAgreements[[#All],[State]],TA!C$2,Table_MedicalGapAgreements[[#All],[GapType]],"No agreement*",Table_MedicalGapAgreements[[#All],[MBSFeePercentage]],"Up to MBS*"))/SUMIFS(Table_MedicalGapAgreements[[#All],[NumberofServices]],Table_MedicalGapAgreements[[#All],[Year]],TA!$B15,Table_MedicalGapAgreements[[#All],[MonthEnd]],TA!$A15&amp;"*",Table_MedicalGapAgreements[[#All],[State]],TA!C$2)</f>
        <v>0.88988806007098631</v>
      </c>
      <c r="D23" s="163">
        <f>(SUMIFS(Table_MedicalGapAgreements[[#All],[NumberofServices]],Table_MedicalGapAgreements[[#All],[Year]],TA!$B15,Table_MedicalGapAgreements[[#All],[MonthEnd]],TA!$A15&amp;"*",Table_MedicalGapAgreements[[#All],[State]],TA!D$2,Table_MedicalGapAgreements[[#All],[GapType]],"No gap agreement*")+SUMIFS(Table_MedicalGapAgreements[[#All],[NumberofServices]],Table_MedicalGapAgreements[[#All],[Year]],TA!$B15,Table_MedicalGapAgreements[[#All],[MonthEnd]],TA!$A15&amp;"*",Table_MedicalGapAgreements[[#All],[State]],TA!D$2,Table_MedicalGapAgreements[[#All],[GapType]],"No agreement*",Table_MedicalGapAgreements[[#All],[MBSFeePercentage]],"Up to MBS*"))/SUMIFS(Table_MedicalGapAgreements[[#All],[NumberofServices]],Table_MedicalGapAgreements[[#All],[Year]],TA!$B15,Table_MedicalGapAgreements[[#All],[MonthEnd]],TA!$A15&amp;"*",Table_MedicalGapAgreements[[#All],[State]],TA!D$2)</f>
        <v>0.8677006518496575</v>
      </c>
      <c r="E23" s="163">
        <f>(SUMIFS(Table_MedicalGapAgreements[[#All],[NumberofServices]],Table_MedicalGapAgreements[[#All],[Year]],TA!$B15,Table_MedicalGapAgreements[[#All],[MonthEnd]],TA!$A15&amp;"*",Table_MedicalGapAgreements[[#All],[State]],TA!E$2,Table_MedicalGapAgreements[[#All],[GapType]],"No gap agreement*")+SUMIFS(Table_MedicalGapAgreements[[#All],[NumberofServices]],Table_MedicalGapAgreements[[#All],[Year]],TA!$B15,Table_MedicalGapAgreements[[#All],[MonthEnd]],TA!$A15&amp;"*",Table_MedicalGapAgreements[[#All],[State]],TA!E$2,Table_MedicalGapAgreements[[#All],[GapType]],"No agreement*",Table_MedicalGapAgreements[[#All],[MBSFeePercentage]],"Up to MBS*"))/SUMIFS(Table_MedicalGapAgreements[[#All],[NumberofServices]],Table_MedicalGapAgreements[[#All],[Year]],TA!$B15,Table_MedicalGapAgreements[[#All],[MonthEnd]],TA!$A15&amp;"*",Table_MedicalGapAgreements[[#All],[State]],TA!E$2)</f>
        <v>0.8592561375342832</v>
      </c>
      <c r="F23" s="163">
        <f>(SUMIFS(Table_MedicalGapAgreements[[#All],[NumberofServices]],Table_MedicalGapAgreements[[#All],[Year]],TA!$B15,Table_MedicalGapAgreements[[#All],[MonthEnd]],TA!$A15&amp;"*",Table_MedicalGapAgreements[[#All],[State]],TA!F$2,Table_MedicalGapAgreements[[#All],[GapType]],"No gap agreement*")+SUMIFS(Table_MedicalGapAgreements[[#All],[NumberofServices]],Table_MedicalGapAgreements[[#All],[Year]],TA!$B15,Table_MedicalGapAgreements[[#All],[MonthEnd]],TA!$A15&amp;"*",Table_MedicalGapAgreements[[#All],[State]],TA!F$2,Table_MedicalGapAgreements[[#All],[GapType]],"No agreement*",Table_MedicalGapAgreements[[#All],[MBSFeePercentage]],"Up to MBS*"))/SUMIFS(Table_MedicalGapAgreements[[#All],[NumberofServices]],Table_MedicalGapAgreements[[#All],[Year]],TA!$B15,Table_MedicalGapAgreements[[#All],[MonthEnd]],TA!$A15&amp;"*",Table_MedicalGapAgreements[[#All],[State]],TA!F$2)</f>
        <v>0.86767596126220725</v>
      </c>
      <c r="G23" s="163">
        <f>(SUMIFS(Table_MedicalGapAgreements[[#All],[NumberofServices]],Table_MedicalGapAgreements[[#All],[Year]],TA!$B15,Table_MedicalGapAgreements[[#All],[MonthEnd]],TA!$A15&amp;"*",Table_MedicalGapAgreements[[#All],[State]],TA!G$2,Table_MedicalGapAgreements[[#All],[GapType]],"No gap agreement*")+SUMIFS(Table_MedicalGapAgreements[[#All],[NumberofServices]],Table_MedicalGapAgreements[[#All],[Year]],TA!$B15,Table_MedicalGapAgreements[[#All],[MonthEnd]],TA!$A15&amp;"*",Table_MedicalGapAgreements[[#All],[State]],TA!G$2,Table_MedicalGapAgreements[[#All],[GapType]],"No agreement*",Table_MedicalGapAgreements[[#All],[MBSFeePercentage]],"Up to MBS*"))/SUMIFS(Table_MedicalGapAgreements[[#All],[NumberofServices]],Table_MedicalGapAgreements[[#All],[Year]],TA!$B15,Table_MedicalGapAgreements[[#All],[MonthEnd]],TA!$A15&amp;"*",Table_MedicalGapAgreements[[#All],[State]],TA!G$2)</f>
        <v>0.88355509882813854</v>
      </c>
      <c r="H23" s="163">
        <f>(SUMIFS(Table_MedicalGapAgreements[[#All],[NumberofServices]],Table_MedicalGapAgreements[[#All],[Year]],TA!$B15,Table_MedicalGapAgreements[[#All],[MonthEnd]],TA!$A15&amp;"*",Table_MedicalGapAgreements[[#All],[State]],TA!H$2,Table_MedicalGapAgreements[[#All],[GapType]],"No gap agreement*")+SUMIFS(Table_MedicalGapAgreements[[#All],[NumberofServices]],Table_MedicalGapAgreements[[#All],[Year]],TA!$B15,Table_MedicalGapAgreements[[#All],[MonthEnd]],TA!$A15&amp;"*",Table_MedicalGapAgreements[[#All],[State]],TA!H$2,Table_MedicalGapAgreements[[#All],[GapType]],"No agreement*",Table_MedicalGapAgreements[[#All],[MBSFeePercentage]],"Up to MBS*"))/SUMIFS(Table_MedicalGapAgreements[[#All],[NumberofServices]],Table_MedicalGapAgreements[[#All],[Year]],TA!$B15,Table_MedicalGapAgreements[[#All],[MonthEnd]],TA!$A15&amp;"*",Table_MedicalGapAgreements[[#All],[State]],TA!H$2)</f>
        <v>0.88158408437305824</v>
      </c>
      <c r="I23" s="163">
        <f>(SUMIFS(Table_MedicalGapAgreements[[#All],[NumberofServices]],Table_MedicalGapAgreements[[#All],[Year]],TA!$B15,Table_MedicalGapAgreements[[#All],[MonthEnd]],TA!$A15&amp;"*",Table_MedicalGapAgreements[[#All],[State]],TA!I$2,Table_MedicalGapAgreements[[#All],[GapType]],"No gap agreement*")+SUMIFS(Table_MedicalGapAgreements[[#All],[NumberofServices]],Table_MedicalGapAgreements[[#All],[Year]],TA!$B15,Table_MedicalGapAgreements[[#All],[MonthEnd]],TA!$A15&amp;"*",Table_MedicalGapAgreements[[#All],[State]],TA!I$2,Table_MedicalGapAgreements[[#All],[GapType]],"No agreement*",Table_MedicalGapAgreements[[#All],[MBSFeePercentage]],"Up to MBS*"))/SUMIFS(Table_MedicalGapAgreements[[#All],[NumberofServices]],Table_MedicalGapAgreements[[#All],[Year]],TA!$B15,Table_MedicalGapAgreements[[#All],[MonthEnd]],TA!$A15&amp;"*",Table_MedicalGapAgreements[[#All],[State]],TA!I$2)</f>
        <v>0.75949389286872959</v>
      </c>
      <c r="J23" s="163">
        <f>(SUMIFS(Table_MedicalGapAgreements[[#All],[NumberofServices]],Table_MedicalGapAgreements[[#All],[Year]],TA!$B15,Table_MedicalGapAgreements[[#All],[MonthEnd]],TA!$A15&amp;"*",Table_MedicalGapAgreements[[#All],[State]],TA!J$2,Table_MedicalGapAgreements[[#All],[GapType]],"No gap agreement*")+SUMIFS(Table_MedicalGapAgreements[[#All],[NumberofServices]],Table_MedicalGapAgreements[[#All],[Year]],TA!$B15,Table_MedicalGapAgreements[[#All],[MonthEnd]],TA!$A15&amp;"*",Table_MedicalGapAgreements[[#All],[State]],TA!J$2,Table_MedicalGapAgreements[[#All],[GapType]],"No agreement*",Table_MedicalGapAgreements[[#All],[MBSFeePercentage]],"Up to MBS*"))/SUMIFS(Table_MedicalGapAgreements[[#All],[NumberofServices]],Table_MedicalGapAgreements[[#All],[Year]],TA!$B15,Table_MedicalGapAgreements[[#All],[MonthEnd]],TA!$A15&amp;"*",Table_MedicalGapAgreements[[#All],[State]],TA!J$2)</f>
        <v>0.7891337156655599</v>
      </c>
      <c r="K23" s="163">
        <f>(SUMIFS(Table_MedicalGapAgreements[[#All],[NumberofServices]],Table_MedicalGapAgreements[[#All],[Year]],TA!$B15,Table_MedicalGapAgreements[[#All],[MonthEnd]],TA!$A15&amp;"*",Table_MedicalGapAgreements[[#All],[GapType]],"No gap agreement*")+SUMIFS(Table_MedicalGapAgreements[[#All],[NumberofServices]],Table_MedicalGapAgreements[[#All],[Year]],TA!$B15,Table_MedicalGapAgreements[[#All],[MonthEnd]],TA!$A15&amp;"*",Table_MedicalGapAgreements[[#All],[GapType]],"No agreement*",Table_MedicalGapAgreements[[#All],[MBSFeePercentage]],"Up to MBS*"))/SUMIFS(Table_MedicalGapAgreements[[#All],[NumberofServices]],Table_MedicalGapAgreements[[#All],[Year]],TA!$B15,Table_MedicalGapAgreements[[#All],[MonthEnd]],TA!$A15&amp;"*")</f>
        <v>0.87375608419207351</v>
      </c>
      <c r="M23" s="22"/>
      <c r="N23" s="22"/>
      <c r="O23" s="22"/>
      <c r="P23" s="22"/>
      <c r="Q23" s="22"/>
      <c r="R23" s="22"/>
      <c r="S23" s="22"/>
      <c r="T23" s="22"/>
      <c r="U23" s="22"/>
      <c r="V23" s="22"/>
      <c r="W23" s="22"/>
      <c r="X23" s="22"/>
      <c r="Y23" s="22"/>
      <c r="Z23" s="22"/>
      <c r="AA23" s="22"/>
      <c r="AB23" s="22"/>
      <c r="AC23" s="22"/>
      <c r="AD23" s="22"/>
      <c r="AE23" s="22"/>
      <c r="AF23" s="22"/>
      <c r="AG23" s="22"/>
    </row>
    <row r="24" spans="1:33" s="31" customFormat="1" ht="29.1" customHeight="1">
      <c r="A24" s="230"/>
      <c r="B24" s="164" t="s">
        <v>32</v>
      </c>
      <c r="C24" s="165">
        <f>(SUMIFS(Table_MedicalGapAgreements[[#All],[NumberofServices]],Table_MedicalGapAgreements[[#All],[Year]],TA!$B15,Table_MedicalGapAgreements[[#All],[MonthEnd]],TA!$A15,Table_MedicalGapAgreements[[#All],[State]],TA!C$2,Table_MedicalGapAgreements[[#All],[GapType]],"Known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f>
        <v>7.4658118509485824E-2</v>
      </c>
      <c r="D24" s="165">
        <f>(SUMIFS(Table_MedicalGapAgreements[[#All],[NumberofServices]],Table_MedicalGapAgreements[[#All],[Year]],TA!$B15,Table_MedicalGapAgreements[[#All],[MonthEnd]],TA!$A15,Table_MedicalGapAgreements[[#All],[State]],TA!D$2,Table_MedicalGapAgreements[[#All],[GapType]],"Known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f>
        <v>0.11026646901785861</v>
      </c>
      <c r="E24" s="165">
        <f>(SUMIFS(Table_MedicalGapAgreements[[#All],[NumberofServices]],Table_MedicalGapAgreements[[#All],[Year]],TA!$B15,Table_MedicalGapAgreements[[#All],[MonthEnd]],TA!$A15,Table_MedicalGapAgreements[[#All],[State]],TA!E$2,Table_MedicalGapAgreements[[#All],[GapType]],"Known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f>
        <v>0.10929203737150757</v>
      </c>
      <c r="F24" s="165">
        <f>(SUMIFS(Table_MedicalGapAgreements[[#All],[NumberofServices]],Table_MedicalGapAgreements[[#All],[Year]],TA!$B15,Table_MedicalGapAgreements[[#All],[MonthEnd]],TA!$A15,Table_MedicalGapAgreements[[#All],[State]],TA!F$2,Table_MedicalGapAgreements[[#All],[GapType]],"Known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f>
        <v>0.12437485857247826</v>
      </c>
      <c r="G24" s="165">
        <f>(SUMIFS(Table_MedicalGapAgreements[[#All],[NumberofServices]],Table_MedicalGapAgreements[[#All],[Year]],TA!$B15,Table_MedicalGapAgreements[[#All],[MonthEnd]],TA!$A15,Table_MedicalGapAgreements[[#All],[State]],TA!G$2,Table_MedicalGapAgreements[[#All],[GapType]],"Known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f>
        <v>9.3199534662148059E-2</v>
      </c>
      <c r="H24" s="165">
        <f>(SUMIFS(Table_MedicalGapAgreements[[#All],[NumberofServices]],Table_MedicalGapAgreements[[#All],[Year]],TA!$B15,Table_MedicalGapAgreements[[#All],[MonthEnd]],TA!$A15,Table_MedicalGapAgreements[[#All],[State]],TA!H$2,Table_MedicalGapAgreements[[#All],[GapType]],"Known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f>
        <v>0.10591722158375445</v>
      </c>
      <c r="I24" s="165">
        <f>(SUMIFS(Table_MedicalGapAgreements[[#All],[NumberofServices]],Table_MedicalGapAgreements[[#All],[Year]],TA!$B15,Table_MedicalGapAgreements[[#All],[MonthEnd]],TA!$A15,Table_MedicalGapAgreements[[#All],[State]],TA!I$2,Table_MedicalGapAgreements[[#All],[GapType]],"Known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f>
        <v>0.15578664936385875</v>
      </c>
      <c r="J24" s="165">
        <f>(SUMIFS(Table_MedicalGapAgreements[[#All],[NumberofServices]],Table_MedicalGapAgreements[[#All],[Year]],TA!$B15,Table_MedicalGapAgreements[[#All],[MonthEnd]],TA!$A15,Table_MedicalGapAgreements[[#All],[State]],TA!J$2,Table_MedicalGapAgreements[[#All],[GapType]],"Known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f>
        <v>0.16513733776033807</v>
      </c>
      <c r="K24" s="165">
        <f>(SUMIFS(Table_MedicalGapAgreements[[#All],[NumberofServices]],Table_MedicalGapAgreements[[#All],[Year]],TA!$B15,Table_MedicalGapAgreements[[#All],[MonthEnd]],TA!$A15,Table_MedicalGapAgreements[[#All],[GapType]],"Known gap agreement"))/SUMIFS(Table_MedicalGapAgreements[[#All],[NumberofServices]],Table_MedicalGapAgreements[[#All],[Year]],TA!$B15,Table_MedicalGapAgreements[[#All],[MonthEnd]],TA!$A15&amp;"*")</f>
        <v>9.8062228652344069E-2</v>
      </c>
      <c r="M24" s="22"/>
      <c r="N24" s="22"/>
      <c r="O24" s="22"/>
      <c r="P24" s="22"/>
      <c r="Q24" s="22"/>
      <c r="R24" s="22"/>
      <c r="S24" s="22"/>
      <c r="T24" s="22"/>
      <c r="U24" s="22"/>
      <c r="V24" s="22"/>
      <c r="W24" s="22"/>
      <c r="X24" s="22"/>
      <c r="Y24" s="22"/>
      <c r="Z24" s="22"/>
      <c r="AA24" s="22"/>
      <c r="AB24" s="22"/>
      <c r="AC24" s="22"/>
      <c r="AD24" s="22"/>
      <c r="AE24" s="22"/>
      <c r="AF24" s="22"/>
      <c r="AG24" s="22"/>
    </row>
    <row r="25" spans="1:33" s="31" customFormat="1" ht="29.1" customHeight="1">
      <c r="A25" s="230"/>
      <c r="B25" s="166" t="s">
        <v>33</v>
      </c>
      <c r="C25" s="167">
        <f>(SUMIFS(Table_MedicalGapAgreements[[#All],[AmountCharged]],Table_MedicalGapAgreements[[#All],[Year]],TA!$B15,Table_MedicalGapAgreements[[#All],[MonthEnd]],TA!$A15,Table_MedicalGapAgreements[[#All],[State]],TA!C$2)-SUMIFS(Table_MedicalGapAgreements[[#All],[MedicareBenefit]],Table_MedicalGapAgreements[[#All],[Year]],TA!$B15,Table_MedicalGapAgreements[[#All],[MonthEnd]],TA!$A15,Table_MedicalGapAgreements[[#All],[State]],TA!C$2)-SUMIFS(Table_MedicalGapAgreements[[#All],[FundBenefit]],Table_MedicalGapAgreements[[#All],[Year]],TA!$B15,Table_MedicalGapAgreements[[#All],[MonthEnd]],TA!$A15,Table_MedicalGapAgreements[[#All],[State]],TA!C$2))/SUMIFS(Table_MedicalGapAgreements[[#All],[NumberofServices]],Table_MedicalGapAgreements[[#All],[Year]],TA!$B15,Table_MedicalGapAgreements[[#All],[MonthEnd]],TA!$A15,Table_MedicalGapAgreements[[#All],[State]],TA!C$2)</f>
        <v>38.375536300196487</v>
      </c>
      <c r="D25" s="167">
        <f>(SUMIFS(Table_MedicalGapAgreements[[#All],[AmountCharged]],Table_MedicalGapAgreements[[#All],[Year]],TA!$B15,Table_MedicalGapAgreements[[#All],[MonthEnd]],TA!$A15,Table_MedicalGapAgreements[[#All],[State]],TA!D$2)-SUMIFS(Table_MedicalGapAgreements[[#All],[MedicareBenefit]],Table_MedicalGapAgreements[[#All],[Year]],TA!$B15,Table_MedicalGapAgreements[[#All],[MonthEnd]],TA!$A15,Table_MedicalGapAgreements[[#All],[State]],TA!D$2)-SUMIFS(Table_MedicalGapAgreements[[#All],[FundBenefit]],Table_MedicalGapAgreements[[#All],[Year]],TA!$B15,Table_MedicalGapAgreements[[#All],[MonthEnd]],TA!$A15,Table_MedicalGapAgreements[[#All],[State]],TA!D$2))/SUMIFS(Table_MedicalGapAgreements[[#All],[NumberofServices]],Table_MedicalGapAgreements[[#All],[Year]],TA!$B15,Table_MedicalGapAgreements[[#All],[MonthEnd]],TA!$A15,Table_MedicalGapAgreements[[#All],[State]],TA!D$2)</f>
        <v>30.018810319692975</v>
      </c>
      <c r="E25" s="167">
        <f>(SUMIFS(Table_MedicalGapAgreements[[#All],[AmountCharged]],Table_MedicalGapAgreements[[#All],[Year]],TA!$B15,Table_MedicalGapAgreements[[#All],[MonthEnd]],TA!$A15,Table_MedicalGapAgreements[[#All],[State]],TA!E$2)-SUMIFS(Table_MedicalGapAgreements[[#All],[MedicareBenefit]],Table_MedicalGapAgreements[[#All],[Year]],TA!$B15,Table_MedicalGapAgreements[[#All],[MonthEnd]],TA!$A15,Table_MedicalGapAgreements[[#All],[State]],TA!E$2)-SUMIFS(Table_MedicalGapAgreements[[#All],[FundBenefit]],Table_MedicalGapAgreements[[#All],[Year]],TA!$B15,Table_MedicalGapAgreements[[#All],[MonthEnd]],TA!$A15,Table_MedicalGapAgreements[[#All],[State]],TA!E$2))/SUMIFS(Table_MedicalGapAgreements[[#All],[NumberofServices]],Table_MedicalGapAgreements[[#All],[Year]],TA!$B15,Table_MedicalGapAgreements[[#All],[MonthEnd]],TA!$A15,Table_MedicalGapAgreements[[#All],[State]],TA!E$2)</f>
        <v>38.328756527749924</v>
      </c>
      <c r="F25" s="167">
        <f>(SUMIFS(Table_MedicalGapAgreements[[#All],[AmountCharged]],Table_MedicalGapAgreements[[#All],[Year]],TA!$B15,Table_MedicalGapAgreements[[#All],[MonthEnd]],TA!$A15,Table_MedicalGapAgreements[[#All],[State]],TA!F$2)-SUMIFS(Table_MedicalGapAgreements[[#All],[MedicareBenefit]],Table_MedicalGapAgreements[[#All],[Year]],TA!$B15,Table_MedicalGapAgreements[[#All],[MonthEnd]],TA!$A15,Table_MedicalGapAgreements[[#All],[State]],TA!F$2)-SUMIFS(Table_MedicalGapAgreements[[#All],[FundBenefit]],Table_MedicalGapAgreements[[#All],[Year]],TA!$B15,Table_MedicalGapAgreements[[#All],[MonthEnd]],TA!$A15,Table_MedicalGapAgreements[[#All],[State]],TA!F$2))/SUMIFS(Table_MedicalGapAgreements[[#All],[NumberofServices]],Table_MedicalGapAgreements[[#All],[Year]],TA!$B15,Table_MedicalGapAgreements[[#All],[MonthEnd]],TA!$A15,Table_MedicalGapAgreements[[#All],[State]],TA!F$2)</f>
        <v>23.059542766411322</v>
      </c>
      <c r="G25" s="167">
        <f>(SUMIFS(Table_MedicalGapAgreements[[#All],[AmountCharged]],Table_MedicalGapAgreements[[#All],[Year]],TA!$B15,Table_MedicalGapAgreements[[#All],[MonthEnd]],TA!$A15,Table_MedicalGapAgreements[[#All],[State]],TA!G$2)-SUMIFS(Table_MedicalGapAgreements[[#All],[MedicareBenefit]],Table_MedicalGapAgreements[[#All],[Year]],TA!$B15,Table_MedicalGapAgreements[[#All],[MonthEnd]],TA!$A15,Table_MedicalGapAgreements[[#All],[State]],TA!G$2)-SUMIFS(Table_MedicalGapAgreements[[#All],[FundBenefit]],Table_MedicalGapAgreements[[#All],[Year]],TA!$B15,Table_MedicalGapAgreements[[#All],[MonthEnd]],TA!$A15,Table_MedicalGapAgreements[[#All],[State]],TA!G$2))/SUMIFS(Table_MedicalGapAgreements[[#All],[NumberofServices]],Table_MedicalGapAgreements[[#All],[Year]],TA!$B15,Table_MedicalGapAgreements[[#All],[MonthEnd]],TA!$A15,Table_MedicalGapAgreements[[#All],[State]],TA!G$2)</f>
        <v>29.757501916289712</v>
      </c>
      <c r="H25" s="167">
        <f>(SUMIFS(Table_MedicalGapAgreements[[#All],[AmountCharged]],Table_MedicalGapAgreements[[#All],[Year]],TA!$B15,Table_MedicalGapAgreements[[#All],[MonthEnd]],TA!$A15,Table_MedicalGapAgreements[[#All],[State]],TA!H$2)-SUMIFS(Table_MedicalGapAgreements[[#All],[MedicareBenefit]],Table_MedicalGapAgreements[[#All],[Year]],TA!$B15,Table_MedicalGapAgreements[[#All],[MonthEnd]],TA!$A15,Table_MedicalGapAgreements[[#All],[State]],TA!H$2)-SUMIFS(Table_MedicalGapAgreements[[#All],[FundBenefit]],Table_MedicalGapAgreements[[#All],[Year]],TA!$B15,Table_MedicalGapAgreements[[#All],[MonthEnd]],TA!$A15,Table_MedicalGapAgreements[[#All],[State]],TA!H$2))/SUMIFS(Table_MedicalGapAgreements[[#All],[NumberofServices]],Table_MedicalGapAgreements[[#All],[Year]],TA!$B15,Table_MedicalGapAgreements[[#All],[MonthEnd]],TA!$A15,Table_MedicalGapAgreements[[#All],[State]],TA!H$2)</f>
        <v>31.316935263033436</v>
      </c>
      <c r="I25" s="167">
        <f>(SUMIFS(Table_MedicalGapAgreements[[#All],[AmountCharged]],Table_MedicalGapAgreements[[#All],[Year]],TA!$B15,Table_MedicalGapAgreements[[#All],[MonthEnd]],TA!$A15,Table_MedicalGapAgreements[[#All],[State]],TA!I$2)-SUMIFS(Table_MedicalGapAgreements[[#All],[MedicareBenefit]],Table_MedicalGapAgreements[[#All],[Year]],TA!$B15,Table_MedicalGapAgreements[[#All],[MonthEnd]],TA!$A15,Table_MedicalGapAgreements[[#All],[State]],TA!I$2)-SUMIFS(Table_MedicalGapAgreements[[#All],[FundBenefit]],Table_MedicalGapAgreements[[#All],[Year]],TA!$B15,Table_MedicalGapAgreements[[#All],[MonthEnd]],TA!$A15,Table_MedicalGapAgreements[[#All],[State]],TA!I$2))/SUMIFS(Table_MedicalGapAgreements[[#All],[NumberofServices]],Table_MedicalGapAgreements[[#All],[Year]],TA!$B15,Table_MedicalGapAgreements[[#All],[MonthEnd]],TA!$A15,Table_MedicalGapAgreements[[#All],[State]],TA!I$2)</f>
        <v>99.858589704244736</v>
      </c>
      <c r="J25" s="167">
        <f>(SUMIFS(Table_MedicalGapAgreements[[#All],[AmountCharged]],Table_MedicalGapAgreements[[#All],[Year]],TA!$B15,Table_MedicalGapAgreements[[#All],[MonthEnd]],TA!$A15,Table_MedicalGapAgreements[[#All],[State]],TA!J$2)-SUMIFS(Table_MedicalGapAgreements[[#All],[MedicareBenefit]],Table_MedicalGapAgreements[[#All],[Year]],TA!$B15,Table_MedicalGapAgreements[[#All],[MonthEnd]],TA!$A15,Table_MedicalGapAgreements[[#All],[State]],TA!J$2)-SUMIFS(Table_MedicalGapAgreements[[#All],[FundBenefit]],Table_MedicalGapAgreements[[#All],[Year]],TA!$B15,Table_MedicalGapAgreements[[#All],[MonthEnd]],TA!$A15,Table_MedicalGapAgreements[[#All],[State]],TA!J$2))/SUMIFS(Table_MedicalGapAgreements[[#All],[NumberofServices]],Table_MedicalGapAgreements[[#All],[Year]],TA!$B15,Table_MedicalGapAgreements[[#All],[MonthEnd]],TA!$A15,Table_MedicalGapAgreements[[#All],[State]],TA!J$2)</f>
        <v>63.636862964080933</v>
      </c>
      <c r="K25" s="167">
        <f>(SUMIFS(Table_MedicalGapAgreements[[#All],[AmountCharged]],Table_MedicalGapAgreements[[#All],[Year]],TA!$B15,Table_MedicalGapAgreements[[#All],[MonthEnd]],TA!$A15&amp;"*")-SUMIFS(Table_MedicalGapAgreements[[#All],[MedicareBenefit]],Table_MedicalGapAgreements[[#All],[Year]],TA!$B15,Table_MedicalGapAgreements[[#All],[MonthEnd]],TA!$A15&amp;"*")-SUMIFS(Table_MedicalGapAgreements[[#All],[FundBenefit]],Table_MedicalGapAgreements[[#All],[Year]],TA!$B15,Table_MedicalGapAgreements[[#All],[MonthEnd]],TA!$A15&amp;"*"))/SUMIFS(Table_MedicalGapAgreements[[#All],[NumberofServices]],Table_MedicalGapAgreements[[#All],[Year]],TA!$B15,Table_MedicalGapAgreements[[#All],[MonthEnd]],TA!$A15&amp;"*")</f>
        <v>34.914448079683893</v>
      </c>
      <c r="M25" s="22"/>
      <c r="N25" s="22"/>
      <c r="O25" s="22"/>
      <c r="P25" s="22"/>
      <c r="Q25" s="22"/>
      <c r="R25" s="22"/>
      <c r="S25" s="22"/>
      <c r="T25" s="22"/>
      <c r="U25" s="22"/>
      <c r="V25" s="22"/>
      <c r="W25" s="22"/>
      <c r="X25" s="22"/>
      <c r="Y25" s="22"/>
      <c r="Z25" s="22"/>
      <c r="AA25" s="22"/>
      <c r="AB25" s="22"/>
      <c r="AC25" s="22"/>
      <c r="AD25" s="22"/>
      <c r="AE25" s="22"/>
      <c r="AF25" s="22"/>
      <c r="AG25" s="22"/>
    </row>
    <row r="26" spans="1:33" s="31" customFormat="1" ht="29.1" customHeight="1">
      <c r="A26" s="230"/>
      <c r="B26" s="166" t="s">
        <v>34</v>
      </c>
      <c r="C26" s="168">
        <f>(SUMIFS(Table_MedicalGapAgreements[[#All],[AmountCharged]],Table_MedicalGapAgreements[[#All],[Year]],TA!$B15,Table_MedicalGapAgreements[[#All],[MonthEnd]],TA!$A15,Table_MedicalGapAgreements[[#All],[State]],TA!C$2,Table_MedicalGapAgreements[[#All],[GapType]],"Known gap agreement")-SUMIFS(Table_MedicalGapAgreements[[#All],[MedicareBenefit]],Table_MedicalGapAgreements[[#All],[Year]],TA!$B15,Table_MedicalGapAgreements[[#All],[MonthEnd]],TA!$A15,Table_MedicalGapAgreements[[#All],[State]],TA!C$2,Table_MedicalGapAgreements[[#All],[GapType]],"Known gap agreement")-SUMIFS(Table_MedicalGapAgreements[[#All],[FundBenefit]],Table_MedicalGapAgreements[[#All],[Year]],TA!$B15,Table_MedicalGapAgreements[[#All],[MonthEnd]],TA!$A15,Table_MedicalGapAgreements[[#All],[State]],TA!C$2,Table_MedicalGapAgreements[[#All],[GapType]],"Known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Table_MedicalGapAgreements[[#All],[GapType]],"Known gap agreement"))</f>
        <v>125.29348547434799</v>
      </c>
      <c r="D26" s="168">
        <f>(SUMIFS(Table_MedicalGapAgreements[[#All],[AmountCharged]],Table_MedicalGapAgreements[[#All],[Year]],TA!$B15,Table_MedicalGapAgreements[[#All],[MonthEnd]],TA!$A15,Table_MedicalGapAgreements[[#All],[State]],TA!D$2,Table_MedicalGapAgreements[[#All],[GapType]],"Known gap agreement")-SUMIFS(Table_MedicalGapAgreements[[#All],[MedicareBenefit]],Table_MedicalGapAgreements[[#All],[Year]],TA!$B15,Table_MedicalGapAgreements[[#All],[MonthEnd]],TA!$A15,Table_MedicalGapAgreements[[#All],[State]],TA!D$2,Table_MedicalGapAgreements[[#All],[GapType]],"Known gap agreement")-SUMIFS(Table_MedicalGapAgreements[[#All],[FundBenefit]],Table_MedicalGapAgreements[[#All],[Year]],TA!$B15,Table_MedicalGapAgreements[[#All],[MonthEnd]],TA!$A15,Table_MedicalGapAgreements[[#All],[State]],TA!D$2,Table_MedicalGapAgreements[[#All],[GapType]],"Known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Table_MedicalGapAgreements[[#All],[GapType]],"Known gap agreement"))</f>
        <v>130.88978695045427</v>
      </c>
      <c r="E26" s="168">
        <f>(SUMIFS(Table_MedicalGapAgreements[[#All],[AmountCharged]],Table_MedicalGapAgreements[[#All],[Year]],TA!$B15,Table_MedicalGapAgreements[[#All],[MonthEnd]],TA!$A15,Table_MedicalGapAgreements[[#All],[State]],TA!E$2,Table_MedicalGapAgreements[[#All],[GapType]],"Known gap agreement")-SUMIFS(Table_MedicalGapAgreements[[#All],[MedicareBenefit]],Table_MedicalGapAgreements[[#All],[Year]],TA!$B15,Table_MedicalGapAgreements[[#All],[MonthEnd]],TA!$A15,Table_MedicalGapAgreements[[#All],[State]],TA!E$2,Table_MedicalGapAgreements[[#All],[GapType]],"Known gap agreement")-SUMIFS(Table_MedicalGapAgreements[[#All],[FundBenefit]],Table_MedicalGapAgreements[[#All],[Year]],TA!$B15,Table_MedicalGapAgreements[[#All],[MonthEnd]],TA!$A15,Table_MedicalGapAgreements[[#All],[State]],TA!E$2,Table_MedicalGapAgreements[[#All],[GapType]],"Known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Table_MedicalGapAgreements[[#All],[GapType]],"Known gap agreement"))</f>
        <v>149.5972035042906</v>
      </c>
      <c r="F26" s="168">
        <f>(SUMIFS(Table_MedicalGapAgreements[[#All],[AmountCharged]],Table_MedicalGapAgreements[[#All],[Year]],TA!$B15,Table_MedicalGapAgreements[[#All],[MonthEnd]],TA!$A15,Table_MedicalGapAgreements[[#All],[State]],TA!F$2,Table_MedicalGapAgreements[[#All],[GapType]],"Known gap agreement")-SUMIFS(Table_MedicalGapAgreements[[#All],[MedicareBenefit]],Table_MedicalGapAgreements[[#All],[Year]],TA!$B15,Table_MedicalGapAgreements[[#All],[MonthEnd]],TA!$A15,Table_MedicalGapAgreements[[#All],[State]],TA!F$2,Table_MedicalGapAgreements[[#All],[GapType]],"Known gap agreement")-SUMIFS(Table_MedicalGapAgreements[[#All],[FundBenefit]],Table_MedicalGapAgreements[[#All],[Year]],TA!$B15,Table_MedicalGapAgreements[[#All],[MonthEnd]],TA!$A15,Table_MedicalGapAgreements[[#All],[State]],TA!F$2,Table_MedicalGapAgreements[[#All],[GapType]],"Known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Table_MedicalGapAgreements[[#All],[GapType]],"Known gap agreement"))</f>
        <v>114.64676203033646</v>
      </c>
      <c r="G26" s="168">
        <f>(SUMIFS(Table_MedicalGapAgreements[[#All],[AmountCharged]],Table_MedicalGapAgreements[[#All],[Year]],TA!$B15,Table_MedicalGapAgreements[[#All],[MonthEnd]],TA!$A15,Table_MedicalGapAgreements[[#All],[State]],TA!G$2,Table_MedicalGapAgreements[[#All],[GapType]],"Known gap agreement")-SUMIFS(Table_MedicalGapAgreements[[#All],[MedicareBenefit]],Table_MedicalGapAgreements[[#All],[Year]],TA!$B15,Table_MedicalGapAgreements[[#All],[MonthEnd]],TA!$A15,Table_MedicalGapAgreements[[#All],[State]],TA!G$2,Table_MedicalGapAgreements[[#All],[GapType]],"Known gap agreement")-SUMIFS(Table_MedicalGapAgreements[[#All],[FundBenefit]],Table_MedicalGapAgreements[[#All],[Year]],TA!$B15,Table_MedicalGapAgreements[[#All],[MonthEnd]],TA!$A15,Table_MedicalGapAgreements[[#All],[State]],TA!G$2,Table_MedicalGapAgreements[[#All],[GapType]],"Known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Table_MedicalGapAgreements[[#All],[GapType]],"Known gap agreement"))</f>
        <v>191.81877587089903</v>
      </c>
      <c r="H26" s="168">
        <f>(SUMIFS(Table_MedicalGapAgreements[[#All],[AmountCharged]],Table_MedicalGapAgreements[[#All],[Year]],TA!$B15,Table_MedicalGapAgreements[[#All],[MonthEnd]],TA!$A15,Table_MedicalGapAgreements[[#All],[State]],TA!H$2,Table_MedicalGapAgreements[[#All],[GapType]],"Known gap agreement")-SUMIFS(Table_MedicalGapAgreements[[#All],[MedicareBenefit]],Table_MedicalGapAgreements[[#All],[Year]],TA!$B15,Table_MedicalGapAgreements[[#All],[MonthEnd]],TA!$A15,Table_MedicalGapAgreements[[#All],[State]],TA!H$2,Table_MedicalGapAgreements[[#All],[GapType]],"Known gap agreement")-SUMIFS(Table_MedicalGapAgreements[[#All],[FundBenefit]],Table_MedicalGapAgreements[[#All],[Year]],TA!$B15,Table_MedicalGapAgreements[[#All],[MonthEnd]],TA!$A15,Table_MedicalGapAgreements[[#All],[State]],TA!H$2,Table_MedicalGapAgreements[[#All],[GapType]],"Known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Table_MedicalGapAgreements[[#All],[GapType]],"Known gap agreement"))</f>
        <v>165.23256255840525</v>
      </c>
      <c r="I26" s="168">
        <f>(SUMIFS(Table_MedicalGapAgreements[[#All],[AmountCharged]],Table_MedicalGapAgreements[[#All],[Year]],TA!$B15,Table_MedicalGapAgreements[[#All],[MonthEnd]],TA!$A15,Table_MedicalGapAgreements[[#All],[State]],TA!I$2,Table_MedicalGapAgreements[[#All],[GapType]],"Known gap agreement")-SUMIFS(Table_MedicalGapAgreements[[#All],[MedicareBenefit]],Table_MedicalGapAgreements[[#All],[Year]],TA!$B15,Table_MedicalGapAgreements[[#All],[MonthEnd]],TA!$A15,Table_MedicalGapAgreements[[#All],[State]],TA!I$2,Table_MedicalGapAgreements[[#All],[GapType]],"Known gap agreement")-SUMIFS(Table_MedicalGapAgreements[[#All],[FundBenefit]],Table_MedicalGapAgreements[[#All],[Year]],TA!$B15,Table_MedicalGapAgreements[[#All],[MonthEnd]],TA!$A15,Table_MedicalGapAgreements[[#All],[State]],TA!I$2,Table_MedicalGapAgreements[[#All],[GapType]],"Known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Table_MedicalGapAgreements[[#All],[GapType]],"Known gap agreement"))</f>
        <v>148.42308943547033</v>
      </c>
      <c r="J26" s="168">
        <f>(SUMIFS(Table_MedicalGapAgreements[[#All],[AmountCharged]],Table_MedicalGapAgreements[[#All],[Year]],TA!$B15,Table_MedicalGapAgreements[[#All],[MonthEnd]],TA!$A15,Table_MedicalGapAgreements[[#All],[State]],TA!J$2,Table_MedicalGapAgreements[[#All],[GapType]],"Known gap agreement")-SUMIFS(Table_MedicalGapAgreements[[#All],[MedicareBenefit]],Table_MedicalGapAgreements[[#All],[Year]],TA!$B15,Table_MedicalGapAgreements[[#All],[MonthEnd]],TA!$A15,Table_MedicalGapAgreements[[#All],[State]],TA!J$2,Table_MedicalGapAgreements[[#All],[GapType]],"Known gap agreement")-SUMIFS(Table_MedicalGapAgreements[[#All],[FundBenefit]],Table_MedicalGapAgreements[[#All],[Year]],TA!$B15,Table_MedicalGapAgreements[[#All],[MonthEnd]],TA!$A15,Table_MedicalGapAgreements[[#All],[State]],TA!J$2,Table_MedicalGapAgreements[[#All],[GapType]],"Known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Table_MedicalGapAgreements[[#All],[GapType]],"Known gap agreement"))</f>
        <v>115.29659477243646</v>
      </c>
      <c r="K26" s="168">
        <f>(SUMIFS(Table_MedicalGapAgreements[[#All],[AmountCharged]],Table_MedicalGapAgreements[[#All],[Year]],TA!$B15,Table_MedicalGapAgreements[[#All],[MonthEnd]],TA!$A15,Table_MedicalGapAgreements[[#All],[GapType]],"Known gap agreement")-SUMIFS(Table_MedicalGapAgreements[[#All],[MedicareBenefit]],Table_MedicalGapAgreements[[#All],[Year]],TA!$B15,Table_MedicalGapAgreements[[#All],[MonthEnd]],TA!$A15,Table_MedicalGapAgreements[[#All],[GapType]],"Known gap agreement")-SUMIFS(Table_MedicalGapAgreements[[#All],[FundBenefit]],Table_MedicalGapAgreements[[#All],[Year]],TA!$B15,Table_MedicalGapAgreements[[#All],[MonthEnd]],TA!$A15,Table_MedicalGapAgreements[[#All],[GapType]],"Known gap agreement"))/(SUMIFS(Table_MedicalGapAgreements[[#All],[NumberofServices]],Table_MedicalGapAgreements[[#All],[Year]],TA!$B15,Table_MedicalGapAgreements[[#All],[MonthEnd]],TA!$A15,Table_MedicalGapAgreements[[#All],[GapType]],"Known gap agreement"))</f>
        <v>139.06745231934994</v>
      </c>
      <c r="M26" s="22"/>
      <c r="N26" s="22"/>
      <c r="O26" s="22"/>
      <c r="P26" s="22"/>
      <c r="Q26" s="22"/>
      <c r="R26" s="22"/>
      <c r="S26" s="22"/>
      <c r="T26" s="22"/>
      <c r="U26" s="22"/>
      <c r="V26" s="22"/>
      <c r="W26" s="22"/>
      <c r="X26" s="22"/>
      <c r="Y26" s="22"/>
      <c r="Z26" s="22"/>
      <c r="AA26" s="22"/>
      <c r="AB26" s="22"/>
      <c r="AC26" s="22"/>
      <c r="AD26" s="22"/>
      <c r="AE26" s="22"/>
      <c r="AF26" s="22"/>
      <c r="AG26" s="22"/>
    </row>
    <row r="27" spans="1:33" s="31" customFormat="1" ht="29.1" customHeight="1" thickBot="1">
      <c r="A27" s="231"/>
      <c r="B27" s="169" t="s">
        <v>35</v>
      </c>
      <c r="C27" s="170">
        <f>(SUMIFS(Table_MedicalGapAgreements[[#All],[AmountCharged]],Table_MedicalGapAgreements[[#All],[Year]],TA!$B15,Table_MedicalGapAgreements[[#All],[MonthEnd]],TA!$A15&amp;"*",Table_MedicalGapAgreements[[#All],[State]],TA!C$2,Table_MedicalGapAgreements[[#All],[GapType]],"Known gap agreement*")+SUMIFS(Table_MedicalGapAgreements[[#All],[AmountCharged]],Table_MedicalGapAgreements[[#All],[Year]],TA!$B15,Table_MedicalGapAgreements[[#All],[MonthEnd]],TA!$A15&amp;"*",Table_MedicalGapAgreements[[#All],[State]],TA!C$2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C$2,Table_MedicalGapAgreements[[#All],[GapType]],"Known gap agreement*")-SUMIFS(Table_MedicalGapAgreements[[#All],[MedicareBenefit]],Table_MedicalGapAgreements[[#All],[Year]],TA!$B15,Table_MedicalGapAgreements[[#All],[MonthEnd]],TA!$A15&amp;"*",Table_MedicalGapAgreements[[#All],[State]],TA!C$2,Table_MedicalGapAgreements[[#All],[GapType]],"No agreement*",Table_MedicalGapAgreements[[#All],[MBSFeePercentage]],"&lt;&gt;Up to MBS Fee*")-SUMIFS(Table_MedicalGapAgreements[[#All],[FundBenefit]],Table_MedicalGapAgreements[[#All],[Year]],TA!$B15,Table_MedicalGapAgreements[[#All],[MonthEnd]],TA!$A15&amp;"*",Table_MedicalGapAgreements[[#All],[State]],TA!C$2,Table_MedicalGapAgreements[[#All],[GapType]],"Known gap agreement*")-SUMIFS(Table_MedicalGapAgreements[[#All],[FundBenefit]],Table_MedicalGapAgreements[[#All],[Year]],TA!$B15,Table_MedicalGapAgreements[[#All],[MonthEnd]],TA!$A15&amp;"*",Table_MedicalGapAgreements[[#All],[State]],TA!C$2,Table_MedicalGapAgreements[[#All],[GapType]],"No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C$2,Table_MedicalGapAgreements[[#All],[GapType]],"Known gap agreement*")+SUMIFS(Table_MedicalGapAgreements[[#All],[NumberofServices]],Table_MedicalGapAgreements[[#All],[Year]],TA!$B15,Table_MedicalGapAgreements[[#All],[MonthEnd]],TA!$A15&amp;"*",Table_MedicalGapAgreements[[#All],[State]],TA!C$2,Table_MedicalGapAgreements[[#All],[GapType]],"No agreement*",Table_MedicalGapAgreements[[#All],[MBSFeePercentage]],"&lt;&gt;Up to MBS Fee*"))</f>
        <v>348.41900351757107</v>
      </c>
      <c r="D27" s="170">
        <f>(SUMIFS(Table_MedicalGapAgreements[[#All],[AmountCharged]],Table_MedicalGapAgreements[[#All],[Year]],TA!$B15,Table_MedicalGapAgreements[[#All],[MonthEnd]],TA!$A15&amp;"*",Table_MedicalGapAgreements[[#All],[State]],TA!D$2,Table_MedicalGapAgreements[[#All],[GapType]],"Known gap agreement*")+SUMIFS(Table_MedicalGapAgreements[[#All],[AmountCharged]],Table_MedicalGapAgreements[[#All],[Year]],TA!$B15,Table_MedicalGapAgreements[[#All],[MonthEnd]],TA!$A15&amp;"*",Table_MedicalGapAgreements[[#All],[State]],TA!D$2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D$2,Table_MedicalGapAgreements[[#All],[GapType]],"Known gap agreement*")-SUMIFS(Table_MedicalGapAgreements[[#All],[MedicareBenefit]],Table_MedicalGapAgreements[[#All],[Year]],TA!$B15,Table_MedicalGapAgreements[[#All],[MonthEnd]],TA!$A15&amp;"*",Table_MedicalGapAgreements[[#All],[State]],TA!D$2,Table_MedicalGapAgreements[[#All],[GapType]],"No agreement*",Table_MedicalGapAgreements[[#All],[MBSFeePercentage]],"&lt;&gt;Up to MBS Fee*")-SUMIFS(Table_MedicalGapAgreements[[#All],[FundBenefit]],Table_MedicalGapAgreements[[#All],[Year]],TA!$B15,Table_MedicalGapAgreements[[#All],[MonthEnd]],TA!$A15&amp;"*",Table_MedicalGapAgreements[[#All],[State]],TA!D$2,Table_MedicalGapAgreements[[#All],[GapType]],"Known gap agreement*")-SUMIFS(Table_MedicalGapAgreements[[#All],[FundBenefit]],Table_MedicalGapAgreements[[#All],[Year]],TA!$B15,Table_MedicalGapAgreements[[#All],[MonthEnd]],TA!$A15&amp;"*",Table_MedicalGapAgreements[[#All],[State]],TA!D$2,Table_MedicalGapAgreements[[#All],[GapType]],"No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D$2,Table_MedicalGapAgreements[[#All],[GapType]],"Known gap agreement*")+SUMIFS(Table_MedicalGapAgreements[[#All],[NumberofServices]],Table_MedicalGapAgreements[[#All],[Year]],TA!$B15,Table_MedicalGapAgreements[[#All],[MonthEnd]],TA!$A15&amp;"*",Table_MedicalGapAgreements[[#All],[State]],TA!D$2,Table_MedicalGapAgreements[[#All],[GapType]],"No agreement*",Table_MedicalGapAgreements[[#All],[MBSFeePercentage]],"&lt;&gt;Up to MBS Fee*"))</f>
        <v>226.84738310980137</v>
      </c>
      <c r="E27" s="170">
        <f>(SUMIFS(Table_MedicalGapAgreements[[#All],[AmountCharged]],Table_MedicalGapAgreements[[#All],[Year]],TA!$B15,Table_MedicalGapAgreements[[#All],[MonthEnd]],TA!$A15&amp;"*",Table_MedicalGapAgreements[[#All],[State]],TA!E$2,Table_MedicalGapAgreements[[#All],[GapType]],"Known gap agreement*")+SUMIFS(Table_MedicalGapAgreements[[#All],[AmountCharged]],Table_MedicalGapAgreements[[#All],[Year]],TA!$B15,Table_MedicalGapAgreements[[#All],[MonthEnd]],TA!$A15&amp;"*",Table_MedicalGapAgreements[[#All],[State]],TA!E$2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E$2,Table_MedicalGapAgreements[[#All],[GapType]],"Known gap agreement*")-SUMIFS(Table_MedicalGapAgreements[[#All],[MedicareBenefit]],Table_MedicalGapAgreements[[#All],[Year]],TA!$B15,Table_MedicalGapAgreements[[#All],[MonthEnd]],TA!$A15&amp;"*",Table_MedicalGapAgreements[[#All],[State]],TA!E$2,Table_MedicalGapAgreements[[#All],[GapType]],"No agreement*",Table_MedicalGapAgreements[[#All],[MBSFeePercentage]],"&lt;&gt;Up to MBS Fee*")-SUMIFS(Table_MedicalGapAgreements[[#All],[FundBenefit]],Table_MedicalGapAgreements[[#All],[Year]],TA!$B15,Table_MedicalGapAgreements[[#All],[MonthEnd]],TA!$A15&amp;"*",Table_MedicalGapAgreements[[#All],[State]],TA!E$2,Table_MedicalGapAgreements[[#All],[GapType]],"Known gap agreement*")-SUMIFS(Table_MedicalGapAgreements[[#All],[FundBenefit]],Table_MedicalGapAgreements[[#All],[Year]],TA!$B15,Table_MedicalGapAgreements[[#All],[MonthEnd]],TA!$A15&amp;"*",Table_MedicalGapAgreements[[#All],[State]],TA!E$2,Table_MedicalGapAgreements[[#All],[GapType]],"No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E$2,Table_MedicalGapAgreements[[#All],[GapType]],"Known gap agreement*")+SUMIFS(Table_MedicalGapAgreements[[#All],[NumberofServices]],Table_MedicalGapAgreements[[#All],[Year]],TA!$B15,Table_MedicalGapAgreements[[#All],[MonthEnd]],TA!$A15&amp;"*",Table_MedicalGapAgreements[[#All],[State]],TA!E$2,Table_MedicalGapAgreements[[#All],[GapType]],"No agreement*",Table_MedicalGapAgreements[[#All],[MBSFeePercentage]],"&lt;&gt;Up to MBS Fee*"))</f>
        <v>272.19743109091655</v>
      </c>
      <c r="F27" s="170">
        <f>(SUMIFS(Table_MedicalGapAgreements[[#All],[AmountCharged]],Table_MedicalGapAgreements[[#All],[Year]],TA!$B15,Table_MedicalGapAgreements[[#All],[MonthEnd]],TA!$A15&amp;"*",Table_MedicalGapAgreements[[#All],[State]],TA!F$2,Table_MedicalGapAgreements[[#All],[GapType]],"Known gap agreement*")+SUMIFS(Table_MedicalGapAgreements[[#All],[AmountCharged]],Table_MedicalGapAgreements[[#All],[Year]],TA!$B15,Table_MedicalGapAgreements[[#All],[MonthEnd]],TA!$A15&amp;"*",Table_MedicalGapAgreements[[#All],[State]],TA!F$2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F$2,Table_MedicalGapAgreements[[#All],[GapType]],"Known gap agreement*")-SUMIFS(Table_MedicalGapAgreements[[#All],[MedicareBenefit]],Table_MedicalGapAgreements[[#All],[Year]],TA!$B15,Table_MedicalGapAgreements[[#All],[MonthEnd]],TA!$A15&amp;"*",Table_MedicalGapAgreements[[#All],[State]],TA!F$2,Table_MedicalGapAgreements[[#All],[GapType]],"No agreement*",Table_MedicalGapAgreements[[#All],[MBSFeePercentage]],"&lt;&gt;Up to MBS Fee*")-SUMIFS(Table_MedicalGapAgreements[[#All],[FundBenefit]],Table_MedicalGapAgreements[[#All],[Year]],TA!$B15,Table_MedicalGapAgreements[[#All],[MonthEnd]],TA!$A15&amp;"*",Table_MedicalGapAgreements[[#All],[State]],TA!F$2,Table_MedicalGapAgreements[[#All],[GapType]],"Known gap agreement*")-SUMIFS(Table_MedicalGapAgreements[[#All],[FundBenefit]],Table_MedicalGapAgreements[[#All],[Year]],TA!$B15,Table_MedicalGapAgreements[[#All],[MonthEnd]],TA!$A15&amp;"*",Table_MedicalGapAgreements[[#All],[State]],TA!F$2,Table_MedicalGapAgreements[[#All],[GapType]],"No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F$2,Table_MedicalGapAgreements[[#All],[GapType]],"Known gap agreement*")+SUMIFS(Table_MedicalGapAgreements[[#All],[NumberofServices]],Table_MedicalGapAgreements[[#All],[Year]],TA!$B15,Table_MedicalGapAgreements[[#All],[MonthEnd]],TA!$A15&amp;"*",Table_MedicalGapAgreements[[#All],[State]],TA!F$2,Table_MedicalGapAgreements[[#All],[GapType]],"No agreement*",Table_MedicalGapAgreements[[#All],[MBSFeePercentage]],"&lt;&gt;Up to MBS Fee*"))</f>
        <v>173.92865413252122</v>
      </c>
      <c r="G27" s="170">
        <f>(SUMIFS(Table_MedicalGapAgreements[[#All],[AmountCharged]],Table_MedicalGapAgreements[[#All],[Year]],TA!$B15,Table_MedicalGapAgreements[[#All],[MonthEnd]],TA!$A15&amp;"*",Table_MedicalGapAgreements[[#All],[State]],TA!G$2,Table_MedicalGapAgreements[[#All],[GapType]],"Known gap agreement*")+SUMIFS(Table_MedicalGapAgreements[[#All],[AmountCharged]],Table_MedicalGapAgreements[[#All],[Year]],TA!$B15,Table_MedicalGapAgreements[[#All],[MonthEnd]],TA!$A15&amp;"*",Table_MedicalGapAgreements[[#All],[State]],TA!G$2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G$2,Table_MedicalGapAgreements[[#All],[GapType]],"Known gap agreement*")-SUMIFS(Table_MedicalGapAgreements[[#All],[MedicareBenefit]],Table_MedicalGapAgreements[[#All],[Year]],TA!$B15,Table_MedicalGapAgreements[[#All],[MonthEnd]],TA!$A15&amp;"*",Table_MedicalGapAgreements[[#All],[State]],TA!G$2,Table_MedicalGapAgreements[[#All],[GapType]],"No agreement*",Table_MedicalGapAgreements[[#All],[MBSFeePercentage]],"&lt;&gt;Up to MBS Fee*")-SUMIFS(Table_MedicalGapAgreements[[#All],[FundBenefit]],Table_MedicalGapAgreements[[#All],[Year]],TA!$B15,Table_MedicalGapAgreements[[#All],[MonthEnd]],TA!$A15&amp;"*",Table_MedicalGapAgreements[[#All],[State]],TA!G$2,Table_MedicalGapAgreements[[#All],[GapType]],"Known gap agreement*")-SUMIFS(Table_MedicalGapAgreements[[#All],[FundBenefit]],Table_MedicalGapAgreements[[#All],[Year]],TA!$B15,Table_MedicalGapAgreements[[#All],[MonthEnd]],TA!$A15&amp;"*",Table_MedicalGapAgreements[[#All],[State]],TA!G$2,Table_MedicalGapAgreements[[#All],[GapType]],"No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G$2,Table_MedicalGapAgreements[[#All],[GapType]],"Known gap agreement*")+SUMIFS(Table_MedicalGapAgreements[[#All],[NumberofServices]],Table_MedicalGapAgreements[[#All],[Year]],TA!$B15,Table_MedicalGapAgreements[[#All],[MonthEnd]],TA!$A15&amp;"*",Table_MedicalGapAgreements[[#All],[State]],TA!G$2,Table_MedicalGapAgreements[[#All],[GapType]],"No agreement*",Table_MedicalGapAgreements[[#All],[MBSFeePercentage]],"&lt;&gt;Up to MBS Fee*"))</f>
        <v>255.47923805237181</v>
      </c>
      <c r="H27" s="170">
        <f>(SUMIFS(Table_MedicalGapAgreements[[#All],[AmountCharged]],Table_MedicalGapAgreements[[#All],[Year]],TA!$B15,Table_MedicalGapAgreements[[#All],[MonthEnd]],TA!$A15&amp;"*",Table_MedicalGapAgreements[[#All],[State]],TA!H$2,Table_MedicalGapAgreements[[#All],[GapType]],"Known gap agreement*")+SUMIFS(Table_MedicalGapAgreements[[#All],[AmountCharged]],Table_MedicalGapAgreements[[#All],[Year]],TA!$B15,Table_MedicalGapAgreements[[#All],[MonthEnd]],TA!$A15&amp;"*",Table_MedicalGapAgreements[[#All],[State]],TA!H$2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H$2,Table_MedicalGapAgreements[[#All],[GapType]],"Known gap agreement*")-SUMIFS(Table_MedicalGapAgreements[[#All],[MedicareBenefit]],Table_MedicalGapAgreements[[#All],[Year]],TA!$B15,Table_MedicalGapAgreements[[#All],[MonthEnd]],TA!$A15&amp;"*",Table_MedicalGapAgreements[[#All],[State]],TA!H$2,Table_MedicalGapAgreements[[#All],[GapType]],"No agreement*",Table_MedicalGapAgreements[[#All],[MBSFeePercentage]],"&lt;&gt;Up to MBS Fee*")-SUMIFS(Table_MedicalGapAgreements[[#All],[FundBenefit]],Table_MedicalGapAgreements[[#All],[Year]],TA!$B15,Table_MedicalGapAgreements[[#All],[MonthEnd]],TA!$A15&amp;"*",Table_MedicalGapAgreements[[#All],[State]],TA!H$2,Table_MedicalGapAgreements[[#All],[GapType]],"Known gap agreement*")-SUMIFS(Table_MedicalGapAgreements[[#All],[FundBenefit]],Table_MedicalGapAgreements[[#All],[Year]],TA!$B15,Table_MedicalGapAgreements[[#All],[MonthEnd]],TA!$A15&amp;"*",Table_MedicalGapAgreements[[#All],[State]],TA!H$2,Table_MedicalGapAgreements[[#All],[GapType]],"No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H$2,Table_MedicalGapAgreements[[#All],[GapType]],"Known gap agreement*")+SUMIFS(Table_MedicalGapAgreements[[#All],[NumberofServices]],Table_MedicalGapAgreements[[#All],[Year]],TA!$B15,Table_MedicalGapAgreements[[#All],[MonthEnd]],TA!$A15&amp;"*",Table_MedicalGapAgreements[[#All],[State]],TA!H$2,Table_MedicalGapAgreements[[#All],[GapType]],"No agreement*",Table_MedicalGapAgreements[[#All],[MBSFeePercentage]],"&lt;&gt;Up to MBS Fee*"))</f>
        <v>264.414582307871</v>
      </c>
      <c r="I27" s="170">
        <f>(SUMIFS(Table_MedicalGapAgreements[[#All],[AmountCharged]],Table_MedicalGapAgreements[[#All],[Year]],TA!$B15,Table_MedicalGapAgreements[[#All],[MonthEnd]],TA!$A15&amp;"*",Table_MedicalGapAgreements[[#All],[State]],TA!I$2,Table_MedicalGapAgreements[[#All],[GapType]],"Known gap agreement*")+SUMIFS(Table_MedicalGapAgreements[[#All],[AmountCharged]],Table_MedicalGapAgreements[[#All],[Year]],TA!$B15,Table_MedicalGapAgreements[[#All],[MonthEnd]],TA!$A15&amp;"*",Table_MedicalGapAgreements[[#All],[State]],TA!I$2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I$2,Table_MedicalGapAgreements[[#All],[GapType]],"Known gap agreement*")-SUMIFS(Table_MedicalGapAgreements[[#All],[MedicareBenefit]],Table_MedicalGapAgreements[[#All],[Year]],TA!$B15,Table_MedicalGapAgreements[[#All],[MonthEnd]],TA!$A15&amp;"*",Table_MedicalGapAgreements[[#All],[State]],TA!I$2,Table_MedicalGapAgreements[[#All],[GapType]],"No agreement*",Table_MedicalGapAgreements[[#All],[MBSFeePercentage]],"&lt;&gt;Up to MBS Fee*")-SUMIFS(Table_MedicalGapAgreements[[#All],[FundBenefit]],Table_MedicalGapAgreements[[#All],[Year]],TA!$B15,Table_MedicalGapAgreements[[#All],[MonthEnd]],TA!$A15&amp;"*",Table_MedicalGapAgreements[[#All],[State]],TA!I$2,Table_MedicalGapAgreements[[#All],[GapType]],"Known gap agreement*")-SUMIFS(Table_MedicalGapAgreements[[#All],[FundBenefit]],Table_MedicalGapAgreements[[#All],[Year]],TA!$B15,Table_MedicalGapAgreements[[#All],[MonthEnd]],TA!$A15&amp;"*",Table_MedicalGapAgreements[[#All],[State]],TA!I$2,Table_MedicalGapAgreements[[#All],[GapType]],"No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I$2,Table_MedicalGapAgreements[[#All],[GapType]],"Known gap agreement*")+SUMIFS(Table_MedicalGapAgreements[[#All],[NumberofServices]],Table_MedicalGapAgreements[[#All],[Year]],TA!$B15,Table_MedicalGapAgreements[[#All],[MonthEnd]],TA!$A15&amp;"*",Table_MedicalGapAgreements[[#All],[State]],TA!I$2,Table_MedicalGapAgreements[[#All],[GapType]],"No agreement*",Table_MedicalGapAgreements[[#All],[MBSFeePercentage]],"&lt;&gt;Up to MBS Fee*"))</f>
        <v>415.15506288964252</v>
      </c>
      <c r="J27" s="170">
        <f>(SUMIFS(Table_MedicalGapAgreements[[#All],[AmountCharged]],Table_MedicalGapAgreements[[#All],[Year]],TA!$B15,Table_MedicalGapAgreements[[#All],[MonthEnd]],TA!$A15&amp;"*",Table_MedicalGapAgreements[[#All],[State]],TA!J$2,Table_MedicalGapAgreements[[#All],[GapType]],"Known gap agreement*")+SUMIFS(Table_MedicalGapAgreements[[#All],[AmountCharged]],Table_MedicalGapAgreements[[#All],[Year]],TA!$B15,Table_MedicalGapAgreements[[#All],[MonthEnd]],TA!$A15&amp;"*",Table_MedicalGapAgreements[[#All],[State]],TA!J$2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J$2,Table_MedicalGapAgreements[[#All],[GapType]],"Known gap agreement*")-SUMIFS(Table_MedicalGapAgreements[[#All],[MedicareBenefit]],Table_MedicalGapAgreements[[#All],[Year]],TA!$B15,Table_MedicalGapAgreements[[#All],[MonthEnd]],TA!$A15&amp;"*",Table_MedicalGapAgreements[[#All],[State]],TA!J$2,Table_MedicalGapAgreements[[#All],[GapType]],"No agreement*",Table_MedicalGapAgreements[[#All],[MBSFeePercentage]],"&lt;&gt;Up to MBS Fee*")-SUMIFS(Table_MedicalGapAgreements[[#All],[FundBenefit]],Table_MedicalGapAgreements[[#All],[Year]],TA!$B15,Table_MedicalGapAgreements[[#All],[MonthEnd]],TA!$A15&amp;"*",Table_MedicalGapAgreements[[#All],[State]],TA!J$2,Table_MedicalGapAgreements[[#All],[GapType]],"Known gap agreement*")-SUMIFS(Table_MedicalGapAgreements[[#All],[FundBenefit]],Table_MedicalGapAgreements[[#All],[Year]],TA!$B15,Table_MedicalGapAgreements[[#All],[MonthEnd]],TA!$A15&amp;"*",Table_MedicalGapAgreements[[#All],[State]],TA!J$2,Table_MedicalGapAgreements[[#All],[GapType]],"No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J$2,Table_MedicalGapAgreements[[#All],[GapType]],"Known gap agreement*")+SUMIFS(Table_MedicalGapAgreements[[#All],[NumberofServices]],Table_MedicalGapAgreements[[#All],[Year]],TA!$B15,Table_MedicalGapAgreements[[#All],[MonthEnd]],TA!$A15&amp;"*",Table_MedicalGapAgreements[[#All],[State]],TA!J$2,Table_MedicalGapAgreements[[#All],[GapType]],"No agreement*",Table_MedicalGapAgreements[[#All],[MBSFeePercentage]],"&lt;&gt;Up to MBS Fee*"))</f>
        <v>298.59456341253929</v>
      </c>
      <c r="K27" s="170">
        <f>(SUMIFS(Table_MedicalGapAgreements[[#All],[AmountCharged]],Table_MedicalGapAgreements[[#All],[Year]],TA!$B15,Table_MedicalGapAgreements[[#All],[MonthEnd]],TA!$A15&amp;"*",Table_MedicalGapAgreements[[#All],[GapType]],"Known gap agreement*")+SUMIFS(Table_MedicalGapAgreements[[#All],[AmountCharged]],Table_MedicalGapAgreements[[#All],[Year]],TA!$B15,Table_MedicalGapAgreements[[#All],[MonthEnd]],TA!$A15&amp;"*",Table_MedicalGapAgreements[[#All],[GapType]],"No agreement*",Table_MedicalGapAgreements[[#All],[MBSFeePercentage]],"&lt;&gt;Up to MBS Fee*")-SUMIFS(Table_MedicalGapAgreements[[#All],[MedicareBenefit]],Table_MedicalGapAgreements[[#All],[Year]],TA!$B15,Table_MedicalGapAgreements[[#All],[MonthEnd]],TA!$A15&amp;"*",Table_MedicalGapAgreements[[#All],[GapType]],"Known gap agreement*")-SUMIFS(Table_MedicalGapAgreements[[#All],[MedicareBenefit]],Table_MedicalGapAgreements[[#All],[Year]],TA!$B15,Table_MedicalGapAgreements[[#All],[MonthEnd]],TA!$A15&amp;"*",Table_MedicalGapAgreements[[#All],[GapType]],"No agreement*",Table_MedicalGapAgreements[[#All],[MBSFeePercentage]],"&lt;&gt;Up to MBS Fee*")-SUMIFS(Table_MedicalGapAgreements[[#All],[FundBenefit]],Table_MedicalGapAgreements[[#All],[Year]],TA!$B15,Table_MedicalGapAgreements[[#All],[MonthEnd]],TA!$A15&amp;"*",Table_MedicalGapAgreements[[#All],[GapType]],"Known gap agreement*")-SUMIFS(Table_MedicalGapAgreements[[#All],[FundBenefit]],Table_MedicalGapAgreements[[#All],[Year]],TA!$B15,Table_MedicalGapAgreements[[#All],[MonthEnd]],TA!$A15&amp;"*",Table_MedicalGapAgreements[[#All],[GapType]],"No agreement*",Table_MedicalGapAgreements[[#All],[MBSFeePercentage]],"&lt;&gt;Up to MBS Fee*"))/(SUMIFS(Table_MedicalGapAgreements[[#All],[NumberofServices]],Table_MedicalGapAgreements[[#All],[Year]],TA!$B15,Table_MedicalGapAgreements[[#All],[MonthEnd]],TA!$A15&amp;"*",Table_MedicalGapAgreements[[#All],[GapType]],"Known gap agreement*")+SUMIFS(Table_MedicalGapAgreements[[#All],[NumberofServices]],Table_MedicalGapAgreements[[#All],[Year]],TA!$B15,Table_MedicalGapAgreements[[#All],[MonthEnd]],TA!$A15&amp;"*",Table_MedicalGapAgreements[[#All],[GapType]],"No agreement*",Table_MedicalGapAgreements[[#All],[MBSFeePercentage]],"&lt;&gt;Up to MBS Fee*"))</f>
        <v>276.43922590593326</v>
      </c>
      <c r="M27" s="22"/>
      <c r="N27" s="22"/>
      <c r="O27" s="22"/>
      <c r="P27" s="22"/>
      <c r="Q27" s="22"/>
      <c r="R27" s="22"/>
      <c r="S27" s="22"/>
      <c r="T27" s="22"/>
      <c r="U27" s="22"/>
      <c r="V27" s="22"/>
      <c r="W27" s="22"/>
      <c r="X27" s="22"/>
      <c r="Y27" s="22"/>
      <c r="Z27" s="22"/>
      <c r="AA27" s="22"/>
      <c r="AB27" s="22"/>
      <c r="AC27" s="22"/>
      <c r="AD27" s="22"/>
      <c r="AE27" s="22"/>
      <c r="AF27" s="22"/>
      <c r="AG27" s="22"/>
    </row>
    <row r="28" spans="1:33" ht="18.75" customHeight="1">
      <c r="A28" s="171" t="s">
        <v>36</v>
      </c>
      <c r="B28" s="171"/>
      <c r="C28" s="171"/>
      <c r="D28" s="171"/>
      <c r="E28" s="171"/>
      <c r="F28" s="171"/>
      <c r="G28" s="171"/>
      <c r="H28" s="171"/>
      <c r="I28" s="171"/>
      <c r="J28" s="171"/>
      <c r="K28" s="172"/>
    </row>
    <row r="29" spans="1:33" ht="18.75" customHeight="1">
      <c r="A29" s="171" t="s">
        <v>37</v>
      </c>
      <c r="B29" s="171"/>
      <c r="C29" s="171"/>
      <c r="D29" s="171"/>
      <c r="E29" s="171"/>
      <c r="F29" s="171"/>
      <c r="G29" s="171"/>
      <c r="H29" s="171"/>
      <c r="I29" s="171"/>
      <c r="J29" s="171"/>
      <c r="K29" s="172"/>
    </row>
    <row r="30" spans="1:33" ht="18.75" customHeight="1">
      <c r="A30" s="171"/>
      <c r="B30" s="171"/>
      <c r="C30" s="171"/>
      <c r="D30" s="171"/>
      <c r="E30" s="171"/>
      <c r="F30" s="171"/>
      <c r="G30" s="171"/>
      <c r="H30" s="171"/>
      <c r="I30" s="171"/>
      <c r="J30" s="171"/>
      <c r="K30" s="172"/>
    </row>
    <row r="31" spans="1:33" ht="18.75" customHeight="1">
      <c r="A31" s="22"/>
      <c r="B31" s="22"/>
      <c r="C31" s="22"/>
      <c r="D31" s="22"/>
      <c r="E31" s="22"/>
      <c r="F31" s="22"/>
      <c r="G31" s="22"/>
      <c r="H31" s="22"/>
      <c r="I31" s="22"/>
      <c r="J31" s="22"/>
      <c r="K31" s="23"/>
    </row>
    <row r="32" spans="1:33" ht="18.75" customHeight="1">
      <c r="A32" s="22"/>
      <c r="B32" s="22"/>
      <c r="C32" s="22"/>
      <c r="D32" s="22"/>
      <c r="E32" s="22"/>
      <c r="F32" s="22"/>
      <c r="G32" s="22"/>
      <c r="H32" s="22"/>
      <c r="I32" s="22"/>
      <c r="J32" s="22"/>
      <c r="K32" s="23"/>
    </row>
    <row r="33" spans="1:11" ht="18.75" customHeight="1">
      <c r="A33" s="22"/>
      <c r="B33" s="22"/>
      <c r="C33" s="22"/>
      <c r="D33" s="22"/>
      <c r="E33" s="22"/>
      <c r="F33" s="22"/>
      <c r="G33" s="22"/>
      <c r="H33" s="22"/>
      <c r="I33" s="22"/>
      <c r="J33" s="22"/>
      <c r="K33" s="23"/>
    </row>
    <row r="34" spans="1:11" ht="18.75" customHeight="1">
      <c r="A34" s="22"/>
      <c r="B34" s="22"/>
      <c r="C34" s="22"/>
      <c r="D34" s="22"/>
      <c r="E34" s="22"/>
      <c r="F34" s="22"/>
      <c r="G34" s="22"/>
      <c r="H34" s="22"/>
      <c r="I34" s="22"/>
      <c r="J34" s="22"/>
      <c r="K34" s="23"/>
    </row>
    <row r="35" spans="1:11" ht="18.75" customHeight="1">
      <c r="A35" s="22"/>
      <c r="B35" s="22"/>
      <c r="C35" s="22"/>
      <c r="D35" s="22"/>
      <c r="E35" s="22"/>
      <c r="F35" s="22"/>
      <c r="G35" s="22"/>
      <c r="H35" s="22"/>
      <c r="I35" s="22"/>
      <c r="J35" s="22"/>
      <c r="K35" s="23"/>
    </row>
    <row r="36" spans="1:11" ht="18.75" customHeight="1">
      <c r="A36" s="22"/>
      <c r="B36" s="22"/>
      <c r="C36" s="22"/>
      <c r="D36" s="22"/>
      <c r="E36" s="22"/>
      <c r="F36" s="22"/>
      <c r="G36" s="22"/>
      <c r="H36" s="22"/>
      <c r="I36" s="22"/>
      <c r="J36" s="22"/>
      <c r="K36" s="23"/>
    </row>
    <row r="37" spans="1:11" ht="18.75" customHeight="1">
      <c r="A37" s="22"/>
      <c r="B37" s="22"/>
      <c r="C37" s="22"/>
      <c r="D37" s="22"/>
      <c r="E37" s="22"/>
      <c r="F37" s="22"/>
      <c r="G37" s="22"/>
      <c r="H37" s="22"/>
      <c r="I37" s="22"/>
      <c r="J37" s="22"/>
      <c r="K37" s="23"/>
    </row>
    <row r="38" spans="1:11" ht="18.75" customHeight="1">
      <c r="A38" s="22"/>
      <c r="B38" s="22"/>
      <c r="C38" s="22"/>
      <c r="D38" s="22"/>
      <c r="E38" s="22"/>
      <c r="F38" s="22"/>
      <c r="G38" s="22"/>
      <c r="H38" s="22"/>
      <c r="I38" s="22"/>
      <c r="J38" s="22"/>
      <c r="K38" s="23"/>
    </row>
    <row r="39" spans="1:11">
      <c r="A39" s="22"/>
      <c r="B39" s="22"/>
      <c r="C39" s="22"/>
      <c r="D39" s="22"/>
      <c r="E39" s="22"/>
      <c r="F39" s="22"/>
      <c r="G39" s="22"/>
      <c r="H39" s="22"/>
      <c r="I39" s="22"/>
      <c r="J39" s="22"/>
      <c r="K39" s="23"/>
    </row>
  </sheetData>
  <mergeCells count="6">
    <mergeCell ref="A23:A27"/>
    <mergeCell ref="A1:J1"/>
    <mergeCell ref="A3:A7"/>
    <mergeCell ref="A8:A12"/>
    <mergeCell ref="A13:A17"/>
    <mergeCell ref="A18:A2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965DB-DB7C-4DCD-915D-8C4F6B8E275C}">
  <sheetPr>
    <pageSetUpPr fitToPage="1"/>
  </sheetPr>
  <dimension ref="A1:AF64"/>
  <sheetViews>
    <sheetView showGridLines="0" zoomScaleNormal="100" zoomScaleSheetLayoutView="100" workbookViewId="0">
      <selection activeCell="G68" sqref="G68"/>
    </sheetView>
  </sheetViews>
  <sheetFormatPr defaultColWidth="9.625" defaultRowHeight="12" customHeight="1"/>
  <cols>
    <col min="1" max="1" width="13.8125" style="37" customWidth="1"/>
    <col min="2" max="2" width="1.0625" style="37" hidden="1" customWidth="1"/>
    <col min="3" max="6" width="14.5625" style="59" customWidth="1"/>
    <col min="7" max="7" width="13.8125" style="57" customWidth="1"/>
    <col min="8" max="8" width="14.5625" style="58" customWidth="1"/>
    <col min="9" max="10" width="14.5625" style="37" customWidth="1"/>
    <col min="11" max="11" width="14.5625" style="60" customWidth="1"/>
    <col min="12" max="16384" width="9.625" style="37"/>
  </cols>
  <sheetData>
    <row r="1" spans="1:32" ht="27" customHeight="1">
      <c r="A1" s="232" t="s">
        <v>38</v>
      </c>
      <c r="B1" s="232"/>
      <c r="C1" s="232"/>
      <c r="D1" s="232"/>
      <c r="E1" s="232"/>
      <c r="F1" s="232"/>
      <c r="G1" s="232"/>
      <c r="H1" s="232"/>
      <c r="I1" s="232"/>
      <c r="J1" s="232"/>
      <c r="K1" s="232"/>
    </row>
    <row r="2" spans="1:32" ht="15" customHeight="1">
      <c r="A2" s="233" t="str">
        <f>TEXT(Selection!G13&amp;" "&amp;Selection!G12,"mmmm yyyy")</f>
        <v xml:space="preserve"> </v>
      </c>
      <c r="B2" s="233"/>
      <c r="C2" s="233"/>
      <c r="D2" s="233"/>
      <c r="E2" s="233"/>
      <c r="F2" s="233"/>
      <c r="G2" s="233"/>
      <c r="H2" s="233"/>
      <c r="I2" s="233"/>
      <c r="J2" s="233"/>
      <c r="K2" s="233"/>
    </row>
    <row r="3" spans="1:32" ht="16.5" customHeight="1">
      <c r="A3" s="174" t="s">
        <v>39</v>
      </c>
      <c r="B3" s="171"/>
      <c r="C3" s="175"/>
      <c r="D3" s="175"/>
      <c r="E3" s="175"/>
      <c r="F3" s="175"/>
      <c r="G3" s="176"/>
      <c r="H3" s="177"/>
      <c r="I3" s="177"/>
      <c r="J3" s="172" t="str">
        <f>Selection!E15&amp;" "&amp;Selection!E14</f>
        <v>Dec 2024</v>
      </c>
    </row>
    <row r="4" spans="1:32" ht="17.100000000000001" customHeight="1">
      <c r="A4" s="179" t="s">
        <v>40</v>
      </c>
      <c r="B4" s="171"/>
      <c r="C4" s="175"/>
      <c r="D4" s="175"/>
      <c r="E4" s="175"/>
      <c r="F4" s="175"/>
      <c r="G4" s="176"/>
      <c r="H4" s="177"/>
      <c r="I4" s="177"/>
      <c r="J4" s="171"/>
      <c r="K4" s="178"/>
      <c r="L4" s="44"/>
    </row>
    <row r="5" spans="1:32" s="23" customFormat="1" ht="25.05" customHeight="1">
      <c r="A5" s="199"/>
      <c r="B5" s="197"/>
      <c r="C5" s="200" t="s">
        <v>41</v>
      </c>
      <c r="D5" s="200" t="s">
        <v>42</v>
      </c>
      <c r="E5" s="200" t="s">
        <v>43</v>
      </c>
      <c r="F5" s="200" t="s">
        <v>44</v>
      </c>
      <c r="G5" s="200" t="s">
        <v>45</v>
      </c>
      <c r="H5" s="200" t="s">
        <v>46</v>
      </c>
      <c r="I5" s="200" t="s">
        <v>47</v>
      </c>
      <c r="J5" s="200" t="s">
        <v>48</v>
      </c>
      <c r="K5" s="200" t="s">
        <v>49</v>
      </c>
      <c r="L5" s="198"/>
      <c r="M5" s="198"/>
      <c r="N5" s="198"/>
      <c r="O5" s="198"/>
      <c r="P5" s="198"/>
      <c r="Q5" s="198"/>
      <c r="R5" s="198"/>
      <c r="S5" s="198"/>
      <c r="T5" s="198"/>
      <c r="U5" s="198"/>
      <c r="V5" s="198"/>
      <c r="W5" s="198"/>
      <c r="X5" s="198"/>
      <c r="Y5" s="198"/>
      <c r="Z5" s="198"/>
      <c r="AA5" s="198"/>
      <c r="AB5" s="198"/>
      <c r="AC5" s="198"/>
      <c r="AD5" s="198"/>
      <c r="AE5" s="198"/>
      <c r="AF5" s="198"/>
    </row>
    <row r="6" spans="1:32" ht="14.1" customHeight="1">
      <c r="A6" s="180" t="s">
        <v>50</v>
      </c>
      <c r="B6" s="180">
        <v>0</v>
      </c>
      <c r="C6" s="205">
        <f>'T2'!C6+'T3'!C6+'T4'!C6+'T5'!C6+'T6'!C6+'T7'!C6+'T8'!C6+'T9'!C6</f>
        <v>149750673.08000001</v>
      </c>
      <c r="D6" s="205">
        <f>'T2'!D6+'T3'!D6+'T4'!D6+'T5'!D6+'T6'!D6+'T7'!D6+'T8'!D6+'T9'!D6</f>
        <v>112378180.41999999</v>
      </c>
      <c r="E6" s="205">
        <f>'T2'!E6+'T3'!E6+'T4'!E6+'T5'!E6+'T6'!E6+'T7'!E6+'T8'!E6+'T9'!E6</f>
        <v>37210544.349999994</v>
      </c>
      <c r="F6" s="205">
        <f>C6-D6-E6</f>
        <v>161948.31000003219</v>
      </c>
      <c r="G6" s="182">
        <f>'T2'!G6+'T3'!G6+'T4'!G6+'T5'!G6+'T6'!G6+'T7'!G6+'T8'!G6+'T9'!G6</f>
        <v>2549504</v>
      </c>
      <c r="H6" s="183">
        <f t="shared" ref="H6:H11" si="0">G6/$G$27</f>
        <v>0.24127189980290403</v>
      </c>
      <c r="I6" s="183">
        <f t="shared" ref="I6:I11" si="1">C6/(D6/0.75)</f>
        <v>0.99942003323281803</v>
      </c>
      <c r="J6" s="207">
        <f t="shared" ref="J6:J11" si="2">C6/G6</f>
        <v>58.737179106210469</v>
      </c>
      <c r="K6" s="207">
        <f t="shared" ref="K6:K11" si="3">F6/G6</f>
        <v>6.3521496730357035E-2</v>
      </c>
    </row>
    <row r="7" spans="1:32" ht="14.1" customHeight="1">
      <c r="A7" s="180" t="s">
        <v>51</v>
      </c>
      <c r="B7" s="180">
        <v>1</v>
      </c>
      <c r="C7" s="205">
        <f>'T2'!C7+'T3'!C7+'T4'!C7+'T5'!C7+'T6'!C7+'T7'!C7+'T8'!C7+'T9'!C7</f>
        <v>235231003.13999999</v>
      </c>
      <c r="D7" s="205">
        <f>'T2'!D7+'T3'!D7+'T4'!D7+'T5'!D7+'T6'!D7+'T7'!D7+'T8'!D7+'T9'!D7</f>
        <v>149930492.60999998</v>
      </c>
      <c r="E7" s="205">
        <f>'T2'!E7+'T3'!E7+'T4'!E7+'T5'!E7+'T6'!E7+'T7'!E7+'T8'!E7+'T9'!E7</f>
        <v>85298140.889999971</v>
      </c>
      <c r="F7" s="205">
        <f>C7-D7-E7</f>
        <v>2369.6400000303984</v>
      </c>
      <c r="G7" s="182">
        <f>'T2'!G7+'T3'!G7+'T4'!G7+'T5'!G7+'T6'!G7+'T7'!G7+'T8'!G7+'T9'!G7</f>
        <v>1696184</v>
      </c>
      <c r="H7" s="183">
        <f t="shared" si="0"/>
        <v>0.16051809924412316</v>
      </c>
      <c r="I7" s="183">
        <f t="shared" si="1"/>
        <v>1.1767002781343026</v>
      </c>
      <c r="J7" s="207">
        <f t="shared" si="2"/>
        <v>138.68247969559906</v>
      </c>
      <c r="K7" s="207">
        <f t="shared" si="3"/>
        <v>1.3970418303853817E-3</v>
      </c>
    </row>
    <row r="8" spans="1:32" ht="14.1" customHeight="1">
      <c r="A8" s="180" t="s">
        <v>52</v>
      </c>
      <c r="B8" s="180">
        <v>2</v>
      </c>
      <c r="C8" s="205">
        <f>'T2'!C8+'T3'!C8+'T4'!C8+'T5'!C8+'T6'!C8+'T7'!C8+'T8'!C8+'T9'!C8</f>
        <v>483597623.16999996</v>
      </c>
      <c r="D8" s="205">
        <f>'T2'!D8+'T3'!D8+'T4'!D8+'T5'!D8+'T6'!D8+'T7'!D8+'T8'!D8+'T9'!D8</f>
        <v>265381179.75999999</v>
      </c>
      <c r="E8" s="205">
        <f>'T2'!E8+'T3'!E8+'T4'!E8+'T5'!E8+'T6'!E8+'T7'!E8+'T8'!E8+'T9'!E8</f>
        <v>218216008.56999996</v>
      </c>
      <c r="F8" s="205">
        <f>C8-D8-E8</f>
        <v>434.84000000357628</v>
      </c>
      <c r="G8" s="182">
        <f>'T2'!G8+'T3'!G8+'T4'!G8+'T5'!G8+'T6'!G8+'T7'!G8+'T8'!G8+'T9'!G8</f>
        <v>2755556</v>
      </c>
      <c r="H8" s="183">
        <f t="shared" si="0"/>
        <v>0.26077159758654661</v>
      </c>
      <c r="I8" s="183">
        <f t="shared" si="1"/>
        <v>1.3667066281998956</v>
      </c>
      <c r="J8" s="207">
        <f t="shared" si="2"/>
        <v>175.49910913441786</v>
      </c>
      <c r="K8" s="207">
        <f t="shared" si="3"/>
        <v>1.5780481325858604E-4</v>
      </c>
    </row>
    <row r="9" spans="1:32" ht="14.1" customHeight="1">
      <c r="A9" s="180" t="s">
        <v>53</v>
      </c>
      <c r="B9" s="180">
        <v>3</v>
      </c>
      <c r="C9" s="205">
        <f>'T2'!C9+'T3'!C9+'T4'!C9+'T5'!C9+'T6'!C9+'T7'!C9+'T8'!C9+'T9'!C9</f>
        <v>394945145.86000001</v>
      </c>
      <c r="D9" s="205">
        <f>'T2'!D9+'T3'!D9+'T4'!D9+'T5'!D9+'T6'!D9+'T7'!D9+'T8'!D9+'T9'!D9</f>
        <v>182542836.98000002</v>
      </c>
      <c r="E9" s="205">
        <f>'T2'!E9+'T3'!E9+'T4'!E9+'T5'!E9+'T6'!E9+'T7'!E9+'T8'!E9+'T9'!E9</f>
        <v>212401396.49000001</v>
      </c>
      <c r="F9" s="205">
        <f>C9-D9-E9</f>
        <v>912.38999998569489</v>
      </c>
      <c r="G9" s="182">
        <f>'T2'!G9+'T3'!G9+'T4'!G9+'T5'!G9+'T6'!G9+'T7'!G9+'T8'!G9+'T9'!G9</f>
        <v>2214580</v>
      </c>
      <c r="H9" s="183">
        <f t="shared" si="0"/>
        <v>0.20957642108642119</v>
      </c>
      <c r="I9" s="183">
        <f t="shared" si="1"/>
        <v>1.622681362333892</v>
      </c>
      <c r="J9" s="207">
        <f t="shared" si="2"/>
        <v>178.33862215860344</v>
      </c>
      <c r="K9" s="207">
        <f t="shared" si="3"/>
        <v>4.1199234165651945E-4</v>
      </c>
    </row>
    <row r="10" spans="1:32" ht="14.1" customHeight="1">
      <c r="A10" s="180" t="s">
        <v>54</v>
      </c>
      <c r="B10" s="180">
        <v>4</v>
      </c>
      <c r="C10" s="205">
        <f>'T2'!C10+'T3'!C10+'T4'!C10+'T5'!C10+'T6'!C10+'T7'!C10+'T8'!C10+'T9'!C10</f>
        <v>17536289.020000003</v>
      </c>
      <c r="D10" s="205">
        <f>'T2'!D10+'T3'!D10+'T4'!D10+'T5'!D10+'T6'!D10+'T7'!D10+'T8'!D10+'T9'!D10</f>
        <v>5003711.7299999995</v>
      </c>
      <c r="E10" s="205">
        <f>'T2'!E10+'T3'!E10+'T4'!E10+'T5'!E10+'T6'!E10+'T7'!E10+'T8'!E10+'T9'!E10</f>
        <v>12532577.069999998</v>
      </c>
      <c r="F10" s="205">
        <f>C10-D10-E10</f>
        <v>0.22000000439584255</v>
      </c>
      <c r="G10" s="182">
        <f>'T2'!G10+'T3'!G10+'T4'!G10+'T5'!G10+'T6'!G10+'T7'!G10+'T8'!G10+'T9'!G10</f>
        <v>17098</v>
      </c>
      <c r="H10" s="183">
        <f t="shared" si="0"/>
        <v>1.6180664720785113E-3</v>
      </c>
      <c r="I10" s="183">
        <f t="shared" si="1"/>
        <v>2.6284921024017511</v>
      </c>
      <c r="J10" s="207">
        <f t="shared" si="2"/>
        <v>1025.6339349631537</v>
      </c>
      <c r="K10" s="207">
        <f t="shared" si="3"/>
        <v>1.2867002245633557E-5</v>
      </c>
    </row>
    <row r="11" spans="1:32" s="46" customFormat="1" ht="14.1" customHeight="1">
      <c r="A11" s="201" t="s">
        <v>55</v>
      </c>
      <c r="B11" s="185"/>
      <c r="C11" s="202">
        <f>SUM(C6:C10)</f>
        <v>1281060734.27</v>
      </c>
      <c r="D11" s="202">
        <f>SUM(D6:D10)</f>
        <v>715236401.5</v>
      </c>
      <c r="E11" s="202">
        <f>SUM(E6:E10)</f>
        <v>565658667.37</v>
      </c>
      <c r="F11" s="202">
        <f>SUM(F6:F10)</f>
        <v>165665.40000005625</v>
      </c>
      <c r="G11" s="206">
        <f>SUM(G6:G10)</f>
        <v>9232922</v>
      </c>
      <c r="H11" s="203">
        <f t="shared" si="0"/>
        <v>0.87375608419207351</v>
      </c>
      <c r="I11" s="203">
        <f t="shared" si="1"/>
        <v>1.3433258551823022</v>
      </c>
      <c r="J11" s="204">
        <f t="shared" si="2"/>
        <v>138.74922091511223</v>
      </c>
      <c r="K11" s="204">
        <f t="shared" si="3"/>
        <v>1.7942900416580608E-2</v>
      </c>
    </row>
    <row r="12" spans="1:32" ht="17.100000000000001" customHeight="1">
      <c r="A12" s="186" t="s">
        <v>56</v>
      </c>
      <c r="B12" s="187"/>
      <c r="C12" s="187"/>
      <c r="D12" s="187"/>
      <c r="E12" s="187"/>
      <c r="F12" s="187"/>
      <c r="G12" s="188"/>
      <c r="H12" s="189"/>
      <c r="I12" s="187"/>
      <c r="J12" s="187"/>
      <c r="K12" s="187"/>
    </row>
    <row r="13" spans="1:32" ht="25.15" customHeight="1">
      <c r="A13" s="180"/>
      <c r="B13" s="180"/>
      <c r="C13" s="200" t="s">
        <v>41</v>
      </c>
      <c r="D13" s="200" t="s">
        <v>42</v>
      </c>
      <c r="E13" s="200" t="s">
        <v>43</v>
      </c>
      <c r="F13" s="200" t="s">
        <v>44</v>
      </c>
      <c r="G13" s="200" t="s">
        <v>45</v>
      </c>
      <c r="H13" s="200" t="s">
        <v>46</v>
      </c>
      <c r="I13" s="200" t="s">
        <v>47</v>
      </c>
      <c r="J13" s="200" t="s">
        <v>48</v>
      </c>
      <c r="K13" s="200" t="s">
        <v>49</v>
      </c>
      <c r="L13" s="44"/>
    </row>
    <row r="14" spans="1:32" ht="14.1" customHeight="1">
      <c r="A14" s="180" t="s">
        <v>50</v>
      </c>
      <c r="B14" s="180"/>
      <c r="C14" s="181"/>
      <c r="D14" s="181"/>
      <c r="E14" s="181"/>
      <c r="F14" s="181"/>
      <c r="G14" s="182"/>
      <c r="H14" s="183"/>
      <c r="I14" s="183"/>
      <c r="J14" s="184"/>
      <c r="K14" s="184"/>
    </row>
    <row r="15" spans="1:32" ht="14.1" customHeight="1">
      <c r="A15" s="180" t="s">
        <v>51</v>
      </c>
      <c r="B15" s="180">
        <v>5</v>
      </c>
      <c r="C15" s="205">
        <f>'T2'!C15+'T3'!C15+'T4'!C15+'T5'!C15+'T6'!C15+'T7'!C15+'T8'!C15+'T9'!C15</f>
        <v>16128355.35</v>
      </c>
      <c r="D15" s="205">
        <f>'T2'!D15+'T3'!D15+'T4'!D15+'T5'!D15+'T6'!D15+'T7'!D15+'T8'!D15+'T9'!D15</f>
        <v>10412480.42</v>
      </c>
      <c r="E15" s="205">
        <f>'T2'!E15+'T3'!E15+'T4'!E15+'T5'!E15+'T6'!E15+'T7'!E15+'T8'!E15+'T9'!E15</f>
        <v>4210933.0799999991</v>
      </c>
      <c r="F15" s="205">
        <f>C15-D15-E15</f>
        <v>1504941.8500000006</v>
      </c>
      <c r="G15" s="182">
        <f>'T2'!G15+'T3'!G15+'T4'!G15+'T5'!G15+'T6'!G15+'T7'!G15+'T8'!G15+'T9'!G15</f>
        <v>53818</v>
      </c>
      <c r="H15" s="183">
        <f>G15/$G$27</f>
        <v>5.0930577491122547E-3</v>
      </c>
      <c r="I15" s="183">
        <f>C15/(D15/0.75)</f>
        <v>1.1617084522210319</v>
      </c>
      <c r="J15" s="207">
        <f>C15/G15</f>
        <v>299.68329090638821</v>
      </c>
      <c r="K15" s="207">
        <f>F15/G15</f>
        <v>27.9635410085845</v>
      </c>
    </row>
    <row r="16" spans="1:32" ht="14.1" customHeight="1">
      <c r="A16" s="180" t="s">
        <v>52</v>
      </c>
      <c r="B16" s="180">
        <v>6</v>
      </c>
      <c r="C16" s="205">
        <f>'T2'!C16+'T3'!C16+'T4'!C16+'T5'!C16+'T6'!C16+'T7'!C16+'T8'!C16+'T9'!C16</f>
        <v>35590112.829999991</v>
      </c>
      <c r="D16" s="205">
        <f>'T2'!D16+'T3'!D16+'T4'!D16+'T5'!D16+'T6'!D16+'T7'!D16+'T8'!D16+'T9'!D16</f>
        <v>19126810.419999998</v>
      </c>
      <c r="E16" s="205">
        <f>'T2'!E16+'T3'!E16+'T4'!E16+'T5'!E16+'T6'!E16+'T7'!E16+'T8'!E16+'T9'!E16</f>
        <v>11998784.090000002</v>
      </c>
      <c r="F16" s="205">
        <f>C16-D16-E16</f>
        <v>4464518.319999991</v>
      </c>
      <c r="G16" s="182">
        <f>'T2'!G16+'T3'!G16+'T4'!G16+'T5'!G16+'T6'!G16+'T7'!G16+'T8'!G16+'T9'!G16</f>
        <v>115281</v>
      </c>
      <c r="H16" s="183">
        <f>G16/$G$27</f>
        <v>1.0909598840079708E-2</v>
      </c>
      <c r="I16" s="183">
        <f>C16/(D16/0.75)</f>
        <v>1.3955585921732576</v>
      </c>
      <c r="J16" s="207">
        <f>C16/G16</f>
        <v>308.72487946842921</v>
      </c>
      <c r="K16" s="207">
        <f>F16/G16</f>
        <v>38.727269194403164</v>
      </c>
    </row>
    <row r="17" spans="1:12" ht="14.1" customHeight="1">
      <c r="A17" s="180" t="s">
        <v>53</v>
      </c>
      <c r="B17" s="180">
        <v>7</v>
      </c>
      <c r="C17" s="205">
        <f>'T2'!C17+'T3'!C17+'T4'!C17+'T5'!C17+'T6'!C17+'T7'!C17+'T8'!C17+'T9'!C17</f>
        <v>140177112.71000001</v>
      </c>
      <c r="D17" s="205">
        <f>'T2'!D17+'T3'!D17+'T4'!D17+'T5'!D17+'T6'!D17+'T7'!D17+'T8'!D17+'T9'!D17</f>
        <v>59881969.990000002</v>
      </c>
      <c r="E17" s="205">
        <f>'T2'!E17+'T3'!E17+'T4'!E17+'T5'!E17+'T6'!E17+'T7'!E17+'T8'!E17+'T9'!E17</f>
        <v>51494026.479999989</v>
      </c>
      <c r="F17" s="205">
        <f>C17-D17-E17</f>
        <v>28801116.24000001</v>
      </c>
      <c r="G17" s="182">
        <f>'T2'!G17+'T3'!G17+'T4'!G17+'T5'!G17+'T6'!G17+'T7'!G17+'T8'!G17+'T9'!G17</f>
        <v>228385</v>
      </c>
      <c r="H17" s="183">
        <f>G17/$G$27</f>
        <v>2.1613177636311313E-2</v>
      </c>
      <c r="I17" s="183">
        <f>C17/(D17/0.75)</f>
        <v>1.7556675999479756</v>
      </c>
      <c r="J17" s="207">
        <f>C17/G17</f>
        <v>613.77547873109006</v>
      </c>
      <c r="K17" s="207">
        <f>F17/G17</f>
        <v>126.10774017558074</v>
      </c>
    </row>
    <row r="18" spans="1:12" ht="14.1" customHeight="1">
      <c r="A18" s="180" t="s">
        <v>54</v>
      </c>
      <c r="B18" s="180">
        <v>8</v>
      </c>
      <c r="C18" s="205">
        <f>'T2'!C18+'T3'!C18+'T4'!C18+'T5'!C18+'T6'!C18+'T7'!C18+'T8'!C18+'T9'!C18</f>
        <v>548151253.21999991</v>
      </c>
      <c r="D18" s="205">
        <f>'T2'!D18+'T3'!D18+'T4'!D18+'T5'!D18+'T6'!D18+'T7'!D18+'T8'!D18+'T9'!D18</f>
        <v>126154730.34</v>
      </c>
      <c r="E18" s="205">
        <f>'T2'!E18+'T3'!E18+'T4'!E18+'T5'!E18+'T6'!E18+'T7'!E18+'T8'!E18+'T9'!E18</f>
        <v>87994131.099999994</v>
      </c>
      <c r="F18" s="205">
        <f>C18-D18-E18</f>
        <v>334002391.77999985</v>
      </c>
      <c r="G18" s="182">
        <f>'T2'!G18+'T3'!G18+'T4'!G18+'T5'!G18+'T6'!G18+'T7'!G18+'T8'!G18+'T9'!G18</f>
        <v>936527</v>
      </c>
      <c r="H18" s="183">
        <f>G18/$G$27</f>
        <v>8.8628081582423204E-2</v>
      </c>
      <c r="I18" s="183">
        <f>C18/(D18/0.75)</f>
        <v>3.2588032078306286</v>
      </c>
      <c r="J18" s="207">
        <f>C18/G18</f>
        <v>585.30213567788212</v>
      </c>
      <c r="K18" s="207">
        <f>F18/G18</f>
        <v>356.63936200451224</v>
      </c>
    </row>
    <row r="19" spans="1:12" s="46" customFormat="1" ht="14.1" customHeight="1">
      <c r="A19" s="201" t="s">
        <v>55</v>
      </c>
      <c r="B19" s="185"/>
      <c r="C19" s="202">
        <f>SUM(C13:C18)</f>
        <v>740046834.1099999</v>
      </c>
      <c r="D19" s="202">
        <f>SUM(D13:D18)</f>
        <v>215575991.17000002</v>
      </c>
      <c r="E19" s="202">
        <f>SUM(E13:E18)</f>
        <v>155697874.75</v>
      </c>
      <c r="F19" s="202">
        <f>SUM(F13:F18)</f>
        <v>368772968.18999988</v>
      </c>
      <c r="G19" s="206">
        <f>SUM(G13:G18)</f>
        <v>1334011</v>
      </c>
      <c r="H19" s="203">
        <f>G19/$G$27</f>
        <v>0.12624391580792649</v>
      </c>
      <c r="I19" s="203">
        <f>C19/(D19/0.75)</f>
        <v>2.5746611325785693</v>
      </c>
      <c r="J19" s="204">
        <f>C19/G19</f>
        <v>554.75317228268727</v>
      </c>
      <c r="K19" s="204">
        <f>F19/G19</f>
        <v>276.4392259059332</v>
      </c>
    </row>
    <row r="20" spans="1:12" ht="17.100000000000001" customHeight="1">
      <c r="A20" s="186" t="s">
        <v>57</v>
      </c>
      <c r="B20" s="187"/>
      <c r="C20" s="190"/>
      <c r="D20" s="190"/>
      <c r="E20" s="190"/>
      <c r="F20" s="190"/>
      <c r="G20" s="188"/>
      <c r="H20" s="189"/>
      <c r="I20" s="189"/>
      <c r="J20" s="191"/>
      <c r="K20" s="191"/>
    </row>
    <row r="21" spans="1:12" ht="25.15" customHeight="1">
      <c r="A21" s="180"/>
      <c r="B21" s="180"/>
      <c r="C21" s="200" t="s">
        <v>41</v>
      </c>
      <c r="D21" s="200" t="s">
        <v>42</v>
      </c>
      <c r="E21" s="200" t="s">
        <v>43</v>
      </c>
      <c r="F21" s="200" t="s">
        <v>44</v>
      </c>
      <c r="G21" s="200" t="s">
        <v>45</v>
      </c>
      <c r="H21" s="200" t="s">
        <v>46</v>
      </c>
      <c r="I21" s="200" t="s">
        <v>47</v>
      </c>
      <c r="J21" s="200" t="s">
        <v>48</v>
      </c>
      <c r="K21" s="200" t="s">
        <v>49</v>
      </c>
    </row>
    <row r="22" spans="1:12" ht="14.1" customHeight="1">
      <c r="A22" s="180" t="s">
        <v>50</v>
      </c>
      <c r="B22" s="180">
        <v>10</v>
      </c>
      <c r="C22" s="205">
        <f>'T2'!C22+'T3'!C22+'T4'!C22+'T5'!C22+'T6'!C22+'T7'!C22+'T8'!C22+'T9'!C22</f>
        <v>149750673.08000001</v>
      </c>
      <c r="D22" s="205">
        <f>'T2'!D22+'T3'!D22+'T4'!D22+'T5'!D22+'T6'!D22+'T7'!D22+'T8'!D22+'T9'!D22</f>
        <v>112378180.41999999</v>
      </c>
      <c r="E22" s="205">
        <f>'T2'!E22+'T3'!E22+'T4'!E22+'T5'!E22+'T6'!E22+'T7'!E22+'T8'!E22+'T9'!E22</f>
        <v>37210544.349999994</v>
      </c>
      <c r="F22" s="205">
        <f>C22-D22-E22</f>
        <v>161948.31000003219</v>
      </c>
      <c r="G22" s="182">
        <f>'T2'!G22+'T3'!G22+'T4'!G22+'T5'!G22+'T6'!G22+'T7'!G22+'T8'!G22+'T9'!G22</f>
        <v>2549504</v>
      </c>
      <c r="H22" s="183">
        <f t="shared" ref="H22:H27" si="4">G22/$G$27</f>
        <v>0.24127189980290403</v>
      </c>
      <c r="I22" s="183">
        <f t="shared" ref="I22:I27" si="5">C22/(D22/0.75)</f>
        <v>0.99942003323281803</v>
      </c>
      <c r="J22" s="207">
        <f t="shared" ref="J22:J27" si="6">C22/G22</f>
        <v>58.737179106210469</v>
      </c>
      <c r="K22" s="207">
        <f t="shared" ref="K22:K27" si="7">F22/G22</f>
        <v>6.3521496730357035E-2</v>
      </c>
      <c r="L22" s="44"/>
    </row>
    <row r="23" spans="1:12" ht="14.1" customHeight="1">
      <c r="A23" s="180" t="s">
        <v>51</v>
      </c>
      <c r="B23" s="180">
        <v>11</v>
      </c>
      <c r="C23" s="205">
        <f>'T2'!C23+'T3'!C23+'T4'!C23+'T5'!C23+'T6'!C23+'T7'!C23+'T8'!C23+'T9'!C23</f>
        <v>251359358.49000001</v>
      </c>
      <c r="D23" s="205">
        <f>'T2'!D23+'T3'!D23+'T4'!D23+'T5'!D23+'T6'!D23+'T7'!D23+'T8'!D23+'T9'!D23</f>
        <v>160342973.03</v>
      </c>
      <c r="E23" s="205">
        <f>'T2'!E23+'T3'!E23+'T4'!E23+'T5'!E23+'T6'!E23+'T7'!E23+'T8'!E23+'T9'!E23</f>
        <v>89509073.969999999</v>
      </c>
      <c r="F23" s="205">
        <f>C23-D23-E23</f>
        <v>1507311.4900000095</v>
      </c>
      <c r="G23" s="182">
        <f>'T2'!G23+'T3'!G23+'T4'!G23+'T5'!G23+'T6'!G23+'T7'!G23+'T8'!G23+'T9'!G23</f>
        <v>1750002</v>
      </c>
      <c r="H23" s="183">
        <f t="shared" si="4"/>
        <v>0.16561115699323542</v>
      </c>
      <c r="I23" s="183">
        <f t="shared" si="5"/>
        <v>1.1757267269344456</v>
      </c>
      <c r="J23" s="207">
        <f t="shared" si="6"/>
        <v>143.63375498428002</v>
      </c>
      <c r="K23" s="207">
        <f t="shared" si="7"/>
        <v>0.86131986706301455</v>
      </c>
    </row>
    <row r="24" spans="1:12" ht="14.1" customHeight="1">
      <c r="A24" s="180" t="s">
        <v>52</v>
      </c>
      <c r="B24" s="180">
        <v>12</v>
      </c>
      <c r="C24" s="205">
        <f>'T2'!C24+'T3'!C24+'T4'!C24+'T5'!C24+'T6'!C24+'T7'!C24+'T8'!C24+'T9'!C24</f>
        <v>519187736</v>
      </c>
      <c r="D24" s="205">
        <f>'T2'!D24+'T3'!D24+'T4'!D24+'T5'!D24+'T6'!D24+'T7'!D24+'T8'!D24+'T9'!D24</f>
        <v>284507990.17999995</v>
      </c>
      <c r="E24" s="205">
        <f>'T2'!E24+'T3'!E24+'T4'!E24+'T5'!E24+'T6'!E24+'T7'!E24+'T8'!E24+'T9'!E24</f>
        <v>230214792.66</v>
      </c>
      <c r="F24" s="205">
        <f>C24-D24-E24</f>
        <v>4464953.160000056</v>
      </c>
      <c r="G24" s="182">
        <f>'T2'!G24+'T3'!G24+'T4'!G24+'T5'!G24+'T6'!G24+'T7'!G24+'T8'!G24+'T9'!G24</f>
        <v>2870837</v>
      </c>
      <c r="H24" s="183">
        <f t="shared" si="4"/>
        <v>0.27168119642662636</v>
      </c>
      <c r="I24" s="183">
        <f t="shared" si="5"/>
        <v>1.3686462786287434</v>
      </c>
      <c r="J24" s="207">
        <f t="shared" si="6"/>
        <v>180.84890782722948</v>
      </c>
      <c r="K24" s="207">
        <f t="shared" si="7"/>
        <v>1.5552792304126135</v>
      </c>
    </row>
    <row r="25" spans="1:12" ht="14.1" customHeight="1">
      <c r="A25" s="180" t="s">
        <v>53</v>
      </c>
      <c r="B25" s="180">
        <v>13</v>
      </c>
      <c r="C25" s="205">
        <f>'T2'!C25+'T3'!C25+'T4'!C25+'T5'!C25+'T6'!C25+'T7'!C25+'T8'!C25+'T9'!C25</f>
        <v>535122258.57000011</v>
      </c>
      <c r="D25" s="205">
        <f>'T2'!D25+'T3'!D25+'T4'!D25+'T5'!D25+'T6'!D25+'T7'!D25+'T8'!D25+'T9'!D25</f>
        <v>242424806.97</v>
      </c>
      <c r="E25" s="205">
        <f>'T2'!E25+'T3'!E25+'T4'!E25+'T5'!E25+'T6'!E25+'T7'!E25+'T8'!E25+'T9'!E25</f>
        <v>263895422.96999997</v>
      </c>
      <c r="F25" s="205">
        <f>C25-D25-E25</f>
        <v>28802028.630000174</v>
      </c>
      <c r="G25" s="182">
        <f>'T2'!G25+'T3'!G25+'T4'!G25+'T5'!G25+'T6'!G25+'T7'!G25+'T8'!G25+'T9'!G25</f>
        <v>2442965</v>
      </c>
      <c r="H25" s="183">
        <f t="shared" si="4"/>
        <v>0.23118959872273251</v>
      </c>
      <c r="I25" s="183">
        <f t="shared" si="5"/>
        <v>1.655530632131909</v>
      </c>
      <c r="J25" s="207">
        <f t="shared" si="6"/>
        <v>219.04622398192365</v>
      </c>
      <c r="K25" s="207">
        <f t="shared" si="7"/>
        <v>11.789783574467982</v>
      </c>
    </row>
    <row r="26" spans="1:12" ht="14.1" customHeight="1">
      <c r="A26" s="180" t="s">
        <v>54</v>
      </c>
      <c r="B26" s="180">
        <v>14</v>
      </c>
      <c r="C26" s="205">
        <f>'T2'!C26+'T3'!C26+'T4'!C26+'T5'!C26+'T6'!C26+'T7'!C26+'T8'!C26+'T9'!C26</f>
        <v>565687542.24000001</v>
      </c>
      <c r="D26" s="205">
        <f>'T2'!D26+'T3'!D26+'T4'!D26+'T5'!D26+'T6'!D26+'T7'!D26+'T8'!D26+'T9'!D26</f>
        <v>131158442.07000001</v>
      </c>
      <c r="E26" s="205">
        <f>'T2'!E26+'T3'!E26+'T4'!E26+'T5'!E26+'T6'!E26+'T7'!E26+'T8'!E26+'T9'!E26</f>
        <v>100526708.17</v>
      </c>
      <c r="F26" s="205">
        <f>C26-D26-E26</f>
        <v>334002392</v>
      </c>
      <c r="G26" s="182">
        <f>'T2'!G26+'T3'!G26+'T4'!G26+'T5'!G26+'T6'!G26+'T7'!G26+'T8'!G26+'T9'!G26</f>
        <v>953625</v>
      </c>
      <c r="H26" s="183">
        <f t="shared" si="4"/>
        <v>9.0246148054501721E-2</v>
      </c>
      <c r="I26" s="183">
        <f t="shared" si="5"/>
        <v>3.234756756668145</v>
      </c>
      <c r="J26" s="207">
        <f t="shared" si="6"/>
        <v>593.19705569799453</v>
      </c>
      <c r="K26" s="207">
        <f t="shared" si="7"/>
        <v>350.24500406344214</v>
      </c>
    </row>
    <row r="27" spans="1:12" s="46" customFormat="1" ht="14.1" customHeight="1">
      <c r="A27" s="201" t="s">
        <v>55</v>
      </c>
      <c r="B27" s="185"/>
      <c r="C27" s="202">
        <f>SUM(C22:C26)</f>
        <v>2021107568.3800001</v>
      </c>
      <c r="D27" s="202">
        <f>SUM(D22:D26)</f>
        <v>930812392.66999996</v>
      </c>
      <c r="E27" s="202">
        <f>SUM(E22:E26)</f>
        <v>721356542.12</v>
      </c>
      <c r="F27" s="202">
        <f>SUM(F22:F26)</f>
        <v>368938633.59000027</v>
      </c>
      <c r="G27" s="206">
        <f>SUM(G22:G26)</f>
        <v>10566933</v>
      </c>
      <c r="H27" s="203">
        <f t="shared" si="4"/>
        <v>1</v>
      </c>
      <c r="I27" s="203">
        <f t="shared" si="5"/>
        <v>1.62850289512895</v>
      </c>
      <c r="J27" s="204">
        <f t="shared" si="6"/>
        <v>191.26718872732516</v>
      </c>
      <c r="K27" s="204">
        <f t="shared" si="7"/>
        <v>34.914448079684071</v>
      </c>
    </row>
    <row r="28" spans="1:12" s="46" customFormat="1" ht="15" customHeight="1" thickBot="1">
      <c r="A28" s="192"/>
      <c r="B28" s="192"/>
      <c r="C28" s="193"/>
      <c r="D28" s="193"/>
      <c r="E28" s="193"/>
      <c r="F28" s="193"/>
      <c r="G28" s="194"/>
      <c r="H28" s="195"/>
      <c r="I28" s="195"/>
      <c r="J28" s="196"/>
      <c r="K28" s="196"/>
    </row>
    <row r="29" spans="1:12" ht="17.100000000000001" customHeight="1">
      <c r="A29" s="186" t="s">
        <v>58</v>
      </c>
      <c r="B29" s="187"/>
      <c r="C29" s="190"/>
      <c r="D29" s="190"/>
      <c r="E29" s="190"/>
      <c r="F29" s="190"/>
      <c r="G29" s="188"/>
      <c r="H29" s="189"/>
      <c r="I29" s="189"/>
      <c r="J29" s="191"/>
      <c r="K29" s="191"/>
    </row>
    <row r="30" spans="1:12" ht="25.15" customHeight="1">
      <c r="A30" s="180"/>
      <c r="B30" s="180"/>
      <c r="C30" s="200" t="s">
        <v>41</v>
      </c>
      <c r="D30" s="200" t="s">
        <v>42</v>
      </c>
      <c r="E30" s="200" t="s">
        <v>43</v>
      </c>
      <c r="F30" s="200" t="s">
        <v>44</v>
      </c>
      <c r="G30" s="200" t="s">
        <v>45</v>
      </c>
      <c r="H30" s="200" t="s">
        <v>46</v>
      </c>
      <c r="I30" s="200" t="s">
        <v>47</v>
      </c>
      <c r="J30" s="200" t="s">
        <v>48</v>
      </c>
      <c r="K30" s="200" t="s">
        <v>49</v>
      </c>
    </row>
    <row r="31" spans="1:12" ht="14.1" customHeight="1">
      <c r="A31" s="180" t="s">
        <v>50</v>
      </c>
      <c r="B31" s="180"/>
      <c r="C31" s="181"/>
      <c r="D31" s="181"/>
      <c r="E31" s="181"/>
      <c r="F31" s="181"/>
      <c r="G31" s="182"/>
      <c r="H31" s="183"/>
      <c r="I31" s="183"/>
      <c r="J31" s="184"/>
      <c r="K31" s="184"/>
    </row>
    <row r="32" spans="1:12" ht="14.1" customHeight="1">
      <c r="A32" s="180" t="s">
        <v>51</v>
      </c>
      <c r="B32" s="180">
        <v>15</v>
      </c>
      <c r="C32" s="205">
        <f>'T2'!C32+'T3'!C32+'T4'!C32+'T5'!C32+'T6'!C32+'T7'!C32+'T8'!C32+'T9'!C32</f>
        <v>9225912.3800000008</v>
      </c>
      <c r="D32" s="205">
        <f>'T2'!D32+'T3'!D32+'T4'!D32+'T5'!D32+'T6'!D32+'T7'!D32+'T8'!D32+'T9'!D32</f>
        <v>5786695.3499999987</v>
      </c>
      <c r="E32" s="205">
        <f>'T2'!E32+'T3'!E32+'T4'!E32+'T5'!E32+'T6'!E32+'T7'!E32+'T8'!E32+'T9'!E32</f>
        <v>2639040.25</v>
      </c>
      <c r="F32" s="205">
        <f>C32-D32-E32</f>
        <v>800176.78000000212</v>
      </c>
      <c r="G32" s="182">
        <f>'T2'!G32+'T3'!G32+'T4'!G32+'T5'!G32+'T6'!G32+'T7'!G32+'T8'!G32+'T9'!G32</f>
        <v>38373</v>
      </c>
      <c r="H32" s="183">
        <f>G32/$G$27</f>
        <v>3.631422665403481E-3</v>
      </c>
      <c r="I32" s="183">
        <f>C32/(D32/0.75)</f>
        <v>1.1957488456688847</v>
      </c>
      <c r="J32" s="207">
        <f>C32/G32</f>
        <v>240.42718526046963</v>
      </c>
      <c r="K32" s="207">
        <f>F32/G32</f>
        <v>20.852598962812451</v>
      </c>
      <c r="L32" s="44"/>
    </row>
    <row r="33" spans="1:12" ht="14.1" customHeight="1">
      <c r="A33" s="180" t="s">
        <v>52</v>
      </c>
      <c r="B33" s="180">
        <v>16</v>
      </c>
      <c r="C33" s="205">
        <f>'T2'!C33+'T3'!C33+'T4'!C33+'T5'!C33+'T6'!C33+'T7'!C33+'T8'!C33+'T9'!C33</f>
        <v>27570126.610000003</v>
      </c>
      <c r="D33" s="205">
        <f>'T2'!D33+'T3'!D33+'T4'!D33+'T5'!D33+'T6'!D33+'T7'!D33+'T8'!D33+'T9'!D33</f>
        <v>14773878.82</v>
      </c>
      <c r="E33" s="205">
        <f>'T2'!E33+'T3'!E33+'T4'!E33+'T5'!E33+'T6'!E33+'T7'!E33+'T8'!E33+'T9'!E33</f>
        <v>10549996.85</v>
      </c>
      <c r="F33" s="205">
        <f>C33-D33-E33</f>
        <v>2246250.9400000032</v>
      </c>
      <c r="G33" s="182">
        <f>'T2'!G33+'T3'!G33+'T4'!G33+'T5'!G33+'T6'!G33+'T7'!G33+'T8'!G33+'T9'!G33</f>
        <v>97084</v>
      </c>
      <c r="H33" s="183">
        <f>G33/$G$27</f>
        <v>9.1875286802708036E-3</v>
      </c>
      <c r="I33" s="183">
        <f>C33/(D33/0.75)</f>
        <v>1.3996050197398331</v>
      </c>
      <c r="J33" s="207">
        <f>C33/G33</f>
        <v>283.98218666309589</v>
      </c>
      <c r="K33" s="207">
        <f>F33/G33</f>
        <v>23.13718985620703</v>
      </c>
    </row>
    <row r="34" spans="1:12" ht="14.1" customHeight="1">
      <c r="A34" s="180" t="s">
        <v>53</v>
      </c>
      <c r="B34" s="180">
        <v>17</v>
      </c>
      <c r="C34" s="205">
        <f>'T2'!C34+'T3'!C34+'T4'!C34+'T5'!C34+'T6'!C34+'T7'!C34+'T8'!C34+'T9'!C34</f>
        <v>118108308.48000002</v>
      </c>
      <c r="D34" s="205">
        <f>'T2'!D34+'T3'!D34+'T4'!D34+'T5'!D34+'T6'!D34+'T7'!D34+'T8'!D34+'T9'!D34</f>
        <v>50374157.950000003</v>
      </c>
      <c r="E34" s="205">
        <f>'T2'!E34+'T3'!E34+'T4'!E34+'T5'!E34+'T6'!E34+'T7'!E34+'T8'!E34+'T9'!E34</f>
        <v>48216078.640000001</v>
      </c>
      <c r="F34" s="205">
        <f>C34-D34-E34</f>
        <v>19518071.890000015</v>
      </c>
      <c r="G34" s="182">
        <f>'T2'!G34+'T3'!G34+'T4'!G34+'T5'!G34+'T6'!G34+'T7'!G34+'T8'!G34+'T9'!G34</f>
        <v>167913</v>
      </c>
      <c r="H34" s="183">
        <f>G34/$G$27</f>
        <v>1.5890419670494739E-2</v>
      </c>
      <c r="I34" s="183">
        <f>C34/(D34/0.75)</f>
        <v>1.7584657484086046</v>
      </c>
      <c r="J34" s="207">
        <f>C34/G34</f>
        <v>703.38990119883522</v>
      </c>
      <c r="K34" s="207">
        <f>F34/G34</f>
        <v>116.23919464246374</v>
      </c>
    </row>
    <row r="35" spans="1:12" ht="14.1" customHeight="1">
      <c r="A35" s="180" t="s">
        <v>54</v>
      </c>
      <c r="B35" s="180">
        <v>18</v>
      </c>
      <c r="C35" s="205">
        <f>'T2'!C35+'T3'!C35+'T4'!C35+'T5'!C35+'T6'!C35+'T7'!C35+'T8'!C35+'T9'!C35</f>
        <v>252020217.04000002</v>
      </c>
      <c r="D35" s="205">
        <f>'T2'!D35+'T3'!D35+'T4'!D35+'T5'!D35+'T6'!D35+'T7'!D35+'T8'!D35+'T9'!D35</f>
        <v>63561705.770000003</v>
      </c>
      <c r="E35" s="205">
        <f>'T2'!E35+'T3'!E35+'T4'!E35+'T5'!E35+'T6'!E35+'T7'!E35+'T8'!E35+'T9'!E35</f>
        <v>66918952.639999993</v>
      </c>
      <c r="F35" s="205">
        <f>C35-D35-E35</f>
        <v>121539558.63000003</v>
      </c>
      <c r="G35" s="182">
        <f>'T2'!G35+'T3'!G35+'T4'!G35+'T5'!G35+'T6'!G35+'T7'!G35+'T8'!G35+'T9'!G35</f>
        <v>732847</v>
      </c>
      <c r="H35" s="183">
        <f>G35/$G$27</f>
        <v>6.9352857636175033E-2</v>
      </c>
      <c r="I35" s="183">
        <f>C35/(D35/0.75)</f>
        <v>2.973727034072327</v>
      </c>
      <c r="J35" s="207">
        <f>C35/G35</f>
        <v>343.89199524593812</v>
      </c>
      <c r="K35" s="207">
        <f>F35/G35</f>
        <v>165.84574765264784</v>
      </c>
    </row>
    <row r="36" spans="1:12" s="46" customFormat="1" ht="14.1" customHeight="1">
      <c r="A36" s="201" t="s">
        <v>55</v>
      </c>
      <c r="B36" s="185"/>
      <c r="C36" s="202">
        <f>SUM(C31:C35)</f>
        <v>406924564.51000005</v>
      </c>
      <c r="D36" s="202">
        <f>SUM(D31:D35)</f>
        <v>134496437.89000002</v>
      </c>
      <c r="E36" s="202">
        <f>SUM(E31:E35)</f>
        <v>128324068.38</v>
      </c>
      <c r="F36" s="202">
        <f>SUM(F31:F35)</f>
        <v>144104058.24000004</v>
      </c>
      <c r="G36" s="206">
        <f>SUM(G31:G35)</f>
        <v>1036217</v>
      </c>
      <c r="H36" s="203">
        <f>G36/$G$27</f>
        <v>9.8062228652344069E-2</v>
      </c>
      <c r="I36" s="203">
        <f>C36/(D36/0.75)</f>
        <v>2.2691561811630074</v>
      </c>
      <c r="J36" s="204">
        <f>C36/G36</f>
        <v>392.70207351355947</v>
      </c>
      <c r="K36" s="204">
        <f>F36/G36</f>
        <v>139.06745231935014</v>
      </c>
    </row>
    <row r="37" spans="1:12" ht="17.100000000000001" customHeight="1">
      <c r="A37" s="186" t="s">
        <v>59</v>
      </c>
      <c r="B37" s="187"/>
      <c r="C37" s="190"/>
      <c r="D37" s="190"/>
      <c r="E37" s="190"/>
      <c r="F37" s="190"/>
      <c r="G37" s="188"/>
      <c r="H37" s="189"/>
      <c r="I37" s="189"/>
      <c r="J37" s="191"/>
      <c r="K37" s="191"/>
    </row>
    <row r="38" spans="1:12" ht="25.15" customHeight="1">
      <c r="A38" s="180"/>
      <c r="B38" s="180"/>
      <c r="C38" s="200" t="s">
        <v>41</v>
      </c>
      <c r="D38" s="200" t="s">
        <v>42</v>
      </c>
      <c r="E38" s="200" t="s">
        <v>43</v>
      </c>
      <c r="F38" s="200" t="s">
        <v>44</v>
      </c>
      <c r="G38" s="200" t="s">
        <v>45</v>
      </c>
      <c r="H38" s="200" t="s">
        <v>46</v>
      </c>
      <c r="I38" s="200" t="s">
        <v>47</v>
      </c>
      <c r="J38" s="200" t="s">
        <v>48</v>
      </c>
      <c r="K38" s="200" t="s">
        <v>49</v>
      </c>
    </row>
    <row r="39" spans="1:12" ht="14.1" customHeight="1">
      <c r="A39" s="180" t="s">
        <v>50</v>
      </c>
      <c r="B39" s="180">
        <v>10</v>
      </c>
      <c r="C39" s="205">
        <f>'T2'!C39+'T3'!C39+'T4'!C39+'T5'!C39+'T6'!C39+'T7'!C39+'T8'!C39+'T9'!C39</f>
        <v>149750673.08000001</v>
      </c>
      <c r="D39" s="205">
        <f>'T2'!D39+'T3'!D39+'T4'!D39+'T5'!D39+'T6'!D39+'T7'!D39+'T8'!D39+'T9'!D39</f>
        <v>112378180.41999999</v>
      </c>
      <c r="E39" s="205">
        <f>'T2'!E39+'T3'!E39+'T4'!E39+'T5'!E39+'T6'!E39+'T7'!E39+'T8'!E39+'T9'!E39</f>
        <v>37210544.349999994</v>
      </c>
      <c r="F39" s="205">
        <f>C39-D39-E39</f>
        <v>161948.31000003219</v>
      </c>
      <c r="G39" s="182">
        <f>'T2'!G39+'T3'!G39+'T4'!G39+'T5'!G39+'T6'!G39+'T7'!G39+'T8'!G39+'T9'!G39</f>
        <v>2549504</v>
      </c>
      <c r="H39" s="183">
        <f t="shared" ref="H39:H44" si="8">G39/$G$27</f>
        <v>0.24127189980290403</v>
      </c>
      <c r="I39" s="183">
        <f t="shared" ref="I39:I44" si="9">C39/(D39/0.75)</f>
        <v>0.99942003323281803</v>
      </c>
      <c r="J39" s="207">
        <f t="shared" ref="J39:J43" si="10">C39/G39</f>
        <v>58.737179106210469</v>
      </c>
      <c r="K39" s="207">
        <f t="shared" ref="K39:K43" si="11">F39/G39</f>
        <v>6.3521496730357035E-2</v>
      </c>
    </row>
    <row r="40" spans="1:12" ht="14.1" customHeight="1">
      <c r="A40" s="180" t="s">
        <v>51</v>
      </c>
      <c r="B40" s="180">
        <v>11</v>
      </c>
      <c r="C40" s="205">
        <f>'T2'!C40+'T3'!C40+'T4'!C40+'T5'!C40+'T6'!C40+'T7'!C40+'T8'!C40+'T9'!C40</f>
        <v>244456915.52000001</v>
      </c>
      <c r="D40" s="205">
        <f>'T2'!D40+'T3'!D40+'T4'!D40+'T5'!D40+'T6'!D40+'T7'!D40+'T8'!D40+'T9'!D40</f>
        <v>155717187.95999998</v>
      </c>
      <c r="E40" s="205">
        <f>'T2'!E40+'T3'!E40+'T4'!E40+'T5'!E40+'T6'!E40+'T7'!E40+'T8'!E40+'T9'!E40</f>
        <v>87937181.140000015</v>
      </c>
      <c r="F40" s="205">
        <f>C40-D40-E40</f>
        <v>802546.42000001669</v>
      </c>
      <c r="G40" s="182">
        <f>'T2'!G40+'T3'!G40+'T4'!G40+'T5'!G40+'T6'!G40+'T7'!G40+'T8'!G40+'T9'!G40</f>
        <v>1734557</v>
      </c>
      <c r="H40" s="183">
        <f t="shared" si="8"/>
        <v>0.16414952190952664</v>
      </c>
      <c r="I40" s="183">
        <f t="shared" si="9"/>
        <v>1.1774081528308638</v>
      </c>
      <c r="J40" s="207">
        <f t="shared" si="10"/>
        <v>140.9333423577317</v>
      </c>
      <c r="K40" s="207">
        <f t="shared" si="11"/>
        <v>0.46268091506939046</v>
      </c>
    </row>
    <row r="41" spans="1:12" ht="14.1" customHeight="1">
      <c r="A41" s="180" t="s">
        <v>52</v>
      </c>
      <c r="B41" s="180">
        <v>12</v>
      </c>
      <c r="C41" s="205">
        <f>'T2'!C41+'T3'!C41+'T4'!C41+'T5'!C41+'T6'!C41+'T7'!C41+'T8'!C41+'T9'!C41</f>
        <v>511167749.78000003</v>
      </c>
      <c r="D41" s="205">
        <f>'T2'!D41+'T3'!D41+'T4'!D41+'T5'!D41+'T6'!D41+'T7'!D41+'T8'!D41+'T9'!D41</f>
        <v>280155058.57999998</v>
      </c>
      <c r="E41" s="205">
        <f>'T2'!E41+'T3'!E41+'T4'!E41+'T5'!E41+'T6'!E41+'T7'!E41+'T8'!E41+'T9'!E41</f>
        <v>228766005.42000002</v>
      </c>
      <c r="F41" s="205">
        <f>C41-D41-E41</f>
        <v>2246685.780000031</v>
      </c>
      <c r="G41" s="182">
        <f>'T2'!G41+'T3'!G41+'T4'!G41+'T5'!G41+'T6'!G41+'T7'!G41+'T8'!G41+'T9'!G41</f>
        <v>2852640</v>
      </c>
      <c r="H41" s="183">
        <f t="shared" si="8"/>
        <v>0.26995912626681745</v>
      </c>
      <c r="I41" s="183">
        <f t="shared" si="9"/>
        <v>1.3684415133468837</v>
      </c>
      <c r="J41" s="207">
        <f t="shared" si="10"/>
        <v>179.19111762437603</v>
      </c>
      <c r="K41" s="207">
        <f t="shared" si="11"/>
        <v>0.78758125105166832</v>
      </c>
      <c r="L41" s="44"/>
    </row>
    <row r="42" spans="1:12" ht="14.1" customHeight="1">
      <c r="A42" s="180" t="s">
        <v>53</v>
      </c>
      <c r="B42" s="180">
        <v>13</v>
      </c>
      <c r="C42" s="205">
        <f>'T2'!C42+'T3'!C42+'T4'!C42+'T5'!C42+'T6'!C42+'T7'!C42+'T8'!C42+'T9'!C42</f>
        <v>513053454.34000009</v>
      </c>
      <c r="D42" s="205">
        <f>'T2'!D42+'T3'!D42+'T4'!D42+'T5'!D42+'T6'!D42+'T7'!D42+'T8'!D42+'T9'!D42</f>
        <v>232916994.92999998</v>
      </c>
      <c r="E42" s="205">
        <f>'T2'!E42+'T3'!E42+'T4'!E42+'T5'!E42+'T6'!E42+'T7'!E42+'T8'!E42+'T9'!E42</f>
        <v>260617475.13</v>
      </c>
      <c r="F42" s="205">
        <f>C42-D42-E42</f>
        <v>19518984.280000091</v>
      </c>
      <c r="G42" s="182">
        <f>'T2'!G42+'T3'!G42+'T4'!G42+'T5'!G42+'T6'!G42+'T7'!G42+'T8'!G42+'T9'!G42</f>
        <v>2382493</v>
      </c>
      <c r="H42" s="183">
        <f t="shared" si="8"/>
        <v>0.22546684075691595</v>
      </c>
      <c r="I42" s="183">
        <f t="shared" si="9"/>
        <v>1.6520481507613625</v>
      </c>
      <c r="J42" s="207">
        <f t="shared" si="10"/>
        <v>215.34311090945496</v>
      </c>
      <c r="K42" s="207">
        <f t="shared" si="11"/>
        <v>8.1926722470958318</v>
      </c>
    </row>
    <row r="43" spans="1:12" ht="14.1" customHeight="1">
      <c r="A43" s="180" t="s">
        <v>54</v>
      </c>
      <c r="B43" s="180">
        <v>14</v>
      </c>
      <c r="C43" s="205">
        <f>'T2'!C43+'T3'!C43+'T4'!C43+'T5'!C43+'T6'!C43+'T7'!C43+'T8'!C43+'T9'!C43</f>
        <v>269556506.06</v>
      </c>
      <c r="D43" s="205">
        <f>'T2'!D43+'T3'!D43+'T4'!D43+'T5'!D43+'T6'!D43+'T7'!D43+'T8'!D43+'T9'!D43</f>
        <v>68565417.5</v>
      </c>
      <c r="E43" s="205">
        <f>'T2'!E43+'T3'!E43+'T4'!E43+'T5'!E43+'T6'!E43+'T7'!E43+'T8'!E43+'T9'!E43</f>
        <v>79451529.710000008</v>
      </c>
      <c r="F43" s="205">
        <f>C43-D43-E43</f>
        <v>121539558.84999999</v>
      </c>
      <c r="G43" s="182">
        <f>'T2'!G43+'T3'!G43+'T4'!G43+'T5'!G43+'T6'!G43+'T7'!G43+'T8'!G43+'T9'!G43</f>
        <v>749945</v>
      </c>
      <c r="H43" s="183">
        <f t="shared" si="8"/>
        <v>7.097092410825355E-2</v>
      </c>
      <c r="I43" s="183">
        <f t="shared" si="9"/>
        <v>2.9485327577127345</v>
      </c>
      <c r="J43" s="207">
        <f t="shared" si="10"/>
        <v>359.43503331577648</v>
      </c>
      <c r="K43" s="207">
        <f t="shared" si="11"/>
        <v>162.06462987285732</v>
      </c>
    </row>
    <row r="44" spans="1:12" s="46" customFormat="1" ht="14.1" customHeight="1">
      <c r="A44" s="201" t="s">
        <v>55</v>
      </c>
      <c r="B44" s="185"/>
      <c r="C44" s="202">
        <f>SUM(C39:C43)</f>
        <v>1687985298.7800002</v>
      </c>
      <c r="D44" s="202">
        <f>SUM(D39:D43)</f>
        <v>849732839.38999987</v>
      </c>
      <c r="E44" s="202">
        <f>SUM(E39:E43)</f>
        <v>693982735.75</v>
      </c>
      <c r="F44" s="202">
        <f>SUM(F39:F43)</f>
        <v>144269723.64000016</v>
      </c>
      <c r="G44" s="206">
        <f>SUM(G39:G43)</f>
        <v>10269139</v>
      </c>
      <c r="H44" s="203">
        <f t="shared" si="8"/>
        <v>0.97181831284441755</v>
      </c>
      <c r="I44" s="203">
        <f t="shared" si="9"/>
        <v>1.4898670680938013</v>
      </c>
      <c r="J44" s="204">
        <f>C44/G44</f>
        <v>164.37456916105626</v>
      </c>
      <c r="K44" s="204">
        <f>F44/G44</f>
        <v>14.048862678750396</v>
      </c>
    </row>
    <row r="45" spans="1:12" ht="17.100000000000001" customHeight="1">
      <c r="A45" s="186" t="s">
        <v>60</v>
      </c>
      <c r="B45" s="187"/>
      <c r="C45" s="190"/>
      <c r="D45" s="190"/>
      <c r="E45" s="190"/>
      <c r="F45" s="190"/>
      <c r="G45" s="188"/>
      <c r="H45" s="189"/>
      <c r="I45" s="189"/>
      <c r="J45" s="191"/>
      <c r="K45" s="191"/>
    </row>
    <row r="46" spans="1:12" ht="25.15" customHeight="1">
      <c r="A46" s="180"/>
      <c r="B46" s="180"/>
      <c r="C46" s="200" t="s">
        <v>41</v>
      </c>
      <c r="D46" s="200" t="s">
        <v>42</v>
      </c>
      <c r="E46" s="200" t="s">
        <v>43</v>
      </c>
      <c r="F46" s="200" t="s">
        <v>44</v>
      </c>
      <c r="G46" s="200" t="s">
        <v>45</v>
      </c>
      <c r="H46" s="200" t="s">
        <v>46</v>
      </c>
      <c r="I46" s="200" t="s">
        <v>47</v>
      </c>
      <c r="J46" s="200" t="s">
        <v>48</v>
      </c>
      <c r="K46" s="200" t="s">
        <v>49</v>
      </c>
    </row>
    <row r="47" spans="1:12" ht="14.1" customHeight="1">
      <c r="A47" s="180" t="s">
        <v>50</v>
      </c>
      <c r="B47" s="180"/>
      <c r="C47" s="205">
        <f>'T2'!C47+'T3'!C47+'T4'!C47+'T5'!C47+'T6'!C47+'T7'!C47+'T8'!C47+'T9'!C47</f>
        <v>99969675.819999993</v>
      </c>
      <c r="D47" s="205">
        <f>'T2'!D47+'T3'!D47+'T4'!D47+'T5'!D47+'T6'!D47+'T7'!D47+'T8'!D47+'T9'!D47</f>
        <v>75264694.719999984</v>
      </c>
      <c r="E47" s="205">
        <f>'T2'!E47+'T3'!E47+'T4'!E47+'T5'!E47+'T6'!E47+'T7'!E47+'T8'!E47+'T9'!E47</f>
        <v>24704997.050000004</v>
      </c>
      <c r="F47" s="205">
        <f>C47-D47-E47</f>
        <v>-15.949999995529652</v>
      </c>
      <c r="G47" s="182">
        <f>'T2'!G47+'T3'!G47+'T4'!G47+'T5'!G47+'T6'!G47+'T7'!G47+'T8'!G47+'T9'!G47</f>
        <v>2108790</v>
      </c>
      <c r="H47" s="183">
        <f t="shared" ref="H47:H52" si="12">G47/$G$27</f>
        <v>0.19956500150043538</v>
      </c>
      <c r="I47" s="183">
        <f t="shared" ref="I47:I52" si="13">C47/(D47/0.75)</f>
        <v>0.99618097361492908</v>
      </c>
      <c r="J47" s="207">
        <f t="shared" ref="J47:J52" si="14">C47/G47</f>
        <v>47.406178813442779</v>
      </c>
      <c r="K47" s="207">
        <f t="shared" ref="K47:K52" si="15">F47/G47</f>
        <v>-7.5635791119692581E-6</v>
      </c>
    </row>
    <row r="48" spans="1:12" ht="14.1" customHeight="1">
      <c r="A48" s="180" t="s">
        <v>51</v>
      </c>
      <c r="B48" s="180">
        <v>21</v>
      </c>
      <c r="C48" s="205">
        <f>'T2'!C48+'T3'!C48+'T4'!C48+'T5'!C48+'T6'!C48+'T7'!C48+'T8'!C48+'T9'!C48</f>
        <v>244456915.52000001</v>
      </c>
      <c r="D48" s="205">
        <f>'T2'!D48+'T3'!D48+'T4'!D48+'T5'!D48+'T6'!D48+'T7'!D48+'T8'!D48+'T9'!D48</f>
        <v>155717187.95999998</v>
      </c>
      <c r="E48" s="205">
        <f>'T2'!E48+'T3'!E48+'T4'!E48+'T5'!E48+'T6'!E48+'T7'!E48+'T8'!E48+'T9'!E48</f>
        <v>87937181.140000015</v>
      </c>
      <c r="F48" s="205">
        <f>C48-D48-E48</f>
        <v>802546.42000001669</v>
      </c>
      <c r="G48" s="182">
        <f>'T2'!G48+'T3'!G48+'T4'!G48+'T5'!G48+'T6'!G48+'T7'!G48+'T8'!G48+'T9'!G48</f>
        <v>1734557</v>
      </c>
      <c r="H48" s="183">
        <f t="shared" si="12"/>
        <v>0.16414952190952664</v>
      </c>
      <c r="I48" s="183">
        <f t="shared" si="13"/>
        <v>1.1774081528308638</v>
      </c>
      <c r="J48" s="207">
        <f t="shared" si="14"/>
        <v>140.9333423577317</v>
      </c>
      <c r="K48" s="207">
        <f t="shared" si="15"/>
        <v>0.46268091506939046</v>
      </c>
    </row>
    <row r="49" spans="1:12" ht="14.1" customHeight="1">
      <c r="A49" s="180" t="s">
        <v>52</v>
      </c>
      <c r="B49" s="180">
        <v>22</v>
      </c>
      <c r="C49" s="205">
        <f>'T2'!C49+'T3'!C49+'T4'!C49+'T5'!C49+'T6'!C49+'T7'!C49+'T8'!C49+'T9'!C49</f>
        <v>511167749.78000003</v>
      </c>
      <c r="D49" s="205">
        <f>'T2'!D49+'T3'!D49+'T4'!D49+'T5'!D49+'T6'!D49+'T7'!D49+'T8'!D49+'T9'!D49</f>
        <v>280155058.57999998</v>
      </c>
      <c r="E49" s="205">
        <f>'T2'!E49+'T3'!E49+'T4'!E49+'T5'!E49+'T6'!E49+'T7'!E49+'T8'!E49+'T9'!E49</f>
        <v>228766005.42000002</v>
      </c>
      <c r="F49" s="205">
        <f>C49-D49-E49</f>
        <v>2246685.780000031</v>
      </c>
      <c r="G49" s="182">
        <f>'T2'!G49+'T3'!G49+'T4'!G49+'T5'!G49+'T6'!G49+'T7'!G49+'T8'!G49+'T9'!G49</f>
        <v>2852640</v>
      </c>
      <c r="H49" s="183">
        <f t="shared" si="12"/>
        <v>0.26995912626681745</v>
      </c>
      <c r="I49" s="183">
        <f t="shared" si="13"/>
        <v>1.3684415133468837</v>
      </c>
      <c r="J49" s="207">
        <f t="shared" si="14"/>
        <v>179.19111762437603</v>
      </c>
      <c r="K49" s="207">
        <f t="shared" si="15"/>
        <v>0.78758125105166832</v>
      </c>
    </row>
    <row r="50" spans="1:12" ht="14.1" customHeight="1">
      <c r="A50" s="180" t="s">
        <v>53</v>
      </c>
      <c r="B50" s="180">
        <v>23</v>
      </c>
      <c r="C50" s="205">
        <f>'T2'!C50+'T3'!C50+'T4'!C50+'T5'!C50+'T6'!C50+'T7'!C50+'T8'!C50+'T9'!C50</f>
        <v>513053454.34000009</v>
      </c>
      <c r="D50" s="205">
        <f>'T2'!D50+'T3'!D50+'T4'!D50+'T5'!D50+'T6'!D50+'T7'!D50+'T8'!D50+'T9'!D50</f>
        <v>232916994.92999998</v>
      </c>
      <c r="E50" s="205">
        <f>'T2'!E50+'T3'!E50+'T4'!E50+'T5'!E50+'T6'!E50+'T7'!E50+'T8'!E50+'T9'!E50</f>
        <v>260617475.13</v>
      </c>
      <c r="F50" s="205">
        <f>C50-D50-E50</f>
        <v>19518984.280000091</v>
      </c>
      <c r="G50" s="182">
        <f>'T2'!G50+'T3'!G50+'T4'!G50+'T5'!G50+'T6'!G50+'T7'!G50+'T8'!G50+'T9'!G50</f>
        <v>2382493</v>
      </c>
      <c r="H50" s="183">
        <f t="shared" si="12"/>
        <v>0.22546684075691595</v>
      </c>
      <c r="I50" s="183">
        <f t="shared" si="13"/>
        <v>1.6520481507613625</v>
      </c>
      <c r="J50" s="207">
        <f t="shared" si="14"/>
        <v>215.34311090945496</v>
      </c>
      <c r="K50" s="207">
        <f t="shared" si="15"/>
        <v>8.1926722470958318</v>
      </c>
      <c r="L50" s="44"/>
    </row>
    <row r="51" spans="1:12" ht="14.1" customHeight="1">
      <c r="A51" s="180" t="s">
        <v>54</v>
      </c>
      <c r="B51" s="180">
        <v>24</v>
      </c>
      <c r="C51" s="205">
        <f>'T2'!C51+'T3'!C51+'T4'!C51+'T5'!C51+'T6'!C51+'T7'!C51+'T8'!C51+'T9'!C51</f>
        <v>269556506.06</v>
      </c>
      <c r="D51" s="205">
        <f>'T2'!D51+'T3'!D51+'T4'!D51+'T5'!D51+'T6'!D51+'T7'!D51+'T8'!D51+'T9'!D51</f>
        <v>68565417.5</v>
      </c>
      <c r="E51" s="205">
        <f>'T2'!E51+'T3'!E51+'T4'!E51+'T5'!E51+'T6'!E51+'T7'!E51+'T8'!E51+'T9'!E51</f>
        <v>79451529.710000008</v>
      </c>
      <c r="F51" s="205">
        <f>C51-D51-E51</f>
        <v>121539558.84999999</v>
      </c>
      <c r="G51" s="182">
        <f>'T2'!G51+'T3'!G51+'T4'!G51+'T5'!G51+'T6'!G51+'T7'!G51+'T8'!G51+'T9'!G51</f>
        <v>749945</v>
      </c>
      <c r="H51" s="183">
        <f t="shared" si="12"/>
        <v>7.097092410825355E-2</v>
      </c>
      <c r="I51" s="183">
        <f t="shared" si="13"/>
        <v>2.9485327577127345</v>
      </c>
      <c r="J51" s="207">
        <f t="shared" si="14"/>
        <v>359.43503331577648</v>
      </c>
      <c r="K51" s="207">
        <f t="shared" si="15"/>
        <v>162.06462987285732</v>
      </c>
    </row>
    <row r="52" spans="1:12" s="46" customFormat="1" ht="14.1" customHeight="1">
      <c r="A52" s="201" t="s">
        <v>55</v>
      </c>
      <c r="B52" s="185">
        <v>25</v>
      </c>
      <c r="C52" s="202">
        <f>SUM(C47:C51)</f>
        <v>1638204301.5200002</v>
      </c>
      <c r="D52" s="202">
        <f>SUM(D47:D51)</f>
        <v>812619353.68999994</v>
      </c>
      <c r="E52" s="202">
        <f>SUM(E47:E51)</f>
        <v>681477188.45000005</v>
      </c>
      <c r="F52" s="202">
        <f>SUM(F47:F51)</f>
        <v>144107759.38000014</v>
      </c>
      <c r="G52" s="206">
        <f>SUM(G47:G51)</f>
        <v>9828425</v>
      </c>
      <c r="H52" s="203">
        <f t="shared" si="12"/>
        <v>0.9301114145419489</v>
      </c>
      <c r="I52" s="203">
        <f t="shared" si="13"/>
        <v>1.5119664829059805</v>
      </c>
      <c r="J52" s="204">
        <f t="shared" si="14"/>
        <v>166.68024648099774</v>
      </c>
      <c r="K52" s="204">
        <f t="shared" si="15"/>
        <v>14.662345124473163</v>
      </c>
    </row>
    <row r="53" spans="1:12" ht="17.100000000000001" customHeight="1">
      <c r="A53" s="186" t="s">
        <v>61</v>
      </c>
      <c r="B53" s="187"/>
      <c r="C53" s="190"/>
      <c r="D53" s="190"/>
      <c r="E53" s="190"/>
      <c r="F53" s="190"/>
      <c r="G53" s="188"/>
      <c r="H53" s="189"/>
      <c r="I53" s="189"/>
      <c r="J53" s="191"/>
      <c r="K53" s="191"/>
    </row>
    <row r="54" spans="1:12" ht="25.15" customHeight="1">
      <c r="A54" s="180"/>
      <c r="B54" s="180"/>
      <c r="C54" s="200" t="s">
        <v>41</v>
      </c>
      <c r="D54" s="200" t="s">
        <v>42</v>
      </c>
      <c r="E54" s="200" t="s">
        <v>43</v>
      </c>
      <c r="F54" s="200" t="s">
        <v>44</v>
      </c>
      <c r="G54" s="200" t="s">
        <v>45</v>
      </c>
      <c r="H54" s="200" t="s">
        <v>46</v>
      </c>
      <c r="I54" s="200" t="s">
        <v>47</v>
      </c>
      <c r="J54" s="200" t="s">
        <v>48</v>
      </c>
      <c r="K54" s="200" t="s">
        <v>49</v>
      </c>
    </row>
    <row r="55" spans="1:12" ht="14.1" customHeight="1">
      <c r="A55" s="180" t="s">
        <v>50</v>
      </c>
      <c r="B55" s="180"/>
      <c r="C55" s="205"/>
      <c r="D55" s="205"/>
      <c r="E55" s="205"/>
      <c r="F55" s="205"/>
      <c r="G55" s="182"/>
      <c r="H55" s="183"/>
      <c r="I55" s="183"/>
      <c r="J55" s="207"/>
      <c r="K55" s="207"/>
    </row>
    <row r="56" spans="1:12" ht="14.1" customHeight="1">
      <c r="A56" s="180" t="s">
        <v>51</v>
      </c>
      <c r="B56" s="180">
        <v>21</v>
      </c>
      <c r="C56" s="205">
        <f>'T2'!C56+'T3'!C56+'T4'!C56+'T5'!C56+'T6'!C56+'T7'!C56+'T8'!C56+'T9'!C56</f>
        <v>6902442.9699999997</v>
      </c>
      <c r="D56" s="205">
        <f>'T2'!D56+'T3'!D56+'T4'!D56+'T5'!D56+'T6'!D56+'T7'!D56+'T8'!D56+'T9'!D56</f>
        <v>4625785.07</v>
      </c>
      <c r="E56" s="205">
        <f>'T2'!E56+'T3'!E56+'T4'!E56+'T5'!E56+'T6'!E56+'T7'!E56+'T8'!E56+'T9'!E56</f>
        <v>1571892.83</v>
      </c>
      <c r="F56" s="205">
        <f>C56-D56-E56</f>
        <v>704765.06999999937</v>
      </c>
      <c r="G56" s="182">
        <f>'T2'!G56+'T3'!G56+'T4'!G56+'T5'!G56+'T6'!G56+'T7'!G56+'T8'!G56+'T9'!G56</f>
        <v>15445</v>
      </c>
      <c r="H56" s="183">
        <f>G56/$G$27</f>
        <v>1.4616350837087734E-3</v>
      </c>
      <c r="I56" s="183">
        <f>C56/(D56/0.75)</f>
        <v>1.1191251104755715</v>
      </c>
      <c r="J56" s="207">
        <f>C56/G56</f>
        <v>446.9046921333765</v>
      </c>
      <c r="K56" s="207">
        <f>F56/G56</f>
        <v>45.630629329880179</v>
      </c>
    </row>
    <row r="57" spans="1:12" ht="14.1" customHeight="1">
      <c r="A57" s="180" t="s">
        <v>52</v>
      </c>
      <c r="B57" s="180">
        <v>22</v>
      </c>
      <c r="C57" s="205">
        <f>'T2'!C57+'T3'!C57+'T4'!C57+'T5'!C57+'T6'!C57+'T7'!C57+'T8'!C57+'T9'!C57</f>
        <v>8019986.2200000016</v>
      </c>
      <c r="D57" s="205">
        <f>'T2'!D57+'T3'!D57+'T4'!D57+'T5'!D57+'T6'!D57+'T7'!D57+'T8'!D57+'T9'!D57</f>
        <v>4352931.6000000006</v>
      </c>
      <c r="E57" s="205">
        <f>'T2'!E57+'T3'!E57+'T4'!E57+'T5'!E57+'T6'!E57+'T7'!E57+'T8'!E57+'T9'!E57</f>
        <v>1448787.2399999998</v>
      </c>
      <c r="F57" s="205">
        <f>C57-D57-E57</f>
        <v>2218267.3800000013</v>
      </c>
      <c r="G57" s="182">
        <f>'T2'!G57+'T3'!G57+'T4'!G57+'T5'!G57+'T6'!G57+'T7'!G57+'T8'!G57+'T9'!G57</f>
        <v>18197</v>
      </c>
      <c r="H57" s="183">
        <f>G57/$G$27</f>
        <v>1.7220701598089057E-3</v>
      </c>
      <c r="I57" s="183">
        <f>C57/(D57/0.75)</f>
        <v>1.3818249900825459</v>
      </c>
      <c r="J57" s="207">
        <f>C57/G57</f>
        <v>440.73123152167949</v>
      </c>
      <c r="K57" s="207">
        <f>F57/G57</f>
        <v>121.90291696433485</v>
      </c>
    </row>
    <row r="58" spans="1:12" ht="14.1" customHeight="1">
      <c r="A58" s="180" t="s">
        <v>53</v>
      </c>
      <c r="B58" s="180">
        <v>23</v>
      </c>
      <c r="C58" s="205">
        <f>'T2'!C58+'T3'!C58+'T4'!C58+'T5'!C58+'T6'!C58+'T7'!C58+'T8'!C58+'T9'!C58</f>
        <v>22068804.23</v>
      </c>
      <c r="D58" s="205">
        <f>'T2'!D58+'T3'!D58+'T4'!D58+'T5'!D58+'T6'!D58+'T7'!D58+'T8'!D58+'T9'!D58</f>
        <v>9507812.0399999991</v>
      </c>
      <c r="E58" s="205">
        <f>'T2'!E58+'T3'!E58+'T4'!E58+'T5'!E58+'T6'!E58+'T7'!E58+'T8'!E58+'T9'!E58</f>
        <v>3277947.8400000003</v>
      </c>
      <c r="F58" s="205">
        <f>C58-D58-E58</f>
        <v>9283044.3500000015</v>
      </c>
      <c r="G58" s="182">
        <f>'T2'!G58+'T3'!G58+'T4'!G58+'T5'!G58+'T6'!G58+'T7'!G58+'T8'!G58+'T9'!G58</f>
        <v>60472</v>
      </c>
      <c r="H58" s="183">
        <f>G58/$G$27</f>
        <v>5.722757965816571E-3</v>
      </c>
      <c r="I58" s="183">
        <f>C58/(D58/0.75)</f>
        <v>1.7408424885627001</v>
      </c>
      <c r="J58" s="207">
        <f>C58/G58</f>
        <v>364.94252265511312</v>
      </c>
      <c r="K58" s="207">
        <f>F58/G58</f>
        <v>153.50979544251888</v>
      </c>
    </row>
    <row r="59" spans="1:12" ht="14.1" customHeight="1">
      <c r="A59" s="180" t="s">
        <v>54</v>
      </c>
      <c r="B59" s="180">
        <v>24</v>
      </c>
      <c r="C59" s="205">
        <f>'T2'!C59+'T3'!C59+'T4'!C59+'T5'!C59+'T6'!C59+'T7'!C59+'T8'!C59+'T9'!C59</f>
        <v>296131036.18000001</v>
      </c>
      <c r="D59" s="205">
        <f>'T2'!D59+'T3'!D59+'T4'!D59+'T5'!D59+'T6'!D59+'T7'!D59+'T8'!D59+'T9'!D59</f>
        <v>62593024.57</v>
      </c>
      <c r="E59" s="205">
        <f>'T2'!E59+'T3'!E59+'T4'!E59+'T5'!E59+'T6'!E59+'T7'!E59+'T8'!E59+'T9'!E59</f>
        <v>21075178.459999997</v>
      </c>
      <c r="F59" s="205">
        <f>C59-D59-E59</f>
        <v>212462833.15000001</v>
      </c>
      <c r="G59" s="182">
        <f>'T2'!G59+'T3'!G59+'T4'!G59+'T5'!G59+'T6'!G59+'T7'!G59+'T8'!G59+'T9'!G59</f>
        <v>203680</v>
      </c>
      <c r="H59" s="183">
        <f>G59/$G$27</f>
        <v>1.9275223946248168E-2</v>
      </c>
      <c r="I59" s="183">
        <f>C59/(D59/0.75)</f>
        <v>3.5482911819769889</v>
      </c>
      <c r="J59" s="207">
        <f>C59/G59</f>
        <v>1453.9033590926945</v>
      </c>
      <c r="K59" s="207">
        <f>F59/G59</f>
        <v>1043.1207440593087</v>
      </c>
      <c r="L59" s="44"/>
    </row>
    <row r="60" spans="1:12" s="46" customFormat="1" ht="14.1" customHeight="1">
      <c r="A60" s="201" t="s">
        <v>55</v>
      </c>
      <c r="B60" s="185">
        <v>25</v>
      </c>
      <c r="C60" s="202">
        <f>SUM(C55:C59)</f>
        <v>333122269.60000002</v>
      </c>
      <c r="D60" s="202">
        <f>SUM(D55:D59)</f>
        <v>81079553.280000001</v>
      </c>
      <c r="E60" s="202">
        <f>SUM(E55:E59)</f>
        <v>27373806.369999997</v>
      </c>
      <c r="F60" s="202">
        <f>SUM(F55:F59)</f>
        <v>224668909.95000002</v>
      </c>
      <c r="G60" s="206">
        <f>SUM(G55:G59)</f>
        <v>297794</v>
      </c>
      <c r="H60" s="203">
        <f>G60/$G$27</f>
        <v>2.8181687155582419E-2</v>
      </c>
      <c r="I60" s="203">
        <f>C60/(D60/0.75)</f>
        <v>3.0814390569863783</v>
      </c>
      <c r="J60" s="204">
        <f>C60/G60</f>
        <v>1118.6332484872094</v>
      </c>
      <c r="K60" s="204">
        <f>F60/G60</f>
        <v>754.44404504456111</v>
      </c>
    </row>
    <row r="61" spans="1:12" ht="12" customHeight="1">
      <c r="C61" s="37"/>
      <c r="D61" s="37"/>
      <c r="E61" s="37"/>
      <c r="F61" s="37"/>
      <c r="K61" s="37"/>
    </row>
    <row r="62" spans="1:12" ht="12" customHeight="1">
      <c r="C62" s="37"/>
      <c r="D62" s="37"/>
      <c r="E62" s="37"/>
      <c r="F62" s="37"/>
      <c r="K62" s="37"/>
    </row>
    <row r="63" spans="1:12" ht="12" customHeight="1">
      <c r="C63" s="37"/>
      <c r="D63" s="37"/>
      <c r="E63" s="37"/>
      <c r="F63" s="37"/>
      <c r="K63" s="37"/>
    </row>
    <row r="64" spans="1:12"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56" orientation="portrait" r:id="rId1"/>
  <headerFooter>
    <oddFooter>&amp;LAustralian Prudential Regulation Authority&amp;R&amp;P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72544-02E1-46D5-A5B0-1AE5EE062A71}">
  <sheetPr>
    <pageSetUpPr fitToPage="1"/>
  </sheetPr>
  <dimension ref="A1:AF64"/>
  <sheetViews>
    <sheetView showGridLines="0" zoomScaleNormal="100" zoomScaleSheetLayoutView="100" workbookViewId="0">
      <selection activeCell="C8" sqref="C8"/>
    </sheetView>
  </sheetViews>
  <sheetFormatPr defaultColWidth="9.625" defaultRowHeight="12" customHeight="1"/>
  <cols>
    <col min="1" max="1" width="13.8125" style="37" customWidth="1"/>
    <col min="2" max="2" width="1.0625" style="37" hidden="1" customWidth="1"/>
    <col min="3" max="6" width="14.5625" style="59" customWidth="1"/>
    <col min="7" max="7" width="14.5625" style="57" customWidth="1"/>
    <col min="8" max="8" width="14.5625" style="58" customWidth="1"/>
    <col min="9" max="10" width="14.5625" style="37" customWidth="1"/>
    <col min="11" max="11" width="14.5625" style="60" customWidth="1"/>
    <col min="12" max="16384" width="9.625" style="37"/>
  </cols>
  <sheetData>
    <row r="1" spans="1:32" ht="27" customHeight="1">
      <c r="A1" s="232" t="s">
        <v>38</v>
      </c>
      <c r="B1" s="232"/>
      <c r="C1" s="232"/>
      <c r="D1" s="232"/>
      <c r="E1" s="232"/>
      <c r="F1" s="232"/>
      <c r="G1" s="232"/>
      <c r="H1" s="232"/>
      <c r="I1" s="232"/>
      <c r="J1" s="232"/>
      <c r="K1" s="232"/>
    </row>
    <row r="2" spans="1:32" ht="15" customHeight="1">
      <c r="A2" s="234" t="s">
        <v>165</v>
      </c>
      <c r="B2" s="234"/>
      <c r="C2" s="234"/>
      <c r="D2" s="234"/>
      <c r="E2" s="234"/>
      <c r="F2" s="234"/>
      <c r="G2" s="234"/>
      <c r="H2" s="234"/>
      <c r="I2" s="234"/>
      <c r="J2" s="234"/>
      <c r="K2" s="234"/>
    </row>
    <row r="3" spans="1:32" ht="16.5" customHeight="1">
      <c r="A3" s="174" t="s">
        <v>62</v>
      </c>
      <c r="B3" s="38"/>
      <c r="C3" s="39"/>
      <c r="D3" s="39"/>
      <c r="E3" s="39"/>
      <c r="F3" s="39"/>
      <c r="G3" s="40"/>
      <c r="H3" s="41"/>
      <c r="I3" s="41"/>
      <c r="J3" s="172" t="str">
        <f>Selection!E15&amp;" "&amp;Selection!E14</f>
        <v>Dec 2024</v>
      </c>
      <c r="K3" s="43"/>
    </row>
    <row r="4" spans="1:32" ht="17.100000000000001" customHeight="1">
      <c r="A4" s="179" t="s">
        <v>40</v>
      </c>
      <c r="B4" s="38"/>
      <c r="C4" s="39"/>
      <c r="D4" s="39"/>
      <c r="E4" s="39"/>
      <c r="F4" s="39"/>
      <c r="G4" s="40"/>
      <c r="H4" s="41"/>
      <c r="I4" s="41"/>
      <c r="J4" s="38"/>
      <c r="K4" s="43"/>
    </row>
    <row r="5" spans="1:32" s="23" customFormat="1" ht="25.05" customHeight="1">
      <c r="A5" s="199"/>
      <c r="B5" s="197"/>
      <c r="C5" s="200" t="s">
        <v>41</v>
      </c>
      <c r="D5" s="200" t="s">
        <v>42</v>
      </c>
      <c r="E5" s="200" t="s">
        <v>43</v>
      </c>
      <c r="F5" s="200" t="s">
        <v>44</v>
      </c>
      <c r="G5" s="200" t="s">
        <v>45</v>
      </c>
      <c r="H5" s="200" t="s">
        <v>46</v>
      </c>
      <c r="I5" s="200" t="s">
        <v>47</v>
      </c>
      <c r="J5" s="200" t="s">
        <v>48</v>
      </c>
      <c r="K5" s="200" t="s">
        <v>49</v>
      </c>
      <c r="L5" s="198"/>
      <c r="M5" s="198"/>
      <c r="N5" s="198"/>
      <c r="O5" s="198"/>
      <c r="P5" s="198"/>
      <c r="Q5" s="198"/>
      <c r="R5" s="198"/>
      <c r="S5" s="198"/>
      <c r="T5" s="198"/>
      <c r="U5" s="198"/>
      <c r="V5" s="198"/>
      <c r="W5" s="198"/>
      <c r="X5" s="198"/>
      <c r="Y5" s="198"/>
      <c r="Z5" s="198"/>
      <c r="AA5" s="198"/>
      <c r="AB5" s="198"/>
      <c r="AC5" s="198"/>
      <c r="AD5" s="198"/>
      <c r="AE5" s="198"/>
      <c r="AF5" s="198"/>
    </row>
    <row r="6" spans="1:32" ht="14.1" customHeight="1">
      <c r="A6" s="180" t="s">
        <v>50</v>
      </c>
      <c r="B6" s="180">
        <v>0</v>
      </c>
      <c r="C6" s="205">
        <f>'T10 &amp; T11'!D37+'T10 &amp; T11'!D51</f>
        <v>65970447.079999998</v>
      </c>
      <c r="D6" s="205">
        <f>'T10 &amp; T11'!E37+'T10 &amp; T11'!E51</f>
        <v>49446616.369999997</v>
      </c>
      <c r="E6" s="205">
        <f>'T10 &amp; T11'!F37+'T10 &amp; T11'!F51</f>
        <v>16487866.879999999</v>
      </c>
      <c r="F6" s="205">
        <f>C6-D6-E6</f>
        <v>35963.830000001937</v>
      </c>
      <c r="G6" s="182">
        <f>'T10 &amp; T11'!H37+'T10 &amp; T11'!H51</f>
        <v>1244037</v>
      </c>
      <c r="H6" s="183">
        <f t="shared" ref="H6:H11" si="0">G6/$G$27</f>
        <v>0.35197122070117709</v>
      </c>
      <c r="I6" s="183">
        <f t="shared" ref="I6:I11" si="1">C6/(D6/0.75)</f>
        <v>1.0006313665583586</v>
      </c>
      <c r="J6" s="207">
        <f t="shared" ref="J6:J11" si="2">C6/G6</f>
        <v>53.029328773983408</v>
      </c>
      <c r="K6" s="207">
        <f t="shared" ref="K6:K11" si="3">F6/G6</f>
        <v>2.8908971356962805E-2</v>
      </c>
    </row>
    <row r="7" spans="1:32" ht="14.1" customHeight="1">
      <c r="A7" s="180" t="s">
        <v>51</v>
      </c>
      <c r="B7" s="180">
        <v>1</v>
      </c>
      <c r="C7" s="205">
        <f>'T10 &amp; T11'!D38</f>
        <v>68955942.260000005</v>
      </c>
      <c r="D7" s="205">
        <f>'T10 &amp; T11'!E38</f>
        <v>44025058.060000002</v>
      </c>
      <c r="E7" s="205">
        <f>'T10 &amp; T11'!F38</f>
        <v>24930191.219999999</v>
      </c>
      <c r="F7" s="205">
        <f>C7-D7-E7</f>
        <v>692.98000000417233</v>
      </c>
      <c r="G7" s="182">
        <f>'T10 &amp; T11'!H38</f>
        <v>500916</v>
      </c>
      <c r="H7" s="183">
        <f t="shared" si="0"/>
        <v>0.14172248573696025</v>
      </c>
      <c r="I7" s="183">
        <f t="shared" si="1"/>
        <v>1.1747163768533144</v>
      </c>
      <c r="J7" s="207">
        <f t="shared" si="2"/>
        <v>137.65969196432138</v>
      </c>
      <c r="K7" s="207">
        <f t="shared" si="3"/>
        <v>1.3834255643744107E-3</v>
      </c>
    </row>
    <row r="8" spans="1:32" ht="14.1" customHeight="1">
      <c r="A8" s="180" t="s">
        <v>52</v>
      </c>
      <c r="B8" s="180">
        <v>2</v>
      </c>
      <c r="C8" s="205">
        <f>'T10 &amp; T11'!D39</f>
        <v>137091470.94999999</v>
      </c>
      <c r="D8" s="205">
        <f>'T10 &amp; T11'!E39</f>
        <v>75098749.5</v>
      </c>
      <c r="E8" s="205">
        <f>'T10 &amp; T11'!F39</f>
        <v>61992636.43</v>
      </c>
      <c r="F8" s="205">
        <f>C8-D8-E8</f>
        <v>85.019999988377094</v>
      </c>
      <c r="G8" s="182">
        <f>'T10 &amp; T11'!H39</f>
        <v>685833</v>
      </c>
      <c r="H8" s="183">
        <f t="shared" si="0"/>
        <v>0.19404043304753027</v>
      </c>
      <c r="I8" s="183">
        <f t="shared" si="1"/>
        <v>1.369112054422424</v>
      </c>
      <c r="J8" s="207">
        <f t="shared" si="2"/>
        <v>199.89045576692865</v>
      </c>
      <c r="K8" s="207">
        <f t="shared" si="3"/>
        <v>1.2396603836265839E-4</v>
      </c>
    </row>
    <row r="9" spans="1:32" ht="14.1" customHeight="1">
      <c r="A9" s="180" t="s">
        <v>53</v>
      </c>
      <c r="B9" s="180">
        <v>3</v>
      </c>
      <c r="C9" s="205">
        <f>'T10 &amp; T11'!D40</f>
        <v>128922323.76000001</v>
      </c>
      <c r="D9" s="205">
        <f>'T10 &amp; T11'!E40</f>
        <v>59507457.899999999</v>
      </c>
      <c r="E9" s="205">
        <f>'T10 &amp; T11'!F40</f>
        <v>69414693.909999996</v>
      </c>
      <c r="F9" s="205">
        <f>C9-D9-E9</f>
        <v>171.95000001788139</v>
      </c>
      <c r="G9" s="182">
        <f>'T10 &amp; T11'!H40</f>
        <v>708522</v>
      </c>
      <c r="H9" s="183">
        <f t="shared" si="0"/>
        <v>0.2004597558060085</v>
      </c>
      <c r="I9" s="183">
        <f t="shared" si="1"/>
        <v>1.624867642346389</v>
      </c>
      <c r="J9" s="207">
        <f t="shared" si="2"/>
        <v>181.9595210311042</v>
      </c>
      <c r="K9" s="207">
        <f t="shared" si="3"/>
        <v>2.4268830045909851E-4</v>
      </c>
    </row>
    <row r="10" spans="1:32" ht="14.1" customHeight="1">
      <c r="A10" s="180" t="s">
        <v>54</v>
      </c>
      <c r="B10" s="180">
        <v>4</v>
      </c>
      <c r="C10" s="205">
        <f>'T10 &amp; T11'!D41</f>
        <v>6610077.04</v>
      </c>
      <c r="D10" s="205">
        <f>'T10 &amp; T11'!E41</f>
        <v>1922905.79</v>
      </c>
      <c r="E10" s="205">
        <f>'T10 &amp; T11'!F41</f>
        <v>4687171.17</v>
      </c>
      <c r="F10" s="205">
        <f>C10-D10-E10</f>
        <v>8.0000000074505806E-2</v>
      </c>
      <c r="G10" s="182">
        <f>'T10 &amp; T11'!H41</f>
        <v>5988</v>
      </c>
      <c r="H10" s="183">
        <f t="shared" si="0"/>
        <v>1.69416477931014E-3</v>
      </c>
      <c r="I10" s="183">
        <f t="shared" si="1"/>
        <v>2.578159473949059</v>
      </c>
      <c r="J10" s="207">
        <f t="shared" si="2"/>
        <v>1103.8872812291249</v>
      </c>
      <c r="K10" s="207">
        <f t="shared" si="3"/>
        <v>1.336005345265628E-5</v>
      </c>
    </row>
    <row r="11" spans="1:32" s="46" customFormat="1" ht="14.1" customHeight="1">
      <c r="A11" s="201" t="s">
        <v>55</v>
      </c>
      <c r="B11" s="185"/>
      <c r="C11" s="202">
        <f>SUM(C6:C10)</f>
        <v>407550261.08999997</v>
      </c>
      <c r="D11" s="202">
        <f>SUM(D6:D10)</f>
        <v>230000787.62</v>
      </c>
      <c r="E11" s="202">
        <f>SUM(E6:E10)</f>
        <v>177512559.60999998</v>
      </c>
      <c r="F11" s="202">
        <f>SUM(F6:F10)</f>
        <v>36913.860000012442</v>
      </c>
      <c r="G11" s="206">
        <f>SUM(G6:G10)</f>
        <v>3145296</v>
      </c>
      <c r="H11" s="203">
        <f t="shared" si="0"/>
        <v>0.88988806007098631</v>
      </c>
      <c r="I11" s="203">
        <f t="shared" si="1"/>
        <v>1.3289636917352918</v>
      </c>
      <c r="J11" s="204">
        <f t="shared" si="2"/>
        <v>129.57453323629954</v>
      </c>
      <c r="K11" s="204">
        <f t="shared" si="3"/>
        <v>1.1736211790563573E-2</v>
      </c>
    </row>
    <row r="12" spans="1:32" ht="17.100000000000001" customHeight="1">
      <c r="A12" s="179" t="s">
        <v>56</v>
      </c>
      <c r="B12" s="38"/>
      <c r="C12" s="39"/>
      <c r="D12" s="39"/>
      <c r="E12" s="39"/>
      <c r="F12" s="39"/>
      <c r="G12" s="40"/>
      <c r="H12" s="41"/>
      <c r="I12" s="41"/>
      <c r="J12" s="38"/>
      <c r="K12" s="43"/>
    </row>
    <row r="13" spans="1:32" ht="26.25">
      <c r="A13" s="199"/>
      <c r="B13" s="197"/>
      <c r="C13" s="200" t="s">
        <v>41</v>
      </c>
      <c r="D13" s="200" t="s">
        <v>42</v>
      </c>
      <c r="E13" s="200" t="s">
        <v>43</v>
      </c>
      <c r="F13" s="200" t="s">
        <v>44</v>
      </c>
      <c r="G13" s="200" t="s">
        <v>45</v>
      </c>
      <c r="H13" s="200" t="s">
        <v>46</v>
      </c>
      <c r="I13" s="200" t="s">
        <v>47</v>
      </c>
      <c r="J13" s="200" t="s">
        <v>48</v>
      </c>
      <c r="K13" s="200" t="s">
        <v>49</v>
      </c>
    </row>
    <row r="14" spans="1:32" ht="14.1" customHeight="1">
      <c r="A14" s="180" t="s">
        <v>50</v>
      </c>
      <c r="B14" s="180"/>
      <c r="C14" s="205"/>
      <c r="D14" s="205"/>
      <c r="E14" s="205"/>
      <c r="F14" s="205"/>
      <c r="G14" s="182"/>
      <c r="H14" s="183"/>
      <c r="I14" s="183"/>
      <c r="J14" s="207"/>
      <c r="K14" s="207"/>
    </row>
    <row r="15" spans="1:32" ht="14.1" customHeight="1">
      <c r="A15" s="180" t="s">
        <v>51</v>
      </c>
      <c r="B15" s="180">
        <v>5</v>
      </c>
      <c r="C15" s="205">
        <f>'T10 &amp; T11'!D44+'T10 &amp; T11'!D52</f>
        <v>6128596.1799999997</v>
      </c>
      <c r="D15" s="205">
        <f>'T10 &amp; T11'!E44+'T10 &amp; T11'!E52</f>
        <v>4041380.09</v>
      </c>
      <c r="E15" s="205">
        <f>'T10 &amp; T11'!F44+'T10 &amp; T11'!F52</f>
        <v>1619615.19</v>
      </c>
      <c r="F15" s="205">
        <f>C15-D15-E15</f>
        <v>467600.89999999991</v>
      </c>
      <c r="G15" s="182">
        <f>'T10 &amp; T11'!H44+'T10 &amp; T11'!H52</f>
        <v>20127</v>
      </c>
      <c r="H15" s="183">
        <f>G15/$G$27</f>
        <v>5.6944646815589826E-3</v>
      </c>
      <c r="I15" s="183">
        <f>C15/(D15/0.75)</f>
        <v>1.1373459146724307</v>
      </c>
      <c r="J15" s="207">
        <f>C15/G15</f>
        <v>304.49625776320363</v>
      </c>
      <c r="K15" s="207">
        <f>F15/G15</f>
        <v>23.232518507477515</v>
      </c>
    </row>
    <row r="16" spans="1:32" ht="14.1" customHeight="1">
      <c r="A16" s="180" t="s">
        <v>52</v>
      </c>
      <c r="B16" s="180">
        <v>6</v>
      </c>
      <c r="C16" s="205">
        <f>'T10 &amp; T11'!D45+'T10 &amp; T11'!D53</f>
        <v>10004796.890000001</v>
      </c>
      <c r="D16" s="205">
        <f>'T10 &amp; T11'!E45+'T10 &amp; T11'!E53</f>
        <v>5392167.1699999999</v>
      </c>
      <c r="E16" s="205">
        <f>'T10 &amp; T11'!F45+'T10 &amp; T11'!F53</f>
        <v>3394209.57</v>
      </c>
      <c r="F16" s="205">
        <f>C16-D16-E16</f>
        <v>1218420.1500000008</v>
      </c>
      <c r="G16" s="182">
        <f>'T10 &amp; T11'!H45+'T10 &amp; T11'!H53</f>
        <v>35910</v>
      </c>
      <c r="H16" s="183">
        <f>G16/$G$27</f>
        <v>1.0159895996163515E-2</v>
      </c>
      <c r="I16" s="183">
        <f>C16/(D16/0.75)</f>
        <v>1.3915736346690455</v>
      </c>
      <c r="J16" s="207">
        <f>C16/G16</f>
        <v>278.60754358117515</v>
      </c>
      <c r="K16" s="207">
        <f>F16/G16</f>
        <v>33.929828738512974</v>
      </c>
    </row>
    <row r="17" spans="1:11" ht="14.1" customHeight="1">
      <c r="A17" s="180" t="s">
        <v>53</v>
      </c>
      <c r="B17" s="180">
        <v>7</v>
      </c>
      <c r="C17" s="205">
        <f>'T10 &amp; T11'!D46+'T10 &amp; T11'!D54</f>
        <v>33423385</v>
      </c>
      <c r="D17" s="205">
        <f>'T10 &amp; T11'!E46+'T10 &amp; T11'!E54</f>
        <v>14300267.09</v>
      </c>
      <c r="E17" s="205">
        <f>'T10 &amp; T11'!F46+'T10 &amp; T11'!F54</f>
        <v>11973191.439999999</v>
      </c>
      <c r="F17" s="205">
        <f>C17-D17-E17</f>
        <v>7149926.4700000007</v>
      </c>
      <c r="G17" s="182">
        <f>'T10 &amp; T11'!H46+'T10 &amp; T11'!H54</f>
        <v>51038</v>
      </c>
      <c r="H17" s="183">
        <f>G17/$G$27</f>
        <v>1.4440010355115385E-2</v>
      </c>
      <c r="I17" s="183">
        <f>C17/(D17/0.75)</f>
        <v>1.7529419969735685</v>
      </c>
      <c r="J17" s="207">
        <f>C17/G17</f>
        <v>654.87254594615774</v>
      </c>
      <c r="K17" s="207">
        <f>F17/G17</f>
        <v>140.09025569183746</v>
      </c>
    </row>
    <row r="18" spans="1:11" ht="14.1" customHeight="1">
      <c r="A18" s="180" t="s">
        <v>54</v>
      </c>
      <c r="B18" s="180">
        <v>8</v>
      </c>
      <c r="C18" s="205">
        <f>'T10 &amp; T11'!D47+'T10 &amp; T11'!D55</f>
        <v>197448255.26999998</v>
      </c>
      <c r="D18" s="205">
        <f>'T10 &amp; T11'!E47+'T10 &amp; T11'!E55</f>
        <v>43871341.739999995</v>
      </c>
      <c r="E18" s="205">
        <f>'T10 &amp; T11'!F47+'T10 &amp; T11'!F55</f>
        <v>26812017.490000002</v>
      </c>
      <c r="F18" s="205">
        <f>C18-D18-E18</f>
        <v>126764896.03999996</v>
      </c>
      <c r="G18" s="182">
        <f>'T10 &amp; T11'!H47+'T10 &amp; T11'!H55</f>
        <v>282114</v>
      </c>
      <c r="H18" s="183">
        <f>G18/$G$27</f>
        <v>7.981756889617582E-2</v>
      </c>
      <c r="I18" s="183">
        <f>C18/(D18/0.75)</f>
        <v>3.3754652941804464</v>
      </c>
      <c r="J18" s="207">
        <f>C18/G18</f>
        <v>699.88818445734694</v>
      </c>
      <c r="K18" s="207">
        <f>F18/G18</f>
        <v>449.33926015724126</v>
      </c>
    </row>
    <row r="19" spans="1:11" s="46" customFormat="1" ht="14.1" customHeight="1">
      <c r="A19" s="201" t="s">
        <v>55</v>
      </c>
      <c r="B19" s="185"/>
      <c r="C19" s="202">
        <f>SUM(C13:C18)</f>
        <v>247005033.33999997</v>
      </c>
      <c r="D19" s="202">
        <f>SUM(D13:D18)</f>
        <v>67605156.090000004</v>
      </c>
      <c r="E19" s="202">
        <f>SUM(E13:E18)</f>
        <v>43799033.689999998</v>
      </c>
      <c r="F19" s="202">
        <f>SUM(F13:F18)</f>
        <v>135600843.55999997</v>
      </c>
      <c r="G19" s="206">
        <f>SUM(G13:G18)</f>
        <v>389189</v>
      </c>
      <c r="H19" s="203">
        <f>G19/$G$27</f>
        <v>0.11011193992901371</v>
      </c>
      <c r="I19" s="203">
        <f>C19/(D19/0.75)</f>
        <v>2.7402314515534751</v>
      </c>
      <c r="J19" s="204">
        <f>C19/G19</f>
        <v>634.66601918348147</v>
      </c>
      <c r="K19" s="204">
        <f>F19/G19</f>
        <v>348.41900351757107</v>
      </c>
    </row>
    <row r="20" spans="1:11" ht="17.100000000000001" customHeight="1">
      <c r="A20" s="179" t="s">
        <v>57</v>
      </c>
      <c r="B20" s="47"/>
      <c r="C20" s="50"/>
      <c r="D20" s="50"/>
      <c r="E20" s="50"/>
      <c r="F20" s="50"/>
      <c r="G20" s="48"/>
      <c r="H20" s="49"/>
      <c r="I20" s="49"/>
      <c r="J20" s="51"/>
      <c r="K20" s="51"/>
    </row>
    <row r="21" spans="1:11" ht="26.25">
      <c r="A21" s="199"/>
      <c r="B21" s="197"/>
      <c r="C21" s="200" t="s">
        <v>41</v>
      </c>
      <c r="D21" s="200" t="s">
        <v>42</v>
      </c>
      <c r="E21" s="200" t="s">
        <v>43</v>
      </c>
      <c r="F21" s="200" t="s">
        <v>44</v>
      </c>
      <c r="G21" s="200" t="s">
        <v>45</v>
      </c>
      <c r="H21" s="200" t="s">
        <v>46</v>
      </c>
      <c r="I21" s="200" t="s">
        <v>47</v>
      </c>
      <c r="J21" s="200" t="s">
        <v>48</v>
      </c>
      <c r="K21" s="200" t="s">
        <v>49</v>
      </c>
    </row>
    <row r="22" spans="1:11" ht="14.1" customHeight="1">
      <c r="A22" s="180" t="s">
        <v>50</v>
      </c>
      <c r="B22" s="180">
        <v>10</v>
      </c>
      <c r="C22" s="205">
        <f>'T10 &amp; T11'!D37+'T10 &amp; T11'!D51</f>
        <v>65970447.079999998</v>
      </c>
      <c r="D22" s="205">
        <f>'T10 &amp; T11'!E37+'T10 &amp; T11'!E51</f>
        <v>49446616.369999997</v>
      </c>
      <c r="E22" s="205">
        <f>'T10 &amp; T11'!F37+'T10 &amp; T11'!F51</f>
        <v>16487866.879999999</v>
      </c>
      <c r="F22" s="205">
        <f>C22-D22-E22</f>
        <v>35963.830000001937</v>
      </c>
      <c r="G22" s="182">
        <f>'T10 &amp; T11'!H37+'T10 &amp; T11'!H51</f>
        <v>1244037</v>
      </c>
      <c r="H22" s="183">
        <f t="shared" ref="H22:H27" si="4">G22/$G$27</f>
        <v>0.35197122070117709</v>
      </c>
      <c r="I22" s="183">
        <f t="shared" ref="I22:I27" si="5">C22/(D22/0.75)</f>
        <v>1.0006313665583586</v>
      </c>
      <c r="J22" s="207">
        <f t="shared" ref="J22:J27" si="6">C22/G22</f>
        <v>53.029328773983408</v>
      </c>
      <c r="K22" s="207">
        <f t="shared" ref="K22:K27" si="7">F22/G22</f>
        <v>2.8908971356962805E-2</v>
      </c>
    </row>
    <row r="23" spans="1:11" ht="14.1" customHeight="1">
      <c r="A23" s="180" t="s">
        <v>51</v>
      </c>
      <c r="B23" s="180">
        <v>11</v>
      </c>
      <c r="C23" s="205">
        <f>'T10 &amp; T11'!D38+'T10 &amp; T11'!D44+'T10 &amp; T11'!D52</f>
        <v>75084538.440000013</v>
      </c>
      <c r="D23" s="205">
        <f>'T10 &amp; T11'!E38+'T10 &amp; T11'!E44+'T10 &amp; T11'!E52</f>
        <v>48066438.149999999</v>
      </c>
      <c r="E23" s="205">
        <f>'T10 &amp; T11'!F38+'T10 &amp; T11'!F44+'T10 &amp; T11'!F52</f>
        <v>26549806.41</v>
      </c>
      <c r="F23" s="205">
        <f>C23-D23-E23</f>
        <v>468293.88000001386</v>
      </c>
      <c r="G23" s="182">
        <f>'T10 &amp; T11'!H38+'T10 &amp; T11'!H44+'T10 &amp; T11'!H52</f>
        <v>521043</v>
      </c>
      <c r="H23" s="183">
        <f t="shared" si="4"/>
        <v>0.14741695041851924</v>
      </c>
      <c r="I23" s="183">
        <f t="shared" si="5"/>
        <v>1.1715743041800573</v>
      </c>
      <c r="J23" s="207">
        <f t="shared" si="6"/>
        <v>144.1043031765133</v>
      </c>
      <c r="K23" s="207">
        <f t="shared" si="7"/>
        <v>0.89876244379065429</v>
      </c>
    </row>
    <row r="24" spans="1:11" ht="14.1" customHeight="1">
      <c r="A24" s="180" t="s">
        <v>52</v>
      </c>
      <c r="B24" s="180">
        <v>12</v>
      </c>
      <c r="C24" s="205">
        <f>'T10 &amp; T11'!D39+'T10 &amp; T11'!D45+'T10 &amp; T11'!D53</f>
        <v>147096267.84</v>
      </c>
      <c r="D24" s="205">
        <f>'T10 &amp; T11'!E39+'T10 &amp; T11'!E45+'T10 &amp; T11'!E53</f>
        <v>80490916.670000002</v>
      </c>
      <c r="E24" s="205">
        <f>'T10 &amp; T11'!F39+'T10 &amp; T11'!F45+'T10 &amp; T11'!F53</f>
        <v>65386845.999999993</v>
      </c>
      <c r="F24" s="205">
        <f>C24-D24-E24</f>
        <v>1218505.1700000092</v>
      </c>
      <c r="G24" s="182">
        <f>'T10 &amp; T11'!H39+'T10 &amp; T11'!H45+'T10 &amp; T11'!H53</f>
        <v>721743</v>
      </c>
      <c r="H24" s="183">
        <f t="shared" si="4"/>
        <v>0.20420032904369378</v>
      </c>
      <c r="I24" s="183">
        <f t="shared" si="5"/>
        <v>1.3706167781925447</v>
      </c>
      <c r="J24" s="207">
        <f>C24/G24</f>
        <v>203.80698924686487</v>
      </c>
      <c r="K24" s="207">
        <f>F24/G24</f>
        <v>1.6882812441547881</v>
      </c>
    </row>
    <row r="25" spans="1:11" ht="14.1" customHeight="1">
      <c r="A25" s="180" t="s">
        <v>53</v>
      </c>
      <c r="B25" s="180">
        <v>13</v>
      </c>
      <c r="C25" s="205">
        <f>'T10 &amp; T11'!D40+'T10 &amp; T11'!D46+'T10 &amp; T11'!D54</f>
        <v>162345708.76000002</v>
      </c>
      <c r="D25" s="205">
        <f>'T10 &amp; T11'!E40+'T10 &amp; T11'!E46+'T10 &amp; T11'!E54</f>
        <v>73807724.989999995</v>
      </c>
      <c r="E25" s="205">
        <f>'T10 &amp; T11'!F40+'T10 &amp; T11'!F46+'T10 &amp; T11'!F54</f>
        <v>81387885.349999994</v>
      </c>
      <c r="F25" s="205">
        <f>C25-D25-E25</f>
        <v>7150098.4200000316</v>
      </c>
      <c r="G25" s="182">
        <f>'T10 &amp; T11'!H40+'T10 &amp; T11'!H46+'T10 &amp; T11'!H54</f>
        <v>759560</v>
      </c>
      <c r="H25" s="183">
        <f t="shared" si="4"/>
        <v>0.21489976616112388</v>
      </c>
      <c r="I25" s="183">
        <f t="shared" si="5"/>
        <v>1.6496820839078408</v>
      </c>
      <c r="J25" s="207">
        <f t="shared" si="6"/>
        <v>213.73651687819267</v>
      </c>
      <c r="K25" s="207">
        <f t="shared" si="7"/>
        <v>9.4134741429248923</v>
      </c>
    </row>
    <row r="26" spans="1:11" ht="14.1" customHeight="1">
      <c r="A26" s="180" t="s">
        <v>54</v>
      </c>
      <c r="B26" s="180">
        <v>14</v>
      </c>
      <c r="C26" s="205">
        <f>'T10 &amp; T11'!D41+'T10 &amp; T11'!D47+'T10 &amp; T11'!D55</f>
        <v>204058332.31</v>
      </c>
      <c r="D26" s="205">
        <f>'T10 &amp; T11'!E41+'T10 &amp; T11'!E47+'T10 &amp; T11'!E55</f>
        <v>45794247.530000001</v>
      </c>
      <c r="E26" s="205">
        <f>'T10 &amp; T11'!F41+'T10 &amp; T11'!F47+'T10 &amp; T11'!F55</f>
        <v>31499188.659999996</v>
      </c>
      <c r="F26" s="205">
        <f>C26-D26-E26</f>
        <v>126764896.12</v>
      </c>
      <c r="G26" s="182">
        <f>'T10 &amp; T11'!H41+'T10 &amp; T11'!H47+'T10 &amp; T11'!H55</f>
        <v>288102</v>
      </c>
      <c r="H26" s="183">
        <f t="shared" si="4"/>
        <v>8.1511733675485962E-2</v>
      </c>
      <c r="I26" s="183">
        <f t="shared" si="5"/>
        <v>3.3419863298821628</v>
      </c>
      <c r="J26" s="207">
        <f t="shared" si="6"/>
        <v>708.28502512998864</v>
      </c>
      <c r="K26" s="207">
        <f t="shared" si="7"/>
        <v>440.00005595240577</v>
      </c>
    </row>
    <row r="27" spans="1:11" s="46" customFormat="1" ht="14.1" customHeight="1">
      <c r="A27" s="201" t="s">
        <v>55</v>
      </c>
      <c r="B27" s="185"/>
      <c r="C27" s="202">
        <f>SUM(C22:C26)</f>
        <v>654555294.43000007</v>
      </c>
      <c r="D27" s="202">
        <f>SUM(D22:D26)</f>
        <v>297605943.71000004</v>
      </c>
      <c r="E27" s="202">
        <f>SUM(E22:E26)</f>
        <v>221311593.29999998</v>
      </c>
      <c r="F27" s="202">
        <f>SUM(F22:F26)</f>
        <v>135637757.42000008</v>
      </c>
      <c r="G27" s="206">
        <f>SUM(G22:G26)</f>
        <v>3534485</v>
      </c>
      <c r="H27" s="203">
        <f t="shared" si="4"/>
        <v>1</v>
      </c>
      <c r="I27" s="203">
        <f t="shared" si="5"/>
        <v>1.6495519703090005</v>
      </c>
      <c r="J27" s="204">
        <f t="shared" si="6"/>
        <v>185.19113659557195</v>
      </c>
      <c r="K27" s="204">
        <f t="shared" si="7"/>
        <v>38.375536300196515</v>
      </c>
    </row>
    <row r="28" spans="1:11" s="46" customFormat="1" ht="15" customHeight="1" thickBot="1">
      <c r="A28" s="52"/>
      <c r="B28" s="52"/>
      <c r="C28" s="53"/>
      <c r="D28" s="53"/>
      <c r="E28" s="53"/>
      <c r="F28" s="53"/>
      <c r="G28" s="54"/>
      <c r="H28" s="55"/>
      <c r="I28" s="55"/>
      <c r="J28" s="56"/>
      <c r="K28" s="56"/>
    </row>
    <row r="29" spans="1:11" ht="17.100000000000001" customHeight="1">
      <c r="A29" s="179" t="s">
        <v>58</v>
      </c>
      <c r="B29" s="47"/>
      <c r="C29" s="50"/>
      <c r="D29" s="50"/>
      <c r="E29" s="50"/>
      <c r="F29" s="50"/>
      <c r="G29" s="48"/>
      <c r="H29" s="49"/>
      <c r="I29" s="49"/>
      <c r="J29" s="51"/>
      <c r="K29" s="51"/>
    </row>
    <row r="30" spans="1:11" ht="26.25">
      <c r="A30" s="199"/>
      <c r="B30" s="197"/>
      <c r="C30" s="200" t="s">
        <v>41</v>
      </c>
      <c r="D30" s="200" t="s">
        <v>42</v>
      </c>
      <c r="E30" s="200" t="s">
        <v>43</v>
      </c>
      <c r="F30" s="200" t="s">
        <v>44</v>
      </c>
      <c r="G30" s="200" t="s">
        <v>45</v>
      </c>
      <c r="H30" s="200" t="s">
        <v>46</v>
      </c>
      <c r="I30" s="200" t="s">
        <v>47</v>
      </c>
      <c r="J30" s="200" t="s">
        <v>48</v>
      </c>
      <c r="K30" s="200" t="s">
        <v>49</v>
      </c>
    </row>
    <row r="31" spans="1:11" ht="14.1" customHeight="1">
      <c r="A31" s="180" t="s">
        <v>50</v>
      </c>
      <c r="B31" s="180"/>
      <c r="C31" s="205"/>
      <c r="D31" s="205"/>
      <c r="E31" s="205"/>
      <c r="F31" s="205"/>
      <c r="G31" s="182"/>
      <c r="H31" s="183"/>
      <c r="I31" s="183"/>
      <c r="J31" s="207"/>
      <c r="K31" s="207"/>
    </row>
    <row r="32" spans="1:11" ht="14.1" customHeight="1">
      <c r="A32" s="180" t="s">
        <v>51</v>
      </c>
      <c r="B32" s="180">
        <v>15</v>
      </c>
      <c r="C32" s="205">
        <f>'T10 &amp; T11'!D44</f>
        <v>3063649.79</v>
      </c>
      <c r="D32" s="205">
        <f>'T10 &amp; T11'!E44</f>
        <v>1971441.98</v>
      </c>
      <c r="E32" s="205">
        <f>'T10 &amp; T11'!F44</f>
        <v>902168.94</v>
      </c>
      <c r="F32" s="205">
        <f>C32-D32-E32</f>
        <v>190038.87000000011</v>
      </c>
      <c r="G32" s="182">
        <f>'T10 &amp; T11'!H44</f>
        <v>10778</v>
      </c>
      <c r="H32" s="183">
        <f>G32/$G$27</f>
        <v>3.0493834320983113E-3</v>
      </c>
      <c r="I32" s="183">
        <f>C32/(D32/0.75)</f>
        <v>1.1655110146837799</v>
      </c>
      <c r="J32" s="207">
        <f>C32/G32</f>
        <v>284.25030525143814</v>
      </c>
      <c r="K32" s="207">
        <f>F32/G32</f>
        <v>17.632108925589172</v>
      </c>
    </row>
    <row r="33" spans="1:11" ht="14.1" customHeight="1">
      <c r="A33" s="180" t="s">
        <v>52</v>
      </c>
      <c r="B33" s="180">
        <v>16</v>
      </c>
      <c r="C33" s="205">
        <f>'T10 &amp; T11'!D45</f>
        <v>7211068.8099999996</v>
      </c>
      <c r="D33" s="205">
        <f>'T10 &amp; T11'!E45</f>
        <v>3863604.26</v>
      </c>
      <c r="E33" s="205">
        <f>'T10 &amp; T11'!F45</f>
        <v>2878032.59</v>
      </c>
      <c r="F33" s="205">
        <f>C33-D33-E33</f>
        <v>469431.95999999996</v>
      </c>
      <c r="G33" s="182">
        <f>'T10 &amp; T11'!H45</f>
        <v>30475</v>
      </c>
      <c r="H33" s="183">
        <f>G33/$G$27</f>
        <v>8.6221896542211952E-3</v>
      </c>
      <c r="I33" s="183">
        <f>C33/(D33/0.75)</f>
        <v>1.3998073414226953</v>
      </c>
      <c r="J33" s="207">
        <f>C33/G33</f>
        <v>236.62243839212468</v>
      </c>
      <c r="K33" s="207">
        <f>F33/G33</f>
        <v>15.403837899917963</v>
      </c>
    </row>
    <row r="34" spans="1:11" ht="14.1" customHeight="1">
      <c r="A34" s="180" t="s">
        <v>53</v>
      </c>
      <c r="B34" s="180">
        <v>17</v>
      </c>
      <c r="C34" s="205">
        <f>'T10 &amp; T11'!D46</f>
        <v>25245930.41</v>
      </c>
      <c r="D34" s="205">
        <f>'T10 &amp; T11'!E46</f>
        <v>10831383.949999999</v>
      </c>
      <c r="E34" s="205">
        <f>'T10 &amp; T11'!F46</f>
        <v>10715933.859999999</v>
      </c>
      <c r="F34" s="205">
        <f>C34-D34-E34</f>
        <v>3698612.6000000015</v>
      </c>
      <c r="G34" s="182">
        <f>'T10 &amp; T11'!H46</f>
        <v>34404</v>
      </c>
      <c r="H34" s="183">
        <f>G34/$G$27</f>
        <v>9.7338084614873172E-3</v>
      </c>
      <c r="I34" s="183">
        <f>C34/(D34/0.75)</f>
        <v>1.7481097424766299</v>
      </c>
      <c r="J34" s="207">
        <f>C34/G34</f>
        <v>733.8079993605395</v>
      </c>
      <c r="K34" s="207">
        <f>F34/G34</f>
        <v>107.50530752238116</v>
      </c>
    </row>
    <row r="35" spans="1:11" ht="14.1" customHeight="1">
      <c r="A35" s="180" t="s">
        <v>54</v>
      </c>
      <c r="B35" s="180">
        <v>18</v>
      </c>
      <c r="C35" s="205">
        <f>'T10 &amp; T11'!D47</f>
        <v>61595150.789999999</v>
      </c>
      <c r="D35" s="205">
        <f>'T10 &amp; T11'!E47</f>
        <v>15617848.02</v>
      </c>
      <c r="E35" s="205">
        <f>'T10 &amp; T11'!F47</f>
        <v>17273191.84</v>
      </c>
      <c r="F35" s="205">
        <f>C35-D35-E35</f>
        <v>28704110.929999996</v>
      </c>
      <c r="G35" s="182">
        <f>'T10 &amp; T11'!H47</f>
        <v>188221</v>
      </c>
      <c r="H35" s="183">
        <f>G35/$G$27</f>
        <v>5.3252736961679002E-2</v>
      </c>
      <c r="I35" s="183">
        <f>C35/(D35/0.75)</f>
        <v>2.9579211574694271</v>
      </c>
      <c r="J35" s="207">
        <f>C35/G35</f>
        <v>327.24908904957471</v>
      </c>
      <c r="K35" s="207">
        <f>F35/G35</f>
        <v>152.5021699491555</v>
      </c>
    </row>
    <row r="36" spans="1:11" s="46" customFormat="1" ht="14.1" customHeight="1">
      <c r="A36" s="201" t="s">
        <v>55</v>
      </c>
      <c r="B36" s="185"/>
      <c r="C36" s="202">
        <f>SUM(C31:C35)</f>
        <v>97115799.799999997</v>
      </c>
      <c r="D36" s="202">
        <f>SUM(D31:D35)</f>
        <v>32284278.210000001</v>
      </c>
      <c r="E36" s="202">
        <f>SUM(E31:E35)</f>
        <v>31769327.229999997</v>
      </c>
      <c r="F36" s="202">
        <f>SUM(F31:F35)</f>
        <v>33062194.359999999</v>
      </c>
      <c r="G36" s="206">
        <f>SUM(G31:G35)</f>
        <v>263878</v>
      </c>
      <c r="H36" s="203">
        <f>G36/$G$27</f>
        <v>7.4658118509485824E-2</v>
      </c>
      <c r="I36" s="203">
        <f>C36/(D36/0.75)</f>
        <v>2.2561089758989534</v>
      </c>
      <c r="J36" s="204">
        <f>C36/G36</f>
        <v>368.03295386504368</v>
      </c>
      <c r="K36" s="204">
        <f>F36/G36</f>
        <v>125.29348547434799</v>
      </c>
    </row>
    <row r="37" spans="1:11" ht="17.100000000000001" customHeight="1">
      <c r="A37" s="179" t="s">
        <v>59</v>
      </c>
      <c r="B37" s="47"/>
      <c r="C37" s="50"/>
      <c r="D37" s="50"/>
      <c r="E37" s="50"/>
      <c r="F37" s="50"/>
      <c r="G37" s="48"/>
      <c r="H37" s="49"/>
      <c r="I37" s="49"/>
      <c r="J37" s="51"/>
      <c r="K37" s="51"/>
    </row>
    <row r="38" spans="1:11" ht="26.25">
      <c r="A38" s="199"/>
      <c r="B38" s="197"/>
      <c r="C38" s="200" t="s">
        <v>41</v>
      </c>
      <c r="D38" s="200" t="s">
        <v>42</v>
      </c>
      <c r="E38" s="200" t="s">
        <v>43</v>
      </c>
      <c r="F38" s="200" t="s">
        <v>44</v>
      </c>
      <c r="G38" s="200" t="s">
        <v>45</v>
      </c>
      <c r="H38" s="200" t="s">
        <v>46</v>
      </c>
      <c r="I38" s="200" t="s">
        <v>47</v>
      </c>
      <c r="J38" s="200" t="s">
        <v>48</v>
      </c>
      <c r="K38" s="200" t="s">
        <v>49</v>
      </c>
    </row>
    <row r="39" spans="1:11" ht="14.1" customHeight="1">
      <c r="A39" s="180" t="s">
        <v>50</v>
      </c>
      <c r="B39" s="180">
        <v>10</v>
      </c>
      <c r="C39" s="205">
        <f>'T10 &amp; T11'!D37+'T10 &amp; T11'!D51</f>
        <v>65970447.079999998</v>
      </c>
      <c r="D39" s="205">
        <f>'T10 &amp; T11'!E37+'T10 &amp; T11'!E51</f>
        <v>49446616.369999997</v>
      </c>
      <c r="E39" s="205">
        <f>'T10 &amp; T11'!F37+'T10 &amp; T11'!F51</f>
        <v>16487866.879999999</v>
      </c>
      <c r="F39" s="205">
        <f>C39-D39-E39</f>
        <v>35963.830000001937</v>
      </c>
      <c r="G39" s="182">
        <f>'T10 &amp; T11'!H37+'T10 &amp; T11'!H51</f>
        <v>1244037</v>
      </c>
      <c r="H39" s="183">
        <f t="shared" ref="H39:H44" si="8">G39/$G$27</f>
        <v>0.35197122070117709</v>
      </c>
      <c r="I39" s="183">
        <f t="shared" ref="I39:I44" si="9">C39/(D39/0.75)</f>
        <v>1.0006313665583586</v>
      </c>
      <c r="J39" s="207">
        <f t="shared" ref="J39:J44" si="10">C39/G39</f>
        <v>53.029328773983408</v>
      </c>
      <c r="K39" s="207">
        <f t="shared" ref="K39:K44" si="11">F39/G39</f>
        <v>2.8908971356962805E-2</v>
      </c>
    </row>
    <row r="40" spans="1:11" ht="14.1" customHeight="1">
      <c r="A40" s="180" t="s">
        <v>51</v>
      </c>
      <c r="B40" s="180">
        <v>11</v>
      </c>
      <c r="C40" s="205">
        <f>'T10 &amp; T11'!D38+'T10 &amp; T11'!D44</f>
        <v>72019592.050000012</v>
      </c>
      <c r="D40" s="205">
        <f>'T10 &amp; T11'!E38+'T10 &amp; T11'!E44</f>
        <v>45996500.039999999</v>
      </c>
      <c r="E40" s="205">
        <f>'T10 &amp; T11'!F38+'T10 &amp; T11'!F44</f>
        <v>25832360.16</v>
      </c>
      <c r="F40" s="205">
        <f>C40-D40-E40</f>
        <v>190731.85000001267</v>
      </c>
      <c r="G40" s="182">
        <f>'T10 &amp; T11'!H38+'T10 &amp; T11'!H44</f>
        <v>511694</v>
      </c>
      <c r="H40" s="183">
        <f t="shared" si="8"/>
        <v>0.14477186916905857</v>
      </c>
      <c r="I40" s="183">
        <f t="shared" si="9"/>
        <v>1.1743218286288553</v>
      </c>
      <c r="J40" s="207">
        <f t="shared" si="10"/>
        <v>140.74738427654029</v>
      </c>
      <c r="K40" s="207">
        <f t="shared" si="11"/>
        <v>0.37274591845910382</v>
      </c>
    </row>
    <row r="41" spans="1:11" ht="14.1" customHeight="1">
      <c r="A41" s="180" t="s">
        <v>52</v>
      </c>
      <c r="B41" s="180">
        <v>12</v>
      </c>
      <c r="C41" s="205">
        <f>'T10 &amp; T11'!D39+'T10 &amp; T11'!D45</f>
        <v>144302539.75999999</v>
      </c>
      <c r="D41" s="205">
        <f>'T10 &amp; T11'!E39+'T10 &amp; T11'!E45</f>
        <v>78962353.760000005</v>
      </c>
      <c r="E41" s="205">
        <f>'T10 &amp; T11'!F39+'T10 &amp; T11'!F45</f>
        <v>64870669.019999996</v>
      </c>
      <c r="F41" s="205">
        <f>C41-D41-E41</f>
        <v>469516.97999998927</v>
      </c>
      <c r="G41" s="182">
        <f>'T10 &amp; T11'!H39+'T10 &amp; T11'!H45</f>
        <v>716308</v>
      </c>
      <c r="H41" s="183">
        <f t="shared" si="8"/>
        <v>0.20266262270175145</v>
      </c>
      <c r="I41" s="183">
        <f t="shared" si="9"/>
        <v>1.3706139655986869</v>
      </c>
      <c r="J41" s="207">
        <f t="shared" si="10"/>
        <v>201.45320136030867</v>
      </c>
      <c r="K41" s="207">
        <f t="shared" si="11"/>
        <v>0.65546801096733431</v>
      </c>
    </row>
    <row r="42" spans="1:11" ht="14.1" customHeight="1">
      <c r="A42" s="180" t="s">
        <v>53</v>
      </c>
      <c r="B42" s="180">
        <v>13</v>
      </c>
      <c r="C42" s="205">
        <f>'T10 &amp; T11'!D40+'T10 &amp; T11'!D46</f>
        <v>154168254.17000002</v>
      </c>
      <c r="D42" s="205">
        <f>'T10 &amp; T11'!E40+'T10 &amp; T11'!E46</f>
        <v>70338841.849999994</v>
      </c>
      <c r="E42" s="205">
        <f>'T10 &amp; T11'!F40+'T10 &amp; T11'!F46</f>
        <v>80130627.769999996</v>
      </c>
      <c r="F42" s="205">
        <f>C42-D42-E42</f>
        <v>3698784.5500000268</v>
      </c>
      <c r="G42" s="182">
        <f>'T10 &amp; T11'!H40+'T10 &amp; T11'!H46</f>
        <v>742926</v>
      </c>
      <c r="H42" s="183">
        <f t="shared" si="8"/>
        <v>0.21019356426749583</v>
      </c>
      <c r="I42" s="183">
        <f t="shared" si="9"/>
        <v>1.6438455281091613</v>
      </c>
      <c r="J42" s="207">
        <f t="shared" si="10"/>
        <v>207.51495326587039</v>
      </c>
      <c r="K42" s="207">
        <f t="shared" si="11"/>
        <v>4.9786715635204946</v>
      </c>
    </row>
    <row r="43" spans="1:11" ht="14.1" customHeight="1">
      <c r="A43" s="180" t="s">
        <v>54</v>
      </c>
      <c r="B43" s="180">
        <v>14</v>
      </c>
      <c r="C43" s="205">
        <f>'T10 &amp; T11'!D41+'T10 &amp; T11'!D47</f>
        <v>68205227.829999998</v>
      </c>
      <c r="D43" s="205">
        <f>'T10 &amp; T11'!E41+'T10 &amp; T11'!E47</f>
        <v>17540753.809999999</v>
      </c>
      <c r="E43" s="205">
        <f>'T10 &amp; T11'!F41+'T10 &amp; T11'!F47</f>
        <v>21960363.009999998</v>
      </c>
      <c r="F43" s="205">
        <f>C43-D43-E43</f>
        <v>28704111.009999998</v>
      </c>
      <c r="G43" s="182">
        <f>'T10 &amp; T11'!H41+'T10 &amp; T11'!H47</f>
        <v>194209</v>
      </c>
      <c r="H43" s="183">
        <f t="shared" si="8"/>
        <v>5.4946901740989137E-2</v>
      </c>
      <c r="I43" s="183">
        <f t="shared" si="9"/>
        <v>2.9162897687633644</v>
      </c>
      <c r="J43" s="207">
        <f t="shared" si="10"/>
        <v>351.19499008799795</v>
      </c>
      <c r="K43" s="207">
        <f t="shared" si="11"/>
        <v>147.80010715260363</v>
      </c>
    </row>
    <row r="44" spans="1:11" s="46" customFormat="1" ht="14.1" customHeight="1">
      <c r="A44" s="201" t="s">
        <v>55</v>
      </c>
      <c r="B44" s="185"/>
      <c r="C44" s="202">
        <f>SUM(C39:C43)</f>
        <v>504666060.88999999</v>
      </c>
      <c r="D44" s="202">
        <f>SUM(D39:D43)</f>
        <v>262285065.83000001</v>
      </c>
      <c r="E44" s="202">
        <f>SUM(E39:E43)</f>
        <v>209281886.83999997</v>
      </c>
      <c r="F44" s="202">
        <f>SUM(F39:F43)</f>
        <v>33099108.220000029</v>
      </c>
      <c r="G44" s="206">
        <f>SUM(G39:G43)</f>
        <v>3409174</v>
      </c>
      <c r="H44" s="203">
        <f t="shared" si="8"/>
        <v>0.96454617858047209</v>
      </c>
      <c r="I44" s="203">
        <f t="shared" si="9"/>
        <v>1.4430846242417186</v>
      </c>
      <c r="J44" s="204">
        <f t="shared" si="10"/>
        <v>148.0317698333966</v>
      </c>
      <c r="K44" s="204">
        <f t="shared" si="11"/>
        <v>9.7088351078589792</v>
      </c>
    </row>
    <row r="45" spans="1:11" ht="17.100000000000001" customHeight="1">
      <c r="A45" s="179" t="s">
        <v>60</v>
      </c>
      <c r="B45" s="47"/>
      <c r="C45" s="50"/>
      <c r="D45" s="50"/>
      <c r="E45" s="50"/>
      <c r="F45" s="50"/>
      <c r="G45" s="48"/>
      <c r="H45" s="49"/>
      <c r="I45" s="49"/>
      <c r="J45" s="51"/>
      <c r="K45" s="51"/>
    </row>
    <row r="46" spans="1:11" ht="26.25">
      <c r="A46" s="199"/>
      <c r="B46" s="197"/>
      <c r="C46" s="200" t="s">
        <v>41</v>
      </c>
      <c r="D46" s="200" t="s">
        <v>42</v>
      </c>
      <c r="E46" s="200" t="s">
        <v>43</v>
      </c>
      <c r="F46" s="200" t="s">
        <v>44</v>
      </c>
      <c r="G46" s="200" t="s">
        <v>45</v>
      </c>
      <c r="H46" s="200" t="s">
        <v>46</v>
      </c>
      <c r="I46" s="200" t="s">
        <v>47</v>
      </c>
      <c r="J46" s="200" t="s">
        <v>48</v>
      </c>
      <c r="K46" s="200" t="s">
        <v>49</v>
      </c>
    </row>
    <row r="47" spans="1:11" ht="14.1" customHeight="1">
      <c r="A47" s="180" t="s">
        <v>50</v>
      </c>
      <c r="B47" s="180"/>
      <c r="C47" s="205">
        <f>'T10 &amp; T11'!D37</f>
        <v>30644916.02</v>
      </c>
      <c r="D47" s="205">
        <f>'T10 &amp; T11'!E37</f>
        <v>23111618.399999999</v>
      </c>
      <c r="E47" s="205">
        <f>'T10 &amp; T11'!F37</f>
        <v>7533304.3700000001</v>
      </c>
      <c r="F47" s="205">
        <f>C47-D47-E47</f>
        <v>-6.7499999990686774</v>
      </c>
      <c r="G47" s="182">
        <f>'T10 &amp; T11'!H37</f>
        <v>999518</v>
      </c>
      <c r="H47" s="183">
        <f t="shared" ref="H47:H52" si="12">G47/$G$27</f>
        <v>0.2827902792061644</v>
      </c>
      <c r="I47" s="183">
        <f t="shared" ref="I47:I52" si="13">C47/(D47/0.75)</f>
        <v>0.99446462888120379</v>
      </c>
      <c r="J47" s="207">
        <f t="shared" ref="J47:J52" si="14">C47/G47</f>
        <v>30.659693992504387</v>
      </c>
      <c r="K47" s="207">
        <f t="shared" ref="K47:K52" si="15">F47/G47</f>
        <v>-6.7532550680114589E-6</v>
      </c>
    </row>
    <row r="48" spans="1:11" ht="14.1" customHeight="1">
      <c r="A48" s="180" t="s">
        <v>51</v>
      </c>
      <c r="B48" s="180">
        <v>21</v>
      </c>
      <c r="C48" s="205">
        <f>'T10 &amp; T11'!D38+'T10 &amp; T11'!D44</f>
        <v>72019592.050000012</v>
      </c>
      <c r="D48" s="205">
        <f>'T10 &amp; T11'!E38+'T10 &amp; T11'!E44</f>
        <v>45996500.039999999</v>
      </c>
      <c r="E48" s="205">
        <f>'T10 &amp; T11'!F38+'T10 &amp; T11'!F44</f>
        <v>25832360.16</v>
      </c>
      <c r="F48" s="205">
        <f>C48-D48-E48</f>
        <v>190731.85000001267</v>
      </c>
      <c r="G48" s="182">
        <f>'T10 &amp; T11'!H38+'T10 &amp; T11'!H44</f>
        <v>511694</v>
      </c>
      <c r="H48" s="183">
        <f t="shared" si="12"/>
        <v>0.14477186916905857</v>
      </c>
      <c r="I48" s="183">
        <f t="shared" si="13"/>
        <v>1.1743218286288553</v>
      </c>
      <c r="J48" s="207">
        <f t="shared" si="14"/>
        <v>140.74738427654029</v>
      </c>
      <c r="K48" s="207">
        <f t="shared" si="15"/>
        <v>0.37274591845910382</v>
      </c>
    </row>
    <row r="49" spans="1:11" ht="14.1" customHeight="1">
      <c r="A49" s="180" t="s">
        <v>52</v>
      </c>
      <c r="B49" s="180">
        <v>22</v>
      </c>
      <c r="C49" s="205">
        <f>'T10 &amp; T11'!D39+'T10 &amp; T11'!D45</f>
        <v>144302539.75999999</v>
      </c>
      <c r="D49" s="205">
        <f>'T10 &amp; T11'!E39+'T10 &amp; T11'!E45</f>
        <v>78962353.760000005</v>
      </c>
      <c r="E49" s="205">
        <f>'T10 &amp; T11'!F39+'T10 &amp; T11'!F45</f>
        <v>64870669.019999996</v>
      </c>
      <c r="F49" s="205">
        <f>C49-D49-E49</f>
        <v>469516.97999998927</v>
      </c>
      <c r="G49" s="182">
        <f>'T10 &amp; T11'!H39+'T10 &amp; T11'!H45</f>
        <v>716308</v>
      </c>
      <c r="H49" s="183">
        <f t="shared" si="12"/>
        <v>0.20266262270175145</v>
      </c>
      <c r="I49" s="183">
        <f t="shared" si="13"/>
        <v>1.3706139655986869</v>
      </c>
      <c r="J49" s="207">
        <f t="shared" si="14"/>
        <v>201.45320136030867</v>
      </c>
      <c r="K49" s="207">
        <f t="shared" si="15"/>
        <v>0.65546801096733431</v>
      </c>
    </row>
    <row r="50" spans="1:11" ht="14.1" customHeight="1">
      <c r="A50" s="180" t="s">
        <v>53</v>
      </c>
      <c r="B50" s="180">
        <v>23</v>
      </c>
      <c r="C50" s="205">
        <f>'T10 &amp; T11'!D40+'T10 &amp; T11'!D46</f>
        <v>154168254.17000002</v>
      </c>
      <c r="D50" s="205">
        <f>'T10 &amp; T11'!E40+'T10 &amp; T11'!E46</f>
        <v>70338841.849999994</v>
      </c>
      <c r="E50" s="205">
        <f>'T10 &amp; T11'!F40+'T10 &amp; T11'!F46</f>
        <v>80130627.769999996</v>
      </c>
      <c r="F50" s="205">
        <f>C50-D50-E50</f>
        <v>3698784.5500000268</v>
      </c>
      <c r="G50" s="182">
        <f>'T10 &amp; T11'!H40+'T10 &amp; T11'!H46</f>
        <v>742926</v>
      </c>
      <c r="H50" s="183">
        <f t="shared" si="12"/>
        <v>0.21019356426749583</v>
      </c>
      <c r="I50" s="183">
        <f t="shared" si="13"/>
        <v>1.6438455281091613</v>
      </c>
      <c r="J50" s="207">
        <f t="shared" si="14"/>
        <v>207.51495326587039</v>
      </c>
      <c r="K50" s="207">
        <f t="shared" si="15"/>
        <v>4.9786715635204946</v>
      </c>
    </row>
    <row r="51" spans="1:11" ht="14.1" customHeight="1">
      <c r="A51" s="180" t="s">
        <v>54</v>
      </c>
      <c r="B51" s="180">
        <v>24</v>
      </c>
      <c r="C51" s="205">
        <f>'T10 &amp; T11'!D41+'T10 &amp; T11'!D47</f>
        <v>68205227.829999998</v>
      </c>
      <c r="D51" s="205">
        <f>'T10 &amp; T11'!E41+'T10 &amp; T11'!E47</f>
        <v>17540753.809999999</v>
      </c>
      <c r="E51" s="205">
        <f>'T10 &amp; T11'!F41+'T10 &amp; T11'!F47</f>
        <v>21960363.009999998</v>
      </c>
      <c r="F51" s="205">
        <f>C51-D51-E51</f>
        <v>28704111.009999998</v>
      </c>
      <c r="G51" s="182">
        <f>'T10 &amp; T11'!H41+'T10 &amp; T11'!H47</f>
        <v>194209</v>
      </c>
      <c r="H51" s="183">
        <f t="shared" si="12"/>
        <v>5.4946901740989137E-2</v>
      </c>
      <c r="I51" s="183">
        <f>C51/(D51/0.75)</f>
        <v>2.9162897687633644</v>
      </c>
      <c r="J51" s="207">
        <f t="shared" si="14"/>
        <v>351.19499008799795</v>
      </c>
      <c r="K51" s="207">
        <f t="shared" si="15"/>
        <v>147.80010715260363</v>
      </c>
    </row>
    <row r="52" spans="1:11" s="46" customFormat="1" ht="14.1" customHeight="1">
      <c r="A52" s="201" t="s">
        <v>55</v>
      </c>
      <c r="B52" s="185">
        <v>25</v>
      </c>
      <c r="C52" s="202">
        <f>SUM(C47:C51)</f>
        <v>469340529.82999998</v>
      </c>
      <c r="D52" s="202">
        <f>SUM(D47:D51)</f>
        <v>235950067.85999998</v>
      </c>
      <c r="E52" s="202">
        <f>SUM(E47:E51)</f>
        <v>200327324.32999998</v>
      </c>
      <c r="F52" s="202">
        <f>SUM(F47:F51)</f>
        <v>33063137.640000027</v>
      </c>
      <c r="G52" s="206">
        <f>SUM(G47:G51)</f>
        <v>3164655</v>
      </c>
      <c r="H52" s="203">
        <f t="shared" si="12"/>
        <v>0.89536523708545945</v>
      </c>
      <c r="I52" s="203">
        <f t="shared" si="13"/>
        <v>1.4918639378453622</v>
      </c>
      <c r="J52" s="204">
        <f t="shared" si="14"/>
        <v>148.30701287502112</v>
      </c>
      <c r="K52" s="204">
        <f t="shared" si="15"/>
        <v>10.447627826729937</v>
      </c>
    </row>
    <row r="53" spans="1:11" ht="17.100000000000001" customHeight="1">
      <c r="A53" s="179" t="s">
        <v>61</v>
      </c>
      <c r="B53" s="47"/>
      <c r="C53" s="50"/>
      <c r="D53" s="50"/>
      <c r="E53" s="50"/>
      <c r="F53" s="50"/>
      <c r="G53" s="48"/>
      <c r="H53" s="49"/>
      <c r="I53" s="49"/>
      <c r="J53" s="51"/>
      <c r="K53" s="51"/>
    </row>
    <row r="54" spans="1:11" ht="26.25">
      <c r="A54" s="199"/>
      <c r="B54" s="197"/>
      <c r="C54" s="200" t="s">
        <v>41</v>
      </c>
      <c r="D54" s="200" t="s">
        <v>42</v>
      </c>
      <c r="E54" s="200" t="s">
        <v>43</v>
      </c>
      <c r="F54" s="200" t="s">
        <v>44</v>
      </c>
      <c r="G54" s="200" t="s">
        <v>45</v>
      </c>
      <c r="H54" s="200" t="s">
        <v>46</v>
      </c>
      <c r="I54" s="200" t="s">
        <v>47</v>
      </c>
      <c r="J54" s="200" t="s">
        <v>48</v>
      </c>
      <c r="K54" s="200" t="s">
        <v>49</v>
      </c>
    </row>
    <row r="55" spans="1:11" ht="14.1" customHeight="1">
      <c r="A55" s="180" t="s">
        <v>50</v>
      </c>
      <c r="B55" s="180"/>
      <c r="C55" s="205"/>
      <c r="D55" s="205"/>
      <c r="E55" s="205"/>
      <c r="F55" s="205"/>
      <c r="G55" s="182"/>
      <c r="H55" s="183"/>
      <c r="I55" s="183"/>
      <c r="J55" s="207"/>
      <c r="K55" s="207"/>
    </row>
    <row r="56" spans="1:11" ht="14.1" customHeight="1">
      <c r="A56" s="180" t="s">
        <v>51</v>
      </c>
      <c r="B56" s="180">
        <v>21</v>
      </c>
      <c r="C56" s="205">
        <f>'T10 &amp; T11'!D52</f>
        <v>3064946.39</v>
      </c>
      <c r="D56" s="205">
        <f>'T10 &amp; T11'!E52</f>
        <v>2069938.11</v>
      </c>
      <c r="E56" s="205">
        <f>'T10 &amp; T11'!F52</f>
        <v>717446.25</v>
      </c>
      <c r="F56" s="205">
        <f>C56-D56-E56</f>
        <v>277562.03000000003</v>
      </c>
      <c r="G56" s="182">
        <f>'T10 &amp; T11'!H52</f>
        <v>9349</v>
      </c>
      <c r="H56" s="183">
        <f>G56/$G$27</f>
        <v>2.645081249460671E-3</v>
      </c>
      <c r="I56" s="183">
        <f>C56/(D56/0.75)</f>
        <v>1.1105210254329778</v>
      </c>
      <c r="J56" s="207">
        <f>C56/G56</f>
        <v>327.83681570221415</v>
      </c>
      <c r="K56" s="207">
        <f>F56/G56</f>
        <v>29.688953898812709</v>
      </c>
    </row>
    <row r="57" spans="1:11" ht="14.1" customHeight="1">
      <c r="A57" s="180" t="s">
        <v>52</v>
      </c>
      <c r="B57" s="180">
        <v>22</v>
      </c>
      <c r="C57" s="205">
        <f>'T10 &amp; T11'!D53</f>
        <v>2793728.08</v>
      </c>
      <c r="D57" s="205">
        <f>'T10 &amp; T11'!E53</f>
        <v>1528562.91</v>
      </c>
      <c r="E57" s="205">
        <f>'T10 &amp; T11'!F53</f>
        <v>516176.98</v>
      </c>
      <c r="F57" s="205">
        <f>C57-D57-E57</f>
        <v>748988.19000000018</v>
      </c>
      <c r="G57" s="182">
        <f>'T10 &amp; T11'!H53</f>
        <v>5435</v>
      </c>
      <c r="H57" s="183">
        <f>G57/$G$27</f>
        <v>1.5377063419423197E-3</v>
      </c>
      <c r="I57" s="183">
        <f>C57/(D57/0.75)</f>
        <v>1.3707620708918027</v>
      </c>
      <c r="J57" s="207">
        <f>C57/G57</f>
        <v>514.02540570377187</v>
      </c>
      <c r="K57" s="207">
        <f>F57/G57</f>
        <v>137.80831462741494</v>
      </c>
    </row>
    <row r="58" spans="1:11" ht="14.1" customHeight="1">
      <c r="A58" s="180" t="s">
        <v>53</v>
      </c>
      <c r="B58" s="180">
        <v>23</v>
      </c>
      <c r="C58" s="205">
        <f>'T10 &amp; T11'!D54</f>
        <v>8177454.5899999999</v>
      </c>
      <c r="D58" s="205">
        <f>'T10 &amp; T11'!E54</f>
        <v>3468883.14</v>
      </c>
      <c r="E58" s="205">
        <f>'T10 &amp; T11'!F54</f>
        <v>1257257.58</v>
      </c>
      <c r="F58" s="205">
        <f>C58-D58-E58</f>
        <v>3451313.8699999992</v>
      </c>
      <c r="G58" s="182">
        <f>'T10 &amp; T11'!H54</f>
        <v>16634</v>
      </c>
      <c r="H58" s="183">
        <f>G58/$G$27</f>
        <v>4.7062018936280675E-3</v>
      </c>
      <c r="I58" s="183">
        <f>C58/(D58/0.75)</f>
        <v>1.7680304279434444</v>
      </c>
      <c r="J58" s="207">
        <f>C58/G58</f>
        <v>491.61083263195866</v>
      </c>
      <c r="K58" s="207">
        <f>F58/G58</f>
        <v>207.48550378742331</v>
      </c>
    </row>
    <row r="59" spans="1:11" ht="14.1" customHeight="1">
      <c r="A59" s="180" t="s">
        <v>54</v>
      </c>
      <c r="B59" s="180">
        <v>24</v>
      </c>
      <c r="C59" s="205">
        <f>'T10 &amp; T11'!D55</f>
        <v>135853104.47999999</v>
      </c>
      <c r="D59" s="205">
        <f>'T10 &amp; T11'!E55</f>
        <v>28253493.719999999</v>
      </c>
      <c r="E59" s="205">
        <f>'T10 &amp; T11'!F55</f>
        <v>9538825.6500000004</v>
      </c>
      <c r="F59" s="205">
        <f>C59-D59-E59</f>
        <v>98060785.109999985</v>
      </c>
      <c r="G59" s="182">
        <f>'T10 &amp; T11'!H55</f>
        <v>93893</v>
      </c>
      <c r="H59" s="183">
        <f>G59/$G$27</f>
        <v>2.6564831934496821E-2</v>
      </c>
      <c r="I59" s="183">
        <f>C59/(D59/0.75)</f>
        <v>3.6062735946837794</v>
      </c>
      <c r="J59" s="207">
        <f>C59/G59</f>
        <v>1446.8927873217385</v>
      </c>
      <c r="K59" s="207">
        <f>F59/G59</f>
        <v>1044.3886669932795</v>
      </c>
    </row>
    <row r="60" spans="1:11" s="46" customFormat="1" ht="14.1" customHeight="1">
      <c r="A60" s="201" t="s">
        <v>55</v>
      </c>
      <c r="B60" s="185">
        <v>25</v>
      </c>
      <c r="C60" s="202">
        <f>SUM(C55:C59)</f>
        <v>149889233.53999999</v>
      </c>
      <c r="D60" s="202">
        <f>SUM(D55:D59)</f>
        <v>35320877.879999995</v>
      </c>
      <c r="E60" s="202">
        <f>SUM(E55:E59)</f>
        <v>12029706.460000001</v>
      </c>
      <c r="F60" s="202">
        <f>SUM(F55:F59)</f>
        <v>102538649.19999999</v>
      </c>
      <c r="G60" s="206">
        <f>SUM(G55:G59)</f>
        <v>125311</v>
      </c>
      <c r="H60" s="203">
        <f>G60/$G$27</f>
        <v>3.5453821419527881E-2</v>
      </c>
      <c r="I60" s="203">
        <f>C60/(D60/0.75)</f>
        <v>3.1827330435253609</v>
      </c>
      <c r="J60" s="204">
        <f>C60/G60</f>
        <v>1196.1378772813241</v>
      </c>
      <c r="K60" s="204">
        <f>F60/G60</f>
        <v>818.27332955606437</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55" orientation="portrait" r:id="rId1"/>
  <headerFooter>
    <oddFooter>&amp;LAustralian Prudential Regulation Authority&amp;R&amp;P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DC9E0-0D2D-406E-81BB-F308B4B5911F}">
  <sheetPr>
    <pageSetUpPr fitToPage="1"/>
  </sheetPr>
  <dimension ref="A1:AF64"/>
  <sheetViews>
    <sheetView showGridLines="0" zoomScaleNormal="100" zoomScaleSheetLayoutView="100" workbookViewId="0">
      <selection activeCell="A2" sqref="A2:K2"/>
    </sheetView>
  </sheetViews>
  <sheetFormatPr defaultColWidth="9.625" defaultRowHeight="12" customHeight="1"/>
  <cols>
    <col min="1" max="1" width="13.3125" style="37" customWidth="1"/>
    <col min="2" max="2" width="0.25" style="37" hidden="1" customWidth="1"/>
    <col min="3" max="6" width="12.0625" style="59" customWidth="1"/>
    <col min="7" max="7" width="12.0625" style="57" customWidth="1"/>
    <col min="8" max="8" width="9.5" style="58" customWidth="1"/>
    <col min="9" max="9" width="11.3125" style="37" customWidth="1"/>
    <col min="10" max="10" width="10.1875" style="37" customWidth="1"/>
    <col min="11" max="11" width="10.1875" style="60" customWidth="1"/>
    <col min="12" max="16384" width="9.625" style="37"/>
  </cols>
  <sheetData>
    <row r="1" spans="1:32" ht="27" customHeight="1">
      <c r="A1" s="232" t="s">
        <v>38</v>
      </c>
      <c r="B1" s="232"/>
      <c r="C1" s="232"/>
      <c r="D1" s="232"/>
      <c r="E1" s="232"/>
      <c r="F1" s="232"/>
      <c r="G1" s="232"/>
      <c r="H1" s="232"/>
      <c r="I1" s="232"/>
      <c r="J1" s="232"/>
      <c r="K1" s="232"/>
    </row>
    <row r="2" spans="1:32" ht="15" customHeight="1">
      <c r="A2" s="234" t="str">
        <f>TEXT(Selection!G13&amp;" "&amp;Selection!G12,"mmmm yyyy")</f>
        <v xml:space="preserve"> </v>
      </c>
      <c r="B2" s="234"/>
      <c r="C2" s="234"/>
      <c r="D2" s="234"/>
      <c r="E2" s="234"/>
      <c r="F2" s="234"/>
      <c r="G2" s="234"/>
      <c r="H2" s="234"/>
      <c r="I2" s="234"/>
      <c r="J2" s="234"/>
      <c r="K2" s="234"/>
    </row>
    <row r="3" spans="1:32" ht="15" customHeight="1">
      <c r="A3" s="174" t="s">
        <v>63</v>
      </c>
      <c r="B3" s="38"/>
      <c r="C3" s="39"/>
      <c r="D3" s="39"/>
      <c r="E3" s="39"/>
      <c r="F3" s="39"/>
      <c r="G3" s="40"/>
      <c r="H3" s="41"/>
      <c r="I3" s="41"/>
      <c r="J3" s="174" t="str">
        <f>Selection!E15&amp;" "&amp;Selection!E14</f>
        <v>Dec 2024</v>
      </c>
      <c r="K3" s="43"/>
    </row>
    <row r="4" spans="1:32" ht="17.100000000000001" customHeight="1">
      <c r="A4" s="179" t="s">
        <v>40</v>
      </c>
      <c r="B4" s="38"/>
      <c r="C4" s="39"/>
      <c r="D4" s="39"/>
      <c r="E4" s="39"/>
      <c r="F4" s="39"/>
      <c r="G4" s="40"/>
      <c r="H4" s="41"/>
      <c r="I4" s="41"/>
      <c r="J4" s="38"/>
      <c r="K4" s="43"/>
    </row>
    <row r="5" spans="1:32" s="45" customFormat="1" ht="39.4">
      <c r="A5" s="199"/>
      <c r="B5" s="197"/>
      <c r="C5" s="200" t="s">
        <v>41</v>
      </c>
      <c r="D5" s="200" t="s">
        <v>42</v>
      </c>
      <c r="E5" s="200" t="s">
        <v>43</v>
      </c>
      <c r="F5" s="200" t="s">
        <v>44</v>
      </c>
      <c r="G5" s="200" t="s">
        <v>45</v>
      </c>
      <c r="H5" s="200" t="s">
        <v>46</v>
      </c>
      <c r="I5" s="200" t="s">
        <v>47</v>
      </c>
      <c r="J5" s="200" t="s">
        <v>48</v>
      </c>
      <c r="K5" s="200" t="s">
        <v>49</v>
      </c>
    </row>
    <row r="6" spans="1:32" ht="14.1" customHeight="1">
      <c r="A6" s="180" t="s">
        <v>50</v>
      </c>
      <c r="B6" s="180">
        <v>0</v>
      </c>
      <c r="C6" s="205">
        <f>'T12 &amp; T13'!D7+'T12 &amp; T13'!D21</f>
        <v>27886340.25</v>
      </c>
      <c r="D6" s="205">
        <f>'T12 &amp; T13'!E7+'T12 &amp; T13'!E21</f>
        <v>21005268.009999998</v>
      </c>
      <c r="E6" s="205">
        <f>'T12 &amp; T13'!F7+'T12 &amp; T13'!F21</f>
        <v>6863404.1600000001</v>
      </c>
      <c r="F6" s="205">
        <f>C6-D6-E6</f>
        <v>17668.080000001937</v>
      </c>
      <c r="G6" s="182">
        <f>'T12 &amp; T13'!H7+'T12 &amp; T13'!H21</f>
        <v>432678</v>
      </c>
      <c r="H6" s="183">
        <f t="shared" ref="H6:H11" si="0">G6/$G$27</f>
        <v>0.16603344091967326</v>
      </c>
      <c r="I6" s="183">
        <f t="shared" ref="I6:I11" si="1">C6/(D6/0.75)</f>
        <v>0.99569094655412593</v>
      </c>
      <c r="J6" s="207">
        <f t="shared" ref="J6:J11" si="2">C6/G6</f>
        <v>64.45056196524898</v>
      </c>
      <c r="K6" s="207">
        <f t="shared" ref="K6:K11" si="3">F6/G6</f>
        <v>4.0834246252413893E-2</v>
      </c>
      <c r="L6" s="44"/>
    </row>
    <row r="7" spans="1:32" ht="14.1" customHeight="1">
      <c r="A7" s="180" t="s">
        <v>51</v>
      </c>
      <c r="B7" s="180">
        <v>1</v>
      </c>
      <c r="C7" s="205">
        <f>'T12 &amp; T13'!D8</f>
        <v>70864632.510000005</v>
      </c>
      <c r="D7" s="205">
        <f>'T12 &amp; T13'!E8</f>
        <v>45229500.5</v>
      </c>
      <c r="E7" s="205">
        <f>'T12 &amp; T13'!F8</f>
        <v>25634660.789999999</v>
      </c>
      <c r="F7" s="205">
        <f>C7-D7-E7</f>
        <v>471.22000000625849</v>
      </c>
      <c r="G7" s="182">
        <f>'T12 &amp; T13'!H8</f>
        <v>527379</v>
      </c>
      <c r="H7" s="183">
        <f t="shared" si="0"/>
        <v>0.20237347412804987</v>
      </c>
      <c r="I7" s="183">
        <f t="shared" si="1"/>
        <v>1.175084265688497</v>
      </c>
      <c r="J7" s="207">
        <f t="shared" si="2"/>
        <v>134.37135818832377</v>
      </c>
      <c r="K7" s="207">
        <f t="shared" si="3"/>
        <v>8.9351301437155914E-4</v>
      </c>
    </row>
    <row r="8" spans="1:32" ht="14.1" customHeight="1">
      <c r="A8" s="180" t="s">
        <v>52</v>
      </c>
      <c r="B8" s="180">
        <v>2</v>
      </c>
      <c r="C8" s="205">
        <f>'T12 &amp; T13'!D9</f>
        <v>140208483.75999999</v>
      </c>
      <c r="D8" s="205">
        <f>'T12 &amp; T13'!E9</f>
        <v>77074425.040000007</v>
      </c>
      <c r="E8" s="205">
        <f>'T12 &amp; T13'!F9</f>
        <v>63133912.43</v>
      </c>
      <c r="F8" s="205">
        <f>C8-D8-E8</f>
        <v>146.28999998420477</v>
      </c>
      <c r="G8" s="182">
        <f>'T12 &amp; T13'!H9</f>
        <v>754598</v>
      </c>
      <c r="H8" s="183">
        <f t="shared" si="0"/>
        <v>0.28956522506599275</v>
      </c>
      <c r="I8" s="183">
        <f t="shared" si="1"/>
        <v>1.3643483265094232</v>
      </c>
      <c r="J8" s="207">
        <f t="shared" si="2"/>
        <v>185.8055332243128</v>
      </c>
      <c r="K8" s="207">
        <f t="shared" si="3"/>
        <v>1.93864812766804E-4</v>
      </c>
    </row>
    <row r="9" spans="1:32" ht="14.1" customHeight="1">
      <c r="A9" s="180" t="s">
        <v>53</v>
      </c>
      <c r="B9" s="180">
        <v>3</v>
      </c>
      <c r="C9" s="205">
        <f>'T12 &amp; T13'!D10</f>
        <v>86343510.849999994</v>
      </c>
      <c r="D9" s="205">
        <f>'T12 &amp; T13'!E10</f>
        <v>40054839.600000001</v>
      </c>
      <c r="E9" s="205">
        <f>'T12 &amp; T13'!F10</f>
        <v>46288586.310000002</v>
      </c>
      <c r="F9" s="205">
        <f>C9-D9-E9</f>
        <v>84.939999990165234</v>
      </c>
      <c r="G9" s="182">
        <f>'T12 &amp; T13'!H10</f>
        <v>541713</v>
      </c>
      <c r="H9" s="183">
        <f t="shared" si="0"/>
        <v>0.20787392328918725</v>
      </c>
      <c r="I9" s="183">
        <f t="shared" si="1"/>
        <v>1.616724315568099</v>
      </c>
      <c r="J9" s="207">
        <f t="shared" si="2"/>
        <v>159.38977069038401</v>
      </c>
      <c r="K9" s="207">
        <f t="shared" si="3"/>
        <v>1.5679889533787308E-4</v>
      </c>
    </row>
    <row r="10" spans="1:32" ht="14.1" customHeight="1">
      <c r="A10" s="180" t="s">
        <v>54</v>
      </c>
      <c r="B10" s="180">
        <v>4</v>
      </c>
      <c r="C10" s="205">
        <f>'T12 &amp; T13'!D11</f>
        <v>3630804.36</v>
      </c>
      <c r="D10" s="205">
        <f>'T12 &amp; T13'!E11</f>
        <v>1040669.73</v>
      </c>
      <c r="E10" s="205">
        <f>'T12 &amp; T13'!F11</f>
        <v>2590134.63</v>
      </c>
      <c r="F10" s="205">
        <f>C10-D10-E10</f>
        <v>0</v>
      </c>
      <c r="G10" s="182">
        <f>'T12 &amp; T13'!H11</f>
        <v>4833</v>
      </c>
      <c r="H10" s="183">
        <f t="shared" si="0"/>
        <v>1.8545884467543552E-3</v>
      </c>
      <c r="I10" s="183">
        <f t="shared" si="1"/>
        <v>2.6166834601790523</v>
      </c>
      <c r="J10" s="207">
        <f t="shared" si="2"/>
        <v>751.25271260086902</v>
      </c>
      <c r="K10" s="207">
        <f t="shared" si="3"/>
        <v>0</v>
      </c>
    </row>
    <row r="11" spans="1:32" s="46" customFormat="1" ht="14.1" customHeight="1">
      <c r="A11" s="201" t="s">
        <v>55</v>
      </c>
      <c r="B11" s="185"/>
      <c r="C11" s="202">
        <f>SUM(C6:C10)</f>
        <v>328933771.73000002</v>
      </c>
      <c r="D11" s="202">
        <f>SUM(D6:D10)</f>
        <v>184404702.88</v>
      </c>
      <c r="E11" s="202">
        <f>SUM(E6:E10)</f>
        <v>144510698.31999999</v>
      </c>
      <c r="F11" s="202">
        <f>SUM(F6:F10)</f>
        <v>18370.529999982566</v>
      </c>
      <c r="G11" s="206">
        <f>SUM(G6:G10)</f>
        <v>2261201</v>
      </c>
      <c r="H11" s="203">
        <f t="shared" si="0"/>
        <v>0.8677006518496575</v>
      </c>
      <c r="I11" s="203">
        <f t="shared" si="1"/>
        <v>1.3378201582962796</v>
      </c>
      <c r="J11" s="204">
        <f t="shared" si="2"/>
        <v>145.46861235688468</v>
      </c>
      <c r="K11" s="204">
        <f t="shared" si="3"/>
        <v>8.1242357490477687E-3</v>
      </c>
    </row>
    <row r="12" spans="1:32" ht="17.100000000000001" customHeight="1">
      <c r="A12" s="179" t="s">
        <v>56</v>
      </c>
      <c r="B12" s="47"/>
      <c r="C12" s="47"/>
      <c r="D12" s="47"/>
      <c r="E12" s="47"/>
      <c r="F12" s="47"/>
      <c r="G12" s="48"/>
      <c r="H12" s="49"/>
      <c r="I12" s="47"/>
      <c r="J12" s="47"/>
      <c r="K12" s="47"/>
    </row>
    <row r="13" spans="1:32" s="23" customFormat="1" ht="25.05" customHeight="1">
      <c r="A13" s="199"/>
      <c r="B13" s="197"/>
      <c r="C13" s="200" t="s">
        <v>41</v>
      </c>
      <c r="D13" s="200" t="s">
        <v>42</v>
      </c>
      <c r="E13" s="200" t="s">
        <v>43</v>
      </c>
      <c r="F13" s="200" t="s">
        <v>44</v>
      </c>
      <c r="G13" s="200" t="s">
        <v>45</v>
      </c>
      <c r="H13" s="200" t="s">
        <v>46</v>
      </c>
      <c r="I13" s="200" t="s">
        <v>47</v>
      </c>
      <c r="J13" s="200" t="s">
        <v>48</v>
      </c>
      <c r="K13" s="200" t="s">
        <v>49</v>
      </c>
      <c r="L13" s="198"/>
      <c r="M13" s="198"/>
      <c r="N13" s="198"/>
      <c r="O13" s="198"/>
      <c r="P13" s="198"/>
      <c r="Q13" s="198"/>
      <c r="R13" s="198"/>
      <c r="S13" s="198"/>
      <c r="T13" s="198"/>
      <c r="U13" s="198"/>
      <c r="V13" s="198"/>
      <c r="W13" s="198"/>
      <c r="X13" s="198"/>
      <c r="Y13" s="198"/>
      <c r="Z13" s="198"/>
      <c r="AA13" s="198"/>
      <c r="AB13" s="198"/>
      <c r="AC13" s="198"/>
      <c r="AD13" s="198"/>
      <c r="AE13" s="198"/>
      <c r="AF13" s="198"/>
    </row>
    <row r="14" spans="1:32" ht="14.1" customHeight="1">
      <c r="A14" s="180" t="s">
        <v>50</v>
      </c>
      <c r="B14" s="180"/>
      <c r="C14" s="205"/>
      <c r="D14" s="205"/>
      <c r="E14" s="205"/>
      <c r="F14" s="205"/>
      <c r="G14" s="182"/>
      <c r="H14" s="183"/>
      <c r="I14" s="183"/>
      <c r="J14" s="207"/>
      <c r="K14" s="207"/>
    </row>
    <row r="15" spans="1:32" ht="14.1" customHeight="1">
      <c r="A15" s="180" t="s">
        <v>51</v>
      </c>
      <c r="B15" s="180">
        <v>5</v>
      </c>
      <c r="C15" s="205">
        <f>'T12 &amp; T13'!D14+'T12 &amp; T13'!D22</f>
        <v>4393050.3499999996</v>
      </c>
      <c r="D15" s="205">
        <f>'T12 &amp; T13'!E14+'T12 &amp; T13'!E22</f>
        <v>2819779.7</v>
      </c>
      <c r="E15" s="205">
        <f>'T12 &amp; T13'!F14+'T12 &amp; T13'!F22</f>
        <v>1148648.6600000001</v>
      </c>
      <c r="F15" s="205">
        <f>C15-D15-E15</f>
        <v>424621.98999999929</v>
      </c>
      <c r="G15" s="182">
        <f>'T12 &amp; T13'!H14+'T12 &amp; T13'!H22</f>
        <v>14975</v>
      </c>
      <c r="H15" s="183">
        <f>G15/$G$27</f>
        <v>5.7464229236802123E-3</v>
      </c>
      <c r="I15" s="183">
        <f>C15/(D15/0.75)</f>
        <v>1.1684557352122222</v>
      </c>
      <c r="J15" s="207">
        <f>C15/G15</f>
        <v>293.35895492487475</v>
      </c>
      <c r="K15" s="207">
        <f>F15/G15</f>
        <v>28.355391652754545</v>
      </c>
    </row>
    <row r="16" spans="1:32" ht="14.1" customHeight="1">
      <c r="A16" s="180" t="s">
        <v>52</v>
      </c>
      <c r="B16" s="180">
        <v>6</v>
      </c>
      <c r="C16" s="205">
        <f>'T12 &amp; T13'!D15+'T12 &amp; T13'!D23</f>
        <v>10360759.33</v>
      </c>
      <c r="D16" s="205">
        <f>'T12 &amp; T13'!E15+'T12 &amp; T13'!E23</f>
        <v>5548277.6900000004</v>
      </c>
      <c r="E16" s="205">
        <f>'T12 &amp; T13'!F15+'T12 &amp; T13'!F23</f>
        <v>3602346.52</v>
      </c>
      <c r="F16" s="205">
        <f>C16-D16-E16</f>
        <v>1210135.1199999996</v>
      </c>
      <c r="G16" s="182">
        <f>'T12 &amp; T13'!H15+'T12 &amp; T13'!H23</f>
        <v>27071</v>
      </c>
      <c r="H16" s="183">
        <f>G16/$G$27</f>
        <v>1.0388074455221838E-2</v>
      </c>
      <c r="I16" s="183">
        <f>C16/(D16/0.75)</f>
        <v>1.400537235456937</v>
      </c>
      <c r="J16" s="207">
        <f>C16/G16</f>
        <v>382.72540098260129</v>
      </c>
      <c r="K16" s="207">
        <f>F16/G16</f>
        <v>44.702268848583344</v>
      </c>
    </row>
    <row r="17" spans="1:11" ht="14.1" customHeight="1">
      <c r="A17" s="180" t="s">
        <v>53</v>
      </c>
      <c r="B17" s="180">
        <v>7</v>
      </c>
      <c r="C17" s="205">
        <f>'T12 &amp; T13'!D16+'T12 &amp; T13'!D24</f>
        <v>33075789.98</v>
      </c>
      <c r="D17" s="205">
        <f>'T12 &amp; T13'!E16+'T12 &amp; T13'!E24</f>
        <v>14190161.190000001</v>
      </c>
      <c r="E17" s="205">
        <f>'T12 &amp; T13'!F16+'T12 &amp; T13'!F24</f>
        <v>12211726.610000001</v>
      </c>
      <c r="F17" s="205">
        <f>C17-D17-E17</f>
        <v>6673902.1799999978</v>
      </c>
      <c r="G17" s="182">
        <f>'T12 &amp; T13'!H16+'T12 &amp; T13'!H24</f>
        <v>54664</v>
      </c>
      <c r="H17" s="183">
        <f>G17/$G$27</f>
        <v>2.097645827713223E-2</v>
      </c>
      <c r="I17" s="183">
        <f>C17/(D17/0.75)</f>
        <v>1.7481720012089585</v>
      </c>
      <c r="J17" s="207">
        <f>C17/G17</f>
        <v>605.07445448558462</v>
      </c>
      <c r="K17" s="207">
        <f>F17/G17</f>
        <v>122.08953205034388</v>
      </c>
    </row>
    <row r="18" spans="1:11" ht="14.1" customHeight="1">
      <c r="A18" s="180" t="s">
        <v>54</v>
      </c>
      <c r="B18" s="180">
        <v>8</v>
      </c>
      <c r="C18" s="205">
        <f>'T12 &amp; T13'!D17+'T12 &amp; T13'!D25</f>
        <v>122039035.12</v>
      </c>
      <c r="D18" s="205">
        <f>'T12 &amp; T13'!E17+'T12 &amp; T13'!E25</f>
        <v>29366486.840000004</v>
      </c>
      <c r="E18" s="205">
        <f>'T12 &amp; T13'!F17+'T12 &amp; T13'!F25</f>
        <v>22771488.990000002</v>
      </c>
      <c r="F18" s="205">
        <f>C18-D18-E18</f>
        <v>69901059.289999992</v>
      </c>
      <c r="G18" s="182">
        <f>'T12 &amp; T13'!H17+'T12 &amp; T13'!H25</f>
        <v>248058</v>
      </c>
      <c r="H18" s="183">
        <f>G18/$G$27</f>
        <v>9.5188392494308258E-2</v>
      </c>
      <c r="I18" s="183">
        <f>C18/(D18/0.75)</f>
        <v>3.1167935353890632</v>
      </c>
      <c r="J18" s="207">
        <f>C18/G18</f>
        <v>491.97782421852958</v>
      </c>
      <c r="K18" s="207">
        <f>F18/G18</f>
        <v>281.79320679034737</v>
      </c>
    </row>
    <row r="19" spans="1:11" s="46" customFormat="1" ht="14.1" customHeight="1">
      <c r="A19" s="201" t="s">
        <v>55</v>
      </c>
      <c r="B19" s="185"/>
      <c r="C19" s="202">
        <f>SUM(C13:C18)</f>
        <v>169868634.78</v>
      </c>
      <c r="D19" s="202">
        <f>SUM(D13:D18)</f>
        <v>51924705.420000002</v>
      </c>
      <c r="E19" s="202">
        <f>SUM(E13:E18)</f>
        <v>39734210.780000001</v>
      </c>
      <c r="F19" s="202">
        <f>SUM(F13:F18)</f>
        <v>78209718.579999983</v>
      </c>
      <c r="G19" s="206">
        <f>SUM(G13:G18)</f>
        <v>344768</v>
      </c>
      <c r="H19" s="203">
        <f>G19/$G$27</f>
        <v>0.13229934815034253</v>
      </c>
      <c r="I19" s="203">
        <f>C19/(D19/0.75)</f>
        <v>2.4535811046879501</v>
      </c>
      <c r="J19" s="204">
        <f>C19/G19</f>
        <v>492.70418014432892</v>
      </c>
      <c r="K19" s="204">
        <f>F19/G19</f>
        <v>226.84738310980131</v>
      </c>
    </row>
    <row r="20" spans="1:11" ht="17.100000000000001" customHeight="1">
      <c r="A20" s="179" t="s">
        <v>57</v>
      </c>
      <c r="B20" s="47"/>
      <c r="C20" s="50"/>
      <c r="D20" s="50"/>
      <c r="E20" s="50"/>
      <c r="F20" s="50"/>
      <c r="G20" s="48"/>
      <c r="H20" s="49"/>
      <c r="I20" s="49"/>
      <c r="J20" s="51"/>
      <c r="K20" s="51"/>
    </row>
    <row r="21" spans="1:11" ht="39.4">
      <c r="A21" s="199"/>
      <c r="B21" s="197"/>
      <c r="C21" s="200" t="s">
        <v>41</v>
      </c>
      <c r="D21" s="200" t="s">
        <v>42</v>
      </c>
      <c r="E21" s="200" t="s">
        <v>43</v>
      </c>
      <c r="F21" s="200" t="s">
        <v>44</v>
      </c>
      <c r="G21" s="200" t="s">
        <v>45</v>
      </c>
      <c r="H21" s="200" t="s">
        <v>46</v>
      </c>
      <c r="I21" s="200" t="s">
        <v>47</v>
      </c>
      <c r="J21" s="200" t="s">
        <v>48</v>
      </c>
      <c r="K21" s="200" t="s">
        <v>49</v>
      </c>
    </row>
    <row r="22" spans="1:11" ht="14.1" customHeight="1">
      <c r="A22" s="180" t="s">
        <v>50</v>
      </c>
      <c r="B22" s="180">
        <v>10</v>
      </c>
      <c r="C22" s="205">
        <f>'T12 &amp; T13'!D7+'T12 &amp; T13'!D21</f>
        <v>27886340.25</v>
      </c>
      <c r="D22" s="205">
        <f>'T12 &amp; T13'!E7+'T12 &amp; T13'!E21</f>
        <v>21005268.009999998</v>
      </c>
      <c r="E22" s="205">
        <f>'T12 &amp; T13'!F7+'T12 &amp; T13'!F21</f>
        <v>6863404.1600000001</v>
      </c>
      <c r="F22" s="205">
        <f>C22-D22-E22</f>
        <v>17668.080000001937</v>
      </c>
      <c r="G22" s="182">
        <f>'T12 &amp; T13'!H7+'T12 &amp; T13'!H21</f>
        <v>432678</v>
      </c>
      <c r="H22" s="183">
        <f t="shared" ref="H22:H27" si="4">G22/$G$27</f>
        <v>0.16603344091967326</v>
      </c>
      <c r="I22" s="183">
        <f t="shared" ref="I22:I27" si="5">C22/(D22/0.75)</f>
        <v>0.99569094655412593</v>
      </c>
      <c r="J22" s="207">
        <f t="shared" ref="J22:J27" si="6">C22/G22</f>
        <v>64.45056196524898</v>
      </c>
      <c r="K22" s="207">
        <f t="shared" ref="K22:K27" si="7">F22/G22</f>
        <v>4.0834246252413893E-2</v>
      </c>
    </row>
    <row r="23" spans="1:11" ht="14.1" customHeight="1">
      <c r="A23" s="180" t="s">
        <v>51</v>
      </c>
      <c r="B23" s="180">
        <v>11</v>
      </c>
      <c r="C23" s="205">
        <f>'T12 &amp; T13'!D8+'T12 &amp; T13'!D14+'T12 &amp; T13'!D22</f>
        <v>75257682.860000014</v>
      </c>
      <c r="D23" s="205">
        <f>'T12 &amp; T13'!E8+'T12 &amp; T13'!E14+'T12 &amp; T13'!E22</f>
        <v>48049280.199999996</v>
      </c>
      <c r="E23" s="205">
        <f>'T12 &amp; T13'!F8+'T12 &amp; T13'!F14+'T12 &amp; T13'!F22</f>
        <v>26783309.449999999</v>
      </c>
      <c r="F23" s="205">
        <f>C23-D23-E23</f>
        <v>425093.21000001952</v>
      </c>
      <c r="G23" s="182">
        <f>'T12 &amp; T13'!H8+'T12 &amp; T13'!H14+'T12 &amp; T13'!H22</f>
        <v>542354</v>
      </c>
      <c r="H23" s="183">
        <f t="shared" si="4"/>
        <v>0.20811989705173009</v>
      </c>
      <c r="I23" s="183">
        <f t="shared" si="5"/>
        <v>1.1746952693164385</v>
      </c>
      <c r="J23" s="207">
        <f t="shared" si="6"/>
        <v>138.76118339682202</v>
      </c>
      <c r="K23" s="207">
        <f t="shared" si="7"/>
        <v>0.78379289172757927</v>
      </c>
    </row>
    <row r="24" spans="1:11" ht="14.1" customHeight="1">
      <c r="A24" s="180" t="s">
        <v>52</v>
      </c>
      <c r="B24" s="180">
        <v>12</v>
      </c>
      <c r="C24" s="205">
        <f>'T12 &amp; T13'!D9+'T12 &amp; T13'!D15+'T12 &amp; T13'!D23</f>
        <v>150569243.08999997</v>
      </c>
      <c r="D24" s="205">
        <f>'T12 &amp; T13'!E9+'T12 &amp; T13'!E15+'T12 &amp; T13'!E23</f>
        <v>82622702.730000004</v>
      </c>
      <c r="E24" s="205">
        <f>'T12 &amp; T13'!F9+'T12 &amp; T13'!F15+'T12 &amp; T13'!F23</f>
        <v>66736258.950000003</v>
      </c>
      <c r="F24" s="205">
        <f>C24-D24-E24</f>
        <v>1210281.4099999666</v>
      </c>
      <c r="G24" s="182">
        <f>'T12 &amp; T13'!H9+'T12 &amp; T13'!H15+'T12 &amp; T13'!H23</f>
        <v>781669</v>
      </c>
      <c r="H24" s="183">
        <f t="shared" si="4"/>
        <v>0.29995329952121458</v>
      </c>
      <c r="I24" s="183">
        <f t="shared" si="5"/>
        <v>1.3667784832279111</v>
      </c>
      <c r="J24" s="207">
        <f t="shared" si="6"/>
        <v>192.62532234232134</v>
      </c>
      <c r="K24" s="207">
        <f t="shared" si="7"/>
        <v>1.548329804559176</v>
      </c>
    </row>
    <row r="25" spans="1:11" ht="14.1" customHeight="1">
      <c r="A25" s="180" t="s">
        <v>53</v>
      </c>
      <c r="B25" s="180">
        <v>13</v>
      </c>
      <c r="C25" s="205">
        <f>'T12 &amp; T13'!D10+'T12 &amp; T13'!D16+'T12 &amp; T13'!D24</f>
        <v>119419300.83</v>
      </c>
      <c r="D25" s="205">
        <f>'T12 &amp; T13'!E10+'T12 &amp; T13'!E16+'T12 &amp; T13'!E24</f>
        <v>54245000.789999999</v>
      </c>
      <c r="E25" s="205">
        <f>'T12 &amp; T13'!F10+'T12 &amp; T13'!F16+'T12 &amp; T13'!F24</f>
        <v>58500312.920000002</v>
      </c>
      <c r="F25" s="205">
        <f>C25-D25-E25</f>
        <v>6673987.1199999973</v>
      </c>
      <c r="G25" s="182">
        <f>'T12 &amp; T13'!H10+'T12 &amp; T13'!H16+'T12 &amp; T13'!H24</f>
        <v>596377</v>
      </c>
      <c r="H25" s="183">
        <f t="shared" si="4"/>
        <v>0.22885038156631948</v>
      </c>
      <c r="I25" s="183">
        <f t="shared" si="5"/>
        <v>1.6511102280048469</v>
      </c>
      <c r="J25" s="207">
        <f t="shared" si="6"/>
        <v>200.24129171648136</v>
      </c>
      <c r="K25" s="207">
        <f t="shared" si="7"/>
        <v>11.190886167642276</v>
      </c>
    </row>
    <row r="26" spans="1:11" ht="14.1" customHeight="1">
      <c r="A26" s="180" t="s">
        <v>54</v>
      </c>
      <c r="B26" s="180">
        <v>14</v>
      </c>
      <c r="C26" s="205">
        <f>'T12 &amp; T13'!D11+'T12 &amp; T13'!D17+'T12 &amp; T13'!D25</f>
        <v>125669839.47999999</v>
      </c>
      <c r="D26" s="205">
        <f>'T12 &amp; T13'!E11+'T12 &amp; T13'!E17+'T12 &amp; T13'!E25</f>
        <v>30407156.57</v>
      </c>
      <c r="E26" s="205">
        <f>'T12 &amp; T13'!F11+'T12 &amp; T13'!F17+'T12 &amp; T13'!F25</f>
        <v>25361623.620000001</v>
      </c>
      <c r="F26" s="205">
        <f>C26-D26-E26</f>
        <v>69901059.289999992</v>
      </c>
      <c r="G26" s="182">
        <f>'T12 &amp; T13'!H11+'T12 &amp; T13'!H17+'T12 &amp; T13'!H25</f>
        <v>252891</v>
      </c>
      <c r="H26" s="183">
        <f t="shared" si="4"/>
        <v>9.7042980941062618E-2</v>
      </c>
      <c r="I26" s="183">
        <f t="shared" si="5"/>
        <v>3.0996775181205307</v>
      </c>
      <c r="J26" s="207">
        <f t="shared" si="6"/>
        <v>496.93282671190349</v>
      </c>
      <c r="K26" s="207">
        <f t="shared" si="7"/>
        <v>276.40785670506261</v>
      </c>
    </row>
    <row r="27" spans="1:11" s="46" customFormat="1" ht="14.1" customHeight="1">
      <c r="A27" s="201" t="s">
        <v>55</v>
      </c>
      <c r="B27" s="185"/>
      <c r="C27" s="202">
        <f>SUM(C22:C26)</f>
        <v>498802406.50999999</v>
      </c>
      <c r="D27" s="202">
        <f>SUM(D22:D26)</f>
        <v>236329408.29999998</v>
      </c>
      <c r="E27" s="202">
        <f>SUM(E22:E26)</f>
        <v>184244909.10000002</v>
      </c>
      <c r="F27" s="202">
        <f>SUM(F22:F26)</f>
        <v>78228089.109999985</v>
      </c>
      <c r="G27" s="206">
        <f>SUM(G22:G26)</f>
        <v>2605969</v>
      </c>
      <c r="H27" s="203">
        <f t="shared" si="4"/>
        <v>1</v>
      </c>
      <c r="I27" s="203">
        <f t="shared" si="5"/>
        <v>1.5829676364594023</v>
      </c>
      <c r="J27" s="204">
        <f t="shared" si="6"/>
        <v>191.40765162977763</v>
      </c>
      <c r="K27" s="204">
        <f t="shared" si="7"/>
        <v>30.018810319692975</v>
      </c>
    </row>
    <row r="28" spans="1:11" s="46" customFormat="1" ht="15" customHeight="1" thickBot="1">
      <c r="A28" s="52"/>
      <c r="B28" s="52"/>
      <c r="C28" s="53"/>
      <c r="D28" s="53"/>
      <c r="E28" s="53"/>
      <c r="F28" s="53"/>
      <c r="G28" s="54"/>
      <c r="H28" s="55"/>
      <c r="I28" s="55"/>
      <c r="J28" s="56"/>
      <c r="K28" s="56"/>
    </row>
    <row r="29" spans="1:11" ht="17.100000000000001" customHeight="1">
      <c r="A29" s="179" t="s">
        <v>58</v>
      </c>
      <c r="B29" s="47"/>
      <c r="C29" s="50"/>
      <c r="D29" s="50"/>
      <c r="E29" s="50"/>
      <c r="F29" s="50"/>
      <c r="G29" s="48"/>
      <c r="H29" s="49"/>
      <c r="I29" s="49"/>
      <c r="J29" s="51"/>
      <c r="K29" s="51"/>
    </row>
    <row r="30" spans="1:11" ht="39.4">
      <c r="A30" s="199"/>
      <c r="B30" s="197"/>
      <c r="C30" s="200" t="s">
        <v>41</v>
      </c>
      <c r="D30" s="200" t="s">
        <v>42</v>
      </c>
      <c r="E30" s="200" t="s">
        <v>43</v>
      </c>
      <c r="F30" s="200" t="s">
        <v>44</v>
      </c>
      <c r="G30" s="200" t="s">
        <v>45</v>
      </c>
      <c r="H30" s="200" t="s">
        <v>46</v>
      </c>
      <c r="I30" s="200" t="s">
        <v>47</v>
      </c>
      <c r="J30" s="200" t="s">
        <v>48</v>
      </c>
      <c r="K30" s="200" t="s">
        <v>49</v>
      </c>
    </row>
    <row r="31" spans="1:11" ht="14.1" customHeight="1">
      <c r="A31" s="180" t="s">
        <v>50</v>
      </c>
      <c r="B31" s="180"/>
      <c r="C31" s="205"/>
      <c r="D31" s="205"/>
      <c r="E31" s="205"/>
      <c r="F31" s="205"/>
      <c r="G31" s="182"/>
      <c r="H31" s="183"/>
      <c r="I31" s="183"/>
      <c r="J31" s="207"/>
      <c r="K31" s="207"/>
    </row>
    <row r="32" spans="1:11" ht="14.1" customHeight="1">
      <c r="A32" s="180" t="s">
        <v>51</v>
      </c>
      <c r="B32" s="180">
        <v>15</v>
      </c>
      <c r="C32" s="205">
        <f>'T12 &amp; T13'!D14</f>
        <v>2781797.04</v>
      </c>
      <c r="D32" s="205">
        <f>'T12 &amp; T13'!E14</f>
        <v>1747046.12</v>
      </c>
      <c r="E32" s="205">
        <f>'T12 &amp; T13'!F14</f>
        <v>789936.39</v>
      </c>
      <c r="F32" s="205">
        <f>C32-D32-E32</f>
        <v>244814.52999999991</v>
      </c>
      <c r="G32" s="182">
        <f>'T12 &amp; T13'!H14</f>
        <v>12395</v>
      </c>
      <c r="H32" s="183">
        <f>G32/$G$27</f>
        <v>4.7563881228057589E-3</v>
      </c>
      <c r="I32" s="183">
        <f>C32/(D32/0.75)</f>
        <v>1.1942144835878745</v>
      </c>
      <c r="J32" s="207">
        <f>C32/G32</f>
        <v>224.42896651875756</v>
      </c>
      <c r="K32" s="207">
        <f>F32/G32</f>
        <v>19.751071399757961</v>
      </c>
    </row>
    <row r="33" spans="1:11" ht="14.1" customHeight="1">
      <c r="A33" s="180" t="s">
        <v>52</v>
      </c>
      <c r="B33" s="180">
        <v>16</v>
      </c>
      <c r="C33" s="205">
        <f>'T12 &amp; T13'!D15</f>
        <v>8408547.6699999999</v>
      </c>
      <c r="D33" s="205">
        <f>'T12 &amp; T13'!E15</f>
        <v>4507038.87</v>
      </c>
      <c r="E33" s="205">
        <f>'T12 &amp; T13'!F15</f>
        <v>3257174.39</v>
      </c>
      <c r="F33" s="205">
        <f>C33-D33-E33</f>
        <v>644334.40999999968</v>
      </c>
      <c r="G33" s="182">
        <f>'T12 &amp; T13'!H15</f>
        <v>19756</v>
      </c>
      <c r="H33" s="183">
        <f>G33/$G$27</f>
        <v>7.581057180649501E-3</v>
      </c>
      <c r="I33" s="183">
        <f>C33/(D33/0.75)</f>
        <v>1.3992359361435904</v>
      </c>
      <c r="J33" s="207">
        <f>C33/G33</f>
        <v>425.61994685158936</v>
      </c>
      <c r="K33" s="207">
        <f>F33/G33</f>
        <v>32.614618849969617</v>
      </c>
    </row>
    <row r="34" spans="1:11" ht="14.1" customHeight="1">
      <c r="A34" s="180" t="s">
        <v>53</v>
      </c>
      <c r="B34" s="180">
        <v>17</v>
      </c>
      <c r="C34" s="205">
        <f>'T12 &amp; T13'!D16</f>
        <v>28502731.98</v>
      </c>
      <c r="D34" s="205">
        <f>'T12 &amp; T13'!E16</f>
        <v>12174655.82</v>
      </c>
      <c r="E34" s="205">
        <f>'T12 &amp; T13'!F16</f>
        <v>11535017.800000001</v>
      </c>
      <c r="F34" s="205">
        <f>C34-D34-E34</f>
        <v>4793058.3599999994</v>
      </c>
      <c r="G34" s="182">
        <f>'T12 &amp; T13'!H16</f>
        <v>42648</v>
      </c>
      <c r="H34" s="183">
        <f>G34/$G$27</f>
        <v>1.6365505499106092E-2</v>
      </c>
      <c r="I34" s="183">
        <f>C34/(D34/0.75)</f>
        <v>1.7558647489551782</v>
      </c>
      <c r="J34" s="207">
        <f>C34/G34</f>
        <v>668.32517304445696</v>
      </c>
      <c r="K34" s="207">
        <f>F34/G34</f>
        <v>112.38647439504781</v>
      </c>
    </row>
    <row r="35" spans="1:11" ht="14.1" customHeight="1">
      <c r="A35" s="180" t="s">
        <v>54</v>
      </c>
      <c r="B35" s="180">
        <v>18</v>
      </c>
      <c r="C35" s="205">
        <f>'T12 &amp; T13'!D17</f>
        <v>68255834.659999996</v>
      </c>
      <c r="D35" s="205">
        <f>'T12 &amp; T13'!E17</f>
        <v>17520707.760000002</v>
      </c>
      <c r="E35" s="205">
        <f>'T12 &amp; T13'!F17</f>
        <v>18806023.030000001</v>
      </c>
      <c r="F35" s="205">
        <f>C35-D35-E35</f>
        <v>31929103.86999999</v>
      </c>
      <c r="G35" s="182">
        <f>'T12 &amp; T13'!H17</f>
        <v>212552</v>
      </c>
      <c r="H35" s="183">
        <f>G35/$G$27</f>
        <v>8.1563518215297268E-2</v>
      </c>
      <c r="I35" s="183">
        <f>C35/(D35/0.75)</f>
        <v>2.9217926978881352</v>
      </c>
      <c r="J35" s="207">
        <f>C35/G35</f>
        <v>321.12534655049114</v>
      </c>
      <c r="K35" s="207">
        <f>F35/G35</f>
        <v>150.2178472562008</v>
      </c>
    </row>
    <row r="36" spans="1:11" s="46" customFormat="1" ht="14.1" customHeight="1">
      <c r="A36" s="201" t="s">
        <v>55</v>
      </c>
      <c r="B36" s="185"/>
      <c r="C36" s="202">
        <f>SUM(C31:C35)</f>
        <v>107948911.34999999</v>
      </c>
      <c r="D36" s="202">
        <f>SUM(D31:D35)</f>
        <v>35949448.570000008</v>
      </c>
      <c r="E36" s="202">
        <f>SUM(E31:E35)</f>
        <v>34388151.609999999</v>
      </c>
      <c r="F36" s="202">
        <f>SUM(F31:F35)</f>
        <v>37611311.169999987</v>
      </c>
      <c r="G36" s="206">
        <f>SUM(G31:G35)</f>
        <v>287351</v>
      </c>
      <c r="H36" s="203">
        <f>G36/$G$27</f>
        <v>0.11026646901785861</v>
      </c>
      <c r="I36" s="203">
        <f>C36/(D36/0.75)</f>
        <v>2.2520980636143308</v>
      </c>
      <c r="J36" s="204">
        <f>C36/G36</f>
        <v>375.66916889100781</v>
      </c>
      <c r="K36" s="204">
        <f>F36/G36</f>
        <v>130.88978695045427</v>
      </c>
    </row>
    <row r="37" spans="1:11" ht="17.100000000000001" customHeight="1">
      <c r="A37" s="179" t="s">
        <v>59</v>
      </c>
      <c r="B37" s="47"/>
      <c r="C37" s="50"/>
      <c r="D37" s="50"/>
      <c r="E37" s="50"/>
      <c r="F37" s="50"/>
      <c r="G37" s="48"/>
      <c r="H37" s="49"/>
      <c r="I37" s="49"/>
      <c r="J37" s="51"/>
      <c r="K37" s="51"/>
    </row>
    <row r="38" spans="1:11" ht="39.4">
      <c r="A38" s="199"/>
      <c r="B38" s="197"/>
      <c r="C38" s="200" t="s">
        <v>41</v>
      </c>
      <c r="D38" s="200" t="s">
        <v>42</v>
      </c>
      <c r="E38" s="200" t="s">
        <v>43</v>
      </c>
      <c r="F38" s="200" t="s">
        <v>44</v>
      </c>
      <c r="G38" s="200" t="s">
        <v>45</v>
      </c>
      <c r="H38" s="200" t="s">
        <v>46</v>
      </c>
      <c r="I38" s="200" t="s">
        <v>47</v>
      </c>
      <c r="J38" s="200" t="s">
        <v>48</v>
      </c>
      <c r="K38" s="200" t="s">
        <v>49</v>
      </c>
    </row>
    <row r="39" spans="1:11" ht="14.1" customHeight="1">
      <c r="A39" s="180" t="s">
        <v>50</v>
      </c>
      <c r="B39" s="180">
        <v>10</v>
      </c>
      <c r="C39" s="205">
        <f>'T12 &amp; T13'!D7+'T12 &amp; T13'!D21</f>
        <v>27886340.25</v>
      </c>
      <c r="D39" s="205">
        <f>'T12 &amp; T13'!E7+'T12 &amp; T13'!E21</f>
        <v>21005268.009999998</v>
      </c>
      <c r="E39" s="205">
        <f>'T12 &amp; T13'!F7+'T12 &amp; T13'!F21</f>
        <v>6863404.1600000001</v>
      </c>
      <c r="F39" s="205">
        <f>C39-D39-E39</f>
        <v>17668.080000001937</v>
      </c>
      <c r="G39" s="182">
        <f>'T12 &amp; T13'!H7+'T12 &amp; T13'!H21</f>
        <v>432678</v>
      </c>
      <c r="H39" s="183">
        <f t="shared" ref="H39:H44" si="8">G39/$G$27</f>
        <v>0.16603344091967326</v>
      </c>
      <c r="I39" s="183">
        <f t="shared" ref="I39:I44" si="9">C39/(D39/0.75)</f>
        <v>0.99569094655412593</v>
      </c>
      <c r="J39" s="207">
        <f t="shared" ref="J39:J44" si="10">C39/G39</f>
        <v>64.45056196524898</v>
      </c>
      <c r="K39" s="207">
        <f t="shared" ref="K39:K44" si="11">F39/G39</f>
        <v>4.0834246252413893E-2</v>
      </c>
    </row>
    <row r="40" spans="1:11" ht="14.1" customHeight="1">
      <c r="A40" s="180" t="s">
        <v>51</v>
      </c>
      <c r="B40" s="180">
        <v>11</v>
      </c>
      <c r="C40" s="205">
        <f>'T12 &amp; T13'!D8+'T12 &amp; T13'!D14</f>
        <v>73646429.550000012</v>
      </c>
      <c r="D40" s="205">
        <f>'T12 &amp; T13'!E8+'T12 &amp; T13'!E14</f>
        <v>46976546.619999997</v>
      </c>
      <c r="E40" s="205">
        <f>'T12 &amp; T13'!F8+'T12 &amp; T13'!F14</f>
        <v>26424597.18</v>
      </c>
      <c r="F40" s="205">
        <f>C40-D40-E40</f>
        <v>245285.7500000149</v>
      </c>
      <c r="G40" s="182">
        <f>'T12 &amp; T13'!H8+'T12 &amp; T13'!H14</f>
        <v>539774</v>
      </c>
      <c r="H40" s="183">
        <f t="shared" si="8"/>
        <v>0.20712986225085564</v>
      </c>
      <c r="I40" s="183">
        <f t="shared" si="9"/>
        <v>1.1757957137484452</v>
      </c>
      <c r="J40" s="207">
        <f t="shared" si="10"/>
        <v>136.43937935135818</v>
      </c>
      <c r="K40" s="207">
        <f t="shared" si="11"/>
        <v>0.45442305483408779</v>
      </c>
    </row>
    <row r="41" spans="1:11" ht="14.1" customHeight="1">
      <c r="A41" s="180" t="s">
        <v>52</v>
      </c>
      <c r="B41" s="180">
        <v>12</v>
      </c>
      <c r="C41" s="205">
        <f>'T12 &amp; T13'!D9+'T12 &amp; T13'!D15</f>
        <v>148617031.42999998</v>
      </c>
      <c r="D41" s="205">
        <f>'T12 &amp; T13'!E9+'T12 &amp; T13'!E15</f>
        <v>81581463.910000011</v>
      </c>
      <c r="E41" s="205">
        <f>'T12 &amp; T13'!F9+'T12 &amp; T13'!F15</f>
        <v>66391086.82</v>
      </c>
      <c r="F41" s="205">
        <f>C41-D41-E41</f>
        <v>644480.69999996573</v>
      </c>
      <c r="G41" s="182">
        <f>'T12 &amp; T13'!H9+'T12 &amp; T13'!H15</f>
        <v>774354</v>
      </c>
      <c r="H41" s="183">
        <f t="shared" si="8"/>
        <v>0.29714628224664225</v>
      </c>
      <c r="I41" s="183">
        <f t="shared" si="9"/>
        <v>1.3662757228218505</v>
      </c>
      <c r="J41" s="207">
        <f t="shared" si="10"/>
        <v>191.92388937101117</v>
      </c>
      <c r="K41" s="207">
        <f t="shared" si="11"/>
        <v>0.83228174710786762</v>
      </c>
    </row>
    <row r="42" spans="1:11" ht="14.1" customHeight="1">
      <c r="A42" s="180" t="s">
        <v>53</v>
      </c>
      <c r="B42" s="180">
        <v>13</v>
      </c>
      <c r="C42" s="205">
        <f>'T12 &amp; T13'!D10+'T12 &amp; T13'!D16</f>
        <v>114846242.83</v>
      </c>
      <c r="D42" s="205">
        <f>'T12 &amp; T13'!E10+'T12 &amp; T13'!E16</f>
        <v>52229495.420000002</v>
      </c>
      <c r="E42" s="205">
        <f>'T12 &amp; T13'!F10+'T12 &amp; T13'!F16</f>
        <v>57823604.109999999</v>
      </c>
      <c r="F42" s="205">
        <f>C42-D42-E42</f>
        <v>4793143.299999997</v>
      </c>
      <c r="G42" s="182">
        <f>'T12 &amp; T13'!H10+'T12 &amp; T13'!H16</f>
        <v>584361</v>
      </c>
      <c r="H42" s="183">
        <f t="shared" si="8"/>
        <v>0.22423942878829334</v>
      </c>
      <c r="I42" s="183">
        <f t="shared" si="9"/>
        <v>1.6491578451955873</v>
      </c>
      <c r="J42" s="207">
        <f t="shared" si="10"/>
        <v>196.53303836156076</v>
      </c>
      <c r="K42" s="207">
        <f t="shared" si="11"/>
        <v>8.2023668588423888</v>
      </c>
    </row>
    <row r="43" spans="1:11" ht="14.1" customHeight="1">
      <c r="A43" s="180" t="s">
        <v>54</v>
      </c>
      <c r="B43" s="180">
        <v>14</v>
      </c>
      <c r="C43" s="205">
        <f>'T12 &amp; T13'!D11+'T12 &amp; T13'!D17</f>
        <v>71886639.019999996</v>
      </c>
      <c r="D43" s="205">
        <f>'T12 &amp; T13'!E11+'T12 &amp; T13'!E17</f>
        <v>18561377.490000002</v>
      </c>
      <c r="E43" s="205">
        <f>'T12 &amp; T13'!F11+'T12 &amp; T13'!F17</f>
        <v>21396157.66</v>
      </c>
      <c r="F43" s="205">
        <f>C43-D43-E43</f>
        <v>31929103.869999994</v>
      </c>
      <c r="G43" s="182">
        <f>'T12 &amp; T13'!H11+'T12 &amp; T13'!H17</f>
        <v>217385</v>
      </c>
      <c r="H43" s="183">
        <f t="shared" si="8"/>
        <v>8.3418106662051628E-2</v>
      </c>
      <c r="I43" s="183">
        <f t="shared" si="9"/>
        <v>2.9046863194311334</v>
      </c>
      <c r="J43" s="207">
        <f t="shared" si="10"/>
        <v>330.68812944775397</v>
      </c>
      <c r="K43" s="207">
        <f t="shared" si="11"/>
        <v>146.87813726798075</v>
      </c>
    </row>
    <row r="44" spans="1:11" s="46" customFormat="1" ht="14.1" customHeight="1">
      <c r="A44" s="201" t="s">
        <v>55</v>
      </c>
      <c r="B44" s="185"/>
      <c r="C44" s="202">
        <f>SUM(C39:C43)</f>
        <v>436882683.07999998</v>
      </c>
      <c r="D44" s="202">
        <f>SUM(D39:D43)</f>
        <v>220354151.45000005</v>
      </c>
      <c r="E44" s="202">
        <f>SUM(E39:E43)</f>
        <v>178898849.92999998</v>
      </c>
      <c r="F44" s="202">
        <f>SUM(F39:F43)</f>
        <v>37629681.699999973</v>
      </c>
      <c r="G44" s="206">
        <f>SUM(G39:G43)</f>
        <v>2548552</v>
      </c>
      <c r="H44" s="203">
        <f t="shared" si="8"/>
        <v>0.97796712086751603</v>
      </c>
      <c r="I44" s="203">
        <f t="shared" si="9"/>
        <v>1.4869790750656626</v>
      </c>
      <c r="J44" s="204">
        <f t="shared" si="10"/>
        <v>171.42388426055265</v>
      </c>
      <c r="K44" s="204">
        <f t="shared" si="11"/>
        <v>14.765122194877708</v>
      </c>
    </row>
    <row r="45" spans="1:11" ht="17.100000000000001" customHeight="1">
      <c r="A45" s="179" t="s">
        <v>60</v>
      </c>
      <c r="B45" s="47"/>
      <c r="C45" s="50"/>
      <c r="D45" s="50"/>
      <c r="E45" s="50"/>
      <c r="F45" s="50"/>
      <c r="G45" s="48"/>
      <c r="H45" s="49"/>
      <c r="I45" s="49"/>
      <c r="J45" s="51"/>
      <c r="K45" s="51"/>
    </row>
    <row r="46" spans="1:11" ht="39.4">
      <c r="A46" s="199"/>
      <c r="B46" s="197"/>
      <c r="C46" s="200" t="s">
        <v>41</v>
      </c>
      <c r="D46" s="200" t="s">
        <v>42</v>
      </c>
      <c r="E46" s="200" t="s">
        <v>43</v>
      </c>
      <c r="F46" s="200" t="s">
        <v>44</v>
      </c>
      <c r="G46" s="200" t="s">
        <v>45</v>
      </c>
      <c r="H46" s="200" t="s">
        <v>46</v>
      </c>
      <c r="I46" s="200" t="s">
        <v>47</v>
      </c>
      <c r="J46" s="200" t="s">
        <v>48</v>
      </c>
      <c r="K46" s="200" t="s">
        <v>49</v>
      </c>
    </row>
    <row r="47" spans="1:11" ht="14.1" customHeight="1">
      <c r="A47" s="180" t="s">
        <v>50</v>
      </c>
      <c r="B47" s="180"/>
      <c r="C47" s="205">
        <f>'T12 &amp; T13'!D7</f>
        <v>22245177.899999999</v>
      </c>
      <c r="D47" s="205">
        <f>'T12 &amp; T13'!E7</f>
        <v>16760551.16</v>
      </c>
      <c r="E47" s="205">
        <f>'T12 &amp; T13'!F7</f>
        <v>5484628.0899999999</v>
      </c>
      <c r="F47" s="205">
        <f>C47-D47-E47</f>
        <v>-1.3500000014901161</v>
      </c>
      <c r="G47" s="182">
        <f>'T12 &amp; T13'!H7</f>
        <v>333605</v>
      </c>
      <c r="H47" s="183">
        <f t="shared" ref="H47:H52" si="12">G47/$G$27</f>
        <v>0.12801572083167528</v>
      </c>
      <c r="I47" s="183">
        <f t="shared" ref="I47:I52" si="13">C47/(D47/0.75)</f>
        <v>0.99542570323206481</v>
      </c>
      <c r="J47" s="207">
        <f t="shared" ref="J47:J52" si="14">C47/G47</f>
        <v>66.681188531346947</v>
      </c>
      <c r="K47" s="207">
        <f t="shared" ref="K47:K52" si="15">F47/G47</f>
        <v>-4.0467019423873026E-6</v>
      </c>
    </row>
    <row r="48" spans="1:11" ht="14.1" customHeight="1">
      <c r="A48" s="180" t="s">
        <v>51</v>
      </c>
      <c r="B48" s="180">
        <v>21</v>
      </c>
      <c r="C48" s="205">
        <f>'T12 &amp; T13'!D8+'T12 &amp; T13'!D14</f>
        <v>73646429.550000012</v>
      </c>
      <c r="D48" s="205">
        <f>'T12 &amp; T13'!E8+'T12 &amp; T13'!E14</f>
        <v>46976546.619999997</v>
      </c>
      <c r="E48" s="205">
        <f>'T12 &amp; T13'!F8+'T12 &amp; T13'!F14</f>
        <v>26424597.18</v>
      </c>
      <c r="F48" s="205">
        <f>C48-D48-E48</f>
        <v>245285.7500000149</v>
      </c>
      <c r="G48" s="182">
        <f>'T12 &amp; T13'!H8+'T12 &amp; T13'!H14</f>
        <v>539774</v>
      </c>
      <c r="H48" s="183">
        <f t="shared" si="12"/>
        <v>0.20712986225085564</v>
      </c>
      <c r="I48" s="183">
        <f t="shared" si="13"/>
        <v>1.1757957137484452</v>
      </c>
      <c r="J48" s="207">
        <f t="shared" si="14"/>
        <v>136.43937935135818</v>
      </c>
      <c r="K48" s="207">
        <f t="shared" si="15"/>
        <v>0.45442305483408779</v>
      </c>
    </row>
    <row r="49" spans="1:11" ht="14.1" customHeight="1">
      <c r="A49" s="180" t="s">
        <v>52</v>
      </c>
      <c r="B49" s="180">
        <v>22</v>
      </c>
      <c r="C49" s="205">
        <f>'T12 &amp; T13'!D9+'T12 &amp; T13'!D15</f>
        <v>148617031.42999998</v>
      </c>
      <c r="D49" s="205">
        <f>'T12 &amp; T13'!E9+'T12 &amp; T13'!E15</f>
        <v>81581463.910000011</v>
      </c>
      <c r="E49" s="205">
        <f>'T12 &amp; T13'!F9+'T12 &amp; T13'!F15</f>
        <v>66391086.82</v>
      </c>
      <c r="F49" s="205">
        <f>C49-D49-E49</f>
        <v>644480.69999996573</v>
      </c>
      <c r="G49" s="182">
        <f>'T12 &amp; T13'!H9+'T12 &amp; T13'!H15</f>
        <v>774354</v>
      </c>
      <c r="H49" s="183">
        <f t="shared" si="12"/>
        <v>0.29714628224664225</v>
      </c>
      <c r="I49" s="183">
        <f t="shared" si="13"/>
        <v>1.3662757228218505</v>
      </c>
      <c r="J49" s="207">
        <f t="shared" si="14"/>
        <v>191.92388937101117</v>
      </c>
      <c r="K49" s="207">
        <f t="shared" si="15"/>
        <v>0.83228174710786762</v>
      </c>
    </row>
    <row r="50" spans="1:11" ht="14.1" customHeight="1">
      <c r="A50" s="180" t="s">
        <v>53</v>
      </c>
      <c r="B50" s="180">
        <v>23</v>
      </c>
      <c r="C50" s="205">
        <f>'T12 &amp; T13'!D10+'T12 &amp; T13'!D16</f>
        <v>114846242.83</v>
      </c>
      <c r="D50" s="205">
        <f>'T12 &amp; T13'!E10+'T12 &amp; T13'!E16</f>
        <v>52229495.420000002</v>
      </c>
      <c r="E50" s="205">
        <f>'T12 &amp; T13'!F10+'T12 &amp; T13'!F16</f>
        <v>57823604.109999999</v>
      </c>
      <c r="F50" s="205">
        <f>C50-D50-E50</f>
        <v>4793143.299999997</v>
      </c>
      <c r="G50" s="182">
        <f>'T12 &amp; T13'!H10+'T12 &amp; T13'!H16</f>
        <v>584361</v>
      </c>
      <c r="H50" s="183">
        <f t="shared" si="12"/>
        <v>0.22423942878829334</v>
      </c>
      <c r="I50" s="183">
        <f t="shared" si="13"/>
        <v>1.6491578451955873</v>
      </c>
      <c r="J50" s="207">
        <f t="shared" si="14"/>
        <v>196.53303836156076</v>
      </c>
      <c r="K50" s="207">
        <f t="shared" si="15"/>
        <v>8.2023668588423888</v>
      </c>
    </row>
    <row r="51" spans="1:11" ht="14.1" customHeight="1">
      <c r="A51" s="180" t="s">
        <v>54</v>
      </c>
      <c r="B51" s="180">
        <v>24</v>
      </c>
      <c r="C51" s="205">
        <f>'T12 &amp; T13'!D11+'T12 &amp; T13'!D17</f>
        <v>71886639.019999996</v>
      </c>
      <c r="D51" s="205">
        <f>'T12 &amp; T13'!E11+'T12 &amp; T13'!E17</f>
        <v>18561377.490000002</v>
      </c>
      <c r="E51" s="205">
        <f>'T12 &amp; T13'!F11+'T12 &amp; T13'!F17</f>
        <v>21396157.66</v>
      </c>
      <c r="F51" s="205">
        <f>C51-D51-E51</f>
        <v>31929103.869999994</v>
      </c>
      <c r="G51" s="182">
        <f>'T12 &amp; T13'!H11+'T12 &amp; T13'!H17</f>
        <v>217385</v>
      </c>
      <c r="H51" s="183">
        <f t="shared" si="12"/>
        <v>8.3418106662051628E-2</v>
      </c>
      <c r="I51" s="183">
        <f t="shared" si="13"/>
        <v>2.9046863194311334</v>
      </c>
      <c r="J51" s="207">
        <f t="shared" si="14"/>
        <v>330.68812944775397</v>
      </c>
      <c r="K51" s="207">
        <f t="shared" si="15"/>
        <v>146.87813726798075</v>
      </c>
    </row>
    <row r="52" spans="1:11" s="46" customFormat="1" ht="14.1" customHeight="1">
      <c r="A52" s="201" t="s">
        <v>55</v>
      </c>
      <c r="B52" s="185">
        <v>25</v>
      </c>
      <c r="C52" s="202">
        <f>SUM(C47:C51)</f>
        <v>431241520.72999996</v>
      </c>
      <c r="D52" s="202">
        <f>SUM(D47:D51)</f>
        <v>216109434.60000002</v>
      </c>
      <c r="E52" s="202">
        <f>SUM(E47:E51)</f>
        <v>177520073.85999998</v>
      </c>
      <c r="F52" s="202">
        <f>SUM(F47:F51)</f>
        <v>37612012.269999966</v>
      </c>
      <c r="G52" s="206">
        <f>SUM(G47:G51)</f>
        <v>2449479</v>
      </c>
      <c r="H52" s="203">
        <f t="shared" si="12"/>
        <v>0.93994940077951805</v>
      </c>
      <c r="I52" s="203">
        <f t="shared" si="13"/>
        <v>1.4966081473774766</v>
      </c>
      <c r="J52" s="204">
        <f t="shared" si="14"/>
        <v>176.05438574080446</v>
      </c>
      <c r="K52" s="204">
        <f t="shared" si="15"/>
        <v>15.355107053377459</v>
      </c>
    </row>
    <row r="53" spans="1:11" ht="17.100000000000001" customHeight="1">
      <c r="A53" s="179" t="s">
        <v>61</v>
      </c>
      <c r="B53" s="47"/>
      <c r="C53" s="50"/>
      <c r="D53" s="50"/>
      <c r="E53" s="50"/>
      <c r="F53" s="50"/>
      <c r="G53" s="48"/>
      <c r="H53" s="49"/>
      <c r="I53" s="49"/>
      <c r="J53" s="51"/>
      <c r="K53" s="51"/>
    </row>
    <row r="54" spans="1:11" ht="39.4">
      <c r="A54" s="199"/>
      <c r="B54" s="197"/>
      <c r="C54" s="200" t="s">
        <v>41</v>
      </c>
      <c r="D54" s="200" t="s">
        <v>42</v>
      </c>
      <c r="E54" s="200" t="s">
        <v>43</v>
      </c>
      <c r="F54" s="200" t="s">
        <v>44</v>
      </c>
      <c r="G54" s="200" t="s">
        <v>45</v>
      </c>
      <c r="H54" s="200" t="s">
        <v>46</v>
      </c>
      <c r="I54" s="200" t="s">
        <v>47</v>
      </c>
      <c r="J54" s="200" t="s">
        <v>48</v>
      </c>
      <c r="K54" s="200" t="s">
        <v>49</v>
      </c>
    </row>
    <row r="55" spans="1:11" ht="14.1" customHeight="1">
      <c r="A55" s="180" t="s">
        <v>50</v>
      </c>
      <c r="B55" s="180"/>
      <c r="C55" s="205"/>
      <c r="D55" s="205"/>
      <c r="E55" s="205"/>
      <c r="F55" s="205"/>
      <c r="G55" s="182"/>
      <c r="H55" s="183"/>
      <c r="I55" s="183"/>
      <c r="J55" s="207"/>
      <c r="K55" s="207"/>
    </row>
    <row r="56" spans="1:11" ht="14.1" customHeight="1">
      <c r="A56" s="180" t="s">
        <v>51</v>
      </c>
      <c r="B56" s="180">
        <v>21</v>
      </c>
      <c r="C56" s="205">
        <f>'T12 &amp; T13'!D22</f>
        <v>1611253.31</v>
      </c>
      <c r="D56" s="205">
        <f>'T12 &amp; T13'!E22</f>
        <v>1072733.58</v>
      </c>
      <c r="E56" s="205">
        <f>'T12 &amp; T13'!F22</f>
        <v>358712.27</v>
      </c>
      <c r="F56" s="205">
        <f>C56-D56-E56</f>
        <v>179807.45999999996</v>
      </c>
      <c r="G56" s="182">
        <f>'T12 &amp; T13'!H22</f>
        <v>2580</v>
      </c>
      <c r="H56" s="183">
        <f>G56/$G$27</f>
        <v>9.9003480087445409E-4</v>
      </c>
      <c r="I56" s="183">
        <f>C56/(D56/0.75)</f>
        <v>1.1265052246243656</v>
      </c>
      <c r="J56" s="207">
        <f>C56/G56</f>
        <v>624.51678682170541</v>
      </c>
      <c r="K56" s="207">
        <f>F56/G56</f>
        <v>69.692813953488354</v>
      </c>
    </row>
    <row r="57" spans="1:11" ht="14.1" customHeight="1">
      <c r="A57" s="180" t="s">
        <v>52</v>
      </c>
      <c r="B57" s="180">
        <v>22</v>
      </c>
      <c r="C57" s="205">
        <f>'T12 &amp; T13'!D23</f>
        <v>1952211.66</v>
      </c>
      <c r="D57" s="205">
        <f>'T12 &amp; T13'!E23</f>
        <v>1041238.82</v>
      </c>
      <c r="E57" s="205">
        <f>'T12 &amp; T13'!F23</f>
        <v>345172.13</v>
      </c>
      <c r="F57" s="205">
        <f>C57-D57-E57</f>
        <v>565800.71</v>
      </c>
      <c r="G57" s="182">
        <f>'T12 &amp; T13'!H23</f>
        <v>7315</v>
      </c>
      <c r="H57" s="183">
        <f>G57/$G$27</f>
        <v>2.8070172745723377E-3</v>
      </c>
      <c r="I57" s="183">
        <f>C57/(D57/0.75)</f>
        <v>1.4061699553230258</v>
      </c>
      <c r="J57" s="207">
        <f>C57/G57</f>
        <v>266.87787559808612</v>
      </c>
      <c r="K57" s="207">
        <f>F57/G57</f>
        <v>77.348012303485987</v>
      </c>
    </row>
    <row r="58" spans="1:11" ht="14.1" customHeight="1">
      <c r="A58" s="180" t="s">
        <v>53</v>
      </c>
      <c r="B58" s="180">
        <v>23</v>
      </c>
      <c r="C58" s="205">
        <f>'T12 &amp; T13'!D24</f>
        <v>4573058</v>
      </c>
      <c r="D58" s="205">
        <f>'T12 &amp; T13'!E24</f>
        <v>2015505.37</v>
      </c>
      <c r="E58" s="205">
        <f>'T12 &amp; T13'!F24</f>
        <v>676708.81</v>
      </c>
      <c r="F58" s="205">
        <f>C58-D58-E58</f>
        <v>1880843.8199999998</v>
      </c>
      <c r="G58" s="182">
        <f>'T12 &amp; T13'!H24</f>
        <v>12016</v>
      </c>
      <c r="H58" s="183">
        <f>G58/$G$27</f>
        <v>4.6109527780261389E-3</v>
      </c>
      <c r="I58" s="183">
        <f>C58/(D58/0.75)</f>
        <v>1.7017039751176648</v>
      </c>
      <c r="J58" s="207">
        <f>C58/G58</f>
        <v>380.5807256990679</v>
      </c>
      <c r="K58" s="207">
        <f>F58/G58</f>
        <v>156.52828062583222</v>
      </c>
    </row>
    <row r="59" spans="1:11" ht="14.1" customHeight="1">
      <c r="A59" s="180" t="s">
        <v>54</v>
      </c>
      <c r="B59" s="180">
        <v>24</v>
      </c>
      <c r="C59" s="205">
        <f>'T12 &amp; T13'!D25</f>
        <v>53783200.460000001</v>
      </c>
      <c r="D59" s="205">
        <f>'T12 &amp; T13'!E25</f>
        <v>11845779.08</v>
      </c>
      <c r="E59" s="205">
        <f>'T12 &amp; T13'!F25</f>
        <v>3965465.96</v>
      </c>
      <c r="F59" s="205">
        <f>C59-D59-E59</f>
        <v>37971955.420000002</v>
      </c>
      <c r="G59" s="182">
        <f>'T12 &amp; T13'!H25</f>
        <v>35506</v>
      </c>
      <c r="H59" s="183">
        <f>G59/$G$27</f>
        <v>1.3624874279010993E-2</v>
      </c>
      <c r="I59" s="183">
        <f>C59/(D59/0.75)</f>
        <v>3.4052129515992964</v>
      </c>
      <c r="J59" s="207">
        <f>C59/G59</f>
        <v>1514.7637148650933</v>
      </c>
      <c r="K59" s="207">
        <f>F59/G59</f>
        <v>1069.4517946262604</v>
      </c>
    </row>
    <row r="60" spans="1:11" s="46" customFormat="1" ht="14.1" customHeight="1">
      <c r="A60" s="201" t="s">
        <v>55</v>
      </c>
      <c r="B60" s="185">
        <v>25</v>
      </c>
      <c r="C60" s="202">
        <f>SUM(C55:C59)</f>
        <v>61919723.43</v>
      </c>
      <c r="D60" s="202">
        <f>SUM(D55:D59)</f>
        <v>15975256.85</v>
      </c>
      <c r="E60" s="202">
        <f>SUM(E55:E59)</f>
        <v>5346059.17</v>
      </c>
      <c r="F60" s="202">
        <f>SUM(F55:F59)</f>
        <v>40598407.410000004</v>
      </c>
      <c r="G60" s="206">
        <f>SUM(G55:G59)</f>
        <v>57417</v>
      </c>
      <c r="H60" s="203">
        <f>G60/$G$27</f>
        <v>2.2032879132483925E-2</v>
      </c>
      <c r="I60" s="203">
        <f>C60/(D60/0.75)</f>
        <v>2.9069825298301857</v>
      </c>
      <c r="J60" s="204">
        <f>C60/G60</f>
        <v>1078.4214331992266</v>
      </c>
      <c r="K60" s="204">
        <f>F60/G60</f>
        <v>707.07991378859924</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7" ma:contentTypeDescription="Create a new document." ma:contentTypeScope="" ma:versionID="1f12df22fde461dccf4675007a38c8f9">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281e9708c3372704b572acb74712095f"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9950b9c-69ba-4c9a-93bc-55ff189ad0aa" xsi:nil="true"/>
    <APRASecurityClassification xmlns="95c2d1d2-c827-46ba-beaf-02b545c4f6ca">OFFICIAL: Sensitive</APRASecurityClassification>
    <lcf76f155ced4ddcb4097134ff3c332f xmlns="95c2d1d2-c827-46ba-beaf-02b545c4f6ca">
      <Terms xmlns="http://schemas.microsoft.com/office/infopath/2007/PartnerControls"/>
    </lcf76f155ced4ddcb4097134ff3c332f>
    <APRADescription xmlns="95c2d1d2-c827-46ba-beaf-02b545c4f6ca" xsi:nil="true"/>
    <Notes xmlns="95c2d1d2-c827-46ba-beaf-02b545c4f6ca" xsi:nil="true"/>
    <APRAKeywords xmlns="95c2d1d2-c827-46ba-beaf-02b545c4f6ca" xsi:nil="true"/>
  </documentManagement>
</p:properties>
</file>

<file path=customXml/itemProps1.xml><?xml version="1.0" encoding="utf-8"?>
<ds:datastoreItem xmlns:ds="http://schemas.openxmlformats.org/officeDocument/2006/customXml" ds:itemID="{9BA858EF-6E0B-41C8-A2D8-C10124EA5C7B}">
  <ds:schemaRefs>
    <ds:schemaRef ds:uri="http://schemas.microsoft.com/sharepoint/v3/contenttype/forms"/>
  </ds:schemaRefs>
</ds:datastoreItem>
</file>

<file path=customXml/itemProps2.xml><?xml version="1.0" encoding="utf-8"?>
<ds:datastoreItem xmlns:ds="http://schemas.openxmlformats.org/officeDocument/2006/customXml" ds:itemID="{C2E53B98-8E7F-4094-BD58-C833CF2018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c2d1d2-c827-46ba-beaf-02b545c4f6ca"/>
    <ds:schemaRef ds:uri="19950b9c-69ba-4c9a-93bc-55ff189ad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5F90541-7078-4F40-83FD-0C42F3B5862B}">
  <ds:schemaRefs>
    <ds:schemaRef ds:uri="http://schemas.microsoft.com/office/2006/metadata/properties"/>
    <ds:schemaRef ds:uri="http://schemas.microsoft.com/office/infopath/2007/PartnerControls"/>
    <ds:schemaRef ds:uri="412462e2-6a03-4df2-bbc1-79289a109c51"/>
    <ds:schemaRef ds:uri="dfe1458c-a3b8-4ddc-bea4-4e24062844c6"/>
    <ds:schemaRef ds:uri="4b8eff37-07c5-4919-9da3-63753c138241"/>
    <ds:schemaRef ds:uri="19950b9c-69ba-4c9a-93bc-55ff189ad0aa"/>
    <ds:schemaRef ds:uri="95c2d1d2-c827-46ba-beaf-02b545c4f6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8</vt:i4>
      </vt:variant>
    </vt:vector>
  </HeadingPairs>
  <TitlesOfParts>
    <vt:vector size="32" baseType="lpstr">
      <vt:lpstr>Cover</vt:lpstr>
      <vt:lpstr>Selection</vt:lpstr>
      <vt:lpstr>Contents</vt:lpstr>
      <vt:lpstr>Notes</vt:lpstr>
      <vt:lpstr>TA</vt:lpstr>
      <vt:lpstr>TB</vt:lpstr>
      <vt:lpstr>T1</vt:lpstr>
      <vt:lpstr>T2</vt:lpstr>
      <vt:lpstr>T3</vt:lpstr>
      <vt:lpstr>T4</vt:lpstr>
      <vt:lpstr>T5</vt:lpstr>
      <vt:lpstr>T6</vt:lpstr>
      <vt:lpstr>T7</vt:lpstr>
      <vt:lpstr>T8</vt:lpstr>
      <vt:lpstr>T9</vt:lpstr>
      <vt:lpstr>T10 &amp; T11</vt:lpstr>
      <vt:lpstr>T12 &amp; T13</vt:lpstr>
      <vt:lpstr>T14 &amp; T15</vt:lpstr>
      <vt:lpstr>T16 &amp; T17</vt:lpstr>
      <vt:lpstr>T18</vt:lpstr>
      <vt:lpstr>Notes on Statistics</vt:lpstr>
      <vt:lpstr>Definitions and Abbreviations</vt:lpstr>
      <vt:lpstr>RelatedPublications</vt:lpstr>
      <vt:lpstr>Data</vt:lpstr>
      <vt:lpstr>Data</vt:lpstr>
      <vt:lpstr>Data!phiac_sql_ReturnsDB_vw_MedicalGapAgreements</vt:lpstr>
      <vt:lpstr>'Notes on Statistics'!Print_Area</vt:lpstr>
      <vt:lpstr>RelatedPublications!Print_Area</vt:lpstr>
      <vt:lpstr>Selection!Print_Area</vt:lpstr>
      <vt:lpstr>'T10 &amp; T11'!Print_Area</vt:lpstr>
      <vt:lpstr>TA!Print_Area</vt:lpstr>
      <vt:lpstr>TB!Print_Area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Kritika Chaudhary</dc:creator>
  <cp:keywords>[SEC=OFFICIAL]</cp:keywords>
  <cp:lastModifiedBy>Kritika Chaudhary</cp:lastModifiedBy>
  <dcterms:created xsi:type="dcterms:W3CDTF">2023-09-21T04:50:24Z</dcterms:created>
  <dcterms:modified xsi:type="dcterms:W3CDTF">2025-02-18T03:45:13Z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0x010100651F443683EB284FA92F4EFA2381058B</vt:lpwstr>
  </property>
  <property fmtid="{D5CDD505-2E9C-101B-9397-08002B2CF9AE}" pid="3" name="MediaServiceImageTags">
    <vt:lpwstr/>
  </property>
  <property fmtid="{D5CDD505-2E9C-101B-9397-08002B2CF9AE}" pid="4" name="PM_Namespace">
    <vt:lpwstr>gov.au</vt:lpwstr>
  </property>
  <property fmtid="{D5CDD505-2E9C-101B-9397-08002B2CF9AE}" pid="5" name="PM_Caveats_Count">
    <vt:lpwstr>0</vt:lpwstr>
  </property>
  <property fmtid="{D5CDD505-2E9C-101B-9397-08002B2CF9AE}" pid="6" name="PM_Version">
    <vt:lpwstr>2018.4</vt:lpwstr>
  </property>
  <property fmtid="{D5CDD505-2E9C-101B-9397-08002B2CF9AE}" pid="7" name="MSIP_Label_c0129afb-6481-4f92-bc9f-5a4a6346364d_Name">
    <vt:lpwstr>OFFICIAL</vt:lpwstr>
  </property>
  <property fmtid="{D5CDD505-2E9C-101B-9397-08002B2CF9AE}" pid="8" name="PM_Note">
    <vt:lpwstr/>
  </property>
  <property fmtid="{D5CDD505-2E9C-101B-9397-08002B2CF9AE}" pid="9" name="PMHMAC">
    <vt:lpwstr>v=2022.1;a=SHA256;h=5B880CD1E975D9C26DBE52F4EEDC8A458780FA8B411D5D80082FA55E09DCF0F4</vt:lpwstr>
  </property>
  <property fmtid="{D5CDD505-2E9C-101B-9397-08002B2CF9AE}" pid="10" name="PM_Qualifier">
    <vt:lpwstr/>
  </property>
  <property fmtid="{D5CDD505-2E9C-101B-9397-08002B2CF9AE}" pid="11" name="MSIP_Label_c0129afb-6481-4f92-bc9f-5a4a6346364d_Method">
    <vt:lpwstr>Privileged</vt:lpwstr>
  </property>
  <property fmtid="{D5CDD505-2E9C-101B-9397-08002B2CF9AE}" pid="12" name="PM_SecurityClassification">
    <vt:lpwstr>OFFICIAL</vt:lpwstr>
  </property>
  <property fmtid="{D5CDD505-2E9C-101B-9397-08002B2CF9AE}" pid="13" name="PM_ProtectiveMarkingValue_Header">
    <vt:lpwstr>OFFICIAL</vt:lpwstr>
  </property>
  <property fmtid="{D5CDD505-2E9C-101B-9397-08002B2CF9AE}" pid="14" name="PM_OriginationTimeStamp">
    <vt:lpwstr>2024-01-02T06:19:27Z</vt:lpwstr>
  </property>
  <property fmtid="{D5CDD505-2E9C-101B-9397-08002B2CF9AE}" pid="15" name="PM_Markers">
    <vt:lpwstr/>
  </property>
  <property fmtid="{D5CDD505-2E9C-101B-9397-08002B2CF9AE}" pid="16" name="MSIP_Label_c0129afb-6481-4f92-bc9f-5a4a6346364d_SiteId">
    <vt:lpwstr>c05e3ffd-b491-4431-9809-e61d4dc78816</vt:lpwstr>
  </property>
  <property fmtid="{D5CDD505-2E9C-101B-9397-08002B2CF9AE}" pid="17" name="MSIP_Label_c0129afb-6481-4f92-bc9f-5a4a6346364d_ContentBits">
    <vt:lpwstr>0</vt:lpwstr>
  </property>
  <property fmtid="{D5CDD505-2E9C-101B-9397-08002B2CF9AE}" pid="18" name="MSIP_Label_c0129afb-6481-4f92-bc9f-5a4a6346364d_Enabled">
    <vt:lpwstr>true</vt:lpwstr>
  </property>
  <property fmtid="{D5CDD505-2E9C-101B-9397-08002B2CF9AE}" pid="19" name="PM_Hash_Salt_Prev">
    <vt:lpwstr>D554DBEC94B2F674ADEBA292F757B45B</vt:lpwstr>
  </property>
  <property fmtid="{D5CDD505-2E9C-101B-9397-08002B2CF9AE}" pid="20" name="MSIP_Label_c0129afb-6481-4f92-bc9f-5a4a6346364d_SetDate">
    <vt:lpwstr>2024-01-02T06:19:27Z</vt:lpwstr>
  </property>
  <property fmtid="{D5CDD505-2E9C-101B-9397-08002B2CF9AE}" pid="21" name="MSIP_Label_c0129afb-6481-4f92-bc9f-5a4a6346364d_ActionId">
    <vt:lpwstr>d83d7a54a431430c8cb50eca74688674</vt:lpwstr>
  </property>
  <property fmtid="{D5CDD505-2E9C-101B-9397-08002B2CF9AE}" pid="22" name="PM_InsertionValue">
    <vt:lpwstr>OFFICIAL</vt:lpwstr>
  </property>
  <property fmtid="{D5CDD505-2E9C-101B-9397-08002B2CF9AE}" pid="23" name="PM_Originator_Hash_SHA1">
    <vt:lpwstr>B385CC12AD88146584D9B1FB02F5D0AD3CDECEC0</vt:lpwstr>
  </property>
  <property fmtid="{D5CDD505-2E9C-101B-9397-08002B2CF9AE}" pid="24" name="PM_DisplayValueSecClassificationWithQualifier">
    <vt:lpwstr>OFFICIAL</vt:lpwstr>
  </property>
  <property fmtid="{D5CDD505-2E9C-101B-9397-08002B2CF9AE}" pid="25" name="PM_Originating_FileId">
    <vt:lpwstr>CFEDBE7CD8FA4E158332E4B977EA5830</vt:lpwstr>
  </property>
  <property fmtid="{D5CDD505-2E9C-101B-9397-08002B2CF9AE}" pid="26" name="PM_ProtectiveMarkingValue_Footer">
    <vt:lpwstr>OFFICIAL</vt:lpwstr>
  </property>
  <property fmtid="{D5CDD505-2E9C-101B-9397-08002B2CF9AE}" pid="27" name="PM_ProtectiveMarkingImage_Header">
    <vt:lpwstr>C:\Program Files\Common Files\janusNET Shared\janusSEAL\Images\DocumentSlashBlue.png</vt:lpwstr>
  </property>
  <property fmtid="{D5CDD505-2E9C-101B-9397-08002B2CF9AE}" pid="28" name="PM_ProtectiveMarkingImage_Footer">
    <vt:lpwstr>C:\Program Files\Common Files\janusNET Shared\janusSEAL\Images\DocumentSlashBlue.png</vt:lpwstr>
  </property>
  <property fmtid="{D5CDD505-2E9C-101B-9397-08002B2CF9AE}" pid="29" name="PM_Display">
    <vt:lpwstr>OFFICIAL</vt:lpwstr>
  </property>
  <property fmtid="{D5CDD505-2E9C-101B-9397-08002B2CF9AE}" pid="30" name="PM_OriginatorUserAccountName_SHA256">
    <vt:lpwstr>20BAF873EDDB533B8AA1EBDF8EE4199EFFC1C99B35F8A538771F5DF4F0AEE396</vt:lpwstr>
  </property>
  <property fmtid="{D5CDD505-2E9C-101B-9397-08002B2CF9AE}" pid="31" name="PM_OriginatorDomainName_SHA256">
    <vt:lpwstr>ECBDE2B44A971754412B3FB70606937A119CC0D4B6C1B658A40FBD41C30BE3EC</vt:lpwstr>
  </property>
  <property fmtid="{D5CDD505-2E9C-101B-9397-08002B2CF9AE}" pid="32" name="PMUuid">
    <vt:lpwstr>v=2022.2;d=gov.au;g=46DD6D7C-8107-577B-BC6E-F348953B2E44</vt:lpwstr>
  </property>
  <property fmtid="{D5CDD505-2E9C-101B-9397-08002B2CF9AE}" pid="33" name="PM_Hash_Version">
    <vt:lpwstr>2022.1</vt:lpwstr>
  </property>
  <property fmtid="{D5CDD505-2E9C-101B-9397-08002B2CF9AE}" pid="34" name="PM_Hash_Salt">
    <vt:lpwstr>F8218A5378D5BD677CAC27D7A483BF7F</vt:lpwstr>
  </property>
  <property fmtid="{D5CDD505-2E9C-101B-9397-08002B2CF9AE}" pid="35" name="PM_Hash_SHA1">
    <vt:lpwstr>778ED190DFCCB33AEC1AF020BA2AC8701C42C5AE</vt:lpwstr>
  </property>
  <property fmtid="{D5CDD505-2E9C-101B-9397-08002B2CF9AE}" pid="36" name="PM_PrintOutPlacement_XLS">
    <vt:lpwstr/>
  </property>
  <property fmtid="{D5CDD505-2E9C-101B-9397-08002B2CF9AE}" pid="37" name="PM_SecurityClassification_Prev">
    <vt:lpwstr>OFFICIAL</vt:lpwstr>
  </property>
  <property fmtid="{D5CDD505-2E9C-101B-9397-08002B2CF9AE}" pid="38" name="PM_Qualifier_Prev">
    <vt:lpwstr/>
  </property>
  <property fmtid="{D5CDD505-2E9C-101B-9397-08002B2CF9AE}" pid="39" name="Priority1">
    <vt:bool>true</vt:bool>
  </property>
  <property fmtid="{D5CDD505-2E9C-101B-9397-08002B2CF9AE}" pid="40" name="Priority">
    <vt:bool>false</vt:bool>
  </property>
</Properties>
</file>